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omments3.xml" ContentType="application/vnd.openxmlformats-officedocument.spreadsheetml.comment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omments4.xml" ContentType="application/vnd.openxmlformats-officedocument.spreadsheetml.comments+xml"/>
  <Override PartName="/xl/drawings/drawing3.xml" ContentType="application/vnd.openxmlformats-officedocument.drawing+xml"/>
  <Override PartName="/xl/tables/table10.xml" ContentType="application/vnd.openxmlformats-officedocument.spreadsheetml.table+xml"/>
  <Override PartName="/xl/comments5.xml" ContentType="application/vnd.openxmlformats-officedocument.spreadsheetml.comments+xml"/>
  <Override PartName="/xl/charts/chart1.xml" ContentType="application/vnd.openxmlformats-officedocument.drawingml.chart+xml"/>
  <Override PartName="/xl/comments6.xml" ContentType="application/vnd.openxmlformats-officedocument.spreadsheetml.comments+xml"/>
  <Override PartName="/xl/drawings/drawing4.xml" ContentType="application/vnd.openxmlformats-officedocument.drawing+xml"/>
  <Override PartName="/xl/tables/table11.xml" ContentType="application/vnd.openxmlformats-officedocument.spreadsheetml.table+xml"/>
  <Override PartName="/xl/comments7.xml" ContentType="application/vnd.openxmlformats-officedocument.spreadsheetml.comments+xml"/>
  <Override PartName="/xl/drawings/drawing5.xml" ContentType="application/vnd.openxmlformats-officedocument.drawing+xml"/>
  <Override PartName="/xl/tables/table12.xml" ContentType="application/vnd.openxmlformats-officedocument.spreadsheetml.table+xml"/>
  <Override PartName="/xl/comments8.xml" ContentType="application/vnd.openxmlformats-officedocument.spreadsheetml.comments+xml"/>
  <Override PartName="/xl/drawings/drawing6.xml" ContentType="application/vnd.openxmlformats-officedocument.drawing+xml"/>
  <Override PartName="/xl/tables/table13.xml" ContentType="application/vnd.openxmlformats-officedocument.spreadsheetml.table+xml"/>
  <Override PartName="/xl/comments9.xml" ContentType="application/vnd.openxmlformats-officedocument.spreadsheetml.comments+xml"/>
  <Override PartName="/xl/drawings/drawing7.xml" ContentType="application/vnd.openxmlformats-officedocument.drawing+xml"/>
  <Override PartName="/xl/tables/table14.xml" ContentType="application/vnd.openxmlformats-officedocument.spreadsheetml.table+xml"/>
  <Override PartName="/xl/comments10.xml" ContentType="application/vnd.openxmlformats-officedocument.spreadsheetml.comments+xml"/>
  <Override PartName="/xl/drawings/drawing8.xml" ContentType="application/vnd.openxmlformats-officedocument.drawing+xml"/>
  <Override PartName="/xl/tables/table15.xml" ContentType="application/vnd.openxmlformats-officedocument.spreadsheetml.table+xml"/>
  <Override PartName="/xl/comments11.xml" ContentType="application/vnd.openxmlformats-officedocument.spreadsheetml.comments+xml"/>
  <Override PartName="/xl/drawings/drawing9.xml" ContentType="application/vnd.openxmlformats-officedocument.drawing+xml"/>
  <Override PartName="/xl/tables/table16.xml" ContentType="application/vnd.openxmlformats-officedocument.spreadsheetml.table+xml"/>
  <Override PartName="/xl/comments12.xml" ContentType="application/vnd.openxmlformats-officedocument.spreadsheetml.comments+xml"/>
  <Override PartName="/xl/drawings/drawing10.xml" ContentType="application/vnd.openxmlformats-officedocument.drawing+xml"/>
  <Override PartName="/xl/tables/table17.xml" ContentType="application/vnd.openxmlformats-officedocument.spreadsheetml.table+xml"/>
  <Override PartName="/xl/comments13.xml" ContentType="application/vnd.openxmlformats-officedocument.spreadsheetml.comments+xml"/>
  <Override PartName="/xl/drawings/drawing11.xml" ContentType="application/vnd.openxmlformats-officedocument.drawing+xml"/>
  <Override PartName="/xl/tables/table18.xml" ContentType="application/vnd.openxmlformats-officedocument.spreadsheetml.table+xml"/>
  <Override PartName="/xl/comments14.xml" ContentType="application/vnd.openxmlformats-officedocument.spreadsheetml.comments+xml"/>
  <Override PartName="/xl/drawings/drawing12.xml" ContentType="application/vnd.openxmlformats-officedocument.drawing+xml"/>
  <Override PartName="/xl/tables/table19.xml" ContentType="application/vnd.openxmlformats-officedocument.spreadsheetml.table+xml"/>
  <Override PartName="/xl/comments15.xml" ContentType="application/vnd.openxmlformats-officedocument.spreadsheetml.comments+xml"/>
  <Override PartName="/xl/drawings/drawing13.xml" ContentType="application/vnd.openxmlformats-officedocument.drawing+xml"/>
  <Override PartName="/xl/tables/table20.xml" ContentType="application/vnd.openxmlformats-officedocument.spreadsheetml.table+xml"/>
  <Override PartName="/xl/comments16.xml" ContentType="application/vnd.openxmlformats-officedocument.spreadsheetml.comments+xml"/>
  <Override PartName="/xl/drawings/drawing14.xml" ContentType="application/vnd.openxmlformats-officedocument.drawing+xml"/>
  <Override PartName="/xl/tables/table21.xml" ContentType="application/vnd.openxmlformats-officedocument.spreadsheetml.table+xml"/>
  <Override PartName="/xl/comments17.xml" ContentType="application/vnd.openxmlformats-officedocument.spreadsheetml.comments+xml"/>
  <Override PartName="/xl/drawings/drawing15.xml" ContentType="application/vnd.openxmlformats-officedocument.drawing+xml"/>
  <Override PartName="/xl/tables/table22.xml" ContentType="application/vnd.openxmlformats-officedocument.spreadsheetml.table+xml"/>
  <Override PartName="/xl/comments18.xml" ContentType="application/vnd.openxmlformats-officedocument.spreadsheetml.comments+xml"/>
  <Override PartName="/xl/drawings/drawing16.xml" ContentType="application/vnd.openxmlformats-officedocument.drawing+xml"/>
  <Override PartName="/xl/tables/table23.xml" ContentType="application/vnd.openxmlformats-officedocument.spreadsheetml.table+xml"/>
  <Override PartName="/xl/comments19.xml" ContentType="application/vnd.openxmlformats-officedocument.spreadsheetml.comments+xml"/>
  <Override PartName="/xl/drawings/drawing17.xml" ContentType="application/vnd.openxmlformats-officedocument.drawing+xml"/>
  <Override PartName="/xl/tables/table24.xml" ContentType="application/vnd.openxmlformats-officedocument.spreadsheetml.table+xml"/>
  <Override PartName="/xl/comments20.xml" ContentType="application/vnd.openxmlformats-officedocument.spreadsheetml.comments+xml"/>
  <Override PartName="/xl/drawings/drawing18.xml" ContentType="application/vnd.openxmlformats-officedocument.drawing+xml"/>
  <Override PartName="/xl/tables/table25.xml" ContentType="application/vnd.openxmlformats-officedocument.spreadsheetml.table+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9.xml" ContentType="application/vnd.openxmlformats-officedocument.drawing+xml"/>
  <Override PartName="/xl/tables/table26.xml" ContentType="application/vnd.openxmlformats-officedocument.spreadsheetml.table+xml"/>
  <Override PartName="/xl/comments25.xml" ContentType="application/vnd.openxmlformats-officedocument.spreadsheetml.comments+xml"/>
  <Override PartName="/xl/drawings/drawing20.xml" ContentType="application/vnd.openxmlformats-officedocument.drawing+xml"/>
  <Override PartName="/xl/tables/table27.xml" ContentType="application/vnd.openxmlformats-officedocument.spreadsheetml.table+xml"/>
  <Override PartName="/xl/comments26.xml" ContentType="application/vnd.openxmlformats-officedocument.spreadsheetml.comments+xml"/>
  <Override PartName="/xl/drawings/drawing21.xml" ContentType="application/vnd.openxmlformats-officedocument.drawing+xml"/>
  <Override PartName="/xl/comments27.xml" ContentType="application/vnd.openxmlformats-officedocument.spreadsheetml.comments+xml"/>
  <Override PartName="/xl/drawings/drawing22.xml" ContentType="application/vnd.openxmlformats-officedocument.drawing+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drawings/drawing23.xml" ContentType="application/vnd.openxmlformats-officedocument.drawing+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drawings/drawing24.xml" ContentType="application/vnd.openxmlformats-officedocument.drawing+xml"/>
  <Override PartName="/xl/comments3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308"/>
  <workbookPr codeName="ThisWorkbook"/>
  <mc:AlternateContent xmlns:mc="http://schemas.openxmlformats.org/markup-compatibility/2006">
    <mc:Choice Requires="x15">
      <x15ac:absPath xmlns:x15ac="http://schemas.microsoft.com/office/spreadsheetml/2010/11/ac" url="/Users/thomas.fehr/Downloads/Webseite F01/"/>
    </mc:Choice>
  </mc:AlternateContent>
  <xr:revisionPtr revIDLastSave="0" documentId="13_ncr:1_{EFE0CCF3-71C1-EC42-90DF-9D5291883B56}" xr6:coauthVersionLast="47" xr6:coauthVersionMax="47" xr10:uidLastSave="{00000000-0000-0000-0000-000000000000}"/>
  <workbookProtection workbookAlgorithmName="SHA-512" workbookHashValue="eba2UI7g38K1ZdwQ/MBpPcGU+E2blqPoPcRFpziMO58/spVpduXwpQGRCHJy9AzVBTB/QFDmZouuXNyAWGTUdA==" workbookSaltValue="jMDgnEbXjBErQf2F8RJnhQ==" workbookSpinCount="100000" lockStructure="1"/>
  <bookViews>
    <workbookView xWindow="0" yWindow="660" windowWidth="30240" windowHeight="17440" tabRatio="942" activeTab="3" xr2:uid="{00000000-000D-0000-FFFF-FFFF00000000}"/>
  </bookViews>
  <sheets>
    <sheet name="Changes" sheetId="77" state="hidden" r:id="rId1"/>
    <sheet name="Dictionary" sheetId="475" state="veryHidden" r:id="rId2"/>
    <sheet name="Control Values" sheetId="476" state="veryHidden" r:id="rId3"/>
    <sheet name="Instructions-Anleitung" sheetId="633" r:id="rId4"/>
    <sheet name="COV" sheetId="4" r:id="rId5"/>
    <sheet name="ADR" sheetId="630" state="hidden" r:id="rId6"/>
    <sheet name="REF" sheetId="40" r:id="rId7"/>
    <sheet name="SAS" sheetId="39" r:id="rId8"/>
    <sheet name="RCL" sheetId="457" state="hidden" r:id="rId9"/>
    <sheet name="RCT" sheetId="460" state="hidden" r:id="rId10"/>
    <sheet name="EXP" sheetId="1" r:id="rId11"/>
    <sheet name="1" sheetId="15" r:id="rId12"/>
    <sheet name="PL1" sheetId="605" state="hidden" r:id="rId13"/>
    <sheet name="P1-MCR" sheetId="41" r:id="rId14"/>
    <sheet name="2" sheetId="717" r:id="rId15"/>
    <sheet name="PL2" sheetId="733" state="hidden" r:id="rId16"/>
    <sheet name="P2-MCR" sheetId="653" r:id="rId17"/>
    <sheet name="3" sheetId="718" r:id="rId18"/>
    <sheet name="PL3" sheetId="734" state="hidden" r:id="rId19"/>
    <sheet name="P3-MCR" sheetId="654" r:id="rId20"/>
    <sheet name="4" sheetId="719" r:id="rId21"/>
    <sheet name="PL4" sheetId="735" state="hidden" r:id="rId22"/>
    <sheet name="P4-MCR" sheetId="655" r:id="rId23"/>
    <sheet name="5" sheetId="720" r:id="rId24"/>
    <sheet name="PL5" sheetId="736" state="hidden" r:id="rId25"/>
    <sheet name="P5-MCR" sheetId="656" r:id="rId26"/>
    <sheet name="6" sheetId="721" r:id="rId27"/>
    <sheet name="PL6" sheetId="737" state="hidden" r:id="rId28"/>
    <sheet name="P6-MCR" sheetId="657" r:id="rId29"/>
    <sheet name="7" sheetId="722" r:id="rId30"/>
    <sheet name="PL7" sheetId="738" state="hidden" r:id="rId31"/>
    <sheet name="P7-MCR" sheetId="658" r:id="rId32"/>
    <sheet name="8" sheetId="723" r:id="rId33"/>
    <sheet name="PL8" sheetId="739" state="hidden" r:id="rId34"/>
    <sheet name="P8-MCR" sheetId="659" r:id="rId35"/>
    <sheet name="9" sheetId="724" r:id="rId36"/>
    <sheet name="PL9" sheetId="740" state="hidden" r:id="rId37"/>
    <sheet name="P9-MCR" sheetId="660" r:id="rId38"/>
    <sheet name="10" sheetId="725" r:id="rId39"/>
    <sheet name="PL10" sheetId="741" state="hidden" r:id="rId40"/>
    <sheet name="P10-MCR" sheetId="661" r:id="rId41"/>
    <sheet name="11" sheetId="726" r:id="rId42"/>
    <sheet name="PL11" sheetId="742" state="hidden" r:id="rId43"/>
    <sheet name="P11-MCR" sheetId="662" r:id="rId44"/>
    <sheet name="12" sheetId="727" r:id="rId45"/>
    <sheet name="PL12" sheetId="743" state="hidden" r:id="rId46"/>
    <sheet name="P12-MCR" sheetId="663" r:id="rId47"/>
    <sheet name="13" sheetId="728" r:id="rId48"/>
    <sheet name="PL13" sheetId="744" state="hidden" r:id="rId49"/>
    <sheet name="P13-MCR" sheetId="664" r:id="rId50"/>
    <sheet name="14" sheetId="729" r:id="rId51"/>
    <sheet name="PL14" sheetId="745" state="hidden" r:id="rId52"/>
    <sheet name="P14-MCR" sheetId="665" r:id="rId53"/>
    <sheet name="15" sheetId="730" r:id="rId54"/>
    <sheet name="PL15" sheetId="746" state="hidden" r:id="rId55"/>
    <sheet name="P15-MCR" sheetId="666" r:id="rId56"/>
    <sheet name="18" sheetId="32" state="veryHidden" r:id="rId57"/>
    <sheet name="19" sheetId="33" state="veryHidden" r:id="rId58"/>
    <sheet name="20" sheetId="34" state="veryHidden" r:id="rId59"/>
    <sheet name="16" sheetId="731" r:id="rId60"/>
    <sheet name="PL16" sheetId="747" state="hidden" r:id="rId61"/>
    <sheet name="P16-MCR" sheetId="667" r:id="rId62"/>
    <sheet name="17" sheetId="732" r:id="rId63"/>
    <sheet name="PL17" sheetId="748" state="hidden" r:id="rId64"/>
    <sheet name="P17-MCR" sheetId="668" r:id="rId65"/>
    <sheet name="EXP Eval" sheetId="35" state="hidden" r:id="rId66"/>
    <sheet name="RCL Eval" sheetId="462" state="hidden" r:id="rId67"/>
    <sheet name="RCT Eval" sheetId="636" state="hidden" r:id="rId68"/>
    <sheet name="P-Dev Eval" sheetId="468" state="hidden" r:id="rId69"/>
    <sheet name="F04 Eval" sheetId="600" state="hidden" r:id="rId70"/>
    <sheet name="F04 Int" sheetId="601" state="hidden" r:id="rId71"/>
    <sheet name="(7b) Project List" sheetId="13" state="veryHidden" r:id="rId72"/>
    <sheet name="(7c) Project Schedule" sheetId="14" state="veryHidden" r:id="rId73"/>
    <sheet name="(8) Exam Evaluation" sheetId="76" state="hidden" r:id="rId74"/>
    <sheet name="Scoring" sheetId="74" state="hidden" r:id="rId75"/>
    <sheet name="Rep Feedback" sheetId="755" state="hidden" r:id="rId76"/>
    <sheet name="Level D Scoring" sheetId="474" state="hidden" r:id="rId77"/>
    <sheet name="Level BAS-D Scoring" sheetId="632" state="hidden" r:id="rId78"/>
    <sheet name="BAS Scoring" sheetId="598" state="hidden" r:id="rId79"/>
    <sheet name="PJM-Report-Scoring" sheetId="599" state="veryHidden" r:id="rId80"/>
    <sheet name="PGM-Report-Scoring" sheetId="604" state="veryHidden" r:id="rId81"/>
    <sheet name="PFM-Report-Scoring" sheetId="603" state="veryHidden" r:id="rId82"/>
    <sheet name="Checks" sheetId="461" state="veryHidden" r:id="rId83"/>
    <sheet name="D+ INT" sheetId="749" state="hidden" r:id="rId84"/>
    <sheet name="Overview" sheetId="340" state="hidden" r:id="rId85"/>
    <sheet name="IF-PCA-MCR" sheetId="750" state="veryHidden" r:id="rId86"/>
    <sheet name="IF-PCB-MCR" sheetId="751" state="veryHidden" r:id="rId87"/>
    <sheet name="IF-PCC-MCR" sheetId="752" state="veryHidden" r:id="rId88"/>
    <sheet name="IF-PCD-MCR" sheetId="753" state="veryHidden" r:id="rId89"/>
    <sheet name="IF-PCE-MCR" sheetId="754" state="veryHidden" r:id="rId90"/>
    <sheet name="SE-PCA-MCR" sheetId="469" state="veryHidden" r:id="rId91"/>
    <sheet name="SE-PCB-MCR" sheetId="470" state="veryHidden" r:id="rId92"/>
    <sheet name="SE-PCC-MCR" sheetId="471" state="veryHidden" r:id="rId93"/>
    <sheet name="SE-PCD-MCR" sheetId="472" state="veryHidden" r:id="rId94"/>
    <sheet name="SE-PCE-MCR" sheetId="473" state="veryHidden" r:id="rId95"/>
    <sheet name="Interfaces" sheetId="634" state="veryHidden" r:id="rId96"/>
    <sheet name="INTEGR_CHECK" sheetId="635" state="veryHidden" r:id="rId97"/>
    <sheet name="Evaluation Sheet Instructions" sheetId="6" state="veryHidden" r:id="rId98"/>
    <sheet name="instruction" sheetId="36" state="veryHidden" r:id="rId99"/>
  </sheets>
  <definedNames>
    <definedName name="_xlnm._FilterDatabase" localSheetId="4" hidden="1">COV!$V$15:$W$18</definedName>
    <definedName name="_xlnm._FilterDatabase" localSheetId="10" hidden="1">EXP!$C$8:$M$11</definedName>
    <definedName name="_xlnm._FilterDatabase" localSheetId="3" hidden="1">'Instructions-Anleitung'!#REF!</definedName>
    <definedName name="_xlnm._FilterDatabase" localSheetId="6" hidden="1">REF!#REF!</definedName>
    <definedName name="ADM_ASS">Interfaces!$AA$6</definedName>
    <definedName name="ADM_ATMPT">Interfaces!$Y$6</definedName>
    <definedName name="ADM_DATE">Interfaces!$AC$6</definedName>
    <definedName name="ADM_RES">Interfaces!$Z$6</definedName>
    <definedName name="ADM_VRDCT">Interfaces!$Z$6</definedName>
    <definedName name="ALT_BILLING">COV!$D$78</definedName>
    <definedName name="Applicant_Control">COV!$D$66</definedName>
    <definedName name="Applicant_Data" localSheetId="82">REF!#REF!,REF!#REF!,REF!#REF!,REF!#REF!,REF!#REF!,REF!#REF!,REF!#REF!,REF!#REF!,REF!#REF!,REF!#REF!,REF!$E$19,REF!$E$20,REF!$E$21,REF!$E$22,REF!$E$25,REF!$E$26,REF!$E$27,REF!$E$28,REF!$E$29,REF!$E$30,REF!$B$37,REF!$E$37,REF!#REF!</definedName>
    <definedName name="Applicant_Data" localSheetId="68">REF!#REF!,REF!#REF!,REF!#REF!,REF!#REF!,REF!#REF!,REF!#REF!,REF!#REF!,REF!#REF!,REF!#REF!,REF!#REF!,REF!$E$19,REF!$E$20,REF!$E$21,REF!$E$22,REF!$E$25,REF!$E$26,REF!$E$27,REF!$E$28,REF!$E$29,REF!$E$30,REF!$B$37,REF!$E$37,REF!#REF!</definedName>
    <definedName name="Applicant_Data" localSheetId="8">REF!#REF!,REF!#REF!,REF!#REF!,REF!#REF!,REF!#REF!,REF!#REF!,REF!#REF!,REF!#REF!,REF!#REF!,REF!#REF!,REF!$E$19,REF!$E$20,REF!$E$21,REF!$E$22,REF!$E$25,REF!$E$26,REF!$E$27,REF!$E$28,REF!$E$29,REF!$E$30,REF!$B$37,REF!$E$37,REF!#REF!</definedName>
    <definedName name="Applicant_Data" localSheetId="66">REF!#REF!</definedName>
    <definedName name="Applicant_Data" localSheetId="9">REF!#REF!,REF!#REF!,REF!#REF!,REF!#REF!,REF!#REF!,REF!#REF!,REF!#REF!,REF!#REF!,REF!#REF!,REF!#REF!,REF!$E$19,REF!$E$20,REF!$E$21,REF!$E$22,REF!$E$25,REF!$E$26,REF!$E$27,REF!$E$28,REF!$E$29,REF!$E$30,REF!$B$37,REF!$E$37,REF!#REF!</definedName>
    <definedName name="Applicant_Data" localSheetId="67">REF!#REF!</definedName>
    <definedName name="APPLICATION_DOM">COV!$E$17</definedName>
    <definedName name="APPLICATION_LVL">COV!$E$16</definedName>
    <definedName name="ASSESSOR" localSheetId="81">'PFM-Report-Scoring'!$F$2</definedName>
    <definedName name="ASSESSOR" localSheetId="80">'PGM-Report-Scoring'!$F$2</definedName>
    <definedName name="ASSESSOR">'PJM-Report-Scoring'!$F$2</definedName>
    <definedName name="Assessor_Control">COV!$D$65</definedName>
    <definedName name="BAS_D_MODE">COV!$V$85</definedName>
    <definedName name="BAS_MODE">COV!$V$82</definedName>
    <definedName name="by_string">Dictionary!$B$14</definedName>
    <definedName name="CANDIDATE" localSheetId="81">'PFM-Report-Scoring'!$G$3</definedName>
    <definedName name="CANDIDATE" localSheetId="80">'PGM-Report-Scoring'!$G$3</definedName>
    <definedName name="CANDIDATE">'PJM-Report-Scoring'!$G$3</definedName>
    <definedName name="CAT_A_NAME">EXP!$G$39</definedName>
    <definedName name="CAT_Asub_NAME">EXP!$G$38</definedName>
    <definedName name="CAT_B_NAME">EXP!$G$40</definedName>
    <definedName name="CAT_C_NAME">EXP!$G$41</definedName>
    <definedName name="CAT_D_NAME">EXP!$G$42</definedName>
    <definedName name="CAT_E_NAME">EXP!$G$43</definedName>
    <definedName name="CAT_PF">EXP!$C$41</definedName>
    <definedName name="CAT_PG">EXP!$C$40</definedName>
    <definedName name="CAT_PJ">EXP!$C$39</definedName>
    <definedName name="CAT_PO">EXP!$C$42</definedName>
    <definedName name="CAT_SPJ">EXP!$C$38</definedName>
    <definedName name="CAUTION_APPL_INCOMPLETE">COV!$C$112</definedName>
    <definedName name="CAUTION_FILENAME_INVALID">COV!$C$113</definedName>
    <definedName name="Cert_Body">COV!$V$15</definedName>
    <definedName name="CERT_DATE_ENTRY">COV!$E$11</definedName>
    <definedName name="CERT_DATE_LABEL">COV!$D$11</definedName>
    <definedName name="Cert_Round">COV!$V$12</definedName>
    <definedName name="CERT_VALIDITY_DATE">COV!$D$72</definedName>
    <definedName name="CERTLEVEL" localSheetId="81">'PFM-Report-Scoring'!$F$3</definedName>
    <definedName name="CERTLEVEL" localSheetId="80">'PGM-Report-Scoring'!$F$3</definedName>
    <definedName name="CERTLEVEL">'PJM-Report-Scoring'!$F$3</definedName>
    <definedName name="CERTROUND" localSheetId="81">'PFM-Report-Scoring'!$C$2</definedName>
    <definedName name="CERTROUND" localSheetId="80">'PGM-Report-Scoring'!$C$2</definedName>
    <definedName name="CERTROUND">'PJM-Report-Scoring'!$C$2</definedName>
    <definedName name="Co_Assessor">COV!$V$14</definedName>
    <definedName name="COMPROMISED">COV!$D$67</definedName>
    <definedName name="CSW_ASS_CA">Interfaces!$BD$6</definedName>
    <definedName name="CSW_ASS_LA">Interfaces!$BC$6</definedName>
    <definedName name="CSW_ATMPT">Interfaces!$AZ$6</definedName>
    <definedName name="CSW_CE">Interfaces!$BA$6</definedName>
    <definedName name="CSW_DATE">Interfaces!$BF$6</definedName>
    <definedName name="CSW_FLAG">COV!$D$75</definedName>
    <definedName name="CSW_RES">Interfaces!$BB$6</definedName>
    <definedName name="D_PLUS_UPGRADE_FLAG">COV!$D$82</definedName>
    <definedName name="DOMAIN">COV!$V$79</definedName>
    <definedName name="END_BEFORE_START" localSheetId="82">Checks!$R$5</definedName>
    <definedName name="END_BEFORE_START" localSheetId="8">Checks!$R$5</definedName>
    <definedName name="END_BEFORE_START" localSheetId="9">Checks!$R$5</definedName>
    <definedName name="ENG">COV!$L$66</definedName>
    <definedName name="ET_3_5" localSheetId="78">#REF!</definedName>
    <definedName name="ET_3_5" localSheetId="83">#REF!</definedName>
    <definedName name="ET_3_5" localSheetId="77">#REF!</definedName>
    <definedName name="ET_3_5" localSheetId="76">#REF!</definedName>
    <definedName name="ET_4" localSheetId="78">#REF!</definedName>
    <definedName name="ET_4" localSheetId="83">#REF!</definedName>
    <definedName name="ET_4" localSheetId="77">#REF!</definedName>
    <definedName name="ET_4" localSheetId="76">#REF!</definedName>
    <definedName name="ET_5" localSheetId="78">#REF!</definedName>
    <definedName name="ET_5" localSheetId="83">#REF!</definedName>
    <definedName name="ET_5" localSheetId="77">#REF!</definedName>
    <definedName name="ET_5" localSheetId="76">#REF!</definedName>
    <definedName name="EVAL_PERIOD_SELECT">COV!$E$18</definedName>
    <definedName name="EVAL_RECORD_H1_CO">COV!$K$8</definedName>
    <definedName name="EVAL_RECORD_H1_DATE">COV!$L$8</definedName>
    <definedName name="EVAL_RECORD_H1_DESIG">COV!$O$8</definedName>
    <definedName name="EVAL_RECORD_H1_LEAD">COV!$J$8</definedName>
    <definedName name="EVAL_RECORD_H1_RES">COV!$N$8</definedName>
    <definedName name="EVAL_RECORD_H1_STEP">COV!$M$8</definedName>
    <definedName name="EVAL_RECORD_R1">COV!$J$9:$O$9</definedName>
    <definedName name="EVAL_RECORD_R10">COV!$J$18:$O$18</definedName>
    <definedName name="EVAL_RECORD_R11">COV!$J$19:$O$19</definedName>
    <definedName name="EVAL_RECORD_R12">COV!$J$20:$O$20</definedName>
    <definedName name="EVAL_RECORD_R13">COV!$J$21:$O$21</definedName>
    <definedName name="EVAL_RECORD_R14">COV!$J$22:$O$22</definedName>
    <definedName name="EVAL_RECORD_R15">COV!$J$23:$O$23</definedName>
    <definedName name="EVAL_RECORD_R16">COV!$J$24:$O$24</definedName>
    <definedName name="EVAL_RECORD_R2">COV!$J$10:$O$10</definedName>
    <definedName name="EVAL_RECORD_R3">COV!$J$11:$O$11</definedName>
    <definedName name="EVAL_RECORD_R4">COV!$J$12:$O$12</definedName>
    <definedName name="EVAL_RECORD_R5">COV!$J$13:$O$13</definedName>
    <definedName name="EVAL_RECORD_R6">COV!$J$14:$O$14</definedName>
    <definedName name="EVAL_RECORD_R7">COV!$J$15:$O$15</definedName>
    <definedName name="EVAL_RECORD_R8">COV!$J$16:$O$16</definedName>
    <definedName name="EVAL_RECORD_R9">COV!$J$17:$O$17</definedName>
    <definedName name="EVAL_STYLE">COV!$V$20</definedName>
    <definedName name="Event_Type" localSheetId="78">#REF!</definedName>
    <definedName name="Event_Type" localSheetId="83">#REF!</definedName>
    <definedName name="Event_Type" localSheetId="77">#REF!</definedName>
    <definedName name="Event_Type" localSheetId="76">#REF!</definedName>
    <definedName name="Event_Type" localSheetId="8">RCL!$S$9:$S$14</definedName>
    <definedName name="Event_Type" localSheetId="9">RCT!$S$9:$S$14</definedName>
    <definedName name="Event_Type_3" localSheetId="78">#REF!</definedName>
    <definedName name="Event_Type_3" localSheetId="83">#REF!</definedName>
    <definedName name="Event_Type_3" localSheetId="77">#REF!</definedName>
    <definedName name="Event_Type_3" localSheetId="76">#REF!</definedName>
    <definedName name="Exam_Total_KCIs" localSheetId="66">'(8) Exam Evaluation'!$B$5</definedName>
    <definedName name="Exam_Total_KCIs" localSheetId="67">'(8) Exam Evaluation'!$B$5</definedName>
    <definedName name="Exam_Total_KCIs">'(8) Exam Evaluation'!$B$5</definedName>
    <definedName name="Exam_Variant_Name" localSheetId="68">'(8) Exam Evaluation'!$C$4</definedName>
    <definedName name="Exam_Variant_Name" localSheetId="66">'(8) Exam Evaluation'!$C$4</definedName>
    <definedName name="Exam_Variant_Name" localSheetId="67">'(8) Exam Evaluation'!$C$4</definedName>
    <definedName name="Exam_Variant_Name">'(8) Exam Evaluation'!$C$4</definedName>
    <definedName name="Exm_Q_4_3_1">'(8) Exam Evaluation'!$W$13</definedName>
    <definedName name="Exm_Q_4_3_1_1">'(8) Exam Evaluation'!$W$14</definedName>
    <definedName name="Exm_Q_4_3_1_2">'(8) Exam Evaluation'!$W$15</definedName>
    <definedName name="Exm_Q_4_3_1_3">'(8) Exam Evaluation'!$W$16</definedName>
    <definedName name="Exm_Q_4_3_1_4">'(8) Exam Evaluation'!$W$17</definedName>
    <definedName name="Exm_Q_4_3_1_5">'(8) Exam Evaluation'!$W$18</definedName>
    <definedName name="Exm_Q_4_3_2">'(8) Exam Evaluation'!$W$19</definedName>
    <definedName name="Exm_Q_4_3_2_1">'(8) Exam Evaluation'!$W$20</definedName>
    <definedName name="Exm_Q_4_3_2_2">'(8) Exam Evaluation'!$W$21</definedName>
    <definedName name="Exm_Q_4_3_2_3">'(8) Exam Evaluation'!$W$22</definedName>
    <definedName name="Exm_Q_4_3_2_4">'(8) Exam Evaluation'!$W$23</definedName>
    <definedName name="Exm_Q_4_3_2_5">'(8) Exam Evaluation'!$W$24</definedName>
    <definedName name="Exm_Q_4_3_2_6">'(8) Exam Evaluation'!$W$25</definedName>
    <definedName name="Exm_Q_4_3_2_7">'(8) Exam Evaluation'!$W$26</definedName>
    <definedName name="Exm_Q_4_3_3">'(8) Exam Evaluation'!$W$27</definedName>
    <definedName name="Exm_Q_4_3_3_1">'(8) Exam Evaluation'!$W$28</definedName>
    <definedName name="Exm_Q_4_3_3_2">'(8) Exam Evaluation'!$W$29</definedName>
    <definedName name="Exm_Q_4_3_3_3">'(8) Exam Evaluation'!$W$30</definedName>
    <definedName name="Exm_Q_4_3_3_4">'(8) Exam Evaluation'!$W$31</definedName>
    <definedName name="Exm_Q_4_3_3_5">'(8) Exam Evaluation'!$W$32</definedName>
    <definedName name="Exm_Q_4_3_3_6">'(8) Exam Evaluation'!$W$33</definedName>
    <definedName name="Exm_Q_4_3_4">'(8) Exam Evaluation'!$W$34</definedName>
    <definedName name="Exm_Q_4_3_4_1">'(8) Exam Evaluation'!$W$35</definedName>
    <definedName name="Exm_Q_4_3_4_2">'(8) Exam Evaluation'!$W$36</definedName>
    <definedName name="Exm_Q_4_3_4_3">'(8) Exam Evaluation'!$W$37</definedName>
    <definedName name="Exm_Q_4_3_5">'(8) Exam Evaluation'!$W$38</definedName>
    <definedName name="Exm_Q_4_3_5_1">'(8) Exam Evaluation'!$W$39</definedName>
    <definedName name="Exm_Q_4_3_5_2">'(8) Exam Evaluation'!$W$40</definedName>
    <definedName name="Exm_Q_4_3_5_3">'(8) Exam Evaluation'!$W$41</definedName>
    <definedName name="Exm_Q_4_4_1">'(8) Exam Evaluation'!$W$44</definedName>
    <definedName name="Exm_Q_4_4_1_1">'(8) Exam Evaluation'!$W$45</definedName>
    <definedName name="Exm_Q_4_4_1_2">'(8) Exam Evaluation'!$W$46</definedName>
    <definedName name="Exm_Q_4_4_1_3">'(8) Exam Evaluation'!$W$47</definedName>
    <definedName name="Exm_Q_4_4_1_4">'(8) Exam Evaluation'!$W$48</definedName>
    <definedName name="Exm_Q_4_4_1_5">'(8) Exam Evaluation'!$W$49</definedName>
    <definedName name="Exm_Q_4_4_10">'(8) Exam Evaluation'!$W$97</definedName>
    <definedName name="Exm_Q_4_4_10_1">'(8) Exam Evaluation'!$W$98</definedName>
    <definedName name="Exm_Q_4_4_10_2">'(8) Exam Evaluation'!$W$99</definedName>
    <definedName name="Exm_Q_4_4_10_3">'(8) Exam Evaluation'!$W$100</definedName>
    <definedName name="Exm_Q_4_4_10_4">'(8) Exam Evaluation'!$W$101</definedName>
    <definedName name="Exm_Q_4_4_10_5">'(8) Exam Evaluation'!$W$102</definedName>
    <definedName name="Exm_Q_4_4_2">'(8) Exam Evaluation'!$W$50</definedName>
    <definedName name="Exm_Q_4_4_2_1">'(8) Exam Evaluation'!$W$51</definedName>
    <definedName name="Exm_Q_4_4_2_2">'(8) Exam Evaluation'!$W$52</definedName>
    <definedName name="Exm_Q_4_4_2_3">'(8) Exam Evaluation'!$W$53</definedName>
    <definedName name="Exm_Q_4_4_2_4">'(8) Exam Evaluation'!$W$54</definedName>
    <definedName name="Exm_Q_4_4_2_5">'(8) Exam Evaluation'!$W$55</definedName>
    <definedName name="Exm_Q_4_4_3">'(8) Exam Evaluation'!$W$56</definedName>
    <definedName name="Exm_Q_4_4_3_1">'(8) Exam Evaluation'!$W$57</definedName>
    <definedName name="Exm_Q_4_4_3_2">'(8) Exam Evaluation'!$W$58</definedName>
    <definedName name="Exm_Q_4_4_3_3">'(8) Exam Evaluation'!$W$59</definedName>
    <definedName name="Exm_Q_4_4_3_4">'(8) Exam Evaluation'!$W$60</definedName>
    <definedName name="Exm_Q_4_4_3_5">'(8) Exam Evaluation'!$W$61</definedName>
    <definedName name="Exm_Q_4_4_4">'(8) Exam Evaluation'!$W$62</definedName>
    <definedName name="Exm_Q_4_4_4_1">'(8) Exam Evaluation'!$W$63</definedName>
    <definedName name="Exm_Q_4_4_4_2">'(8) Exam Evaluation'!$W$64</definedName>
    <definedName name="Exm_Q_4_4_4_3">'(8) Exam Evaluation'!$W$65</definedName>
    <definedName name="Exm_Q_4_4_4_4">'(8) Exam Evaluation'!$W$66</definedName>
    <definedName name="Exm_Q_4_4_4_5">'(8) Exam Evaluation'!$W$67</definedName>
    <definedName name="Exm_Q_4_4_5">'(8) Exam Evaluation'!$W$68</definedName>
    <definedName name="Exm_Q_4_4_5_1">'(8) Exam Evaluation'!$W$69</definedName>
    <definedName name="Exm_Q_4_4_5_2">'(8) Exam Evaluation'!$W$70</definedName>
    <definedName name="Exm_Q_4_4_5_3">'(8) Exam Evaluation'!$W$71</definedName>
    <definedName name="Exm_Q_4_4_5_4">'(8) Exam Evaluation'!$W$72</definedName>
    <definedName name="Exm_Q_4_4_5_5">'(8) Exam Evaluation'!$W$73</definedName>
    <definedName name="Exm_Q_4_4_6">'(8) Exam Evaluation'!$W$74</definedName>
    <definedName name="Exm_Q_4_4_6_1">'(8) Exam Evaluation'!$W$75</definedName>
    <definedName name="Exm_Q_4_4_6_2">'(8) Exam Evaluation'!$W$76</definedName>
    <definedName name="Exm_Q_4_4_6_3">'(8) Exam Evaluation'!$W$77</definedName>
    <definedName name="Exm_Q_4_4_6_4">'(8) Exam Evaluation'!$W$78</definedName>
    <definedName name="Exm_Q_4_4_6_5">'(8) Exam Evaluation'!$W$79</definedName>
    <definedName name="Exm_Q_4_4_7">'(8) Exam Evaluation'!$W$80</definedName>
    <definedName name="Exm_Q_4_4_7_1">'(8) Exam Evaluation'!$W$81</definedName>
    <definedName name="Exm_Q_4_4_7_2">'(8) Exam Evaluation'!$W$82</definedName>
    <definedName name="Exm_Q_4_4_7_3">'(8) Exam Evaluation'!$W$83</definedName>
    <definedName name="Exm_Q_4_4_7_4">'(8) Exam Evaluation'!$W$84</definedName>
    <definedName name="Exm_Q_4_4_8">'(8) Exam Evaluation'!$W$85</definedName>
    <definedName name="Exm_Q_4_4_8_1">'(8) Exam Evaluation'!$W$86</definedName>
    <definedName name="Exm_Q_4_4_8_2">'(8) Exam Evaluation'!$W$87</definedName>
    <definedName name="Exm_Q_4_4_8_3">'(8) Exam Evaluation'!$W$88</definedName>
    <definedName name="Exm_Q_4_4_8_4">'(8) Exam Evaluation'!$W$89</definedName>
    <definedName name="Exm_Q_4_4_8_5">'(8) Exam Evaluation'!$W$90</definedName>
    <definedName name="Exm_Q_4_4_9">'(8) Exam Evaluation'!$W$91</definedName>
    <definedName name="Exm_Q_4_4_9_1">'(8) Exam Evaluation'!$W$92</definedName>
    <definedName name="Exm_Q_4_4_9_2">'(8) Exam Evaluation'!$W$93</definedName>
    <definedName name="Exm_Q_4_4_9_3">'(8) Exam Evaluation'!$W$94</definedName>
    <definedName name="Exm_Q_4_4_9_4">'(8) Exam Evaluation'!$W$95</definedName>
    <definedName name="Exm_Q_4_4_9_5">'(8) Exam Evaluation'!$W$96</definedName>
    <definedName name="Exm_Q_4_5_1">'(8) Exam Evaluation'!$W$105</definedName>
    <definedName name="Exm_Q_4_5_1_1">'(8) Exam Evaluation'!$W$106</definedName>
    <definedName name="Exm_Q_4_5_1_2">'(8) Exam Evaluation'!$W$107</definedName>
    <definedName name="Exm_Q_4_5_1_3">'(8) Exam Evaluation'!$W$108</definedName>
    <definedName name="Exm_Q_4_5_1_4">'(8) Exam Evaluation'!$W$109</definedName>
    <definedName name="Exm_Q_4_5_1_5">'(8) Exam Evaluation'!$W$110</definedName>
    <definedName name="Exm_Q_4_5_10">'(8) Exam Evaluation'!$W$159</definedName>
    <definedName name="Exm_Q_4_5_10_1">'(8) Exam Evaluation'!$W$160</definedName>
    <definedName name="Exm_Q_4_5_10_2">'(8) Exam Evaluation'!$W$161</definedName>
    <definedName name="Exm_Q_4_5_10_3">'(8) Exam Evaluation'!$W$162</definedName>
    <definedName name="Exm_Q_4_5_10_4">'(8) Exam Evaluation'!$W$163</definedName>
    <definedName name="Exm_Q_4_5_10_5">'(8) Exam Evaluation'!$W$164</definedName>
    <definedName name="Exm_Q_4_5_10_6">'(8) Exam Evaluation'!$W$165</definedName>
    <definedName name="Exm_Q_4_5_11">'(8) Exam Evaluation'!$W$166</definedName>
    <definedName name="Exm_Q_4_5_11_1">'(8) Exam Evaluation'!$W$167</definedName>
    <definedName name="Exm_Q_4_5_11_2">'(8) Exam Evaluation'!$W$168</definedName>
    <definedName name="Exm_Q_4_5_11_3">'(8) Exam Evaluation'!$W$169</definedName>
    <definedName name="Exm_Q_4_5_11_4">'(8) Exam Evaluation'!$W$170</definedName>
    <definedName name="Exm_Q_4_5_11_5">'(8) Exam Evaluation'!$W$171</definedName>
    <definedName name="Exm_Q_4_5_12">'(8) Exam Evaluation'!$W$172</definedName>
    <definedName name="Exm_Q_4_5_12_1">'(8) Exam Evaluation'!$W$173</definedName>
    <definedName name="Exm_Q_4_5_12_2">'(8) Exam Evaluation'!$W$174</definedName>
    <definedName name="Exm_Q_4_5_12_3">'(8) Exam Evaluation'!$W$175</definedName>
    <definedName name="Exm_Q_4_5_12_4">'(8) Exam Evaluation'!$W$176</definedName>
    <definedName name="Exm_Q_4_5_12_5">'(8) Exam Evaluation'!$W$177</definedName>
    <definedName name="Exm_Q_4_5_13">'(8) Exam Evaluation'!$W$178</definedName>
    <definedName name="Exm_Q_4_5_13_1">'(8) Exam Evaluation'!$W$179</definedName>
    <definedName name="Exm_Q_4_5_13_2">'(8) Exam Evaluation'!$W$180</definedName>
    <definedName name="Exm_Q_4_5_13_3">'(8) Exam Evaluation'!$W$181</definedName>
    <definedName name="Exm_Q_4_5_13_4">'(8) Exam Evaluation'!$W$182</definedName>
    <definedName name="Exm_Q_4_5_2">'(8) Exam Evaluation'!$W$114</definedName>
    <definedName name="Exm_Q_4_5_2_1">'(8) Exam Evaluation'!$W$115</definedName>
    <definedName name="Exm_Q_4_5_2_2">'(8) Exam Evaluation'!$W$116</definedName>
    <definedName name="Exm_Q_4_5_2_3">'(8) Exam Evaluation'!$W$117</definedName>
    <definedName name="Exm_Q_4_5_3">'(8) Exam Evaluation'!$W$120</definedName>
    <definedName name="Exm_Q_4_5_3_1">'(8) Exam Evaluation'!$W$121</definedName>
    <definedName name="Exm_Q_4_5_3_2">'(8) Exam Evaluation'!$W$122</definedName>
    <definedName name="Exm_Q_4_5_3_3">'(8) Exam Evaluation'!$W$123</definedName>
    <definedName name="Exm_Q_4_5_3_4">'(8) Exam Evaluation'!$W$124</definedName>
    <definedName name="Exm_Q_4_5_4">'(8) Exam Evaluation'!$W$125</definedName>
    <definedName name="Exm_Q_4_5_4_1">'(8) Exam Evaluation'!$W$126</definedName>
    <definedName name="Exm_Q_4_5_4_2">'(8) Exam Evaluation'!$W$127</definedName>
    <definedName name="Exm_Q_4_5_4_3">'(8) Exam Evaluation'!$W$128</definedName>
    <definedName name="Exm_Q_4_5_4_4">'(8) Exam Evaluation'!$W$129</definedName>
    <definedName name="Exm_Q_4_5_4_5">'(8) Exam Evaluation'!$W$130</definedName>
    <definedName name="Exm_Q_4_5_5">'(8) Exam Evaluation'!$W$131</definedName>
    <definedName name="Exm_Q_4_5_5_1">'(8) Exam Evaluation'!$W$132</definedName>
    <definedName name="Exm_Q_4_5_5_2">'(8) Exam Evaluation'!$W$133</definedName>
    <definedName name="Exm_Q_4_5_5_3">'(8) Exam Evaluation'!$W$134</definedName>
    <definedName name="Exm_Q_4_5_5_4">'(8) Exam Evaluation'!$W$135</definedName>
    <definedName name="Exm_Q_4_5_6">'(8) Exam Evaluation'!$W$136</definedName>
    <definedName name="Exm_Q_4_5_6_1">'(8) Exam Evaluation'!$W$137</definedName>
    <definedName name="Exm_Q_4_5_6_2">'(8) Exam Evaluation'!$W$138</definedName>
    <definedName name="Exm_Q_4_5_6_3">'(8) Exam Evaluation'!$W$139</definedName>
    <definedName name="Exm_Q_4_5_6_4">'(8) Exam Evaluation'!$W$140</definedName>
    <definedName name="Exm_Q_4_5_6_5">'(8) Exam Evaluation'!$W$141</definedName>
    <definedName name="Exm_Q_4_5_7">'(8) Exam Evaluation'!$W$142</definedName>
    <definedName name="Exm_Q_4_5_7_1">'(8) Exam Evaluation'!$W$143</definedName>
    <definedName name="Exm_Q_4_5_7_2">'(8) Exam Evaluation'!$W$144</definedName>
    <definedName name="Exm_Q_4_5_7_3">'(8) Exam Evaluation'!$W$145</definedName>
    <definedName name="Exm_Q_4_5_7_4">'(8) Exam Evaluation'!$W$146</definedName>
    <definedName name="Exm_Q_4_5_7_5">'(8) Exam Evaluation'!$W$147</definedName>
    <definedName name="Exm_Q_4_5_8">'(8) Exam Evaluation'!$W$148</definedName>
    <definedName name="Exm_Q_4_5_8_1">'(8) Exam Evaluation'!$W$149</definedName>
    <definedName name="Exm_Q_4_5_8_2">'(8) Exam Evaluation'!$W$150</definedName>
    <definedName name="Exm_Q_4_5_8_3">'(8) Exam Evaluation'!$W$151</definedName>
    <definedName name="Exm_Q_4_5_8_4">'(8) Exam Evaluation'!$W$152</definedName>
    <definedName name="Exm_Q_4_5_8_5">'(8) Exam Evaluation'!$W$153</definedName>
    <definedName name="Exm_Q_4_5_9">'(8) Exam Evaluation'!$W$154</definedName>
    <definedName name="Exm_Q_4_5_9_1">'(8) Exam Evaluation'!$W$155</definedName>
    <definedName name="Exm_Q_4_5_9_2">'(8) Exam Evaluation'!$W$156</definedName>
    <definedName name="Exm_Q_4_5_9_3">'(8) Exam Evaluation'!$W$157</definedName>
    <definedName name="Exm_Q_4_5_9_4">'(8) Exam Evaluation'!$W$158</definedName>
    <definedName name="EXP_A">Interfaces!$W$6</definedName>
    <definedName name="EXP_B">Interfaces!$V$6</definedName>
    <definedName name="EXP_C">Interfaces!$U$6</definedName>
    <definedName name="EXT_COMP_NAME" localSheetId="3">'Instructions-Anleitung'!#REF!</definedName>
    <definedName name="EXT_COMP_NAME">REF!#REF!</definedName>
    <definedName name="EXT_GUEST" localSheetId="3">'Instructions-Anleitung'!#REF!</definedName>
    <definedName name="EXT_GUEST">REF!#REF!</definedName>
    <definedName name="F01_APPL_DATE">COV!$E$10</definedName>
    <definedName name="F01_APPL_TYPE">COV!$E$9</definedName>
    <definedName name="F01_DOB">COV!$E$8</definedName>
    <definedName name="F01_FIRSTNAME">COV!$E$7</definedName>
    <definedName name="F01_SURNAME">COV!$E$6</definedName>
    <definedName name="Feedback_CompetenceLevel_String">Dictionary!$B$15</definedName>
    <definedName name="Feedback_Remark_String">Dictionary!$B$16</definedName>
    <definedName name="Feedback_Score_String">Dictionary!$B$17</definedName>
    <definedName name="FILE_DIALOG_TITLE">COV!$C$115</definedName>
    <definedName name="FORM_LANGUAGE">Dictionary!$C$3</definedName>
    <definedName name="GC_Flag">COV!$D$93</definedName>
    <definedName name="GER">COV!$L$65</definedName>
    <definedName name="GOIPJM_Flag">COV!$D$87</definedName>
    <definedName name="HOMOLOG_FLAG">COV!$D$80</definedName>
    <definedName name="IF_CAT_A_NAME">EXP!$C$44</definedName>
    <definedName name="IF_CAT_B_NAME">EXP!$C$45</definedName>
    <definedName name="IF_CAT_C_NAME">EXP!$C$46</definedName>
    <definedName name="IF_CAT_D_NAME">EXP!$C$47</definedName>
    <definedName name="IF_CAT_E_NAME">EXP!$C$48</definedName>
    <definedName name="IFX_PC_P1">EXP!$D$9</definedName>
    <definedName name="IFX_PC_P10">EXP!$D$18</definedName>
    <definedName name="IFX_PC_P11">EXP!$D$19</definedName>
    <definedName name="IFX_PC_P12">EXP!$D$20</definedName>
    <definedName name="IFX_PC_P13">EXP!$D$21</definedName>
    <definedName name="IFX_PC_P14">EXP!$D$22</definedName>
    <definedName name="IFX_PC_P15">EXP!$D$23</definedName>
    <definedName name="IFX_PC_P16">EXP!$D$24</definedName>
    <definedName name="IFX_PC_P17">EXP!$D$25</definedName>
    <definedName name="IFX_PC_P2">EXP!$D$10</definedName>
    <definedName name="IFX_PC_P3">EXP!$D$11</definedName>
    <definedName name="IFX_PC_P4">EXP!$D$12</definedName>
    <definedName name="IFX_PC_P5">EXP!$D$13</definedName>
    <definedName name="IFX_PC_P6">EXP!$D$14</definedName>
    <definedName name="IFX_PC_P7">EXP!$D$15</definedName>
    <definedName name="IFX_PC_P8">EXP!$D$16</definedName>
    <definedName name="IFX_PC_P9">EXP!$D$17</definedName>
    <definedName name="IMPORT_IF_DESIG">Interfaces!$F$13</definedName>
    <definedName name="INCOMPLETE_ENTRY" localSheetId="82">Checks!$R$6</definedName>
    <definedName name="INCOMPLETE_ENTRY" localSheetId="8">Checks!$R$6</definedName>
    <definedName name="INCOMPLETE_ENTRY" localSheetId="66">#REF!</definedName>
    <definedName name="INCOMPLETE_ENTRY" localSheetId="9">Checks!$R$6</definedName>
    <definedName name="INCOMPLETE_ENTRY" localSheetId="67">#REF!</definedName>
    <definedName name="INCOMPLETE_REVIEW" localSheetId="82">Checks!$R$7</definedName>
    <definedName name="INCOMPLETE_REVIEW" localSheetId="8">Checks!$R$7</definedName>
    <definedName name="INCOMPLETE_REVIEW" localSheetId="9">Checks!$R$7</definedName>
    <definedName name="INITIAL_PATH">COV!$C$107</definedName>
    <definedName name="INT_ASS">Interfaces!$BK$6</definedName>
    <definedName name="INT_ATMPT">Interfaces!$BH$6</definedName>
    <definedName name="INT_CE">Interfaces!$BI$6</definedName>
    <definedName name="INT_DATE">Interfaces!$BM$6</definedName>
    <definedName name="INT_RES">Interfaces!$BJ$6</definedName>
    <definedName name="Know_the_principles_of_project_management_and_the_way_they_are_implemented">'(8) Exam Evaluation'!$W$42</definedName>
    <definedName name="LA_MODE">COV!$V$71</definedName>
    <definedName name="LANG_SELECT">COV!$E$5</definedName>
    <definedName name="LD_MODE">COV!$V$74</definedName>
    <definedName name="Lead_Assessor">COV!$V$13</definedName>
    <definedName name="MACRO_STATUS">INTEGR_CHECK!$D$4</definedName>
    <definedName name="MAX_HPY_CONF" localSheetId="82">Checks!$C$9</definedName>
    <definedName name="MAX_HPY_CONF" localSheetId="8">Checks!$C$9</definedName>
    <definedName name="MAX_HPY_CONF" localSheetId="9">Checks!$C$9</definedName>
    <definedName name="MAX_HPY_JRN" localSheetId="82">Checks!$C$110</definedName>
    <definedName name="MAX_HPY_JRN" localSheetId="8">Checks!$C$110</definedName>
    <definedName name="MAX_HPY_JRN" localSheetId="9">Checks!$C$110</definedName>
    <definedName name="MAX_HPY_LIT" localSheetId="82">Checks!$C$100</definedName>
    <definedName name="MAX_HPY_LIT" localSheetId="8">Checks!$C$100</definedName>
    <definedName name="MAX_HPY_LIT" localSheetId="9">Checks!$C$100</definedName>
    <definedName name="MAX_HPY_MENTEE" localSheetId="82">Checks!$C$77</definedName>
    <definedName name="MAX_HPY_MENTEE" localSheetId="8">Checks!$C$77</definedName>
    <definedName name="MAX_HPY_MENTEE" localSheetId="9">Checks!$C$77</definedName>
    <definedName name="MAX_HPY_MENTOR" localSheetId="82">Checks!$C$133</definedName>
    <definedName name="MAX_HPY_MENTOR" localSheetId="8">Checks!$C$133</definedName>
    <definedName name="MAX_HPY_MENTOR" localSheetId="9">Checks!$C$133</definedName>
    <definedName name="MAX_HPY_PRES" localSheetId="82">Checks!$C$145</definedName>
    <definedName name="MAX_HPY_PRES" localSheetId="8">Checks!$C$145</definedName>
    <definedName name="MAX_HPY_PRES" localSheetId="9">Checks!$C$145</definedName>
    <definedName name="MAX_HPY_PUB" localSheetId="82">Checks!$C$158</definedName>
    <definedName name="MAX_HPY_PUB" localSheetId="8">Checks!$C$158</definedName>
    <definedName name="MAX_HPY_PUB" localSheetId="9">Checks!$C$158</definedName>
    <definedName name="MAX_HPY_TRN" localSheetId="82">Checks!$C$121</definedName>
    <definedName name="MAX_HPY_TRN" localSheetId="8">Checks!$C$121</definedName>
    <definedName name="MAX_HPY_TRN" localSheetId="9">Checks!$C$121</definedName>
    <definedName name="MAX_PD_PER_YEAR">'EXP Eval'!$M$3</definedName>
    <definedName name="MIN_REV_WRD_CNT" localSheetId="82">Checks!#REF!</definedName>
    <definedName name="MIN_REV_WRD_CNT" localSheetId="8">Checks!#REF!</definedName>
    <definedName name="MIN_REV_WRD_CNT" localSheetId="9">Checks!#REF!</definedName>
    <definedName name="newtype" localSheetId="78">#REF!</definedName>
    <definedName name="newtype" localSheetId="83">#REF!</definedName>
    <definedName name="newtype" localSheetId="77">#REF!</definedName>
    <definedName name="newtype" localSheetId="76">#REF!</definedName>
    <definedName name="NEXT_RECERT_DATE">COV!$E$13</definedName>
    <definedName name="NEXT_UP">COV!$N$98</definedName>
    <definedName name="NO_CAT_NAME">EXP!$C$58</definedName>
    <definedName name="NOTICE_FILE_SAVED_AS">COV!$C$114</definedName>
    <definedName name="NOTICE_HPY_REACHED" localSheetId="82">Checks!$R$4</definedName>
    <definedName name="NOTICE_HPY_REACHED" localSheetId="8">Checks!$R$4</definedName>
    <definedName name="NOTICE_HPY_REACHED" localSheetId="9">Checks!$R$4</definedName>
    <definedName name="NOTICE_NOUN_RCP">Checks!$S$4</definedName>
    <definedName name="NT_4" localSheetId="78">#REF!</definedName>
    <definedName name="NT_4" localSheetId="83">#REF!</definedName>
    <definedName name="NT_4" localSheetId="77">#REF!</definedName>
    <definedName name="NT_4" localSheetId="76">#REF!</definedName>
    <definedName name="NT_5" localSheetId="78">#REF!</definedName>
    <definedName name="NT_5" localSheetId="83">#REF!</definedName>
    <definedName name="NT_5" localSheetId="77">#REF!</definedName>
    <definedName name="NT_5" localSheetId="76">#REF!</definedName>
    <definedName name="PLreq1">EXP!$K$9</definedName>
    <definedName name="PLreq10">EXP!$K$18</definedName>
    <definedName name="PLreq11">EXP!$K$19</definedName>
    <definedName name="PLreq12">EXP!$K$20</definedName>
    <definedName name="PLreq13">EXP!$K$21</definedName>
    <definedName name="PLreq14">EXP!$K$22</definedName>
    <definedName name="PLreq15">EXP!$K$23</definedName>
    <definedName name="PLreq16">EXP!$K$24</definedName>
    <definedName name="PLreq17">EXP!$K$25</definedName>
    <definedName name="PLreq2">EXP!$K$10</definedName>
    <definedName name="PLreq3">EXP!$K$11</definedName>
    <definedName name="PLreq4">EXP!$K$12</definedName>
    <definedName name="PLreq5">EXP!$K$13</definedName>
    <definedName name="PLreq6">EXP!$K$14</definedName>
    <definedName name="PLreq7">EXP!$K$15</definedName>
    <definedName name="PLreq8">EXP!$K$16</definedName>
    <definedName name="PLreq9">EXP!$K$17</definedName>
    <definedName name="PM_EXP_START_DATE">COV!$E$12</definedName>
    <definedName name="PMO_MODE">COV!$V$88</definedName>
    <definedName name="PMZ_EVAL">COV!$D$67</definedName>
    <definedName name="_xlnm.Print_Area" localSheetId="72">'(7c) Project Schedule'!$A$1:$Q$27</definedName>
    <definedName name="_xlnm.Print_Area" localSheetId="11">'1'!$B$3:$F$66</definedName>
    <definedName name="_xlnm.Print_Area" localSheetId="38">'10'!$B$3:$F$66</definedName>
    <definedName name="_xlnm.Print_Area" localSheetId="41">'11'!$B$3:$F$66</definedName>
    <definedName name="_xlnm.Print_Area" localSheetId="44">'12'!$B$3:$F$66</definedName>
    <definedName name="_xlnm.Print_Area" localSheetId="47">'13'!$B$3:$F$66</definedName>
    <definedName name="_xlnm.Print_Area" localSheetId="50">'14'!$B$3:$F$66</definedName>
    <definedName name="_xlnm.Print_Area" localSheetId="53">'15'!$B$3:$F$66</definedName>
    <definedName name="_xlnm.Print_Area" localSheetId="59">'16'!$B$3:$F$66</definedName>
    <definedName name="_xlnm.Print_Area" localSheetId="62">'17'!$B$3:$F$66</definedName>
    <definedName name="_xlnm.Print_Area" localSheetId="56">'18'!$A$1:$E$42</definedName>
    <definedName name="_xlnm.Print_Area" localSheetId="57">'19'!$A$1:$E$42</definedName>
    <definedName name="_xlnm.Print_Area" localSheetId="14">'2'!$B$3:$F$66</definedName>
    <definedName name="_xlnm.Print_Area" localSheetId="58">'20'!$A$1:$E$42</definedName>
    <definedName name="_xlnm.Print_Area" localSheetId="17">'3'!$B$3:$F$66</definedName>
    <definedName name="_xlnm.Print_Area" localSheetId="20">'4'!$B$3:$F$66</definedName>
    <definedName name="_xlnm.Print_Area" localSheetId="23">'5'!$B$3:$F$66</definedName>
    <definedName name="_xlnm.Print_Area" localSheetId="26">'6'!$B$3:$F$66</definedName>
    <definedName name="_xlnm.Print_Area" localSheetId="29">'7'!$B$3:$F$66</definedName>
    <definedName name="_xlnm.Print_Area" localSheetId="32">'8'!$B$3:$F$66</definedName>
    <definedName name="_xlnm.Print_Area" localSheetId="35">'9'!$B$3:$F$66</definedName>
    <definedName name="_xlnm.Print_Area" localSheetId="97">'Evaluation Sheet Instructions'!$A$1:$E$60</definedName>
    <definedName name="_xlnm.Print_Area" localSheetId="10">EXP!$A:$O</definedName>
    <definedName name="_xlnm.Print_Area" localSheetId="65">'EXP Eval'!$A$2:$AK$30</definedName>
    <definedName name="_xlnm.Print_Area" localSheetId="69">'F04 Eval'!$B$1:$M$48</definedName>
    <definedName name="_xlnm.Print_Area" localSheetId="84">Overview!$A$1:$N$208</definedName>
    <definedName name="_xlnm.Print_Area" localSheetId="68">'P-Dev Eval'!$B$1:$F$25</definedName>
    <definedName name="_xlnm.Print_Area" localSheetId="81">'PFM-Report-Scoring'!$A$3:$M$182</definedName>
    <definedName name="_xlnm.Print_Area" localSheetId="80">'PGM-Report-Scoring'!$A$3:$M$183</definedName>
    <definedName name="_xlnm.Print_Area" localSheetId="79">'PJM-Report-Scoring'!$A$3:$M$184</definedName>
    <definedName name="_xlnm.Print_Area" localSheetId="12">'PL1'!$B$3:$N$41</definedName>
    <definedName name="_xlnm.Print_Area" localSheetId="39">'PL10'!$B$3:$N$41</definedName>
    <definedName name="_xlnm.Print_Area" localSheetId="42">'PL11'!$B$3:$N$41</definedName>
    <definedName name="_xlnm.Print_Area" localSheetId="45">'PL12'!$B$3:$N$41</definedName>
    <definedName name="_xlnm.Print_Area" localSheetId="48">'PL13'!$B$3:$N$41</definedName>
    <definedName name="_xlnm.Print_Area" localSheetId="51">'PL14'!$B$3:$N$41</definedName>
    <definedName name="_xlnm.Print_Area" localSheetId="54">'PL15'!$B$3:$N$41</definedName>
    <definedName name="_xlnm.Print_Area" localSheetId="60">'PL16'!$B$3:$N$41</definedName>
    <definedName name="_xlnm.Print_Area" localSheetId="63">'PL17'!$B$3:$N$41</definedName>
    <definedName name="_xlnm.Print_Area" localSheetId="15">'PL2'!$B$3:$N$41</definedName>
    <definedName name="_xlnm.Print_Area" localSheetId="18">'PL3'!$B$3:$N$41</definedName>
    <definedName name="_xlnm.Print_Area" localSheetId="21">'PL4'!$B$3:$N$41</definedName>
    <definedName name="_xlnm.Print_Area" localSheetId="24">'PL5'!$B$3:$N$41</definedName>
    <definedName name="_xlnm.Print_Area" localSheetId="27">'PL6'!$B$3:$N$41</definedName>
    <definedName name="_xlnm.Print_Area" localSheetId="30">'PL7'!$B$3:$N$41</definedName>
    <definedName name="_xlnm.Print_Area" localSheetId="33">'PL8'!$B$3:$N$41</definedName>
    <definedName name="_xlnm.Print_Area" localSheetId="36">'PL9'!$B$3:$N$41</definedName>
    <definedName name="_xlnm.Print_Area" localSheetId="8">RCL!$A:$M</definedName>
    <definedName name="_xlnm.Print_Area" localSheetId="9">RCT!$A:$M</definedName>
    <definedName name="_xlnm.Print_Area" localSheetId="75">'Rep Feedback'!$A$1:$F$190</definedName>
    <definedName name="ProjectName1">EXP!$C$9</definedName>
    <definedName name="ProjectName10">EXP!$C$18</definedName>
    <definedName name="ProjectName11">EXP!$C$19</definedName>
    <definedName name="ProjectName12">EXP!$C$20</definedName>
    <definedName name="ProjectName13">EXP!$C$21</definedName>
    <definedName name="ProjectName14">EXP!$C$22</definedName>
    <definedName name="ProjectName15">EXP!$C$23</definedName>
    <definedName name="ProjectName16">EXP!$C$24</definedName>
    <definedName name="ProjectName17">EXP!$C$25</definedName>
    <definedName name="ProjectName2">EXP!$C$10</definedName>
    <definedName name="ProjectName3">EXP!$C$11</definedName>
    <definedName name="ProjectName4">EXP!$C$12</definedName>
    <definedName name="ProjectName5">EXP!$C$13</definedName>
    <definedName name="ProjectName6">EXP!$C$14</definedName>
    <definedName name="ProjectName7">EXP!$C$15</definedName>
    <definedName name="ProjectName8">EXP!$C$16</definedName>
    <definedName name="ProjectName9">EXP!$C$17</definedName>
    <definedName name="RC_YEAR_1_END">Checks!$F$179</definedName>
    <definedName name="RC_YEAR_1_START">Checks!$E$179</definedName>
    <definedName name="RC_YEAR_2_END">Checks!$F$180</definedName>
    <definedName name="RC_YEAR_2_START">Checks!$E$180</definedName>
    <definedName name="RC_YEAR_3_END">Checks!$F$181</definedName>
    <definedName name="RC_YEAR_3_START">Checks!$E$181</definedName>
    <definedName name="RC_YEAR_4_END">Checks!$F$182</definedName>
    <definedName name="RC_YEAR_4_START">Checks!$E$182</definedName>
    <definedName name="RC_YEAR_5_END">Checks!$F$183</definedName>
    <definedName name="RC_YEAR_5_START">Checks!$E$183</definedName>
    <definedName name="RE_CERT">COV!$D$68</definedName>
    <definedName name="RE_CERT_GRACE_ACTIVE">COV!#REF!</definedName>
    <definedName name="RE_CERT_GRACE_ACTIVE_MARKER">COV!$D$69</definedName>
    <definedName name="REP_ASS">Interfaces!$AH$6</definedName>
    <definedName name="REP_ATMPT">Interfaces!$AE$6</definedName>
    <definedName name="REP_CE">Interfaces!$AF$6</definedName>
    <definedName name="REP_D_CE">Interfaces!$AF$8</definedName>
    <definedName name="REP_DATE">Interfaces!$AJ$6</definedName>
    <definedName name="REP_RES">Interfaces!$AG$6</definedName>
    <definedName name="REPC_ASS">Interfaces!$AO$6</definedName>
    <definedName name="REPC_ATMPT">Interfaces!$AL$6</definedName>
    <definedName name="REPC_CE">Interfaces!$AM$6</definedName>
    <definedName name="REPC_DATE">Interfaces!$AQ$6</definedName>
    <definedName name="REPC_RES">Interfaces!$AN$6</definedName>
    <definedName name="Report_Feedback_Title_1_String">Dictionary!$B$12</definedName>
    <definedName name="Report_Feedback_Title_2_String">Dictionary!$B$13</definedName>
    <definedName name="SAVE_AS_DIALOG_NAME">COV!$C$110</definedName>
    <definedName name="SAVE_AS_DIALOG_PROMPT">COV!$C$111</definedName>
    <definedName name="Scoring_Cand_Name">Scoring!$C$3</definedName>
    <definedName name="SE_CAT_A_NAME">EXP!$C$51</definedName>
    <definedName name="SE_CAT_B_NAME">EXP!$C$52</definedName>
    <definedName name="SE_CAT_C_NAME">EXP!$C$53</definedName>
    <definedName name="SE_CAT_SMALL_NAME">EXP!$C$54</definedName>
    <definedName name="SEGPMC_Flag">COV!$D$88</definedName>
    <definedName name="SHEET_ERROR_STATE">COV!$D$81</definedName>
    <definedName name="SUGGESTED_CBA_PATH">COV!$I$72</definedName>
    <definedName name="TB_3_5" localSheetId="78">#REF!</definedName>
    <definedName name="TB_3_5" localSheetId="83">#REF!</definedName>
    <definedName name="TB_3_5" localSheetId="77">#REF!</definedName>
    <definedName name="TB_3_5" localSheetId="76">#REF!</definedName>
    <definedName name="TB_4" localSheetId="78">#REF!</definedName>
    <definedName name="TB_4" localSheetId="83">#REF!</definedName>
    <definedName name="TB_4" localSheetId="77">#REF!</definedName>
    <definedName name="TB_4" localSheetId="76">#REF!</definedName>
    <definedName name="TB_5" localSheetId="78">#REF!</definedName>
    <definedName name="TB_5" localSheetId="83">#REF!</definedName>
    <definedName name="TB_5" localSheetId="77">#REF!</definedName>
    <definedName name="TB_5" localSheetId="76">#REF!</definedName>
    <definedName name="Tickbox" localSheetId="72">#REF!</definedName>
    <definedName name="Tickbox" localSheetId="56">#REF!</definedName>
    <definedName name="Tickbox" localSheetId="57">#REF!</definedName>
    <definedName name="Tickbox" localSheetId="58">#REF!</definedName>
    <definedName name="Tickbox" localSheetId="78">#REF!</definedName>
    <definedName name="Tickbox" localSheetId="83">#REF!</definedName>
    <definedName name="Tickbox" localSheetId="98">#REF!</definedName>
    <definedName name="Tickbox" localSheetId="77">#REF!</definedName>
    <definedName name="Tickbox" localSheetId="76">#REF!</definedName>
    <definedName name="Tickbox_3" localSheetId="78">#REF!</definedName>
    <definedName name="Tickbox_3" localSheetId="83">#REF!</definedName>
    <definedName name="Tickbox_3" localSheetId="77">#REF!</definedName>
    <definedName name="Tickbox_3" localSheetId="76">#REF!</definedName>
    <definedName name="UPGRADE_FLAG">COV!$D$74</definedName>
    <definedName name="VALID_FILENAME">COV!$C$105</definedName>
    <definedName name="VERSION_STRING">COV!$N$37</definedName>
    <definedName name="WTP_ASS">Interfaces!$AV$6</definedName>
    <definedName name="WTP_ATMPT">Interfaces!$AS$6</definedName>
    <definedName name="WTP_CE">Interfaces!$AT$6</definedName>
    <definedName name="WTP_D1_CE">Interfaces!$AT$7</definedName>
    <definedName name="WTP_D2_ASS">Interfaces!$AV$8</definedName>
    <definedName name="WTP_D2_ATMPT">Interfaces!$AS$8</definedName>
    <definedName name="WTP_D2_CE">Interfaces!$AT$8</definedName>
    <definedName name="WTP_D2_DATE">Interfaces!$AX$8</definedName>
    <definedName name="WTP_D2_RES">Interfaces!$AU$8</definedName>
    <definedName name="WTP_DATE">Interfaces!$AX$6</definedName>
    <definedName name="WTP_RES">Interfaces!$AU$6</definedName>
    <definedName name="Z_74474053_FBE8_4F4E_A6EC_408ADA4ED7D4_.wvu.PrintArea" localSheetId="97" hidden="1">'Evaluation Sheet Instructions'!$A$1:$E$60</definedName>
    <definedName name="Z_74474053_FBE8_4F4E_A6EC_408ADA4ED7D4_.wvu.PrintArea" localSheetId="68" hidden="1">'P-Dev Eval'!$B$1:$F$25</definedName>
    <definedName name="Z_AE9732BE_63B5_4219_AD86_77AB82FD8067_.wvu.PrintArea" localSheetId="97" hidden="1">'Evaluation Sheet Instructions'!$A$1:$B$4</definedName>
    <definedName name="Z_EEB58116_21FB_4C78_AF4C_64B7EA3FB939_.wvu.PrintArea" localSheetId="97" hidden="1">'Evaluation Sheet Instructions'!$A$1:$B$4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 i="6" l="1"/>
  <c r="B3" i="6"/>
  <c r="A3" i="6"/>
  <c r="D4" i="635" a="1"/>
  <c r="D4" i="635"/>
  <c r="G42" i="634"/>
  <c r="F42" i="634"/>
  <c r="E42" i="634"/>
  <c r="D42" i="634"/>
  <c r="C42" i="634"/>
  <c r="B42" i="634"/>
  <c r="H37" i="634"/>
  <c r="G37" i="634"/>
  <c r="F37" i="634"/>
  <c r="E37" i="634"/>
  <c r="D37" i="634"/>
  <c r="C37" i="634"/>
  <c r="H36" i="634"/>
  <c r="G36" i="634"/>
  <c r="F36" i="634"/>
  <c r="E36" i="634"/>
  <c r="D36" i="634"/>
  <c r="C36" i="634"/>
  <c r="H35" i="634"/>
  <c r="G35" i="634"/>
  <c r="F35" i="634"/>
  <c r="E35" i="634"/>
  <c r="D35" i="634"/>
  <c r="C35" i="634"/>
  <c r="H34" i="634"/>
  <c r="G34" i="634"/>
  <c r="F34" i="634"/>
  <c r="E34" i="634"/>
  <c r="D34" i="634"/>
  <c r="C34" i="634"/>
  <c r="H33" i="634"/>
  <c r="G33" i="634"/>
  <c r="F33" i="634"/>
  <c r="E33" i="634"/>
  <c r="D33" i="634"/>
  <c r="C33" i="634"/>
  <c r="H32" i="634"/>
  <c r="G32" i="634"/>
  <c r="F32" i="634"/>
  <c r="E32" i="634"/>
  <c r="D32" i="634"/>
  <c r="C32" i="634"/>
  <c r="H31" i="634"/>
  <c r="G31" i="634"/>
  <c r="F31" i="634"/>
  <c r="E31" i="634"/>
  <c r="D31" i="634"/>
  <c r="C31" i="634"/>
  <c r="H30" i="634"/>
  <c r="G30" i="634"/>
  <c r="F30" i="634"/>
  <c r="E30" i="634"/>
  <c r="D30" i="634"/>
  <c r="C30" i="634"/>
  <c r="H29" i="634"/>
  <c r="G29" i="634"/>
  <c r="F29" i="634"/>
  <c r="E29" i="634"/>
  <c r="D29" i="634"/>
  <c r="C29" i="634"/>
  <c r="H28" i="634"/>
  <c r="G28" i="634"/>
  <c r="F28" i="634"/>
  <c r="E28" i="634"/>
  <c r="D28" i="634"/>
  <c r="C28" i="634"/>
  <c r="H27" i="634"/>
  <c r="G27" i="634"/>
  <c r="F27" i="634"/>
  <c r="E27" i="634"/>
  <c r="D27" i="634"/>
  <c r="C27" i="634"/>
  <c r="H26" i="634"/>
  <c r="G26" i="634"/>
  <c r="F26" i="634"/>
  <c r="E26" i="634"/>
  <c r="D26" i="634"/>
  <c r="C26" i="634"/>
  <c r="H25" i="634"/>
  <c r="G25" i="634"/>
  <c r="F25" i="634"/>
  <c r="E25" i="634"/>
  <c r="D25" i="634"/>
  <c r="C25" i="634"/>
  <c r="H24" i="634"/>
  <c r="G24" i="634"/>
  <c r="F24" i="634"/>
  <c r="E24" i="634"/>
  <c r="D24" i="634"/>
  <c r="C24" i="634"/>
  <c r="H23" i="634"/>
  <c r="G23" i="634"/>
  <c r="F23" i="634"/>
  <c r="E23" i="634"/>
  <c r="D23" i="634"/>
  <c r="C23" i="634"/>
  <c r="H22" i="634"/>
  <c r="G22" i="634"/>
  <c r="F22" i="634"/>
  <c r="E22" i="634"/>
  <c r="D22" i="634"/>
  <c r="C22" i="634"/>
  <c r="H21" i="634"/>
  <c r="G21" i="634"/>
  <c r="F21" i="634"/>
  <c r="E21" i="634"/>
  <c r="D21" i="634"/>
  <c r="C21" i="634"/>
  <c r="C17" i="634"/>
  <c r="C16" i="634"/>
  <c r="C15" i="634"/>
  <c r="C12" i="634"/>
  <c r="C11" i="634"/>
  <c r="C10" i="634"/>
  <c r="BM9" i="634" a="1"/>
  <c r="BM9" i="634"/>
  <c r="BK9" i="634" a="1"/>
  <c r="BK9" i="634"/>
  <c r="BJ9" i="634" a="1"/>
  <c r="BJ9" i="634"/>
  <c r="BH9" i="634" a="1"/>
  <c r="BH9" i="634"/>
  <c r="AX9" i="634" a="1"/>
  <c r="AX9" i="634"/>
  <c r="AV9" i="634" a="1"/>
  <c r="AV9" i="634"/>
  <c r="AU9" i="634" a="1"/>
  <c r="AU9" i="634"/>
  <c r="AT9" i="634"/>
  <c r="AS9" i="634" a="1"/>
  <c r="AS9" i="634"/>
  <c r="C9" i="634"/>
  <c r="AX8" i="634" a="1"/>
  <c r="AX8" i="634"/>
  <c r="AV8" i="634" a="1"/>
  <c r="AV8" i="634"/>
  <c r="AU8" i="634" a="1"/>
  <c r="AU8" i="634"/>
  <c r="AT8" i="634"/>
  <c r="AS8" i="634" a="1"/>
  <c r="AS8" i="634"/>
  <c r="AF8" i="634"/>
  <c r="C8" i="634"/>
  <c r="AT7" i="634"/>
  <c r="C7" i="634"/>
  <c r="BM6" i="634" a="1"/>
  <c r="BM6" i="634"/>
  <c r="BK6" i="634" a="1"/>
  <c r="BK6" i="634"/>
  <c r="BJ6" i="634" a="1"/>
  <c r="BJ6" i="634"/>
  <c r="BI6" i="634"/>
  <c r="BH6" i="634" a="1"/>
  <c r="BH6" i="634"/>
  <c r="BF6" i="634" a="1"/>
  <c r="BF6" i="634"/>
  <c r="BD6" i="634" a="1"/>
  <c r="BD6" i="634"/>
  <c r="BC6" i="634" a="1"/>
  <c r="BC6" i="634"/>
  <c r="BB6" i="634" a="1"/>
  <c r="BB6" i="634"/>
  <c r="BA6" i="634"/>
  <c r="AZ6" i="634" a="1"/>
  <c r="AZ6" i="634"/>
  <c r="AX6" i="634" a="1"/>
  <c r="AX6" i="634"/>
  <c r="AV6" i="634" a="1"/>
  <c r="AV6" i="634"/>
  <c r="AU6" i="634" a="1"/>
  <c r="AU6" i="634"/>
  <c r="AT6" i="634"/>
  <c r="AS6" i="634" a="1"/>
  <c r="AS6" i="634"/>
  <c r="AQ6" i="634" a="1"/>
  <c r="AQ6" i="634"/>
  <c r="AO6" i="634" a="1"/>
  <c r="AO6" i="634"/>
  <c r="AN6" i="634" a="1"/>
  <c r="AN6" i="634"/>
  <c r="AM6" i="634"/>
  <c r="AL6" i="634" a="1"/>
  <c r="AL6" i="634"/>
  <c r="AJ6" i="634" a="1"/>
  <c r="AJ6" i="634"/>
  <c r="AH6" i="634" a="1"/>
  <c r="AH6" i="634"/>
  <c r="AG6" i="634" a="1"/>
  <c r="AG6" i="634"/>
  <c r="AF6" i="634"/>
  <c r="AE6" i="634" a="1"/>
  <c r="AE6" i="634"/>
  <c r="AC6" i="634" a="1"/>
  <c r="AC6" i="634"/>
  <c r="AA6" i="634" a="1"/>
  <c r="AA6" i="634"/>
  <c r="Z6" i="634" a="1"/>
  <c r="Z6" i="634"/>
  <c r="Y6" i="634" a="1"/>
  <c r="Y6" i="634"/>
  <c r="W6" i="634"/>
  <c r="V6" i="634"/>
  <c r="U6" i="634"/>
  <c r="T6" i="634"/>
  <c r="R6" i="634"/>
  <c r="Q6" i="634"/>
  <c r="O6" i="634"/>
  <c r="N6" i="634"/>
  <c r="M6" i="634"/>
  <c r="L6" i="634"/>
  <c r="K6" i="634"/>
  <c r="C6" i="634"/>
  <c r="C5" i="634"/>
  <c r="C4" i="634"/>
  <c r="J34" i="473"/>
  <c r="I34" i="473"/>
  <c r="J33" i="473"/>
  <c r="I33" i="473"/>
  <c r="H33" i="473"/>
  <c r="J32" i="473"/>
  <c r="I32" i="473"/>
  <c r="H32" i="473"/>
  <c r="J31" i="473"/>
  <c r="I31" i="473"/>
  <c r="J27" i="473"/>
  <c r="I27" i="473"/>
  <c r="B26" i="473"/>
  <c r="B25" i="473"/>
  <c r="B24" i="473"/>
  <c r="J21" i="473"/>
  <c r="I21" i="473"/>
  <c r="B20" i="473"/>
  <c r="B19" i="473"/>
  <c r="B18" i="473"/>
  <c r="J15" i="473"/>
  <c r="I15" i="473"/>
  <c r="B14" i="473"/>
  <c r="B13" i="473"/>
  <c r="B12" i="473"/>
  <c r="B11" i="473"/>
  <c r="I3" i="473"/>
  <c r="J34" i="472"/>
  <c r="I34" i="472"/>
  <c r="J33" i="472"/>
  <c r="I33" i="472"/>
  <c r="H33" i="472"/>
  <c r="J32" i="472"/>
  <c r="I32" i="472"/>
  <c r="H32" i="472"/>
  <c r="J31" i="472"/>
  <c r="I31" i="472"/>
  <c r="J27" i="472"/>
  <c r="I27" i="472"/>
  <c r="B26" i="472"/>
  <c r="B25" i="472"/>
  <c r="B24" i="472"/>
  <c r="J21" i="472"/>
  <c r="I21" i="472"/>
  <c r="B20" i="472"/>
  <c r="B19" i="472"/>
  <c r="B18" i="472"/>
  <c r="J15" i="472"/>
  <c r="I15" i="472"/>
  <c r="B14" i="472"/>
  <c r="B13" i="472"/>
  <c r="B12" i="472"/>
  <c r="B11" i="472"/>
  <c r="I3" i="472"/>
  <c r="J34" i="471"/>
  <c r="I34" i="471"/>
  <c r="J33" i="471"/>
  <c r="I33" i="471"/>
  <c r="H33" i="471"/>
  <c r="J32" i="471"/>
  <c r="I32" i="471"/>
  <c r="H32" i="471"/>
  <c r="J31" i="471"/>
  <c r="I31" i="471"/>
  <c r="J27" i="471"/>
  <c r="I27" i="471"/>
  <c r="B26" i="471"/>
  <c r="B25" i="471"/>
  <c r="B24" i="471"/>
  <c r="J21" i="471"/>
  <c r="I21" i="471"/>
  <c r="B20" i="471"/>
  <c r="B19" i="471"/>
  <c r="B18" i="471"/>
  <c r="J15" i="471"/>
  <c r="I15" i="471"/>
  <c r="B14" i="471"/>
  <c r="B13" i="471"/>
  <c r="B12" i="471"/>
  <c r="B11" i="471"/>
  <c r="I3" i="471"/>
  <c r="J34" i="470"/>
  <c r="I34" i="470"/>
  <c r="J33" i="470"/>
  <c r="I33" i="470"/>
  <c r="H33" i="470"/>
  <c r="J32" i="470"/>
  <c r="I32" i="470"/>
  <c r="H32" i="470"/>
  <c r="J31" i="470"/>
  <c r="I31" i="470"/>
  <c r="J27" i="470"/>
  <c r="I27" i="470"/>
  <c r="B26" i="470"/>
  <c r="B25" i="470"/>
  <c r="B24" i="470"/>
  <c r="J21" i="470"/>
  <c r="I21" i="470"/>
  <c r="B20" i="470"/>
  <c r="B19" i="470"/>
  <c r="B18" i="470"/>
  <c r="J15" i="470"/>
  <c r="I15" i="470"/>
  <c r="B14" i="470"/>
  <c r="B13" i="470"/>
  <c r="B12" i="470"/>
  <c r="B11" i="470"/>
  <c r="I3" i="470"/>
  <c r="J34" i="469"/>
  <c r="I34" i="469"/>
  <c r="J33" i="469"/>
  <c r="I33" i="469"/>
  <c r="H33" i="469"/>
  <c r="J32" i="469"/>
  <c r="I32" i="469"/>
  <c r="H32" i="469"/>
  <c r="J31" i="469"/>
  <c r="I31" i="469"/>
  <c r="J27" i="469"/>
  <c r="I27" i="469"/>
  <c r="B26" i="469"/>
  <c r="B25" i="469"/>
  <c r="B24" i="469"/>
  <c r="J21" i="469"/>
  <c r="I21" i="469"/>
  <c r="B20" i="469"/>
  <c r="B19" i="469"/>
  <c r="B18" i="469"/>
  <c r="J15" i="469"/>
  <c r="I15" i="469"/>
  <c r="B14" i="469"/>
  <c r="B13" i="469"/>
  <c r="B12" i="469"/>
  <c r="B11" i="469"/>
  <c r="I3" i="469"/>
  <c r="J34" i="754"/>
  <c r="I34" i="754"/>
  <c r="J33" i="754"/>
  <c r="I33" i="754"/>
  <c r="H33" i="754"/>
  <c r="J32" i="754"/>
  <c r="I32" i="754"/>
  <c r="H32" i="754"/>
  <c r="J31" i="754"/>
  <c r="I31" i="754"/>
  <c r="J27" i="754"/>
  <c r="I27" i="754"/>
  <c r="B26" i="754"/>
  <c r="B25" i="754"/>
  <c r="B24" i="754"/>
  <c r="J21" i="754"/>
  <c r="I21" i="754"/>
  <c r="B20" i="754"/>
  <c r="B19" i="754"/>
  <c r="B18" i="754"/>
  <c r="J15" i="754"/>
  <c r="I15" i="754"/>
  <c r="B14" i="754"/>
  <c r="B13" i="754"/>
  <c r="B12" i="754"/>
  <c r="B11" i="754"/>
  <c r="I3" i="754"/>
  <c r="J34" i="753"/>
  <c r="I34" i="753"/>
  <c r="J33" i="753"/>
  <c r="I33" i="753"/>
  <c r="H33" i="753"/>
  <c r="J32" i="753"/>
  <c r="I32" i="753"/>
  <c r="H32" i="753"/>
  <c r="J31" i="753"/>
  <c r="I31" i="753"/>
  <c r="J27" i="753"/>
  <c r="I27" i="753"/>
  <c r="B26" i="753"/>
  <c r="B25" i="753"/>
  <c r="B24" i="753"/>
  <c r="J21" i="753"/>
  <c r="I21" i="753"/>
  <c r="B20" i="753"/>
  <c r="B19" i="753"/>
  <c r="B18" i="753"/>
  <c r="J15" i="753"/>
  <c r="I15" i="753"/>
  <c r="B14" i="753"/>
  <c r="B13" i="753"/>
  <c r="B12" i="753"/>
  <c r="B11" i="753"/>
  <c r="I3" i="753"/>
  <c r="J34" i="752"/>
  <c r="I34" i="752"/>
  <c r="J33" i="752"/>
  <c r="I33" i="752"/>
  <c r="H33" i="752"/>
  <c r="J32" i="752"/>
  <c r="I32" i="752"/>
  <c r="H32" i="752"/>
  <c r="J31" i="752"/>
  <c r="I31" i="752"/>
  <c r="J27" i="752"/>
  <c r="I27" i="752"/>
  <c r="B26" i="752"/>
  <c r="B25" i="752"/>
  <c r="B24" i="752"/>
  <c r="J21" i="752"/>
  <c r="I21" i="752"/>
  <c r="B20" i="752"/>
  <c r="B19" i="752"/>
  <c r="B18" i="752"/>
  <c r="J15" i="752"/>
  <c r="I15" i="752"/>
  <c r="B14" i="752"/>
  <c r="B13" i="752"/>
  <c r="B12" i="752"/>
  <c r="B11" i="752"/>
  <c r="I3" i="752"/>
  <c r="J34" i="751"/>
  <c r="I34" i="751"/>
  <c r="J33" i="751"/>
  <c r="I33" i="751"/>
  <c r="H33" i="751"/>
  <c r="J32" i="751"/>
  <c r="I32" i="751"/>
  <c r="H32" i="751"/>
  <c r="J31" i="751"/>
  <c r="I31" i="751"/>
  <c r="J27" i="751"/>
  <c r="I27" i="751"/>
  <c r="B26" i="751"/>
  <c r="B25" i="751"/>
  <c r="B24" i="751"/>
  <c r="J21" i="751"/>
  <c r="I21" i="751"/>
  <c r="B20" i="751"/>
  <c r="B19" i="751"/>
  <c r="B18" i="751"/>
  <c r="J15" i="751"/>
  <c r="I15" i="751"/>
  <c r="B14" i="751"/>
  <c r="B13" i="751"/>
  <c r="B12" i="751"/>
  <c r="B11" i="751"/>
  <c r="I3" i="751"/>
  <c r="J34" i="750"/>
  <c r="I34" i="750"/>
  <c r="J33" i="750"/>
  <c r="I33" i="750"/>
  <c r="H33" i="750"/>
  <c r="J32" i="750"/>
  <c r="I32" i="750"/>
  <c r="H32" i="750"/>
  <c r="J31" i="750"/>
  <c r="I31" i="750"/>
  <c r="J27" i="750"/>
  <c r="I27" i="750"/>
  <c r="B26" i="750"/>
  <c r="B25" i="750"/>
  <c r="B24" i="750"/>
  <c r="J21" i="750"/>
  <c r="I21" i="750"/>
  <c r="B20" i="750"/>
  <c r="B19" i="750"/>
  <c r="B18" i="750"/>
  <c r="J15" i="750"/>
  <c r="I15" i="750"/>
  <c r="B14" i="750"/>
  <c r="B13" i="750"/>
  <c r="B12" i="750"/>
  <c r="B11" i="750"/>
  <c r="I3" i="750"/>
  <c r="E206" i="340"/>
  <c r="C206" i="340"/>
  <c r="E204" i="340"/>
  <c r="C204" i="340"/>
  <c r="E203" i="340"/>
  <c r="C203" i="340"/>
  <c r="E202" i="340"/>
  <c r="C202" i="340"/>
  <c r="E201" i="340"/>
  <c r="C201" i="340"/>
  <c r="S199" i="340"/>
  <c r="R199" i="340"/>
  <c r="C199" i="340"/>
  <c r="S197" i="340"/>
  <c r="R197" i="340"/>
  <c r="G197" i="340"/>
  <c r="E197" i="340"/>
  <c r="C197" i="340"/>
  <c r="B197" i="340"/>
  <c r="S196" i="340"/>
  <c r="G196" i="340"/>
  <c r="D196" i="340"/>
  <c r="B196" i="340"/>
  <c r="S195" i="340"/>
  <c r="G195" i="340"/>
  <c r="D195" i="340"/>
  <c r="B195" i="340"/>
  <c r="S194" i="340"/>
  <c r="G194" i="340"/>
  <c r="D194" i="340"/>
  <c r="B194" i="340"/>
  <c r="S193" i="340"/>
  <c r="G193" i="340"/>
  <c r="D193" i="340"/>
  <c r="B193" i="340"/>
  <c r="S192" i="340"/>
  <c r="R192" i="340"/>
  <c r="G192" i="340"/>
  <c r="E192" i="340"/>
  <c r="C192" i="340"/>
  <c r="G191" i="340"/>
  <c r="D191" i="340"/>
  <c r="B191" i="340"/>
  <c r="G190" i="340"/>
  <c r="D190" i="340"/>
  <c r="B190" i="340"/>
  <c r="G189" i="340"/>
  <c r="D189" i="340"/>
  <c r="B189" i="340"/>
  <c r="G188" i="340"/>
  <c r="D188" i="340"/>
  <c r="B188" i="340"/>
  <c r="G187" i="340"/>
  <c r="D187" i="340"/>
  <c r="B187" i="340"/>
  <c r="S186" i="340"/>
  <c r="R186" i="340"/>
  <c r="G186" i="340"/>
  <c r="E186" i="340"/>
  <c r="C186" i="340"/>
  <c r="G185" i="340"/>
  <c r="D185" i="340"/>
  <c r="B185" i="340"/>
  <c r="G184" i="340"/>
  <c r="D184" i="340"/>
  <c r="B184" i="340"/>
  <c r="G183" i="340"/>
  <c r="D183" i="340"/>
  <c r="B183" i="340"/>
  <c r="G182" i="340"/>
  <c r="D182" i="340"/>
  <c r="B182" i="340"/>
  <c r="G181" i="340"/>
  <c r="D181" i="340"/>
  <c r="B181" i="340"/>
  <c r="S180" i="340"/>
  <c r="R180" i="340"/>
  <c r="G180" i="340"/>
  <c r="E180" i="340"/>
  <c r="C180" i="340"/>
  <c r="G179" i="340"/>
  <c r="D179" i="340"/>
  <c r="B179" i="340"/>
  <c r="G178" i="340"/>
  <c r="D178" i="340"/>
  <c r="B178" i="340"/>
  <c r="G177" i="340"/>
  <c r="D177" i="340"/>
  <c r="B177" i="340"/>
  <c r="G176" i="340"/>
  <c r="D176" i="340"/>
  <c r="B176" i="340"/>
  <c r="G175" i="340"/>
  <c r="D175" i="340"/>
  <c r="B175" i="340"/>
  <c r="G174" i="340"/>
  <c r="D174" i="340"/>
  <c r="B174" i="340"/>
  <c r="S173" i="340"/>
  <c r="R173" i="340"/>
  <c r="G173" i="340"/>
  <c r="E173" i="340"/>
  <c r="C173" i="340"/>
  <c r="G172" i="340"/>
  <c r="D172" i="340"/>
  <c r="B172" i="340"/>
  <c r="G171" i="340"/>
  <c r="D171" i="340"/>
  <c r="B171" i="340"/>
  <c r="G170" i="340"/>
  <c r="D170" i="340"/>
  <c r="B170" i="340"/>
  <c r="G169" i="340"/>
  <c r="D169" i="340"/>
  <c r="B169" i="340"/>
  <c r="S168" i="340"/>
  <c r="R168" i="340"/>
  <c r="G168" i="340"/>
  <c r="E168" i="340"/>
  <c r="C168" i="340"/>
  <c r="G167" i="340"/>
  <c r="D167" i="340"/>
  <c r="B167" i="340"/>
  <c r="G166" i="340"/>
  <c r="D166" i="340"/>
  <c r="B166" i="340"/>
  <c r="G165" i="340"/>
  <c r="D165" i="340"/>
  <c r="B165" i="340"/>
  <c r="G164" i="340"/>
  <c r="D164" i="340"/>
  <c r="B164" i="340"/>
  <c r="G163" i="340"/>
  <c r="D163" i="340"/>
  <c r="B163" i="340"/>
  <c r="S162" i="340"/>
  <c r="R162" i="340"/>
  <c r="G162" i="340"/>
  <c r="E162" i="340"/>
  <c r="C162" i="340"/>
  <c r="G161" i="340"/>
  <c r="D161" i="340"/>
  <c r="B161" i="340"/>
  <c r="G160" i="340"/>
  <c r="D160" i="340"/>
  <c r="B160" i="340"/>
  <c r="G159" i="340"/>
  <c r="D159" i="340"/>
  <c r="B159" i="340"/>
  <c r="G158" i="340"/>
  <c r="D158" i="340"/>
  <c r="B158" i="340"/>
  <c r="G157" i="340"/>
  <c r="D157" i="340"/>
  <c r="B157" i="340"/>
  <c r="S156" i="340"/>
  <c r="R156" i="340"/>
  <c r="G156" i="340"/>
  <c r="E156" i="340"/>
  <c r="C156" i="340"/>
  <c r="G155" i="340"/>
  <c r="D155" i="340"/>
  <c r="B155" i="340"/>
  <c r="G154" i="340"/>
  <c r="D154" i="340"/>
  <c r="B154" i="340"/>
  <c r="G153" i="340"/>
  <c r="D153" i="340"/>
  <c r="B153" i="340"/>
  <c r="G152" i="340"/>
  <c r="D152" i="340"/>
  <c r="B152" i="340"/>
  <c r="G151" i="340"/>
  <c r="D151" i="340"/>
  <c r="B151" i="340"/>
  <c r="S150" i="340"/>
  <c r="R150" i="340"/>
  <c r="G150" i="340"/>
  <c r="E150" i="340"/>
  <c r="C150" i="340"/>
  <c r="G149" i="340"/>
  <c r="D149" i="340"/>
  <c r="B149" i="340"/>
  <c r="G148" i="340"/>
  <c r="D148" i="340"/>
  <c r="B148" i="340"/>
  <c r="G147" i="340"/>
  <c r="D147" i="340"/>
  <c r="B147" i="340"/>
  <c r="G146" i="340"/>
  <c r="D146" i="340"/>
  <c r="B146" i="340"/>
  <c r="S145" i="340"/>
  <c r="R145" i="340"/>
  <c r="G145" i="340"/>
  <c r="E145" i="340"/>
  <c r="C145" i="340"/>
  <c r="G144" i="340"/>
  <c r="D144" i="340"/>
  <c r="B144" i="340"/>
  <c r="G143" i="340"/>
  <c r="D143" i="340"/>
  <c r="B143" i="340"/>
  <c r="G142" i="340"/>
  <c r="D142" i="340"/>
  <c r="B142" i="340"/>
  <c r="G141" i="340"/>
  <c r="D141" i="340"/>
  <c r="B141" i="340"/>
  <c r="G140" i="340"/>
  <c r="D140" i="340"/>
  <c r="B140" i="340"/>
  <c r="S139" i="340"/>
  <c r="R139" i="340"/>
  <c r="G139" i="340"/>
  <c r="E139" i="340"/>
  <c r="C139" i="340"/>
  <c r="G138" i="340"/>
  <c r="D138" i="340"/>
  <c r="B138" i="340"/>
  <c r="G137" i="340"/>
  <c r="D137" i="340"/>
  <c r="B137" i="340"/>
  <c r="G136" i="340"/>
  <c r="D136" i="340"/>
  <c r="B136" i="340"/>
  <c r="G135" i="340"/>
  <c r="D135" i="340"/>
  <c r="B135" i="340"/>
  <c r="S134" i="340"/>
  <c r="R134" i="340"/>
  <c r="G134" i="340"/>
  <c r="E134" i="340"/>
  <c r="C134" i="340"/>
  <c r="G133" i="340"/>
  <c r="D133" i="340"/>
  <c r="B133" i="340"/>
  <c r="G132" i="340"/>
  <c r="D132" i="340"/>
  <c r="B132" i="340"/>
  <c r="G131" i="340"/>
  <c r="D131" i="340"/>
  <c r="B131" i="340"/>
  <c r="S130" i="340"/>
  <c r="R130" i="340"/>
  <c r="G130" i="340"/>
  <c r="E130" i="340"/>
  <c r="C130" i="340"/>
  <c r="G129" i="340"/>
  <c r="D129" i="340"/>
  <c r="B129" i="340"/>
  <c r="G128" i="340"/>
  <c r="D128" i="340"/>
  <c r="B128" i="340"/>
  <c r="G127" i="340"/>
  <c r="D127" i="340"/>
  <c r="B127" i="340"/>
  <c r="G126" i="340"/>
  <c r="D126" i="340"/>
  <c r="B126" i="340"/>
  <c r="G125" i="340"/>
  <c r="D125" i="340"/>
  <c r="B125" i="340"/>
  <c r="S124" i="340"/>
  <c r="R124" i="340"/>
  <c r="G124" i="340"/>
  <c r="E124" i="340"/>
  <c r="C124" i="340"/>
  <c r="C123" i="340"/>
  <c r="G121" i="340"/>
  <c r="D121" i="340"/>
  <c r="B121" i="340"/>
  <c r="G120" i="340"/>
  <c r="D120" i="340"/>
  <c r="B120" i="340"/>
  <c r="G119" i="340"/>
  <c r="D119" i="340"/>
  <c r="B119" i="340"/>
  <c r="G118" i="340"/>
  <c r="D118" i="340"/>
  <c r="B118" i="340"/>
  <c r="G117" i="340"/>
  <c r="D117" i="340"/>
  <c r="B117" i="340"/>
  <c r="S116" i="340"/>
  <c r="R116" i="340"/>
  <c r="G116" i="340"/>
  <c r="E116" i="340"/>
  <c r="C116" i="340"/>
  <c r="G115" i="340"/>
  <c r="D115" i="340"/>
  <c r="B115" i="340"/>
  <c r="G114" i="340"/>
  <c r="D114" i="340"/>
  <c r="B114" i="340"/>
  <c r="G113" i="340"/>
  <c r="D113" i="340"/>
  <c r="B113" i="340"/>
  <c r="G112" i="340"/>
  <c r="D112" i="340"/>
  <c r="B112" i="340"/>
  <c r="G111" i="340"/>
  <c r="D111" i="340"/>
  <c r="B111" i="340"/>
  <c r="S110" i="340"/>
  <c r="R110" i="340"/>
  <c r="G110" i="340"/>
  <c r="E110" i="340"/>
  <c r="C110" i="340"/>
  <c r="G109" i="340"/>
  <c r="D109" i="340"/>
  <c r="B109" i="340"/>
  <c r="G108" i="340"/>
  <c r="D108" i="340"/>
  <c r="B108" i="340"/>
  <c r="G107" i="340"/>
  <c r="D107" i="340"/>
  <c r="B107" i="340"/>
  <c r="G106" i="340"/>
  <c r="D106" i="340"/>
  <c r="B106" i="340"/>
  <c r="G105" i="340"/>
  <c r="D105" i="340"/>
  <c r="B105" i="340"/>
  <c r="S104" i="340"/>
  <c r="R104" i="340"/>
  <c r="G104" i="340"/>
  <c r="E104" i="340"/>
  <c r="C104" i="340"/>
  <c r="G103" i="340"/>
  <c r="D103" i="340"/>
  <c r="B103" i="340"/>
  <c r="G102" i="340"/>
  <c r="D102" i="340"/>
  <c r="B102" i="340"/>
  <c r="G101" i="340"/>
  <c r="D101" i="340"/>
  <c r="B101" i="340"/>
  <c r="G100" i="340"/>
  <c r="D100" i="340"/>
  <c r="B100" i="340"/>
  <c r="S99" i="340"/>
  <c r="R99" i="340"/>
  <c r="G99" i="340"/>
  <c r="E99" i="340"/>
  <c r="C99" i="340"/>
  <c r="G98" i="340"/>
  <c r="D98" i="340"/>
  <c r="B98" i="340"/>
  <c r="G97" i="340"/>
  <c r="D97" i="340"/>
  <c r="B97" i="340"/>
  <c r="G96" i="340"/>
  <c r="D96" i="340"/>
  <c r="B96" i="340"/>
  <c r="G95" i="340"/>
  <c r="D95" i="340"/>
  <c r="B95" i="340"/>
  <c r="G94" i="340"/>
  <c r="D94" i="340"/>
  <c r="B94" i="340"/>
  <c r="S93" i="340"/>
  <c r="R93" i="340"/>
  <c r="G93" i="340"/>
  <c r="E93" i="340"/>
  <c r="C93" i="340"/>
  <c r="G92" i="340"/>
  <c r="D92" i="340"/>
  <c r="B92" i="340"/>
  <c r="G91" i="340"/>
  <c r="D91" i="340"/>
  <c r="B91" i="340"/>
  <c r="G90" i="340"/>
  <c r="D90" i="340"/>
  <c r="B90" i="340"/>
  <c r="G89" i="340"/>
  <c r="D89" i="340"/>
  <c r="B89" i="340"/>
  <c r="G88" i="340"/>
  <c r="D88" i="340"/>
  <c r="B88" i="340"/>
  <c r="S87" i="340"/>
  <c r="R87" i="340"/>
  <c r="G87" i="340"/>
  <c r="E87" i="340"/>
  <c r="C87" i="340"/>
  <c r="G86" i="340"/>
  <c r="D86" i="340"/>
  <c r="B86" i="340"/>
  <c r="G85" i="340"/>
  <c r="D85" i="340"/>
  <c r="B85" i="340"/>
  <c r="G84" i="340"/>
  <c r="D84" i="340"/>
  <c r="B84" i="340"/>
  <c r="G83" i="340"/>
  <c r="D83" i="340"/>
  <c r="B83" i="340"/>
  <c r="G82" i="340"/>
  <c r="D82" i="340"/>
  <c r="B82" i="340"/>
  <c r="S81" i="340"/>
  <c r="R81" i="340"/>
  <c r="G81" i="340"/>
  <c r="E81" i="340"/>
  <c r="C81" i="340"/>
  <c r="G80" i="340"/>
  <c r="D80" i="340"/>
  <c r="B80" i="340"/>
  <c r="G79" i="340"/>
  <c r="D79" i="340"/>
  <c r="B79" i="340"/>
  <c r="G78" i="340"/>
  <c r="D78" i="340"/>
  <c r="B78" i="340"/>
  <c r="G77" i="340"/>
  <c r="D77" i="340"/>
  <c r="B77" i="340"/>
  <c r="G76" i="340"/>
  <c r="D76" i="340"/>
  <c r="B76" i="340"/>
  <c r="S75" i="340"/>
  <c r="R75" i="340"/>
  <c r="G75" i="340"/>
  <c r="E75" i="340"/>
  <c r="C75" i="340"/>
  <c r="G74" i="340"/>
  <c r="D74" i="340"/>
  <c r="B74" i="340"/>
  <c r="G73" i="340"/>
  <c r="D73" i="340"/>
  <c r="B73" i="340"/>
  <c r="G72" i="340"/>
  <c r="D72" i="340"/>
  <c r="B72" i="340"/>
  <c r="G71" i="340"/>
  <c r="D71" i="340"/>
  <c r="B71" i="340"/>
  <c r="G70" i="340"/>
  <c r="D70" i="340"/>
  <c r="B70" i="340"/>
  <c r="S69" i="340"/>
  <c r="R69" i="340"/>
  <c r="G69" i="340"/>
  <c r="E69" i="340"/>
  <c r="C69" i="340"/>
  <c r="G68" i="340"/>
  <c r="D68" i="340"/>
  <c r="B68" i="340"/>
  <c r="G67" i="340"/>
  <c r="D67" i="340"/>
  <c r="B67" i="340"/>
  <c r="G66" i="340"/>
  <c r="D66" i="340"/>
  <c r="B66" i="340"/>
  <c r="G65" i="340"/>
  <c r="D65" i="340"/>
  <c r="B65" i="340"/>
  <c r="G64" i="340"/>
  <c r="D64" i="340"/>
  <c r="B64" i="340"/>
  <c r="S63" i="340"/>
  <c r="R63" i="340"/>
  <c r="G63" i="340"/>
  <c r="E63" i="340"/>
  <c r="C63" i="340"/>
  <c r="C62" i="340"/>
  <c r="G60" i="340"/>
  <c r="D60" i="340"/>
  <c r="B60" i="340"/>
  <c r="G59" i="340"/>
  <c r="D59" i="340"/>
  <c r="B59" i="340"/>
  <c r="G58" i="340"/>
  <c r="D58" i="340"/>
  <c r="B58" i="340"/>
  <c r="S57" i="340"/>
  <c r="R57" i="340"/>
  <c r="G57" i="340"/>
  <c r="E57" i="340"/>
  <c r="C57" i="340"/>
  <c r="G56" i="340"/>
  <c r="D56" i="340"/>
  <c r="B56" i="340"/>
  <c r="G55" i="340"/>
  <c r="D55" i="340"/>
  <c r="B55" i="340"/>
  <c r="G54" i="340"/>
  <c r="D54" i="340"/>
  <c r="B54" i="340"/>
  <c r="S53" i="340"/>
  <c r="R53" i="340"/>
  <c r="G53" i="340"/>
  <c r="E53" i="340"/>
  <c r="C53" i="340"/>
  <c r="G52" i="340"/>
  <c r="D52" i="340"/>
  <c r="B52" i="340"/>
  <c r="G51" i="340"/>
  <c r="D51" i="340"/>
  <c r="B51" i="340"/>
  <c r="G50" i="340"/>
  <c r="D50" i="340"/>
  <c r="B50" i="340"/>
  <c r="G49" i="340"/>
  <c r="D49" i="340"/>
  <c r="B49" i="340"/>
  <c r="G48" i="340"/>
  <c r="D48" i="340"/>
  <c r="B48" i="340"/>
  <c r="G47" i="340"/>
  <c r="D47" i="340"/>
  <c r="B47" i="340"/>
  <c r="S46" i="340"/>
  <c r="R46" i="340"/>
  <c r="G46" i="340"/>
  <c r="E46" i="340"/>
  <c r="C46" i="340"/>
  <c r="G45" i="340"/>
  <c r="D45" i="340"/>
  <c r="G44" i="340"/>
  <c r="D44" i="340"/>
  <c r="G43" i="340"/>
  <c r="D43" i="340"/>
  <c r="G42" i="340"/>
  <c r="D42" i="340"/>
  <c r="G41" i="340"/>
  <c r="D41" i="340"/>
  <c r="G40" i="340"/>
  <c r="D40" i="340"/>
  <c r="G39" i="340"/>
  <c r="D39" i="340"/>
  <c r="S38" i="340"/>
  <c r="R38" i="340"/>
  <c r="G38" i="340"/>
  <c r="E38" i="340"/>
  <c r="C38" i="340"/>
  <c r="G37" i="340"/>
  <c r="D37" i="340"/>
  <c r="B37" i="340"/>
  <c r="G36" i="340"/>
  <c r="D36" i="340"/>
  <c r="B36" i="340"/>
  <c r="G35" i="340"/>
  <c r="D35" i="340"/>
  <c r="B35" i="340"/>
  <c r="G34" i="340"/>
  <c r="D34" i="340"/>
  <c r="B34" i="340"/>
  <c r="G33" i="340"/>
  <c r="D33" i="340"/>
  <c r="B33" i="340"/>
  <c r="S32" i="340"/>
  <c r="R32" i="340"/>
  <c r="G32" i="340"/>
  <c r="E32" i="340"/>
  <c r="C32" i="340"/>
  <c r="C31" i="340"/>
  <c r="I30" i="340"/>
  <c r="E30" i="340"/>
  <c r="G27" i="340"/>
  <c r="E27" i="340"/>
  <c r="C27" i="340"/>
  <c r="B27" i="340"/>
  <c r="G26" i="340"/>
  <c r="E26" i="340"/>
  <c r="C26" i="340"/>
  <c r="B26" i="340"/>
  <c r="G25" i="340"/>
  <c r="E25" i="340"/>
  <c r="C25" i="340"/>
  <c r="B25" i="340"/>
  <c r="G24" i="340"/>
  <c r="E24" i="340"/>
  <c r="C24" i="340"/>
  <c r="B24" i="340"/>
  <c r="G23" i="340"/>
  <c r="E23" i="340"/>
  <c r="C23" i="340"/>
  <c r="B23" i="340"/>
  <c r="G22" i="340"/>
  <c r="E22" i="340"/>
  <c r="C22" i="340"/>
  <c r="B22" i="340"/>
  <c r="G21" i="340"/>
  <c r="E21" i="340"/>
  <c r="C21" i="340"/>
  <c r="B21" i="340"/>
  <c r="G20" i="340"/>
  <c r="E20" i="340"/>
  <c r="C20" i="340"/>
  <c r="B20" i="340"/>
  <c r="G19" i="340"/>
  <c r="E19" i="340"/>
  <c r="C19" i="340"/>
  <c r="B19" i="340"/>
  <c r="G18" i="340"/>
  <c r="E18" i="340"/>
  <c r="C18" i="340"/>
  <c r="B18" i="340"/>
  <c r="G17" i="340"/>
  <c r="E17" i="340"/>
  <c r="C17" i="340"/>
  <c r="B17" i="340"/>
  <c r="G16" i="340"/>
  <c r="E16" i="340"/>
  <c r="C16" i="340"/>
  <c r="B16" i="340"/>
  <c r="G15" i="340"/>
  <c r="E15" i="340"/>
  <c r="C15" i="340"/>
  <c r="B15" i="340"/>
  <c r="G14" i="340"/>
  <c r="E14" i="340"/>
  <c r="C14" i="340"/>
  <c r="B14" i="340"/>
  <c r="G13" i="340"/>
  <c r="E13" i="340"/>
  <c r="C13" i="340"/>
  <c r="B13" i="340"/>
  <c r="G12" i="340"/>
  <c r="E12" i="340"/>
  <c r="C12" i="340"/>
  <c r="B12" i="340"/>
  <c r="I11" i="340"/>
  <c r="G11" i="340"/>
  <c r="E11" i="340"/>
  <c r="C11" i="340"/>
  <c r="C8" i="340"/>
  <c r="B8" i="340"/>
  <c r="L7" i="340"/>
  <c r="I7" i="340"/>
  <c r="C7" i="340"/>
  <c r="B7" i="340"/>
  <c r="L6" i="340"/>
  <c r="I6" i="340"/>
  <c r="C6" i="340"/>
  <c r="B6" i="340"/>
  <c r="C5" i="340"/>
  <c r="B5" i="340"/>
  <c r="M3" i="340"/>
  <c r="L3" i="340"/>
  <c r="J3" i="340"/>
  <c r="I3" i="340"/>
  <c r="C3" i="340"/>
  <c r="M2" i="340"/>
  <c r="L2" i="340"/>
  <c r="C2" i="340"/>
  <c r="M1" i="340"/>
  <c r="E185" i="749" a="1"/>
  <c r="E185" i="749"/>
  <c r="R184" i="749"/>
  <c r="C184" i="749"/>
  <c r="R182" i="749"/>
  <c r="E182" i="749"/>
  <c r="C182" i="749"/>
  <c r="R181" i="749"/>
  <c r="G181" i="749" a="1"/>
  <c r="G181" i="749" s="1"/>
  <c r="E181" i="749"/>
  <c r="C181" i="749"/>
  <c r="R180" i="749"/>
  <c r="G180" i="749" a="1"/>
  <c r="G180" i="749" s="1"/>
  <c r="E180" i="749"/>
  <c r="C180" i="749"/>
  <c r="R179" i="749"/>
  <c r="G179" i="749" a="1"/>
  <c r="G179" i="749"/>
  <c r="E179" i="749"/>
  <c r="C179" i="749"/>
  <c r="AF177" i="749"/>
  <c r="AE177" i="749"/>
  <c r="R177" i="749"/>
  <c r="C177" i="749"/>
  <c r="T175" i="749"/>
  <c r="Q175" i="749"/>
  <c r="M175" i="749"/>
  <c r="E175" i="749"/>
  <c r="B175" i="749"/>
  <c r="T174" i="749"/>
  <c r="Q174" i="749"/>
  <c r="M174" i="749"/>
  <c r="E174" i="749"/>
  <c r="B174" i="749"/>
  <c r="T173" i="749"/>
  <c r="Q173" i="749"/>
  <c r="M173" i="749"/>
  <c r="E173" i="749"/>
  <c r="B173" i="749"/>
  <c r="T172" i="749"/>
  <c r="Q172" i="749"/>
  <c r="M172" i="749"/>
  <c r="E172" i="749"/>
  <c r="B172" i="749"/>
  <c r="AF171" i="749"/>
  <c r="T171" i="749"/>
  <c r="R171" i="749"/>
  <c r="G171" i="749"/>
  <c r="C171" i="749"/>
  <c r="T170" i="749"/>
  <c r="R170" i="749"/>
  <c r="Q170" i="749"/>
  <c r="M170" i="749"/>
  <c r="G170" i="749"/>
  <c r="B170" i="749"/>
  <c r="T169" i="749"/>
  <c r="R169" i="749"/>
  <c r="Q169" i="749"/>
  <c r="M169" i="749"/>
  <c r="G169" i="749"/>
  <c r="B169" i="749"/>
  <c r="T168" i="749"/>
  <c r="R168" i="749"/>
  <c r="Q168" i="749"/>
  <c r="M168" i="749"/>
  <c r="G168" i="749"/>
  <c r="B168" i="749"/>
  <c r="T167" i="749"/>
  <c r="R167" i="749"/>
  <c r="Q167" i="749"/>
  <c r="M167" i="749"/>
  <c r="G167" i="749"/>
  <c r="B167" i="749"/>
  <c r="T166" i="749"/>
  <c r="R166" i="749"/>
  <c r="Q166" i="749"/>
  <c r="M166" i="749"/>
  <c r="G166" i="749"/>
  <c r="B166" i="749"/>
  <c r="AF165" i="749"/>
  <c r="T165" i="749"/>
  <c r="R165" i="749"/>
  <c r="G165" i="749"/>
  <c r="C165" i="749"/>
  <c r="T164" i="749"/>
  <c r="R164" i="749"/>
  <c r="Q164" i="749"/>
  <c r="M164" i="749"/>
  <c r="G164" i="749"/>
  <c r="B164" i="749"/>
  <c r="T163" i="749"/>
  <c r="R163" i="749"/>
  <c r="Q163" i="749"/>
  <c r="M163" i="749"/>
  <c r="G163" i="749"/>
  <c r="B163" i="749"/>
  <c r="T162" i="749"/>
  <c r="R162" i="749"/>
  <c r="Q162" i="749"/>
  <c r="M162" i="749"/>
  <c r="G162" i="749"/>
  <c r="B162" i="749"/>
  <c r="T161" i="749"/>
  <c r="R161" i="749"/>
  <c r="Q161" i="749"/>
  <c r="M161" i="749"/>
  <c r="G161" i="749"/>
  <c r="B161" i="749"/>
  <c r="T160" i="749"/>
  <c r="R160" i="749"/>
  <c r="Q160" i="749"/>
  <c r="M160" i="749"/>
  <c r="G160" i="749"/>
  <c r="B160" i="749"/>
  <c r="AF159" i="749"/>
  <c r="T159" i="749"/>
  <c r="R159" i="749"/>
  <c r="G159" i="749"/>
  <c r="C159" i="749"/>
  <c r="T158" i="749"/>
  <c r="R158" i="749"/>
  <c r="Q158" i="749"/>
  <c r="M158" i="749"/>
  <c r="G158" i="749"/>
  <c r="B158" i="749"/>
  <c r="T157" i="749"/>
  <c r="R157" i="749"/>
  <c r="Q157" i="749"/>
  <c r="M157" i="749"/>
  <c r="G157" i="749"/>
  <c r="B157" i="749"/>
  <c r="T156" i="749"/>
  <c r="R156" i="749"/>
  <c r="Q156" i="749"/>
  <c r="M156" i="749"/>
  <c r="G156" i="749"/>
  <c r="B156" i="749"/>
  <c r="T155" i="749"/>
  <c r="R155" i="749"/>
  <c r="Q155" i="749"/>
  <c r="M155" i="749"/>
  <c r="G155" i="749"/>
  <c r="B155" i="749"/>
  <c r="T154" i="749"/>
  <c r="R154" i="749"/>
  <c r="Q154" i="749"/>
  <c r="M154" i="749"/>
  <c r="G154" i="749"/>
  <c r="B154" i="749"/>
  <c r="T153" i="749"/>
  <c r="R153" i="749"/>
  <c r="Q153" i="749"/>
  <c r="M153" i="749"/>
  <c r="G153" i="749"/>
  <c r="B153" i="749"/>
  <c r="AF152" i="749"/>
  <c r="T152" i="749"/>
  <c r="R152" i="749"/>
  <c r="G152" i="749"/>
  <c r="C152" i="749"/>
  <c r="T151" i="749"/>
  <c r="R151" i="749"/>
  <c r="Q151" i="749"/>
  <c r="M151" i="749"/>
  <c r="G151" i="749"/>
  <c r="B151" i="749"/>
  <c r="T150" i="749"/>
  <c r="R150" i="749"/>
  <c r="Q150" i="749"/>
  <c r="M150" i="749"/>
  <c r="G150" i="749"/>
  <c r="B150" i="749"/>
  <c r="T149" i="749"/>
  <c r="R149" i="749"/>
  <c r="Q149" i="749"/>
  <c r="M149" i="749"/>
  <c r="G149" i="749"/>
  <c r="B149" i="749"/>
  <c r="T148" i="749"/>
  <c r="R148" i="749"/>
  <c r="Q148" i="749"/>
  <c r="M148" i="749"/>
  <c r="G148" i="749"/>
  <c r="B148" i="749"/>
  <c r="AF147" i="749"/>
  <c r="T147" i="749"/>
  <c r="R147" i="749"/>
  <c r="G147" i="749"/>
  <c r="C147" i="749"/>
  <c r="T146" i="749"/>
  <c r="R146" i="749"/>
  <c r="Q146" i="749"/>
  <c r="M146" i="749"/>
  <c r="G146" i="749"/>
  <c r="B146" i="749"/>
  <c r="T145" i="749"/>
  <c r="R145" i="749"/>
  <c r="Q145" i="749"/>
  <c r="M145" i="749"/>
  <c r="G145" i="749"/>
  <c r="B145" i="749"/>
  <c r="T144" i="749"/>
  <c r="R144" i="749"/>
  <c r="Q144" i="749"/>
  <c r="M144" i="749"/>
  <c r="G144" i="749"/>
  <c r="B144" i="749"/>
  <c r="T143" i="749"/>
  <c r="R143" i="749"/>
  <c r="Q143" i="749"/>
  <c r="M143" i="749"/>
  <c r="G143" i="749"/>
  <c r="B143" i="749"/>
  <c r="T142" i="749"/>
  <c r="R142" i="749"/>
  <c r="Q142" i="749"/>
  <c r="M142" i="749"/>
  <c r="G142" i="749"/>
  <c r="B142" i="749"/>
  <c r="AF141" i="749"/>
  <c r="T141" i="749"/>
  <c r="R141" i="749"/>
  <c r="G141" i="749"/>
  <c r="C141" i="749"/>
  <c r="T140" i="749"/>
  <c r="R140" i="749"/>
  <c r="Q140" i="749"/>
  <c r="M140" i="749"/>
  <c r="G140" i="749"/>
  <c r="B140" i="749"/>
  <c r="T139" i="749"/>
  <c r="R139" i="749"/>
  <c r="Q139" i="749"/>
  <c r="M139" i="749"/>
  <c r="G139" i="749"/>
  <c r="B139" i="749"/>
  <c r="T138" i="749"/>
  <c r="R138" i="749"/>
  <c r="Q138" i="749"/>
  <c r="M138" i="749"/>
  <c r="G138" i="749"/>
  <c r="B138" i="749"/>
  <c r="T137" i="749"/>
  <c r="R137" i="749"/>
  <c r="Q137" i="749"/>
  <c r="M137" i="749"/>
  <c r="G137" i="749"/>
  <c r="B137" i="749"/>
  <c r="T136" i="749"/>
  <c r="R136" i="749"/>
  <c r="Q136" i="749"/>
  <c r="M136" i="749"/>
  <c r="G136" i="749"/>
  <c r="B136" i="749"/>
  <c r="AF135" i="749"/>
  <c r="T135" i="749"/>
  <c r="R135" i="749"/>
  <c r="G135" i="749"/>
  <c r="C135" i="749"/>
  <c r="T134" i="749"/>
  <c r="R134" i="749"/>
  <c r="Q134" i="749"/>
  <c r="M134" i="749"/>
  <c r="G134" i="749"/>
  <c r="B134" i="749"/>
  <c r="T133" i="749"/>
  <c r="R133" i="749"/>
  <c r="Q133" i="749"/>
  <c r="M133" i="749"/>
  <c r="G133" i="749"/>
  <c r="B133" i="749"/>
  <c r="T132" i="749"/>
  <c r="R132" i="749"/>
  <c r="Q132" i="749"/>
  <c r="M132" i="749"/>
  <c r="G132" i="749"/>
  <c r="B132" i="749"/>
  <c r="T131" i="749"/>
  <c r="R131" i="749"/>
  <c r="Q131" i="749"/>
  <c r="M131" i="749"/>
  <c r="G131" i="749"/>
  <c r="B131" i="749"/>
  <c r="T130" i="749"/>
  <c r="R130" i="749"/>
  <c r="Q130" i="749"/>
  <c r="M130" i="749"/>
  <c r="G130" i="749"/>
  <c r="B130" i="749"/>
  <c r="AF129" i="749"/>
  <c r="T129" i="749"/>
  <c r="R129" i="749"/>
  <c r="G129" i="749"/>
  <c r="C129" i="749"/>
  <c r="T128" i="749"/>
  <c r="R128" i="749"/>
  <c r="Q128" i="749"/>
  <c r="M128" i="749"/>
  <c r="G128" i="749"/>
  <c r="B128" i="749"/>
  <c r="T127" i="749"/>
  <c r="R127" i="749"/>
  <c r="Q127" i="749"/>
  <c r="M127" i="749"/>
  <c r="G127" i="749"/>
  <c r="B127" i="749"/>
  <c r="T126" i="749"/>
  <c r="R126" i="749"/>
  <c r="Q126" i="749"/>
  <c r="M126" i="749"/>
  <c r="G126" i="749"/>
  <c r="B126" i="749"/>
  <c r="T125" i="749"/>
  <c r="R125" i="749"/>
  <c r="Q125" i="749"/>
  <c r="M125" i="749"/>
  <c r="G125" i="749"/>
  <c r="B125" i="749"/>
  <c r="AF124" i="749"/>
  <c r="T124" i="749"/>
  <c r="R124" i="749"/>
  <c r="G124" i="749"/>
  <c r="C124" i="749"/>
  <c r="T123" i="749"/>
  <c r="R123" i="749"/>
  <c r="Q123" i="749"/>
  <c r="M123" i="749"/>
  <c r="G123" i="749"/>
  <c r="B123" i="749"/>
  <c r="T122" i="749"/>
  <c r="R122" i="749"/>
  <c r="Q122" i="749"/>
  <c r="M122" i="749"/>
  <c r="G122" i="749"/>
  <c r="B122" i="749"/>
  <c r="T121" i="749"/>
  <c r="R121" i="749"/>
  <c r="Q121" i="749"/>
  <c r="M121" i="749"/>
  <c r="G121" i="749"/>
  <c r="B121" i="749"/>
  <c r="T120" i="749"/>
  <c r="R120" i="749"/>
  <c r="Q120" i="749"/>
  <c r="M120" i="749"/>
  <c r="G120" i="749"/>
  <c r="B120" i="749"/>
  <c r="T119" i="749"/>
  <c r="R119" i="749"/>
  <c r="Q119" i="749"/>
  <c r="M119" i="749"/>
  <c r="G119" i="749"/>
  <c r="B119" i="749"/>
  <c r="AF118" i="749"/>
  <c r="T118" i="749"/>
  <c r="R118" i="749"/>
  <c r="M118" i="749"/>
  <c r="G118" i="749"/>
  <c r="C118" i="749"/>
  <c r="T117" i="749"/>
  <c r="R117" i="749"/>
  <c r="Q117" i="749"/>
  <c r="M117" i="749"/>
  <c r="G117" i="749"/>
  <c r="B117" i="749"/>
  <c r="T116" i="749"/>
  <c r="R116" i="749"/>
  <c r="Q116" i="749"/>
  <c r="M116" i="749"/>
  <c r="G116" i="749"/>
  <c r="B116" i="749"/>
  <c r="T115" i="749"/>
  <c r="R115" i="749"/>
  <c r="Q115" i="749"/>
  <c r="M115" i="749"/>
  <c r="G115" i="749"/>
  <c r="B115" i="749"/>
  <c r="T114" i="749"/>
  <c r="R114" i="749"/>
  <c r="Q114" i="749"/>
  <c r="M114" i="749"/>
  <c r="G114" i="749"/>
  <c r="B114" i="749"/>
  <c r="AF113" i="749"/>
  <c r="T113" i="749"/>
  <c r="R113" i="749"/>
  <c r="G113" i="749"/>
  <c r="C113" i="749"/>
  <c r="T112" i="749"/>
  <c r="R112" i="749"/>
  <c r="Q112" i="749"/>
  <c r="M112" i="749"/>
  <c r="G112" i="749"/>
  <c r="B112" i="749"/>
  <c r="T111" i="749"/>
  <c r="R111" i="749"/>
  <c r="Q111" i="749"/>
  <c r="M111" i="749"/>
  <c r="G111" i="749"/>
  <c r="B111" i="749"/>
  <c r="T110" i="749"/>
  <c r="R110" i="749"/>
  <c r="Q110" i="749"/>
  <c r="M110" i="749"/>
  <c r="G110" i="749"/>
  <c r="B110" i="749"/>
  <c r="AF109" i="749"/>
  <c r="T109" i="749"/>
  <c r="R109" i="749"/>
  <c r="G109" i="749"/>
  <c r="C109" i="749"/>
  <c r="T108" i="749"/>
  <c r="R108" i="749"/>
  <c r="Q108" i="749"/>
  <c r="M108" i="749"/>
  <c r="G108" i="749"/>
  <c r="B108" i="749"/>
  <c r="T107" i="749"/>
  <c r="R107" i="749"/>
  <c r="Q107" i="749"/>
  <c r="M107" i="749"/>
  <c r="G107" i="749"/>
  <c r="B107" i="749"/>
  <c r="T106" i="749"/>
  <c r="R106" i="749"/>
  <c r="Q106" i="749"/>
  <c r="M106" i="749"/>
  <c r="G106" i="749"/>
  <c r="B106" i="749"/>
  <c r="T105" i="749"/>
  <c r="R105" i="749"/>
  <c r="Q105" i="749"/>
  <c r="M105" i="749"/>
  <c r="G105" i="749"/>
  <c r="B105" i="749"/>
  <c r="T104" i="749"/>
  <c r="R104" i="749"/>
  <c r="Q104" i="749"/>
  <c r="M104" i="749"/>
  <c r="G104" i="749"/>
  <c r="B104" i="749"/>
  <c r="AF103" i="749"/>
  <c r="T103" i="749"/>
  <c r="R103" i="749"/>
  <c r="G103" i="749"/>
  <c r="C103" i="749"/>
  <c r="C102" i="749"/>
  <c r="T100" i="749"/>
  <c r="Q100" i="749"/>
  <c r="M100" i="749"/>
  <c r="B100" i="749"/>
  <c r="T99" i="749"/>
  <c r="Q99" i="749"/>
  <c r="M99" i="749"/>
  <c r="B99" i="749"/>
  <c r="T98" i="749"/>
  <c r="Q98" i="749"/>
  <c r="M98" i="749"/>
  <c r="B98" i="749"/>
  <c r="T97" i="749"/>
  <c r="Q97" i="749"/>
  <c r="M97" i="749"/>
  <c r="B97" i="749"/>
  <c r="T96" i="749"/>
  <c r="Q96" i="749"/>
  <c r="M96" i="749"/>
  <c r="B96" i="749"/>
  <c r="AF95" i="749"/>
  <c r="T95" i="749"/>
  <c r="R95" i="749"/>
  <c r="G95" i="749"/>
  <c r="C95" i="749"/>
  <c r="T94" i="749"/>
  <c r="R94" i="749"/>
  <c r="Q94" i="749"/>
  <c r="M94" i="749"/>
  <c r="G94" i="749"/>
  <c r="B94" i="749"/>
  <c r="T93" i="749"/>
  <c r="R93" i="749"/>
  <c r="Q93" i="749"/>
  <c r="M93" i="749"/>
  <c r="G93" i="749"/>
  <c r="B93" i="749"/>
  <c r="T92" i="749"/>
  <c r="R92" i="749"/>
  <c r="Q92" i="749"/>
  <c r="M92" i="749"/>
  <c r="G92" i="749"/>
  <c r="B92" i="749"/>
  <c r="T91" i="749"/>
  <c r="R91" i="749"/>
  <c r="Q91" i="749"/>
  <c r="M91" i="749"/>
  <c r="G91" i="749"/>
  <c r="B91" i="749"/>
  <c r="T90" i="749"/>
  <c r="R90" i="749"/>
  <c r="Q90" i="749"/>
  <c r="M90" i="749"/>
  <c r="G90" i="749"/>
  <c r="B90" i="749"/>
  <c r="AF89" i="749"/>
  <c r="T89" i="749"/>
  <c r="R89" i="749"/>
  <c r="G89" i="749"/>
  <c r="C89" i="749"/>
  <c r="T88" i="749"/>
  <c r="R88" i="749"/>
  <c r="Q88" i="749"/>
  <c r="M88" i="749"/>
  <c r="G88" i="749"/>
  <c r="B88" i="749"/>
  <c r="T87" i="749"/>
  <c r="R87" i="749"/>
  <c r="Q87" i="749"/>
  <c r="M87" i="749"/>
  <c r="G87" i="749"/>
  <c r="B87" i="749"/>
  <c r="T86" i="749"/>
  <c r="R86" i="749"/>
  <c r="Q86" i="749"/>
  <c r="M86" i="749"/>
  <c r="G86" i="749"/>
  <c r="B86" i="749"/>
  <c r="T85" i="749"/>
  <c r="R85" i="749"/>
  <c r="Q85" i="749"/>
  <c r="M85" i="749"/>
  <c r="G85" i="749"/>
  <c r="B85" i="749"/>
  <c r="T84" i="749"/>
  <c r="R84" i="749"/>
  <c r="Q84" i="749"/>
  <c r="M84" i="749"/>
  <c r="G84" i="749"/>
  <c r="B84" i="749"/>
  <c r="AF83" i="749"/>
  <c r="T83" i="749"/>
  <c r="R83" i="749"/>
  <c r="G83" i="749"/>
  <c r="C83" i="749"/>
  <c r="T82" i="749"/>
  <c r="R82" i="749"/>
  <c r="Q82" i="749"/>
  <c r="M82" i="749"/>
  <c r="G82" i="749"/>
  <c r="B82" i="749"/>
  <c r="T81" i="749"/>
  <c r="R81" i="749"/>
  <c r="Q81" i="749"/>
  <c r="M81" i="749"/>
  <c r="G81" i="749"/>
  <c r="B81" i="749"/>
  <c r="T80" i="749"/>
  <c r="R80" i="749"/>
  <c r="Q80" i="749"/>
  <c r="M80" i="749"/>
  <c r="G80" i="749"/>
  <c r="B80" i="749"/>
  <c r="T79" i="749"/>
  <c r="R79" i="749"/>
  <c r="Q79" i="749"/>
  <c r="M79" i="749"/>
  <c r="G79" i="749"/>
  <c r="B79" i="749"/>
  <c r="AF78" i="749"/>
  <c r="T78" i="749"/>
  <c r="R78" i="749"/>
  <c r="G78" i="749"/>
  <c r="C78" i="749"/>
  <c r="T77" i="749"/>
  <c r="R77" i="749"/>
  <c r="Q77" i="749"/>
  <c r="M77" i="749"/>
  <c r="G77" i="749"/>
  <c r="B77" i="749"/>
  <c r="T76" i="749"/>
  <c r="R76" i="749"/>
  <c r="Q76" i="749"/>
  <c r="M76" i="749"/>
  <c r="G76" i="749"/>
  <c r="B76" i="749"/>
  <c r="T75" i="749"/>
  <c r="R75" i="749"/>
  <c r="Q75" i="749"/>
  <c r="M75" i="749"/>
  <c r="G75" i="749"/>
  <c r="B75" i="749"/>
  <c r="T74" i="749"/>
  <c r="R74" i="749"/>
  <c r="Q74" i="749"/>
  <c r="M74" i="749"/>
  <c r="G74" i="749"/>
  <c r="B74" i="749"/>
  <c r="T73" i="749"/>
  <c r="R73" i="749"/>
  <c r="Q73" i="749"/>
  <c r="M73" i="749"/>
  <c r="G73" i="749"/>
  <c r="B73" i="749"/>
  <c r="AF72" i="749"/>
  <c r="T72" i="749"/>
  <c r="R72" i="749"/>
  <c r="G72" i="749"/>
  <c r="C72" i="749"/>
  <c r="T71" i="749"/>
  <c r="R71" i="749"/>
  <c r="Q71" i="749"/>
  <c r="M71" i="749"/>
  <c r="G71" i="749"/>
  <c r="B71" i="749"/>
  <c r="T70" i="749"/>
  <c r="R70" i="749"/>
  <c r="Q70" i="749"/>
  <c r="M70" i="749"/>
  <c r="G70" i="749"/>
  <c r="B70" i="749"/>
  <c r="T69" i="749"/>
  <c r="R69" i="749"/>
  <c r="Q69" i="749"/>
  <c r="M69" i="749"/>
  <c r="G69" i="749"/>
  <c r="B69" i="749"/>
  <c r="T68" i="749"/>
  <c r="R68" i="749"/>
  <c r="Q68" i="749"/>
  <c r="M68" i="749"/>
  <c r="G68" i="749"/>
  <c r="B68" i="749"/>
  <c r="T67" i="749"/>
  <c r="R67" i="749"/>
  <c r="Q67" i="749"/>
  <c r="M67" i="749"/>
  <c r="G67" i="749"/>
  <c r="B67" i="749"/>
  <c r="AF66" i="749"/>
  <c r="T66" i="749"/>
  <c r="R66" i="749"/>
  <c r="G66" i="749"/>
  <c r="C66" i="749"/>
  <c r="T65" i="749"/>
  <c r="R65" i="749"/>
  <c r="Q65" i="749"/>
  <c r="M65" i="749"/>
  <c r="G65" i="749"/>
  <c r="B65" i="749"/>
  <c r="T64" i="749"/>
  <c r="R64" i="749"/>
  <c r="Q64" i="749"/>
  <c r="M64" i="749"/>
  <c r="G64" i="749"/>
  <c r="B64" i="749"/>
  <c r="T63" i="749"/>
  <c r="R63" i="749"/>
  <c r="Q63" i="749"/>
  <c r="M63" i="749"/>
  <c r="G63" i="749"/>
  <c r="B63" i="749"/>
  <c r="T62" i="749"/>
  <c r="R62" i="749"/>
  <c r="Q62" i="749"/>
  <c r="M62" i="749"/>
  <c r="G62" i="749"/>
  <c r="B62" i="749"/>
  <c r="T61" i="749"/>
  <c r="R61" i="749"/>
  <c r="Q61" i="749"/>
  <c r="M61" i="749"/>
  <c r="G61" i="749"/>
  <c r="B61" i="749"/>
  <c r="AF60" i="749"/>
  <c r="T60" i="749"/>
  <c r="R60" i="749"/>
  <c r="G60" i="749"/>
  <c r="C60" i="749"/>
  <c r="T59" i="749"/>
  <c r="R59" i="749"/>
  <c r="Q59" i="749"/>
  <c r="M59" i="749"/>
  <c r="G59" i="749"/>
  <c r="B59" i="749"/>
  <c r="T58" i="749"/>
  <c r="R58" i="749"/>
  <c r="Q58" i="749"/>
  <c r="M58" i="749"/>
  <c r="G58" i="749"/>
  <c r="B58" i="749"/>
  <c r="T57" i="749"/>
  <c r="R57" i="749"/>
  <c r="Q57" i="749"/>
  <c r="M57" i="749"/>
  <c r="G57" i="749"/>
  <c r="B57" i="749"/>
  <c r="T56" i="749"/>
  <c r="R56" i="749"/>
  <c r="Q56" i="749"/>
  <c r="M56" i="749"/>
  <c r="G56" i="749"/>
  <c r="B56" i="749"/>
  <c r="T55" i="749"/>
  <c r="R55" i="749"/>
  <c r="Q55" i="749"/>
  <c r="M55" i="749"/>
  <c r="G55" i="749"/>
  <c r="B55" i="749"/>
  <c r="AF54" i="749"/>
  <c r="T54" i="749"/>
  <c r="R54" i="749"/>
  <c r="G54" i="749"/>
  <c r="C54" i="749"/>
  <c r="T53" i="749"/>
  <c r="R53" i="749"/>
  <c r="Q53" i="749"/>
  <c r="M53" i="749"/>
  <c r="G53" i="749"/>
  <c r="B53" i="749"/>
  <c r="T52" i="749"/>
  <c r="R52" i="749"/>
  <c r="Q52" i="749"/>
  <c r="M52" i="749"/>
  <c r="G52" i="749"/>
  <c r="B52" i="749"/>
  <c r="T51" i="749"/>
  <c r="R51" i="749"/>
  <c r="Q51" i="749"/>
  <c r="M51" i="749"/>
  <c r="G51" i="749"/>
  <c r="B51" i="749"/>
  <c r="T50" i="749"/>
  <c r="R50" i="749"/>
  <c r="Q50" i="749"/>
  <c r="M50" i="749"/>
  <c r="G50" i="749"/>
  <c r="B50" i="749"/>
  <c r="T49" i="749"/>
  <c r="R49" i="749"/>
  <c r="Q49" i="749"/>
  <c r="M49" i="749"/>
  <c r="G49" i="749"/>
  <c r="B49" i="749"/>
  <c r="AF48" i="749"/>
  <c r="T48" i="749"/>
  <c r="R48" i="749"/>
  <c r="G48" i="749"/>
  <c r="D48" i="749"/>
  <c r="C48" i="749"/>
  <c r="T47" i="749"/>
  <c r="R47" i="749"/>
  <c r="Q47" i="749"/>
  <c r="M47" i="749"/>
  <c r="G47" i="749"/>
  <c r="B47" i="749"/>
  <c r="T46" i="749"/>
  <c r="R46" i="749"/>
  <c r="Q46" i="749"/>
  <c r="M46" i="749"/>
  <c r="G46" i="749"/>
  <c r="B46" i="749"/>
  <c r="T45" i="749"/>
  <c r="R45" i="749"/>
  <c r="Q45" i="749"/>
  <c r="M45" i="749"/>
  <c r="G45" i="749"/>
  <c r="B45" i="749"/>
  <c r="T44" i="749"/>
  <c r="R44" i="749"/>
  <c r="Q44" i="749"/>
  <c r="M44" i="749"/>
  <c r="G44" i="749"/>
  <c r="B44" i="749"/>
  <c r="T43" i="749"/>
  <c r="R43" i="749"/>
  <c r="Q43" i="749"/>
  <c r="M43" i="749"/>
  <c r="G43" i="749"/>
  <c r="B43" i="749"/>
  <c r="AF42" i="749"/>
  <c r="T42" i="749"/>
  <c r="R42" i="749"/>
  <c r="G42" i="749"/>
  <c r="C42" i="749"/>
  <c r="C41" i="749"/>
  <c r="T39" i="749"/>
  <c r="Q39" i="749"/>
  <c r="M39" i="749"/>
  <c r="E39" i="749"/>
  <c r="B39" i="749"/>
  <c r="T38" i="749"/>
  <c r="Q38" i="749"/>
  <c r="M38" i="749"/>
  <c r="E38" i="749"/>
  <c r="B38" i="749"/>
  <c r="T37" i="749"/>
  <c r="Q37" i="749"/>
  <c r="M37" i="749"/>
  <c r="E37" i="749"/>
  <c r="B37" i="749"/>
  <c r="AF36" i="749"/>
  <c r="T36" i="749"/>
  <c r="R36" i="749"/>
  <c r="G36" i="749"/>
  <c r="C36" i="749"/>
  <c r="T35" i="749"/>
  <c r="R35" i="749"/>
  <c r="Q35" i="749"/>
  <c r="M35" i="749"/>
  <c r="G35" i="749"/>
  <c r="B35" i="749"/>
  <c r="T34" i="749"/>
  <c r="R34" i="749"/>
  <c r="Q34" i="749"/>
  <c r="M34" i="749"/>
  <c r="G34" i="749"/>
  <c r="B34" i="749"/>
  <c r="T33" i="749"/>
  <c r="R33" i="749"/>
  <c r="Q33" i="749"/>
  <c r="M33" i="749"/>
  <c r="G33" i="749"/>
  <c r="B33" i="749"/>
  <c r="AF32" i="749"/>
  <c r="T32" i="749"/>
  <c r="R32" i="749"/>
  <c r="G32" i="749"/>
  <c r="C32" i="749"/>
  <c r="T31" i="749"/>
  <c r="R31" i="749"/>
  <c r="Q31" i="749"/>
  <c r="M31" i="749"/>
  <c r="G31" i="749"/>
  <c r="B31" i="749"/>
  <c r="T30" i="749"/>
  <c r="R30" i="749"/>
  <c r="Q30" i="749"/>
  <c r="M30" i="749"/>
  <c r="G30" i="749"/>
  <c r="B30" i="749"/>
  <c r="T29" i="749"/>
  <c r="R29" i="749"/>
  <c r="Q29" i="749"/>
  <c r="M29" i="749"/>
  <c r="G29" i="749"/>
  <c r="B29" i="749"/>
  <c r="T28" i="749"/>
  <c r="R28" i="749"/>
  <c r="Q28" i="749"/>
  <c r="M28" i="749"/>
  <c r="G28" i="749"/>
  <c r="B28" i="749"/>
  <c r="T27" i="749"/>
  <c r="R27" i="749"/>
  <c r="Q27" i="749"/>
  <c r="M27" i="749"/>
  <c r="G27" i="749"/>
  <c r="B27" i="749"/>
  <c r="T26" i="749"/>
  <c r="R26" i="749"/>
  <c r="Q26" i="749"/>
  <c r="M26" i="749"/>
  <c r="G26" i="749"/>
  <c r="B26" i="749"/>
  <c r="AF25" i="749"/>
  <c r="T25" i="749"/>
  <c r="R25" i="749"/>
  <c r="G25" i="749"/>
  <c r="C25" i="749"/>
  <c r="T24" i="749"/>
  <c r="R24" i="749"/>
  <c r="Q24" i="749"/>
  <c r="M24" i="749"/>
  <c r="G24" i="749"/>
  <c r="T23" i="749"/>
  <c r="R23" i="749"/>
  <c r="Q23" i="749"/>
  <c r="M23" i="749"/>
  <c r="G23" i="749"/>
  <c r="T22" i="749"/>
  <c r="R22" i="749"/>
  <c r="Q22" i="749"/>
  <c r="M22" i="749"/>
  <c r="G22" i="749"/>
  <c r="T21" i="749"/>
  <c r="R21" i="749"/>
  <c r="Q21" i="749"/>
  <c r="M21" i="749"/>
  <c r="G21" i="749"/>
  <c r="T20" i="749"/>
  <c r="R20" i="749"/>
  <c r="Q20" i="749"/>
  <c r="M20" i="749"/>
  <c r="G20" i="749"/>
  <c r="T19" i="749"/>
  <c r="R19" i="749"/>
  <c r="Q19" i="749"/>
  <c r="M19" i="749"/>
  <c r="G19" i="749"/>
  <c r="T18" i="749"/>
  <c r="R18" i="749"/>
  <c r="Q18" i="749"/>
  <c r="M18" i="749"/>
  <c r="G18" i="749"/>
  <c r="AF17" i="749"/>
  <c r="T17" i="749"/>
  <c r="R17" i="749"/>
  <c r="G17" i="749"/>
  <c r="C17" i="749"/>
  <c r="T16" i="749"/>
  <c r="R16" i="749"/>
  <c r="Q16" i="749"/>
  <c r="M16" i="749"/>
  <c r="G16" i="749"/>
  <c r="B16" i="749"/>
  <c r="T15" i="749"/>
  <c r="R15" i="749"/>
  <c r="Q15" i="749"/>
  <c r="M15" i="749"/>
  <c r="G15" i="749"/>
  <c r="B15" i="749"/>
  <c r="T14" i="749"/>
  <c r="R14" i="749"/>
  <c r="Q14" i="749"/>
  <c r="M14" i="749"/>
  <c r="G14" i="749"/>
  <c r="B14" i="749"/>
  <c r="T13" i="749"/>
  <c r="R13" i="749"/>
  <c r="Q13" i="749"/>
  <c r="M13" i="749"/>
  <c r="G13" i="749"/>
  <c r="B13" i="749"/>
  <c r="T12" i="749"/>
  <c r="R12" i="749"/>
  <c r="Q12" i="749"/>
  <c r="M12" i="749"/>
  <c r="G12" i="749"/>
  <c r="B12" i="749"/>
  <c r="AF11" i="749"/>
  <c r="T11" i="749"/>
  <c r="R11" i="749"/>
  <c r="G11" i="749"/>
  <c r="C11" i="749"/>
  <c r="C10" i="749"/>
  <c r="R9" i="749"/>
  <c r="C9" i="749"/>
  <c r="C7" i="749"/>
  <c r="B7" i="749"/>
  <c r="Y6" i="749"/>
  <c r="C6" i="749"/>
  <c r="B6" i="749"/>
  <c r="Y5" i="749"/>
  <c r="C5" i="749"/>
  <c r="B5" i="749"/>
  <c r="C4" i="749"/>
  <c r="B4" i="749"/>
  <c r="Z2" i="749"/>
  <c r="X2" i="749"/>
  <c r="C2" i="749"/>
  <c r="C1" i="749"/>
  <c r="F183" i="461"/>
  <c r="E183" i="461"/>
  <c r="F182" i="461"/>
  <c r="E182" i="461"/>
  <c r="F181" i="461"/>
  <c r="E181" i="461"/>
  <c r="F180" i="461"/>
  <c r="E180" i="461"/>
  <c r="F179" i="461"/>
  <c r="E179" i="461"/>
  <c r="Y171" i="461"/>
  <c r="X171" i="461"/>
  <c r="W171" i="461"/>
  <c r="V171" i="461"/>
  <c r="U171" i="461"/>
  <c r="Y169" i="461"/>
  <c r="X169" i="461"/>
  <c r="W169" i="461"/>
  <c r="V169" i="461"/>
  <c r="U169" i="461"/>
  <c r="R169" i="461"/>
  <c r="Q169" i="461"/>
  <c r="P169" i="461"/>
  <c r="O169" i="461"/>
  <c r="N169" i="461"/>
  <c r="L169" i="461"/>
  <c r="K169" i="461"/>
  <c r="J169" i="461"/>
  <c r="I169" i="461"/>
  <c r="H169" i="461"/>
  <c r="G169" i="461"/>
  <c r="F169" i="461"/>
  <c r="E169" i="461"/>
  <c r="D169" i="461"/>
  <c r="Y168" i="461"/>
  <c r="X168" i="461"/>
  <c r="W168" i="461"/>
  <c r="V168" i="461"/>
  <c r="U168" i="461"/>
  <c r="R168" i="461"/>
  <c r="Q168" i="461"/>
  <c r="P168" i="461"/>
  <c r="O168" i="461"/>
  <c r="N168" i="461"/>
  <c r="L168" i="461"/>
  <c r="K168" i="461"/>
  <c r="J168" i="461"/>
  <c r="I168" i="461"/>
  <c r="H168" i="461"/>
  <c r="G168" i="461"/>
  <c r="F168" i="461"/>
  <c r="E168" i="461"/>
  <c r="D168" i="461"/>
  <c r="Y167" i="461"/>
  <c r="X167" i="461"/>
  <c r="W167" i="461"/>
  <c r="V167" i="461"/>
  <c r="U167" i="461"/>
  <c r="R167" i="461"/>
  <c r="Q167" i="461"/>
  <c r="P167" i="461"/>
  <c r="O167" i="461"/>
  <c r="N167" i="461"/>
  <c r="L167" i="461"/>
  <c r="K167" i="461"/>
  <c r="J167" i="461"/>
  <c r="I167" i="461"/>
  <c r="H167" i="461"/>
  <c r="G167" i="461"/>
  <c r="F167" i="461"/>
  <c r="E167" i="461"/>
  <c r="D167" i="461"/>
  <c r="Y166" i="461"/>
  <c r="X166" i="461"/>
  <c r="W166" i="461"/>
  <c r="V166" i="461"/>
  <c r="U166" i="461"/>
  <c r="R166" i="461"/>
  <c r="Q166" i="461"/>
  <c r="P166" i="461"/>
  <c r="O166" i="461"/>
  <c r="N166" i="461"/>
  <c r="L166" i="461"/>
  <c r="K166" i="461"/>
  <c r="J166" i="461"/>
  <c r="I166" i="461"/>
  <c r="H166" i="461"/>
  <c r="G166" i="461"/>
  <c r="F166" i="461"/>
  <c r="E166" i="461"/>
  <c r="D166" i="461"/>
  <c r="Y165" i="461"/>
  <c r="X165" i="461"/>
  <c r="W165" i="461"/>
  <c r="V165" i="461"/>
  <c r="U165" i="461"/>
  <c r="R165" i="461"/>
  <c r="Q165" i="461"/>
  <c r="P165" i="461"/>
  <c r="O165" i="461"/>
  <c r="N165" i="461"/>
  <c r="L165" i="461"/>
  <c r="K165" i="461"/>
  <c r="J165" i="461"/>
  <c r="I165" i="461"/>
  <c r="H165" i="461"/>
  <c r="G165" i="461"/>
  <c r="F165" i="461"/>
  <c r="E165" i="461"/>
  <c r="D165" i="461"/>
  <c r="Y164" i="461"/>
  <c r="X164" i="461"/>
  <c r="W164" i="461"/>
  <c r="V164" i="461"/>
  <c r="U164" i="461"/>
  <c r="R164" i="461"/>
  <c r="Q164" i="461"/>
  <c r="P164" i="461"/>
  <c r="O164" i="461"/>
  <c r="N164" i="461"/>
  <c r="L164" i="461"/>
  <c r="K164" i="461"/>
  <c r="J164" i="461"/>
  <c r="I164" i="461"/>
  <c r="H164" i="461"/>
  <c r="G164" i="461"/>
  <c r="F164" i="461"/>
  <c r="E164" i="461"/>
  <c r="D164" i="461"/>
  <c r="Y163" i="461"/>
  <c r="X163" i="461"/>
  <c r="W163" i="461"/>
  <c r="V163" i="461"/>
  <c r="U163" i="461"/>
  <c r="R163" i="461"/>
  <c r="Q163" i="461"/>
  <c r="P163" i="461"/>
  <c r="O163" i="461"/>
  <c r="N163" i="461"/>
  <c r="L163" i="461"/>
  <c r="K163" i="461"/>
  <c r="J163" i="461"/>
  <c r="I163" i="461"/>
  <c r="H163" i="461"/>
  <c r="G163" i="461"/>
  <c r="F163" i="461"/>
  <c r="E163" i="461"/>
  <c r="D163" i="461"/>
  <c r="Y162" i="461"/>
  <c r="X162" i="461"/>
  <c r="W162" i="461"/>
  <c r="V162" i="461"/>
  <c r="U162" i="461"/>
  <c r="R162" i="461"/>
  <c r="Q162" i="461"/>
  <c r="P162" i="461"/>
  <c r="O162" i="461"/>
  <c r="N162" i="461"/>
  <c r="L162" i="461"/>
  <c r="K162" i="461"/>
  <c r="J162" i="461"/>
  <c r="I162" i="461"/>
  <c r="H162" i="461"/>
  <c r="G162" i="461"/>
  <c r="F162" i="461"/>
  <c r="E162" i="461"/>
  <c r="D162" i="461"/>
  <c r="Y161" i="461"/>
  <c r="X161" i="461"/>
  <c r="W161" i="461"/>
  <c r="V161" i="461"/>
  <c r="U161" i="461"/>
  <c r="R161" i="461"/>
  <c r="Q161" i="461"/>
  <c r="P161" i="461"/>
  <c r="O161" i="461"/>
  <c r="N161" i="461"/>
  <c r="L161" i="461"/>
  <c r="K161" i="461"/>
  <c r="J161" i="461"/>
  <c r="I161" i="461"/>
  <c r="H161" i="461"/>
  <c r="G161" i="461"/>
  <c r="F161" i="461"/>
  <c r="E161" i="461"/>
  <c r="D161" i="461"/>
  <c r="Y160" i="461"/>
  <c r="X160" i="461"/>
  <c r="W160" i="461"/>
  <c r="V160" i="461"/>
  <c r="U160" i="461"/>
  <c r="R160" i="461"/>
  <c r="Q160" i="461"/>
  <c r="P160" i="461"/>
  <c r="O160" i="461"/>
  <c r="N160" i="461"/>
  <c r="L160" i="461"/>
  <c r="K160" i="461"/>
  <c r="J160" i="461"/>
  <c r="I160" i="461"/>
  <c r="H160" i="461"/>
  <c r="G160" i="461"/>
  <c r="F160" i="461"/>
  <c r="E160" i="461"/>
  <c r="D160" i="461"/>
  <c r="L159" i="461"/>
  <c r="K159" i="461"/>
  <c r="J159" i="461"/>
  <c r="I159" i="461"/>
  <c r="H159" i="461"/>
  <c r="G159" i="461"/>
  <c r="F159" i="461"/>
  <c r="E159" i="461"/>
  <c r="D159" i="461"/>
  <c r="D158" i="461"/>
  <c r="Y156" i="461"/>
  <c r="X156" i="461"/>
  <c r="W156" i="461"/>
  <c r="V156" i="461"/>
  <c r="U156" i="461"/>
  <c r="R156" i="461"/>
  <c r="Q156" i="461"/>
  <c r="P156" i="461"/>
  <c r="O156" i="461"/>
  <c r="N156" i="461"/>
  <c r="L156" i="461"/>
  <c r="K156" i="461"/>
  <c r="J156" i="461"/>
  <c r="I156" i="461"/>
  <c r="H156" i="461"/>
  <c r="G156" i="461"/>
  <c r="F156" i="461"/>
  <c r="E156" i="461"/>
  <c r="D156" i="461"/>
  <c r="Y155" i="461"/>
  <c r="X155" i="461"/>
  <c r="W155" i="461"/>
  <c r="V155" i="461"/>
  <c r="U155" i="461"/>
  <c r="R155" i="461"/>
  <c r="Q155" i="461"/>
  <c r="P155" i="461"/>
  <c r="O155" i="461"/>
  <c r="N155" i="461"/>
  <c r="L155" i="461"/>
  <c r="K155" i="461"/>
  <c r="J155" i="461"/>
  <c r="I155" i="461"/>
  <c r="H155" i="461"/>
  <c r="G155" i="461"/>
  <c r="F155" i="461"/>
  <c r="E155" i="461"/>
  <c r="D155" i="461"/>
  <c r="Y154" i="461"/>
  <c r="X154" i="461"/>
  <c r="W154" i="461"/>
  <c r="V154" i="461"/>
  <c r="U154" i="461"/>
  <c r="R154" i="461"/>
  <c r="Q154" i="461"/>
  <c r="P154" i="461"/>
  <c r="O154" i="461"/>
  <c r="N154" i="461"/>
  <c r="L154" i="461"/>
  <c r="K154" i="461"/>
  <c r="J154" i="461"/>
  <c r="I154" i="461"/>
  <c r="H154" i="461"/>
  <c r="G154" i="461"/>
  <c r="F154" i="461"/>
  <c r="E154" i="461"/>
  <c r="D154" i="461"/>
  <c r="Y153" i="461"/>
  <c r="X153" i="461"/>
  <c r="W153" i="461"/>
  <c r="V153" i="461"/>
  <c r="U153" i="461"/>
  <c r="R153" i="461"/>
  <c r="Q153" i="461"/>
  <c r="P153" i="461"/>
  <c r="O153" i="461"/>
  <c r="N153" i="461"/>
  <c r="L153" i="461"/>
  <c r="K153" i="461"/>
  <c r="J153" i="461"/>
  <c r="I153" i="461"/>
  <c r="H153" i="461"/>
  <c r="G153" i="461"/>
  <c r="F153" i="461"/>
  <c r="E153" i="461"/>
  <c r="D153" i="461"/>
  <c r="Y152" i="461"/>
  <c r="X152" i="461"/>
  <c r="W152" i="461"/>
  <c r="V152" i="461"/>
  <c r="U152" i="461"/>
  <c r="R152" i="461"/>
  <c r="Q152" i="461"/>
  <c r="P152" i="461"/>
  <c r="O152" i="461"/>
  <c r="N152" i="461"/>
  <c r="L152" i="461"/>
  <c r="K152" i="461"/>
  <c r="J152" i="461"/>
  <c r="I152" i="461"/>
  <c r="H152" i="461"/>
  <c r="G152" i="461"/>
  <c r="F152" i="461"/>
  <c r="E152" i="461"/>
  <c r="D152" i="461"/>
  <c r="Y151" i="461"/>
  <c r="X151" i="461"/>
  <c r="W151" i="461"/>
  <c r="V151" i="461"/>
  <c r="U151" i="461"/>
  <c r="R151" i="461"/>
  <c r="Q151" i="461"/>
  <c r="P151" i="461"/>
  <c r="O151" i="461"/>
  <c r="N151" i="461"/>
  <c r="L151" i="461"/>
  <c r="K151" i="461"/>
  <c r="J151" i="461"/>
  <c r="I151" i="461"/>
  <c r="H151" i="461"/>
  <c r="G151" i="461"/>
  <c r="F151" i="461"/>
  <c r="E151" i="461"/>
  <c r="D151" i="461"/>
  <c r="Y150" i="461"/>
  <c r="X150" i="461"/>
  <c r="W150" i="461"/>
  <c r="V150" i="461"/>
  <c r="U150" i="461"/>
  <c r="R150" i="461"/>
  <c r="Q150" i="461"/>
  <c r="P150" i="461"/>
  <c r="O150" i="461"/>
  <c r="N150" i="461"/>
  <c r="L150" i="461"/>
  <c r="K150" i="461"/>
  <c r="J150" i="461"/>
  <c r="I150" i="461"/>
  <c r="H150" i="461"/>
  <c r="G150" i="461"/>
  <c r="F150" i="461"/>
  <c r="E150" i="461"/>
  <c r="D150" i="461"/>
  <c r="Y149" i="461"/>
  <c r="X149" i="461"/>
  <c r="W149" i="461"/>
  <c r="V149" i="461"/>
  <c r="U149" i="461"/>
  <c r="R149" i="461"/>
  <c r="Q149" i="461"/>
  <c r="P149" i="461"/>
  <c r="O149" i="461"/>
  <c r="N149" i="461"/>
  <c r="L149" i="461"/>
  <c r="K149" i="461"/>
  <c r="J149" i="461"/>
  <c r="I149" i="461"/>
  <c r="H149" i="461"/>
  <c r="G149" i="461"/>
  <c r="F149" i="461"/>
  <c r="E149" i="461"/>
  <c r="D149" i="461"/>
  <c r="Y148" i="461"/>
  <c r="X148" i="461"/>
  <c r="W148" i="461"/>
  <c r="V148" i="461"/>
  <c r="U148" i="461"/>
  <c r="R148" i="461"/>
  <c r="Q148" i="461"/>
  <c r="P148" i="461"/>
  <c r="O148" i="461"/>
  <c r="N148" i="461"/>
  <c r="L148" i="461"/>
  <c r="K148" i="461"/>
  <c r="J148" i="461"/>
  <c r="I148" i="461"/>
  <c r="H148" i="461"/>
  <c r="G148" i="461"/>
  <c r="F148" i="461"/>
  <c r="E148" i="461"/>
  <c r="D148" i="461"/>
  <c r="Y147" i="461"/>
  <c r="X147" i="461"/>
  <c r="W147" i="461"/>
  <c r="V147" i="461"/>
  <c r="U147" i="461"/>
  <c r="R147" i="461"/>
  <c r="Q147" i="461"/>
  <c r="P147" i="461"/>
  <c r="O147" i="461"/>
  <c r="N147" i="461"/>
  <c r="L147" i="461"/>
  <c r="K147" i="461"/>
  <c r="J147" i="461"/>
  <c r="I147" i="461"/>
  <c r="H147" i="461"/>
  <c r="G147" i="461"/>
  <c r="F147" i="461"/>
  <c r="E147" i="461"/>
  <c r="D147" i="461"/>
  <c r="L146" i="461"/>
  <c r="K146" i="461"/>
  <c r="J146" i="461"/>
  <c r="I146" i="461"/>
  <c r="H146" i="461"/>
  <c r="G146" i="461"/>
  <c r="F146" i="461"/>
  <c r="E146" i="461"/>
  <c r="D146" i="461"/>
  <c r="D145" i="461"/>
  <c r="Y143" i="461"/>
  <c r="X143" i="461"/>
  <c r="W143" i="461"/>
  <c r="V143" i="461"/>
  <c r="U143" i="461"/>
  <c r="R143" i="461"/>
  <c r="Q143" i="461"/>
  <c r="P143" i="461"/>
  <c r="O143" i="461"/>
  <c r="N143" i="461"/>
  <c r="L143" i="461"/>
  <c r="K143" i="461"/>
  <c r="J143" i="461"/>
  <c r="I143" i="461"/>
  <c r="H143" i="461"/>
  <c r="G143" i="461"/>
  <c r="F143" i="461"/>
  <c r="E143" i="461"/>
  <c r="D143" i="461"/>
  <c r="Y142" i="461"/>
  <c r="X142" i="461"/>
  <c r="W142" i="461"/>
  <c r="V142" i="461"/>
  <c r="U142" i="461"/>
  <c r="R142" i="461"/>
  <c r="Q142" i="461"/>
  <c r="P142" i="461"/>
  <c r="O142" i="461"/>
  <c r="N142" i="461"/>
  <c r="L142" i="461"/>
  <c r="K142" i="461"/>
  <c r="J142" i="461"/>
  <c r="I142" i="461"/>
  <c r="H142" i="461"/>
  <c r="G142" i="461"/>
  <c r="F142" i="461"/>
  <c r="E142" i="461"/>
  <c r="D142" i="461"/>
  <c r="Y141" i="461"/>
  <c r="X141" i="461"/>
  <c r="W141" i="461"/>
  <c r="V141" i="461"/>
  <c r="U141" i="461"/>
  <c r="R141" i="461"/>
  <c r="Q141" i="461"/>
  <c r="P141" i="461"/>
  <c r="O141" i="461"/>
  <c r="N141" i="461"/>
  <c r="L141" i="461"/>
  <c r="K141" i="461"/>
  <c r="J141" i="461"/>
  <c r="I141" i="461"/>
  <c r="H141" i="461"/>
  <c r="G141" i="461"/>
  <c r="F141" i="461"/>
  <c r="E141" i="461"/>
  <c r="D141" i="461"/>
  <c r="Y140" i="461"/>
  <c r="X140" i="461"/>
  <c r="W140" i="461"/>
  <c r="V140" i="461"/>
  <c r="U140" i="461"/>
  <c r="R140" i="461"/>
  <c r="Q140" i="461"/>
  <c r="P140" i="461"/>
  <c r="O140" i="461"/>
  <c r="N140" i="461"/>
  <c r="L140" i="461"/>
  <c r="K140" i="461"/>
  <c r="J140" i="461"/>
  <c r="I140" i="461"/>
  <c r="H140" i="461"/>
  <c r="G140" i="461"/>
  <c r="F140" i="461"/>
  <c r="E140" i="461"/>
  <c r="D140" i="461"/>
  <c r="Y139" i="461"/>
  <c r="X139" i="461"/>
  <c r="W139" i="461"/>
  <c r="V139" i="461"/>
  <c r="U139" i="461"/>
  <c r="R139" i="461"/>
  <c r="Q139" i="461"/>
  <c r="P139" i="461"/>
  <c r="O139" i="461"/>
  <c r="N139" i="461"/>
  <c r="L139" i="461"/>
  <c r="K139" i="461"/>
  <c r="J139" i="461"/>
  <c r="I139" i="461"/>
  <c r="H139" i="461"/>
  <c r="G139" i="461"/>
  <c r="F139" i="461"/>
  <c r="E139" i="461"/>
  <c r="D139" i="461"/>
  <c r="Y138" i="461"/>
  <c r="X138" i="461"/>
  <c r="W138" i="461"/>
  <c r="V138" i="461"/>
  <c r="U138" i="461"/>
  <c r="R138" i="461"/>
  <c r="Q138" i="461"/>
  <c r="P138" i="461"/>
  <c r="O138" i="461"/>
  <c r="N138" i="461"/>
  <c r="L138" i="461"/>
  <c r="K138" i="461"/>
  <c r="J138" i="461"/>
  <c r="I138" i="461"/>
  <c r="H138" i="461"/>
  <c r="G138" i="461"/>
  <c r="F138" i="461"/>
  <c r="E138" i="461"/>
  <c r="D138" i="461"/>
  <c r="Y137" i="461"/>
  <c r="X137" i="461"/>
  <c r="W137" i="461"/>
  <c r="V137" i="461"/>
  <c r="U137" i="461"/>
  <c r="R137" i="461"/>
  <c r="Q137" i="461"/>
  <c r="P137" i="461"/>
  <c r="O137" i="461"/>
  <c r="N137" i="461"/>
  <c r="L137" i="461"/>
  <c r="K137" i="461"/>
  <c r="J137" i="461"/>
  <c r="I137" i="461"/>
  <c r="H137" i="461"/>
  <c r="G137" i="461"/>
  <c r="F137" i="461"/>
  <c r="E137" i="461"/>
  <c r="D137" i="461"/>
  <c r="Y136" i="461"/>
  <c r="X136" i="461"/>
  <c r="W136" i="461"/>
  <c r="V136" i="461"/>
  <c r="U136" i="461"/>
  <c r="R136" i="461"/>
  <c r="Q136" i="461"/>
  <c r="P136" i="461"/>
  <c r="O136" i="461"/>
  <c r="N136" i="461"/>
  <c r="L136" i="461"/>
  <c r="K136" i="461"/>
  <c r="J136" i="461"/>
  <c r="I136" i="461"/>
  <c r="H136" i="461"/>
  <c r="G136" i="461"/>
  <c r="F136" i="461"/>
  <c r="E136" i="461"/>
  <c r="D136" i="461"/>
  <c r="Y135" i="461"/>
  <c r="X135" i="461"/>
  <c r="W135" i="461"/>
  <c r="V135" i="461"/>
  <c r="U135" i="461"/>
  <c r="R135" i="461"/>
  <c r="Q135" i="461"/>
  <c r="P135" i="461"/>
  <c r="O135" i="461"/>
  <c r="N135" i="461"/>
  <c r="L135" i="461"/>
  <c r="K135" i="461"/>
  <c r="J135" i="461"/>
  <c r="I135" i="461"/>
  <c r="H135" i="461"/>
  <c r="G135" i="461"/>
  <c r="F135" i="461"/>
  <c r="E135" i="461"/>
  <c r="D135" i="461"/>
  <c r="Y134" i="461"/>
  <c r="X134" i="461"/>
  <c r="W134" i="461"/>
  <c r="V134" i="461"/>
  <c r="U134" i="461"/>
  <c r="R134" i="461"/>
  <c r="Q134" i="461"/>
  <c r="P134" i="461"/>
  <c r="O134" i="461"/>
  <c r="N134" i="461"/>
  <c r="L134" i="461"/>
  <c r="K134" i="461"/>
  <c r="J134" i="461"/>
  <c r="I134" i="461"/>
  <c r="H134" i="461"/>
  <c r="G134" i="461"/>
  <c r="F134" i="461"/>
  <c r="E134" i="461"/>
  <c r="D134" i="461"/>
  <c r="L133" i="461"/>
  <c r="D133" i="461"/>
  <c r="Y131" i="461"/>
  <c r="X131" i="461"/>
  <c r="W131" i="461"/>
  <c r="V131" i="461"/>
  <c r="U131" i="461"/>
  <c r="R131" i="461"/>
  <c r="Q131" i="461"/>
  <c r="P131" i="461"/>
  <c r="O131" i="461"/>
  <c r="N131" i="461"/>
  <c r="L131" i="461"/>
  <c r="K131" i="461"/>
  <c r="J131" i="461"/>
  <c r="I131" i="461"/>
  <c r="H131" i="461"/>
  <c r="G131" i="461"/>
  <c r="F131" i="461"/>
  <c r="E131" i="461"/>
  <c r="D131" i="461"/>
  <c r="Y130" i="461"/>
  <c r="X130" i="461"/>
  <c r="W130" i="461"/>
  <c r="V130" i="461"/>
  <c r="U130" i="461"/>
  <c r="R130" i="461"/>
  <c r="Q130" i="461"/>
  <c r="P130" i="461"/>
  <c r="O130" i="461"/>
  <c r="N130" i="461"/>
  <c r="L130" i="461"/>
  <c r="K130" i="461"/>
  <c r="J130" i="461"/>
  <c r="I130" i="461"/>
  <c r="H130" i="461"/>
  <c r="G130" i="461"/>
  <c r="F130" i="461"/>
  <c r="E130" i="461"/>
  <c r="D130" i="461"/>
  <c r="Y129" i="461"/>
  <c r="X129" i="461"/>
  <c r="W129" i="461"/>
  <c r="V129" i="461"/>
  <c r="U129" i="461"/>
  <c r="R129" i="461"/>
  <c r="Q129" i="461"/>
  <c r="P129" i="461"/>
  <c r="O129" i="461"/>
  <c r="N129" i="461"/>
  <c r="L129" i="461"/>
  <c r="K129" i="461"/>
  <c r="J129" i="461"/>
  <c r="I129" i="461"/>
  <c r="H129" i="461"/>
  <c r="G129" i="461"/>
  <c r="F129" i="461"/>
  <c r="E129" i="461"/>
  <c r="D129" i="461"/>
  <c r="Y128" i="461"/>
  <c r="X128" i="461"/>
  <c r="W128" i="461"/>
  <c r="V128" i="461"/>
  <c r="U128" i="461"/>
  <c r="R128" i="461"/>
  <c r="Q128" i="461"/>
  <c r="P128" i="461"/>
  <c r="O128" i="461"/>
  <c r="N128" i="461"/>
  <c r="L128" i="461"/>
  <c r="K128" i="461"/>
  <c r="J128" i="461"/>
  <c r="I128" i="461"/>
  <c r="H128" i="461"/>
  <c r="G128" i="461"/>
  <c r="F128" i="461"/>
  <c r="E128" i="461"/>
  <c r="D128" i="461"/>
  <c r="Y127" i="461"/>
  <c r="X127" i="461"/>
  <c r="W127" i="461"/>
  <c r="V127" i="461"/>
  <c r="U127" i="461"/>
  <c r="R127" i="461"/>
  <c r="Q127" i="461"/>
  <c r="P127" i="461"/>
  <c r="O127" i="461"/>
  <c r="N127" i="461"/>
  <c r="L127" i="461"/>
  <c r="K127" i="461"/>
  <c r="J127" i="461"/>
  <c r="I127" i="461"/>
  <c r="H127" i="461"/>
  <c r="G127" i="461"/>
  <c r="F127" i="461"/>
  <c r="E127" i="461"/>
  <c r="D127" i="461"/>
  <c r="Y126" i="461"/>
  <c r="X126" i="461"/>
  <c r="W126" i="461"/>
  <c r="V126" i="461"/>
  <c r="U126" i="461"/>
  <c r="R126" i="461"/>
  <c r="Q126" i="461"/>
  <c r="P126" i="461"/>
  <c r="O126" i="461"/>
  <c r="N126" i="461"/>
  <c r="L126" i="461"/>
  <c r="K126" i="461"/>
  <c r="J126" i="461"/>
  <c r="I126" i="461"/>
  <c r="H126" i="461"/>
  <c r="G126" i="461"/>
  <c r="F126" i="461"/>
  <c r="E126" i="461"/>
  <c r="D126" i="461"/>
  <c r="Y125" i="461"/>
  <c r="X125" i="461"/>
  <c r="W125" i="461"/>
  <c r="V125" i="461"/>
  <c r="U125" i="461"/>
  <c r="R125" i="461"/>
  <c r="Q125" i="461"/>
  <c r="P125" i="461"/>
  <c r="O125" i="461"/>
  <c r="N125" i="461"/>
  <c r="L125" i="461"/>
  <c r="K125" i="461"/>
  <c r="J125" i="461"/>
  <c r="I125" i="461"/>
  <c r="H125" i="461"/>
  <c r="G125" i="461"/>
  <c r="F125" i="461"/>
  <c r="E125" i="461"/>
  <c r="D125" i="461"/>
  <c r="Y124" i="461"/>
  <c r="X124" i="461"/>
  <c r="W124" i="461"/>
  <c r="V124" i="461"/>
  <c r="U124" i="461"/>
  <c r="R124" i="461"/>
  <c r="Q124" i="461"/>
  <c r="P124" i="461"/>
  <c r="O124" i="461"/>
  <c r="N124" i="461"/>
  <c r="L124" i="461"/>
  <c r="K124" i="461"/>
  <c r="J124" i="461"/>
  <c r="I124" i="461"/>
  <c r="H124" i="461"/>
  <c r="G124" i="461"/>
  <c r="F124" i="461"/>
  <c r="E124" i="461"/>
  <c r="D124" i="461"/>
  <c r="Y123" i="461"/>
  <c r="X123" i="461"/>
  <c r="W123" i="461"/>
  <c r="V123" i="461"/>
  <c r="U123" i="461"/>
  <c r="R123" i="461"/>
  <c r="Q123" i="461"/>
  <c r="P123" i="461"/>
  <c r="O123" i="461"/>
  <c r="N123" i="461"/>
  <c r="L123" i="461"/>
  <c r="K123" i="461"/>
  <c r="J123" i="461"/>
  <c r="I123" i="461"/>
  <c r="H123" i="461"/>
  <c r="G123" i="461"/>
  <c r="F123" i="461"/>
  <c r="E123" i="461"/>
  <c r="D123" i="461"/>
  <c r="Y122" i="461"/>
  <c r="X122" i="461"/>
  <c r="W122" i="461"/>
  <c r="V122" i="461"/>
  <c r="U122" i="461"/>
  <c r="R122" i="461"/>
  <c r="Q122" i="461"/>
  <c r="P122" i="461"/>
  <c r="O122" i="461"/>
  <c r="N122" i="461"/>
  <c r="L122" i="461"/>
  <c r="K122" i="461"/>
  <c r="J122" i="461"/>
  <c r="I122" i="461"/>
  <c r="H122" i="461"/>
  <c r="G122" i="461"/>
  <c r="F122" i="461"/>
  <c r="E122" i="461"/>
  <c r="D122" i="461"/>
  <c r="L121" i="461"/>
  <c r="D121" i="461"/>
  <c r="Y114" i="461"/>
  <c r="X114" i="461"/>
  <c r="W114" i="461"/>
  <c r="V114" i="461"/>
  <c r="U114" i="461"/>
  <c r="R114" i="461"/>
  <c r="Q114" i="461"/>
  <c r="P114" i="461"/>
  <c r="O114" i="461"/>
  <c r="N114" i="461"/>
  <c r="L114" i="461"/>
  <c r="K114" i="461"/>
  <c r="J114" i="461"/>
  <c r="I114" i="461"/>
  <c r="H114" i="461"/>
  <c r="G114" i="461"/>
  <c r="F114" i="461"/>
  <c r="E114" i="461"/>
  <c r="D114" i="461"/>
  <c r="Y113" i="461"/>
  <c r="X113" i="461"/>
  <c r="W113" i="461"/>
  <c r="V113" i="461"/>
  <c r="U113" i="461"/>
  <c r="R113" i="461"/>
  <c r="Q113" i="461"/>
  <c r="P113" i="461"/>
  <c r="O113" i="461"/>
  <c r="N113" i="461"/>
  <c r="L113" i="461"/>
  <c r="K113" i="461"/>
  <c r="J113" i="461"/>
  <c r="I113" i="461"/>
  <c r="H113" i="461"/>
  <c r="G113" i="461"/>
  <c r="F113" i="461"/>
  <c r="E113" i="461"/>
  <c r="D113" i="461"/>
  <c r="Y112" i="461"/>
  <c r="X112" i="461"/>
  <c r="W112" i="461"/>
  <c r="V112" i="461"/>
  <c r="U112" i="461"/>
  <c r="R112" i="461"/>
  <c r="Q112" i="461"/>
  <c r="P112" i="461"/>
  <c r="O112" i="461"/>
  <c r="N112" i="461"/>
  <c r="L112" i="461"/>
  <c r="K112" i="461"/>
  <c r="J112" i="461"/>
  <c r="I112" i="461"/>
  <c r="H112" i="461"/>
  <c r="G112" i="461"/>
  <c r="F112" i="461"/>
  <c r="E112" i="461"/>
  <c r="D112" i="461"/>
  <c r="L111" i="461"/>
  <c r="K111" i="461"/>
  <c r="J111" i="461"/>
  <c r="I111" i="461"/>
  <c r="H111" i="461"/>
  <c r="G111" i="461"/>
  <c r="F111" i="461"/>
  <c r="E111" i="461"/>
  <c r="D111" i="461"/>
  <c r="L110" i="461"/>
  <c r="D110" i="461"/>
  <c r="Y108" i="461"/>
  <c r="X108" i="461"/>
  <c r="W108" i="461"/>
  <c r="V108" i="461"/>
  <c r="U108" i="461"/>
  <c r="R108" i="461"/>
  <c r="Q108" i="461"/>
  <c r="P108" i="461"/>
  <c r="O108" i="461"/>
  <c r="N108" i="461"/>
  <c r="L108" i="461"/>
  <c r="K108" i="461"/>
  <c r="J108" i="461"/>
  <c r="I108" i="461"/>
  <c r="H108" i="461"/>
  <c r="G108" i="461"/>
  <c r="F108" i="461"/>
  <c r="E108" i="461"/>
  <c r="D108" i="461"/>
  <c r="Y107" i="461"/>
  <c r="X107" i="461"/>
  <c r="W107" i="461"/>
  <c r="V107" i="461"/>
  <c r="U107" i="461"/>
  <c r="R107" i="461"/>
  <c r="Q107" i="461"/>
  <c r="P107" i="461"/>
  <c r="O107" i="461"/>
  <c r="N107" i="461"/>
  <c r="L107" i="461"/>
  <c r="K107" i="461"/>
  <c r="J107" i="461"/>
  <c r="I107" i="461"/>
  <c r="H107" i="461"/>
  <c r="G107" i="461"/>
  <c r="F107" i="461"/>
  <c r="E107" i="461"/>
  <c r="D107" i="461"/>
  <c r="Y106" i="461"/>
  <c r="X106" i="461"/>
  <c r="W106" i="461"/>
  <c r="V106" i="461"/>
  <c r="U106" i="461"/>
  <c r="R106" i="461"/>
  <c r="Q106" i="461"/>
  <c r="P106" i="461"/>
  <c r="O106" i="461"/>
  <c r="N106" i="461"/>
  <c r="L106" i="461"/>
  <c r="K106" i="461"/>
  <c r="J106" i="461"/>
  <c r="I106" i="461"/>
  <c r="H106" i="461"/>
  <c r="G106" i="461"/>
  <c r="F106" i="461"/>
  <c r="E106" i="461"/>
  <c r="D106" i="461"/>
  <c r="Y105" i="461"/>
  <c r="X105" i="461"/>
  <c r="W105" i="461"/>
  <c r="V105" i="461"/>
  <c r="U105" i="461"/>
  <c r="R105" i="461"/>
  <c r="Q105" i="461"/>
  <c r="P105" i="461"/>
  <c r="O105" i="461"/>
  <c r="N105" i="461"/>
  <c r="L105" i="461"/>
  <c r="K105" i="461"/>
  <c r="J105" i="461"/>
  <c r="I105" i="461"/>
  <c r="H105" i="461"/>
  <c r="G105" i="461"/>
  <c r="F105" i="461"/>
  <c r="E105" i="461"/>
  <c r="D105" i="461"/>
  <c r="Y104" i="461"/>
  <c r="X104" i="461"/>
  <c r="W104" i="461"/>
  <c r="V104" i="461"/>
  <c r="U104" i="461"/>
  <c r="R104" i="461"/>
  <c r="Q104" i="461"/>
  <c r="P104" i="461"/>
  <c r="O104" i="461"/>
  <c r="N104" i="461"/>
  <c r="L104" i="461"/>
  <c r="K104" i="461"/>
  <c r="J104" i="461"/>
  <c r="I104" i="461"/>
  <c r="H104" i="461"/>
  <c r="G104" i="461"/>
  <c r="F104" i="461"/>
  <c r="E104" i="461"/>
  <c r="D104" i="461"/>
  <c r="Y103" i="461"/>
  <c r="X103" i="461"/>
  <c r="W103" i="461"/>
  <c r="V103" i="461"/>
  <c r="U103" i="461"/>
  <c r="R103" i="461"/>
  <c r="Q103" i="461"/>
  <c r="P103" i="461"/>
  <c r="O103" i="461"/>
  <c r="N103" i="461"/>
  <c r="L103" i="461"/>
  <c r="K103" i="461"/>
  <c r="J103" i="461"/>
  <c r="I103" i="461"/>
  <c r="H103" i="461"/>
  <c r="G103" i="461"/>
  <c r="F103" i="461"/>
  <c r="E103" i="461"/>
  <c r="D103" i="461"/>
  <c r="Y102" i="461"/>
  <c r="X102" i="461"/>
  <c r="W102" i="461"/>
  <c r="V102" i="461"/>
  <c r="U102" i="461"/>
  <c r="R102" i="461"/>
  <c r="Q102" i="461"/>
  <c r="P102" i="461"/>
  <c r="O102" i="461"/>
  <c r="N102" i="461"/>
  <c r="L102" i="461"/>
  <c r="K102" i="461"/>
  <c r="J102" i="461"/>
  <c r="I102" i="461"/>
  <c r="H102" i="461"/>
  <c r="G102" i="461"/>
  <c r="F102" i="461"/>
  <c r="E102" i="461"/>
  <c r="D102" i="461"/>
  <c r="L101" i="461"/>
  <c r="K101" i="461"/>
  <c r="J101" i="461"/>
  <c r="I101" i="461"/>
  <c r="H101" i="461"/>
  <c r="G101" i="461"/>
  <c r="F101" i="461"/>
  <c r="E101" i="461"/>
  <c r="D101" i="461"/>
  <c r="L100" i="461"/>
  <c r="D100" i="461"/>
  <c r="Y98" i="461"/>
  <c r="X98" i="461"/>
  <c r="W98" i="461"/>
  <c r="V98" i="461"/>
  <c r="U98" i="461"/>
  <c r="R98" i="461"/>
  <c r="Q98" i="461"/>
  <c r="P98" i="461"/>
  <c r="O98" i="461"/>
  <c r="N98" i="461"/>
  <c r="L98" i="461"/>
  <c r="K98" i="461"/>
  <c r="J98" i="461"/>
  <c r="I98" i="461"/>
  <c r="H98" i="461"/>
  <c r="G98" i="461"/>
  <c r="F98" i="461"/>
  <c r="E98" i="461"/>
  <c r="D98" i="461"/>
  <c r="Y97" i="461"/>
  <c r="X97" i="461"/>
  <c r="W97" i="461"/>
  <c r="V97" i="461"/>
  <c r="U97" i="461"/>
  <c r="R97" i="461"/>
  <c r="Q97" i="461"/>
  <c r="P97" i="461"/>
  <c r="O97" i="461"/>
  <c r="N97" i="461"/>
  <c r="L97" i="461"/>
  <c r="K97" i="461"/>
  <c r="J97" i="461"/>
  <c r="I97" i="461"/>
  <c r="H97" i="461"/>
  <c r="G97" i="461"/>
  <c r="F97" i="461"/>
  <c r="E97" i="461"/>
  <c r="D97" i="461"/>
  <c r="Y96" i="461"/>
  <c r="X96" i="461"/>
  <c r="W96" i="461"/>
  <c r="V96" i="461"/>
  <c r="U96" i="461"/>
  <c r="R96" i="461"/>
  <c r="Q96" i="461"/>
  <c r="P96" i="461"/>
  <c r="O96" i="461"/>
  <c r="N96" i="461"/>
  <c r="L96" i="461"/>
  <c r="K96" i="461"/>
  <c r="J96" i="461"/>
  <c r="I96" i="461"/>
  <c r="H96" i="461"/>
  <c r="G96" i="461"/>
  <c r="F96" i="461"/>
  <c r="E96" i="461"/>
  <c r="D96" i="461"/>
  <c r="Y95" i="461"/>
  <c r="X95" i="461"/>
  <c r="W95" i="461"/>
  <c r="V95" i="461"/>
  <c r="U95" i="461"/>
  <c r="R95" i="461"/>
  <c r="Q95" i="461"/>
  <c r="P95" i="461"/>
  <c r="O95" i="461"/>
  <c r="N95" i="461"/>
  <c r="L95" i="461"/>
  <c r="K95" i="461"/>
  <c r="J95" i="461"/>
  <c r="I95" i="461"/>
  <c r="H95" i="461"/>
  <c r="G95" i="461"/>
  <c r="F95" i="461"/>
  <c r="E95" i="461"/>
  <c r="D95" i="461"/>
  <c r="Y94" i="461"/>
  <c r="X94" i="461"/>
  <c r="W94" i="461"/>
  <c r="V94" i="461"/>
  <c r="U94" i="461"/>
  <c r="R94" i="461"/>
  <c r="Q94" i="461"/>
  <c r="P94" i="461"/>
  <c r="O94" i="461"/>
  <c r="N94" i="461"/>
  <c r="L94" i="461"/>
  <c r="K94" i="461"/>
  <c r="J94" i="461"/>
  <c r="I94" i="461"/>
  <c r="H94" i="461"/>
  <c r="G94" i="461"/>
  <c r="F94" i="461"/>
  <c r="E94" i="461"/>
  <c r="D94" i="461"/>
  <c r="Y93" i="461"/>
  <c r="X93" i="461"/>
  <c r="W93" i="461"/>
  <c r="V93" i="461"/>
  <c r="U93" i="461"/>
  <c r="R93" i="461"/>
  <c r="Q93" i="461"/>
  <c r="P93" i="461"/>
  <c r="O93" i="461"/>
  <c r="N93" i="461"/>
  <c r="L93" i="461"/>
  <c r="K93" i="461"/>
  <c r="J93" i="461"/>
  <c r="I93" i="461"/>
  <c r="H93" i="461"/>
  <c r="G93" i="461"/>
  <c r="F93" i="461"/>
  <c r="E93" i="461"/>
  <c r="D93" i="461"/>
  <c r="Y92" i="461"/>
  <c r="X92" i="461"/>
  <c r="W92" i="461"/>
  <c r="V92" i="461"/>
  <c r="U92" i="461"/>
  <c r="R92" i="461"/>
  <c r="Q92" i="461"/>
  <c r="P92" i="461"/>
  <c r="O92" i="461"/>
  <c r="N92" i="461"/>
  <c r="L92" i="461"/>
  <c r="K92" i="461"/>
  <c r="J92" i="461"/>
  <c r="I92" i="461"/>
  <c r="H92" i="461"/>
  <c r="G92" i="461"/>
  <c r="F92" i="461"/>
  <c r="E92" i="461"/>
  <c r="D92" i="461"/>
  <c r="Y91" i="461"/>
  <c r="X91" i="461"/>
  <c r="W91" i="461"/>
  <c r="V91" i="461"/>
  <c r="U91" i="461"/>
  <c r="R91" i="461"/>
  <c r="Q91" i="461"/>
  <c r="P91" i="461"/>
  <c r="O91" i="461"/>
  <c r="N91" i="461"/>
  <c r="L91" i="461"/>
  <c r="K91" i="461"/>
  <c r="J91" i="461"/>
  <c r="I91" i="461"/>
  <c r="H91" i="461"/>
  <c r="G91" i="461"/>
  <c r="F91" i="461"/>
  <c r="E91" i="461"/>
  <c r="D91" i="461"/>
  <c r="Y90" i="461"/>
  <c r="X90" i="461"/>
  <c r="W90" i="461"/>
  <c r="V90" i="461"/>
  <c r="U90" i="461"/>
  <c r="R90" i="461"/>
  <c r="Q90" i="461"/>
  <c r="P90" i="461"/>
  <c r="O90" i="461"/>
  <c r="N90" i="461"/>
  <c r="L90" i="461"/>
  <c r="K90" i="461"/>
  <c r="J90" i="461"/>
  <c r="I90" i="461"/>
  <c r="H90" i="461"/>
  <c r="G90" i="461"/>
  <c r="F90" i="461"/>
  <c r="E90" i="461"/>
  <c r="D90" i="461"/>
  <c r="Y89" i="461"/>
  <c r="X89" i="461"/>
  <c r="W89" i="461"/>
  <c r="V89" i="461"/>
  <c r="U89" i="461"/>
  <c r="R89" i="461"/>
  <c r="Q89" i="461"/>
  <c r="P89" i="461"/>
  <c r="O89" i="461"/>
  <c r="N89" i="461"/>
  <c r="L89" i="461"/>
  <c r="K89" i="461"/>
  <c r="J89" i="461"/>
  <c r="I89" i="461"/>
  <c r="H89" i="461"/>
  <c r="G89" i="461"/>
  <c r="F89" i="461"/>
  <c r="E89" i="461"/>
  <c r="D89" i="461"/>
  <c r="Y88" i="461"/>
  <c r="X88" i="461"/>
  <c r="W88" i="461"/>
  <c r="V88" i="461"/>
  <c r="U88" i="461"/>
  <c r="R88" i="461"/>
  <c r="Q88" i="461"/>
  <c r="P88" i="461"/>
  <c r="O88" i="461"/>
  <c r="N88" i="461"/>
  <c r="L88" i="461"/>
  <c r="K88" i="461"/>
  <c r="J88" i="461"/>
  <c r="I88" i="461"/>
  <c r="H88" i="461"/>
  <c r="G88" i="461"/>
  <c r="F88" i="461"/>
  <c r="E88" i="461"/>
  <c r="D88" i="461"/>
  <c r="Y87" i="461"/>
  <c r="X87" i="461"/>
  <c r="W87" i="461"/>
  <c r="V87" i="461"/>
  <c r="U87" i="461"/>
  <c r="R87" i="461"/>
  <c r="Q87" i="461"/>
  <c r="P87" i="461"/>
  <c r="O87" i="461"/>
  <c r="N87" i="461"/>
  <c r="L87" i="461"/>
  <c r="K87" i="461"/>
  <c r="J87" i="461"/>
  <c r="I87" i="461"/>
  <c r="H87" i="461"/>
  <c r="G87" i="461"/>
  <c r="F87" i="461"/>
  <c r="E87" i="461"/>
  <c r="D87" i="461"/>
  <c r="Y86" i="461"/>
  <c r="X86" i="461"/>
  <c r="W86" i="461"/>
  <c r="V86" i="461"/>
  <c r="U86" i="461"/>
  <c r="R86" i="461"/>
  <c r="Q86" i="461"/>
  <c r="P86" i="461"/>
  <c r="O86" i="461"/>
  <c r="N86" i="461"/>
  <c r="L86" i="461"/>
  <c r="K86" i="461"/>
  <c r="J86" i="461"/>
  <c r="I86" i="461"/>
  <c r="H86" i="461"/>
  <c r="G86" i="461"/>
  <c r="F86" i="461"/>
  <c r="E86" i="461"/>
  <c r="D86" i="461"/>
  <c r="Y85" i="461"/>
  <c r="X85" i="461"/>
  <c r="W85" i="461"/>
  <c r="V85" i="461"/>
  <c r="U85" i="461"/>
  <c r="R85" i="461"/>
  <c r="Q85" i="461"/>
  <c r="P85" i="461"/>
  <c r="O85" i="461"/>
  <c r="N85" i="461"/>
  <c r="L85" i="461"/>
  <c r="K85" i="461"/>
  <c r="J85" i="461"/>
  <c r="I85" i="461"/>
  <c r="H85" i="461"/>
  <c r="G85" i="461"/>
  <c r="F85" i="461"/>
  <c r="E85" i="461"/>
  <c r="D85" i="461"/>
  <c r="Y84" i="461"/>
  <c r="X84" i="461"/>
  <c r="W84" i="461"/>
  <c r="V84" i="461"/>
  <c r="U84" i="461"/>
  <c r="R84" i="461"/>
  <c r="Q84" i="461"/>
  <c r="P84" i="461"/>
  <c r="O84" i="461"/>
  <c r="N84" i="461"/>
  <c r="L84" i="461"/>
  <c r="K84" i="461"/>
  <c r="J84" i="461"/>
  <c r="I84" i="461"/>
  <c r="H84" i="461"/>
  <c r="G84" i="461"/>
  <c r="F84" i="461"/>
  <c r="E84" i="461"/>
  <c r="D84" i="461"/>
  <c r="Y83" i="461"/>
  <c r="X83" i="461"/>
  <c r="W83" i="461"/>
  <c r="V83" i="461"/>
  <c r="U83" i="461"/>
  <c r="R83" i="461"/>
  <c r="Q83" i="461"/>
  <c r="P83" i="461"/>
  <c r="O83" i="461"/>
  <c r="N83" i="461"/>
  <c r="L83" i="461"/>
  <c r="K83" i="461"/>
  <c r="J83" i="461"/>
  <c r="I83" i="461"/>
  <c r="H83" i="461"/>
  <c r="G83" i="461"/>
  <c r="F83" i="461"/>
  <c r="E83" i="461"/>
  <c r="D83" i="461"/>
  <c r="Y82" i="461"/>
  <c r="X82" i="461"/>
  <c r="W82" i="461"/>
  <c r="V82" i="461"/>
  <c r="U82" i="461"/>
  <c r="R82" i="461"/>
  <c r="Q82" i="461"/>
  <c r="P82" i="461"/>
  <c r="O82" i="461"/>
  <c r="N82" i="461"/>
  <c r="L82" i="461"/>
  <c r="K82" i="461"/>
  <c r="J82" i="461"/>
  <c r="I82" i="461"/>
  <c r="H82" i="461"/>
  <c r="G82" i="461"/>
  <c r="F82" i="461"/>
  <c r="E82" i="461"/>
  <c r="D82" i="461"/>
  <c r="Y81" i="461"/>
  <c r="X81" i="461"/>
  <c r="W81" i="461"/>
  <c r="V81" i="461"/>
  <c r="U81" i="461"/>
  <c r="R81" i="461"/>
  <c r="Q81" i="461"/>
  <c r="P81" i="461"/>
  <c r="O81" i="461"/>
  <c r="N81" i="461"/>
  <c r="L81" i="461"/>
  <c r="K81" i="461"/>
  <c r="J81" i="461"/>
  <c r="I81" i="461"/>
  <c r="H81" i="461"/>
  <c r="G81" i="461"/>
  <c r="F81" i="461"/>
  <c r="E81" i="461"/>
  <c r="D81" i="461"/>
  <c r="Y80" i="461"/>
  <c r="X80" i="461"/>
  <c r="W80" i="461"/>
  <c r="V80" i="461"/>
  <c r="U80" i="461"/>
  <c r="R80" i="461"/>
  <c r="Q80" i="461"/>
  <c r="P80" i="461"/>
  <c r="O80" i="461"/>
  <c r="N80" i="461"/>
  <c r="L80" i="461"/>
  <c r="K80" i="461"/>
  <c r="J80" i="461"/>
  <c r="I80" i="461"/>
  <c r="H80" i="461"/>
  <c r="G80" i="461"/>
  <c r="F80" i="461"/>
  <c r="E80" i="461"/>
  <c r="D80" i="461"/>
  <c r="Y79" i="461"/>
  <c r="X79" i="461"/>
  <c r="W79" i="461"/>
  <c r="V79" i="461"/>
  <c r="U79" i="461"/>
  <c r="R79" i="461"/>
  <c r="Q79" i="461"/>
  <c r="P79" i="461"/>
  <c r="O79" i="461"/>
  <c r="N79" i="461"/>
  <c r="L79" i="461"/>
  <c r="K79" i="461"/>
  <c r="J79" i="461"/>
  <c r="I79" i="461"/>
  <c r="H79" i="461"/>
  <c r="G79" i="461"/>
  <c r="F79" i="461"/>
  <c r="E79" i="461"/>
  <c r="D79" i="461"/>
  <c r="L78" i="461"/>
  <c r="K78" i="461"/>
  <c r="J78" i="461"/>
  <c r="I78" i="461"/>
  <c r="H78" i="461"/>
  <c r="G78" i="461"/>
  <c r="F78" i="461"/>
  <c r="E78" i="461"/>
  <c r="D78" i="461"/>
  <c r="L77" i="461"/>
  <c r="D77" i="461"/>
  <c r="Y75" i="461"/>
  <c r="X75" i="461"/>
  <c r="W75" i="461"/>
  <c r="V75" i="461"/>
  <c r="U75" i="461"/>
  <c r="R75" i="461"/>
  <c r="Q75" i="461"/>
  <c r="L75" i="461"/>
  <c r="K75" i="461"/>
  <c r="J75" i="461"/>
  <c r="I75" i="461"/>
  <c r="H75" i="461"/>
  <c r="G75" i="461"/>
  <c r="F75" i="461"/>
  <c r="E75" i="461"/>
  <c r="D75" i="461"/>
  <c r="Y74" i="461"/>
  <c r="X74" i="461"/>
  <c r="W74" i="461"/>
  <c r="V74" i="461"/>
  <c r="U74" i="461"/>
  <c r="R74" i="461"/>
  <c r="Q74" i="461"/>
  <c r="L74" i="461"/>
  <c r="K74" i="461"/>
  <c r="J74" i="461"/>
  <c r="I74" i="461"/>
  <c r="H74" i="461"/>
  <c r="G74" i="461"/>
  <c r="F74" i="461"/>
  <c r="E74" i="461"/>
  <c r="D74" i="461"/>
  <c r="Y73" i="461"/>
  <c r="X73" i="461"/>
  <c r="W73" i="461"/>
  <c r="V73" i="461"/>
  <c r="U73" i="461"/>
  <c r="R73" i="461"/>
  <c r="Q73" i="461"/>
  <c r="L73" i="461"/>
  <c r="K73" i="461"/>
  <c r="J73" i="461"/>
  <c r="I73" i="461"/>
  <c r="H73" i="461"/>
  <c r="G73" i="461"/>
  <c r="F73" i="461"/>
  <c r="E73" i="461"/>
  <c r="D73" i="461"/>
  <c r="Y72" i="461"/>
  <c r="X72" i="461"/>
  <c r="W72" i="461"/>
  <c r="V72" i="461"/>
  <c r="U72" i="461"/>
  <c r="R72" i="461"/>
  <c r="Q72" i="461"/>
  <c r="L72" i="461"/>
  <c r="K72" i="461"/>
  <c r="J72" i="461"/>
  <c r="I72" i="461"/>
  <c r="H72" i="461"/>
  <c r="G72" i="461"/>
  <c r="F72" i="461"/>
  <c r="E72" i="461"/>
  <c r="D72" i="461"/>
  <c r="Y71" i="461"/>
  <c r="X71" i="461"/>
  <c r="W71" i="461"/>
  <c r="V71" i="461"/>
  <c r="U71" i="461"/>
  <c r="R71" i="461"/>
  <c r="Q71" i="461"/>
  <c r="L71" i="461"/>
  <c r="K71" i="461"/>
  <c r="J71" i="461"/>
  <c r="I71" i="461"/>
  <c r="H71" i="461"/>
  <c r="G71" i="461"/>
  <c r="F71" i="461"/>
  <c r="E71" i="461"/>
  <c r="D71" i="461"/>
  <c r="Y70" i="461"/>
  <c r="X70" i="461"/>
  <c r="W70" i="461"/>
  <c r="V70" i="461"/>
  <c r="U70" i="461"/>
  <c r="R70" i="461"/>
  <c r="Q70" i="461"/>
  <c r="L70" i="461"/>
  <c r="K70" i="461"/>
  <c r="J70" i="461"/>
  <c r="I70" i="461"/>
  <c r="H70" i="461"/>
  <c r="G70" i="461"/>
  <c r="F70" i="461"/>
  <c r="E70" i="461"/>
  <c r="D70" i="461"/>
  <c r="Y69" i="461"/>
  <c r="X69" i="461"/>
  <c r="W69" i="461"/>
  <c r="V69" i="461"/>
  <c r="U69" i="461"/>
  <c r="R69" i="461"/>
  <c r="Q69" i="461"/>
  <c r="L69" i="461"/>
  <c r="K69" i="461"/>
  <c r="J69" i="461"/>
  <c r="I69" i="461"/>
  <c r="H69" i="461"/>
  <c r="G69" i="461"/>
  <c r="F69" i="461"/>
  <c r="E69" i="461"/>
  <c r="D69" i="461"/>
  <c r="Y68" i="461"/>
  <c r="X68" i="461"/>
  <c r="W68" i="461"/>
  <c r="V68" i="461"/>
  <c r="U68" i="461"/>
  <c r="R68" i="461"/>
  <c r="Q68" i="461"/>
  <c r="L68" i="461"/>
  <c r="K68" i="461"/>
  <c r="J68" i="461"/>
  <c r="I68" i="461"/>
  <c r="H68" i="461"/>
  <c r="G68" i="461"/>
  <c r="F68" i="461"/>
  <c r="E68" i="461"/>
  <c r="D68" i="461"/>
  <c r="Y67" i="461"/>
  <c r="X67" i="461"/>
  <c r="W67" i="461"/>
  <c r="V67" i="461"/>
  <c r="U67" i="461"/>
  <c r="R67" i="461"/>
  <c r="Q67" i="461"/>
  <c r="L67" i="461"/>
  <c r="K67" i="461"/>
  <c r="J67" i="461"/>
  <c r="I67" i="461"/>
  <c r="H67" i="461"/>
  <c r="G67" i="461"/>
  <c r="F67" i="461"/>
  <c r="E67" i="461"/>
  <c r="D67" i="461"/>
  <c r="Y66" i="461"/>
  <c r="X66" i="461"/>
  <c r="W66" i="461"/>
  <c r="V66" i="461"/>
  <c r="U66" i="461"/>
  <c r="R66" i="461"/>
  <c r="Q66" i="461"/>
  <c r="L66" i="461"/>
  <c r="K66" i="461"/>
  <c r="J66" i="461"/>
  <c r="I66" i="461"/>
  <c r="H66" i="461"/>
  <c r="G66" i="461"/>
  <c r="F66" i="461"/>
  <c r="E66" i="461"/>
  <c r="D66" i="461"/>
  <c r="Y65" i="461"/>
  <c r="X65" i="461"/>
  <c r="W65" i="461"/>
  <c r="V65" i="461"/>
  <c r="U65" i="461"/>
  <c r="R65" i="461"/>
  <c r="Q65" i="461"/>
  <c r="L65" i="461"/>
  <c r="K65" i="461"/>
  <c r="J65" i="461"/>
  <c r="I65" i="461"/>
  <c r="H65" i="461"/>
  <c r="G65" i="461"/>
  <c r="F65" i="461"/>
  <c r="E65" i="461"/>
  <c r="D65" i="461"/>
  <c r="Y64" i="461"/>
  <c r="X64" i="461"/>
  <c r="W64" i="461"/>
  <c r="V64" i="461"/>
  <c r="U64" i="461"/>
  <c r="R64" i="461"/>
  <c r="Q64" i="461"/>
  <c r="L64" i="461"/>
  <c r="K64" i="461"/>
  <c r="J64" i="461"/>
  <c r="I64" i="461"/>
  <c r="H64" i="461"/>
  <c r="G64" i="461"/>
  <c r="F64" i="461"/>
  <c r="E64" i="461"/>
  <c r="D64" i="461"/>
  <c r="Y63" i="461"/>
  <c r="X63" i="461"/>
  <c r="W63" i="461"/>
  <c r="V63" i="461"/>
  <c r="U63" i="461"/>
  <c r="R63" i="461"/>
  <c r="Q63" i="461"/>
  <c r="L63" i="461"/>
  <c r="K63" i="461"/>
  <c r="J63" i="461"/>
  <c r="I63" i="461"/>
  <c r="H63" i="461"/>
  <c r="G63" i="461"/>
  <c r="F63" i="461"/>
  <c r="E63" i="461"/>
  <c r="D63" i="461"/>
  <c r="Y62" i="461"/>
  <c r="X62" i="461"/>
  <c r="W62" i="461"/>
  <c r="V62" i="461"/>
  <c r="U62" i="461"/>
  <c r="R62" i="461"/>
  <c r="Q62" i="461"/>
  <c r="L62" i="461"/>
  <c r="K62" i="461"/>
  <c r="J62" i="461"/>
  <c r="I62" i="461"/>
  <c r="H62" i="461"/>
  <c r="G62" i="461"/>
  <c r="F62" i="461"/>
  <c r="E62" i="461"/>
  <c r="D62" i="461"/>
  <c r="Y61" i="461"/>
  <c r="X61" i="461"/>
  <c r="W61" i="461"/>
  <c r="V61" i="461"/>
  <c r="U61" i="461"/>
  <c r="R61" i="461"/>
  <c r="Q61" i="461"/>
  <c r="L61" i="461"/>
  <c r="K61" i="461"/>
  <c r="J61" i="461"/>
  <c r="I61" i="461"/>
  <c r="H61" i="461"/>
  <c r="G61" i="461"/>
  <c r="F61" i="461"/>
  <c r="E61" i="461"/>
  <c r="D61" i="461"/>
  <c r="Y60" i="461"/>
  <c r="X60" i="461"/>
  <c r="W60" i="461"/>
  <c r="V60" i="461"/>
  <c r="U60" i="461"/>
  <c r="R60" i="461"/>
  <c r="Q60" i="461"/>
  <c r="L60" i="461"/>
  <c r="K60" i="461"/>
  <c r="J60" i="461"/>
  <c r="I60" i="461"/>
  <c r="H60" i="461"/>
  <c r="G60" i="461"/>
  <c r="F60" i="461"/>
  <c r="E60" i="461"/>
  <c r="D60" i="461"/>
  <c r="Y59" i="461"/>
  <c r="X59" i="461"/>
  <c r="W59" i="461"/>
  <c r="V59" i="461"/>
  <c r="U59" i="461"/>
  <c r="R59" i="461"/>
  <c r="Q59" i="461"/>
  <c r="L59" i="461"/>
  <c r="K59" i="461"/>
  <c r="J59" i="461"/>
  <c r="I59" i="461"/>
  <c r="H59" i="461"/>
  <c r="G59" i="461"/>
  <c r="F59" i="461"/>
  <c r="E59" i="461"/>
  <c r="D59" i="461"/>
  <c r="Y58" i="461"/>
  <c r="X58" i="461"/>
  <c r="W58" i="461"/>
  <c r="V58" i="461"/>
  <c r="U58" i="461"/>
  <c r="R58" i="461"/>
  <c r="Q58" i="461"/>
  <c r="L58" i="461"/>
  <c r="K58" i="461"/>
  <c r="J58" i="461"/>
  <c r="I58" i="461"/>
  <c r="H58" i="461"/>
  <c r="G58" i="461"/>
  <c r="F58" i="461"/>
  <c r="E58" i="461"/>
  <c r="D58" i="461"/>
  <c r="Y57" i="461"/>
  <c r="X57" i="461"/>
  <c r="W57" i="461"/>
  <c r="V57" i="461"/>
  <c r="U57" i="461"/>
  <c r="R57" i="461"/>
  <c r="Q57" i="461"/>
  <c r="L57" i="461"/>
  <c r="K57" i="461"/>
  <c r="J57" i="461"/>
  <c r="I57" i="461"/>
  <c r="H57" i="461"/>
  <c r="G57" i="461"/>
  <c r="F57" i="461"/>
  <c r="E57" i="461"/>
  <c r="D57" i="461"/>
  <c r="Y56" i="461"/>
  <c r="X56" i="461"/>
  <c r="W56" i="461"/>
  <c r="V56" i="461"/>
  <c r="U56" i="461"/>
  <c r="R56" i="461"/>
  <c r="Q56" i="461"/>
  <c r="L56" i="461"/>
  <c r="K56" i="461"/>
  <c r="J56" i="461"/>
  <c r="I56" i="461"/>
  <c r="H56" i="461"/>
  <c r="G56" i="461"/>
  <c r="F56" i="461"/>
  <c r="E56" i="461"/>
  <c r="D56" i="461"/>
  <c r="Y55" i="461"/>
  <c r="X55" i="461"/>
  <c r="W55" i="461"/>
  <c r="V55" i="461"/>
  <c r="U55" i="461"/>
  <c r="R55" i="461"/>
  <c r="Q55" i="461"/>
  <c r="L55" i="461"/>
  <c r="K55" i="461"/>
  <c r="J55" i="461"/>
  <c r="I55" i="461"/>
  <c r="H55" i="461"/>
  <c r="G55" i="461"/>
  <c r="F55" i="461"/>
  <c r="E55" i="461"/>
  <c r="D55" i="461"/>
  <c r="Y54" i="461"/>
  <c r="X54" i="461"/>
  <c r="W54" i="461"/>
  <c r="V54" i="461"/>
  <c r="U54" i="461"/>
  <c r="R54" i="461"/>
  <c r="Q54" i="461"/>
  <c r="L54" i="461"/>
  <c r="K54" i="461"/>
  <c r="J54" i="461"/>
  <c r="I54" i="461"/>
  <c r="H54" i="461"/>
  <c r="G54" i="461"/>
  <c r="F54" i="461"/>
  <c r="E54" i="461"/>
  <c r="D54" i="461"/>
  <c r="Y53" i="461"/>
  <c r="X53" i="461"/>
  <c r="W53" i="461"/>
  <c r="V53" i="461"/>
  <c r="U53" i="461"/>
  <c r="R53" i="461"/>
  <c r="Q53" i="461"/>
  <c r="L53" i="461"/>
  <c r="K53" i="461"/>
  <c r="J53" i="461"/>
  <c r="I53" i="461"/>
  <c r="H53" i="461"/>
  <c r="G53" i="461"/>
  <c r="F53" i="461"/>
  <c r="E53" i="461"/>
  <c r="D53" i="461"/>
  <c r="Y52" i="461"/>
  <c r="X52" i="461"/>
  <c r="W52" i="461"/>
  <c r="V52" i="461"/>
  <c r="U52" i="461"/>
  <c r="R52" i="461"/>
  <c r="Q52" i="461"/>
  <c r="L52" i="461"/>
  <c r="K52" i="461"/>
  <c r="J52" i="461"/>
  <c r="I52" i="461"/>
  <c r="H52" i="461"/>
  <c r="G52" i="461"/>
  <c r="F52" i="461"/>
  <c r="E52" i="461"/>
  <c r="D52" i="461"/>
  <c r="Y51" i="461"/>
  <c r="X51" i="461"/>
  <c r="W51" i="461"/>
  <c r="V51" i="461"/>
  <c r="U51" i="461"/>
  <c r="R51" i="461"/>
  <c r="Q51" i="461"/>
  <c r="L51" i="461"/>
  <c r="K51" i="461"/>
  <c r="J51" i="461"/>
  <c r="I51" i="461"/>
  <c r="H51" i="461"/>
  <c r="G51" i="461"/>
  <c r="F51" i="461"/>
  <c r="E51" i="461"/>
  <c r="D51" i="461"/>
  <c r="Y50" i="461"/>
  <c r="X50" i="461"/>
  <c r="W50" i="461"/>
  <c r="V50" i="461"/>
  <c r="U50" i="461"/>
  <c r="R50" i="461"/>
  <c r="Q50" i="461"/>
  <c r="L50" i="461"/>
  <c r="K50" i="461"/>
  <c r="J50" i="461"/>
  <c r="I50" i="461"/>
  <c r="H50" i="461"/>
  <c r="G50" i="461"/>
  <c r="F50" i="461"/>
  <c r="E50" i="461"/>
  <c r="D50" i="461"/>
  <c r="Y49" i="461"/>
  <c r="X49" i="461"/>
  <c r="W49" i="461"/>
  <c r="V49" i="461"/>
  <c r="U49" i="461"/>
  <c r="R49" i="461"/>
  <c r="Q49" i="461"/>
  <c r="L49" i="461"/>
  <c r="K49" i="461"/>
  <c r="J49" i="461"/>
  <c r="I49" i="461"/>
  <c r="H49" i="461"/>
  <c r="G49" i="461"/>
  <c r="F49" i="461"/>
  <c r="E49" i="461"/>
  <c r="D49" i="461"/>
  <c r="Y48" i="461"/>
  <c r="X48" i="461"/>
  <c r="W48" i="461"/>
  <c r="V48" i="461"/>
  <c r="U48" i="461"/>
  <c r="R48" i="461"/>
  <c r="Q48" i="461"/>
  <c r="L48" i="461"/>
  <c r="K48" i="461"/>
  <c r="J48" i="461"/>
  <c r="I48" i="461"/>
  <c r="H48" i="461"/>
  <c r="G48" i="461"/>
  <c r="F48" i="461"/>
  <c r="E48" i="461"/>
  <c r="D48" i="461"/>
  <c r="Y47" i="461"/>
  <c r="X47" i="461"/>
  <c r="W47" i="461"/>
  <c r="V47" i="461"/>
  <c r="U47" i="461"/>
  <c r="R47" i="461"/>
  <c r="Q47" i="461"/>
  <c r="L47" i="461"/>
  <c r="K47" i="461"/>
  <c r="J47" i="461"/>
  <c r="I47" i="461"/>
  <c r="H47" i="461"/>
  <c r="G47" i="461"/>
  <c r="F47" i="461"/>
  <c r="E47" i="461"/>
  <c r="D47" i="461"/>
  <c r="Y46" i="461"/>
  <c r="X46" i="461"/>
  <c r="W46" i="461"/>
  <c r="V46" i="461"/>
  <c r="U46" i="461"/>
  <c r="R46" i="461"/>
  <c r="Q46" i="461"/>
  <c r="L46" i="461"/>
  <c r="K46" i="461"/>
  <c r="J46" i="461"/>
  <c r="I46" i="461"/>
  <c r="H46" i="461"/>
  <c r="G46" i="461"/>
  <c r="F46" i="461"/>
  <c r="E46" i="461"/>
  <c r="D46" i="461"/>
  <c r="Y45" i="461"/>
  <c r="X45" i="461"/>
  <c r="W45" i="461"/>
  <c r="V45" i="461"/>
  <c r="U45" i="461"/>
  <c r="R45" i="461"/>
  <c r="Q45" i="461"/>
  <c r="L45" i="461"/>
  <c r="K45" i="461"/>
  <c r="J45" i="461"/>
  <c r="I45" i="461"/>
  <c r="H45" i="461"/>
  <c r="G45" i="461"/>
  <c r="F45" i="461"/>
  <c r="E45" i="461"/>
  <c r="D45" i="461"/>
  <c r="Y44" i="461"/>
  <c r="X44" i="461"/>
  <c r="W44" i="461"/>
  <c r="V44" i="461"/>
  <c r="U44" i="461"/>
  <c r="R44" i="461"/>
  <c r="Q44" i="461"/>
  <c r="L44" i="461"/>
  <c r="K44" i="461"/>
  <c r="J44" i="461"/>
  <c r="I44" i="461"/>
  <c r="H44" i="461"/>
  <c r="G44" i="461"/>
  <c r="F44" i="461"/>
  <c r="E44" i="461"/>
  <c r="D44" i="461"/>
  <c r="Y43" i="461"/>
  <c r="X43" i="461"/>
  <c r="W43" i="461"/>
  <c r="V43" i="461"/>
  <c r="U43" i="461"/>
  <c r="R43" i="461"/>
  <c r="Q43" i="461"/>
  <c r="L43" i="461"/>
  <c r="K43" i="461"/>
  <c r="J43" i="461"/>
  <c r="I43" i="461"/>
  <c r="H43" i="461"/>
  <c r="G43" i="461"/>
  <c r="F43" i="461"/>
  <c r="E43" i="461"/>
  <c r="D43" i="461"/>
  <c r="Y42" i="461"/>
  <c r="X42" i="461"/>
  <c r="W42" i="461"/>
  <c r="V42" i="461"/>
  <c r="U42" i="461"/>
  <c r="R42" i="461"/>
  <c r="Q42" i="461"/>
  <c r="L42" i="461"/>
  <c r="K42" i="461"/>
  <c r="J42" i="461"/>
  <c r="I42" i="461"/>
  <c r="H42" i="461"/>
  <c r="G42" i="461"/>
  <c r="F42" i="461"/>
  <c r="E42" i="461"/>
  <c r="D42" i="461"/>
  <c r="Y41" i="461"/>
  <c r="X41" i="461"/>
  <c r="W41" i="461"/>
  <c r="V41" i="461"/>
  <c r="U41" i="461"/>
  <c r="R41" i="461"/>
  <c r="Q41" i="461"/>
  <c r="L41" i="461"/>
  <c r="K41" i="461"/>
  <c r="J41" i="461"/>
  <c r="I41" i="461"/>
  <c r="H41" i="461"/>
  <c r="G41" i="461"/>
  <c r="F41" i="461"/>
  <c r="E41" i="461"/>
  <c r="D41" i="461"/>
  <c r="Y40" i="461"/>
  <c r="X40" i="461"/>
  <c r="W40" i="461"/>
  <c r="V40" i="461"/>
  <c r="U40" i="461"/>
  <c r="R40" i="461"/>
  <c r="Q40" i="461"/>
  <c r="L40" i="461"/>
  <c r="K40" i="461"/>
  <c r="J40" i="461"/>
  <c r="I40" i="461"/>
  <c r="H40" i="461"/>
  <c r="G40" i="461"/>
  <c r="F40" i="461"/>
  <c r="E40" i="461"/>
  <c r="D40" i="461"/>
  <c r="Y39" i="461"/>
  <c r="X39" i="461"/>
  <c r="W39" i="461"/>
  <c r="V39" i="461"/>
  <c r="U39" i="461"/>
  <c r="R39" i="461"/>
  <c r="Q39" i="461"/>
  <c r="L39" i="461"/>
  <c r="K39" i="461"/>
  <c r="J39" i="461"/>
  <c r="I39" i="461"/>
  <c r="H39" i="461"/>
  <c r="G39" i="461"/>
  <c r="F39" i="461"/>
  <c r="E39" i="461"/>
  <c r="D39" i="461"/>
  <c r="Y38" i="461"/>
  <c r="X38" i="461"/>
  <c r="W38" i="461"/>
  <c r="V38" i="461"/>
  <c r="U38" i="461"/>
  <c r="R38" i="461"/>
  <c r="Q38" i="461"/>
  <c r="L38" i="461"/>
  <c r="K38" i="461"/>
  <c r="J38" i="461"/>
  <c r="I38" i="461"/>
  <c r="H38" i="461"/>
  <c r="G38" i="461"/>
  <c r="F38" i="461"/>
  <c r="E38" i="461"/>
  <c r="D38" i="461"/>
  <c r="Y37" i="461"/>
  <c r="X37" i="461"/>
  <c r="W37" i="461"/>
  <c r="V37" i="461"/>
  <c r="U37" i="461"/>
  <c r="R37" i="461"/>
  <c r="Q37" i="461"/>
  <c r="L37" i="461"/>
  <c r="K37" i="461"/>
  <c r="J37" i="461"/>
  <c r="I37" i="461"/>
  <c r="H37" i="461"/>
  <c r="G37" i="461"/>
  <c r="F37" i="461"/>
  <c r="E37" i="461"/>
  <c r="D37" i="461"/>
  <c r="Y36" i="461"/>
  <c r="X36" i="461"/>
  <c r="W36" i="461"/>
  <c r="V36" i="461"/>
  <c r="U36" i="461"/>
  <c r="R36" i="461"/>
  <c r="Q36" i="461"/>
  <c r="L36" i="461"/>
  <c r="K36" i="461"/>
  <c r="J36" i="461"/>
  <c r="I36" i="461"/>
  <c r="H36" i="461"/>
  <c r="G36" i="461"/>
  <c r="F36" i="461"/>
  <c r="E36" i="461"/>
  <c r="D36" i="461"/>
  <c r="Y35" i="461"/>
  <c r="X35" i="461"/>
  <c r="W35" i="461"/>
  <c r="V35" i="461"/>
  <c r="U35" i="461"/>
  <c r="R35" i="461"/>
  <c r="Q35" i="461"/>
  <c r="L35" i="461"/>
  <c r="K35" i="461"/>
  <c r="J35" i="461"/>
  <c r="I35" i="461"/>
  <c r="H35" i="461"/>
  <c r="G35" i="461"/>
  <c r="F35" i="461"/>
  <c r="E35" i="461"/>
  <c r="D35" i="461"/>
  <c r="Y34" i="461"/>
  <c r="X34" i="461"/>
  <c r="W34" i="461"/>
  <c r="V34" i="461"/>
  <c r="U34" i="461"/>
  <c r="R34" i="461"/>
  <c r="Q34" i="461"/>
  <c r="L34" i="461"/>
  <c r="K34" i="461"/>
  <c r="J34" i="461"/>
  <c r="I34" i="461"/>
  <c r="H34" i="461"/>
  <c r="G34" i="461"/>
  <c r="F34" i="461"/>
  <c r="E34" i="461"/>
  <c r="D34" i="461"/>
  <c r="L33" i="461"/>
  <c r="K33" i="461"/>
  <c r="J33" i="461"/>
  <c r="I33" i="461"/>
  <c r="H33" i="461"/>
  <c r="G33" i="461"/>
  <c r="F33" i="461"/>
  <c r="E33" i="461"/>
  <c r="D33" i="461"/>
  <c r="L32" i="461"/>
  <c r="D32" i="461"/>
  <c r="Y30" i="461"/>
  <c r="X30" i="461"/>
  <c r="W30" i="461"/>
  <c r="V30" i="461"/>
  <c r="U30" i="461"/>
  <c r="R30" i="461"/>
  <c r="Q30" i="461"/>
  <c r="P30" i="461"/>
  <c r="O30" i="461"/>
  <c r="N30" i="461"/>
  <c r="L30" i="461"/>
  <c r="K30" i="461"/>
  <c r="J30" i="461"/>
  <c r="I30" i="461"/>
  <c r="H30" i="461"/>
  <c r="G30" i="461"/>
  <c r="F30" i="461"/>
  <c r="E30" i="461"/>
  <c r="D30" i="461"/>
  <c r="Y29" i="461"/>
  <c r="X29" i="461"/>
  <c r="W29" i="461"/>
  <c r="V29" i="461"/>
  <c r="U29" i="461"/>
  <c r="R29" i="461"/>
  <c r="Q29" i="461"/>
  <c r="P29" i="461"/>
  <c r="O29" i="461"/>
  <c r="N29" i="461"/>
  <c r="L29" i="461"/>
  <c r="K29" i="461"/>
  <c r="J29" i="461"/>
  <c r="I29" i="461"/>
  <c r="H29" i="461"/>
  <c r="G29" i="461"/>
  <c r="F29" i="461"/>
  <c r="E29" i="461"/>
  <c r="D29" i="461"/>
  <c r="Y28" i="461"/>
  <c r="X28" i="461"/>
  <c r="W28" i="461"/>
  <c r="V28" i="461"/>
  <c r="U28" i="461"/>
  <c r="R28" i="461"/>
  <c r="Q28" i="461"/>
  <c r="P28" i="461"/>
  <c r="O28" i="461"/>
  <c r="N28" i="461"/>
  <c r="L28" i="461"/>
  <c r="K28" i="461"/>
  <c r="J28" i="461"/>
  <c r="I28" i="461"/>
  <c r="H28" i="461"/>
  <c r="G28" i="461"/>
  <c r="F28" i="461"/>
  <c r="E28" i="461"/>
  <c r="D28" i="461"/>
  <c r="Y27" i="461"/>
  <c r="X27" i="461"/>
  <c r="W27" i="461"/>
  <c r="V27" i="461"/>
  <c r="U27" i="461"/>
  <c r="R27" i="461"/>
  <c r="Q27" i="461"/>
  <c r="P27" i="461"/>
  <c r="O27" i="461"/>
  <c r="N27" i="461"/>
  <c r="L27" i="461"/>
  <c r="K27" i="461"/>
  <c r="J27" i="461"/>
  <c r="I27" i="461"/>
  <c r="H27" i="461"/>
  <c r="G27" i="461"/>
  <c r="F27" i="461"/>
  <c r="E27" i="461"/>
  <c r="D27" i="461"/>
  <c r="Y26" i="461"/>
  <c r="X26" i="461"/>
  <c r="W26" i="461"/>
  <c r="V26" i="461"/>
  <c r="U26" i="461"/>
  <c r="R26" i="461"/>
  <c r="Q26" i="461"/>
  <c r="P26" i="461"/>
  <c r="O26" i="461"/>
  <c r="N26" i="461"/>
  <c r="L26" i="461"/>
  <c r="K26" i="461"/>
  <c r="J26" i="461"/>
  <c r="I26" i="461"/>
  <c r="H26" i="461"/>
  <c r="G26" i="461"/>
  <c r="F26" i="461"/>
  <c r="E26" i="461"/>
  <c r="D26" i="461"/>
  <c r="Y25" i="461"/>
  <c r="X25" i="461"/>
  <c r="W25" i="461"/>
  <c r="V25" i="461"/>
  <c r="U25" i="461"/>
  <c r="R25" i="461"/>
  <c r="Q25" i="461"/>
  <c r="P25" i="461"/>
  <c r="O25" i="461"/>
  <c r="N25" i="461"/>
  <c r="L25" i="461"/>
  <c r="K25" i="461"/>
  <c r="J25" i="461"/>
  <c r="I25" i="461"/>
  <c r="H25" i="461"/>
  <c r="G25" i="461"/>
  <c r="F25" i="461"/>
  <c r="E25" i="461"/>
  <c r="D25" i="461"/>
  <c r="Y24" i="461"/>
  <c r="X24" i="461"/>
  <c r="W24" i="461"/>
  <c r="V24" i="461"/>
  <c r="U24" i="461"/>
  <c r="R24" i="461"/>
  <c r="Q24" i="461"/>
  <c r="P24" i="461"/>
  <c r="O24" i="461"/>
  <c r="N24" i="461"/>
  <c r="L24" i="461"/>
  <c r="K24" i="461"/>
  <c r="J24" i="461"/>
  <c r="I24" i="461"/>
  <c r="H24" i="461"/>
  <c r="G24" i="461"/>
  <c r="F24" i="461"/>
  <c r="E24" i="461"/>
  <c r="D24" i="461"/>
  <c r="Y23" i="461"/>
  <c r="X23" i="461"/>
  <c r="W23" i="461"/>
  <c r="V23" i="461"/>
  <c r="U23" i="461"/>
  <c r="R23" i="461"/>
  <c r="Q23" i="461"/>
  <c r="P23" i="461"/>
  <c r="O23" i="461"/>
  <c r="N23" i="461"/>
  <c r="L23" i="461"/>
  <c r="K23" i="461"/>
  <c r="J23" i="461"/>
  <c r="I23" i="461"/>
  <c r="H23" i="461"/>
  <c r="G23" i="461"/>
  <c r="F23" i="461"/>
  <c r="E23" i="461"/>
  <c r="D23" i="461"/>
  <c r="Y22" i="461"/>
  <c r="X22" i="461"/>
  <c r="W22" i="461"/>
  <c r="V22" i="461"/>
  <c r="U22" i="461"/>
  <c r="R22" i="461"/>
  <c r="Q22" i="461"/>
  <c r="P22" i="461"/>
  <c r="O22" i="461"/>
  <c r="N22" i="461"/>
  <c r="L22" i="461"/>
  <c r="K22" i="461"/>
  <c r="J22" i="461"/>
  <c r="I22" i="461"/>
  <c r="H22" i="461"/>
  <c r="G22" i="461"/>
  <c r="F22" i="461"/>
  <c r="E22" i="461"/>
  <c r="D22" i="461"/>
  <c r="Y21" i="461"/>
  <c r="X21" i="461"/>
  <c r="W21" i="461"/>
  <c r="V21" i="461"/>
  <c r="U21" i="461"/>
  <c r="R21" i="461"/>
  <c r="Q21" i="461"/>
  <c r="P21" i="461"/>
  <c r="O21" i="461"/>
  <c r="N21" i="461"/>
  <c r="L21" i="461"/>
  <c r="K21" i="461"/>
  <c r="J21" i="461"/>
  <c r="I21" i="461"/>
  <c r="H21" i="461"/>
  <c r="G21" i="461"/>
  <c r="F21" i="461"/>
  <c r="E21" i="461"/>
  <c r="D21" i="461"/>
  <c r="Y20" i="461"/>
  <c r="X20" i="461"/>
  <c r="W20" i="461"/>
  <c r="V20" i="461"/>
  <c r="U20" i="461"/>
  <c r="R20" i="461"/>
  <c r="Q20" i="461"/>
  <c r="P20" i="461"/>
  <c r="O20" i="461"/>
  <c r="N20" i="461"/>
  <c r="L20" i="461"/>
  <c r="K20" i="461"/>
  <c r="J20" i="461"/>
  <c r="I20" i="461"/>
  <c r="H20" i="461"/>
  <c r="G20" i="461"/>
  <c r="F20" i="461"/>
  <c r="E20" i="461"/>
  <c r="D20" i="461"/>
  <c r="Y19" i="461"/>
  <c r="X19" i="461"/>
  <c r="W19" i="461"/>
  <c r="V19" i="461"/>
  <c r="U19" i="461"/>
  <c r="R19" i="461"/>
  <c r="Q19" i="461"/>
  <c r="P19" i="461"/>
  <c r="O19" i="461"/>
  <c r="N19" i="461"/>
  <c r="L19" i="461"/>
  <c r="K19" i="461"/>
  <c r="J19" i="461"/>
  <c r="I19" i="461"/>
  <c r="H19" i="461"/>
  <c r="G19" i="461"/>
  <c r="F19" i="461"/>
  <c r="E19" i="461"/>
  <c r="D19" i="461"/>
  <c r="Y18" i="461"/>
  <c r="X18" i="461"/>
  <c r="W18" i="461"/>
  <c r="V18" i="461"/>
  <c r="U18" i="461"/>
  <c r="R18" i="461"/>
  <c r="Q18" i="461"/>
  <c r="P18" i="461"/>
  <c r="O18" i="461"/>
  <c r="N18" i="461"/>
  <c r="L18" i="461"/>
  <c r="K18" i="461"/>
  <c r="J18" i="461"/>
  <c r="I18" i="461"/>
  <c r="H18" i="461"/>
  <c r="G18" i="461"/>
  <c r="F18" i="461"/>
  <c r="E18" i="461"/>
  <c r="D18" i="461"/>
  <c r="Y17" i="461"/>
  <c r="X17" i="461"/>
  <c r="W17" i="461"/>
  <c r="V17" i="461"/>
  <c r="U17" i="461"/>
  <c r="R17" i="461"/>
  <c r="Q17" i="461"/>
  <c r="P17" i="461"/>
  <c r="O17" i="461"/>
  <c r="N17" i="461"/>
  <c r="L17" i="461"/>
  <c r="K17" i="461"/>
  <c r="J17" i="461"/>
  <c r="I17" i="461"/>
  <c r="H17" i="461"/>
  <c r="G17" i="461"/>
  <c r="F17" i="461"/>
  <c r="E17" i="461"/>
  <c r="D17" i="461"/>
  <c r="Y16" i="461"/>
  <c r="X16" i="461"/>
  <c r="W16" i="461"/>
  <c r="V16" i="461"/>
  <c r="U16" i="461"/>
  <c r="R16" i="461"/>
  <c r="Q16" i="461"/>
  <c r="P16" i="461"/>
  <c r="O16" i="461"/>
  <c r="N16" i="461"/>
  <c r="L16" i="461"/>
  <c r="K16" i="461"/>
  <c r="J16" i="461"/>
  <c r="I16" i="461"/>
  <c r="H16" i="461"/>
  <c r="G16" i="461"/>
  <c r="F16" i="461"/>
  <c r="E16" i="461"/>
  <c r="D16" i="461"/>
  <c r="Y15" i="461"/>
  <c r="X15" i="461"/>
  <c r="W15" i="461"/>
  <c r="V15" i="461"/>
  <c r="U15" i="461"/>
  <c r="R15" i="461"/>
  <c r="Q15" i="461"/>
  <c r="P15" i="461"/>
  <c r="O15" i="461"/>
  <c r="N15" i="461"/>
  <c r="L15" i="461"/>
  <c r="K15" i="461"/>
  <c r="J15" i="461"/>
  <c r="I15" i="461"/>
  <c r="H15" i="461"/>
  <c r="G15" i="461"/>
  <c r="F15" i="461"/>
  <c r="E15" i="461"/>
  <c r="D15" i="461"/>
  <c r="Y14" i="461"/>
  <c r="X14" i="461"/>
  <c r="W14" i="461"/>
  <c r="V14" i="461"/>
  <c r="U14" i="461"/>
  <c r="R14" i="461"/>
  <c r="Q14" i="461"/>
  <c r="P14" i="461"/>
  <c r="O14" i="461"/>
  <c r="N14" i="461"/>
  <c r="L14" i="461"/>
  <c r="K14" i="461"/>
  <c r="J14" i="461"/>
  <c r="I14" i="461"/>
  <c r="H14" i="461"/>
  <c r="G14" i="461"/>
  <c r="F14" i="461"/>
  <c r="E14" i="461"/>
  <c r="D14" i="461"/>
  <c r="Y13" i="461"/>
  <c r="X13" i="461"/>
  <c r="W13" i="461"/>
  <c r="V13" i="461"/>
  <c r="U13" i="461"/>
  <c r="R13" i="461"/>
  <c r="Q13" i="461"/>
  <c r="P13" i="461"/>
  <c r="O13" i="461"/>
  <c r="N13" i="461"/>
  <c r="L13" i="461"/>
  <c r="K13" i="461"/>
  <c r="J13" i="461"/>
  <c r="I13" i="461"/>
  <c r="H13" i="461"/>
  <c r="G13" i="461"/>
  <c r="F13" i="461"/>
  <c r="E13" i="461"/>
  <c r="D13" i="461"/>
  <c r="Y12" i="461"/>
  <c r="X12" i="461"/>
  <c r="W12" i="461"/>
  <c r="V12" i="461"/>
  <c r="U12" i="461"/>
  <c r="R12" i="461"/>
  <c r="Q12" i="461"/>
  <c r="P12" i="461"/>
  <c r="O12" i="461"/>
  <c r="N12" i="461"/>
  <c r="L12" i="461"/>
  <c r="K12" i="461"/>
  <c r="J12" i="461"/>
  <c r="I12" i="461"/>
  <c r="H12" i="461"/>
  <c r="G12" i="461"/>
  <c r="F12" i="461"/>
  <c r="E12" i="461"/>
  <c r="D12" i="461"/>
  <c r="Y11" i="461"/>
  <c r="X11" i="461"/>
  <c r="W11" i="461"/>
  <c r="V11" i="461"/>
  <c r="U11" i="461"/>
  <c r="R11" i="461"/>
  <c r="Q11" i="461"/>
  <c r="P11" i="461"/>
  <c r="O11" i="461"/>
  <c r="N11" i="461"/>
  <c r="L11" i="461"/>
  <c r="K11" i="461"/>
  <c r="J11" i="461"/>
  <c r="I11" i="461"/>
  <c r="H11" i="461"/>
  <c r="G11" i="461"/>
  <c r="F11" i="461"/>
  <c r="E11" i="461"/>
  <c r="D11" i="461"/>
  <c r="L10" i="461"/>
  <c r="K10" i="461"/>
  <c r="J10" i="461"/>
  <c r="I10" i="461"/>
  <c r="H10" i="461"/>
  <c r="G10" i="461"/>
  <c r="F10" i="461"/>
  <c r="E10" i="461"/>
  <c r="D10" i="461"/>
  <c r="L9" i="461"/>
  <c r="D9" i="461"/>
  <c r="R7" i="461"/>
  <c r="R6" i="461"/>
  <c r="R5" i="461"/>
  <c r="S4" i="461"/>
  <c r="R4" i="461"/>
  <c r="F185" i="603"/>
  <c r="F184" i="603"/>
  <c r="M182" i="603"/>
  <c r="F182" i="603"/>
  <c r="M181" i="603"/>
  <c r="F181" i="603"/>
  <c r="M180" i="603"/>
  <c r="L180" i="603"/>
  <c r="K180" i="603"/>
  <c r="F180" i="603"/>
  <c r="F179" i="603"/>
  <c r="F178" i="603"/>
  <c r="F177" i="603"/>
  <c r="F176" i="603"/>
  <c r="P175" i="603"/>
  <c r="F175" i="603"/>
  <c r="M172" i="603"/>
  <c r="L172" i="603"/>
  <c r="J172" i="603"/>
  <c r="F172" i="603"/>
  <c r="F171" i="603"/>
  <c r="P170" i="603"/>
  <c r="F170" i="603"/>
  <c r="M168" i="603"/>
  <c r="L168" i="603"/>
  <c r="K168" i="603"/>
  <c r="F168" i="603"/>
  <c r="F167" i="603"/>
  <c r="F166" i="603"/>
  <c r="F165" i="603"/>
  <c r="P164" i="603"/>
  <c r="F164" i="603"/>
  <c r="M162" i="603"/>
  <c r="L162" i="603"/>
  <c r="K162" i="603"/>
  <c r="F162" i="603"/>
  <c r="F161" i="603"/>
  <c r="F160" i="603"/>
  <c r="F159" i="603"/>
  <c r="P158" i="603"/>
  <c r="F158" i="603"/>
  <c r="M153" i="603"/>
  <c r="L153" i="603"/>
  <c r="K153" i="603"/>
  <c r="F153" i="603"/>
  <c r="F152" i="603"/>
  <c r="F151" i="603"/>
  <c r="P146" i="603"/>
  <c r="M146" i="603"/>
  <c r="L146" i="603"/>
  <c r="J146" i="603"/>
  <c r="F146" i="603"/>
  <c r="P142" i="603"/>
  <c r="M142" i="603"/>
  <c r="L142" i="603"/>
  <c r="K142" i="603"/>
  <c r="F142" i="603"/>
  <c r="F141" i="603"/>
  <c r="F140" i="603"/>
  <c r="P135" i="603"/>
  <c r="M135" i="603"/>
  <c r="L135" i="603"/>
  <c r="K135" i="603"/>
  <c r="F135" i="603"/>
  <c r="F134" i="603"/>
  <c r="P128" i="603"/>
  <c r="M128" i="603"/>
  <c r="L128" i="603"/>
  <c r="K128" i="603"/>
  <c r="F128" i="603"/>
  <c r="P126" i="603"/>
  <c r="M126" i="603"/>
  <c r="L126" i="603"/>
  <c r="J126" i="603"/>
  <c r="F126" i="603"/>
  <c r="F125" i="603"/>
  <c r="F124" i="603"/>
  <c r="F123" i="603"/>
  <c r="P117" i="603"/>
  <c r="M117" i="603"/>
  <c r="L117" i="603"/>
  <c r="K117" i="603"/>
  <c r="F117" i="603"/>
  <c r="P113" i="603"/>
  <c r="M113" i="603"/>
  <c r="L113" i="603"/>
  <c r="K113" i="603"/>
  <c r="F113" i="603"/>
  <c r="F112" i="603"/>
  <c r="P106" i="603"/>
  <c r="M106" i="603"/>
  <c r="L106" i="603"/>
  <c r="K106" i="603"/>
  <c r="F106" i="603"/>
  <c r="P98" i="603"/>
  <c r="M98" i="603"/>
  <c r="L98" i="603"/>
  <c r="K98" i="603"/>
  <c r="F98" i="603"/>
  <c r="F97" i="603"/>
  <c r="P93" i="603"/>
  <c r="M93" i="603"/>
  <c r="L93" i="603"/>
  <c r="K93" i="603"/>
  <c r="F93" i="603"/>
  <c r="F92" i="603"/>
  <c r="F91" i="603"/>
  <c r="F90" i="603"/>
  <c r="F89" i="603"/>
  <c r="P87" i="603"/>
  <c r="M87" i="603"/>
  <c r="L87" i="603"/>
  <c r="J87" i="603"/>
  <c r="F87" i="603"/>
  <c r="F86" i="603"/>
  <c r="F85" i="603"/>
  <c r="F84" i="603"/>
  <c r="F83" i="603"/>
  <c r="P81" i="603"/>
  <c r="M81" i="603"/>
  <c r="L81" i="603"/>
  <c r="J81" i="603"/>
  <c r="F81" i="603"/>
  <c r="F80" i="603"/>
  <c r="F79" i="603"/>
  <c r="F78" i="603"/>
  <c r="F77" i="603"/>
  <c r="P75" i="603"/>
  <c r="M75" i="603"/>
  <c r="L75" i="603"/>
  <c r="J75" i="603"/>
  <c r="F75" i="603"/>
  <c r="F74" i="603"/>
  <c r="F73" i="603"/>
  <c r="F72" i="603"/>
  <c r="P70" i="603"/>
  <c r="M70" i="603"/>
  <c r="L70" i="603"/>
  <c r="J70" i="603"/>
  <c r="F70" i="603"/>
  <c r="F69" i="603"/>
  <c r="F68" i="603"/>
  <c r="F67" i="603"/>
  <c r="F66" i="603"/>
  <c r="P64" i="603"/>
  <c r="M64" i="603"/>
  <c r="L64" i="603"/>
  <c r="J64" i="603"/>
  <c r="F64" i="603"/>
  <c r="F63" i="603"/>
  <c r="F62" i="603"/>
  <c r="F61" i="603"/>
  <c r="F60" i="603"/>
  <c r="P58" i="603"/>
  <c r="M58" i="603"/>
  <c r="L58" i="603"/>
  <c r="J58" i="603"/>
  <c r="F58" i="603"/>
  <c r="F57" i="603"/>
  <c r="F56" i="603"/>
  <c r="F55" i="603"/>
  <c r="F54" i="603"/>
  <c r="P52" i="603"/>
  <c r="M52" i="603"/>
  <c r="L52" i="603"/>
  <c r="J52" i="603"/>
  <c r="F52" i="603"/>
  <c r="F51" i="603"/>
  <c r="F50" i="603"/>
  <c r="F49" i="603"/>
  <c r="F48" i="603"/>
  <c r="P46" i="603"/>
  <c r="M46" i="603"/>
  <c r="L46" i="603"/>
  <c r="J46" i="603"/>
  <c r="F46" i="603"/>
  <c r="F45" i="603"/>
  <c r="F44" i="603"/>
  <c r="F43" i="603"/>
  <c r="F42" i="603"/>
  <c r="P40" i="603"/>
  <c r="M40" i="603"/>
  <c r="L40" i="603"/>
  <c r="J40" i="603"/>
  <c r="F40" i="603"/>
  <c r="F39" i="603"/>
  <c r="F38" i="603"/>
  <c r="F37" i="603"/>
  <c r="F36" i="603"/>
  <c r="F35" i="603"/>
  <c r="F34" i="603"/>
  <c r="F33" i="603"/>
  <c r="P32" i="603"/>
  <c r="M32" i="603"/>
  <c r="L32" i="603"/>
  <c r="J32" i="603"/>
  <c r="F32" i="603"/>
  <c r="F31" i="603"/>
  <c r="F30" i="603"/>
  <c r="P28" i="603"/>
  <c r="M28" i="603"/>
  <c r="L28" i="603"/>
  <c r="K28" i="603"/>
  <c r="F28" i="603"/>
  <c r="F27" i="603"/>
  <c r="F26" i="603"/>
  <c r="P24" i="603"/>
  <c r="M24" i="603"/>
  <c r="L24" i="603"/>
  <c r="K24" i="603"/>
  <c r="F24" i="603"/>
  <c r="F23" i="603"/>
  <c r="F22" i="603"/>
  <c r="F21" i="603"/>
  <c r="F20" i="603"/>
  <c r="F19" i="603"/>
  <c r="P15" i="603"/>
  <c r="M15" i="603"/>
  <c r="L15" i="603"/>
  <c r="K15" i="603"/>
  <c r="F15" i="603"/>
  <c r="F14" i="603"/>
  <c r="F13" i="603"/>
  <c r="F12" i="603"/>
  <c r="F11" i="603"/>
  <c r="F10" i="603"/>
  <c r="P9" i="603"/>
  <c r="M9" i="603"/>
  <c r="L9" i="603"/>
  <c r="K9" i="603"/>
  <c r="F9" i="603"/>
  <c r="F8" i="603"/>
  <c r="F7" i="603"/>
  <c r="F6" i="603"/>
  <c r="F5" i="603"/>
  <c r="M3" i="603"/>
  <c r="G3" i="603"/>
  <c r="F3" i="603"/>
  <c r="F2" i="603"/>
  <c r="C2" i="603"/>
  <c r="F186" i="604"/>
  <c r="F185" i="604"/>
  <c r="M183" i="604"/>
  <c r="F183" i="604"/>
  <c r="M182" i="604"/>
  <c r="F182" i="604"/>
  <c r="M178" i="604"/>
  <c r="L178" i="604"/>
  <c r="K178" i="604"/>
  <c r="F178" i="604"/>
  <c r="F177" i="604"/>
  <c r="F176" i="604"/>
  <c r="F175" i="604"/>
  <c r="P173" i="604"/>
  <c r="M173" i="604"/>
  <c r="L173" i="604"/>
  <c r="J173" i="604"/>
  <c r="F173" i="604"/>
  <c r="F172" i="604"/>
  <c r="F171" i="604"/>
  <c r="F170" i="604"/>
  <c r="P168" i="604"/>
  <c r="M168" i="604"/>
  <c r="L168" i="604"/>
  <c r="K168" i="604"/>
  <c r="F168" i="604"/>
  <c r="F167" i="604"/>
  <c r="F166" i="604"/>
  <c r="F165" i="604"/>
  <c r="F164" i="604"/>
  <c r="P162" i="604"/>
  <c r="M162" i="604"/>
  <c r="L162" i="604"/>
  <c r="K162" i="604"/>
  <c r="F162" i="604"/>
  <c r="F161" i="604"/>
  <c r="F160" i="604"/>
  <c r="F159" i="604"/>
  <c r="F158" i="604"/>
  <c r="P155" i="604"/>
  <c r="M155" i="604"/>
  <c r="L155" i="604"/>
  <c r="K155" i="604"/>
  <c r="F155" i="604"/>
  <c r="F154" i="604"/>
  <c r="F153" i="604"/>
  <c r="F152" i="604"/>
  <c r="F151" i="604"/>
  <c r="P148" i="604"/>
  <c r="M148" i="604"/>
  <c r="L148" i="604"/>
  <c r="J148" i="604"/>
  <c r="F148" i="604"/>
  <c r="F147" i="604"/>
  <c r="F146" i="604"/>
  <c r="P144" i="604"/>
  <c r="M144" i="604"/>
  <c r="L144" i="604"/>
  <c r="K144" i="604"/>
  <c r="F144" i="604"/>
  <c r="F143" i="604"/>
  <c r="F142" i="604"/>
  <c r="F141" i="604"/>
  <c r="F140" i="604"/>
  <c r="P138" i="604"/>
  <c r="M138" i="604"/>
  <c r="L138" i="604"/>
  <c r="K138" i="604"/>
  <c r="F138" i="604"/>
  <c r="F137" i="604"/>
  <c r="F136" i="604"/>
  <c r="F135" i="604"/>
  <c r="F134" i="604"/>
  <c r="P129" i="604"/>
  <c r="M129" i="604"/>
  <c r="L129" i="604"/>
  <c r="J129" i="604"/>
  <c r="F129" i="604"/>
  <c r="F128" i="604"/>
  <c r="P126" i="604"/>
  <c r="M126" i="604"/>
  <c r="L126" i="604"/>
  <c r="K126" i="604"/>
  <c r="F126" i="604"/>
  <c r="F125" i="604"/>
  <c r="F124" i="604"/>
  <c r="F123" i="604"/>
  <c r="P119" i="604"/>
  <c r="M119" i="604"/>
  <c r="L119" i="604"/>
  <c r="J119" i="604"/>
  <c r="F119" i="604"/>
  <c r="F118" i="604"/>
  <c r="F117" i="604"/>
  <c r="P115" i="604"/>
  <c r="M115" i="604"/>
  <c r="L115" i="604"/>
  <c r="K115" i="604"/>
  <c r="F115" i="604"/>
  <c r="F114" i="604"/>
  <c r="F113" i="604"/>
  <c r="F112" i="604"/>
  <c r="P110" i="604"/>
  <c r="M110" i="604"/>
  <c r="L110" i="604"/>
  <c r="K110" i="604"/>
  <c r="F110" i="604"/>
  <c r="F109" i="604"/>
  <c r="F108" i="604"/>
  <c r="F107" i="604"/>
  <c r="F106" i="604"/>
  <c r="P104" i="604"/>
  <c r="M104" i="604"/>
  <c r="L104" i="604"/>
  <c r="K104" i="604"/>
  <c r="F104" i="604"/>
  <c r="F103" i="604"/>
  <c r="F102" i="604"/>
  <c r="F101" i="604"/>
  <c r="F100" i="604"/>
  <c r="F99" i="604"/>
  <c r="F98" i="604"/>
  <c r="F97" i="604"/>
  <c r="P93" i="604"/>
  <c r="M93" i="604"/>
  <c r="L93" i="604"/>
  <c r="K93" i="604"/>
  <c r="F93" i="604"/>
  <c r="F92" i="604"/>
  <c r="F91" i="604"/>
  <c r="F90" i="604"/>
  <c r="F89" i="604"/>
  <c r="P87" i="604"/>
  <c r="M87" i="604"/>
  <c r="L87" i="604"/>
  <c r="J87" i="604"/>
  <c r="F87" i="604"/>
  <c r="F86" i="604"/>
  <c r="F85" i="604"/>
  <c r="F84" i="604"/>
  <c r="F83" i="604"/>
  <c r="P81" i="604"/>
  <c r="M81" i="604"/>
  <c r="L81" i="604"/>
  <c r="J81" i="604"/>
  <c r="F81" i="604"/>
  <c r="F80" i="604"/>
  <c r="F79" i="604"/>
  <c r="F78" i="604"/>
  <c r="F77" i="604"/>
  <c r="P75" i="604"/>
  <c r="M75" i="604"/>
  <c r="L75" i="604"/>
  <c r="J75" i="604"/>
  <c r="F75" i="604"/>
  <c r="F74" i="604"/>
  <c r="F73" i="604"/>
  <c r="F72" i="604"/>
  <c r="P70" i="604"/>
  <c r="M70" i="604"/>
  <c r="L70" i="604"/>
  <c r="J70" i="604"/>
  <c r="F70" i="604"/>
  <c r="F69" i="604"/>
  <c r="F68" i="604"/>
  <c r="F67" i="604"/>
  <c r="F66" i="604"/>
  <c r="P64" i="604"/>
  <c r="M64" i="604"/>
  <c r="L64" i="604"/>
  <c r="K64" i="604"/>
  <c r="F64" i="604"/>
  <c r="F63" i="604"/>
  <c r="F62" i="604"/>
  <c r="F61" i="604"/>
  <c r="F60" i="604"/>
  <c r="P58" i="604"/>
  <c r="M58" i="604"/>
  <c r="L58" i="604"/>
  <c r="J58" i="604"/>
  <c r="F58" i="604"/>
  <c r="F57" i="604"/>
  <c r="F56" i="604"/>
  <c r="F55" i="604"/>
  <c r="F54" i="604"/>
  <c r="P52" i="604"/>
  <c r="M52" i="604"/>
  <c r="L52" i="604"/>
  <c r="J52" i="604"/>
  <c r="F52" i="604"/>
  <c r="F51" i="604"/>
  <c r="F50" i="604"/>
  <c r="F49" i="604"/>
  <c r="F48" i="604"/>
  <c r="P46" i="604"/>
  <c r="M46" i="604"/>
  <c r="L46" i="604"/>
  <c r="J46" i="604"/>
  <c r="F46" i="604"/>
  <c r="F45" i="604"/>
  <c r="F44" i="604"/>
  <c r="F43" i="604"/>
  <c r="F42" i="604"/>
  <c r="P40" i="604"/>
  <c r="M40" i="604"/>
  <c r="L40" i="604"/>
  <c r="J40" i="604"/>
  <c r="F40" i="604"/>
  <c r="F39" i="604"/>
  <c r="F38" i="604"/>
  <c r="F37" i="604"/>
  <c r="F36" i="604"/>
  <c r="P32" i="604"/>
  <c r="M32" i="604"/>
  <c r="L32" i="604"/>
  <c r="J32" i="604"/>
  <c r="F32" i="604"/>
  <c r="F31" i="604"/>
  <c r="F30" i="604"/>
  <c r="P28" i="604"/>
  <c r="M28" i="604"/>
  <c r="L28" i="604"/>
  <c r="K28" i="604"/>
  <c r="F28" i="604"/>
  <c r="F27" i="604"/>
  <c r="F26" i="604"/>
  <c r="P24" i="604"/>
  <c r="M24" i="604"/>
  <c r="L24" i="604"/>
  <c r="K24" i="604"/>
  <c r="F24" i="604"/>
  <c r="F23" i="604"/>
  <c r="F22" i="604"/>
  <c r="F21" i="604"/>
  <c r="F20" i="604"/>
  <c r="F19" i="604"/>
  <c r="P17" i="604"/>
  <c r="M17" i="604"/>
  <c r="L17" i="604"/>
  <c r="K17" i="604"/>
  <c r="F17" i="604"/>
  <c r="F16" i="604"/>
  <c r="F15" i="604"/>
  <c r="F14" i="604"/>
  <c r="F13" i="604"/>
  <c r="F12" i="604"/>
  <c r="F11" i="604"/>
  <c r="P9" i="604"/>
  <c r="M9" i="604"/>
  <c r="L9" i="604"/>
  <c r="K9" i="604"/>
  <c r="F9" i="604"/>
  <c r="F8" i="604"/>
  <c r="F7" i="604"/>
  <c r="F6" i="604"/>
  <c r="F5" i="604"/>
  <c r="M3" i="604"/>
  <c r="G3" i="604"/>
  <c r="F3" i="604"/>
  <c r="F2" i="604"/>
  <c r="C2" i="604"/>
  <c r="F187" i="599"/>
  <c r="F186" i="599"/>
  <c r="M184" i="599"/>
  <c r="F184" i="599"/>
  <c r="M183" i="599"/>
  <c r="F183" i="599"/>
  <c r="P173" i="599"/>
  <c r="M173" i="599"/>
  <c r="L173" i="599"/>
  <c r="J173" i="599"/>
  <c r="F173" i="599"/>
  <c r="F172" i="599"/>
  <c r="F171" i="599"/>
  <c r="F170" i="599"/>
  <c r="P168" i="599"/>
  <c r="M168" i="599"/>
  <c r="L168" i="599"/>
  <c r="K168" i="599"/>
  <c r="F168" i="599"/>
  <c r="F167" i="599"/>
  <c r="F166" i="599"/>
  <c r="F165" i="599"/>
  <c r="F164" i="599"/>
  <c r="P162" i="599"/>
  <c r="M162" i="599"/>
  <c r="L162" i="599"/>
  <c r="K162" i="599"/>
  <c r="F162" i="599"/>
  <c r="F161" i="599"/>
  <c r="F160" i="599"/>
  <c r="F159" i="599"/>
  <c r="F158" i="599"/>
  <c r="P156" i="599"/>
  <c r="M156" i="599"/>
  <c r="L156" i="599"/>
  <c r="K156" i="599"/>
  <c r="F156" i="599"/>
  <c r="F155" i="599"/>
  <c r="F154" i="599"/>
  <c r="F153" i="599"/>
  <c r="F152" i="599"/>
  <c r="F151" i="599"/>
  <c r="P149" i="599"/>
  <c r="M149" i="599"/>
  <c r="L149" i="599"/>
  <c r="K149" i="599"/>
  <c r="F149" i="599"/>
  <c r="F148" i="599"/>
  <c r="F147" i="599"/>
  <c r="F146" i="599"/>
  <c r="P144" i="599"/>
  <c r="M144" i="599"/>
  <c r="L144" i="599"/>
  <c r="K144" i="599"/>
  <c r="F144" i="599"/>
  <c r="F143" i="599"/>
  <c r="F142" i="599"/>
  <c r="F141" i="599"/>
  <c r="F140" i="599"/>
  <c r="P138" i="599"/>
  <c r="M138" i="599"/>
  <c r="L138" i="599"/>
  <c r="K138" i="599"/>
  <c r="F138" i="599"/>
  <c r="F137" i="599"/>
  <c r="F136" i="599"/>
  <c r="F135" i="599"/>
  <c r="F134" i="599"/>
  <c r="P132" i="599"/>
  <c r="M132" i="599"/>
  <c r="L132" i="599"/>
  <c r="K132" i="599"/>
  <c r="F132" i="599"/>
  <c r="F131" i="599"/>
  <c r="F130" i="599"/>
  <c r="F129" i="599"/>
  <c r="F128" i="599"/>
  <c r="P126" i="599"/>
  <c r="M126" i="599"/>
  <c r="L126" i="599"/>
  <c r="K126" i="599"/>
  <c r="F126" i="599"/>
  <c r="F125" i="599"/>
  <c r="F124" i="599"/>
  <c r="F123" i="599"/>
  <c r="P121" i="599"/>
  <c r="M121" i="599"/>
  <c r="L121" i="599"/>
  <c r="K121" i="599"/>
  <c r="F121" i="599"/>
  <c r="F120" i="599"/>
  <c r="F119" i="599"/>
  <c r="F118" i="599"/>
  <c r="F117" i="599"/>
  <c r="P115" i="599"/>
  <c r="M115" i="599"/>
  <c r="L115" i="599"/>
  <c r="K115" i="599"/>
  <c r="F115" i="599"/>
  <c r="F114" i="599"/>
  <c r="F113" i="599"/>
  <c r="F112" i="599"/>
  <c r="P108" i="599"/>
  <c r="M108" i="599"/>
  <c r="L108" i="599"/>
  <c r="K108" i="599"/>
  <c r="F108" i="599"/>
  <c r="F107" i="599"/>
  <c r="F106" i="599"/>
  <c r="P101" i="599"/>
  <c r="M101" i="599"/>
  <c r="L101" i="599"/>
  <c r="K101" i="599"/>
  <c r="F101" i="599"/>
  <c r="F100" i="599"/>
  <c r="F99" i="599"/>
  <c r="F98" i="599"/>
  <c r="F97" i="599"/>
  <c r="P93" i="599"/>
  <c r="M93" i="599"/>
  <c r="L93" i="599"/>
  <c r="J93" i="599"/>
  <c r="F93" i="599"/>
  <c r="F92" i="599"/>
  <c r="F91" i="599"/>
  <c r="F90" i="599"/>
  <c r="F89" i="599"/>
  <c r="P87" i="599"/>
  <c r="M87" i="599"/>
  <c r="L87" i="599"/>
  <c r="J87" i="599"/>
  <c r="F87" i="599"/>
  <c r="F86" i="599"/>
  <c r="F85" i="599"/>
  <c r="F84" i="599"/>
  <c r="F83" i="599"/>
  <c r="P81" i="599"/>
  <c r="M81" i="599"/>
  <c r="L81" i="599"/>
  <c r="J81" i="599"/>
  <c r="F81" i="599"/>
  <c r="F80" i="599"/>
  <c r="F79" i="599"/>
  <c r="F78" i="599"/>
  <c r="F77" i="599"/>
  <c r="P75" i="599"/>
  <c r="M75" i="599"/>
  <c r="L75" i="599"/>
  <c r="J75" i="599"/>
  <c r="F75" i="599"/>
  <c r="F74" i="599"/>
  <c r="F73" i="599"/>
  <c r="F72" i="599"/>
  <c r="P70" i="599"/>
  <c r="M70" i="599"/>
  <c r="L70" i="599"/>
  <c r="J70" i="599"/>
  <c r="F70" i="599"/>
  <c r="F69" i="599"/>
  <c r="F68" i="599"/>
  <c r="F67" i="599"/>
  <c r="F66" i="599"/>
  <c r="P64" i="599"/>
  <c r="M64" i="599"/>
  <c r="L64" i="599"/>
  <c r="K64" i="599"/>
  <c r="F64" i="599"/>
  <c r="F63" i="599"/>
  <c r="F62" i="599"/>
  <c r="F61" i="599"/>
  <c r="F60" i="599"/>
  <c r="P58" i="599"/>
  <c r="M58" i="599"/>
  <c r="L58" i="599"/>
  <c r="J58" i="599"/>
  <c r="F58" i="599"/>
  <c r="F57" i="599"/>
  <c r="F56" i="599"/>
  <c r="F55" i="599"/>
  <c r="F54" i="599"/>
  <c r="P52" i="599"/>
  <c r="M52" i="599"/>
  <c r="L52" i="599"/>
  <c r="J52" i="599"/>
  <c r="F52" i="599"/>
  <c r="F51" i="599"/>
  <c r="F50" i="599"/>
  <c r="F49" i="599"/>
  <c r="F48" i="599"/>
  <c r="P46" i="599"/>
  <c r="M46" i="599"/>
  <c r="L46" i="599"/>
  <c r="J46" i="599"/>
  <c r="F46" i="599"/>
  <c r="F45" i="599"/>
  <c r="F44" i="599"/>
  <c r="F43" i="599"/>
  <c r="F42" i="599"/>
  <c r="P40" i="599"/>
  <c r="M40" i="599"/>
  <c r="L40" i="599"/>
  <c r="J40" i="599"/>
  <c r="F40" i="599"/>
  <c r="F39" i="599"/>
  <c r="F38" i="599"/>
  <c r="F37" i="599"/>
  <c r="F36" i="599"/>
  <c r="P32" i="599"/>
  <c r="M32" i="599"/>
  <c r="L32" i="599"/>
  <c r="J32" i="599"/>
  <c r="F32" i="599"/>
  <c r="F31" i="599"/>
  <c r="F30" i="599"/>
  <c r="P28" i="599"/>
  <c r="M28" i="599"/>
  <c r="L28" i="599"/>
  <c r="K28" i="599"/>
  <c r="F28" i="599"/>
  <c r="F27" i="599"/>
  <c r="F26" i="599"/>
  <c r="P24" i="599"/>
  <c r="M24" i="599"/>
  <c r="L24" i="599"/>
  <c r="K24" i="599"/>
  <c r="F24" i="599"/>
  <c r="F23" i="599"/>
  <c r="F22" i="599"/>
  <c r="F21" i="599"/>
  <c r="F20" i="599"/>
  <c r="F19" i="599"/>
  <c r="P17" i="599"/>
  <c r="M17" i="599"/>
  <c r="L17" i="599"/>
  <c r="K17" i="599"/>
  <c r="F17" i="599"/>
  <c r="F16" i="599"/>
  <c r="F15" i="599"/>
  <c r="F14" i="599"/>
  <c r="F13" i="599"/>
  <c r="F12" i="599"/>
  <c r="F11" i="599"/>
  <c r="P9" i="599"/>
  <c r="M9" i="599"/>
  <c r="L9" i="599"/>
  <c r="J9" i="599"/>
  <c r="F9" i="599"/>
  <c r="F8" i="599"/>
  <c r="F7" i="599"/>
  <c r="F6" i="599"/>
  <c r="F5" i="599"/>
  <c r="M3" i="599"/>
  <c r="G3" i="599"/>
  <c r="F3" i="599"/>
  <c r="F2" i="599"/>
  <c r="C2" i="599"/>
  <c r="R184" i="598"/>
  <c r="E184" i="598"/>
  <c r="C184" i="598"/>
  <c r="R182" i="598"/>
  <c r="G182" i="598"/>
  <c r="E182" i="598"/>
  <c r="C182" i="598"/>
  <c r="R181" i="598"/>
  <c r="G181" i="598"/>
  <c r="E181" i="598"/>
  <c r="C181" i="598"/>
  <c r="R180" i="598"/>
  <c r="G180" i="598"/>
  <c r="E180" i="598"/>
  <c r="C180" i="598"/>
  <c r="R179" i="598"/>
  <c r="G179" i="598"/>
  <c r="E179" i="598"/>
  <c r="C179" i="598"/>
  <c r="AF177" i="598"/>
  <c r="AE177" i="598"/>
  <c r="C177" i="598"/>
  <c r="T175" i="598"/>
  <c r="Q175" i="598"/>
  <c r="M175" i="598"/>
  <c r="E175" i="598"/>
  <c r="B175" i="598"/>
  <c r="T174" i="598"/>
  <c r="Q174" i="598"/>
  <c r="M174" i="598"/>
  <c r="E174" i="598"/>
  <c r="B174" i="598"/>
  <c r="T173" i="598"/>
  <c r="Q173" i="598"/>
  <c r="M173" i="598"/>
  <c r="E173" i="598"/>
  <c r="B173" i="598"/>
  <c r="T172" i="598"/>
  <c r="Q172" i="598"/>
  <c r="M172" i="598"/>
  <c r="E172" i="598"/>
  <c r="B172" i="598"/>
  <c r="AF171" i="598"/>
  <c r="T171" i="598"/>
  <c r="R171" i="598"/>
  <c r="C171" i="598"/>
  <c r="T170" i="598"/>
  <c r="Q170" i="598"/>
  <c r="M170" i="598"/>
  <c r="B170" i="598"/>
  <c r="T169" i="598"/>
  <c r="Q169" i="598"/>
  <c r="M169" i="598"/>
  <c r="B169" i="598"/>
  <c r="T168" i="598"/>
  <c r="Q168" i="598"/>
  <c r="M168" i="598"/>
  <c r="B168" i="598"/>
  <c r="T167" i="598"/>
  <c r="Q167" i="598"/>
  <c r="M167" i="598"/>
  <c r="B167" i="598"/>
  <c r="T166" i="598"/>
  <c r="Q166" i="598"/>
  <c r="M166" i="598"/>
  <c r="B166" i="598"/>
  <c r="AF165" i="598"/>
  <c r="T165" i="598"/>
  <c r="R165" i="598"/>
  <c r="C165" i="598"/>
  <c r="T164" i="598"/>
  <c r="Q164" i="598"/>
  <c r="M164" i="598"/>
  <c r="B164" i="598"/>
  <c r="T163" i="598"/>
  <c r="Q163" i="598"/>
  <c r="M163" i="598"/>
  <c r="B163" i="598"/>
  <c r="T162" i="598"/>
  <c r="Q162" i="598"/>
  <c r="M162" i="598"/>
  <c r="B162" i="598"/>
  <c r="T161" i="598"/>
  <c r="Q161" i="598"/>
  <c r="M161" i="598"/>
  <c r="B161" i="598"/>
  <c r="T160" i="598"/>
  <c r="Q160" i="598"/>
  <c r="M160" i="598"/>
  <c r="B160" i="598"/>
  <c r="AF159" i="598"/>
  <c r="T159" i="598"/>
  <c r="R159" i="598"/>
  <c r="C159" i="598"/>
  <c r="T158" i="598"/>
  <c r="Q158" i="598"/>
  <c r="M158" i="598"/>
  <c r="B158" i="598"/>
  <c r="T157" i="598"/>
  <c r="Q157" i="598"/>
  <c r="M157" i="598"/>
  <c r="B157" i="598"/>
  <c r="T156" i="598"/>
  <c r="Q156" i="598"/>
  <c r="M156" i="598"/>
  <c r="B156" i="598"/>
  <c r="T155" i="598"/>
  <c r="Q155" i="598"/>
  <c r="M155" i="598"/>
  <c r="B155" i="598"/>
  <c r="T154" i="598"/>
  <c r="Q154" i="598"/>
  <c r="M154" i="598"/>
  <c r="B154" i="598"/>
  <c r="T153" i="598"/>
  <c r="Q153" i="598"/>
  <c r="M153" i="598"/>
  <c r="B153" i="598"/>
  <c r="AF152" i="598"/>
  <c r="T152" i="598"/>
  <c r="R152" i="598"/>
  <c r="C152" i="598"/>
  <c r="T151" i="598"/>
  <c r="Q151" i="598"/>
  <c r="M151" i="598"/>
  <c r="B151" i="598"/>
  <c r="T150" i="598"/>
  <c r="Q150" i="598"/>
  <c r="M150" i="598"/>
  <c r="B150" i="598"/>
  <c r="T149" i="598"/>
  <c r="Q149" i="598"/>
  <c r="M149" i="598"/>
  <c r="B149" i="598"/>
  <c r="T148" i="598"/>
  <c r="Q148" i="598"/>
  <c r="M148" i="598"/>
  <c r="B148" i="598"/>
  <c r="AF147" i="598"/>
  <c r="T147" i="598"/>
  <c r="R147" i="598"/>
  <c r="C147" i="598"/>
  <c r="T146" i="598"/>
  <c r="Q146" i="598"/>
  <c r="M146" i="598"/>
  <c r="B146" i="598"/>
  <c r="T145" i="598"/>
  <c r="Q145" i="598"/>
  <c r="M145" i="598"/>
  <c r="B145" i="598"/>
  <c r="T144" i="598"/>
  <c r="Q144" i="598"/>
  <c r="M144" i="598"/>
  <c r="B144" i="598"/>
  <c r="T143" i="598"/>
  <c r="Q143" i="598"/>
  <c r="M143" i="598"/>
  <c r="B143" i="598"/>
  <c r="T142" i="598"/>
  <c r="Q142" i="598"/>
  <c r="M142" i="598"/>
  <c r="B142" i="598"/>
  <c r="AF141" i="598"/>
  <c r="T141" i="598"/>
  <c r="R141" i="598"/>
  <c r="C141" i="598"/>
  <c r="T140" i="598"/>
  <c r="Q140" i="598"/>
  <c r="M140" i="598"/>
  <c r="B140" i="598"/>
  <c r="T139" i="598"/>
  <c r="Q139" i="598"/>
  <c r="M139" i="598"/>
  <c r="B139" i="598"/>
  <c r="T138" i="598"/>
  <c r="Q138" i="598"/>
  <c r="M138" i="598"/>
  <c r="B138" i="598"/>
  <c r="T137" i="598"/>
  <c r="Q137" i="598"/>
  <c r="M137" i="598"/>
  <c r="B137" i="598"/>
  <c r="T136" i="598"/>
  <c r="Q136" i="598"/>
  <c r="M136" i="598"/>
  <c r="B136" i="598"/>
  <c r="AF135" i="598"/>
  <c r="T135" i="598"/>
  <c r="R135" i="598"/>
  <c r="C135" i="598"/>
  <c r="T134" i="598"/>
  <c r="Q134" i="598"/>
  <c r="M134" i="598"/>
  <c r="B134" i="598"/>
  <c r="T133" i="598"/>
  <c r="Q133" i="598"/>
  <c r="M133" i="598"/>
  <c r="B133" i="598"/>
  <c r="T132" i="598"/>
  <c r="Q132" i="598"/>
  <c r="M132" i="598"/>
  <c r="B132" i="598"/>
  <c r="T131" i="598"/>
  <c r="Q131" i="598"/>
  <c r="M131" i="598"/>
  <c r="B131" i="598"/>
  <c r="T130" i="598"/>
  <c r="Q130" i="598"/>
  <c r="M130" i="598"/>
  <c r="B130" i="598"/>
  <c r="AF129" i="598"/>
  <c r="T129" i="598"/>
  <c r="R129" i="598"/>
  <c r="C129" i="598"/>
  <c r="T128" i="598"/>
  <c r="Q128" i="598"/>
  <c r="M128" i="598"/>
  <c r="B128" i="598"/>
  <c r="T127" i="598"/>
  <c r="Q127" i="598"/>
  <c r="M127" i="598"/>
  <c r="B127" i="598"/>
  <c r="T126" i="598"/>
  <c r="Q126" i="598"/>
  <c r="M126" i="598"/>
  <c r="B126" i="598"/>
  <c r="T125" i="598"/>
  <c r="Q125" i="598"/>
  <c r="M125" i="598"/>
  <c r="B125" i="598"/>
  <c r="AF124" i="598"/>
  <c r="T124" i="598"/>
  <c r="R124" i="598"/>
  <c r="C124" i="598"/>
  <c r="T123" i="598"/>
  <c r="Q123" i="598"/>
  <c r="M123" i="598"/>
  <c r="B123" i="598"/>
  <c r="T122" i="598"/>
  <c r="Q122" i="598"/>
  <c r="M122" i="598"/>
  <c r="B122" i="598"/>
  <c r="T121" i="598"/>
  <c r="Q121" i="598"/>
  <c r="M121" i="598"/>
  <c r="B121" i="598"/>
  <c r="T120" i="598"/>
  <c r="Q120" i="598"/>
  <c r="M120" i="598"/>
  <c r="B120" i="598"/>
  <c r="T119" i="598"/>
  <c r="Q119" i="598"/>
  <c r="M119" i="598"/>
  <c r="B119" i="598"/>
  <c r="AF118" i="598"/>
  <c r="T118" i="598"/>
  <c r="R118" i="598"/>
  <c r="M118" i="598"/>
  <c r="C118" i="598"/>
  <c r="T117" i="598"/>
  <c r="Q117" i="598"/>
  <c r="M117" i="598"/>
  <c r="B117" i="598"/>
  <c r="T116" i="598"/>
  <c r="Q116" i="598"/>
  <c r="M116" i="598"/>
  <c r="B116" i="598"/>
  <c r="T115" i="598"/>
  <c r="Q115" i="598"/>
  <c r="M115" i="598"/>
  <c r="B115" i="598"/>
  <c r="T114" i="598"/>
  <c r="Q114" i="598"/>
  <c r="M114" i="598"/>
  <c r="B114" i="598"/>
  <c r="AF113" i="598"/>
  <c r="T113" i="598"/>
  <c r="R113" i="598"/>
  <c r="C113" i="598"/>
  <c r="T112" i="598"/>
  <c r="Q112" i="598"/>
  <c r="M112" i="598"/>
  <c r="B112" i="598"/>
  <c r="T111" i="598"/>
  <c r="Q111" i="598"/>
  <c r="M111" i="598"/>
  <c r="B111" i="598"/>
  <c r="T110" i="598"/>
  <c r="Q110" i="598"/>
  <c r="M110" i="598"/>
  <c r="B110" i="598"/>
  <c r="AF109" i="598"/>
  <c r="T109" i="598"/>
  <c r="R109" i="598"/>
  <c r="C109" i="598"/>
  <c r="T108" i="598"/>
  <c r="Q108" i="598"/>
  <c r="M108" i="598"/>
  <c r="B108" i="598"/>
  <c r="T107" i="598"/>
  <c r="Q107" i="598"/>
  <c r="M107" i="598"/>
  <c r="B107" i="598"/>
  <c r="T106" i="598"/>
  <c r="Q106" i="598"/>
  <c r="M106" i="598"/>
  <c r="B106" i="598"/>
  <c r="T105" i="598"/>
  <c r="Q105" i="598"/>
  <c r="M105" i="598"/>
  <c r="B105" i="598"/>
  <c r="T104" i="598"/>
  <c r="Q104" i="598"/>
  <c r="M104" i="598"/>
  <c r="B104" i="598"/>
  <c r="AF103" i="598"/>
  <c r="T103" i="598"/>
  <c r="R103" i="598"/>
  <c r="C103" i="598"/>
  <c r="C102" i="598"/>
  <c r="T100" i="598"/>
  <c r="Q100" i="598"/>
  <c r="M100" i="598"/>
  <c r="E100" i="598"/>
  <c r="B100" i="598"/>
  <c r="T99" i="598"/>
  <c r="Q99" i="598"/>
  <c r="M99" i="598"/>
  <c r="E99" i="598"/>
  <c r="B99" i="598"/>
  <c r="T98" i="598"/>
  <c r="Q98" i="598"/>
  <c r="M98" i="598"/>
  <c r="E98" i="598"/>
  <c r="B98" i="598"/>
  <c r="T97" i="598"/>
  <c r="Q97" i="598"/>
  <c r="M97" i="598"/>
  <c r="E97" i="598"/>
  <c r="B97" i="598"/>
  <c r="T96" i="598"/>
  <c r="Q96" i="598"/>
  <c r="M96" i="598"/>
  <c r="E96" i="598"/>
  <c r="B96" i="598"/>
  <c r="AF95" i="598"/>
  <c r="T95" i="598"/>
  <c r="R95" i="598"/>
  <c r="C95" i="598"/>
  <c r="T94" i="598"/>
  <c r="Q94" i="598"/>
  <c r="M94" i="598"/>
  <c r="B94" i="598"/>
  <c r="T93" i="598"/>
  <c r="Q93" i="598"/>
  <c r="M93" i="598"/>
  <c r="B93" i="598"/>
  <c r="T92" i="598"/>
  <c r="Q92" i="598"/>
  <c r="M92" i="598"/>
  <c r="B92" i="598"/>
  <c r="T91" i="598"/>
  <c r="Q91" i="598"/>
  <c r="M91" i="598"/>
  <c r="B91" i="598"/>
  <c r="T90" i="598"/>
  <c r="Q90" i="598"/>
  <c r="M90" i="598"/>
  <c r="B90" i="598"/>
  <c r="AF89" i="598"/>
  <c r="T89" i="598"/>
  <c r="R89" i="598"/>
  <c r="C89" i="598"/>
  <c r="T88" i="598"/>
  <c r="Q88" i="598"/>
  <c r="M88" i="598"/>
  <c r="B88" i="598"/>
  <c r="T87" i="598"/>
  <c r="Q87" i="598"/>
  <c r="M87" i="598"/>
  <c r="B87" i="598"/>
  <c r="T86" i="598"/>
  <c r="Q86" i="598"/>
  <c r="M86" i="598"/>
  <c r="B86" i="598"/>
  <c r="T85" i="598"/>
  <c r="Q85" i="598"/>
  <c r="M85" i="598"/>
  <c r="B85" i="598"/>
  <c r="T84" i="598"/>
  <c r="Q84" i="598"/>
  <c r="M84" i="598"/>
  <c r="B84" i="598"/>
  <c r="AF83" i="598"/>
  <c r="T83" i="598"/>
  <c r="R83" i="598"/>
  <c r="C83" i="598"/>
  <c r="T82" i="598"/>
  <c r="Q82" i="598"/>
  <c r="M82" i="598"/>
  <c r="B82" i="598"/>
  <c r="T81" i="598"/>
  <c r="Q81" i="598"/>
  <c r="M81" i="598"/>
  <c r="B81" i="598"/>
  <c r="T80" i="598"/>
  <c r="Q80" i="598"/>
  <c r="M80" i="598"/>
  <c r="B80" i="598"/>
  <c r="T79" i="598"/>
  <c r="Q79" i="598"/>
  <c r="M79" i="598"/>
  <c r="B79" i="598"/>
  <c r="AF78" i="598"/>
  <c r="T78" i="598"/>
  <c r="R78" i="598"/>
  <c r="C78" i="598"/>
  <c r="T77" i="598"/>
  <c r="Q77" i="598"/>
  <c r="M77" i="598"/>
  <c r="B77" i="598"/>
  <c r="T76" i="598"/>
  <c r="Q76" i="598"/>
  <c r="M76" i="598"/>
  <c r="B76" i="598"/>
  <c r="T75" i="598"/>
  <c r="Q75" i="598"/>
  <c r="M75" i="598"/>
  <c r="B75" i="598"/>
  <c r="T74" i="598"/>
  <c r="Q74" i="598"/>
  <c r="M74" i="598"/>
  <c r="B74" i="598"/>
  <c r="T73" i="598"/>
  <c r="Q73" i="598"/>
  <c r="M73" i="598"/>
  <c r="B73" i="598"/>
  <c r="AF72" i="598"/>
  <c r="T72" i="598"/>
  <c r="R72" i="598"/>
  <c r="C72" i="598"/>
  <c r="T71" i="598"/>
  <c r="Q71" i="598"/>
  <c r="M71" i="598"/>
  <c r="B71" i="598"/>
  <c r="T70" i="598"/>
  <c r="Q70" i="598"/>
  <c r="M70" i="598"/>
  <c r="B70" i="598"/>
  <c r="T69" i="598"/>
  <c r="Q69" i="598"/>
  <c r="M69" i="598"/>
  <c r="B69" i="598"/>
  <c r="T68" i="598"/>
  <c r="Q68" i="598"/>
  <c r="M68" i="598"/>
  <c r="B68" i="598"/>
  <c r="T67" i="598"/>
  <c r="Q67" i="598"/>
  <c r="M67" i="598"/>
  <c r="B67" i="598"/>
  <c r="AF66" i="598"/>
  <c r="T66" i="598"/>
  <c r="R66" i="598"/>
  <c r="C66" i="598"/>
  <c r="T65" i="598"/>
  <c r="Q65" i="598"/>
  <c r="M65" i="598"/>
  <c r="B65" i="598"/>
  <c r="T64" i="598"/>
  <c r="Q64" i="598"/>
  <c r="M64" i="598"/>
  <c r="B64" i="598"/>
  <c r="T63" i="598"/>
  <c r="Q63" i="598"/>
  <c r="M63" i="598"/>
  <c r="B63" i="598"/>
  <c r="T62" i="598"/>
  <c r="Q62" i="598"/>
  <c r="M62" i="598"/>
  <c r="B62" i="598"/>
  <c r="T61" i="598"/>
  <c r="Q61" i="598"/>
  <c r="M61" i="598"/>
  <c r="B61" i="598"/>
  <c r="AF60" i="598"/>
  <c r="T60" i="598"/>
  <c r="R60" i="598"/>
  <c r="C60" i="598"/>
  <c r="T59" i="598"/>
  <c r="Q59" i="598"/>
  <c r="M59" i="598"/>
  <c r="B59" i="598"/>
  <c r="T58" i="598"/>
  <c r="Q58" i="598"/>
  <c r="M58" i="598"/>
  <c r="B58" i="598"/>
  <c r="T57" i="598"/>
  <c r="Q57" i="598"/>
  <c r="M57" i="598"/>
  <c r="B57" i="598"/>
  <c r="T56" i="598"/>
  <c r="Q56" i="598"/>
  <c r="M56" i="598"/>
  <c r="B56" i="598"/>
  <c r="T55" i="598"/>
  <c r="Q55" i="598"/>
  <c r="M55" i="598"/>
  <c r="B55" i="598"/>
  <c r="AF54" i="598"/>
  <c r="T54" i="598"/>
  <c r="R54" i="598"/>
  <c r="C54" i="598"/>
  <c r="T53" i="598"/>
  <c r="Q53" i="598"/>
  <c r="M53" i="598"/>
  <c r="B53" i="598"/>
  <c r="T52" i="598"/>
  <c r="Q52" i="598"/>
  <c r="M52" i="598"/>
  <c r="B52" i="598"/>
  <c r="T51" i="598"/>
  <c r="Q51" i="598"/>
  <c r="M51" i="598"/>
  <c r="B51" i="598"/>
  <c r="T50" i="598"/>
  <c r="Q50" i="598"/>
  <c r="M50" i="598"/>
  <c r="B50" i="598"/>
  <c r="T49" i="598"/>
  <c r="Q49" i="598"/>
  <c r="M49" i="598"/>
  <c r="B49" i="598"/>
  <c r="AF48" i="598"/>
  <c r="T48" i="598"/>
  <c r="R48" i="598"/>
  <c r="D48" i="598"/>
  <c r="C48" i="598"/>
  <c r="T47" i="598"/>
  <c r="Q47" i="598"/>
  <c r="M47" i="598"/>
  <c r="B47" i="598"/>
  <c r="T46" i="598"/>
  <c r="Q46" i="598"/>
  <c r="M46" i="598"/>
  <c r="B46" i="598"/>
  <c r="T45" i="598"/>
  <c r="Q45" i="598"/>
  <c r="M45" i="598"/>
  <c r="B45" i="598"/>
  <c r="T44" i="598"/>
  <c r="Q44" i="598"/>
  <c r="M44" i="598"/>
  <c r="B44" i="598"/>
  <c r="T43" i="598"/>
  <c r="Q43" i="598"/>
  <c r="M43" i="598"/>
  <c r="B43" i="598"/>
  <c r="AF42" i="598"/>
  <c r="T42" i="598"/>
  <c r="R42" i="598"/>
  <c r="C42" i="598"/>
  <c r="C41" i="598"/>
  <c r="T39" i="598"/>
  <c r="Q39" i="598"/>
  <c r="M39" i="598"/>
  <c r="E39" i="598"/>
  <c r="B39" i="598"/>
  <c r="T38" i="598"/>
  <c r="Q38" i="598"/>
  <c r="M38" i="598"/>
  <c r="E38" i="598"/>
  <c r="B38" i="598"/>
  <c r="T37" i="598"/>
  <c r="Q37" i="598"/>
  <c r="M37" i="598"/>
  <c r="E37" i="598"/>
  <c r="B37" i="598"/>
  <c r="AF36" i="598"/>
  <c r="T36" i="598"/>
  <c r="R36" i="598"/>
  <c r="C36" i="598"/>
  <c r="T35" i="598"/>
  <c r="Q35" i="598"/>
  <c r="M35" i="598"/>
  <c r="B35" i="598"/>
  <c r="T34" i="598"/>
  <c r="Q34" i="598"/>
  <c r="M34" i="598"/>
  <c r="B34" i="598"/>
  <c r="T33" i="598"/>
  <c r="Q33" i="598"/>
  <c r="M33" i="598"/>
  <c r="B33" i="598"/>
  <c r="AF32" i="598"/>
  <c r="T32" i="598"/>
  <c r="R32" i="598"/>
  <c r="C32" i="598"/>
  <c r="T31" i="598"/>
  <c r="Q31" i="598"/>
  <c r="M31" i="598"/>
  <c r="B31" i="598"/>
  <c r="T30" i="598"/>
  <c r="Q30" i="598"/>
  <c r="M30" i="598"/>
  <c r="B30" i="598"/>
  <c r="T29" i="598"/>
  <c r="Q29" i="598"/>
  <c r="M29" i="598"/>
  <c r="B29" i="598"/>
  <c r="T28" i="598"/>
  <c r="Q28" i="598"/>
  <c r="M28" i="598"/>
  <c r="B28" i="598"/>
  <c r="T27" i="598"/>
  <c r="Q27" i="598"/>
  <c r="M27" i="598"/>
  <c r="B27" i="598"/>
  <c r="T26" i="598"/>
  <c r="Q26" i="598"/>
  <c r="M26" i="598"/>
  <c r="B26" i="598"/>
  <c r="AF25" i="598"/>
  <c r="T25" i="598"/>
  <c r="R25" i="598"/>
  <c r="C25" i="598"/>
  <c r="T24" i="598"/>
  <c r="Q24" i="598"/>
  <c r="M24" i="598"/>
  <c r="T23" i="598"/>
  <c r="Q23" i="598"/>
  <c r="M23" i="598"/>
  <c r="T22" i="598"/>
  <c r="Q22" i="598"/>
  <c r="M22" i="598"/>
  <c r="T21" i="598"/>
  <c r="Q21" i="598"/>
  <c r="M21" i="598"/>
  <c r="T20" i="598"/>
  <c r="Q20" i="598"/>
  <c r="M20" i="598"/>
  <c r="T19" i="598"/>
  <c r="Q19" i="598"/>
  <c r="M19" i="598"/>
  <c r="T18" i="598"/>
  <c r="Q18" i="598"/>
  <c r="M18" i="598"/>
  <c r="AF17" i="598"/>
  <c r="T17" i="598"/>
  <c r="R17" i="598"/>
  <c r="C17" i="598"/>
  <c r="T16" i="598"/>
  <c r="Q16" i="598"/>
  <c r="M16" i="598"/>
  <c r="B16" i="598"/>
  <c r="T15" i="598"/>
  <c r="Q15" i="598"/>
  <c r="M15" i="598"/>
  <c r="B15" i="598"/>
  <c r="T14" i="598"/>
  <c r="Q14" i="598"/>
  <c r="M14" i="598"/>
  <c r="B14" i="598"/>
  <c r="T13" i="598"/>
  <c r="Q13" i="598"/>
  <c r="M13" i="598"/>
  <c r="B13" i="598"/>
  <c r="T12" i="598"/>
  <c r="Q12" i="598"/>
  <c r="M12" i="598"/>
  <c r="B12" i="598"/>
  <c r="AF11" i="598"/>
  <c r="T11" i="598"/>
  <c r="R11" i="598"/>
  <c r="C11" i="598"/>
  <c r="C10" i="598"/>
  <c r="V9" i="598"/>
  <c r="R9" i="598"/>
  <c r="C7" i="598"/>
  <c r="B7" i="598"/>
  <c r="AB6" i="598"/>
  <c r="C6" i="598"/>
  <c r="B6" i="598"/>
  <c r="AB5" i="598"/>
  <c r="V5" i="598"/>
  <c r="C5" i="598"/>
  <c r="B5" i="598"/>
  <c r="AB4" i="598"/>
  <c r="C4" i="598"/>
  <c r="B4" i="598"/>
  <c r="Z2" i="598"/>
  <c r="X2" i="598"/>
  <c r="C2" i="598"/>
  <c r="C1" i="598"/>
  <c r="E194" i="632"/>
  <c r="G193" i="632"/>
  <c r="E193" i="632"/>
  <c r="C184" i="632"/>
  <c r="R182" i="632"/>
  <c r="G182" i="632"/>
  <c r="E182" i="632"/>
  <c r="C182" i="632"/>
  <c r="R181" i="632"/>
  <c r="G181" i="632"/>
  <c r="E181" i="632"/>
  <c r="C181" i="632"/>
  <c r="R180" i="632"/>
  <c r="G180" i="632"/>
  <c r="E180" i="632"/>
  <c r="C180" i="632"/>
  <c r="R179" i="632"/>
  <c r="G179" i="632"/>
  <c r="E179" i="632"/>
  <c r="C179" i="632"/>
  <c r="AF177" i="632"/>
  <c r="AE177" i="632"/>
  <c r="E177" i="632"/>
  <c r="C177" i="632"/>
  <c r="T175" i="632"/>
  <c r="Q175" i="632"/>
  <c r="M175" i="632"/>
  <c r="E175" i="632"/>
  <c r="B175" i="632"/>
  <c r="T174" i="632"/>
  <c r="Q174" i="632"/>
  <c r="M174" i="632"/>
  <c r="E174" i="632"/>
  <c r="B174" i="632"/>
  <c r="T173" i="632"/>
  <c r="Q173" i="632"/>
  <c r="M173" i="632"/>
  <c r="E173" i="632"/>
  <c r="B173" i="632"/>
  <c r="T172" i="632"/>
  <c r="Q172" i="632"/>
  <c r="M172" i="632"/>
  <c r="E172" i="632"/>
  <c r="B172" i="632"/>
  <c r="AF171" i="632"/>
  <c r="T171" i="632"/>
  <c r="R171" i="632"/>
  <c r="C171" i="632"/>
  <c r="T170" i="632"/>
  <c r="Q170" i="632"/>
  <c r="M170" i="632"/>
  <c r="B170" i="632"/>
  <c r="T169" i="632"/>
  <c r="Q169" i="632"/>
  <c r="M169" i="632"/>
  <c r="B169" i="632"/>
  <c r="T168" i="632"/>
  <c r="Q168" i="632"/>
  <c r="M168" i="632"/>
  <c r="B168" i="632"/>
  <c r="T167" i="632"/>
  <c r="Q167" i="632"/>
  <c r="M167" i="632"/>
  <c r="B167" i="632"/>
  <c r="T166" i="632"/>
  <c r="Q166" i="632"/>
  <c r="M166" i="632"/>
  <c r="B166" i="632"/>
  <c r="AF165" i="632"/>
  <c r="T165" i="632"/>
  <c r="R165" i="632"/>
  <c r="C165" i="632"/>
  <c r="T164" i="632"/>
  <c r="Q164" i="632"/>
  <c r="M164" i="632"/>
  <c r="B164" i="632"/>
  <c r="T163" i="632"/>
  <c r="Q163" i="632"/>
  <c r="M163" i="632"/>
  <c r="B163" i="632"/>
  <c r="T162" i="632"/>
  <c r="Q162" i="632"/>
  <c r="M162" i="632"/>
  <c r="B162" i="632"/>
  <c r="T161" i="632"/>
  <c r="Q161" i="632"/>
  <c r="M161" i="632"/>
  <c r="B161" i="632"/>
  <c r="T160" i="632"/>
  <c r="Q160" i="632"/>
  <c r="M160" i="632"/>
  <c r="B160" i="632"/>
  <c r="AF159" i="632"/>
  <c r="T159" i="632"/>
  <c r="R159" i="632"/>
  <c r="C159" i="632"/>
  <c r="T158" i="632"/>
  <c r="Q158" i="632"/>
  <c r="M158" i="632"/>
  <c r="B158" i="632"/>
  <c r="T157" i="632"/>
  <c r="Q157" i="632"/>
  <c r="M157" i="632"/>
  <c r="B157" i="632"/>
  <c r="T156" i="632"/>
  <c r="Q156" i="632"/>
  <c r="M156" i="632"/>
  <c r="B156" i="632"/>
  <c r="T155" i="632"/>
  <c r="Q155" i="632"/>
  <c r="M155" i="632"/>
  <c r="B155" i="632"/>
  <c r="T154" i="632"/>
  <c r="Q154" i="632"/>
  <c r="M154" i="632"/>
  <c r="B154" i="632"/>
  <c r="T153" i="632"/>
  <c r="Q153" i="632"/>
  <c r="M153" i="632"/>
  <c r="B153" i="632"/>
  <c r="AF152" i="632"/>
  <c r="T152" i="632"/>
  <c r="R152" i="632"/>
  <c r="C152" i="632"/>
  <c r="T151" i="632"/>
  <c r="Q151" i="632"/>
  <c r="M151" i="632"/>
  <c r="B151" i="632"/>
  <c r="T150" i="632"/>
  <c r="Q150" i="632"/>
  <c r="M150" i="632"/>
  <c r="B150" i="632"/>
  <c r="T149" i="632"/>
  <c r="Q149" i="632"/>
  <c r="M149" i="632"/>
  <c r="B149" i="632"/>
  <c r="T148" i="632"/>
  <c r="Q148" i="632"/>
  <c r="M148" i="632"/>
  <c r="B148" i="632"/>
  <c r="AF147" i="632"/>
  <c r="T147" i="632"/>
  <c r="R147" i="632"/>
  <c r="C147" i="632"/>
  <c r="T146" i="632"/>
  <c r="Q146" i="632"/>
  <c r="M146" i="632"/>
  <c r="B146" i="632"/>
  <c r="T145" i="632"/>
  <c r="Q145" i="632"/>
  <c r="M145" i="632"/>
  <c r="B145" i="632"/>
  <c r="T144" i="632"/>
  <c r="Q144" i="632"/>
  <c r="M144" i="632"/>
  <c r="B144" i="632"/>
  <c r="T143" i="632"/>
  <c r="Q143" i="632"/>
  <c r="M143" i="632"/>
  <c r="B143" i="632"/>
  <c r="T142" i="632"/>
  <c r="Q142" i="632"/>
  <c r="M142" i="632"/>
  <c r="B142" i="632"/>
  <c r="AF141" i="632"/>
  <c r="T141" i="632"/>
  <c r="R141" i="632"/>
  <c r="C141" i="632"/>
  <c r="T140" i="632"/>
  <c r="Q140" i="632"/>
  <c r="M140" i="632"/>
  <c r="B140" i="632"/>
  <c r="T139" i="632"/>
  <c r="Q139" i="632"/>
  <c r="M139" i="632"/>
  <c r="B139" i="632"/>
  <c r="T138" i="632"/>
  <c r="Q138" i="632"/>
  <c r="M138" i="632"/>
  <c r="B138" i="632"/>
  <c r="T137" i="632"/>
  <c r="Q137" i="632"/>
  <c r="M137" i="632"/>
  <c r="B137" i="632"/>
  <c r="T136" i="632"/>
  <c r="Q136" i="632"/>
  <c r="M136" i="632"/>
  <c r="B136" i="632"/>
  <c r="AF135" i="632"/>
  <c r="T135" i="632"/>
  <c r="R135" i="632"/>
  <c r="C135" i="632"/>
  <c r="T134" i="632"/>
  <c r="Q134" i="632"/>
  <c r="M134" i="632"/>
  <c r="B134" i="632"/>
  <c r="T133" i="632"/>
  <c r="Q133" i="632"/>
  <c r="M133" i="632"/>
  <c r="B133" i="632"/>
  <c r="T132" i="632"/>
  <c r="Q132" i="632"/>
  <c r="M132" i="632"/>
  <c r="B132" i="632"/>
  <c r="T131" i="632"/>
  <c r="Q131" i="632"/>
  <c r="M131" i="632"/>
  <c r="B131" i="632"/>
  <c r="T130" i="632"/>
  <c r="Q130" i="632"/>
  <c r="M130" i="632"/>
  <c r="B130" i="632"/>
  <c r="AF129" i="632"/>
  <c r="T129" i="632"/>
  <c r="R129" i="632"/>
  <c r="C129" i="632"/>
  <c r="T128" i="632"/>
  <c r="Q128" i="632"/>
  <c r="M128" i="632"/>
  <c r="B128" i="632"/>
  <c r="T127" i="632"/>
  <c r="Q127" i="632"/>
  <c r="M127" i="632"/>
  <c r="B127" i="632"/>
  <c r="T126" i="632"/>
  <c r="Q126" i="632"/>
  <c r="M126" i="632"/>
  <c r="B126" i="632"/>
  <c r="T125" i="632"/>
  <c r="Q125" i="632"/>
  <c r="M125" i="632"/>
  <c r="B125" i="632"/>
  <c r="AF124" i="632"/>
  <c r="T124" i="632"/>
  <c r="R124" i="632"/>
  <c r="C124" i="632"/>
  <c r="T123" i="632"/>
  <c r="Q123" i="632"/>
  <c r="M123" i="632"/>
  <c r="B123" i="632"/>
  <c r="T122" i="632"/>
  <c r="Q122" i="632"/>
  <c r="M122" i="632"/>
  <c r="B122" i="632"/>
  <c r="T121" i="632"/>
  <c r="Q121" i="632"/>
  <c r="M121" i="632"/>
  <c r="B121" i="632"/>
  <c r="T120" i="632"/>
  <c r="Q120" i="632"/>
  <c r="M120" i="632"/>
  <c r="B120" i="632"/>
  <c r="T119" i="632"/>
  <c r="Q119" i="632"/>
  <c r="M119" i="632"/>
  <c r="B119" i="632"/>
  <c r="AF118" i="632"/>
  <c r="T118" i="632"/>
  <c r="R118" i="632"/>
  <c r="M118" i="632"/>
  <c r="C118" i="632"/>
  <c r="T117" i="632"/>
  <c r="Q117" i="632"/>
  <c r="M117" i="632"/>
  <c r="B117" i="632"/>
  <c r="T116" i="632"/>
  <c r="Q116" i="632"/>
  <c r="M116" i="632"/>
  <c r="B116" i="632"/>
  <c r="T115" i="632"/>
  <c r="Q115" i="632"/>
  <c r="M115" i="632"/>
  <c r="B115" i="632"/>
  <c r="T114" i="632"/>
  <c r="Q114" i="632"/>
  <c r="M114" i="632"/>
  <c r="B114" i="632"/>
  <c r="AF113" i="632"/>
  <c r="T113" i="632"/>
  <c r="R113" i="632"/>
  <c r="C113" i="632"/>
  <c r="T112" i="632"/>
  <c r="Q112" i="632"/>
  <c r="M112" i="632"/>
  <c r="B112" i="632"/>
  <c r="T111" i="632"/>
  <c r="Q111" i="632"/>
  <c r="M111" i="632"/>
  <c r="B111" i="632"/>
  <c r="T110" i="632"/>
  <c r="Q110" i="632"/>
  <c r="M110" i="632"/>
  <c r="B110" i="632"/>
  <c r="AF109" i="632"/>
  <c r="T109" i="632"/>
  <c r="R109" i="632"/>
  <c r="C109" i="632"/>
  <c r="T108" i="632"/>
  <c r="Q108" i="632"/>
  <c r="M108" i="632"/>
  <c r="B108" i="632"/>
  <c r="T107" i="632"/>
  <c r="Q107" i="632"/>
  <c r="M107" i="632"/>
  <c r="B107" i="632"/>
  <c r="T106" i="632"/>
  <c r="Q106" i="632"/>
  <c r="M106" i="632"/>
  <c r="B106" i="632"/>
  <c r="T105" i="632"/>
  <c r="Q105" i="632"/>
  <c r="M105" i="632"/>
  <c r="B105" i="632"/>
  <c r="T104" i="632"/>
  <c r="Q104" i="632"/>
  <c r="M104" i="632"/>
  <c r="B104" i="632"/>
  <c r="AF103" i="632"/>
  <c r="T103" i="632"/>
  <c r="R103" i="632"/>
  <c r="C103" i="632"/>
  <c r="C102" i="632"/>
  <c r="T100" i="632"/>
  <c r="Q100" i="632"/>
  <c r="M100" i="632"/>
  <c r="E100" i="632"/>
  <c r="B100" i="632"/>
  <c r="T99" i="632"/>
  <c r="Q99" i="632"/>
  <c r="M99" i="632"/>
  <c r="E99" i="632"/>
  <c r="B99" i="632"/>
  <c r="T98" i="632"/>
  <c r="Q98" i="632"/>
  <c r="M98" i="632"/>
  <c r="E98" i="632"/>
  <c r="B98" i="632"/>
  <c r="T97" i="632"/>
  <c r="Q97" i="632"/>
  <c r="M97" i="632"/>
  <c r="E97" i="632"/>
  <c r="B97" i="632"/>
  <c r="T96" i="632"/>
  <c r="Q96" i="632"/>
  <c r="M96" i="632"/>
  <c r="E96" i="632"/>
  <c r="B96" i="632"/>
  <c r="AF95" i="632"/>
  <c r="T95" i="632"/>
  <c r="R95" i="632"/>
  <c r="C95" i="632"/>
  <c r="T94" i="632"/>
  <c r="Q94" i="632"/>
  <c r="M94" i="632"/>
  <c r="B94" i="632"/>
  <c r="T93" i="632"/>
  <c r="Q93" i="632"/>
  <c r="M93" i="632"/>
  <c r="B93" i="632"/>
  <c r="T92" i="632"/>
  <c r="Q92" i="632"/>
  <c r="M92" i="632"/>
  <c r="B92" i="632"/>
  <c r="T91" i="632"/>
  <c r="Q91" i="632"/>
  <c r="M91" i="632"/>
  <c r="B91" i="632"/>
  <c r="T90" i="632"/>
  <c r="Q90" i="632"/>
  <c r="M90" i="632"/>
  <c r="B90" i="632"/>
  <c r="AF89" i="632"/>
  <c r="T89" i="632"/>
  <c r="R89" i="632"/>
  <c r="C89" i="632"/>
  <c r="T88" i="632"/>
  <c r="Q88" i="632"/>
  <c r="M88" i="632"/>
  <c r="B88" i="632"/>
  <c r="T87" i="632"/>
  <c r="Q87" i="632"/>
  <c r="M87" i="632"/>
  <c r="B87" i="632"/>
  <c r="T86" i="632"/>
  <c r="Q86" i="632"/>
  <c r="M86" i="632"/>
  <c r="B86" i="632"/>
  <c r="T85" i="632"/>
  <c r="Q85" i="632"/>
  <c r="M85" i="632"/>
  <c r="B85" i="632"/>
  <c r="T84" i="632"/>
  <c r="Q84" i="632"/>
  <c r="M84" i="632"/>
  <c r="B84" i="632"/>
  <c r="AF83" i="632"/>
  <c r="T83" i="632"/>
  <c r="R83" i="632"/>
  <c r="C83" i="632"/>
  <c r="T82" i="632"/>
  <c r="Q82" i="632"/>
  <c r="M82" i="632"/>
  <c r="B82" i="632"/>
  <c r="T81" i="632"/>
  <c r="Q81" i="632"/>
  <c r="M81" i="632"/>
  <c r="B81" i="632"/>
  <c r="T80" i="632"/>
  <c r="Q80" i="632"/>
  <c r="M80" i="632"/>
  <c r="B80" i="632"/>
  <c r="T79" i="632"/>
  <c r="Q79" i="632"/>
  <c r="M79" i="632"/>
  <c r="B79" i="632"/>
  <c r="AF78" i="632"/>
  <c r="T78" i="632"/>
  <c r="R78" i="632"/>
  <c r="C78" i="632"/>
  <c r="T77" i="632"/>
  <c r="Q77" i="632"/>
  <c r="M77" i="632"/>
  <c r="B77" i="632"/>
  <c r="T76" i="632"/>
  <c r="Q76" i="632"/>
  <c r="M76" i="632"/>
  <c r="B76" i="632"/>
  <c r="T75" i="632"/>
  <c r="Q75" i="632"/>
  <c r="M75" i="632"/>
  <c r="B75" i="632"/>
  <c r="T74" i="632"/>
  <c r="Q74" i="632"/>
  <c r="M74" i="632"/>
  <c r="B74" i="632"/>
  <c r="T73" i="632"/>
  <c r="Q73" i="632"/>
  <c r="M73" i="632"/>
  <c r="B73" i="632"/>
  <c r="AF72" i="632"/>
  <c r="T72" i="632"/>
  <c r="R72" i="632"/>
  <c r="C72" i="632"/>
  <c r="T71" i="632"/>
  <c r="Q71" i="632"/>
  <c r="M71" i="632"/>
  <c r="B71" i="632"/>
  <c r="T70" i="632"/>
  <c r="Q70" i="632"/>
  <c r="M70" i="632"/>
  <c r="B70" i="632"/>
  <c r="T69" i="632"/>
  <c r="Q69" i="632"/>
  <c r="M69" i="632"/>
  <c r="B69" i="632"/>
  <c r="T68" i="632"/>
  <c r="Q68" i="632"/>
  <c r="M68" i="632"/>
  <c r="B68" i="632"/>
  <c r="T67" i="632"/>
  <c r="Q67" i="632"/>
  <c r="M67" i="632"/>
  <c r="B67" i="632"/>
  <c r="AF66" i="632"/>
  <c r="T66" i="632"/>
  <c r="R66" i="632"/>
  <c r="C66" i="632"/>
  <c r="T65" i="632"/>
  <c r="Q65" i="632"/>
  <c r="M65" i="632"/>
  <c r="B65" i="632"/>
  <c r="T64" i="632"/>
  <c r="Q64" i="632"/>
  <c r="M64" i="632"/>
  <c r="B64" i="632"/>
  <c r="T63" i="632"/>
  <c r="Q63" i="632"/>
  <c r="M63" i="632"/>
  <c r="B63" i="632"/>
  <c r="T62" i="632"/>
  <c r="Q62" i="632"/>
  <c r="M62" i="632"/>
  <c r="B62" i="632"/>
  <c r="T61" i="632"/>
  <c r="Q61" i="632"/>
  <c r="M61" i="632"/>
  <c r="B61" i="632"/>
  <c r="AF60" i="632"/>
  <c r="T60" i="632"/>
  <c r="R60" i="632"/>
  <c r="C60" i="632"/>
  <c r="T59" i="632"/>
  <c r="Q59" i="632"/>
  <c r="M59" i="632"/>
  <c r="B59" i="632"/>
  <c r="T58" i="632"/>
  <c r="Q58" i="632"/>
  <c r="M58" i="632"/>
  <c r="B58" i="632"/>
  <c r="T57" i="632"/>
  <c r="Q57" i="632"/>
  <c r="M57" i="632"/>
  <c r="B57" i="632"/>
  <c r="T56" i="632"/>
  <c r="Q56" i="632"/>
  <c r="M56" i="632"/>
  <c r="B56" i="632"/>
  <c r="T55" i="632"/>
  <c r="Q55" i="632"/>
  <c r="M55" i="632"/>
  <c r="B55" i="632"/>
  <c r="AF54" i="632"/>
  <c r="T54" i="632"/>
  <c r="R54" i="632"/>
  <c r="C54" i="632"/>
  <c r="T53" i="632"/>
  <c r="Q53" i="632"/>
  <c r="M53" i="632"/>
  <c r="B53" i="632"/>
  <c r="T52" i="632"/>
  <c r="Q52" i="632"/>
  <c r="M52" i="632"/>
  <c r="B52" i="632"/>
  <c r="T51" i="632"/>
  <c r="Q51" i="632"/>
  <c r="M51" i="632"/>
  <c r="B51" i="632"/>
  <c r="T50" i="632"/>
  <c r="Q50" i="632"/>
  <c r="M50" i="632"/>
  <c r="B50" i="632"/>
  <c r="T49" i="632"/>
  <c r="Q49" i="632"/>
  <c r="M49" i="632"/>
  <c r="B49" i="632"/>
  <c r="AF48" i="632"/>
  <c r="T48" i="632"/>
  <c r="R48" i="632"/>
  <c r="D48" i="632"/>
  <c r="C48" i="632"/>
  <c r="T47" i="632"/>
  <c r="Q47" i="632"/>
  <c r="M47" i="632"/>
  <c r="B47" i="632"/>
  <c r="T46" i="632"/>
  <c r="Q46" i="632"/>
  <c r="M46" i="632"/>
  <c r="B46" i="632"/>
  <c r="T45" i="632"/>
  <c r="Q45" i="632"/>
  <c r="M45" i="632"/>
  <c r="B45" i="632"/>
  <c r="T44" i="632"/>
  <c r="Q44" i="632"/>
  <c r="M44" i="632"/>
  <c r="B44" i="632"/>
  <c r="T43" i="632"/>
  <c r="Q43" i="632"/>
  <c r="M43" i="632"/>
  <c r="B43" i="632"/>
  <c r="AF42" i="632"/>
  <c r="T42" i="632"/>
  <c r="R42" i="632"/>
  <c r="C42" i="632"/>
  <c r="C41" i="632"/>
  <c r="T39" i="632"/>
  <c r="Q39" i="632"/>
  <c r="M39" i="632"/>
  <c r="E39" i="632"/>
  <c r="B39" i="632"/>
  <c r="T38" i="632"/>
  <c r="Q38" i="632"/>
  <c r="M38" i="632"/>
  <c r="E38" i="632"/>
  <c r="B38" i="632"/>
  <c r="T37" i="632"/>
  <c r="Q37" i="632"/>
  <c r="M37" i="632"/>
  <c r="E37" i="632"/>
  <c r="B37" i="632"/>
  <c r="AF36" i="632"/>
  <c r="T36" i="632"/>
  <c r="R36" i="632"/>
  <c r="C36" i="632"/>
  <c r="T35" i="632"/>
  <c r="Q35" i="632"/>
  <c r="M35" i="632"/>
  <c r="B35" i="632"/>
  <c r="T34" i="632"/>
  <c r="Q34" i="632"/>
  <c r="M34" i="632"/>
  <c r="B34" i="632"/>
  <c r="T33" i="632"/>
  <c r="Q33" i="632"/>
  <c r="M33" i="632"/>
  <c r="B33" i="632"/>
  <c r="AF32" i="632"/>
  <c r="T32" i="632"/>
  <c r="R32" i="632"/>
  <c r="C32" i="632"/>
  <c r="T31" i="632"/>
  <c r="Q31" i="632"/>
  <c r="M31" i="632"/>
  <c r="B31" i="632"/>
  <c r="T30" i="632"/>
  <c r="Q30" i="632"/>
  <c r="M30" i="632"/>
  <c r="B30" i="632"/>
  <c r="T29" i="632"/>
  <c r="Q29" i="632"/>
  <c r="M29" i="632"/>
  <c r="B29" i="632"/>
  <c r="T28" i="632"/>
  <c r="Q28" i="632"/>
  <c r="M28" i="632"/>
  <c r="B28" i="632"/>
  <c r="T27" i="632"/>
  <c r="Q27" i="632"/>
  <c r="M27" i="632"/>
  <c r="B27" i="632"/>
  <c r="T26" i="632"/>
  <c r="Q26" i="632"/>
  <c r="M26" i="632"/>
  <c r="B26" i="632"/>
  <c r="AF25" i="632"/>
  <c r="T25" i="632"/>
  <c r="R25" i="632"/>
  <c r="C25" i="632"/>
  <c r="T24" i="632"/>
  <c r="Q24" i="632"/>
  <c r="M24" i="632"/>
  <c r="T23" i="632"/>
  <c r="Q23" i="632"/>
  <c r="M23" i="632"/>
  <c r="T22" i="632"/>
  <c r="Q22" i="632"/>
  <c r="M22" i="632"/>
  <c r="T21" i="632"/>
  <c r="Q21" i="632"/>
  <c r="M21" i="632"/>
  <c r="T20" i="632"/>
  <c r="Q20" i="632"/>
  <c r="M20" i="632"/>
  <c r="T19" i="632"/>
  <c r="Q19" i="632"/>
  <c r="M19" i="632"/>
  <c r="T18" i="632"/>
  <c r="Q18" i="632"/>
  <c r="M18" i="632"/>
  <c r="AF17" i="632"/>
  <c r="T17" i="632"/>
  <c r="R17" i="632"/>
  <c r="C17" i="632"/>
  <c r="T16" i="632"/>
  <c r="Q16" i="632"/>
  <c r="M16" i="632"/>
  <c r="B16" i="632"/>
  <c r="T15" i="632"/>
  <c r="Q15" i="632"/>
  <c r="M15" i="632"/>
  <c r="B15" i="632"/>
  <c r="T14" i="632"/>
  <c r="Q14" i="632"/>
  <c r="M14" i="632"/>
  <c r="B14" i="632"/>
  <c r="T13" i="632"/>
  <c r="Q13" i="632"/>
  <c r="M13" i="632"/>
  <c r="B13" i="632"/>
  <c r="T12" i="632"/>
  <c r="Q12" i="632"/>
  <c r="M12" i="632"/>
  <c r="B12" i="632"/>
  <c r="AF11" i="632"/>
  <c r="T11" i="632"/>
  <c r="R11" i="632"/>
  <c r="C11" i="632"/>
  <c r="C10" i="632"/>
  <c r="V9" i="632"/>
  <c r="R9" i="632"/>
  <c r="G7" i="632"/>
  <c r="E7" i="632"/>
  <c r="C7" i="632"/>
  <c r="B7" i="632"/>
  <c r="AB6" i="632"/>
  <c r="C6" i="632"/>
  <c r="B6" i="632"/>
  <c r="AB5" i="632"/>
  <c r="V5" i="632"/>
  <c r="E5" i="632"/>
  <c r="C5" i="632"/>
  <c r="B5" i="632"/>
  <c r="AB4" i="632"/>
  <c r="E4" i="632"/>
  <c r="C4" i="632"/>
  <c r="B4" i="632"/>
  <c r="Z2" i="632"/>
  <c r="X2" i="632"/>
  <c r="C2" i="632"/>
  <c r="C1" i="632"/>
  <c r="R184" i="474"/>
  <c r="C184" i="474"/>
  <c r="R182" i="474"/>
  <c r="G182" i="474"/>
  <c r="E182" i="474"/>
  <c r="C182" i="474"/>
  <c r="R181" i="474"/>
  <c r="G181" i="474"/>
  <c r="E181" i="474"/>
  <c r="C181" i="474"/>
  <c r="R180" i="474"/>
  <c r="G180" i="474"/>
  <c r="E180" i="474"/>
  <c r="C180" i="474"/>
  <c r="R179" i="474"/>
  <c r="G179" i="474"/>
  <c r="E179" i="474"/>
  <c r="C179" i="474"/>
  <c r="AF177" i="474"/>
  <c r="AE177" i="474"/>
  <c r="C177" i="474"/>
  <c r="T175" i="474"/>
  <c r="Q175" i="474"/>
  <c r="M175" i="474"/>
  <c r="E175" i="474"/>
  <c r="B175" i="474"/>
  <c r="T174" i="474"/>
  <c r="Q174" i="474"/>
  <c r="M174" i="474"/>
  <c r="E174" i="474"/>
  <c r="B174" i="474"/>
  <c r="T173" i="474"/>
  <c r="Q173" i="474"/>
  <c r="M173" i="474"/>
  <c r="E173" i="474"/>
  <c r="B173" i="474"/>
  <c r="T172" i="474"/>
  <c r="Q172" i="474"/>
  <c r="M172" i="474"/>
  <c r="E172" i="474"/>
  <c r="B172" i="474"/>
  <c r="AF171" i="474"/>
  <c r="T171" i="474"/>
  <c r="R171" i="474"/>
  <c r="C171" i="474"/>
  <c r="T170" i="474"/>
  <c r="R170" i="474"/>
  <c r="Q170" i="474"/>
  <c r="M170" i="474"/>
  <c r="B170" i="474"/>
  <c r="T169" i="474"/>
  <c r="R169" i="474"/>
  <c r="Q169" i="474"/>
  <c r="M169" i="474"/>
  <c r="B169" i="474"/>
  <c r="T168" i="474"/>
  <c r="R168" i="474"/>
  <c r="Q168" i="474"/>
  <c r="M168" i="474"/>
  <c r="B168" i="474"/>
  <c r="T167" i="474"/>
  <c r="R167" i="474"/>
  <c r="Q167" i="474"/>
  <c r="M167" i="474"/>
  <c r="B167" i="474"/>
  <c r="T166" i="474"/>
  <c r="R166" i="474"/>
  <c r="Q166" i="474"/>
  <c r="M166" i="474"/>
  <c r="B166" i="474"/>
  <c r="AF165" i="474"/>
  <c r="T165" i="474"/>
  <c r="R165" i="474"/>
  <c r="C165" i="474"/>
  <c r="T164" i="474"/>
  <c r="R164" i="474"/>
  <c r="Q164" i="474"/>
  <c r="M164" i="474"/>
  <c r="B164" i="474"/>
  <c r="T163" i="474"/>
  <c r="R163" i="474"/>
  <c r="Q163" i="474"/>
  <c r="M163" i="474"/>
  <c r="B163" i="474"/>
  <c r="T162" i="474"/>
  <c r="R162" i="474"/>
  <c r="Q162" i="474"/>
  <c r="M162" i="474"/>
  <c r="B162" i="474"/>
  <c r="T161" i="474"/>
  <c r="R161" i="474"/>
  <c r="Q161" i="474"/>
  <c r="M161" i="474"/>
  <c r="B161" i="474"/>
  <c r="T160" i="474"/>
  <c r="R160" i="474"/>
  <c r="Q160" i="474"/>
  <c r="M160" i="474"/>
  <c r="B160" i="474"/>
  <c r="AF159" i="474"/>
  <c r="T159" i="474"/>
  <c r="R159" i="474"/>
  <c r="C159" i="474"/>
  <c r="T158" i="474"/>
  <c r="R158" i="474"/>
  <c r="Q158" i="474"/>
  <c r="M158" i="474"/>
  <c r="B158" i="474"/>
  <c r="T157" i="474"/>
  <c r="R157" i="474"/>
  <c r="Q157" i="474"/>
  <c r="M157" i="474"/>
  <c r="B157" i="474"/>
  <c r="T156" i="474"/>
  <c r="R156" i="474"/>
  <c r="Q156" i="474"/>
  <c r="M156" i="474"/>
  <c r="B156" i="474"/>
  <c r="T155" i="474"/>
  <c r="R155" i="474"/>
  <c r="Q155" i="474"/>
  <c r="M155" i="474"/>
  <c r="B155" i="474"/>
  <c r="T154" i="474"/>
  <c r="R154" i="474"/>
  <c r="Q154" i="474"/>
  <c r="M154" i="474"/>
  <c r="B154" i="474"/>
  <c r="T153" i="474"/>
  <c r="R153" i="474"/>
  <c r="Q153" i="474"/>
  <c r="M153" i="474"/>
  <c r="B153" i="474"/>
  <c r="AF152" i="474"/>
  <c r="T152" i="474"/>
  <c r="R152" i="474"/>
  <c r="C152" i="474"/>
  <c r="T151" i="474"/>
  <c r="R151" i="474"/>
  <c r="Q151" i="474"/>
  <c r="M151" i="474"/>
  <c r="B151" i="474"/>
  <c r="T150" i="474"/>
  <c r="R150" i="474"/>
  <c r="Q150" i="474"/>
  <c r="M150" i="474"/>
  <c r="B150" i="474"/>
  <c r="T149" i="474"/>
  <c r="R149" i="474"/>
  <c r="Q149" i="474"/>
  <c r="M149" i="474"/>
  <c r="B149" i="474"/>
  <c r="T148" i="474"/>
  <c r="R148" i="474"/>
  <c r="Q148" i="474"/>
  <c r="M148" i="474"/>
  <c r="B148" i="474"/>
  <c r="AF147" i="474"/>
  <c r="T147" i="474"/>
  <c r="R147" i="474"/>
  <c r="C147" i="474"/>
  <c r="T146" i="474"/>
  <c r="R146" i="474"/>
  <c r="Q146" i="474"/>
  <c r="M146" i="474"/>
  <c r="B146" i="474"/>
  <c r="T145" i="474"/>
  <c r="R145" i="474"/>
  <c r="Q145" i="474"/>
  <c r="M145" i="474"/>
  <c r="B145" i="474"/>
  <c r="T144" i="474"/>
  <c r="R144" i="474"/>
  <c r="Q144" i="474"/>
  <c r="M144" i="474"/>
  <c r="B144" i="474"/>
  <c r="T143" i="474"/>
  <c r="R143" i="474"/>
  <c r="Q143" i="474"/>
  <c r="M143" i="474"/>
  <c r="B143" i="474"/>
  <c r="T142" i="474"/>
  <c r="R142" i="474"/>
  <c r="Q142" i="474"/>
  <c r="M142" i="474"/>
  <c r="B142" i="474"/>
  <c r="AF141" i="474"/>
  <c r="T141" i="474"/>
  <c r="R141" i="474"/>
  <c r="C141" i="474"/>
  <c r="T140" i="474"/>
  <c r="R140" i="474"/>
  <c r="Q140" i="474"/>
  <c r="M140" i="474"/>
  <c r="B140" i="474"/>
  <c r="T139" i="474"/>
  <c r="R139" i="474"/>
  <c r="Q139" i="474"/>
  <c r="M139" i="474"/>
  <c r="B139" i="474"/>
  <c r="T138" i="474"/>
  <c r="R138" i="474"/>
  <c r="Q138" i="474"/>
  <c r="M138" i="474"/>
  <c r="B138" i="474"/>
  <c r="T137" i="474"/>
  <c r="R137" i="474"/>
  <c r="Q137" i="474"/>
  <c r="M137" i="474"/>
  <c r="B137" i="474"/>
  <c r="T136" i="474"/>
  <c r="R136" i="474"/>
  <c r="Q136" i="474"/>
  <c r="M136" i="474"/>
  <c r="B136" i="474"/>
  <c r="AF135" i="474"/>
  <c r="T135" i="474"/>
  <c r="R135" i="474"/>
  <c r="C135" i="474"/>
  <c r="T134" i="474"/>
  <c r="R134" i="474"/>
  <c r="Q134" i="474"/>
  <c r="M134" i="474"/>
  <c r="B134" i="474"/>
  <c r="T133" i="474"/>
  <c r="R133" i="474"/>
  <c r="Q133" i="474"/>
  <c r="M133" i="474"/>
  <c r="B133" i="474"/>
  <c r="T132" i="474"/>
  <c r="R132" i="474"/>
  <c r="Q132" i="474"/>
  <c r="M132" i="474"/>
  <c r="B132" i="474"/>
  <c r="T131" i="474"/>
  <c r="R131" i="474"/>
  <c r="Q131" i="474"/>
  <c r="M131" i="474"/>
  <c r="B131" i="474"/>
  <c r="T130" i="474"/>
  <c r="R130" i="474"/>
  <c r="Q130" i="474"/>
  <c r="M130" i="474"/>
  <c r="B130" i="474"/>
  <c r="AF129" i="474"/>
  <c r="T129" i="474"/>
  <c r="R129" i="474"/>
  <c r="C129" i="474"/>
  <c r="T128" i="474"/>
  <c r="R128" i="474"/>
  <c r="Q128" i="474"/>
  <c r="M128" i="474"/>
  <c r="B128" i="474"/>
  <c r="T127" i="474"/>
  <c r="R127" i="474"/>
  <c r="Q127" i="474"/>
  <c r="M127" i="474"/>
  <c r="B127" i="474"/>
  <c r="T126" i="474"/>
  <c r="R126" i="474"/>
  <c r="Q126" i="474"/>
  <c r="M126" i="474"/>
  <c r="B126" i="474"/>
  <c r="T125" i="474"/>
  <c r="R125" i="474"/>
  <c r="Q125" i="474"/>
  <c r="M125" i="474"/>
  <c r="B125" i="474"/>
  <c r="AF124" i="474"/>
  <c r="T124" i="474"/>
  <c r="R124" i="474"/>
  <c r="C124" i="474"/>
  <c r="T123" i="474"/>
  <c r="R123" i="474"/>
  <c r="Q123" i="474"/>
  <c r="M123" i="474"/>
  <c r="B123" i="474"/>
  <c r="T122" i="474"/>
  <c r="R122" i="474"/>
  <c r="Q122" i="474"/>
  <c r="M122" i="474"/>
  <c r="B122" i="474"/>
  <c r="T121" i="474"/>
  <c r="R121" i="474"/>
  <c r="Q121" i="474"/>
  <c r="M121" i="474"/>
  <c r="B121" i="474"/>
  <c r="T120" i="474"/>
  <c r="R120" i="474"/>
  <c r="Q120" i="474"/>
  <c r="M120" i="474"/>
  <c r="B120" i="474"/>
  <c r="T119" i="474"/>
  <c r="R119" i="474"/>
  <c r="Q119" i="474"/>
  <c r="M119" i="474"/>
  <c r="B119" i="474"/>
  <c r="AF118" i="474"/>
  <c r="T118" i="474"/>
  <c r="R118" i="474"/>
  <c r="M118" i="474"/>
  <c r="C118" i="474"/>
  <c r="T117" i="474"/>
  <c r="R117" i="474"/>
  <c r="Q117" i="474"/>
  <c r="M117" i="474"/>
  <c r="B117" i="474"/>
  <c r="T116" i="474"/>
  <c r="R116" i="474"/>
  <c r="Q116" i="474"/>
  <c r="M116" i="474"/>
  <c r="B116" i="474"/>
  <c r="T115" i="474"/>
  <c r="R115" i="474"/>
  <c r="Q115" i="474"/>
  <c r="M115" i="474"/>
  <c r="B115" i="474"/>
  <c r="T114" i="474"/>
  <c r="R114" i="474"/>
  <c r="Q114" i="474"/>
  <c r="M114" i="474"/>
  <c r="B114" i="474"/>
  <c r="AF113" i="474"/>
  <c r="T113" i="474"/>
  <c r="R113" i="474"/>
  <c r="C113" i="474"/>
  <c r="T112" i="474"/>
  <c r="R112" i="474"/>
  <c r="Q112" i="474"/>
  <c r="M112" i="474"/>
  <c r="B112" i="474"/>
  <c r="T111" i="474"/>
  <c r="R111" i="474"/>
  <c r="Q111" i="474"/>
  <c r="M111" i="474"/>
  <c r="B111" i="474"/>
  <c r="T110" i="474"/>
  <c r="R110" i="474"/>
  <c r="Q110" i="474"/>
  <c r="M110" i="474"/>
  <c r="B110" i="474"/>
  <c r="AF109" i="474"/>
  <c r="T109" i="474"/>
  <c r="R109" i="474"/>
  <c r="C109" i="474"/>
  <c r="T108" i="474"/>
  <c r="R108" i="474"/>
  <c r="Q108" i="474"/>
  <c r="M108" i="474"/>
  <c r="B108" i="474"/>
  <c r="T107" i="474"/>
  <c r="R107" i="474"/>
  <c r="Q107" i="474"/>
  <c r="M107" i="474"/>
  <c r="B107" i="474"/>
  <c r="T106" i="474"/>
  <c r="R106" i="474"/>
  <c r="Q106" i="474"/>
  <c r="M106" i="474"/>
  <c r="B106" i="474"/>
  <c r="T105" i="474"/>
  <c r="R105" i="474"/>
  <c r="Q105" i="474"/>
  <c r="M105" i="474"/>
  <c r="B105" i="474"/>
  <c r="T104" i="474"/>
  <c r="R104" i="474"/>
  <c r="Q104" i="474"/>
  <c r="M104" i="474"/>
  <c r="B104" i="474"/>
  <c r="AF103" i="474"/>
  <c r="T103" i="474"/>
  <c r="R103" i="474"/>
  <c r="C103" i="474"/>
  <c r="C102" i="474"/>
  <c r="T100" i="474"/>
  <c r="Q100" i="474"/>
  <c r="M100" i="474"/>
  <c r="B100" i="474"/>
  <c r="T99" i="474"/>
  <c r="Q99" i="474"/>
  <c r="M99" i="474"/>
  <c r="B99" i="474"/>
  <c r="T98" i="474"/>
  <c r="Q98" i="474"/>
  <c r="M98" i="474"/>
  <c r="B98" i="474"/>
  <c r="T97" i="474"/>
  <c r="Q97" i="474"/>
  <c r="M97" i="474"/>
  <c r="B97" i="474"/>
  <c r="T96" i="474"/>
  <c r="Q96" i="474"/>
  <c r="M96" i="474"/>
  <c r="B96" i="474"/>
  <c r="AF95" i="474"/>
  <c r="T95" i="474"/>
  <c r="R95" i="474"/>
  <c r="C95" i="474"/>
  <c r="T94" i="474"/>
  <c r="R94" i="474"/>
  <c r="Q94" i="474"/>
  <c r="M94" i="474"/>
  <c r="B94" i="474"/>
  <c r="T93" i="474"/>
  <c r="R93" i="474"/>
  <c r="Q93" i="474"/>
  <c r="M93" i="474"/>
  <c r="B93" i="474"/>
  <c r="T92" i="474"/>
  <c r="R92" i="474"/>
  <c r="Q92" i="474"/>
  <c r="M92" i="474"/>
  <c r="B92" i="474"/>
  <c r="T91" i="474"/>
  <c r="R91" i="474"/>
  <c r="Q91" i="474"/>
  <c r="M91" i="474"/>
  <c r="B91" i="474"/>
  <c r="T90" i="474"/>
  <c r="R90" i="474"/>
  <c r="Q90" i="474"/>
  <c r="M90" i="474"/>
  <c r="B90" i="474"/>
  <c r="AF89" i="474"/>
  <c r="T89" i="474"/>
  <c r="R89" i="474"/>
  <c r="C89" i="474"/>
  <c r="T88" i="474"/>
  <c r="R88" i="474"/>
  <c r="Q88" i="474"/>
  <c r="M88" i="474"/>
  <c r="B88" i="474"/>
  <c r="T87" i="474"/>
  <c r="R87" i="474"/>
  <c r="Q87" i="474"/>
  <c r="M87" i="474"/>
  <c r="B87" i="474"/>
  <c r="T86" i="474"/>
  <c r="R86" i="474"/>
  <c r="Q86" i="474"/>
  <c r="M86" i="474"/>
  <c r="B86" i="474"/>
  <c r="T85" i="474"/>
  <c r="R85" i="474"/>
  <c r="Q85" i="474"/>
  <c r="M85" i="474"/>
  <c r="B85" i="474"/>
  <c r="T84" i="474"/>
  <c r="R84" i="474"/>
  <c r="Q84" i="474"/>
  <c r="M84" i="474"/>
  <c r="B84" i="474"/>
  <c r="AF83" i="474"/>
  <c r="T83" i="474"/>
  <c r="R83" i="474"/>
  <c r="C83" i="474"/>
  <c r="T82" i="474"/>
  <c r="R82" i="474"/>
  <c r="Q82" i="474"/>
  <c r="M82" i="474"/>
  <c r="B82" i="474"/>
  <c r="T81" i="474"/>
  <c r="R81" i="474"/>
  <c r="Q81" i="474"/>
  <c r="M81" i="474"/>
  <c r="B81" i="474"/>
  <c r="T80" i="474"/>
  <c r="R80" i="474"/>
  <c r="Q80" i="474"/>
  <c r="M80" i="474"/>
  <c r="B80" i="474"/>
  <c r="T79" i="474"/>
  <c r="R79" i="474"/>
  <c r="Q79" i="474"/>
  <c r="M79" i="474"/>
  <c r="B79" i="474"/>
  <c r="AF78" i="474"/>
  <c r="T78" i="474"/>
  <c r="R78" i="474"/>
  <c r="C78" i="474"/>
  <c r="T77" i="474"/>
  <c r="R77" i="474"/>
  <c r="Q77" i="474"/>
  <c r="M77" i="474"/>
  <c r="B77" i="474"/>
  <c r="T76" i="474"/>
  <c r="R76" i="474"/>
  <c r="Q76" i="474"/>
  <c r="M76" i="474"/>
  <c r="B76" i="474"/>
  <c r="T75" i="474"/>
  <c r="R75" i="474"/>
  <c r="Q75" i="474"/>
  <c r="M75" i="474"/>
  <c r="B75" i="474"/>
  <c r="T74" i="474"/>
  <c r="R74" i="474"/>
  <c r="Q74" i="474"/>
  <c r="M74" i="474"/>
  <c r="B74" i="474"/>
  <c r="T73" i="474"/>
  <c r="R73" i="474"/>
  <c r="Q73" i="474"/>
  <c r="M73" i="474"/>
  <c r="B73" i="474"/>
  <c r="AF72" i="474"/>
  <c r="T72" i="474"/>
  <c r="R72" i="474"/>
  <c r="C72" i="474"/>
  <c r="T71" i="474"/>
  <c r="R71" i="474"/>
  <c r="Q71" i="474"/>
  <c r="M71" i="474"/>
  <c r="B71" i="474"/>
  <c r="T70" i="474"/>
  <c r="R70" i="474"/>
  <c r="Q70" i="474"/>
  <c r="M70" i="474"/>
  <c r="B70" i="474"/>
  <c r="T69" i="474"/>
  <c r="R69" i="474"/>
  <c r="Q69" i="474"/>
  <c r="M69" i="474"/>
  <c r="B69" i="474"/>
  <c r="T68" i="474"/>
  <c r="R68" i="474"/>
  <c r="Q68" i="474"/>
  <c r="M68" i="474"/>
  <c r="B68" i="474"/>
  <c r="T67" i="474"/>
  <c r="R67" i="474"/>
  <c r="Q67" i="474"/>
  <c r="M67" i="474"/>
  <c r="B67" i="474"/>
  <c r="AF66" i="474"/>
  <c r="T66" i="474"/>
  <c r="R66" i="474"/>
  <c r="C66" i="474"/>
  <c r="T65" i="474"/>
  <c r="R65" i="474"/>
  <c r="Q65" i="474"/>
  <c r="M65" i="474"/>
  <c r="B65" i="474"/>
  <c r="T64" i="474"/>
  <c r="R64" i="474"/>
  <c r="Q64" i="474"/>
  <c r="M64" i="474"/>
  <c r="B64" i="474"/>
  <c r="T63" i="474"/>
  <c r="R63" i="474"/>
  <c r="Q63" i="474"/>
  <c r="M63" i="474"/>
  <c r="B63" i="474"/>
  <c r="T62" i="474"/>
  <c r="R62" i="474"/>
  <c r="Q62" i="474"/>
  <c r="M62" i="474"/>
  <c r="B62" i="474"/>
  <c r="T61" i="474"/>
  <c r="R61" i="474"/>
  <c r="Q61" i="474"/>
  <c r="M61" i="474"/>
  <c r="B61" i="474"/>
  <c r="AF60" i="474"/>
  <c r="T60" i="474"/>
  <c r="R60" i="474"/>
  <c r="C60" i="474"/>
  <c r="T59" i="474"/>
  <c r="R59" i="474"/>
  <c r="Q59" i="474"/>
  <c r="M59" i="474"/>
  <c r="B59" i="474"/>
  <c r="T58" i="474"/>
  <c r="R58" i="474"/>
  <c r="Q58" i="474"/>
  <c r="M58" i="474"/>
  <c r="B58" i="474"/>
  <c r="T57" i="474"/>
  <c r="R57" i="474"/>
  <c r="Q57" i="474"/>
  <c r="M57" i="474"/>
  <c r="B57" i="474"/>
  <c r="T56" i="474"/>
  <c r="R56" i="474"/>
  <c r="Q56" i="474"/>
  <c r="M56" i="474"/>
  <c r="B56" i="474"/>
  <c r="T55" i="474"/>
  <c r="R55" i="474"/>
  <c r="Q55" i="474"/>
  <c r="M55" i="474"/>
  <c r="B55" i="474"/>
  <c r="AF54" i="474"/>
  <c r="T54" i="474"/>
  <c r="R54" i="474"/>
  <c r="C54" i="474"/>
  <c r="T53" i="474"/>
  <c r="R53" i="474"/>
  <c r="Q53" i="474"/>
  <c r="M53" i="474"/>
  <c r="B53" i="474"/>
  <c r="T52" i="474"/>
  <c r="R52" i="474"/>
  <c r="Q52" i="474"/>
  <c r="M52" i="474"/>
  <c r="B52" i="474"/>
  <c r="T51" i="474"/>
  <c r="R51" i="474"/>
  <c r="Q51" i="474"/>
  <c r="M51" i="474"/>
  <c r="B51" i="474"/>
  <c r="T50" i="474"/>
  <c r="R50" i="474"/>
  <c r="Q50" i="474"/>
  <c r="M50" i="474"/>
  <c r="B50" i="474"/>
  <c r="T49" i="474"/>
  <c r="R49" i="474"/>
  <c r="Q49" i="474"/>
  <c r="M49" i="474"/>
  <c r="B49" i="474"/>
  <c r="AF48" i="474"/>
  <c r="T48" i="474"/>
  <c r="R48" i="474"/>
  <c r="D48" i="474"/>
  <c r="C48" i="474"/>
  <c r="T47" i="474"/>
  <c r="R47" i="474"/>
  <c r="Q47" i="474"/>
  <c r="M47" i="474"/>
  <c r="B47" i="474"/>
  <c r="T46" i="474"/>
  <c r="R46" i="474"/>
  <c r="Q46" i="474"/>
  <c r="M46" i="474"/>
  <c r="B46" i="474"/>
  <c r="T45" i="474"/>
  <c r="R45" i="474"/>
  <c r="Q45" i="474"/>
  <c r="M45" i="474"/>
  <c r="B45" i="474"/>
  <c r="T44" i="474"/>
  <c r="R44" i="474"/>
  <c r="Q44" i="474"/>
  <c r="M44" i="474"/>
  <c r="B44" i="474"/>
  <c r="T43" i="474"/>
  <c r="R43" i="474"/>
  <c r="Q43" i="474"/>
  <c r="M43" i="474"/>
  <c r="B43" i="474"/>
  <c r="AF42" i="474"/>
  <c r="T42" i="474"/>
  <c r="R42" i="474"/>
  <c r="C42" i="474"/>
  <c r="C41" i="474"/>
  <c r="T39" i="474"/>
  <c r="Q39" i="474"/>
  <c r="M39" i="474"/>
  <c r="E39" i="474"/>
  <c r="B39" i="474"/>
  <c r="T38" i="474"/>
  <c r="Q38" i="474"/>
  <c r="M38" i="474"/>
  <c r="E38" i="474"/>
  <c r="B38" i="474"/>
  <c r="T37" i="474"/>
  <c r="Q37" i="474"/>
  <c r="M37" i="474"/>
  <c r="E37" i="474"/>
  <c r="B37" i="474"/>
  <c r="AF36" i="474"/>
  <c r="T36" i="474"/>
  <c r="R36" i="474"/>
  <c r="C36" i="474"/>
  <c r="T35" i="474"/>
  <c r="R35" i="474"/>
  <c r="Q35" i="474"/>
  <c r="M35" i="474"/>
  <c r="B35" i="474"/>
  <c r="T34" i="474"/>
  <c r="R34" i="474"/>
  <c r="Q34" i="474"/>
  <c r="M34" i="474"/>
  <c r="B34" i="474"/>
  <c r="T33" i="474"/>
  <c r="R33" i="474"/>
  <c r="Q33" i="474"/>
  <c r="M33" i="474"/>
  <c r="B33" i="474"/>
  <c r="AF32" i="474"/>
  <c r="T32" i="474"/>
  <c r="R32" i="474"/>
  <c r="C32" i="474"/>
  <c r="T31" i="474"/>
  <c r="R31" i="474"/>
  <c r="Q31" i="474"/>
  <c r="M31" i="474"/>
  <c r="B31" i="474"/>
  <c r="T30" i="474"/>
  <c r="R30" i="474"/>
  <c r="Q30" i="474"/>
  <c r="M30" i="474"/>
  <c r="B30" i="474"/>
  <c r="T29" i="474"/>
  <c r="R29" i="474"/>
  <c r="Q29" i="474"/>
  <c r="M29" i="474"/>
  <c r="B29" i="474"/>
  <c r="T28" i="474"/>
  <c r="R28" i="474"/>
  <c r="Q28" i="474"/>
  <c r="M28" i="474"/>
  <c r="B28" i="474"/>
  <c r="T27" i="474"/>
  <c r="R27" i="474"/>
  <c r="Q27" i="474"/>
  <c r="M27" i="474"/>
  <c r="B27" i="474"/>
  <c r="T26" i="474"/>
  <c r="R26" i="474"/>
  <c r="Q26" i="474"/>
  <c r="M26" i="474"/>
  <c r="B26" i="474"/>
  <c r="AF25" i="474"/>
  <c r="T25" i="474"/>
  <c r="R25" i="474"/>
  <c r="C25" i="474"/>
  <c r="T24" i="474"/>
  <c r="R24" i="474"/>
  <c r="Q24" i="474"/>
  <c r="M24" i="474"/>
  <c r="T23" i="474"/>
  <c r="R23" i="474"/>
  <c r="Q23" i="474"/>
  <c r="M23" i="474"/>
  <c r="T22" i="474"/>
  <c r="R22" i="474"/>
  <c r="Q22" i="474"/>
  <c r="M22" i="474"/>
  <c r="T21" i="474"/>
  <c r="R21" i="474"/>
  <c r="Q21" i="474"/>
  <c r="M21" i="474"/>
  <c r="T20" i="474"/>
  <c r="R20" i="474"/>
  <c r="Q20" i="474"/>
  <c r="M20" i="474"/>
  <c r="T19" i="474"/>
  <c r="R19" i="474"/>
  <c r="Q19" i="474"/>
  <c r="M19" i="474"/>
  <c r="T18" i="474"/>
  <c r="R18" i="474"/>
  <c r="Q18" i="474"/>
  <c r="M18" i="474"/>
  <c r="AF17" i="474"/>
  <c r="T17" i="474"/>
  <c r="R17" i="474"/>
  <c r="C17" i="474"/>
  <c r="T16" i="474"/>
  <c r="R16" i="474"/>
  <c r="Q16" i="474"/>
  <c r="M16" i="474"/>
  <c r="B16" i="474"/>
  <c r="T15" i="474"/>
  <c r="R15" i="474"/>
  <c r="Q15" i="474"/>
  <c r="M15" i="474"/>
  <c r="B15" i="474"/>
  <c r="T14" i="474"/>
  <c r="R14" i="474"/>
  <c r="Q14" i="474"/>
  <c r="M14" i="474"/>
  <c r="B14" i="474"/>
  <c r="T13" i="474"/>
  <c r="R13" i="474"/>
  <c r="Q13" i="474"/>
  <c r="M13" i="474"/>
  <c r="B13" i="474"/>
  <c r="T12" i="474"/>
  <c r="R12" i="474"/>
  <c r="Q12" i="474"/>
  <c r="M12" i="474"/>
  <c r="B12" i="474"/>
  <c r="AF11" i="474"/>
  <c r="T11" i="474"/>
  <c r="R11" i="474"/>
  <c r="C11" i="474"/>
  <c r="C10" i="474"/>
  <c r="V9" i="474"/>
  <c r="R9" i="474"/>
  <c r="G9" i="474"/>
  <c r="C9" i="474"/>
  <c r="C7" i="474"/>
  <c r="B7" i="474"/>
  <c r="C6" i="474"/>
  <c r="B6" i="474"/>
  <c r="V5" i="474"/>
  <c r="C5" i="474"/>
  <c r="B5" i="474"/>
  <c r="C4" i="474"/>
  <c r="B4" i="474"/>
  <c r="Z2" i="474"/>
  <c r="X2" i="474"/>
  <c r="C2" i="474"/>
  <c r="C1" i="474"/>
  <c r="B14" i="755" a="1"/>
  <c r="B14" i="755"/>
  <c r="E13" i="755"/>
  <c r="D13" i="755"/>
  <c r="C13" i="755"/>
  <c r="E11" i="755"/>
  <c r="D11" i="755"/>
  <c r="E10" i="755"/>
  <c r="D10" i="755"/>
  <c r="E9" i="755"/>
  <c r="D9" i="755"/>
  <c r="E8" i="755"/>
  <c r="B6" i="755"/>
  <c r="B5" i="755"/>
  <c r="B4" i="755"/>
  <c r="B3" i="755"/>
  <c r="X212" i="74"/>
  <c r="G212" i="74"/>
  <c r="W210" i="74"/>
  <c r="U210" i="74"/>
  <c r="Y209" i="74"/>
  <c r="W209" i="74"/>
  <c r="U209" i="74"/>
  <c r="Y208" i="74"/>
  <c r="W208" i="74"/>
  <c r="U208" i="74"/>
  <c r="I208" i="74"/>
  <c r="Y207" i="74"/>
  <c r="W207" i="74"/>
  <c r="U207" i="74"/>
  <c r="I207" i="74"/>
  <c r="Y206" i="74"/>
  <c r="W206" i="74"/>
  <c r="U206" i="74"/>
  <c r="I206" i="74"/>
  <c r="G204" i="74"/>
  <c r="U202" i="74"/>
  <c r="I202" i="74"/>
  <c r="U200" i="74"/>
  <c r="S200" i="74"/>
  <c r="I200" i="74"/>
  <c r="AR199" i="74"/>
  <c r="AM199" i="74"/>
  <c r="AL199" i="74"/>
  <c r="AK199" i="74"/>
  <c r="X199" i="74"/>
  <c r="U199" i="74"/>
  <c r="I199" i="74"/>
  <c r="AR198" i="74"/>
  <c r="AP198" i="74"/>
  <c r="AM198" i="74"/>
  <c r="AL198" i="74"/>
  <c r="AK198" i="74"/>
  <c r="U198" i="74"/>
  <c r="I198" i="74"/>
  <c r="AR197" i="74"/>
  <c r="AP197" i="74" a="1"/>
  <c r="AP197" i="74"/>
  <c r="AM197" i="74"/>
  <c r="AL197" i="74"/>
  <c r="AK197" i="74"/>
  <c r="U197" i="74"/>
  <c r="I197" i="74"/>
  <c r="U196" i="74"/>
  <c r="I196" i="74"/>
  <c r="AL194" i="74"/>
  <c r="AK194" i="74"/>
  <c r="G194" i="74"/>
  <c r="I192" i="74"/>
  <c r="D192" i="74"/>
  <c r="I191" i="74"/>
  <c r="D191" i="74"/>
  <c r="AS189" i="74"/>
  <c r="AR189" i="74"/>
  <c r="AQ189" i="74"/>
  <c r="AP189" i="74"/>
  <c r="AO189" i="74"/>
  <c r="AM189" i="74"/>
  <c r="AJ189" i="74"/>
  <c r="U189" i="74"/>
  <c r="T189" i="74"/>
  <c r="O189" i="74"/>
  <c r="G189" i="74"/>
  <c r="D189" i="74"/>
  <c r="C189" i="74"/>
  <c r="B189" i="74"/>
  <c r="AS188" i="74"/>
  <c r="AR188" i="74"/>
  <c r="AQ188" i="74"/>
  <c r="AP188" i="74"/>
  <c r="AO188" i="74"/>
  <c r="AM188" i="74"/>
  <c r="AJ188" i="74"/>
  <c r="U188" i="74"/>
  <c r="T188" i="74"/>
  <c r="O188" i="74"/>
  <c r="G188" i="74"/>
  <c r="D188" i="74"/>
  <c r="C188" i="74"/>
  <c r="B188" i="74"/>
  <c r="AS187" i="74"/>
  <c r="AR187" i="74"/>
  <c r="AQ187" i="74"/>
  <c r="AP187" i="74"/>
  <c r="AO187" i="74"/>
  <c r="AM187" i="74"/>
  <c r="AJ187" i="74"/>
  <c r="U187" i="74"/>
  <c r="T187" i="74"/>
  <c r="O187" i="74"/>
  <c r="G187" i="74"/>
  <c r="D187" i="74"/>
  <c r="C187" i="74"/>
  <c r="B187" i="74"/>
  <c r="AS186" i="74"/>
  <c r="AR186" i="74"/>
  <c r="AQ186" i="74"/>
  <c r="AP186" i="74"/>
  <c r="AO186" i="74"/>
  <c r="AM186" i="74"/>
  <c r="AJ186" i="74"/>
  <c r="U186" i="74"/>
  <c r="T186" i="74"/>
  <c r="O186" i="74"/>
  <c r="G186" i="74"/>
  <c r="D186" i="74"/>
  <c r="C186" i="74"/>
  <c r="B186" i="74"/>
  <c r="AS185" i="74"/>
  <c r="AR185" i="74"/>
  <c r="AQ185" i="74"/>
  <c r="AP185" i="74"/>
  <c r="AO185" i="74"/>
  <c r="AM185" i="74"/>
  <c r="AJ185" i="74"/>
  <c r="U185" i="74"/>
  <c r="T185" i="74"/>
  <c r="O185" i="74"/>
  <c r="G185" i="74"/>
  <c r="D185" i="74"/>
  <c r="C185" i="74"/>
  <c r="B185" i="74"/>
  <c r="AS184" i="74"/>
  <c r="AR184" i="74"/>
  <c r="AQ184" i="74"/>
  <c r="AP184" i="74"/>
  <c r="AO184" i="74"/>
  <c r="AM184" i="74"/>
  <c r="AJ184" i="74"/>
  <c r="U184" i="74"/>
  <c r="T184" i="74"/>
  <c r="O184" i="74"/>
  <c r="G184" i="74"/>
  <c r="D184" i="74"/>
  <c r="C184" i="74"/>
  <c r="B184" i="74"/>
  <c r="AM183" i="74"/>
  <c r="AL183" i="74"/>
  <c r="AK183" i="74"/>
  <c r="U183" i="74"/>
  <c r="D183" i="74"/>
  <c r="C183" i="74"/>
  <c r="AS182" i="74"/>
  <c r="AR182" i="74"/>
  <c r="AQ182" i="74"/>
  <c r="AP182" i="74"/>
  <c r="AO182" i="74"/>
  <c r="AM182" i="74"/>
  <c r="AJ182" i="74"/>
  <c r="U182" i="74"/>
  <c r="T182" i="74"/>
  <c r="O182" i="74"/>
  <c r="G182" i="74"/>
  <c r="D182" i="74"/>
  <c r="C182" i="74"/>
  <c r="B182" i="74"/>
  <c r="AS181" i="74"/>
  <c r="AR181" i="74"/>
  <c r="AQ181" i="74"/>
  <c r="AP181" i="74"/>
  <c r="AO181" i="74"/>
  <c r="AM181" i="74"/>
  <c r="AJ181" i="74"/>
  <c r="U181" i="74"/>
  <c r="T181" i="74"/>
  <c r="O181" i="74"/>
  <c r="G181" i="74"/>
  <c r="D181" i="74"/>
  <c r="C181" i="74"/>
  <c r="B181" i="74"/>
  <c r="AS180" i="74"/>
  <c r="AR180" i="74"/>
  <c r="AQ180" i="74"/>
  <c r="AP180" i="74"/>
  <c r="AO180" i="74"/>
  <c r="AM180" i="74"/>
  <c r="AJ180" i="74"/>
  <c r="U180" i="74"/>
  <c r="T180" i="74"/>
  <c r="O180" i="74"/>
  <c r="G180" i="74"/>
  <c r="D180" i="74"/>
  <c r="C180" i="74"/>
  <c r="B180" i="74"/>
  <c r="AS179" i="74"/>
  <c r="AR179" i="74"/>
  <c r="AQ179" i="74"/>
  <c r="AP179" i="74"/>
  <c r="AO179" i="74"/>
  <c r="AM179" i="74"/>
  <c r="AJ179" i="74"/>
  <c r="U179" i="74"/>
  <c r="T179" i="74"/>
  <c r="O179" i="74"/>
  <c r="G179" i="74"/>
  <c r="D179" i="74"/>
  <c r="C179" i="74"/>
  <c r="B179" i="74"/>
  <c r="AM178" i="74"/>
  <c r="AL178" i="74"/>
  <c r="AK178" i="74"/>
  <c r="U178" i="74"/>
  <c r="D178" i="74"/>
  <c r="C178" i="74"/>
  <c r="AS177" i="74"/>
  <c r="AR177" i="74"/>
  <c r="AQ177" i="74"/>
  <c r="AP177" i="74"/>
  <c r="AO177" i="74"/>
  <c r="AM177" i="74"/>
  <c r="AJ177" i="74"/>
  <c r="U177" i="74"/>
  <c r="T177" i="74"/>
  <c r="O177" i="74"/>
  <c r="G177" i="74"/>
  <c r="D177" i="74"/>
  <c r="C177" i="74"/>
  <c r="B177" i="74"/>
  <c r="AS176" i="74"/>
  <c r="AR176" i="74"/>
  <c r="AQ176" i="74"/>
  <c r="AP176" i="74"/>
  <c r="AO176" i="74"/>
  <c r="AM176" i="74"/>
  <c r="AJ176" i="74"/>
  <c r="U176" i="74"/>
  <c r="T176" i="74"/>
  <c r="O176" i="74"/>
  <c r="G176" i="74"/>
  <c r="D176" i="74"/>
  <c r="C176" i="74"/>
  <c r="B176" i="74"/>
  <c r="AS175" i="74"/>
  <c r="AR175" i="74"/>
  <c r="AQ175" i="74"/>
  <c r="AP175" i="74"/>
  <c r="AO175" i="74"/>
  <c r="AM175" i="74"/>
  <c r="AJ175" i="74"/>
  <c r="U175" i="74"/>
  <c r="T175" i="74"/>
  <c r="O175" i="74"/>
  <c r="G175" i="74"/>
  <c r="D175" i="74"/>
  <c r="C175" i="74"/>
  <c r="B175" i="74"/>
  <c r="AS174" i="74"/>
  <c r="AR174" i="74"/>
  <c r="AQ174" i="74"/>
  <c r="AP174" i="74"/>
  <c r="AO174" i="74"/>
  <c r="AM174" i="74"/>
  <c r="AJ174" i="74"/>
  <c r="U174" i="74"/>
  <c r="T174" i="74"/>
  <c r="O174" i="74"/>
  <c r="G174" i="74"/>
  <c r="D174" i="74"/>
  <c r="C174" i="74"/>
  <c r="B174" i="74"/>
  <c r="AS173" i="74"/>
  <c r="AR173" i="74"/>
  <c r="AQ173" i="74"/>
  <c r="AP173" i="74"/>
  <c r="AO173" i="74"/>
  <c r="AM173" i="74"/>
  <c r="AJ173" i="74"/>
  <c r="U173" i="74"/>
  <c r="T173" i="74"/>
  <c r="O173" i="74"/>
  <c r="G173" i="74"/>
  <c r="D173" i="74"/>
  <c r="C173" i="74"/>
  <c r="B173" i="74"/>
  <c r="AM172" i="74"/>
  <c r="AL172" i="74"/>
  <c r="AK172" i="74"/>
  <c r="U172" i="74"/>
  <c r="D172" i="74"/>
  <c r="C172" i="74"/>
  <c r="AS171" i="74"/>
  <c r="AR171" i="74"/>
  <c r="AQ171" i="74"/>
  <c r="AP171" i="74"/>
  <c r="AO171" i="74"/>
  <c r="AM171" i="74"/>
  <c r="AJ171" i="74"/>
  <c r="U171" i="74"/>
  <c r="T171" i="74"/>
  <c r="O171" i="74"/>
  <c r="G171" i="74"/>
  <c r="D171" i="74"/>
  <c r="C171" i="74"/>
  <c r="B171" i="74"/>
  <c r="AS170" i="74"/>
  <c r="AR170" i="74"/>
  <c r="AQ170" i="74"/>
  <c r="AP170" i="74"/>
  <c r="AO170" i="74"/>
  <c r="AM170" i="74"/>
  <c r="AJ170" i="74"/>
  <c r="U170" i="74"/>
  <c r="T170" i="74"/>
  <c r="O170" i="74"/>
  <c r="G170" i="74"/>
  <c r="D170" i="74"/>
  <c r="C170" i="74"/>
  <c r="B170" i="74"/>
  <c r="AS169" i="74"/>
  <c r="AR169" i="74"/>
  <c r="AQ169" i="74"/>
  <c r="AP169" i="74"/>
  <c r="AO169" i="74"/>
  <c r="AM169" i="74"/>
  <c r="AJ169" i="74"/>
  <c r="U169" i="74"/>
  <c r="T169" i="74"/>
  <c r="O169" i="74"/>
  <c r="G169" i="74"/>
  <c r="D169" i="74"/>
  <c r="C169" i="74"/>
  <c r="B169" i="74"/>
  <c r="AS168" i="74"/>
  <c r="AR168" i="74"/>
  <c r="AQ168" i="74"/>
  <c r="AP168" i="74"/>
  <c r="AO168" i="74"/>
  <c r="AM168" i="74"/>
  <c r="AJ168" i="74"/>
  <c r="U168" i="74"/>
  <c r="T168" i="74"/>
  <c r="O168" i="74"/>
  <c r="G168" i="74"/>
  <c r="D168" i="74"/>
  <c r="C168" i="74"/>
  <c r="B168" i="74"/>
  <c r="AS167" i="74"/>
  <c r="AR167" i="74"/>
  <c r="AQ167" i="74"/>
  <c r="AP167" i="74"/>
  <c r="AO167" i="74"/>
  <c r="AM167" i="74"/>
  <c r="AJ167" i="74"/>
  <c r="U167" i="74"/>
  <c r="T167" i="74"/>
  <c r="O167" i="74"/>
  <c r="G167" i="74"/>
  <c r="D167" i="74"/>
  <c r="C167" i="74"/>
  <c r="B167" i="74"/>
  <c r="AM166" i="74"/>
  <c r="AL166" i="74"/>
  <c r="AK166" i="74"/>
  <c r="U166" i="74"/>
  <c r="D166" i="74"/>
  <c r="C166" i="74"/>
  <c r="AS165" i="74"/>
  <c r="AR165" i="74"/>
  <c r="AQ165" i="74"/>
  <c r="AP165" i="74"/>
  <c r="AO165" i="74"/>
  <c r="AM165" i="74"/>
  <c r="AJ165" i="74"/>
  <c r="U165" i="74"/>
  <c r="T165" i="74"/>
  <c r="O165" i="74"/>
  <c r="G165" i="74"/>
  <c r="D165" i="74"/>
  <c r="C165" i="74"/>
  <c r="B165" i="74"/>
  <c r="AS164" i="74"/>
  <c r="AR164" i="74"/>
  <c r="AQ164" i="74"/>
  <c r="AP164" i="74"/>
  <c r="AO164" i="74"/>
  <c r="AM164" i="74"/>
  <c r="AJ164" i="74"/>
  <c r="U164" i="74"/>
  <c r="T164" i="74"/>
  <c r="O164" i="74"/>
  <c r="G164" i="74"/>
  <c r="D164" i="74"/>
  <c r="C164" i="74"/>
  <c r="B164" i="74"/>
  <c r="AS163" i="74"/>
  <c r="AR163" i="74"/>
  <c r="AQ163" i="74"/>
  <c r="AP163" i="74"/>
  <c r="AO163" i="74"/>
  <c r="AM163" i="74"/>
  <c r="AJ163" i="74"/>
  <c r="U163" i="74"/>
  <c r="T163" i="74"/>
  <c r="O163" i="74"/>
  <c r="G163" i="74"/>
  <c r="D163" i="74"/>
  <c r="C163" i="74"/>
  <c r="B163" i="74"/>
  <c r="AS162" i="74"/>
  <c r="AR162" i="74"/>
  <c r="AQ162" i="74"/>
  <c r="AP162" i="74"/>
  <c r="AO162" i="74"/>
  <c r="AM162" i="74"/>
  <c r="AJ162" i="74"/>
  <c r="U162" i="74"/>
  <c r="T162" i="74"/>
  <c r="O162" i="74"/>
  <c r="G162" i="74"/>
  <c r="D162" i="74"/>
  <c r="C162" i="74"/>
  <c r="B162" i="74"/>
  <c r="AS161" i="74"/>
  <c r="AR161" i="74"/>
  <c r="AQ161" i="74"/>
  <c r="AP161" i="74"/>
  <c r="AO161" i="74"/>
  <c r="AM161" i="74"/>
  <c r="AJ161" i="74"/>
  <c r="U161" i="74"/>
  <c r="T161" i="74"/>
  <c r="O161" i="74"/>
  <c r="G161" i="74"/>
  <c r="D161" i="74"/>
  <c r="C161" i="74"/>
  <c r="B161" i="74"/>
  <c r="AS160" i="74"/>
  <c r="AR160" i="74"/>
  <c r="AQ160" i="74"/>
  <c r="AP160" i="74"/>
  <c r="AO160" i="74"/>
  <c r="AM160" i="74"/>
  <c r="AJ160" i="74"/>
  <c r="U160" i="74"/>
  <c r="T160" i="74"/>
  <c r="O160" i="74"/>
  <c r="G160" i="74"/>
  <c r="D160" i="74"/>
  <c r="C160" i="74"/>
  <c r="B160" i="74"/>
  <c r="AM159" i="74"/>
  <c r="AL159" i="74"/>
  <c r="AK159" i="74"/>
  <c r="U159" i="74"/>
  <c r="D159" i="74"/>
  <c r="C159" i="74"/>
  <c r="AS158" i="74"/>
  <c r="AR158" i="74"/>
  <c r="AQ158" i="74"/>
  <c r="AP158" i="74"/>
  <c r="AO158" i="74"/>
  <c r="AM158" i="74"/>
  <c r="AJ158" i="74"/>
  <c r="U158" i="74"/>
  <c r="T158" i="74"/>
  <c r="O158" i="74"/>
  <c r="G158" i="74"/>
  <c r="D158" i="74"/>
  <c r="C158" i="74"/>
  <c r="B158" i="74"/>
  <c r="AS157" i="74"/>
  <c r="AR157" i="74"/>
  <c r="AQ157" i="74"/>
  <c r="AP157" i="74"/>
  <c r="AO157" i="74"/>
  <c r="AM157" i="74"/>
  <c r="AJ157" i="74"/>
  <c r="U157" i="74"/>
  <c r="T157" i="74"/>
  <c r="O157" i="74"/>
  <c r="G157" i="74"/>
  <c r="D157" i="74"/>
  <c r="C157" i="74"/>
  <c r="B157" i="74"/>
  <c r="AS156" i="74"/>
  <c r="AR156" i="74"/>
  <c r="AQ156" i="74"/>
  <c r="AP156" i="74"/>
  <c r="AO156" i="74"/>
  <c r="AM156" i="74"/>
  <c r="AJ156" i="74"/>
  <c r="U156" i="74"/>
  <c r="T156" i="74"/>
  <c r="O156" i="74"/>
  <c r="G156" i="74"/>
  <c r="D156" i="74"/>
  <c r="C156" i="74"/>
  <c r="B156" i="74"/>
  <c r="AS155" i="74"/>
  <c r="AR155" i="74"/>
  <c r="AQ155" i="74"/>
  <c r="AP155" i="74"/>
  <c r="AO155" i="74"/>
  <c r="AM155" i="74"/>
  <c r="AJ155" i="74"/>
  <c r="U155" i="74"/>
  <c r="T155" i="74"/>
  <c r="O155" i="74"/>
  <c r="G155" i="74"/>
  <c r="D155" i="74"/>
  <c r="C155" i="74"/>
  <c r="B155" i="74"/>
  <c r="AM154" i="74"/>
  <c r="AL154" i="74"/>
  <c r="AK154" i="74"/>
  <c r="U154" i="74"/>
  <c r="D154" i="74"/>
  <c r="C154" i="74"/>
  <c r="AS153" i="74"/>
  <c r="AR153" i="74"/>
  <c r="AQ153" i="74"/>
  <c r="AP153" i="74"/>
  <c r="AO153" i="74"/>
  <c r="AM153" i="74"/>
  <c r="AJ153" i="74"/>
  <c r="U153" i="74"/>
  <c r="T153" i="74"/>
  <c r="O153" i="74"/>
  <c r="G153" i="74"/>
  <c r="D153" i="74"/>
  <c r="C153" i="74"/>
  <c r="B153" i="74"/>
  <c r="AS152" i="74"/>
  <c r="AR152" i="74"/>
  <c r="AQ152" i="74"/>
  <c r="AP152" i="74"/>
  <c r="AO152" i="74"/>
  <c r="AM152" i="74"/>
  <c r="AJ152" i="74"/>
  <c r="U152" i="74"/>
  <c r="T152" i="74"/>
  <c r="O152" i="74"/>
  <c r="G152" i="74"/>
  <c r="D152" i="74"/>
  <c r="C152" i="74"/>
  <c r="B152" i="74"/>
  <c r="AS151" i="74"/>
  <c r="AR151" i="74"/>
  <c r="AQ151" i="74"/>
  <c r="AP151" i="74"/>
  <c r="AO151" i="74"/>
  <c r="AM151" i="74"/>
  <c r="AJ151" i="74"/>
  <c r="U151" i="74"/>
  <c r="T151" i="74"/>
  <c r="O151" i="74"/>
  <c r="G151" i="74"/>
  <c r="D151" i="74"/>
  <c r="C151" i="74"/>
  <c r="B151" i="74"/>
  <c r="AS150" i="74"/>
  <c r="AR150" i="74"/>
  <c r="AQ150" i="74"/>
  <c r="AP150" i="74"/>
  <c r="AO150" i="74"/>
  <c r="AM150" i="74"/>
  <c r="AJ150" i="74"/>
  <c r="U150" i="74"/>
  <c r="T150" i="74"/>
  <c r="O150" i="74"/>
  <c r="G150" i="74"/>
  <c r="D150" i="74"/>
  <c r="C150" i="74"/>
  <c r="B150" i="74"/>
  <c r="AS149" i="74"/>
  <c r="AR149" i="74"/>
  <c r="AQ149" i="74"/>
  <c r="AP149" i="74"/>
  <c r="AO149" i="74"/>
  <c r="AM149" i="74"/>
  <c r="AJ149" i="74"/>
  <c r="U149" i="74"/>
  <c r="T149" i="74"/>
  <c r="O149" i="74"/>
  <c r="G149" i="74"/>
  <c r="D149" i="74"/>
  <c r="C149" i="74"/>
  <c r="B149" i="74"/>
  <c r="AM148" i="74"/>
  <c r="AL148" i="74"/>
  <c r="AK148" i="74"/>
  <c r="U148" i="74"/>
  <c r="D148" i="74"/>
  <c r="C148" i="74"/>
  <c r="AS147" i="74"/>
  <c r="AR147" i="74"/>
  <c r="AQ147" i="74"/>
  <c r="AP147" i="74"/>
  <c r="AO147" i="74"/>
  <c r="AM147" i="74"/>
  <c r="AJ147" i="74"/>
  <c r="U147" i="74"/>
  <c r="T147" i="74"/>
  <c r="O147" i="74"/>
  <c r="G147" i="74"/>
  <c r="D147" i="74"/>
  <c r="C147" i="74"/>
  <c r="B147" i="74"/>
  <c r="AS146" i="74"/>
  <c r="AR146" i="74"/>
  <c r="AQ146" i="74"/>
  <c r="AP146" i="74"/>
  <c r="AO146" i="74"/>
  <c r="AM146" i="74"/>
  <c r="AJ146" i="74"/>
  <c r="U146" i="74"/>
  <c r="T146" i="74"/>
  <c r="O146" i="74"/>
  <c r="G146" i="74"/>
  <c r="D146" i="74"/>
  <c r="C146" i="74"/>
  <c r="B146" i="74"/>
  <c r="AS145" i="74"/>
  <c r="AR145" i="74"/>
  <c r="AQ145" i="74"/>
  <c r="AP145" i="74"/>
  <c r="AO145" i="74"/>
  <c r="AM145" i="74"/>
  <c r="AJ145" i="74"/>
  <c r="U145" i="74"/>
  <c r="T145" i="74"/>
  <c r="O145" i="74"/>
  <c r="G145" i="74"/>
  <c r="D145" i="74"/>
  <c r="C145" i="74"/>
  <c r="B145" i="74"/>
  <c r="AS144" i="74"/>
  <c r="AR144" i="74"/>
  <c r="AQ144" i="74"/>
  <c r="AP144" i="74"/>
  <c r="AO144" i="74"/>
  <c r="AM144" i="74"/>
  <c r="AJ144" i="74"/>
  <c r="U144" i="74"/>
  <c r="T144" i="74"/>
  <c r="O144" i="74"/>
  <c r="G144" i="74"/>
  <c r="D144" i="74"/>
  <c r="C144" i="74"/>
  <c r="B144" i="74"/>
  <c r="AS143" i="74"/>
  <c r="AR143" i="74"/>
  <c r="AQ143" i="74"/>
  <c r="AP143" i="74"/>
  <c r="AO143" i="74"/>
  <c r="AM143" i="74"/>
  <c r="AJ143" i="74"/>
  <c r="U143" i="74"/>
  <c r="T143" i="74"/>
  <c r="O143" i="74"/>
  <c r="G143" i="74"/>
  <c r="D143" i="74"/>
  <c r="C143" i="74"/>
  <c r="B143" i="74"/>
  <c r="AM142" i="74"/>
  <c r="AL142" i="74"/>
  <c r="AK142" i="74"/>
  <c r="U142" i="74"/>
  <c r="D142" i="74"/>
  <c r="C142" i="74"/>
  <c r="AS141" i="74"/>
  <c r="AR141" i="74"/>
  <c r="AQ141" i="74"/>
  <c r="AP141" i="74"/>
  <c r="AO141" i="74"/>
  <c r="AM141" i="74"/>
  <c r="AJ141" i="74"/>
  <c r="U141" i="74"/>
  <c r="T141" i="74"/>
  <c r="O141" i="74"/>
  <c r="G141" i="74"/>
  <c r="D141" i="74"/>
  <c r="C141" i="74"/>
  <c r="B141" i="74"/>
  <c r="AS140" i="74"/>
  <c r="AR140" i="74"/>
  <c r="AQ140" i="74"/>
  <c r="AP140" i="74"/>
  <c r="AO140" i="74"/>
  <c r="AM140" i="74"/>
  <c r="AJ140" i="74"/>
  <c r="U140" i="74"/>
  <c r="T140" i="74"/>
  <c r="O140" i="74"/>
  <c r="G140" i="74"/>
  <c r="D140" i="74"/>
  <c r="C140" i="74"/>
  <c r="B140" i="74"/>
  <c r="AS139" i="74"/>
  <c r="AR139" i="74"/>
  <c r="AQ139" i="74"/>
  <c r="AP139" i="74"/>
  <c r="AO139" i="74"/>
  <c r="AM139" i="74"/>
  <c r="AJ139" i="74"/>
  <c r="U139" i="74"/>
  <c r="T139" i="74"/>
  <c r="O139" i="74"/>
  <c r="G139" i="74"/>
  <c r="D139" i="74"/>
  <c r="C139" i="74"/>
  <c r="B139" i="74"/>
  <c r="AS138" i="74"/>
  <c r="AR138" i="74"/>
  <c r="AQ138" i="74"/>
  <c r="AP138" i="74"/>
  <c r="AO138" i="74"/>
  <c r="AM138" i="74"/>
  <c r="AJ138" i="74"/>
  <c r="U138" i="74"/>
  <c r="T138" i="74"/>
  <c r="O138" i="74"/>
  <c r="G138" i="74"/>
  <c r="D138" i="74"/>
  <c r="C138" i="74"/>
  <c r="B138" i="74"/>
  <c r="AS137" i="74"/>
  <c r="AR137" i="74"/>
  <c r="AQ137" i="74"/>
  <c r="AP137" i="74"/>
  <c r="AO137" i="74"/>
  <c r="AM137" i="74"/>
  <c r="AJ137" i="74"/>
  <c r="U137" i="74"/>
  <c r="T137" i="74"/>
  <c r="O137" i="74"/>
  <c r="G137" i="74"/>
  <c r="D137" i="74"/>
  <c r="C137" i="74"/>
  <c r="B137" i="74"/>
  <c r="AM136" i="74"/>
  <c r="AL136" i="74"/>
  <c r="AK136" i="74"/>
  <c r="U136" i="74"/>
  <c r="D136" i="74"/>
  <c r="C136" i="74"/>
  <c r="AS135" i="74"/>
  <c r="AR135" i="74"/>
  <c r="AQ135" i="74"/>
  <c r="AP135" i="74"/>
  <c r="AO135" i="74"/>
  <c r="AM135" i="74"/>
  <c r="AJ135" i="74"/>
  <c r="U135" i="74"/>
  <c r="T135" i="74"/>
  <c r="O135" i="74"/>
  <c r="G135" i="74"/>
  <c r="D135" i="74"/>
  <c r="C135" i="74"/>
  <c r="B135" i="74"/>
  <c r="AS134" i="74"/>
  <c r="AR134" i="74"/>
  <c r="AQ134" i="74"/>
  <c r="AP134" i="74"/>
  <c r="AO134" i="74"/>
  <c r="AM134" i="74"/>
  <c r="AJ134" i="74"/>
  <c r="U134" i="74"/>
  <c r="T134" i="74"/>
  <c r="O134" i="74"/>
  <c r="G134" i="74"/>
  <c r="D134" i="74"/>
  <c r="C134" i="74"/>
  <c r="B134" i="74"/>
  <c r="AS133" i="74"/>
  <c r="AR133" i="74"/>
  <c r="AQ133" i="74"/>
  <c r="AP133" i="74"/>
  <c r="AO133" i="74"/>
  <c r="AM133" i="74"/>
  <c r="AJ133" i="74"/>
  <c r="U133" i="74"/>
  <c r="T133" i="74"/>
  <c r="O133" i="74"/>
  <c r="G133" i="74"/>
  <c r="D133" i="74"/>
  <c r="C133" i="74"/>
  <c r="B133" i="74"/>
  <c r="AS132" i="74"/>
  <c r="AR132" i="74"/>
  <c r="AQ132" i="74"/>
  <c r="AP132" i="74"/>
  <c r="AO132" i="74"/>
  <c r="AM132" i="74"/>
  <c r="AJ132" i="74"/>
  <c r="U132" i="74"/>
  <c r="T132" i="74"/>
  <c r="O132" i="74"/>
  <c r="G132" i="74"/>
  <c r="D132" i="74"/>
  <c r="C132" i="74"/>
  <c r="B132" i="74"/>
  <c r="AM131" i="74"/>
  <c r="AL131" i="74"/>
  <c r="AK131" i="74"/>
  <c r="U131" i="74"/>
  <c r="D131" i="74"/>
  <c r="C131" i="74"/>
  <c r="AS130" i="74"/>
  <c r="AR130" i="74"/>
  <c r="AQ130" i="74"/>
  <c r="AP130" i="74"/>
  <c r="AO130" i="74"/>
  <c r="AM130" i="74"/>
  <c r="AJ130" i="74"/>
  <c r="U130" i="74"/>
  <c r="T130" i="74"/>
  <c r="O130" i="74"/>
  <c r="G130" i="74"/>
  <c r="D130" i="74"/>
  <c r="C130" i="74"/>
  <c r="B130" i="74"/>
  <c r="AS129" i="74"/>
  <c r="AR129" i="74"/>
  <c r="AQ129" i="74"/>
  <c r="AP129" i="74"/>
  <c r="AO129" i="74"/>
  <c r="AM129" i="74"/>
  <c r="AJ129" i="74"/>
  <c r="U129" i="74"/>
  <c r="T129" i="74"/>
  <c r="O129" i="74"/>
  <c r="G129" i="74"/>
  <c r="D129" i="74"/>
  <c r="C129" i="74"/>
  <c r="B129" i="74"/>
  <c r="AS128" i="74"/>
  <c r="AR128" i="74"/>
  <c r="AQ128" i="74"/>
  <c r="AP128" i="74"/>
  <c r="AO128" i="74"/>
  <c r="AM128" i="74"/>
  <c r="AJ128" i="74"/>
  <c r="U128" i="74"/>
  <c r="T128" i="74"/>
  <c r="O128" i="74"/>
  <c r="G128" i="74"/>
  <c r="D128" i="74"/>
  <c r="C128" i="74"/>
  <c r="B128" i="74"/>
  <c r="AS127" i="74"/>
  <c r="AR127" i="74"/>
  <c r="AQ127" i="74"/>
  <c r="AP127" i="74"/>
  <c r="AO127" i="74"/>
  <c r="AM127" i="74"/>
  <c r="AJ127" i="74"/>
  <c r="U127" i="74"/>
  <c r="T127" i="74"/>
  <c r="O127" i="74"/>
  <c r="G127" i="74"/>
  <c r="D127" i="74"/>
  <c r="C127" i="74"/>
  <c r="B127" i="74"/>
  <c r="AS126" i="74"/>
  <c r="AR126" i="74"/>
  <c r="AQ126" i="74"/>
  <c r="AP126" i="74"/>
  <c r="AO126" i="74"/>
  <c r="AM126" i="74"/>
  <c r="AJ126" i="74"/>
  <c r="U126" i="74"/>
  <c r="T126" i="74"/>
  <c r="O126" i="74"/>
  <c r="G126" i="74"/>
  <c r="D126" i="74"/>
  <c r="C126" i="74"/>
  <c r="B126" i="74"/>
  <c r="AM125" i="74"/>
  <c r="AL125" i="74"/>
  <c r="AK125" i="74"/>
  <c r="U125" i="74"/>
  <c r="D125" i="74"/>
  <c r="C125" i="74"/>
  <c r="AS124" i="74"/>
  <c r="AR124" i="74"/>
  <c r="AQ124" i="74"/>
  <c r="AP124" i="74"/>
  <c r="AO124" i="74"/>
  <c r="AM124" i="74"/>
  <c r="AJ124" i="74"/>
  <c r="U124" i="74"/>
  <c r="T124" i="74"/>
  <c r="O124" i="74"/>
  <c r="G124" i="74"/>
  <c r="D124" i="74"/>
  <c r="C124" i="74"/>
  <c r="B124" i="74"/>
  <c r="AS123" i="74"/>
  <c r="AR123" i="74"/>
  <c r="AQ123" i="74"/>
  <c r="AP123" i="74"/>
  <c r="AO123" i="74"/>
  <c r="AM123" i="74"/>
  <c r="AJ123" i="74"/>
  <c r="U123" i="74"/>
  <c r="T123" i="74"/>
  <c r="O123" i="74"/>
  <c r="G123" i="74"/>
  <c r="D123" i="74"/>
  <c r="C123" i="74"/>
  <c r="B123" i="74"/>
  <c r="AS122" i="74"/>
  <c r="AR122" i="74"/>
  <c r="AQ122" i="74"/>
  <c r="AP122" i="74"/>
  <c r="AO122" i="74"/>
  <c r="AM122" i="74"/>
  <c r="AJ122" i="74"/>
  <c r="U122" i="74"/>
  <c r="T122" i="74"/>
  <c r="O122" i="74"/>
  <c r="G122" i="74"/>
  <c r="D122" i="74"/>
  <c r="C122" i="74"/>
  <c r="B122" i="74"/>
  <c r="AS121" i="74"/>
  <c r="AR121" i="74"/>
  <c r="AQ121" i="74"/>
  <c r="AP121" i="74"/>
  <c r="AO121" i="74"/>
  <c r="AM121" i="74"/>
  <c r="AJ121" i="74"/>
  <c r="U121" i="74"/>
  <c r="T121" i="74"/>
  <c r="O121" i="74"/>
  <c r="G121" i="74"/>
  <c r="D121" i="74"/>
  <c r="C121" i="74"/>
  <c r="B121" i="74"/>
  <c r="AM120" i="74"/>
  <c r="AL120" i="74"/>
  <c r="AK120" i="74"/>
  <c r="U120" i="74"/>
  <c r="D120" i="74"/>
  <c r="C120" i="74"/>
  <c r="AS119" i="74"/>
  <c r="AR119" i="74"/>
  <c r="AQ119" i="74"/>
  <c r="AP119" i="74"/>
  <c r="AO119" i="74"/>
  <c r="AM119" i="74"/>
  <c r="AJ119" i="74"/>
  <c r="U119" i="74"/>
  <c r="O119" i="74"/>
  <c r="G119" i="74"/>
  <c r="D119" i="74"/>
  <c r="C119" i="74"/>
  <c r="B119" i="74"/>
  <c r="AS118" i="74"/>
  <c r="AR118" i="74"/>
  <c r="AQ118" i="74"/>
  <c r="AP118" i="74"/>
  <c r="AO118" i="74"/>
  <c r="AM118" i="74"/>
  <c r="AJ118" i="74"/>
  <c r="U118" i="74"/>
  <c r="O118" i="74"/>
  <c r="G118" i="74"/>
  <c r="D118" i="74"/>
  <c r="C118" i="74"/>
  <c r="B118" i="74"/>
  <c r="AS117" i="74"/>
  <c r="AR117" i="74"/>
  <c r="AQ117" i="74"/>
  <c r="AP117" i="74"/>
  <c r="AO117" i="74"/>
  <c r="AM117" i="74"/>
  <c r="AJ117" i="74"/>
  <c r="U117" i="74"/>
  <c r="T117" i="74"/>
  <c r="O117" i="74"/>
  <c r="G117" i="74"/>
  <c r="D117" i="74"/>
  <c r="C117" i="74"/>
  <c r="B117" i="74"/>
  <c r="AS116" i="74"/>
  <c r="AR116" i="74"/>
  <c r="AQ116" i="74"/>
  <c r="AP116" i="74"/>
  <c r="AO116" i="74"/>
  <c r="AM116" i="74"/>
  <c r="AJ116" i="74"/>
  <c r="U116" i="74"/>
  <c r="T116" i="74"/>
  <c r="O116" i="74"/>
  <c r="G116" i="74"/>
  <c r="D116" i="74"/>
  <c r="C116" i="74"/>
  <c r="B116" i="74"/>
  <c r="AS115" i="74"/>
  <c r="AR115" i="74"/>
  <c r="AQ115" i="74"/>
  <c r="AP115" i="74"/>
  <c r="AO115" i="74"/>
  <c r="AM115" i="74"/>
  <c r="AJ115" i="74"/>
  <c r="U115" i="74"/>
  <c r="T115" i="74"/>
  <c r="O115" i="74"/>
  <c r="G115" i="74"/>
  <c r="D115" i="74"/>
  <c r="C115" i="74"/>
  <c r="B115" i="74"/>
  <c r="AM114" i="74"/>
  <c r="AL114" i="74"/>
  <c r="AK114" i="74"/>
  <c r="U114" i="74"/>
  <c r="D114" i="74"/>
  <c r="C114" i="74"/>
  <c r="AS113" i="74"/>
  <c r="AR113" i="74"/>
  <c r="AQ113" i="74"/>
  <c r="AP113" i="74"/>
  <c r="AO113" i="74"/>
  <c r="AM113" i="74"/>
  <c r="AJ113" i="74"/>
  <c r="U113" i="74"/>
  <c r="T113" i="74"/>
  <c r="O113" i="74"/>
  <c r="G113" i="74"/>
  <c r="D113" i="74"/>
  <c r="C113" i="74"/>
  <c r="B113" i="74"/>
  <c r="AS112" i="74"/>
  <c r="AR112" i="74"/>
  <c r="AQ112" i="74"/>
  <c r="AP112" i="74"/>
  <c r="AO112" i="74"/>
  <c r="AM112" i="74"/>
  <c r="AJ112" i="74"/>
  <c r="U112" i="74"/>
  <c r="T112" i="74"/>
  <c r="O112" i="74"/>
  <c r="G112" i="74"/>
  <c r="D112" i="74"/>
  <c r="C112" i="74"/>
  <c r="B112" i="74"/>
  <c r="AS111" i="74"/>
  <c r="AR111" i="74"/>
  <c r="AQ111" i="74"/>
  <c r="AP111" i="74"/>
  <c r="AO111" i="74"/>
  <c r="AM111" i="74"/>
  <c r="AJ111" i="74"/>
  <c r="U111" i="74"/>
  <c r="T111" i="74"/>
  <c r="O111" i="74"/>
  <c r="G111" i="74"/>
  <c r="D111" i="74"/>
  <c r="C111" i="74"/>
  <c r="B111" i="74"/>
  <c r="AS110" i="74"/>
  <c r="AR110" i="74"/>
  <c r="AQ110" i="74"/>
  <c r="AP110" i="74"/>
  <c r="AO110" i="74"/>
  <c r="AM110" i="74"/>
  <c r="AJ110" i="74"/>
  <c r="U110" i="74"/>
  <c r="T110" i="74"/>
  <c r="O110" i="74"/>
  <c r="G110" i="74"/>
  <c r="D110" i="74"/>
  <c r="C110" i="74"/>
  <c r="B110" i="74"/>
  <c r="AS109" i="74"/>
  <c r="AR109" i="74"/>
  <c r="AQ109" i="74"/>
  <c r="AP109" i="74"/>
  <c r="AO109" i="74"/>
  <c r="AM109" i="74"/>
  <c r="AJ109" i="74"/>
  <c r="U109" i="74"/>
  <c r="T109" i="74"/>
  <c r="O109" i="74"/>
  <c r="G109" i="74"/>
  <c r="D109" i="74"/>
  <c r="C109" i="74"/>
  <c r="B109" i="74"/>
  <c r="AS108" i="74"/>
  <c r="AR108" i="74"/>
  <c r="AQ108" i="74"/>
  <c r="AP108" i="74"/>
  <c r="AO108" i="74"/>
  <c r="AM108" i="74"/>
  <c r="AJ108" i="74"/>
  <c r="U108" i="74"/>
  <c r="T108" i="74"/>
  <c r="O108" i="74"/>
  <c r="G108" i="74"/>
  <c r="D108" i="74"/>
  <c r="C108" i="74"/>
  <c r="B108" i="74"/>
  <c r="AS107" i="74"/>
  <c r="AR107" i="74"/>
  <c r="AQ107" i="74"/>
  <c r="AP107" i="74"/>
  <c r="AO107" i="74"/>
  <c r="AM107" i="74"/>
  <c r="AJ107" i="74"/>
  <c r="U107" i="74"/>
  <c r="T107" i="74"/>
  <c r="O107" i="74"/>
  <c r="G107" i="74"/>
  <c r="D107" i="74"/>
  <c r="C107" i="74"/>
  <c r="B107" i="74"/>
  <c r="AS106" i="74"/>
  <c r="AR106" i="74"/>
  <c r="AQ106" i="74"/>
  <c r="AP106" i="74"/>
  <c r="AO106" i="74"/>
  <c r="AM106" i="74"/>
  <c r="AJ106" i="74"/>
  <c r="U106" i="74"/>
  <c r="T106" i="74"/>
  <c r="O106" i="74"/>
  <c r="G106" i="74"/>
  <c r="D106" i="74"/>
  <c r="C106" i="74"/>
  <c r="B106" i="74"/>
  <c r="AM105" i="74"/>
  <c r="AL105" i="74"/>
  <c r="AK105" i="74"/>
  <c r="U105" i="74"/>
  <c r="D105" i="74"/>
  <c r="C105" i="74"/>
  <c r="D104" i="74"/>
  <c r="AS102" i="74"/>
  <c r="AR102" i="74"/>
  <c r="AQ102" i="74"/>
  <c r="AP102" i="74"/>
  <c r="AO102" i="74"/>
  <c r="AM102" i="74"/>
  <c r="AJ102" i="74"/>
  <c r="U102" i="74"/>
  <c r="T102" i="74"/>
  <c r="O102" i="74"/>
  <c r="G102" i="74"/>
  <c r="D102" i="74"/>
  <c r="C102" i="74"/>
  <c r="B102" i="74"/>
  <c r="AS101" i="74"/>
  <c r="AR101" i="74"/>
  <c r="AQ101" i="74"/>
  <c r="AP101" i="74"/>
  <c r="AO101" i="74"/>
  <c r="AM101" i="74"/>
  <c r="AJ101" i="74"/>
  <c r="U101" i="74"/>
  <c r="T101" i="74"/>
  <c r="O101" i="74"/>
  <c r="G101" i="74"/>
  <c r="D101" i="74"/>
  <c r="C101" i="74"/>
  <c r="B101" i="74"/>
  <c r="AS100" i="74"/>
  <c r="AR100" i="74"/>
  <c r="AQ100" i="74"/>
  <c r="AP100" i="74"/>
  <c r="AO100" i="74"/>
  <c r="AM100" i="74"/>
  <c r="AJ100" i="74"/>
  <c r="U100" i="74"/>
  <c r="T100" i="74"/>
  <c r="O100" i="74"/>
  <c r="G100" i="74"/>
  <c r="D100" i="74"/>
  <c r="C100" i="74"/>
  <c r="B100" i="74"/>
  <c r="AS99" i="74"/>
  <c r="AR99" i="74"/>
  <c r="AQ99" i="74"/>
  <c r="AP99" i="74"/>
  <c r="AO99" i="74"/>
  <c r="AM99" i="74"/>
  <c r="AJ99" i="74"/>
  <c r="U99" i="74"/>
  <c r="T99" i="74"/>
  <c r="O99" i="74"/>
  <c r="G99" i="74"/>
  <c r="D99" i="74"/>
  <c r="C99" i="74"/>
  <c r="B99" i="74"/>
  <c r="AS98" i="74"/>
  <c r="AR98" i="74"/>
  <c r="AQ98" i="74"/>
  <c r="AP98" i="74"/>
  <c r="AO98" i="74"/>
  <c r="AM98" i="74"/>
  <c r="AJ98" i="74"/>
  <c r="U98" i="74"/>
  <c r="T98" i="74"/>
  <c r="O98" i="74"/>
  <c r="G98" i="74"/>
  <c r="D98" i="74"/>
  <c r="C98" i="74"/>
  <c r="B98" i="74"/>
  <c r="AM97" i="74"/>
  <c r="AL97" i="74"/>
  <c r="U97" i="74"/>
  <c r="D97" i="74"/>
  <c r="C97" i="74"/>
  <c r="AS96" i="74"/>
  <c r="AR96" i="74"/>
  <c r="AQ96" i="74"/>
  <c r="AP96" i="74"/>
  <c r="AO96" i="74"/>
  <c r="AM96" i="74"/>
  <c r="AJ96" i="74"/>
  <c r="U96" i="74"/>
  <c r="T96" i="74"/>
  <c r="O96" i="74"/>
  <c r="G96" i="74"/>
  <c r="D96" i="74"/>
  <c r="C96" i="74"/>
  <c r="B96" i="74"/>
  <c r="AS95" i="74"/>
  <c r="AR95" i="74"/>
  <c r="AQ95" i="74"/>
  <c r="AP95" i="74"/>
  <c r="AO95" i="74"/>
  <c r="AM95" i="74"/>
  <c r="AJ95" i="74"/>
  <c r="U95" i="74"/>
  <c r="T95" i="74"/>
  <c r="O95" i="74"/>
  <c r="G95" i="74"/>
  <c r="D95" i="74"/>
  <c r="C95" i="74"/>
  <c r="B95" i="74"/>
  <c r="AS94" i="74"/>
  <c r="AR94" i="74"/>
  <c r="AQ94" i="74"/>
  <c r="AP94" i="74"/>
  <c r="AO94" i="74"/>
  <c r="AM94" i="74"/>
  <c r="AJ94" i="74"/>
  <c r="U94" i="74"/>
  <c r="T94" i="74"/>
  <c r="O94" i="74"/>
  <c r="G94" i="74"/>
  <c r="D94" i="74"/>
  <c r="C94" i="74"/>
  <c r="B94" i="74"/>
  <c r="AS93" i="74"/>
  <c r="AR93" i="74"/>
  <c r="AQ93" i="74"/>
  <c r="AP93" i="74"/>
  <c r="AO93" i="74"/>
  <c r="AM93" i="74"/>
  <c r="AJ93" i="74"/>
  <c r="U93" i="74"/>
  <c r="T93" i="74"/>
  <c r="O93" i="74"/>
  <c r="G93" i="74"/>
  <c r="D93" i="74"/>
  <c r="C93" i="74"/>
  <c r="B93" i="74"/>
  <c r="AS92" i="74"/>
  <c r="AR92" i="74"/>
  <c r="AQ92" i="74"/>
  <c r="AP92" i="74"/>
  <c r="AO92" i="74"/>
  <c r="AM92" i="74"/>
  <c r="AJ92" i="74"/>
  <c r="U92" i="74"/>
  <c r="T92" i="74"/>
  <c r="O92" i="74"/>
  <c r="G92" i="74"/>
  <c r="D92" i="74"/>
  <c r="C92" i="74"/>
  <c r="B92" i="74"/>
  <c r="AM91" i="74"/>
  <c r="AL91" i="74"/>
  <c r="U91" i="74"/>
  <c r="D91" i="74"/>
  <c r="C91" i="74"/>
  <c r="AS90" i="74"/>
  <c r="AR90" i="74"/>
  <c r="AQ90" i="74"/>
  <c r="AP90" i="74"/>
  <c r="AO90" i="74"/>
  <c r="AM90" i="74"/>
  <c r="AJ90" i="74"/>
  <c r="U90" i="74"/>
  <c r="T90" i="74"/>
  <c r="O90" i="74"/>
  <c r="G90" i="74"/>
  <c r="D90" i="74"/>
  <c r="C90" i="74"/>
  <c r="B90" i="74"/>
  <c r="AS89" i="74"/>
  <c r="AR89" i="74"/>
  <c r="AQ89" i="74"/>
  <c r="AP89" i="74"/>
  <c r="AO89" i="74"/>
  <c r="AM89" i="74"/>
  <c r="AJ89" i="74"/>
  <c r="U89" i="74"/>
  <c r="T89" i="74"/>
  <c r="O89" i="74"/>
  <c r="G89" i="74"/>
  <c r="D89" i="74"/>
  <c r="C89" i="74"/>
  <c r="B89" i="74"/>
  <c r="AS88" i="74"/>
  <c r="AR88" i="74"/>
  <c r="AQ88" i="74"/>
  <c r="AP88" i="74"/>
  <c r="AO88" i="74"/>
  <c r="AM88" i="74"/>
  <c r="AJ88" i="74"/>
  <c r="U88" i="74"/>
  <c r="T88" i="74"/>
  <c r="O88" i="74"/>
  <c r="G88" i="74"/>
  <c r="D88" i="74"/>
  <c r="C88" i="74"/>
  <c r="B88" i="74"/>
  <c r="AS87" i="74"/>
  <c r="AR87" i="74"/>
  <c r="AQ87" i="74"/>
  <c r="AP87" i="74"/>
  <c r="AO87" i="74"/>
  <c r="AM87" i="74"/>
  <c r="AJ87" i="74"/>
  <c r="U87" i="74"/>
  <c r="T87" i="74"/>
  <c r="O87" i="74"/>
  <c r="G87" i="74"/>
  <c r="D87" i="74"/>
  <c r="C87" i="74"/>
  <c r="B87" i="74"/>
  <c r="AS86" i="74"/>
  <c r="AR86" i="74"/>
  <c r="AQ86" i="74"/>
  <c r="AP86" i="74"/>
  <c r="AO86" i="74"/>
  <c r="AM86" i="74"/>
  <c r="AJ86" i="74"/>
  <c r="U86" i="74"/>
  <c r="T86" i="74"/>
  <c r="O86" i="74"/>
  <c r="G86" i="74"/>
  <c r="D86" i="74"/>
  <c r="C86" i="74"/>
  <c r="B86" i="74"/>
  <c r="AM85" i="74"/>
  <c r="AL85" i="74"/>
  <c r="U85" i="74"/>
  <c r="D85" i="74"/>
  <c r="C85" i="74"/>
  <c r="AS84" i="74"/>
  <c r="AR84" i="74"/>
  <c r="AQ84" i="74"/>
  <c r="AP84" i="74"/>
  <c r="AO84" i="74"/>
  <c r="AM84" i="74"/>
  <c r="AJ84" i="74"/>
  <c r="U84" i="74"/>
  <c r="T84" i="74"/>
  <c r="O84" i="74"/>
  <c r="G84" i="74"/>
  <c r="D84" i="74"/>
  <c r="C84" i="74"/>
  <c r="B84" i="74"/>
  <c r="AS83" i="74"/>
  <c r="AR83" i="74"/>
  <c r="AQ83" i="74"/>
  <c r="AP83" i="74"/>
  <c r="AO83" i="74"/>
  <c r="AM83" i="74"/>
  <c r="AJ83" i="74"/>
  <c r="U83" i="74"/>
  <c r="T83" i="74"/>
  <c r="O83" i="74"/>
  <c r="G83" i="74"/>
  <c r="D83" i="74"/>
  <c r="C83" i="74"/>
  <c r="B83" i="74"/>
  <c r="AS82" i="74"/>
  <c r="AR82" i="74"/>
  <c r="AQ82" i="74"/>
  <c r="AP82" i="74"/>
  <c r="AO82" i="74"/>
  <c r="AM82" i="74"/>
  <c r="AJ82" i="74"/>
  <c r="U82" i="74"/>
  <c r="T82" i="74"/>
  <c r="O82" i="74"/>
  <c r="G82" i="74"/>
  <c r="D82" i="74"/>
  <c r="C82" i="74"/>
  <c r="B82" i="74"/>
  <c r="AS81" i="74"/>
  <c r="AR81" i="74"/>
  <c r="AQ81" i="74"/>
  <c r="AP81" i="74"/>
  <c r="AO81" i="74"/>
  <c r="AM81" i="74"/>
  <c r="AJ81" i="74"/>
  <c r="U81" i="74"/>
  <c r="T81" i="74"/>
  <c r="O81" i="74"/>
  <c r="G81" i="74"/>
  <c r="D81" i="74"/>
  <c r="C81" i="74"/>
  <c r="B81" i="74"/>
  <c r="AM80" i="74"/>
  <c r="AL80" i="74"/>
  <c r="U80" i="74"/>
  <c r="D80" i="74"/>
  <c r="C80" i="74"/>
  <c r="AS79" i="74"/>
  <c r="AR79" i="74"/>
  <c r="AQ79" i="74"/>
  <c r="AP79" i="74"/>
  <c r="AO79" i="74"/>
  <c r="AM79" i="74"/>
  <c r="AJ79" i="74"/>
  <c r="U79" i="74"/>
  <c r="T79" i="74"/>
  <c r="O79" i="74"/>
  <c r="G79" i="74"/>
  <c r="D79" i="74"/>
  <c r="C79" i="74"/>
  <c r="B79" i="74"/>
  <c r="AS78" i="74"/>
  <c r="AR78" i="74"/>
  <c r="AQ78" i="74"/>
  <c r="AP78" i="74"/>
  <c r="AO78" i="74"/>
  <c r="AM78" i="74"/>
  <c r="AJ78" i="74"/>
  <c r="U78" i="74"/>
  <c r="T78" i="74"/>
  <c r="O78" i="74"/>
  <c r="G78" i="74"/>
  <c r="D78" i="74"/>
  <c r="C78" i="74"/>
  <c r="B78" i="74"/>
  <c r="AS77" i="74"/>
  <c r="AR77" i="74"/>
  <c r="AQ77" i="74"/>
  <c r="AP77" i="74"/>
  <c r="AO77" i="74"/>
  <c r="AM77" i="74"/>
  <c r="AJ77" i="74"/>
  <c r="U77" i="74"/>
  <c r="T77" i="74"/>
  <c r="O77" i="74"/>
  <c r="G77" i="74"/>
  <c r="D77" i="74"/>
  <c r="C77" i="74"/>
  <c r="B77" i="74"/>
  <c r="AS76" i="74"/>
  <c r="AR76" i="74"/>
  <c r="AQ76" i="74"/>
  <c r="AP76" i="74"/>
  <c r="AO76" i="74"/>
  <c r="AM76" i="74"/>
  <c r="AJ76" i="74"/>
  <c r="U76" i="74"/>
  <c r="T76" i="74"/>
  <c r="O76" i="74"/>
  <c r="G76" i="74"/>
  <c r="D76" i="74"/>
  <c r="C76" i="74"/>
  <c r="B76" i="74"/>
  <c r="AS75" i="74"/>
  <c r="AR75" i="74"/>
  <c r="AQ75" i="74"/>
  <c r="AP75" i="74"/>
  <c r="AO75" i="74"/>
  <c r="AM75" i="74"/>
  <c r="AJ75" i="74"/>
  <c r="U75" i="74"/>
  <c r="T75" i="74"/>
  <c r="O75" i="74"/>
  <c r="G75" i="74"/>
  <c r="D75" i="74"/>
  <c r="C75" i="74"/>
  <c r="B75" i="74"/>
  <c r="AM74" i="74"/>
  <c r="AL74" i="74"/>
  <c r="U74" i="74"/>
  <c r="D74" i="74"/>
  <c r="C74" i="74"/>
  <c r="AS73" i="74"/>
  <c r="AR73" i="74"/>
  <c r="AQ73" i="74"/>
  <c r="AP73" i="74"/>
  <c r="AO73" i="74"/>
  <c r="AM73" i="74"/>
  <c r="AJ73" i="74"/>
  <c r="U73" i="74"/>
  <c r="T73" i="74"/>
  <c r="O73" i="74"/>
  <c r="G73" i="74"/>
  <c r="D73" i="74"/>
  <c r="C73" i="74"/>
  <c r="B73" i="74"/>
  <c r="AS72" i="74"/>
  <c r="AR72" i="74"/>
  <c r="AQ72" i="74"/>
  <c r="AP72" i="74"/>
  <c r="AO72" i="74"/>
  <c r="AM72" i="74"/>
  <c r="AJ72" i="74"/>
  <c r="U72" i="74"/>
  <c r="T72" i="74"/>
  <c r="O72" i="74"/>
  <c r="G72" i="74"/>
  <c r="D72" i="74"/>
  <c r="C72" i="74"/>
  <c r="B72" i="74"/>
  <c r="AS71" i="74"/>
  <c r="AR71" i="74"/>
  <c r="AQ71" i="74"/>
  <c r="AP71" i="74"/>
  <c r="AO71" i="74"/>
  <c r="AM71" i="74"/>
  <c r="AJ71" i="74"/>
  <c r="U71" i="74"/>
  <c r="T71" i="74"/>
  <c r="O71" i="74"/>
  <c r="G71" i="74"/>
  <c r="D71" i="74"/>
  <c r="C71" i="74"/>
  <c r="B71" i="74"/>
  <c r="AS70" i="74"/>
  <c r="AR70" i="74"/>
  <c r="AQ70" i="74"/>
  <c r="AP70" i="74"/>
  <c r="AO70" i="74"/>
  <c r="AM70" i="74"/>
  <c r="AJ70" i="74"/>
  <c r="U70" i="74"/>
  <c r="T70" i="74"/>
  <c r="O70" i="74"/>
  <c r="G70" i="74"/>
  <c r="D70" i="74"/>
  <c r="C70" i="74"/>
  <c r="B70" i="74"/>
  <c r="AS69" i="74"/>
  <c r="AR69" i="74"/>
  <c r="AQ69" i="74"/>
  <c r="AP69" i="74"/>
  <c r="AO69" i="74"/>
  <c r="AM69" i="74"/>
  <c r="AJ69" i="74"/>
  <c r="U69" i="74"/>
  <c r="T69" i="74"/>
  <c r="O69" i="74"/>
  <c r="G69" i="74"/>
  <c r="D69" i="74"/>
  <c r="C69" i="74"/>
  <c r="B69" i="74"/>
  <c r="AM68" i="74"/>
  <c r="AL68" i="74"/>
  <c r="U68" i="74"/>
  <c r="D68" i="74"/>
  <c r="C68" i="74"/>
  <c r="AS67" i="74"/>
  <c r="AR67" i="74"/>
  <c r="AQ67" i="74"/>
  <c r="AP67" i="74"/>
  <c r="AO67" i="74"/>
  <c r="AM67" i="74"/>
  <c r="AJ67" i="74"/>
  <c r="U67" i="74"/>
  <c r="T67" i="74"/>
  <c r="O67" i="74"/>
  <c r="G67" i="74"/>
  <c r="D67" i="74"/>
  <c r="C67" i="74"/>
  <c r="B67" i="74"/>
  <c r="AS66" i="74"/>
  <c r="AR66" i="74"/>
  <c r="AQ66" i="74"/>
  <c r="AP66" i="74"/>
  <c r="AO66" i="74"/>
  <c r="AM66" i="74"/>
  <c r="AJ66" i="74"/>
  <c r="U66" i="74"/>
  <c r="T66" i="74"/>
  <c r="O66" i="74"/>
  <c r="G66" i="74"/>
  <c r="D66" i="74"/>
  <c r="C66" i="74"/>
  <c r="B66" i="74"/>
  <c r="AS65" i="74"/>
  <c r="AR65" i="74"/>
  <c r="AQ65" i="74"/>
  <c r="AP65" i="74"/>
  <c r="AO65" i="74"/>
  <c r="AM65" i="74"/>
  <c r="AJ65" i="74"/>
  <c r="U65" i="74"/>
  <c r="T65" i="74"/>
  <c r="O65" i="74"/>
  <c r="G65" i="74"/>
  <c r="D65" i="74"/>
  <c r="C65" i="74"/>
  <c r="B65" i="74"/>
  <c r="AS64" i="74"/>
  <c r="AR64" i="74"/>
  <c r="AQ64" i="74"/>
  <c r="AP64" i="74"/>
  <c r="AO64" i="74"/>
  <c r="AM64" i="74"/>
  <c r="AJ64" i="74"/>
  <c r="U64" i="74"/>
  <c r="T64" i="74"/>
  <c r="O64" i="74"/>
  <c r="G64" i="74"/>
  <c r="D64" i="74"/>
  <c r="C64" i="74"/>
  <c r="B64" i="74"/>
  <c r="AS63" i="74"/>
  <c r="AR63" i="74"/>
  <c r="AQ63" i="74"/>
  <c r="AP63" i="74"/>
  <c r="AO63" i="74"/>
  <c r="AM63" i="74"/>
  <c r="AJ63" i="74"/>
  <c r="U63" i="74"/>
  <c r="T63" i="74"/>
  <c r="O63" i="74"/>
  <c r="G63" i="74"/>
  <c r="D63" i="74"/>
  <c r="C63" i="74"/>
  <c r="B63" i="74"/>
  <c r="AM62" i="74"/>
  <c r="AL62" i="74"/>
  <c r="U62" i="74"/>
  <c r="D62" i="74"/>
  <c r="C62" i="74"/>
  <c r="AS61" i="74"/>
  <c r="AR61" i="74"/>
  <c r="AQ61" i="74"/>
  <c r="AP61" i="74"/>
  <c r="AO61" i="74"/>
  <c r="AM61" i="74"/>
  <c r="AJ61" i="74"/>
  <c r="U61" i="74"/>
  <c r="T61" i="74"/>
  <c r="O61" i="74"/>
  <c r="G61" i="74"/>
  <c r="D61" i="74"/>
  <c r="C61" i="74"/>
  <c r="B61" i="74"/>
  <c r="AS60" i="74"/>
  <c r="AR60" i="74"/>
  <c r="AQ60" i="74"/>
  <c r="AP60" i="74"/>
  <c r="AO60" i="74"/>
  <c r="AM60" i="74"/>
  <c r="AJ60" i="74"/>
  <c r="U60" i="74"/>
  <c r="T60" i="74"/>
  <c r="O60" i="74"/>
  <c r="G60" i="74"/>
  <c r="D60" i="74"/>
  <c r="C60" i="74"/>
  <c r="B60" i="74"/>
  <c r="AS59" i="74"/>
  <c r="AR59" i="74"/>
  <c r="AQ59" i="74"/>
  <c r="AP59" i="74"/>
  <c r="AO59" i="74"/>
  <c r="AM59" i="74"/>
  <c r="AJ59" i="74"/>
  <c r="U59" i="74"/>
  <c r="T59" i="74"/>
  <c r="O59" i="74"/>
  <c r="G59" i="74"/>
  <c r="D59" i="74"/>
  <c r="C59" i="74"/>
  <c r="B59" i="74"/>
  <c r="AS58" i="74"/>
  <c r="AR58" i="74"/>
  <c r="AQ58" i="74"/>
  <c r="AP58" i="74"/>
  <c r="AO58" i="74"/>
  <c r="AM58" i="74"/>
  <c r="AJ58" i="74"/>
  <c r="U58" i="74"/>
  <c r="T58" i="74"/>
  <c r="O58" i="74"/>
  <c r="G58" i="74"/>
  <c r="D58" i="74"/>
  <c r="C58" i="74"/>
  <c r="B58" i="74"/>
  <c r="AS57" i="74"/>
  <c r="AR57" i="74"/>
  <c r="AQ57" i="74"/>
  <c r="AP57" i="74"/>
  <c r="AO57" i="74"/>
  <c r="AM57" i="74"/>
  <c r="AJ57" i="74"/>
  <c r="U57" i="74"/>
  <c r="T57" i="74"/>
  <c r="O57" i="74"/>
  <c r="G57" i="74"/>
  <c r="D57" i="74"/>
  <c r="C57" i="74"/>
  <c r="B57" i="74"/>
  <c r="AM56" i="74"/>
  <c r="AL56" i="74"/>
  <c r="U56" i="74"/>
  <c r="D56" i="74"/>
  <c r="C56" i="74"/>
  <c r="AS55" i="74"/>
  <c r="AR55" i="74"/>
  <c r="AQ55" i="74"/>
  <c r="AP55" i="74"/>
  <c r="AO55" i="74"/>
  <c r="AM55" i="74"/>
  <c r="AJ55" i="74"/>
  <c r="U55" i="74"/>
  <c r="T55" i="74"/>
  <c r="O55" i="74"/>
  <c r="G55" i="74"/>
  <c r="D55" i="74"/>
  <c r="C55" i="74"/>
  <c r="B55" i="74"/>
  <c r="AS54" i="74"/>
  <c r="AR54" i="74"/>
  <c r="AQ54" i="74"/>
  <c r="AP54" i="74"/>
  <c r="AO54" i="74"/>
  <c r="AM54" i="74"/>
  <c r="AJ54" i="74"/>
  <c r="U54" i="74"/>
  <c r="T54" i="74"/>
  <c r="O54" i="74"/>
  <c r="G54" i="74"/>
  <c r="D54" i="74"/>
  <c r="C54" i="74"/>
  <c r="B54" i="74"/>
  <c r="AS53" i="74"/>
  <c r="AR53" i="74"/>
  <c r="AQ53" i="74"/>
  <c r="AP53" i="74"/>
  <c r="AO53" i="74"/>
  <c r="AM53" i="74"/>
  <c r="AJ53" i="74"/>
  <c r="U53" i="74"/>
  <c r="T53" i="74"/>
  <c r="O53" i="74"/>
  <c r="G53" i="74"/>
  <c r="D53" i="74"/>
  <c r="C53" i="74"/>
  <c r="B53" i="74"/>
  <c r="AS52" i="74"/>
  <c r="AR52" i="74"/>
  <c r="AQ52" i="74"/>
  <c r="AP52" i="74"/>
  <c r="AO52" i="74"/>
  <c r="AM52" i="74"/>
  <c r="AJ52" i="74"/>
  <c r="U52" i="74"/>
  <c r="T52" i="74"/>
  <c r="O52" i="74"/>
  <c r="G52" i="74"/>
  <c r="D52" i="74"/>
  <c r="C52" i="74"/>
  <c r="B52" i="74"/>
  <c r="AS51" i="74"/>
  <c r="AR51" i="74"/>
  <c r="AQ51" i="74"/>
  <c r="AP51" i="74"/>
  <c r="AO51" i="74"/>
  <c r="AM51" i="74"/>
  <c r="AJ51" i="74"/>
  <c r="U51" i="74"/>
  <c r="T51" i="74"/>
  <c r="O51" i="74"/>
  <c r="G51" i="74"/>
  <c r="D51" i="74"/>
  <c r="C51" i="74"/>
  <c r="B51" i="74"/>
  <c r="AM50" i="74"/>
  <c r="AL50" i="74"/>
  <c r="U50" i="74"/>
  <c r="F50" i="74"/>
  <c r="D50" i="74"/>
  <c r="C50" i="74"/>
  <c r="AS49" i="74"/>
  <c r="AR49" i="74"/>
  <c r="AQ49" i="74"/>
  <c r="AP49" i="74"/>
  <c r="AO49" i="74"/>
  <c r="AM49" i="74"/>
  <c r="AJ49" i="74"/>
  <c r="U49" i="74"/>
  <c r="T49" i="74"/>
  <c r="O49" i="74"/>
  <c r="G49" i="74"/>
  <c r="D49" i="74"/>
  <c r="C49" i="74"/>
  <c r="B49" i="74"/>
  <c r="AS48" i="74"/>
  <c r="AR48" i="74"/>
  <c r="AQ48" i="74"/>
  <c r="AP48" i="74"/>
  <c r="AO48" i="74"/>
  <c r="AM48" i="74"/>
  <c r="AJ48" i="74"/>
  <c r="U48" i="74"/>
  <c r="T48" i="74"/>
  <c r="O48" i="74"/>
  <c r="G48" i="74"/>
  <c r="D48" i="74"/>
  <c r="C48" i="74"/>
  <c r="B48" i="74"/>
  <c r="AS47" i="74"/>
  <c r="AR47" i="74"/>
  <c r="AQ47" i="74"/>
  <c r="AP47" i="74"/>
  <c r="AO47" i="74"/>
  <c r="AM47" i="74"/>
  <c r="AJ47" i="74"/>
  <c r="U47" i="74"/>
  <c r="T47" i="74"/>
  <c r="O47" i="74"/>
  <c r="G47" i="74"/>
  <c r="D47" i="74"/>
  <c r="C47" i="74"/>
  <c r="B47" i="74"/>
  <c r="AS46" i="74"/>
  <c r="AR46" i="74"/>
  <c r="AQ46" i="74"/>
  <c r="AP46" i="74"/>
  <c r="AO46" i="74"/>
  <c r="AM46" i="74"/>
  <c r="AJ46" i="74"/>
  <c r="U46" i="74"/>
  <c r="T46" i="74"/>
  <c r="O46" i="74"/>
  <c r="G46" i="74"/>
  <c r="D46" i="74"/>
  <c r="C46" i="74"/>
  <c r="B46" i="74"/>
  <c r="AS45" i="74"/>
  <c r="AR45" i="74"/>
  <c r="AQ45" i="74"/>
  <c r="AP45" i="74"/>
  <c r="AO45" i="74"/>
  <c r="AM45" i="74"/>
  <c r="AJ45" i="74"/>
  <c r="U45" i="74"/>
  <c r="T45" i="74"/>
  <c r="O45" i="74"/>
  <c r="G45" i="74"/>
  <c r="D45" i="74"/>
  <c r="C45" i="74"/>
  <c r="B45" i="74"/>
  <c r="AM44" i="74"/>
  <c r="AL44" i="74"/>
  <c r="U44" i="74"/>
  <c r="D44" i="74"/>
  <c r="C44" i="74"/>
  <c r="D43" i="74"/>
  <c r="AS41" i="74"/>
  <c r="AR41" i="74"/>
  <c r="AQ41" i="74"/>
  <c r="AP41" i="74"/>
  <c r="AO41" i="74"/>
  <c r="AM41" i="74"/>
  <c r="AJ41" i="74"/>
  <c r="U41" i="74"/>
  <c r="T41" i="74"/>
  <c r="O41" i="74"/>
  <c r="G41" i="74"/>
  <c r="D41" i="74"/>
  <c r="C41" i="74"/>
  <c r="B41" i="74"/>
  <c r="AS40" i="74"/>
  <c r="AR40" i="74"/>
  <c r="AQ40" i="74"/>
  <c r="AP40" i="74"/>
  <c r="AO40" i="74"/>
  <c r="AM40" i="74"/>
  <c r="AJ40" i="74"/>
  <c r="U40" i="74"/>
  <c r="T40" i="74"/>
  <c r="O40" i="74"/>
  <c r="G40" i="74"/>
  <c r="D40" i="74"/>
  <c r="C40" i="74"/>
  <c r="B40" i="74"/>
  <c r="AS39" i="74"/>
  <c r="AR39" i="74"/>
  <c r="AQ39" i="74"/>
  <c r="AP39" i="74"/>
  <c r="AO39" i="74"/>
  <c r="AM39" i="74"/>
  <c r="AJ39" i="74"/>
  <c r="U39" i="74"/>
  <c r="T39" i="74"/>
  <c r="O39" i="74"/>
  <c r="G39" i="74"/>
  <c r="D39" i="74"/>
  <c r="C39" i="74"/>
  <c r="B39" i="74"/>
  <c r="AM38" i="74"/>
  <c r="AL38" i="74"/>
  <c r="U38" i="74"/>
  <c r="D38" i="74"/>
  <c r="C38" i="74"/>
  <c r="AS37" i="74"/>
  <c r="AR37" i="74"/>
  <c r="AQ37" i="74"/>
  <c r="AP37" i="74"/>
  <c r="AO37" i="74"/>
  <c r="AM37" i="74"/>
  <c r="AJ37" i="74"/>
  <c r="U37" i="74"/>
  <c r="T37" i="74"/>
  <c r="O37" i="74"/>
  <c r="G37" i="74"/>
  <c r="D37" i="74"/>
  <c r="C37" i="74"/>
  <c r="B37" i="74"/>
  <c r="AS36" i="74"/>
  <c r="AR36" i="74"/>
  <c r="AQ36" i="74"/>
  <c r="AP36" i="74"/>
  <c r="AO36" i="74"/>
  <c r="AM36" i="74"/>
  <c r="AJ36" i="74"/>
  <c r="U36" i="74"/>
  <c r="T36" i="74"/>
  <c r="O36" i="74"/>
  <c r="G36" i="74"/>
  <c r="D36" i="74"/>
  <c r="C36" i="74"/>
  <c r="B36" i="74"/>
  <c r="AS35" i="74"/>
  <c r="AR35" i="74"/>
  <c r="AQ35" i="74"/>
  <c r="AP35" i="74"/>
  <c r="AO35" i="74"/>
  <c r="AM35" i="74"/>
  <c r="AJ35" i="74"/>
  <c r="U35" i="74"/>
  <c r="T35" i="74"/>
  <c r="O35" i="74"/>
  <c r="G35" i="74"/>
  <c r="D35" i="74"/>
  <c r="C35" i="74"/>
  <c r="B35" i="74"/>
  <c r="AM34" i="74"/>
  <c r="AL34" i="74"/>
  <c r="U34" i="74"/>
  <c r="D34" i="74"/>
  <c r="C34" i="74"/>
  <c r="AS33" i="74"/>
  <c r="AR33" i="74"/>
  <c r="AQ33" i="74"/>
  <c r="AP33" i="74"/>
  <c r="AO33" i="74"/>
  <c r="AM33" i="74"/>
  <c r="AJ33" i="74"/>
  <c r="U33" i="74"/>
  <c r="T33" i="74"/>
  <c r="O33" i="74"/>
  <c r="G33" i="74"/>
  <c r="D33" i="74"/>
  <c r="C33" i="74"/>
  <c r="B33" i="74"/>
  <c r="AS32" i="74"/>
  <c r="AR32" i="74"/>
  <c r="AQ32" i="74"/>
  <c r="AP32" i="74"/>
  <c r="AO32" i="74"/>
  <c r="AM32" i="74"/>
  <c r="AJ32" i="74"/>
  <c r="U32" i="74"/>
  <c r="T32" i="74"/>
  <c r="O32" i="74"/>
  <c r="G32" i="74"/>
  <c r="D32" i="74"/>
  <c r="C32" i="74"/>
  <c r="B32" i="74"/>
  <c r="AS31" i="74"/>
  <c r="AR31" i="74"/>
  <c r="AQ31" i="74"/>
  <c r="AP31" i="74"/>
  <c r="AO31" i="74"/>
  <c r="AM31" i="74"/>
  <c r="AJ31" i="74"/>
  <c r="U31" i="74"/>
  <c r="T31" i="74"/>
  <c r="O31" i="74"/>
  <c r="G31" i="74"/>
  <c r="D31" i="74"/>
  <c r="C31" i="74"/>
  <c r="B31" i="74"/>
  <c r="AS30" i="74"/>
  <c r="AR30" i="74"/>
  <c r="AQ30" i="74"/>
  <c r="AP30" i="74"/>
  <c r="AO30" i="74"/>
  <c r="AM30" i="74"/>
  <c r="AJ30" i="74"/>
  <c r="U30" i="74"/>
  <c r="T30" i="74"/>
  <c r="O30" i="74"/>
  <c r="G30" i="74"/>
  <c r="D30" i="74"/>
  <c r="C30" i="74"/>
  <c r="B30" i="74"/>
  <c r="AS29" i="74"/>
  <c r="AR29" i="74"/>
  <c r="AQ29" i="74"/>
  <c r="AP29" i="74"/>
  <c r="AO29" i="74"/>
  <c r="AM29" i="74"/>
  <c r="AJ29" i="74"/>
  <c r="U29" i="74"/>
  <c r="T29" i="74"/>
  <c r="O29" i="74"/>
  <c r="G29" i="74"/>
  <c r="D29" i="74"/>
  <c r="C29" i="74"/>
  <c r="B29" i="74"/>
  <c r="AS28" i="74"/>
  <c r="AR28" i="74"/>
  <c r="AQ28" i="74"/>
  <c r="AP28" i="74"/>
  <c r="AO28" i="74"/>
  <c r="AM28" i="74"/>
  <c r="AJ28" i="74"/>
  <c r="U28" i="74"/>
  <c r="T28" i="74"/>
  <c r="O28" i="74"/>
  <c r="G28" i="74"/>
  <c r="D28" i="74"/>
  <c r="C28" i="74"/>
  <c r="B28" i="74"/>
  <c r="AM27" i="74"/>
  <c r="AL27" i="74"/>
  <c r="U27" i="74"/>
  <c r="D27" i="74"/>
  <c r="C27" i="74"/>
  <c r="AS26" i="74"/>
  <c r="AR26" i="74"/>
  <c r="AQ26" i="74"/>
  <c r="AP26" i="74"/>
  <c r="AO26" i="74"/>
  <c r="AM26" i="74"/>
  <c r="AJ26" i="74"/>
  <c r="U26" i="74"/>
  <c r="T26" i="74"/>
  <c r="O26" i="74"/>
  <c r="G26" i="74"/>
  <c r="D26" i="74"/>
  <c r="C26" i="74"/>
  <c r="AS25" i="74"/>
  <c r="AR25" i="74"/>
  <c r="AQ25" i="74"/>
  <c r="AP25" i="74"/>
  <c r="AO25" i="74"/>
  <c r="AM25" i="74"/>
  <c r="AJ25" i="74"/>
  <c r="U25" i="74"/>
  <c r="T25" i="74"/>
  <c r="O25" i="74"/>
  <c r="G25" i="74"/>
  <c r="D25" i="74"/>
  <c r="C25" i="74"/>
  <c r="AS24" i="74"/>
  <c r="AR24" i="74"/>
  <c r="AQ24" i="74"/>
  <c r="AP24" i="74"/>
  <c r="AO24" i="74"/>
  <c r="AM24" i="74"/>
  <c r="AJ24" i="74"/>
  <c r="U24" i="74"/>
  <c r="T24" i="74"/>
  <c r="O24" i="74"/>
  <c r="G24" i="74"/>
  <c r="D24" i="74"/>
  <c r="C24" i="74"/>
  <c r="AS23" i="74"/>
  <c r="AR23" i="74"/>
  <c r="AQ23" i="74"/>
  <c r="AP23" i="74"/>
  <c r="AO23" i="74"/>
  <c r="AM23" i="74"/>
  <c r="AJ23" i="74"/>
  <c r="U23" i="74"/>
  <c r="T23" i="74"/>
  <c r="O23" i="74"/>
  <c r="G23" i="74"/>
  <c r="D23" i="74"/>
  <c r="C23" i="74"/>
  <c r="AS22" i="74"/>
  <c r="AR22" i="74"/>
  <c r="AQ22" i="74"/>
  <c r="AP22" i="74"/>
  <c r="AO22" i="74"/>
  <c r="AM22" i="74"/>
  <c r="AJ22" i="74"/>
  <c r="U22" i="74"/>
  <c r="T22" i="74"/>
  <c r="O22" i="74"/>
  <c r="G22" i="74"/>
  <c r="D22" i="74"/>
  <c r="C22" i="74"/>
  <c r="AS21" i="74"/>
  <c r="AR21" i="74"/>
  <c r="AQ21" i="74"/>
  <c r="AP21" i="74"/>
  <c r="AO21" i="74"/>
  <c r="AM21" i="74"/>
  <c r="AJ21" i="74"/>
  <c r="U21" i="74"/>
  <c r="T21" i="74"/>
  <c r="O21" i="74"/>
  <c r="G21" i="74"/>
  <c r="D21" i="74"/>
  <c r="C21" i="74"/>
  <c r="AS20" i="74"/>
  <c r="AR20" i="74"/>
  <c r="AQ20" i="74"/>
  <c r="AP20" i="74"/>
  <c r="AO20" i="74"/>
  <c r="AM20" i="74"/>
  <c r="AJ20" i="74"/>
  <c r="U20" i="74"/>
  <c r="T20" i="74"/>
  <c r="O20" i="74"/>
  <c r="G20" i="74"/>
  <c r="D20" i="74"/>
  <c r="C20" i="74"/>
  <c r="AM19" i="74"/>
  <c r="AL19" i="74"/>
  <c r="AK19" i="74"/>
  <c r="U19" i="74"/>
  <c r="D19" i="74"/>
  <c r="C19" i="74"/>
  <c r="AS18" i="74"/>
  <c r="AR18" i="74"/>
  <c r="AQ18" i="74"/>
  <c r="AP18" i="74"/>
  <c r="AO18" i="74"/>
  <c r="AM18" i="74"/>
  <c r="AJ18" i="74"/>
  <c r="U18" i="74"/>
  <c r="T18" i="74"/>
  <c r="O18" i="74"/>
  <c r="G18" i="74"/>
  <c r="D18" i="74"/>
  <c r="C18" i="74"/>
  <c r="B18" i="74"/>
  <c r="AS17" i="74"/>
  <c r="AR17" i="74"/>
  <c r="AQ17" i="74"/>
  <c r="AP17" i="74"/>
  <c r="AO17" i="74"/>
  <c r="AM17" i="74"/>
  <c r="AJ17" i="74"/>
  <c r="U17" i="74"/>
  <c r="T17" i="74"/>
  <c r="O17" i="74"/>
  <c r="G17" i="74"/>
  <c r="D17" i="74"/>
  <c r="C17" i="74"/>
  <c r="B17" i="74"/>
  <c r="AS16" i="74"/>
  <c r="AR16" i="74"/>
  <c r="AQ16" i="74"/>
  <c r="AP16" i="74"/>
  <c r="AO16" i="74"/>
  <c r="AM16" i="74"/>
  <c r="AJ16" i="74"/>
  <c r="U16" i="74"/>
  <c r="T16" i="74"/>
  <c r="O16" i="74"/>
  <c r="G16" i="74"/>
  <c r="D16" i="74"/>
  <c r="C16" i="74"/>
  <c r="B16" i="74"/>
  <c r="AS15" i="74"/>
  <c r="AR15" i="74"/>
  <c r="AQ15" i="74"/>
  <c r="AP15" i="74"/>
  <c r="AO15" i="74"/>
  <c r="AM15" i="74"/>
  <c r="AJ15" i="74"/>
  <c r="U15" i="74"/>
  <c r="T15" i="74"/>
  <c r="O15" i="74"/>
  <c r="G15" i="74"/>
  <c r="D15" i="74"/>
  <c r="C15" i="74"/>
  <c r="B15" i="74"/>
  <c r="AS14" i="74"/>
  <c r="AR14" i="74"/>
  <c r="AQ14" i="74"/>
  <c r="AP14" i="74"/>
  <c r="AO14" i="74"/>
  <c r="AM14" i="74"/>
  <c r="AJ14" i="74"/>
  <c r="U14" i="74"/>
  <c r="T14" i="74"/>
  <c r="O14" i="74"/>
  <c r="G14" i="74"/>
  <c r="D14" i="74"/>
  <c r="C14" i="74"/>
  <c r="B14" i="74"/>
  <c r="AM13" i="74"/>
  <c r="AL13" i="74"/>
  <c r="U13" i="74"/>
  <c r="D13" i="74"/>
  <c r="C13" i="74"/>
  <c r="M12" i="74"/>
  <c r="K12" i="74"/>
  <c r="I12" i="74"/>
  <c r="G12" i="74"/>
  <c r="D12" i="74"/>
  <c r="AC11" i="74"/>
  <c r="AA11" i="74"/>
  <c r="Y11" i="74"/>
  <c r="W11" i="74"/>
  <c r="U11" i="74"/>
  <c r="Q11" i="74"/>
  <c r="O11" i="74"/>
  <c r="K11" i="74"/>
  <c r="I11" i="74"/>
  <c r="G11" i="74"/>
  <c r="C11" i="74"/>
  <c r="G9" i="74"/>
  <c r="D9" i="74"/>
  <c r="C9" i="74"/>
  <c r="AF8" i="74"/>
  <c r="AD8" i="74"/>
  <c r="AC8" i="74"/>
  <c r="AA8" i="74"/>
  <c r="D8" i="74"/>
  <c r="C8" i="74"/>
  <c r="AG7" i="74"/>
  <c r="AF7" i="74"/>
  <c r="AD7" i="74"/>
  <c r="AC7" i="74"/>
  <c r="AA7" i="74"/>
  <c r="D7" i="74"/>
  <c r="C7" i="74"/>
  <c r="AG6" i="74"/>
  <c r="AF6" i="74"/>
  <c r="AD6" i="74"/>
  <c r="AC6" i="74"/>
  <c r="AA6" i="74"/>
  <c r="D6" i="74"/>
  <c r="C6" i="74"/>
  <c r="AG5" i="74"/>
  <c r="AF5" i="74"/>
  <c r="AD5" i="74"/>
  <c r="AC5" i="74"/>
  <c r="AA5" i="74"/>
  <c r="G5" i="74"/>
  <c r="AD4" i="74"/>
  <c r="AC4" i="74"/>
  <c r="AF3" i="74"/>
  <c r="AC3" i="74"/>
  <c r="AA3" i="74"/>
  <c r="Y3" i="74"/>
  <c r="W3" i="74"/>
  <c r="R3" i="74"/>
  <c r="O3" i="74"/>
  <c r="L3" i="74"/>
  <c r="I3" i="74"/>
  <c r="C3" i="74"/>
  <c r="AA2" i="74"/>
  <c r="Y2" i="74"/>
  <c r="W2" i="74"/>
  <c r="R2" i="74"/>
  <c r="L2" i="74"/>
  <c r="I2" i="74"/>
  <c r="C2" i="74"/>
  <c r="AP191" i="76"/>
  <c r="AO191" i="76"/>
  <c r="AQ189" i="76"/>
  <c r="AL189" i="76"/>
  <c r="AK189" i="76"/>
  <c r="AI189" i="76"/>
  <c r="AG189" i="76"/>
  <c r="Y189" i="76"/>
  <c r="X189" i="76"/>
  <c r="W189" i="76"/>
  <c r="U189" i="76"/>
  <c r="AQ188" i="76"/>
  <c r="AL188" i="76"/>
  <c r="AK188" i="76"/>
  <c r="AI188" i="76"/>
  <c r="AG188" i="76"/>
  <c r="Y188" i="76"/>
  <c r="X188" i="76"/>
  <c r="W188" i="76"/>
  <c r="U188" i="76"/>
  <c r="AQ187" i="76"/>
  <c r="AL187" i="76"/>
  <c r="AK187" i="76"/>
  <c r="AI187" i="76"/>
  <c r="AG187" i="76"/>
  <c r="Y187" i="76"/>
  <c r="X187" i="76"/>
  <c r="W187" i="76"/>
  <c r="U187" i="76"/>
  <c r="AQ186" i="76"/>
  <c r="AL186" i="76"/>
  <c r="AK186" i="76"/>
  <c r="AI186" i="76"/>
  <c r="AG186" i="76"/>
  <c r="Y186" i="76"/>
  <c r="X186" i="76"/>
  <c r="W186" i="76"/>
  <c r="U186" i="76"/>
  <c r="AQ185" i="76"/>
  <c r="AL185" i="76"/>
  <c r="AK185" i="76"/>
  <c r="AI185" i="76"/>
  <c r="AG185" i="76"/>
  <c r="Y185" i="76"/>
  <c r="X185" i="76"/>
  <c r="W185" i="76"/>
  <c r="U185" i="76"/>
  <c r="AQ184" i="76"/>
  <c r="AL184" i="76"/>
  <c r="AK184" i="76"/>
  <c r="AI184" i="76"/>
  <c r="AG184" i="76"/>
  <c r="Y184" i="76"/>
  <c r="X184" i="76"/>
  <c r="W184" i="76"/>
  <c r="U184" i="76"/>
  <c r="AQ183" i="76"/>
  <c r="AP183" i="76"/>
  <c r="AO183" i="76"/>
  <c r="AL183" i="76"/>
  <c r="W183" i="76"/>
  <c r="AQ182" i="76"/>
  <c r="AL182" i="76"/>
  <c r="AK182" i="76"/>
  <c r="AI182" i="76"/>
  <c r="AG182" i="76"/>
  <c r="Y182" i="76"/>
  <c r="X182" i="76"/>
  <c r="W182" i="76"/>
  <c r="U182" i="76"/>
  <c r="AQ181" i="76"/>
  <c r="AL181" i="76"/>
  <c r="AK181" i="76"/>
  <c r="AI181" i="76"/>
  <c r="AG181" i="76"/>
  <c r="Y181" i="76"/>
  <c r="X181" i="76"/>
  <c r="W181" i="76"/>
  <c r="U181" i="76"/>
  <c r="AQ180" i="76"/>
  <c r="AL180" i="76"/>
  <c r="AK180" i="76"/>
  <c r="AI180" i="76"/>
  <c r="AG180" i="76"/>
  <c r="Y180" i="76"/>
  <c r="X180" i="76"/>
  <c r="W180" i="76"/>
  <c r="U180" i="76"/>
  <c r="AQ179" i="76"/>
  <c r="AL179" i="76"/>
  <c r="AK179" i="76"/>
  <c r="AI179" i="76"/>
  <c r="AG179" i="76"/>
  <c r="Y179" i="76"/>
  <c r="X179" i="76"/>
  <c r="W179" i="76"/>
  <c r="U179" i="76"/>
  <c r="AQ178" i="76"/>
  <c r="AP178" i="76"/>
  <c r="AO178" i="76"/>
  <c r="AL178" i="76"/>
  <c r="W178" i="76"/>
  <c r="AQ177" i="76"/>
  <c r="AL177" i="76"/>
  <c r="AK177" i="76"/>
  <c r="AI177" i="76"/>
  <c r="AG177" i="76"/>
  <c r="Y177" i="76"/>
  <c r="X177" i="76"/>
  <c r="W177" i="76"/>
  <c r="U177" i="76"/>
  <c r="AQ176" i="76"/>
  <c r="AL176" i="76"/>
  <c r="AK176" i="76"/>
  <c r="AI176" i="76"/>
  <c r="AG176" i="76"/>
  <c r="Y176" i="76"/>
  <c r="X176" i="76"/>
  <c r="W176" i="76"/>
  <c r="U176" i="76"/>
  <c r="AQ175" i="76"/>
  <c r="AL175" i="76"/>
  <c r="AK175" i="76"/>
  <c r="AI175" i="76"/>
  <c r="AG175" i="76"/>
  <c r="Y175" i="76"/>
  <c r="X175" i="76"/>
  <c r="W175" i="76"/>
  <c r="U175" i="76"/>
  <c r="AQ174" i="76"/>
  <c r="AL174" i="76"/>
  <c r="AK174" i="76"/>
  <c r="AI174" i="76"/>
  <c r="AG174" i="76"/>
  <c r="Y174" i="76"/>
  <c r="X174" i="76"/>
  <c r="W174" i="76"/>
  <c r="U174" i="76"/>
  <c r="AQ173" i="76"/>
  <c r="AL173" i="76"/>
  <c r="AK173" i="76"/>
  <c r="AI173" i="76"/>
  <c r="AG173" i="76"/>
  <c r="Y173" i="76"/>
  <c r="X173" i="76"/>
  <c r="W173" i="76"/>
  <c r="U173" i="76"/>
  <c r="AQ172" i="76"/>
  <c r="AP172" i="76"/>
  <c r="AO172" i="76"/>
  <c r="AL172" i="76"/>
  <c r="W172" i="76"/>
  <c r="AQ171" i="76"/>
  <c r="AL171" i="76"/>
  <c r="AK171" i="76"/>
  <c r="AI171" i="76"/>
  <c r="AG171" i="76"/>
  <c r="Y171" i="76"/>
  <c r="X171" i="76"/>
  <c r="W171" i="76"/>
  <c r="U171" i="76"/>
  <c r="AQ170" i="76"/>
  <c r="AL170" i="76"/>
  <c r="AK170" i="76"/>
  <c r="AI170" i="76"/>
  <c r="AG170" i="76"/>
  <c r="Y170" i="76"/>
  <c r="X170" i="76"/>
  <c r="W170" i="76"/>
  <c r="U170" i="76"/>
  <c r="AQ169" i="76"/>
  <c r="AL169" i="76"/>
  <c r="AK169" i="76"/>
  <c r="AI169" i="76"/>
  <c r="AG169" i="76"/>
  <c r="Y169" i="76"/>
  <c r="X169" i="76"/>
  <c r="W169" i="76"/>
  <c r="U169" i="76"/>
  <c r="AQ168" i="76"/>
  <c r="AL168" i="76"/>
  <c r="AK168" i="76"/>
  <c r="AI168" i="76"/>
  <c r="AG168" i="76"/>
  <c r="Y168" i="76"/>
  <c r="X168" i="76"/>
  <c r="W168" i="76"/>
  <c r="U168" i="76"/>
  <c r="AQ167" i="76"/>
  <c r="AL167" i="76"/>
  <c r="AK167" i="76"/>
  <c r="AI167" i="76"/>
  <c r="AG167" i="76"/>
  <c r="Y167" i="76"/>
  <c r="X167" i="76"/>
  <c r="W167" i="76"/>
  <c r="U167" i="76"/>
  <c r="AQ166" i="76"/>
  <c r="AP166" i="76"/>
  <c r="AO166" i="76"/>
  <c r="AL166" i="76"/>
  <c r="W166" i="76"/>
  <c r="AQ165" i="76"/>
  <c r="AL165" i="76"/>
  <c r="AK165" i="76"/>
  <c r="AI165" i="76"/>
  <c r="AG165" i="76"/>
  <c r="Y165" i="76"/>
  <c r="X165" i="76"/>
  <c r="W165" i="76"/>
  <c r="U165" i="76"/>
  <c r="AQ164" i="76"/>
  <c r="AL164" i="76"/>
  <c r="AK164" i="76"/>
  <c r="AI164" i="76"/>
  <c r="AG164" i="76"/>
  <c r="Y164" i="76"/>
  <c r="X164" i="76"/>
  <c r="W164" i="76"/>
  <c r="U164" i="76"/>
  <c r="AQ163" i="76"/>
  <c r="AL163" i="76"/>
  <c r="AK163" i="76"/>
  <c r="AI163" i="76"/>
  <c r="AG163" i="76"/>
  <c r="Y163" i="76"/>
  <c r="X163" i="76"/>
  <c r="W163" i="76"/>
  <c r="U163" i="76"/>
  <c r="AQ162" i="76"/>
  <c r="AL162" i="76"/>
  <c r="AK162" i="76"/>
  <c r="AI162" i="76"/>
  <c r="AG162" i="76"/>
  <c r="Y162" i="76"/>
  <c r="X162" i="76"/>
  <c r="W162" i="76"/>
  <c r="U162" i="76"/>
  <c r="AQ161" i="76"/>
  <c r="AL161" i="76"/>
  <c r="AK161" i="76"/>
  <c r="AI161" i="76"/>
  <c r="AG161" i="76"/>
  <c r="Y161" i="76"/>
  <c r="X161" i="76"/>
  <c r="W161" i="76"/>
  <c r="U161" i="76"/>
  <c r="AQ160" i="76"/>
  <c r="AL160" i="76"/>
  <c r="AK160" i="76"/>
  <c r="AI160" i="76"/>
  <c r="AG160" i="76"/>
  <c r="Y160" i="76"/>
  <c r="X160" i="76"/>
  <c r="W160" i="76"/>
  <c r="U160" i="76"/>
  <c r="AQ159" i="76"/>
  <c r="AP159" i="76"/>
  <c r="AO159" i="76"/>
  <c r="AL159" i="76"/>
  <c r="W159" i="76"/>
  <c r="AQ158" i="76"/>
  <c r="AL158" i="76"/>
  <c r="AK158" i="76"/>
  <c r="AI158" i="76"/>
  <c r="AG158" i="76"/>
  <c r="Y158" i="76"/>
  <c r="X158" i="76"/>
  <c r="W158" i="76"/>
  <c r="U158" i="76"/>
  <c r="AQ157" i="76"/>
  <c r="AL157" i="76"/>
  <c r="AK157" i="76"/>
  <c r="AI157" i="76"/>
  <c r="AG157" i="76"/>
  <c r="Y157" i="76"/>
  <c r="X157" i="76"/>
  <c r="W157" i="76"/>
  <c r="U157" i="76"/>
  <c r="AQ156" i="76"/>
  <c r="AL156" i="76"/>
  <c r="AK156" i="76"/>
  <c r="AI156" i="76"/>
  <c r="AG156" i="76"/>
  <c r="Y156" i="76"/>
  <c r="X156" i="76"/>
  <c r="W156" i="76"/>
  <c r="U156" i="76"/>
  <c r="AQ155" i="76"/>
  <c r="AL155" i="76"/>
  <c r="AK155" i="76"/>
  <c r="AI155" i="76"/>
  <c r="AG155" i="76"/>
  <c r="Y155" i="76"/>
  <c r="X155" i="76"/>
  <c r="W155" i="76"/>
  <c r="U155" i="76"/>
  <c r="AQ154" i="76"/>
  <c r="AP154" i="76"/>
  <c r="AO154" i="76"/>
  <c r="AL154" i="76"/>
  <c r="W154" i="76"/>
  <c r="AQ153" i="76"/>
  <c r="AL153" i="76"/>
  <c r="AK153" i="76"/>
  <c r="AI153" i="76"/>
  <c r="AG153" i="76"/>
  <c r="Y153" i="76"/>
  <c r="X153" i="76"/>
  <c r="W153" i="76"/>
  <c r="U153" i="76"/>
  <c r="AQ152" i="76"/>
  <c r="AL152" i="76"/>
  <c r="AK152" i="76"/>
  <c r="AI152" i="76"/>
  <c r="AG152" i="76"/>
  <c r="Y152" i="76"/>
  <c r="X152" i="76"/>
  <c r="W152" i="76"/>
  <c r="U152" i="76"/>
  <c r="AQ151" i="76"/>
  <c r="AL151" i="76"/>
  <c r="AK151" i="76"/>
  <c r="AI151" i="76"/>
  <c r="AG151" i="76"/>
  <c r="Y151" i="76"/>
  <c r="X151" i="76"/>
  <c r="W151" i="76"/>
  <c r="U151" i="76"/>
  <c r="AQ150" i="76"/>
  <c r="AL150" i="76"/>
  <c r="AK150" i="76"/>
  <c r="AI150" i="76"/>
  <c r="AG150" i="76"/>
  <c r="Y150" i="76"/>
  <c r="X150" i="76"/>
  <c r="W150" i="76"/>
  <c r="U150" i="76"/>
  <c r="AQ149" i="76"/>
  <c r="AL149" i="76"/>
  <c r="AK149" i="76"/>
  <c r="AI149" i="76"/>
  <c r="AG149" i="76"/>
  <c r="Y149" i="76"/>
  <c r="X149" i="76"/>
  <c r="W149" i="76"/>
  <c r="U149" i="76"/>
  <c r="AQ148" i="76"/>
  <c r="AP148" i="76"/>
  <c r="AO148" i="76"/>
  <c r="AL148" i="76"/>
  <c r="W148" i="76"/>
  <c r="AQ147" i="76"/>
  <c r="AL147" i="76"/>
  <c r="AK147" i="76"/>
  <c r="AI147" i="76"/>
  <c r="AG147" i="76"/>
  <c r="Y147" i="76"/>
  <c r="X147" i="76"/>
  <c r="W147" i="76"/>
  <c r="U147" i="76"/>
  <c r="AQ146" i="76"/>
  <c r="AL146" i="76"/>
  <c r="AK146" i="76"/>
  <c r="AI146" i="76"/>
  <c r="AG146" i="76"/>
  <c r="Y146" i="76"/>
  <c r="X146" i="76"/>
  <c r="W146" i="76"/>
  <c r="U146" i="76"/>
  <c r="AQ145" i="76"/>
  <c r="AL145" i="76"/>
  <c r="AK145" i="76"/>
  <c r="AI145" i="76"/>
  <c r="AG145" i="76"/>
  <c r="Y145" i="76"/>
  <c r="X145" i="76"/>
  <c r="W145" i="76"/>
  <c r="U145" i="76"/>
  <c r="AQ144" i="76"/>
  <c r="AL144" i="76"/>
  <c r="AK144" i="76"/>
  <c r="AI144" i="76"/>
  <c r="AG144" i="76"/>
  <c r="Y144" i="76"/>
  <c r="X144" i="76"/>
  <c r="W144" i="76"/>
  <c r="U144" i="76"/>
  <c r="AQ143" i="76"/>
  <c r="AL143" i="76"/>
  <c r="AK143" i="76"/>
  <c r="AI143" i="76"/>
  <c r="AG143" i="76"/>
  <c r="Y143" i="76"/>
  <c r="X143" i="76"/>
  <c r="W143" i="76"/>
  <c r="U143" i="76"/>
  <c r="AQ142" i="76"/>
  <c r="AP142" i="76"/>
  <c r="AO142" i="76"/>
  <c r="AL142" i="76"/>
  <c r="W142" i="76"/>
  <c r="AQ141" i="76"/>
  <c r="AL141" i="76"/>
  <c r="AK141" i="76"/>
  <c r="AI141" i="76"/>
  <c r="AG141" i="76"/>
  <c r="Y141" i="76"/>
  <c r="X141" i="76"/>
  <c r="W141" i="76"/>
  <c r="U141" i="76"/>
  <c r="AQ140" i="76"/>
  <c r="AL140" i="76"/>
  <c r="AK140" i="76"/>
  <c r="AI140" i="76"/>
  <c r="AG140" i="76"/>
  <c r="Y140" i="76"/>
  <c r="X140" i="76"/>
  <c r="W140" i="76"/>
  <c r="U140" i="76"/>
  <c r="AQ139" i="76"/>
  <c r="AL139" i="76"/>
  <c r="AK139" i="76"/>
  <c r="AI139" i="76"/>
  <c r="AG139" i="76"/>
  <c r="Y139" i="76"/>
  <c r="X139" i="76"/>
  <c r="W139" i="76"/>
  <c r="U139" i="76"/>
  <c r="AQ138" i="76"/>
  <c r="AL138" i="76"/>
  <c r="AK138" i="76"/>
  <c r="AI138" i="76"/>
  <c r="AG138" i="76"/>
  <c r="Y138" i="76"/>
  <c r="X138" i="76"/>
  <c r="W138" i="76"/>
  <c r="U138" i="76"/>
  <c r="AQ137" i="76"/>
  <c r="AL137" i="76"/>
  <c r="AK137" i="76"/>
  <c r="AI137" i="76"/>
  <c r="AG137" i="76"/>
  <c r="Y137" i="76"/>
  <c r="X137" i="76"/>
  <c r="W137" i="76"/>
  <c r="U137" i="76"/>
  <c r="AQ136" i="76"/>
  <c r="AP136" i="76"/>
  <c r="AO136" i="76"/>
  <c r="AL136" i="76"/>
  <c r="W136" i="76"/>
  <c r="AQ135" i="76"/>
  <c r="AL135" i="76"/>
  <c r="AK135" i="76"/>
  <c r="AI135" i="76"/>
  <c r="AG135" i="76"/>
  <c r="Y135" i="76"/>
  <c r="X135" i="76"/>
  <c r="W135" i="76"/>
  <c r="U135" i="76"/>
  <c r="AQ134" i="76"/>
  <c r="AL134" i="76"/>
  <c r="AK134" i="76"/>
  <c r="AI134" i="76"/>
  <c r="AG134" i="76"/>
  <c r="Y134" i="76"/>
  <c r="X134" i="76"/>
  <c r="W134" i="76"/>
  <c r="U134" i="76"/>
  <c r="AQ133" i="76"/>
  <c r="AL133" i="76"/>
  <c r="AK133" i="76"/>
  <c r="AI133" i="76"/>
  <c r="AG133" i="76"/>
  <c r="Y133" i="76"/>
  <c r="X133" i="76"/>
  <c r="W133" i="76"/>
  <c r="U133" i="76"/>
  <c r="AQ132" i="76"/>
  <c r="AL132" i="76"/>
  <c r="AK132" i="76"/>
  <c r="AI132" i="76"/>
  <c r="AG132" i="76"/>
  <c r="Y132" i="76"/>
  <c r="X132" i="76"/>
  <c r="W132" i="76"/>
  <c r="U132" i="76"/>
  <c r="AQ131" i="76"/>
  <c r="AP131" i="76"/>
  <c r="AO131" i="76"/>
  <c r="AL131" i="76"/>
  <c r="W131" i="76"/>
  <c r="AQ130" i="76"/>
  <c r="AL130" i="76"/>
  <c r="AK130" i="76"/>
  <c r="AI130" i="76"/>
  <c r="AG130" i="76"/>
  <c r="Y130" i="76"/>
  <c r="X130" i="76"/>
  <c r="W130" i="76"/>
  <c r="U130" i="76"/>
  <c r="AQ129" i="76"/>
  <c r="AL129" i="76"/>
  <c r="AK129" i="76"/>
  <c r="AI129" i="76"/>
  <c r="AG129" i="76"/>
  <c r="Y129" i="76"/>
  <c r="X129" i="76"/>
  <c r="W129" i="76"/>
  <c r="U129" i="76"/>
  <c r="AQ128" i="76"/>
  <c r="AL128" i="76"/>
  <c r="AK128" i="76"/>
  <c r="AI128" i="76"/>
  <c r="AG128" i="76"/>
  <c r="Y128" i="76"/>
  <c r="X128" i="76"/>
  <c r="W128" i="76"/>
  <c r="U128" i="76"/>
  <c r="AQ127" i="76"/>
  <c r="AL127" i="76"/>
  <c r="AK127" i="76"/>
  <c r="AI127" i="76"/>
  <c r="AG127" i="76"/>
  <c r="Y127" i="76"/>
  <c r="X127" i="76"/>
  <c r="W127" i="76"/>
  <c r="U127" i="76"/>
  <c r="AQ126" i="76"/>
  <c r="AL126" i="76"/>
  <c r="AK126" i="76"/>
  <c r="AI126" i="76"/>
  <c r="AG126" i="76"/>
  <c r="Y126" i="76"/>
  <c r="X126" i="76"/>
  <c r="W126" i="76"/>
  <c r="U126" i="76"/>
  <c r="AQ125" i="76"/>
  <c r="AP125" i="76"/>
  <c r="AO125" i="76"/>
  <c r="AL125" i="76"/>
  <c r="W125" i="76"/>
  <c r="AQ124" i="76"/>
  <c r="AL124" i="76"/>
  <c r="AK124" i="76"/>
  <c r="AI124" i="76"/>
  <c r="AG124" i="76"/>
  <c r="Y124" i="76"/>
  <c r="X124" i="76"/>
  <c r="W124" i="76"/>
  <c r="U124" i="76"/>
  <c r="AQ123" i="76"/>
  <c r="AL123" i="76"/>
  <c r="AK123" i="76"/>
  <c r="AI123" i="76"/>
  <c r="AG123" i="76"/>
  <c r="Y123" i="76"/>
  <c r="X123" i="76"/>
  <c r="W123" i="76"/>
  <c r="U123" i="76"/>
  <c r="AQ122" i="76"/>
  <c r="AL122" i="76"/>
  <c r="AK122" i="76"/>
  <c r="AI122" i="76"/>
  <c r="AG122" i="76"/>
  <c r="Y122" i="76"/>
  <c r="X122" i="76"/>
  <c r="W122" i="76"/>
  <c r="U122" i="76"/>
  <c r="AQ121" i="76"/>
  <c r="AL121" i="76"/>
  <c r="AK121" i="76"/>
  <c r="AI121" i="76"/>
  <c r="AG121" i="76"/>
  <c r="Y121" i="76"/>
  <c r="X121" i="76"/>
  <c r="W121" i="76"/>
  <c r="U121" i="76"/>
  <c r="AQ120" i="76"/>
  <c r="AP120" i="76"/>
  <c r="AO120" i="76"/>
  <c r="AL120" i="76"/>
  <c r="W120" i="76"/>
  <c r="AQ119" i="76"/>
  <c r="AL119" i="76"/>
  <c r="AK119" i="76"/>
  <c r="AI119" i="76"/>
  <c r="AG119" i="76"/>
  <c r="Y119" i="76"/>
  <c r="X119" i="76"/>
  <c r="W119" i="76"/>
  <c r="U119" i="76"/>
  <c r="AQ118" i="76"/>
  <c r="AL118" i="76"/>
  <c r="AK118" i="76"/>
  <c r="AI118" i="76"/>
  <c r="AG118" i="76"/>
  <c r="Y118" i="76"/>
  <c r="X118" i="76"/>
  <c r="W118" i="76"/>
  <c r="U118" i="76"/>
  <c r="AQ117" i="76"/>
  <c r="AL117" i="76"/>
  <c r="AK117" i="76"/>
  <c r="AI117" i="76"/>
  <c r="AG117" i="76"/>
  <c r="Y117" i="76"/>
  <c r="X117" i="76"/>
  <c r="W117" i="76"/>
  <c r="U117" i="76"/>
  <c r="AQ116" i="76"/>
  <c r="AL116" i="76"/>
  <c r="AK116" i="76"/>
  <c r="AI116" i="76"/>
  <c r="AG116" i="76"/>
  <c r="Y116" i="76"/>
  <c r="X116" i="76"/>
  <c r="W116" i="76"/>
  <c r="U116" i="76"/>
  <c r="AQ115" i="76"/>
  <c r="AL115" i="76"/>
  <c r="AK115" i="76"/>
  <c r="AI115" i="76"/>
  <c r="AG115" i="76"/>
  <c r="Y115" i="76"/>
  <c r="X115" i="76"/>
  <c r="W115" i="76"/>
  <c r="U115" i="76"/>
  <c r="AQ114" i="76"/>
  <c r="AP114" i="76"/>
  <c r="AO114" i="76"/>
  <c r="AL114" i="76"/>
  <c r="W114" i="76"/>
  <c r="AQ113" i="76"/>
  <c r="AL113" i="76"/>
  <c r="AI113" i="76"/>
  <c r="AG113" i="76"/>
  <c r="Y113" i="76"/>
  <c r="X113" i="76"/>
  <c r="W113" i="76"/>
  <c r="U113" i="76"/>
  <c r="AQ112" i="76"/>
  <c r="AL112" i="76"/>
  <c r="AI112" i="76"/>
  <c r="AG112" i="76"/>
  <c r="Y112" i="76"/>
  <c r="X112" i="76"/>
  <c r="W112" i="76"/>
  <c r="U112" i="76"/>
  <c r="AQ111" i="76"/>
  <c r="AL111" i="76"/>
  <c r="AI111" i="76"/>
  <c r="AG111" i="76"/>
  <c r="Y111" i="76"/>
  <c r="X111" i="76"/>
  <c r="W111" i="76"/>
  <c r="U111" i="76"/>
  <c r="AQ110" i="76"/>
  <c r="AL110" i="76"/>
  <c r="AK110" i="76"/>
  <c r="AI110" i="76"/>
  <c r="AG110" i="76"/>
  <c r="Y110" i="76"/>
  <c r="X110" i="76"/>
  <c r="W110" i="76"/>
  <c r="U110" i="76"/>
  <c r="AQ109" i="76"/>
  <c r="AL109" i="76"/>
  <c r="AK109" i="76"/>
  <c r="AI109" i="76"/>
  <c r="AG109" i="76"/>
  <c r="Y109" i="76"/>
  <c r="X109" i="76"/>
  <c r="W109" i="76"/>
  <c r="U109" i="76"/>
  <c r="AQ108" i="76"/>
  <c r="AL108" i="76"/>
  <c r="AK108" i="76"/>
  <c r="AI108" i="76"/>
  <c r="AG108" i="76"/>
  <c r="Y108" i="76"/>
  <c r="X108" i="76"/>
  <c r="W108" i="76"/>
  <c r="U108" i="76"/>
  <c r="AQ107" i="76"/>
  <c r="AL107" i="76"/>
  <c r="AK107" i="76"/>
  <c r="AI107" i="76"/>
  <c r="AG107" i="76"/>
  <c r="Y107" i="76"/>
  <c r="X107" i="76"/>
  <c r="W107" i="76"/>
  <c r="U107" i="76"/>
  <c r="AQ106" i="76"/>
  <c r="AL106" i="76"/>
  <c r="AK106" i="76"/>
  <c r="AI106" i="76"/>
  <c r="AG106" i="76"/>
  <c r="Y106" i="76"/>
  <c r="X106" i="76"/>
  <c r="W106" i="76"/>
  <c r="U106" i="76"/>
  <c r="AQ105" i="76"/>
  <c r="AP105" i="76"/>
  <c r="AO105" i="76"/>
  <c r="AL105" i="76"/>
  <c r="W105" i="76"/>
  <c r="W104" i="76"/>
  <c r="AQ102" i="76"/>
  <c r="AL102" i="76"/>
  <c r="AK102" i="76"/>
  <c r="AI102" i="76"/>
  <c r="AG102" i="76"/>
  <c r="Y102" i="76"/>
  <c r="X102" i="76"/>
  <c r="W102" i="76"/>
  <c r="U102" i="76"/>
  <c r="AQ101" i="76"/>
  <c r="AL101" i="76"/>
  <c r="AK101" i="76"/>
  <c r="AI101" i="76"/>
  <c r="AG101" i="76"/>
  <c r="Y101" i="76"/>
  <c r="X101" i="76"/>
  <c r="W101" i="76"/>
  <c r="U101" i="76"/>
  <c r="AQ100" i="76"/>
  <c r="AL100" i="76"/>
  <c r="AK100" i="76"/>
  <c r="AI100" i="76"/>
  <c r="AG100" i="76"/>
  <c r="Y100" i="76"/>
  <c r="X100" i="76"/>
  <c r="W100" i="76"/>
  <c r="U100" i="76"/>
  <c r="AQ99" i="76"/>
  <c r="AL99" i="76"/>
  <c r="AK99" i="76"/>
  <c r="AI99" i="76"/>
  <c r="AG99" i="76"/>
  <c r="Y99" i="76"/>
  <c r="X99" i="76"/>
  <c r="W99" i="76"/>
  <c r="U99" i="76"/>
  <c r="AQ98" i="76"/>
  <c r="AL98" i="76"/>
  <c r="AK98" i="76"/>
  <c r="AI98" i="76"/>
  <c r="AG98" i="76"/>
  <c r="Y98" i="76"/>
  <c r="X98" i="76"/>
  <c r="W98" i="76"/>
  <c r="U98" i="76"/>
  <c r="AQ97" i="76"/>
  <c r="AP97" i="76"/>
  <c r="AL97" i="76"/>
  <c r="W97" i="76"/>
  <c r="AQ96" i="76"/>
  <c r="AL96" i="76"/>
  <c r="AK96" i="76"/>
  <c r="AI96" i="76"/>
  <c r="AG96" i="76"/>
  <c r="Y96" i="76"/>
  <c r="X96" i="76"/>
  <c r="W96" i="76"/>
  <c r="U96" i="76"/>
  <c r="AQ95" i="76"/>
  <c r="AL95" i="76"/>
  <c r="AK95" i="76"/>
  <c r="AI95" i="76"/>
  <c r="AG95" i="76"/>
  <c r="Y95" i="76"/>
  <c r="X95" i="76"/>
  <c r="W95" i="76"/>
  <c r="U95" i="76"/>
  <c r="AQ94" i="76"/>
  <c r="AL94" i="76"/>
  <c r="AK94" i="76"/>
  <c r="AI94" i="76"/>
  <c r="AG94" i="76"/>
  <c r="Y94" i="76"/>
  <c r="X94" i="76"/>
  <c r="W94" i="76"/>
  <c r="U94" i="76"/>
  <c r="AQ93" i="76"/>
  <c r="AL93" i="76"/>
  <c r="AK93" i="76"/>
  <c r="AI93" i="76"/>
  <c r="AG93" i="76"/>
  <c r="Y93" i="76"/>
  <c r="X93" i="76"/>
  <c r="W93" i="76"/>
  <c r="U93" i="76"/>
  <c r="AQ92" i="76"/>
  <c r="AL92" i="76"/>
  <c r="AK92" i="76"/>
  <c r="AI92" i="76"/>
  <c r="AG92" i="76"/>
  <c r="Y92" i="76"/>
  <c r="X92" i="76"/>
  <c r="W92" i="76"/>
  <c r="U92" i="76"/>
  <c r="AQ91" i="76"/>
  <c r="AP91" i="76"/>
  <c r="AL91" i="76"/>
  <c r="W91" i="76"/>
  <c r="AQ90" i="76"/>
  <c r="AL90" i="76"/>
  <c r="AK90" i="76"/>
  <c r="AI90" i="76"/>
  <c r="AG90" i="76"/>
  <c r="Y90" i="76"/>
  <c r="X90" i="76"/>
  <c r="W90" i="76"/>
  <c r="U90" i="76"/>
  <c r="AQ89" i="76"/>
  <c r="AL89" i="76"/>
  <c r="AK89" i="76"/>
  <c r="AI89" i="76"/>
  <c r="AG89" i="76"/>
  <c r="Y89" i="76"/>
  <c r="X89" i="76"/>
  <c r="W89" i="76"/>
  <c r="U89" i="76"/>
  <c r="AQ88" i="76"/>
  <c r="AL88" i="76"/>
  <c r="AK88" i="76"/>
  <c r="AI88" i="76"/>
  <c r="AG88" i="76"/>
  <c r="Y88" i="76"/>
  <c r="X88" i="76"/>
  <c r="W88" i="76"/>
  <c r="U88" i="76"/>
  <c r="AQ87" i="76"/>
  <c r="AL87" i="76"/>
  <c r="AK87" i="76"/>
  <c r="AI87" i="76"/>
  <c r="AG87" i="76"/>
  <c r="Y87" i="76"/>
  <c r="X87" i="76"/>
  <c r="W87" i="76"/>
  <c r="U87" i="76"/>
  <c r="AQ86" i="76"/>
  <c r="AL86" i="76"/>
  <c r="AK86" i="76"/>
  <c r="AI86" i="76"/>
  <c r="AG86" i="76"/>
  <c r="Y86" i="76"/>
  <c r="X86" i="76"/>
  <c r="W86" i="76"/>
  <c r="U86" i="76"/>
  <c r="AQ85" i="76"/>
  <c r="AP85" i="76"/>
  <c r="AL85" i="76"/>
  <c r="W85" i="76"/>
  <c r="AQ84" i="76"/>
  <c r="AL84" i="76"/>
  <c r="AK84" i="76"/>
  <c r="AI84" i="76"/>
  <c r="AG84" i="76"/>
  <c r="Y84" i="76"/>
  <c r="X84" i="76"/>
  <c r="W84" i="76"/>
  <c r="U84" i="76"/>
  <c r="AQ83" i="76"/>
  <c r="AL83" i="76"/>
  <c r="AK83" i="76"/>
  <c r="AI83" i="76"/>
  <c r="AG83" i="76"/>
  <c r="Y83" i="76"/>
  <c r="X83" i="76"/>
  <c r="W83" i="76"/>
  <c r="U83" i="76"/>
  <c r="AQ82" i="76"/>
  <c r="AL82" i="76"/>
  <c r="AK82" i="76"/>
  <c r="AI82" i="76"/>
  <c r="AG82" i="76"/>
  <c r="Y82" i="76"/>
  <c r="X82" i="76"/>
  <c r="W82" i="76"/>
  <c r="U82" i="76"/>
  <c r="AQ81" i="76"/>
  <c r="AL81" i="76"/>
  <c r="AK81" i="76"/>
  <c r="AI81" i="76"/>
  <c r="AG81" i="76"/>
  <c r="Y81" i="76"/>
  <c r="X81" i="76"/>
  <c r="W81" i="76"/>
  <c r="U81" i="76"/>
  <c r="AQ80" i="76"/>
  <c r="AP80" i="76"/>
  <c r="AL80" i="76"/>
  <c r="W80" i="76"/>
  <c r="AQ79" i="76"/>
  <c r="AL79" i="76"/>
  <c r="AK79" i="76"/>
  <c r="AI79" i="76"/>
  <c r="AG79" i="76"/>
  <c r="Y79" i="76"/>
  <c r="X79" i="76"/>
  <c r="W79" i="76"/>
  <c r="U79" i="76"/>
  <c r="AQ78" i="76"/>
  <c r="AL78" i="76"/>
  <c r="AK78" i="76"/>
  <c r="AI78" i="76"/>
  <c r="AG78" i="76"/>
  <c r="Y78" i="76"/>
  <c r="X78" i="76"/>
  <c r="W78" i="76"/>
  <c r="U78" i="76"/>
  <c r="AQ77" i="76"/>
  <c r="AL77" i="76"/>
  <c r="AK77" i="76"/>
  <c r="AI77" i="76"/>
  <c r="AG77" i="76"/>
  <c r="Y77" i="76"/>
  <c r="X77" i="76"/>
  <c r="W77" i="76"/>
  <c r="U77" i="76"/>
  <c r="AQ76" i="76"/>
  <c r="AL76" i="76"/>
  <c r="AK76" i="76"/>
  <c r="AI76" i="76"/>
  <c r="AG76" i="76"/>
  <c r="Y76" i="76"/>
  <c r="X76" i="76"/>
  <c r="W76" i="76"/>
  <c r="U76" i="76"/>
  <c r="AQ75" i="76"/>
  <c r="AL75" i="76"/>
  <c r="AK75" i="76"/>
  <c r="AI75" i="76"/>
  <c r="AG75" i="76"/>
  <c r="Y75" i="76"/>
  <c r="X75" i="76"/>
  <c r="W75" i="76"/>
  <c r="U75" i="76"/>
  <c r="AQ74" i="76"/>
  <c r="AP74" i="76"/>
  <c r="AL74" i="76"/>
  <c r="W74" i="76"/>
  <c r="AQ73" i="76"/>
  <c r="AL73" i="76"/>
  <c r="AK73" i="76"/>
  <c r="AI73" i="76"/>
  <c r="AG73" i="76"/>
  <c r="Y73" i="76"/>
  <c r="X73" i="76"/>
  <c r="W73" i="76"/>
  <c r="U73" i="76"/>
  <c r="AQ72" i="76"/>
  <c r="AL72" i="76"/>
  <c r="AK72" i="76"/>
  <c r="AI72" i="76"/>
  <c r="AG72" i="76"/>
  <c r="Y72" i="76"/>
  <c r="X72" i="76"/>
  <c r="W72" i="76"/>
  <c r="U72" i="76"/>
  <c r="AQ71" i="76"/>
  <c r="AL71" i="76"/>
  <c r="AK71" i="76"/>
  <c r="AI71" i="76"/>
  <c r="AG71" i="76"/>
  <c r="Y71" i="76"/>
  <c r="X71" i="76"/>
  <c r="W71" i="76"/>
  <c r="U71" i="76"/>
  <c r="AQ70" i="76"/>
  <c r="AL70" i="76"/>
  <c r="AK70" i="76"/>
  <c r="AI70" i="76"/>
  <c r="AG70" i="76"/>
  <c r="Y70" i="76"/>
  <c r="X70" i="76"/>
  <c r="W70" i="76"/>
  <c r="U70" i="76"/>
  <c r="AQ69" i="76"/>
  <c r="AL69" i="76"/>
  <c r="AK69" i="76"/>
  <c r="AI69" i="76"/>
  <c r="AG69" i="76"/>
  <c r="Y69" i="76"/>
  <c r="X69" i="76"/>
  <c r="W69" i="76"/>
  <c r="U69" i="76"/>
  <c r="AQ68" i="76"/>
  <c r="AP68" i="76"/>
  <c r="AL68" i="76"/>
  <c r="W68" i="76"/>
  <c r="AQ67" i="76"/>
  <c r="AL67" i="76"/>
  <c r="AK67" i="76"/>
  <c r="AI67" i="76"/>
  <c r="AG67" i="76"/>
  <c r="Y67" i="76"/>
  <c r="X67" i="76"/>
  <c r="W67" i="76"/>
  <c r="U67" i="76"/>
  <c r="AQ66" i="76"/>
  <c r="AL66" i="76"/>
  <c r="AK66" i="76"/>
  <c r="AI66" i="76"/>
  <c r="AG66" i="76"/>
  <c r="Y66" i="76"/>
  <c r="X66" i="76"/>
  <c r="W66" i="76"/>
  <c r="U66" i="76"/>
  <c r="AQ65" i="76"/>
  <c r="AL65" i="76"/>
  <c r="AK65" i="76"/>
  <c r="AI65" i="76"/>
  <c r="AG65" i="76"/>
  <c r="Y65" i="76"/>
  <c r="X65" i="76"/>
  <c r="W65" i="76"/>
  <c r="U65" i="76"/>
  <c r="AQ64" i="76"/>
  <c r="AL64" i="76"/>
  <c r="AK64" i="76"/>
  <c r="AI64" i="76"/>
  <c r="AG64" i="76"/>
  <c r="Y64" i="76"/>
  <c r="X64" i="76"/>
  <c r="W64" i="76"/>
  <c r="U64" i="76"/>
  <c r="AQ63" i="76"/>
  <c r="AL63" i="76"/>
  <c r="AK63" i="76"/>
  <c r="AI63" i="76"/>
  <c r="AG63" i="76"/>
  <c r="Y63" i="76"/>
  <c r="X63" i="76"/>
  <c r="W63" i="76"/>
  <c r="U63" i="76"/>
  <c r="AQ62" i="76"/>
  <c r="AP62" i="76"/>
  <c r="AL62" i="76"/>
  <c r="W62" i="76"/>
  <c r="AQ61" i="76"/>
  <c r="AL61" i="76"/>
  <c r="AK61" i="76"/>
  <c r="AI61" i="76"/>
  <c r="AG61" i="76"/>
  <c r="Y61" i="76"/>
  <c r="X61" i="76"/>
  <c r="W61" i="76"/>
  <c r="U61" i="76"/>
  <c r="AQ60" i="76"/>
  <c r="AL60" i="76"/>
  <c r="AK60" i="76"/>
  <c r="AI60" i="76"/>
  <c r="AG60" i="76"/>
  <c r="Y60" i="76"/>
  <c r="X60" i="76"/>
  <c r="W60" i="76"/>
  <c r="U60" i="76"/>
  <c r="AQ59" i="76"/>
  <c r="AL59" i="76"/>
  <c r="AK59" i="76"/>
  <c r="AI59" i="76"/>
  <c r="AG59" i="76"/>
  <c r="Y59" i="76"/>
  <c r="X59" i="76"/>
  <c r="W59" i="76"/>
  <c r="U59" i="76"/>
  <c r="AQ58" i="76"/>
  <c r="AL58" i="76"/>
  <c r="AK58" i="76"/>
  <c r="AI58" i="76"/>
  <c r="AG58" i="76"/>
  <c r="Y58" i="76"/>
  <c r="X58" i="76"/>
  <c r="W58" i="76"/>
  <c r="U58" i="76"/>
  <c r="AQ57" i="76"/>
  <c r="AL57" i="76"/>
  <c r="AK57" i="76"/>
  <c r="AI57" i="76"/>
  <c r="AG57" i="76"/>
  <c r="Y57" i="76"/>
  <c r="X57" i="76"/>
  <c r="W57" i="76"/>
  <c r="U57" i="76"/>
  <c r="AQ56" i="76"/>
  <c r="AP56" i="76"/>
  <c r="AL56" i="76"/>
  <c r="W56" i="76"/>
  <c r="AQ55" i="76"/>
  <c r="AL55" i="76"/>
  <c r="AK55" i="76"/>
  <c r="AI55" i="76"/>
  <c r="AG55" i="76"/>
  <c r="Y55" i="76"/>
  <c r="X55" i="76"/>
  <c r="W55" i="76"/>
  <c r="U55" i="76"/>
  <c r="AQ54" i="76"/>
  <c r="AL54" i="76"/>
  <c r="AK54" i="76"/>
  <c r="AI54" i="76"/>
  <c r="AG54" i="76"/>
  <c r="Y54" i="76"/>
  <c r="X54" i="76"/>
  <c r="W54" i="76"/>
  <c r="U54" i="76"/>
  <c r="AQ53" i="76"/>
  <c r="AL53" i="76"/>
  <c r="AK53" i="76"/>
  <c r="AI53" i="76"/>
  <c r="AG53" i="76"/>
  <c r="Y53" i="76"/>
  <c r="X53" i="76"/>
  <c r="W53" i="76"/>
  <c r="U53" i="76"/>
  <c r="AQ52" i="76"/>
  <c r="AL52" i="76"/>
  <c r="AK52" i="76"/>
  <c r="AI52" i="76"/>
  <c r="AG52" i="76"/>
  <c r="Y52" i="76"/>
  <c r="X52" i="76"/>
  <c r="W52" i="76"/>
  <c r="U52" i="76"/>
  <c r="AY51" i="76"/>
  <c r="AV51" i="76"/>
  <c r="AU51" i="76"/>
  <c r="AQ51" i="76"/>
  <c r="AL51" i="76"/>
  <c r="AK51" i="76"/>
  <c r="AI51" i="76"/>
  <c r="AG51" i="76"/>
  <c r="Y51" i="76"/>
  <c r="X51" i="76"/>
  <c r="W51" i="76"/>
  <c r="U51" i="76"/>
  <c r="D51" i="76"/>
  <c r="C51" i="76"/>
  <c r="AY50" i="76"/>
  <c r="AV50" i="76"/>
  <c r="AU50" i="76"/>
  <c r="AQ50" i="76"/>
  <c r="AP50" i="76"/>
  <c r="AL50" i="76"/>
  <c r="X50" i="76"/>
  <c r="W50" i="76"/>
  <c r="D50" i="76"/>
  <c r="C50" i="76"/>
  <c r="AY49" i="76"/>
  <c r="AV49" i="76"/>
  <c r="AU49" i="76"/>
  <c r="AQ49" i="76"/>
  <c r="AL49" i="76"/>
  <c r="AK49" i="76"/>
  <c r="AI49" i="76"/>
  <c r="AG49" i="76"/>
  <c r="Y49" i="76"/>
  <c r="X49" i="76"/>
  <c r="W49" i="76"/>
  <c r="U49" i="76"/>
  <c r="D49" i="76"/>
  <c r="C49" i="76"/>
  <c r="AY48" i="76"/>
  <c r="AV48" i="76"/>
  <c r="AU48" i="76"/>
  <c r="AQ48" i="76"/>
  <c r="AL48" i="76"/>
  <c r="AK48" i="76"/>
  <c r="AI48" i="76"/>
  <c r="AG48" i="76"/>
  <c r="Y48" i="76"/>
  <c r="X48" i="76"/>
  <c r="W48" i="76"/>
  <c r="U48" i="76"/>
  <c r="D48" i="76"/>
  <c r="C48" i="76"/>
  <c r="AY47" i="76"/>
  <c r="AV47" i="76"/>
  <c r="AU47" i="76"/>
  <c r="AQ47" i="76"/>
  <c r="AL47" i="76"/>
  <c r="AK47" i="76"/>
  <c r="AI47" i="76"/>
  <c r="AG47" i="76"/>
  <c r="Y47" i="76"/>
  <c r="X47" i="76"/>
  <c r="W47" i="76"/>
  <c r="U47" i="76"/>
  <c r="D47" i="76"/>
  <c r="C47" i="76"/>
  <c r="AY46" i="76"/>
  <c r="AV46" i="76"/>
  <c r="AU46" i="76"/>
  <c r="AQ46" i="76"/>
  <c r="AL46" i="76"/>
  <c r="AK46" i="76"/>
  <c r="AI46" i="76"/>
  <c r="AG46" i="76"/>
  <c r="Y46" i="76"/>
  <c r="X46" i="76"/>
  <c r="W46" i="76"/>
  <c r="U46" i="76"/>
  <c r="D46" i="76"/>
  <c r="C46" i="76"/>
  <c r="AY45" i="76"/>
  <c r="AV45" i="76"/>
  <c r="AU45" i="76"/>
  <c r="AQ45" i="76"/>
  <c r="AL45" i="76"/>
  <c r="AK45" i="76"/>
  <c r="AI45" i="76"/>
  <c r="AG45" i="76"/>
  <c r="Y45" i="76"/>
  <c r="X45" i="76"/>
  <c r="W45" i="76"/>
  <c r="U45" i="76"/>
  <c r="D45" i="76"/>
  <c r="C45" i="76"/>
  <c r="AY44" i="76"/>
  <c r="AV44" i="76"/>
  <c r="AU44" i="76"/>
  <c r="AQ44" i="76"/>
  <c r="AP44" i="76"/>
  <c r="AL44" i="76"/>
  <c r="W44" i="76"/>
  <c r="D44" i="76"/>
  <c r="C44" i="76"/>
  <c r="AY43" i="76"/>
  <c r="AV43" i="76"/>
  <c r="AU43" i="76"/>
  <c r="W43" i="76"/>
  <c r="D43" i="76"/>
  <c r="C43" i="76"/>
  <c r="AY42" i="76"/>
  <c r="AV42" i="76"/>
  <c r="AU42" i="76"/>
  <c r="D42" i="76"/>
  <c r="C42" i="76"/>
  <c r="AY41" i="76"/>
  <c r="AV41" i="76"/>
  <c r="AU41" i="76"/>
  <c r="AQ41" i="76"/>
  <c r="AL41" i="76"/>
  <c r="AK41" i="76"/>
  <c r="AI41" i="76"/>
  <c r="AG41" i="76"/>
  <c r="Y41" i="76"/>
  <c r="X41" i="76"/>
  <c r="W41" i="76"/>
  <c r="U41" i="76"/>
  <c r="D41" i="76"/>
  <c r="C41" i="76"/>
  <c r="AY40" i="76"/>
  <c r="AV40" i="76"/>
  <c r="AU40" i="76"/>
  <c r="AQ40" i="76"/>
  <c r="AL40" i="76"/>
  <c r="AK40" i="76"/>
  <c r="AI40" i="76"/>
  <c r="AG40" i="76"/>
  <c r="Y40" i="76"/>
  <c r="X40" i="76"/>
  <c r="W40" i="76"/>
  <c r="U40" i="76"/>
  <c r="D40" i="76"/>
  <c r="C40" i="76"/>
  <c r="AY39" i="76"/>
  <c r="AV39" i="76"/>
  <c r="AU39" i="76"/>
  <c r="AQ39" i="76"/>
  <c r="AL39" i="76"/>
  <c r="AK39" i="76"/>
  <c r="AI39" i="76"/>
  <c r="AG39" i="76"/>
  <c r="Y39" i="76"/>
  <c r="X39" i="76"/>
  <c r="W39" i="76"/>
  <c r="U39" i="76"/>
  <c r="D39" i="76"/>
  <c r="C39" i="76"/>
  <c r="AY38" i="76"/>
  <c r="AV38" i="76"/>
  <c r="AU38" i="76"/>
  <c r="AQ38" i="76"/>
  <c r="AP38" i="76"/>
  <c r="AL38" i="76"/>
  <c r="W38" i="76"/>
  <c r="D38" i="76"/>
  <c r="C38" i="76"/>
  <c r="AY37" i="76"/>
  <c r="AV37" i="76"/>
  <c r="AU37" i="76"/>
  <c r="AQ37" i="76"/>
  <c r="AL37" i="76"/>
  <c r="AK37" i="76"/>
  <c r="AI37" i="76"/>
  <c r="AG37" i="76"/>
  <c r="Y37" i="76"/>
  <c r="X37" i="76"/>
  <c r="W37" i="76"/>
  <c r="U37" i="76"/>
  <c r="D37" i="76"/>
  <c r="C37" i="76"/>
  <c r="AY36" i="76"/>
  <c r="AV36" i="76"/>
  <c r="AU36" i="76"/>
  <c r="AQ36" i="76"/>
  <c r="AL36" i="76"/>
  <c r="AK36" i="76"/>
  <c r="AI36" i="76"/>
  <c r="AG36" i="76"/>
  <c r="Y36" i="76"/>
  <c r="X36" i="76"/>
  <c r="W36" i="76"/>
  <c r="U36" i="76"/>
  <c r="D36" i="76"/>
  <c r="C36" i="76"/>
  <c r="AY35" i="76"/>
  <c r="AV35" i="76"/>
  <c r="AU35" i="76"/>
  <c r="AQ35" i="76"/>
  <c r="AL35" i="76"/>
  <c r="AK35" i="76"/>
  <c r="AI35" i="76"/>
  <c r="AG35" i="76"/>
  <c r="Y35" i="76"/>
  <c r="X35" i="76"/>
  <c r="W35" i="76"/>
  <c r="U35" i="76"/>
  <c r="D35" i="76"/>
  <c r="C35" i="76"/>
  <c r="AY34" i="76"/>
  <c r="AV34" i="76"/>
  <c r="AU34" i="76"/>
  <c r="AQ34" i="76"/>
  <c r="AP34" i="76"/>
  <c r="AL34" i="76"/>
  <c r="W34" i="76"/>
  <c r="D34" i="76"/>
  <c r="C34" i="76"/>
  <c r="AY33" i="76"/>
  <c r="AV33" i="76"/>
  <c r="AU33" i="76"/>
  <c r="AQ33" i="76"/>
  <c r="AL33" i="76"/>
  <c r="AK33" i="76"/>
  <c r="AI33" i="76"/>
  <c r="AG33" i="76"/>
  <c r="Y33" i="76"/>
  <c r="X33" i="76"/>
  <c r="W33" i="76"/>
  <c r="U33" i="76"/>
  <c r="D33" i="76"/>
  <c r="C33" i="76"/>
  <c r="AY32" i="76"/>
  <c r="AV32" i="76"/>
  <c r="AU32" i="76"/>
  <c r="AQ32" i="76"/>
  <c r="AL32" i="76"/>
  <c r="AK32" i="76"/>
  <c r="AI32" i="76"/>
  <c r="AG32" i="76"/>
  <c r="Y32" i="76"/>
  <c r="X32" i="76"/>
  <c r="W32" i="76"/>
  <c r="U32" i="76"/>
  <c r="D32" i="76"/>
  <c r="C32" i="76"/>
  <c r="AY31" i="76"/>
  <c r="AV31" i="76"/>
  <c r="AU31" i="76"/>
  <c r="AQ31" i="76"/>
  <c r="AL31" i="76"/>
  <c r="AK31" i="76"/>
  <c r="AI31" i="76"/>
  <c r="AG31" i="76"/>
  <c r="Y31" i="76"/>
  <c r="X31" i="76"/>
  <c r="W31" i="76"/>
  <c r="U31" i="76"/>
  <c r="D31" i="76"/>
  <c r="C31" i="76"/>
  <c r="AY30" i="76"/>
  <c r="AV30" i="76"/>
  <c r="AU30" i="76"/>
  <c r="AQ30" i="76"/>
  <c r="AL30" i="76"/>
  <c r="AK30" i="76"/>
  <c r="AI30" i="76"/>
  <c r="AG30" i="76"/>
  <c r="Y30" i="76"/>
  <c r="X30" i="76"/>
  <c r="W30" i="76"/>
  <c r="U30" i="76"/>
  <c r="D30" i="76"/>
  <c r="C30" i="76"/>
  <c r="AY29" i="76"/>
  <c r="AV29" i="76"/>
  <c r="AU29" i="76"/>
  <c r="AQ29" i="76"/>
  <c r="AL29" i="76"/>
  <c r="AK29" i="76"/>
  <c r="AI29" i="76"/>
  <c r="AG29" i="76"/>
  <c r="Y29" i="76"/>
  <c r="X29" i="76"/>
  <c r="W29" i="76"/>
  <c r="U29" i="76"/>
  <c r="D29" i="76"/>
  <c r="C29" i="76"/>
  <c r="AY28" i="76"/>
  <c r="AV28" i="76"/>
  <c r="AU28" i="76"/>
  <c r="AQ28" i="76"/>
  <c r="AL28" i="76"/>
  <c r="AK28" i="76"/>
  <c r="AI28" i="76"/>
  <c r="AG28" i="76"/>
  <c r="Y28" i="76"/>
  <c r="X28" i="76"/>
  <c r="W28" i="76"/>
  <c r="U28" i="76"/>
  <c r="D28" i="76"/>
  <c r="C28" i="76"/>
  <c r="AY27" i="76"/>
  <c r="AV27" i="76"/>
  <c r="AU27" i="76"/>
  <c r="AQ27" i="76"/>
  <c r="AP27" i="76"/>
  <c r="AL27" i="76"/>
  <c r="W27" i="76"/>
  <c r="D27" i="76"/>
  <c r="C27" i="76"/>
  <c r="AY26" i="76"/>
  <c r="AV26" i="76"/>
  <c r="AU26" i="76"/>
  <c r="AQ26" i="76"/>
  <c r="AL26" i="76"/>
  <c r="AK26" i="76"/>
  <c r="AI26" i="76"/>
  <c r="AG26" i="76"/>
  <c r="Y26" i="76"/>
  <c r="X26" i="76"/>
  <c r="W26" i="76"/>
  <c r="D26" i="76"/>
  <c r="C26" i="76"/>
  <c r="AY25" i="76"/>
  <c r="AV25" i="76"/>
  <c r="AU25" i="76"/>
  <c r="AQ25" i="76"/>
  <c r="AL25" i="76"/>
  <c r="AK25" i="76"/>
  <c r="AI25" i="76"/>
  <c r="AG25" i="76"/>
  <c r="Y25" i="76"/>
  <c r="X25" i="76"/>
  <c r="W25" i="76"/>
  <c r="D25" i="76"/>
  <c r="C25" i="76"/>
  <c r="AY24" i="76"/>
  <c r="AV24" i="76"/>
  <c r="AU24" i="76"/>
  <c r="AQ24" i="76"/>
  <c r="AL24" i="76"/>
  <c r="AK24" i="76"/>
  <c r="AI24" i="76"/>
  <c r="AG24" i="76"/>
  <c r="Y24" i="76"/>
  <c r="X24" i="76"/>
  <c r="W24" i="76"/>
  <c r="D24" i="76"/>
  <c r="C24" i="76"/>
  <c r="AY23" i="76"/>
  <c r="AV23" i="76"/>
  <c r="AU23" i="76"/>
  <c r="AQ23" i="76"/>
  <c r="AL23" i="76"/>
  <c r="AK23" i="76"/>
  <c r="AI23" i="76"/>
  <c r="AG23" i="76"/>
  <c r="Y23" i="76"/>
  <c r="X23" i="76"/>
  <c r="W23" i="76"/>
  <c r="D23" i="76"/>
  <c r="C23" i="76"/>
  <c r="AY22" i="76"/>
  <c r="AV22" i="76"/>
  <c r="AU22" i="76"/>
  <c r="AQ22" i="76"/>
  <c r="AL22" i="76"/>
  <c r="AK22" i="76"/>
  <c r="AI22" i="76"/>
  <c r="AG22" i="76"/>
  <c r="Y22" i="76"/>
  <c r="X22" i="76"/>
  <c r="W22" i="76"/>
  <c r="D22" i="76"/>
  <c r="C22" i="76"/>
  <c r="AY21" i="76"/>
  <c r="AV21" i="76"/>
  <c r="AU21" i="76"/>
  <c r="AQ21" i="76"/>
  <c r="AL21" i="76"/>
  <c r="AK21" i="76"/>
  <c r="AI21" i="76"/>
  <c r="AG21" i="76"/>
  <c r="Y21" i="76"/>
  <c r="X21" i="76"/>
  <c r="W21" i="76"/>
  <c r="D21" i="76"/>
  <c r="C21" i="76"/>
  <c r="AY20" i="76"/>
  <c r="AV20" i="76"/>
  <c r="AU20" i="76"/>
  <c r="AQ20" i="76"/>
  <c r="AL20" i="76"/>
  <c r="AK20" i="76"/>
  <c r="AI20" i="76"/>
  <c r="AG20" i="76"/>
  <c r="Y20" i="76"/>
  <c r="X20" i="76"/>
  <c r="W20" i="76"/>
  <c r="D20" i="76"/>
  <c r="C20" i="76"/>
  <c r="AY19" i="76"/>
  <c r="AV19" i="76"/>
  <c r="AU19" i="76"/>
  <c r="AQ19" i="76"/>
  <c r="AP19" i="76"/>
  <c r="AO19" i="76"/>
  <c r="AL19" i="76"/>
  <c r="W19" i="76"/>
  <c r="D19" i="76"/>
  <c r="C19" i="76"/>
  <c r="AY18" i="76"/>
  <c r="AV18" i="76"/>
  <c r="AU18" i="76"/>
  <c r="AQ18" i="76"/>
  <c r="AL18" i="76"/>
  <c r="AK18" i="76"/>
  <c r="AI18" i="76"/>
  <c r="AG18" i="76"/>
  <c r="Y18" i="76"/>
  <c r="X18" i="76"/>
  <c r="W18" i="76"/>
  <c r="U18" i="76"/>
  <c r="D18" i="76"/>
  <c r="C18" i="76"/>
  <c r="AY17" i="76"/>
  <c r="AV17" i="76"/>
  <c r="AU17" i="76"/>
  <c r="AQ17" i="76"/>
  <c r="AL17" i="76"/>
  <c r="AK17" i="76"/>
  <c r="AI17" i="76"/>
  <c r="AG17" i="76"/>
  <c r="Y17" i="76"/>
  <c r="X17" i="76"/>
  <c r="W17" i="76"/>
  <c r="U17" i="76"/>
  <c r="D17" i="76"/>
  <c r="C17" i="76"/>
  <c r="AY16" i="76"/>
  <c r="AV16" i="76"/>
  <c r="AU16" i="76"/>
  <c r="AQ16" i="76"/>
  <c r="AL16" i="76"/>
  <c r="AK16" i="76"/>
  <c r="AI16" i="76"/>
  <c r="AG16" i="76"/>
  <c r="Y16" i="76"/>
  <c r="X16" i="76"/>
  <c r="W16" i="76"/>
  <c r="U16" i="76"/>
  <c r="D16" i="76"/>
  <c r="C16" i="76"/>
  <c r="AY15" i="76"/>
  <c r="AV15" i="76"/>
  <c r="AU15" i="76"/>
  <c r="AQ15" i="76"/>
  <c r="AL15" i="76"/>
  <c r="AK15" i="76"/>
  <c r="AI15" i="76"/>
  <c r="AG15" i="76"/>
  <c r="Y15" i="76"/>
  <c r="X15" i="76"/>
  <c r="W15" i="76"/>
  <c r="U15" i="76"/>
  <c r="D15" i="76"/>
  <c r="C15" i="76"/>
  <c r="AY14" i="76"/>
  <c r="AV14" i="76"/>
  <c r="AU14" i="76"/>
  <c r="AQ14" i="76"/>
  <c r="AL14" i="76"/>
  <c r="AK14" i="76"/>
  <c r="AI14" i="76"/>
  <c r="AG14" i="76"/>
  <c r="Y14" i="76"/>
  <c r="X14" i="76"/>
  <c r="W14" i="76"/>
  <c r="U14" i="76"/>
  <c r="D14" i="76"/>
  <c r="C14" i="76"/>
  <c r="AQ13" i="76"/>
  <c r="AP13" i="76"/>
  <c r="AL13" i="76"/>
  <c r="W13" i="76"/>
  <c r="D13" i="76"/>
  <c r="W12" i="76"/>
  <c r="BO11" i="76"/>
  <c r="BN11" i="76"/>
  <c r="BM11" i="76"/>
  <c r="BL11" i="76"/>
  <c r="BK11" i="76"/>
  <c r="BJ11" i="76"/>
  <c r="BH11" i="76"/>
  <c r="BG11" i="76"/>
  <c r="BF11" i="76"/>
  <c r="BB11" i="76"/>
  <c r="BA11" i="76"/>
  <c r="AZ11" i="76"/>
  <c r="AL11" i="76"/>
  <c r="Y11" i="76"/>
  <c r="O11" i="76"/>
  <c r="H11" i="76"/>
  <c r="F11" i="76"/>
  <c r="F9" i="76"/>
  <c r="C8" i="76"/>
  <c r="B8" i="76"/>
  <c r="C7" i="76"/>
  <c r="B7" i="76"/>
  <c r="C6" i="76"/>
  <c r="B6" i="76"/>
  <c r="C5" i="76"/>
  <c r="B5" i="76"/>
  <c r="I4" i="76"/>
  <c r="F4" i="76"/>
  <c r="C4" i="76"/>
  <c r="B4" i="76"/>
  <c r="D3" i="76"/>
  <c r="L2" i="76"/>
  <c r="K2" i="76"/>
  <c r="J2" i="76"/>
  <c r="H2" i="76"/>
  <c r="D2" i="76"/>
  <c r="L1" i="76"/>
  <c r="K1" i="76"/>
  <c r="J1" i="76"/>
  <c r="C32" i="14"/>
  <c r="Q26" i="14"/>
  <c r="P26" i="14"/>
  <c r="O26" i="14"/>
  <c r="N26" i="14"/>
  <c r="L26" i="14"/>
  <c r="FF25" i="14"/>
  <c r="FE25" i="14"/>
  <c r="FD25" i="14"/>
  <c r="FC25" i="14"/>
  <c r="FB25" i="14"/>
  <c r="FA25" i="14"/>
  <c r="EZ25" i="14"/>
  <c r="EY25" i="14"/>
  <c r="EX25" i="14"/>
  <c r="EW25" i="14"/>
  <c r="EV25" i="14"/>
  <c r="EU25" i="14"/>
  <c r="ET25" i="14"/>
  <c r="ES25" i="14"/>
  <c r="ER25" i="14"/>
  <c r="EQ25" i="14"/>
  <c r="EP25" i="14"/>
  <c r="EO25" i="14"/>
  <c r="EN25" i="14"/>
  <c r="EM25" i="14"/>
  <c r="EL25" i="14"/>
  <c r="EK25" i="14"/>
  <c r="EJ25" i="14"/>
  <c r="EI25" i="14"/>
  <c r="EH25" i="14"/>
  <c r="EG25" i="14"/>
  <c r="EF25" i="14"/>
  <c r="EE25" i="14"/>
  <c r="ED25" i="14"/>
  <c r="EC25" i="14"/>
  <c r="EB25" i="14"/>
  <c r="EA25" i="14"/>
  <c r="DZ25" i="14"/>
  <c r="DY25" i="14"/>
  <c r="DX25" i="14"/>
  <c r="DW25" i="14"/>
  <c r="DV25" i="14"/>
  <c r="DU25" i="14"/>
  <c r="DT25" i="14"/>
  <c r="DS25" i="14"/>
  <c r="DR25" i="14"/>
  <c r="DQ25" i="14"/>
  <c r="DP25" i="14"/>
  <c r="DO25" i="14"/>
  <c r="DN25" i="14"/>
  <c r="DM25" i="14"/>
  <c r="DL25" i="14"/>
  <c r="DK25" i="14"/>
  <c r="DJ25" i="14"/>
  <c r="DI25" i="14"/>
  <c r="DH25" i="14"/>
  <c r="DG25" i="14"/>
  <c r="DF25" i="14"/>
  <c r="DE25" i="14"/>
  <c r="DD25" i="14"/>
  <c r="DC25" i="14"/>
  <c r="DB25" i="14"/>
  <c r="DA25" i="14"/>
  <c r="CZ25" i="14"/>
  <c r="CY25" i="14"/>
  <c r="CX25" i="14"/>
  <c r="CW25" i="14"/>
  <c r="CV25" i="14"/>
  <c r="CU25" i="14"/>
  <c r="CT25" i="14"/>
  <c r="CS25" i="14"/>
  <c r="CR25" i="14"/>
  <c r="CQ25" i="14"/>
  <c r="CP25" i="14"/>
  <c r="CO25" i="14"/>
  <c r="CN25" i="14"/>
  <c r="CM25" i="14"/>
  <c r="CL25" i="14"/>
  <c r="CK25" i="14"/>
  <c r="CJ25" i="14"/>
  <c r="CI25" i="14"/>
  <c r="CH25" i="14"/>
  <c r="CG25" i="14"/>
  <c r="CF25" i="14"/>
  <c r="CE25" i="14"/>
  <c r="CD25" i="14"/>
  <c r="CC25" i="14"/>
  <c r="CB25" i="14"/>
  <c r="CA25" i="14"/>
  <c r="BZ25" i="14"/>
  <c r="BY25" i="14"/>
  <c r="BX25" i="14"/>
  <c r="BW25" i="14"/>
  <c r="BV25" i="14"/>
  <c r="BU25" i="14"/>
  <c r="BT25" i="14"/>
  <c r="BS25" i="14"/>
  <c r="BR25" i="14"/>
  <c r="BQ25" i="14"/>
  <c r="BP25" i="14"/>
  <c r="BO25" i="14"/>
  <c r="BN25" i="14"/>
  <c r="BM25" i="14"/>
  <c r="BL25" i="14"/>
  <c r="BK25" i="14"/>
  <c r="BJ25" i="14"/>
  <c r="BI25" i="14"/>
  <c r="BH25" i="14"/>
  <c r="BG25" i="14"/>
  <c r="BF25" i="14"/>
  <c r="BE25" i="14"/>
  <c r="BD25" i="14"/>
  <c r="BC25" i="14"/>
  <c r="BB25" i="14"/>
  <c r="BA25" i="14"/>
  <c r="AZ25" i="14"/>
  <c r="AY25" i="14"/>
  <c r="AX25" i="14"/>
  <c r="AW25" i="14"/>
  <c r="AV25" i="14"/>
  <c r="AU25" i="14"/>
  <c r="AT25" i="14"/>
  <c r="AS25" i="14"/>
  <c r="AR25" i="14"/>
  <c r="AQ25" i="14"/>
  <c r="AP25" i="14"/>
  <c r="AO25" i="14"/>
  <c r="AN25" i="14"/>
  <c r="AM25" i="14"/>
  <c r="AL25" i="14"/>
  <c r="AK25" i="14"/>
  <c r="AJ25" i="14"/>
  <c r="AI25" i="14"/>
  <c r="AH25" i="14"/>
  <c r="AG25" i="14"/>
  <c r="AF25" i="14"/>
  <c r="AE25" i="14"/>
  <c r="AD25" i="14"/>
  <c r="AC25" i="14"/>
  <c r="AB25" i="14"/>
  <c r="AA25" i="14"/>
  <c r="Z25" i="14"/>
  <c r="Y25" i="14"/>
  <c r="X25" i="14"/>
  <c r="W25" i="14"/>
  <c r="V25" i="14"/>
  <c r="U25" i="14"/>
  <c r="T25" i="14"/>
  <c r="S25" i="14"/>
  <c r="Q25" i="14"/>
  <c r="P25" i="14"/>
  <c r="O25" i="14"/>
  <c r="N25" i="14"/>
  <c r="L25" i="14"/>
  <c r="H25" i="14"/>
  <c r="D25" i="14"/>
  <c r="B25" i="14"/>
  <c r="L24" i="14"/>
  <c r="FF23" i="14"/>
  <c r="FE23" i="14"/>
  <c r="FD23" i="14"/>
  <c r="FC23" i="14"/>
  <c r="FB23" i="14"/>
  <c r="FA23" i="14"/>
  <c r="EZ23" i="14"/>
  <c r="EY23" i="14"/>
  <c r="EX23" i="14"/>
  <c r="EW23" i="14"/>
  <c r="EV23" i="14"/>
  <c r="EU23" i="14"/>
  <c r="ET23" i="14"/>
  <c r="ES23" i="14"/>
  <c r="ER23" i="14"/>
  <c r="EQ23" i="14"/>
  <c r="EP23" i="14"/>
  <c r="EO23" i="14"/>
  <c r="EN23" i="14"/>
  <c r="EM23" i="14"/>
  <c r="EL23" i="14"/>
  <c r="EK23" i="14"/>
  <c r="EJ23" i="14"/>
  <c r="EI23" i="14"/>
  <c r="EH23" i="14"/>
  <c r="EG23" i="14"/>
  <c r="EF23" i="14"/>
  <c r="EE23" i="14"/>
  <c r="ED23" i="14"/>
  <c r="EC23" i="14"/>
  <c r="EB23" i="14"/>
  <c r="EA23" i="14"/>
  <c r="DZ23" i="14"/>
  <c r="DY23" i="14"/>
  <c r="DX23" i="14"/>
  <c r="DW23" i="14"/>
  <c r="DV23" i="14"/>
  <c r="DU23" i="14"/>
  <c r="DT23" i="14"/>
  <c r="DS23" i="14"/>
  <c r="DR23" i="14"/>
  <c r="DQ23" i="14"/>
  <c r="DP23" i="14"/>
  <c r="DO23" i="14"/>
  <c r="DN23" i="14"/>
  <c r="DM23" i="14"/>
  <c r="DL23" i="14"/>
  <c r="DK23" i="14"/>
  <c r="DJ23" i="14"/>
  <c r="DI23" i="14"/>
  <c r="DH23" i="14"/>
  <c r="DG23" i="14"/>
  <c r="DF23" i="14"/>
  <c r="DE23" i="14"/>
  <c r="DD23" i="14"/>
  <c r="DC23" i="14"/>
  <c r="DB23" i="14"/>
  <c r="DA23" i="14"/>
  <c r="CZ23" i="14"/>
  <c r="CY23" i="14"/>
  <c r="CX23" i="14"/>
  <c r="CW23" i="14"/>
  <c r="CV23" i="14"/>
  <c r="CU23" i="14"/>
  <c r="CT23" i="14"/>
  <c r="CS23" i="14"/>
  <c r="CR23" i="14"/>
  <c r="CQ23" i="14"/>
  <c r="CP23" i="14"/>
  <c r="CO23" i="14"/>
  <c r="CN23" i="14"/>
  <c r="CM23" i="14"/>
  <c r="CL23" i="14"/>
  <c r="CK23" i="14"/>
  <c r="CJ23" i="14"/>
  <c r="CI23" i="14"/>
  <c r="CH23" i="14"/>
  <c r="CG23" i="14"/>
  <c r="CF23" i="14"/>
  <c r="CE23" i="14"/>
  <c r="CD23" i="14"/>
  <c r="CC23" i="14"/>
  <c r="CB23" i="14"/>
  <c r="CA23" i="14"/>
  <c r="BZ23" i="14"/>
  <c r="BY23" i="14"/>
  <c r="BX23" i="14"/>
  <c r="BW23" i="14"/>
  <c r="BV23" i="14"/>
  <c r="BU23" i="14"/>
  <c r="BT23" i="14"/>
  <c r="BS23" i="14"/>
  <c r="BR23" i="14"/>
  <c r="BQ23" i="14"/>
  <c r="BP23" i="14"/>
  <c r="BO23" i="14"/>
  <c r="BN23" i="14"/>
  <c r="BM23" i="14"/>
  <c r="BL23" i="14"/>
  <c r="BK23" i="14"/>
  <c r="BJ23" i="14"/>
  <c r="BI23" i="14"/>
  <c r="BH23" i="14"/>
  <c r="BG23" i="14"/>
  <c r="BF23" i="14"/>
  <c r="BE23" i="14"/>
  <c r="BD23" i="14"/>
  <c r="BC23" i="14"/>
  <c r="BB23" i="14"/>
  <c r="BA23" i="14"/>
  <c r="AZ23" i="14"/>
  <c r="AY23" i="14"/>
  <c r="AX23" i="14"/>
  <c r="AW23" i="14"/>
  <c r="AV23" i="14"/>
  <c r="AU23" i="14"/>
  <c r="AT23" i="14"/>
  <c r="AS23" i="14"/>
  <c r="AR23" i="14"/>
  <c r="AQ23" i="14"/>
  <c r="AP23" i="14"/>
  <c r="AO23" i="14"/>
  <c r="AN23" i="14"/>
  <c r="AM23" i="14"/>
  <c r="AL23" i="14"/>
  <c r="AK23" i="14"/>
  <c r="AJ23" i="14"/>
  <c r="AI23" i="14"/>
  <c r="AH23" i="14"/>
  <c r="AG23" i="14"/>
  <c r="AF23" i="14"/>
  <c r="AE23" i="14"/>
  <c r="AD23" i="14"/>
  <c r="AC23" i="14"/>
  <c r="AB23" i="14"/>
  <c r="AA23" i="14"/>
  <c r="Z23" i="14"/>
  <c r="Y23" i="14"/>
  <c r="X23" i="14"/>
  <c r="W23" i="14"/>
  <c r="V23" i="14"/>
  <c r="U23" i="14"/>
  <c r="T23" i="14"/>
  <c r="S23" i="14"/>
  <c r="Q23" i="14"/>
  <c r="P23" i="14"/>
  <c r="O23" i="14"/>
  <c r="N23" i="14"/>
  <c r="L23" i="14"/>
  <c r="K23" i="14"/>
  <c r="J23" i="14"/>
  <c r="H23" i="14"/>
  <c r="E23" i="14"/>
  <c r="D23" i="14"/>
  <c r="C23" i="14"/>
  <c r="B23" i="14"/>
  <c r="FF22" i="14"/>
  <c r="FE22" i="14"/>
  <c r="FD22" i="14"/>
  <c r="FC22" i="14"/>
  <c r="FB22" i="14"/>
  <c r="FA22" i="14"/>
  <c r="EZ22" i="14"/>
  <c r="EY22" i="14"/>
  <c r="EX22" i="14"/>
  <c r="EW22" i="14"/>
  <c r="EV22" i="14"/>
  <c r="EU22" i="14"/>
  <c r="ET22" i="14"/>
  <c r="ES22" i="14"/>
  <c r="ER22" i="14"/>
  <c r="EQ22" i="14"/>
  <c r="EP22" i="14"/>
  <c r="EO22" i="14"/>
  <c r="EN22" i="14"/>
  <c r="EM22" i="14"/>
  <c r="EL22" i="14"/>
  <c r="EK22" i="14"/>
  <c r="EJ22" i="14"/>
  <c r="EI22" i="14"/>
  <c r="EH22" i="14"/>
  <c r="EG22" i="14"/>
  <c r="EF22" i="14"/>
  <c r="EE22" i="14"/>
  <c r="ED22" i="14"/>
  <c r="EC22" i="14"/>
  <c r="EB22" i="14"/>
  <c r="EA22" i="14"/>
  <c r="DZ22" i="14"/>
  <c r="DY22" i="14"/>
  <c r="DX22" i="14"/>
  <c r="DW22" i="14"/>
  <c r="DV22" i="14"/>
  <c r="DU22" i="14"/>
  <c r="DT22" i="14"/>
  <c r="DS22" i="14"/>
  <c r="DR22" i="14"/>
  <c r="DQ22" i="14"/>
  <c r="DP22" i="14"/>
  <c r="DO22" i="14"/>
  <c r="DN22" i="14"/>
  <c r="DM22" i="14"/>
  <c r="DL22" i="14"/>
  <c r="DK22" i="14"/>
  <c r="DJ22" i="14"/>
  <c r="DI22" i="14"/>
  <c r="DH22" i="14"/>
  <c r="DG22" i="14"/>
  <c r="DF22" i="14"/>
  <c r="DE22" i="14"/>
  <c r="DD22" i="14"/>
  <c r="DC22" i="14"/>
  <c r="DB22" i="14"/>
  <c r="DA22" i="14"/>
  <c r="CZ22" i="14"/>
  <c r="CY22" i="14"/>
  <c r="CX22" i="14"/>
  <c r="CW22" i="14"/>
  <c r="CV22" i="14"/>
  <c r="CU22" i="14"/>
  <c r="CT22" i="14"/>
  <c r="CS22" i="14"/>
  <c r="CR22" i="14"/>
  <c r="CQ22" i="14"/>
  <c r="CP22" i="14"/>
  <c r="CO22" i="14"/>
  <c r="CN22" i="14"/>
  <c r="CM22" i="14"/>
  <c r="CL22" i="14"/>
  <c r="CK22" i="14"/>
  <c r="CJ22" i="14"/>
  <c r="CI22" i="14"/>
  <c r="CH22" i="14"/>
  <c r="CG22" i="14"/>
  <c r="CF22" i="14"/>
  <c r="CE22" i="14"/>
  <c r="CD22" i="14"/>
  <c r="CC22" i="14"/>
  <c r="CB22" i="14"/>
  <c r="CA22" i="14"/>
  <c r="BZ22" i="14"/>
  <c r="BY22" i="14"/>
  <c r="BX22" i="14"/>
  <c r="BW22" i="14"/>
  <c r="BV22" i="14"/>
  <c r="BU22" i="14"/>
  <c r="BT22" i="14"/>
  <c r="BS22" i="14"/>
  <c r="BR22" i="14"/>
  <c r="BQ22" i="14"/>
  <c r="BP22" i="14"/>
  <c r="BO22" i="14"/>
  <c r="BN22" i="14"/>
  <c r="BM22" i="14"/>
  <c r="BL22" i="14"/>
  <c r="BK22" i="14"/>
  <c r="BJ22" i="14"/>
  <c r="BI22" i="14"/>
  <c r="BH22" i="14"/>
  <c r="BG22" i="14"/>
  <c r="BF22" i="14"/>
  <c r="BE22" i="14"/>
  <c r="BD22" i="14"/>
  <c r="BC22" i="14"/>
  <c r="BB22" i="14"/>
  <c r="BA22" i="14"/>
  <c r="AZ22" i="14"/>
  <c r="AY22" i="14"/>
  <c r="AX22" i="14"/>
  <c r="AW22" i="14"/>
  <c r="AV22" i="14"/>
  <c r="AU22" i="14"/>
  <c r="AT22" i="14"/>
  <c r="AS22" i="14"/>
  <c r="AR22" i="14"/>
  <c r="AQ22" i="14"/>
  <c r="AP22" i="14"/>
  <c r="AO22" i="14"/>
  <c r="AN22" i="14"/>
  <c r="AM22" i="14"/>
  <c r="AL22" i="14"/>
  <c r="AK22" i="14"/>
  <c r="AJ22" i="14"/>
  <c r="AI22" i="14"/>
  <c r="AH22" i="14"/>
  <c r="AG22" i="14"/>
  <c r="AF22" i="14"/>
  <c r="AE22" i="14"/>
  <c r="AD22" i="14"/>
  <c r="AC22" i="14"/>
  <c r="AB22" i="14"/>
  <c r="AA22" i="14"/>
  <c r="Z22" i="14"/>
  <c r="Y22" i="14"/>
  <c r="X22" i="14"/>
  <c r="W22" i="14"/>
  <c r="V22" i="14"/>
  <c r="U22" i="14"/>
  <c r="T22" i="14"/>
  <c r="S22" i="14"/>
  <c r="Q22" i="14"/>
  <c r="P22" i="14"/>
  <c r="O22" i="14"/>
  <c r="N22" i="14"/>
  <c r="L22" i="14"/>
  <c r="K22" i="14"/>
  <c r="J22" i="14"/>
  <c r="H22" i="14"/>
  <c r="E22" i="14"/>
  <c r="D22" i="14"/>
  <c r="C22" i="14"/>
  <c r="B22" i="14"/>
  <c r="FF21" i="14"/>
  <c r="FE21" i="14"/>
  <c r="FD21" i="14"/>
  <c r="FC21" i="14"/>
  <c r="FB21" i="14"/>
  <c r="FA21" i="14"/>
  <c r="EZ21" i="14"/>
  <c r="EY21" i="14"/>
  <c r="EX21" i="14"/>
  <c r="EW21" i="14"/>
  <c r="EV21" i="14"/>
  <c r="EU21" i="14"/>
  <c r="ET21" i="14"/>
  <c r="ES21" i="14"/>
  <c r="ER21" i="14"/>
  <c r="EQ21" i="14"/>
  <c r="EP21" i="14"/>
  <c r="EO21" i="14"/>
  <c r="EN21" i="14"/>
  <c r="EM21" i="14"/>
  <c r="EL21" i="14"/>
  <c r="EK21" i="14"/>
  <c r="EJ21" i="14"/>
  <c r="EI21" i="14"/>
  <c r="EH21" i="14"/>
  <c r="EG21" i="14"/>
  <c r="EF21" i="14"/>
  <c r="EE21" i="14"/>
  <c r="ED21" i="14"/>
  <c r="EC21" i="14"/>
  <c r="EB21" i="14"/>
  <c r="EA21" i="14"/>
  <c r="DZ21" i="14"/>
  <c r="DY21" i="14"/>
  <c r="DX21" i="14"/>
  <c r="DW21" i="14"/>
  <c r="DV21" i="14"/>
  <c r="DU21" i="14"/>
  <c r="DT21" i="14"/>
  <c r="DS21" i="14"/>
  <c r="DR21" i="14"/>
  <c r="DQ21" i="14"/>
  <c r="DP21" i="14"/>
  <c r="DO21" i="14"/>
  <c r="DN21" i="14"/>
  <c r="DM21" i="14"/>
  <c r="DL21" i="14"/>
  <c r="DK21" i="14"/>
  <c r="DJ21" i="14"/>
  <c r="DI21" i="14"/>
  <c r="DH21" i="14"/>
  <c r="DG21" i="14"/>
  <c r="DF21" i="14"/>
  <c r="DE21" i="14"/>
  <c r="DD21" i="14"/>
  <c r="DC21" i="14"/>
  <c r="DB21" i="14"/>
  <c r="DA21" i="14"/>
  <c r="CZ21" i="14"/>
  <c r="CY21" i="14"/>
  <c r="CX21" i="14"/>
  <c r="CW21" i="14"/>
  <c r="CV21" i="14"/>
  <c r="CU21" i="14"/>
  <c r="CT21" i="14"/>
  <c r="CS21" i="14"/>
  <c r="CR21" i="14"/>
  <c r="CQ21" i="14"/>
  <c r="CP21" i="14"/>
  <c r="CO21" i="14"/>
  <c r="CN21" i="14"/>
  <c r="CM21" i="14"/>
  <c r="CL21" i="14"/>
  <c r="CK21" i="14"/>
  <c r="CJ21" i="14"/>
  <c r="CI21" i="14"/>
  <c r="CH21" i="14"/>
  <c r="CG21" i="14"/>
  <c r="CF21" i="14"/>
  <c r="CE21" i="14"/>
  <c r="CD21" i="14"/>
  <c r="CC21" i="14"/>
  <c r="CB21" i="14"/>
  <c r="CA21" i="14"/>
  <c r="BZ21" i="14"/>
  <c r="BY21" i="14"/>
  <c r="BX21" i="14"/>
  <c r="BW21" i="14"/>
  <c r="BV21" i="14"/>
  <c r="BU21" i="14"/>
  <c r="BT21" i="14"/>
  <c r="BS21" i="14"/>
  <c r="BR21" i="14"/>
  <c r="BQ21" i="14"/>
  <c r="BP21" i="14"/>
  <c r="BO21" i="14"/>
  <c r="BN21" i="14"/>
  <c r="BM21" i="14"/>
  <c r="BL21" i="14"/>
  <c r="BK21" i="14"/>
  <c r="BJ21" i="14"/>
  <c r="BI21" i="14"/>
  <c r="BH21" i="14"/>
  <c r="BG21" i="14"/>
  <c r="BF21" i="14"/>
  <c r="BE21" i="14"/>
  <c r="BD21" i="14"/>
  <c r="BC21" i="14"/>
  <c r="BB21" i="14"/>
  <c r="BA21" i="14"/>
  <c r="AZ21" i="14"/>
  <c r="AY21" i="14"/>
  <c r="AX21" i="14"/>
  <c r="AW21" i="14"/>
  <c r="AV21" i="14"/>
  <c r="AU21" i="14"/>
  <c r="AT21" i="14"/>
  <c r="AS21" i="14"/>
  <c r="AR21" i="14"/>
  <c r="AQ21" i="14"/>
  <c r="AP21" i="14"/>
  <c r="AO21" i="14"/>
  <c r="AN21" i="14"/>
  <c r="AM21" i="14"/>
  <c r="AL21" i="14"/>
  <c r="AK21" i="14"/>
  <c r="AJ21" i="14"/>
  <c r="AI21" i="14"/>
  <c r="AH21" i="14"/>
  <c r="AG21" i="14"/>
  <c r="AF21" i="14"/>
  <c r="AE21" i="14"/>
  <c r="AD21" i="14"/>
  <c r="AC21" i="14"/>
  <c r="AB21" i="14"/>
  <c r="AA21" i="14"/>
  <c r="Z21" i="14"/>
  <c r="Y21" i="14"/>
  <c r="X21" i="14"/>
  <c r="W21" i="14"/>
  <c r="V21" i="14"/>
  <c r="U21" i="14"/>
  <c r="T21" i="14"/>
  <c r="S21" i="14"/>
  <c r="Q21" i="14"/>
  <c r="P21" i="14"/>
  <c r="O21" i="14"/>
  <c r="N21" i="14"/>
  <c r="L21" i="14"/>
  <c r="K21" i="14"/>
  <c r="J21" i="14"/>
  <c r="H21" i="14"/>
  <c r="E21" i="14"/>
  <c r="D21" i="14"/>
  <c r="C21" i="14"/>
  <c r="B21" i="14"/>
  <c r="FF20" i="14"/>
  <c r="FE20" i="14"/>
  <c r="FD20" i="14"/>
  <c r="FC20" i="14"/>
  <c r="FB20" i="14"/>
  <c r="FA20" i="14"/>
  <c r="EZ20" i="14"/>
  <c r="EY20" i="14"/>
  <c r="EX20" i="14"/>
  <c r="EW20" i="14"/>
  <c r="EV20" i="14"/>
  <c r="EU20" i="14"/>
  <c r="ET20" i="14"/>
  <c r="ES20" i="14"/>
  <c r="ER20" i="14"/>
  <c r="EQ20" i="14"/>
  <c r="EP20" i="14"/>
  <c r="EO20" i="14"/>
  <c r="EN20" i="14"/>
  <c r="EM20" i="14"/>
  <c r="EL20" i="14"/>
  <c r="EK20" i="14"/>
  <c r="EJ20" i="14"/>
  <c r="EI20" i="14"/>
  <c r="EH20" i="14"/>
  <c r="EG20" i="14"/>
  <c r="EF20" i="14"/>
  <c r="EE20" i="14"/>
  <c r="ED20" i="14"/>
  <c r="EC20" i="14"/>
  <c r="EB20" i="14"/>
  <c r="EA20" i="14"/>
  <c r="DZ20" i="14"/>
  <c r="DY20" i="14"/>
  <c r="DX20" i="14"/>
  <c r="DW20" i="14"/>
  <c r="DV20" i="14"/>
  <c r="DU20" i="14"/>
  <c r="DT20" i="14"/>
  <c r="DS20" i="14"/>
  <c r="DR20" i="14"/>
  <c r="DQ20" i="14"/>
  <c r="DP20" i="14"/>
  <c r="DO20" i="14"/>
  <c r="DN20" i="14"/>
  <c r="DM20" i="14"/>
  <c r="DL20" i="14"/>
  <c r="DK20" i="14"/>
  <c r="DJ20" i="14"/>
  <c r="DI20" i="14"/>
  <c r="DH20" i="14"/>
  <c r="DG20" i="14"/>
  <c r="DF20" i="14"/>
  <c r="DE20" i="14"/>
  <c r="DD20" i="14"/>
  <c r="DC20" i="14"/>
  <c r="DB20" i="14"/>
  <c r="DA20" i="14"/>
  <c r="CZ20" i="14"/>
  <c r="CY20" i="14"/>
  <c r="CX20" i="14"/>
  <c r="CW20" i="14"/>
  <c r="CV20" i="14"/>
  <c r="CU20" i="14"/>
  <c r="CT20" i="14"/>
  <c r="CS20" i="14"/>
  <c r="CR20" i="14"/>
  <c r="CQ20" i="14"/>
  <c r="CP20" i="14"/>
  <c r="CO20" i="14"/>
  <c r="CN20" i="14"/>
  <c r="CM20" i="14"/>
  <c r="CL20" i="14"/>
  <c r="CK20" i="14"/>
  <c r="CJ20" i="14"/>
  <c r="CI20" i="14"/>
  <c r="CH20" i="14"/>
  <c r="CG20" i="14"/>
  <c r="CF20" i="14"/>
  <c r="CE20" i="14"/>
  <c r="CD20" i="14"/>
  <c r="CC20" i="14"/>
  <c r="CB20" i="14"/>
  <c r="CA20" i="14"/>
  <c r="BZ20" i="14"/>
  <c r="BY20" i="14"/>
  <c r="BX20" i="14"/>
  <c r="BW20" i="14"/>
  <c r="BV20" i="14"/>
  <c r="BU20" i="14"/>
  <c r="BT20" i="14"/>
  <c r="BS20" i="14"/>
  <c r="BR20" i="14"/>
  <c r="BQ20" i="14"/>
  <c r="BP20" i="14"/>
  <c r="BO20" i="14"/>
  <c r="BN20" i="14"/>
  <c r="BM20" i="14"/>
  <c r="BL20" i="14"/>
  <c r="BK20" i="14"/>
  <c r="BJ20" i="14"/>
  <c r="BI20" i="14"/>
  <c r="BH20" i="14"/>
  <c r="BG20" i="14"/>
  <c r="BF20" i="14"/>
  <c r="BE20" i="14"/>
  <c r="BD20" i="14"/>
  <c r="BC20" i="14"/>
  <c r="BB20" i="14"/>
  <c r="BA20" i="14"/>
  <c r="AZ20" i="14"/>
  <c r="AY20" i="14"/>
  <c r="AX20" i="14"/>
  <c r="AW20" i="14"/>
  <c r="AV20" i="14"/>
  <c r="AU20" i="14"/>
  <c r="AT20" i="14"/>
  <c r="AS20" i="14"/>
  <c r="AR20" i="14"/>
  <c r="AQ20" i="14"/>
  <c r="AP20" i="14"/>
  <c r="AO20" i="14"/>
  <c r="AN20" i="14"/>
  <c r="AM20" i="14"/>
  <c r="AL20" i="14"/>
  <c r="AK20" i="14"/>
  <c r="AJ20" i="14"/>
  <c r="AI20" i="14"/>
  <c r="AH20" i="14"/>
  <c r="AG20" i="14"/>
  <c r="AF20" i="14"/>
  <c r="AE20" i="14"/>
  <c r="AD20" i="14"/>
  <c r="AC20" i="14"/>
  <c r="AB20" i="14"/>
  <c r="AA20" i="14"/>
  <c r="Z20" i="14"/>
  <c r="Y20" i="14"/>
  <c r="X20" i="14"/>
  <c r="W20" i="14"/>
  <c r="V20" i="14"/>
  <c r="U20" i="14"/>
  <c r="T20" i="14"/>
  <c r="S20" i="14"/>
  <c r="Q20" i="14"/>
  <c r="P20" i="14"/>
  <c r="O20" i="14"/>
  <c r="N20" i="14"/>
  <c r="L20" i="14"/>
  <c r="K20" i="14"/>
  <c r="J20" i="14"/>
  <c r="H20" i="14"/>
  <c r="E20" i="14"/>
  <c r="D20" i="14"/>
  <c r="C20" i="14"/>
  <c r="B20" i="14"/>
  <c r="FF19" i="14"/>
  <c r="FE19" i="14"/>
  <c r="FD19" i="14"/>
  <c r="FC19" i="14"/>
  <c r="FB19" i="14"/>
  <c r="FA19" i="14"/>
  <c r="EZ19" i="14"/>
  <c r="EY19" i="14"/>
  <c r="EX19" i="14"/>
  <c r="EW19" i="14"/>
  <c r="EV19" i="14"/>
  <c r="EU19" i="14"/>
  <c r="ET19" i="14"/>
  <c r="ES19" i="14"/>
  <c r="ER19" i="14"/>
  <c r="EQ19" i="14"/>
  <c r="EP19" i="14"/>
  <c r="EO19" i="14"/>
  <c r="EN19" i="14"/>
  <c r="EM19" i="14"/>
  <c r="EL19" i="14"/>
  <c r="EK19" i="14"/>
  <c r="EJ19" i="14"/>
  <c r="EI19" i="14"/>
  <c r="EH19" i="14"/>
  <c r="EG19" i="14"/>
  <c r="EF19" i="14"/>
  <c r="EE19" i="14"/>
  <c r="ED19" i="14"/>
  <c r="EC19" i="14"/>
  <c r="EB19" i="14"/>
  <c r="EA19" i="14"/>
  <c r="DZ19" i="14"/>
  <c r="DY19" i="14"/>
  <c r="DX19" i="14"/>
  <c r="DW19" i="14"/>
  <c r="DV19" i="14"/>
  <c r="DU19" i="14"/>
  <c r="DT19" i="14"/>
  <c r="DS19" i="14"/>
  <c r="DR19" i="14"/>
  <c r="DQ19" i="14"/>
  <c r="DP19" i="14"/>
  <c r="DO19" i="14"/>
  <c r="DN19" i="14"/>
  <c r="DM19" i="14"/>
  <c r="DL19" i="14"/>
  <c r="DK19" i="14"/>
  <c r="DJ19" i="14"/>
  <c r="DI19" i="14"/>
  <c r="DH19" i="14"/>
  <c r="DG19" i="14"/>
  <c r="DF19" i="14"/>
  <c r="DE19" i="14"/>
  <c r="DD19" i="14"/>
  <c r="DC19" i="14"/>
  <c r="DB19" i="14"/>
  <c r="DA19" i="14"/>
  <c r="CZ19" i="14"/>
  <c r="CY19" i="14"/>
  <c r="CX19" i="14"/>
  <c r="CW19" i="14"/>
  <c r="CV19" i="14"/>
  <c r="CU19" i="14"/>
  <c r="CT19" i="14"/>
  <c r="CS19" i="14"/>
  <c r="CR19" i="14"/>
  <c r="CQ19" i="14"/>
  <c r="CP19" i="14"/>
  <c r="CO19" i="14"/>
  <c r="CN19" i="14"/>
  <c r="CM19" i="14"/>
  <c r="CL19" i="14"/>
  <c r="CK19" i="14"/>
  <c r="CJ19" i="14"/>
  <c r="CI19" i="14"/>
  <c r="CH19" i="14"/>
  <c r="CG19" i="14"/>
  <c r="CF19" i="14"/>
  <c r="CE19" i="14"/>
  <c r="CD19" i="14"/>
  <c r="CC19" i="14"/>
  <c r="CB19" i="14"/>
  <c r="CA19" i="14"/>
  <c r="BZ19" i="14"/>
  <c r="BY19" i="14"/>
  <c r="BX19" i="14"/>
  <c r="BW19" i="14"/>
  <c r="BV19" i="14"/>
  <c r="BU19" i="14"/>
  <c r="BT19" i="14"/>
  <c r="BS19" i="14"/>
  <c r="BR19" i="14"/>
  <c r="BQ19" i="14"/>
  <c r="BP19" i="14"/>
  <c r="BO19" i="14"/>
  <c r="BN19" i="14"/>
  <c r="BM19" i="14"/>
  <c r="BL19" i="14"/>
  <c r="BK19" i="14"/>
  <c r="BJ19" i="14"/>
  <c r="BI19" i="14"/>
  <c r="BH19" i="14"/>
  <c r="BG19" i="14"/>
  <c r="BF19" i="14"/>
  <c r="BE19" i="14"/>
  <c r="BD19" i="14"/>
  <c r="BC19" i="14"/>
  <c r="BB19" i="14"/>
  <c r="BA19" i="14"/>
  <c r="AZ19" i="14"/>
  <c r="AY19" i="14"/>
  <c r="AX19" i="14"/>
  <c r="AW19" i="14"/>
  <c r="AV19" i="14"/>
  <c r="AU19" i="14"/>
  <c r="AT19" i="14"/>
  <c r="AS19" i="14"/>
  <c r="AR19" i="14"/>
  <c r="AQ19" i="14"/>
  <c r="AP19" i="14"/>
  <c r="AO19" i="14"/>
  <c r="AN19" i="14"/>
  <c r="AM19" i="14"/>
  <c r="AL19" i="14"/>
  <c r="AK19" i="14"/>
  <c r="AJ19" i="14"/>
  <c r="AI19" i="14"/>
  <c r="AH19" i="14"/>
  <c r="AG19" i="14"/>
  <c r="AF19" i="14"/>
  <c r="AE19" i="14"/>
  <c r="AD19" i="14"/>
  <c r="AC19" i="14"/>
  <c r="AB19" i="14"/>
  <c r="AA19" i="14"/>
  <c r="Z19" i="14"/>
  <c r="Y19" i="14"/>
  <c r="X19" i="14"/>
  <c r="W19" i="14"/>
  <c r="V19" i="14"/>
  <c r="U19" i="14"/>
  <c r="T19" i="14"/>
  <c r="S19" i="14"/>
  <c r="Q19" i="14"/>
  <c r="P19" i="14"/>
  <c r="O19" i="14"/>
  <c r="N19" i="14"/>
  <c r="L19" i="14"/>
  <c r="K19" i="14"/>
  <c r="J19" i="14"/>
  <c r="H19" i="14"/>
  <c r="E19" i="14"/>
  <c r="D19" i="14"/>
  <c r="C19" i="14"/>
  <c r="B19" i="14"/>
  <c r="FF18" i="14"/>
  <c r="FE18" i="14"/>
  <c r="FD18" i="14"/>
  <c r="FC18" i="14"/>
  <c r="FB18" i="14"/>
  <c r="FA18" i="14"/>
  <c r="EZ18" i="14"/>
  <c r="EY18" i="14"/>
  <c r="EX18" i="14"/>
  <c r="EW18" i="14"/>
  <c r="EV18" i="14"/>
  <c r="EU18" i="14"/>
  <c r="ET18" i="14"/>
  <c r="ES18" i="14"/>
  <c r="ER18" i="14"/>
  <c r="EQ18" i="14"/>
  <c r="EP18" i="14"/>
  <c r="EO18" i="14"/>
  <c r="EN18" i="14"/>
  <c r="EM18" i="14"/>
  <c r="EL18" i="14"/>
  <c r="EK18" i="14"/>
  <c r="EJ18" i="14"/>
  <c r="EI18" i="14"/>
  <c r="EH18" i="14"/>
  <c r="EG18" i="14"/>
  <c r="EF18" i="14"/>
  <c r="EE18" i="14"/>
  <c r="ED18" i="14"/>
  <c r="EC18" i="14"/>
  <c r="EB18" i="14"/>
  <c r="EA18" i="14"/>
  <c r="DZ18" i="14"/>
  <c r="DY18" i="14"/>
  <c r="DX18" i="14"/>
  <c r="DW18" i="14"/>
  <c r="DV18" i="14"/>
  <c r="DU18" i="14"/>
  <c r="DT18" i="14"/>
  <c r="DS18" i="14"/>
  <c r="DR18" i="14"/>
  <c r="DQ18" i="14"/>
  <c r="DP18" i="14"/>
  <c r="DO18" i="14"/>
  <c r="DN18" i="14"/>
  <c r="DM18" i="14"/>
  <c r="DL18" i="14"/>
  <c r="DK18" i="14"/>
  <c r="DJ18" i="14"/>
  <c r="DI18" i="14"/>
  <c r="DH18" i="14"/>
  <c r="DG18" i="14"/>
  <c r="DF18" i="14"/>
  <c r="DE18" i="14"/>
  <c r="DD18" i="14"/>
  <c r="DC18" i="14"/>
  <c r="DB18" i="14"/>
  <c r="DA18" i="14"/>
  <c r="CZ18" i="14"/>
  <c r="CY18" i="14"/>
  <c r="CX18" i="14"/>
  <c r="CW18" i="14"/>
  <c r="CV18" i="14"/>
  <c r="CU18" i="14"/>
  <c r="CT18" i="14"/>
  <c r="CS18" i="14"/>
  <c r="CR18" i="14"/>
  <c r="CQ18" i="14"/>
  <c r="CP18" i="14"/>
  <c r="CO18" i="14"/>
  <c r="CN18" i="14"/>
  <c r="CM18" i="14"/>
  <c r="CL18" i="14"/>
  <c r="CK18" i="14"/>
  <c r="CJ18" i="14"/>
  <c r="CI18" i="14"/>
  <c r="CH18" i="14"/>
  <c r="CG18" i="14"/>
  <c r="CF18" i="14"/>
  <c r="CE18" i="14"/>
  <c r="CD18" i="14"/>
  <c r="CC18" i="14"/>
  <c r="CB18" i="14"/>
  <c r="CA18" i="14"/>
  <c r="BZ18" i="14"/>
  <c r="BY18" i="14"/>
  <c r="BX18" i="14"/>
  <c r="BW18" i="14"/>
  <c r="BV18" i="14"/>
  <c r="BU18" i="14"/>
  <c r="BT18" i="14"/>
  <c r="BS18" i="14"/>
  <c r="BR18" i="14"/>
  <c r="BQ18" i="14"/>
  <c r="BP18" i="14"/>
  <c r="BO18" i="14"/>
  <c r="BN18" i="14"/>
  <c r="BM18" i="14"/>
  <c r="BL18" i="14"/>
  <c r="BK18" i="14"/>
  <c r="BJ18" i="14"/>
  <c r="BI18" i="14"/>
  <c r="BH18" i="14"/>
  <c r="BG18" i="14"/>
  <c r="BF18" i="14"/>
  <c r="BE18" i="14"/>
  <c r="BD18" i="14"/>
  <c r="BC18" i="14"/>
  <c r="BB18" i="14"/>
  <c r="BA18" i="14"/>
  <c r="AZ18" i="14"/>
  <c r="AY18" i="14"/>
  <c r="AX18" i="14"/>
  <c r="AW18" i="14"/>
  <c r="AV18" i="14"/>
  <c r="AU18" i="14"/>
  <c r="AT18" i="14"/>
  <c r="AS18" i="14"/>
  <c r="AR18" i="14"/>
  <c r="AQ18" i="14"/>
  <c r="AP18" i="14"/>
  <c r="AO18" i="14"/>
  <c r="AN18" i="14"/>
  <c r="AM18" i="14"/>
  <c r="AL18" i="14"/>
  <c r="AK18" i="14"/>
  <c r="AJ18" i="14"/>
  <c r="AI18" i="14"/>
  <c r="AH18" i="14"/>
  <c r="AG18" i="14"/>
  <c r="AF18" i="14"/>
  <c r="AE18" i="14"/>
  <c r="AD18" i="14"/>
  <c r="AC18" i="14"/>
  <c r="AB18" i="14"/>
  <c r="AA18" i="14"/>
  <c r="Z18" i="14"/>
  <c r="Y18" i="14"/>
  <c r="X18" i="14"/>
  <c r="W18" i="14"/>
  <c r="V18" i="14"/>
  <c r="U18" i="14"/>
  <c r="T18" i="14"/>
  <c r="S18" i="14"/>
  <c r="Q18" i="14"/>
  <c r="P18" i="14"/>
  <c r="O18" i="14"/>
  <c r="N18" i="14"/>
  <c r="L18" i="14"/>
  <c r="K18" i="14"/>
  <c r="J18" i="14"/>
  <c r="H18" i="14"/>
  <c r="E18" i="14"/>
  <c r="D18" i="14"/>
  <c r="C18" i="14"/>
  <c r="B18" i="14"/>
  <c r="FF17" i="14"/>
  <c r="FE17" i="14"/>
  <c r="FD17" i="14"/>
  <c r="FC17" i="14"/>
  <c r="FB17" i="14"/>
  <c r="FA17" i="14"/>
  <c r="EZ17" i="14"/>
  <c r="EY17" i="14"/>
  <c r="EX17" i="14"/>
  <c r="EW17" i="14"/>
  <c r="EV17" i="14"/>
  <c r="EU17" i="14"/>
  <c r="ET17" i="14"/>
  <c r="ES17" i="14"/>
  <c r="ER17" i="14"/>
  <c r="EQ17" i="14"/>
  <c r="EP17" i="14"/>
  <c r="EO17" i="14"/>
  <c r="EN17" i="14"/>
  <c r="EM17" i="14"/>
  <c r="EL17" i="14"/>
  <c r="EK17" i="14"/>
  <c r="EJ17" i="14"/>
  <c r="EI17" i="14"/>
  <c r="EH17" i="14"/>
  <c r="EG17" i="14"/>
  <c r="EF17" i="14"/>
  <c r="EE17" i="14"/>
  <c r="ED17" i="14"/>
  <c r="EC17" i="14"/>
  <c r="EB17" i="14"/>
  <c r="EA17" i="14"/>
  <c r="DZ17" i="14"/>
  <c r="DY17" i="14"/>
  <c r="DX17" i="14"/>
  <c r="DW17" i="14"/>
  <c r="DV17" i="14"/>
  <c r="DU17" i="14"/>
  <c r="DT17" i="14"/>
  <c r="DS17" i="14"/>
  <c r="DR17" i="14"/>
  <c r="DQ17" i="14"/>
  <c r="DP17" i="14"/>
  <c r="DO17" i="14"/>
  <c r="DN17" i="14"/>
  <c r="DM17" i="14"/>
  <c r="DL17" i="14"/>
  <c r="DK17" i="14"/>
  <c r="DJ17" i="14"/>
  <c r="DI17" i="14"/>
  <c r="DH17" i="14"/>
  <c r="DG17" i="14"/>
  <c r="DF17" i="14"/>
  <c r="DE17" i="14"/>
  <c r="DD17" i="14"/>
  <c r="DC17" i="14"/>
  <c r="DB17" i="14"/>
  <c r="DA17" i="14"/>
  <c r="CZ17" i="14"/>
  <c r="CY17" i="14"/>
  <c r="CX17" i="14"/>
  <c r="CW17" i="14"/>
  <c r="CV17" i="14"/>
  <c r="CU17" i="14"/>
  <c r="CT17" i="14"/>
  <c r="CS17" i="14"/>
  <c r="CR17" i="14"/>
  <c r="CQ17" i="14"/>
  <c r="CP17" i="14"/>
  <c r="CO17" i="14"/>
  <c r="CN17" i="14"/>
  <c r="CM17" i="14"/>
  <c r="CL17" i="14"/>
  <c r="CK17" i="14"/>
  <c r="CJ17" i="14"/>
  <c r="CI17" i="14"/>
  <c r="CH17" i="14"/>
  <c r="CG17" i="14"/>
  <c r="CF17" i="14"/>
  <c r="CE17" i="14"/>
  <c r="CD17" i="14"/>
  <c r="CC17" i="14"/>
  <c r="CB17" i="14"/>
  <c r="CA17" i="14"/>
  <c r="BZ17" i="14"/>
  <c r="BY17" i="14"/>
  <c r="BX17" i="14"/>
  <c r="BW17" i="14"/>
  <c r="BV17" i="14"/>
  <c r="BU17" i="14"/>
  <c r="BT17" i="14"/>
  <c r="BS17" i="14"/>
  <c r="BR17" i="14"/>
  <c r="BQ17" i="14"/>
  <c r="BP17" i="14"/>
  <c r="BO17" i="14"/>
  <c r="BN17" i="14"/>
  <c r="BM17" i="14"/>
  <c r="BL17" i="14"/>
  <c r="BK17" i="14"/>
  <c r="BJ17" i="14"/>
  <c r="BI17" i="14"/>
  <c r="BH17" i="14"/>
  <c r="BG17" i="14"/>
  <c r="BF17" i="14"/>
  <c r="BE17" i="14"/>
  <c r="BD17" i="14"/>
  <c r="BC17" i="14"/>
  <c r="BB17" i="14"/>
  <c r="BA17" i="14"/>
  <c r="AZ17" i="14"/>
  <c r="AY17" i="14"/>
  <c r="AX17" i="14"/>
  <c r="AW17" i="14"/>
  <c r="AV17" i="14"/>
  <c r="AU17" i="14"/>
  <c r="AT17" i="14"/>
  <c r="AS17" i="14"/>
  <c r="AR17" i="14"/>
  <c r="AQ17" i="14"/>
  <c r="AP17" i="14"/>
  <c r="AO17" i="14"/>
  <c r="AN17" i="14"/>
  <c r="AM17" i="14"/>
  <c r="AL17" i="14"/>
  <c r="AK17" i="14"/>
  <c r="AJ17" i="14"/>
  <c r="AI17" i="14"/>
  <c r="AH17" i="14"/>
  <c r="AG17" i="14"/>
  <c r="AF17" i="14"/>
  <c r="AE17" i="14"/>
  <c r="AD17" i="14"/>
  <c r="AC17" i="14"/>
  <c r="AB17" i="14"/>
  <c r="AA17" i="14"/>
  <c r="Z17" i="14"/>
  <c r="Y17" i="14"/>
  <c r="X17" i="14"/>
  <c r="W17" i="14"/>
  <c r="V17" i="14"/>
  <c r="U17" i="14"/>
  <c r="T17" i="14"/>
  <c r="S17" i="14"/>
  <c r="Q17" i="14"/>
  <c r="P17" i="14"/>
  <c r="O17" i="14"/>
  <c r="N17" i="14"/>
  <c r="L17" i="14"/>
  <c r="K17" i="14"/>
  <c r="J17" i="14"/>
  <c r="H17" i="14"/>
  <c r="E17" i="14"/>
  <c r="D17" i="14"/>
  <c r="C17" i="14"/>
  <c r="B17" i="14"/>
  <c r="FF16" i="14"/>
  <c r="FE16" i="14"/>
  <c r="FD16" i="14"/>
  <c r="FC16" i="14"/>
  <c r="FB16" i="14"/>
  <c r="FA16" i="14"/>
  <c r="EZ16" i="14"/>
  <c r="EY16" i="14"/>
  <c r="EX16" i="14"/>
  <c r="EW16" i="14"/>
  <c r="EV16" i="14"/>
  <c r="EU16" i="14"/>
  <c r="ET16" i="14"/>
  <c r="ES16" i="14"/>
  <c r="ER16" i="14"/>
  <c r="EQ16" i="14"/>
  <c r="EP16" i="14"/>
  <c r="EO16" i="14"/>
  <c r="EN16" i="14"/>
  <c r="EM16" i="14"/>
  <c r="EL16" i="14"/>
  <c r="EK16" i="14"/>
  <c r="EJ16" i="14"/>
  <c r="EI16" i="14"/>
  <c r="EH16" i="14"/>
  <c r="EG16" i="14"/>
  <c r="EF16" i="14"/>
  <c r="EE16" i="14"/>
  <c r="ED16" i="14"/>
  <c r="EC16" i="14"/>
  <c r="EB16" i="14"/>
  <c r="EA16" i="14"/>
  <c r="DZ16" i="14"/>
  <c r="DY16" i="14"/>
  <c r="DX16" i="14"/>
  <c r="DW16" i="14"/>
  <c r="DV16" i="14"/>
  <c r="DU16" i="14"/>
  <c r="DT16" i="14"/>
  <c r="DS16" i="14"/>
  <c r="DR16" i="14"/>
  <c r="DQ16" i="14"/>
  <c r="DP16" i="14"/>
  <c r="DO16" i="14"/>
  <c r="DN16" i="14"/>
  <c r="DM16" i="14"/>
  <c r="DL16" i="14"/>
  <c r="DK16" i="14"/>
  <c r="DJ16" i="14"/>
  <c r="DI16" i="14"/>
  <c r="DH16" i="14"/>
  <c r="DG16" i="14"/>
  <c r="DF16" i="14"/>
  <c r="DE16" i="14"/>
  <c r="DD16" i="14"/>
  <c r="DC16" i="14"/>
  <c r="DB16" i="14"/>
  <c r="DA16" i="14"/>
  <c r="CZ16" i="14"/>
  <c r="CY16" i="14"/>
  <c r="CX16" i="14"/>
  <c r="CW16" i="14"/>
  <c r="CV16" i="14"/>
  <c r="CU16" i="14"/>
  <c r="CT16" i="14"/>
  <c r="CS16" i="14"/>
  <c r="CR16" i="14"/>
  <c r="CQ16" i="14"/>
  <c r="CP16" i="14"/>
  <c r="CO16" i="14"/>
  <c r="CN16" i="14"/>
  <c r="CM16" i="14"/>
  <c r="CL16" i="14"/>
  <c r="CK16" i="14"/>
  <c r="CJ16" i="14"/>
  <c r="CI16" i="14"/>
  <c r="CH16" i="14"/>
  <c r="CG16" i="14"/>
  <c r="CF16" i="14"/>
  <c r="CE16" i="14"/>
  <c r="CD16" i="14"/>
  <c r="CC16" i="14"/>
  <c r="CB16" i="14"/>
  <c r="CA16" i="14"/>
  <c r="BZ16" i="14"/>
  <c r="BY16" i="14"/>
  <c r="BX16" i="14"/>
  <c r="BW16" i="14"/>
  <c r="BV16" i="14"/>
  <c r="BU16" i="14"/>
  <c r="BT16" i="14"/>
  <c r="BS16" i="14"/>
  <c r="BR16" i="14"/>
  <c r="BQ16" i="14"/>
  <c r="BP16" i="14"/>
  <c r="BO16" i="14"/>
  <c r="BN16" i="14"/>
  <c r="BM16" i="14"/>
  <c r="BL16" i="14"/>
  <c r="BK16" i="14"/>
  <c r="BJ16" i="14"/>
  <c r="BI16" i="14"/>
  <c r="BH16" i="14"/>
  <c r="BG16" i="14"/>
  <c r="BF16" i="14"/>
  <c r="BE16" i="14"/>
  <c r="BD16" i="14"/>
  <c r="BC16" i="14"/>
  <c r="BB16" i="14"/>
  <c r="BA16" i="14"/>
  <c r="AZ16" i="14"/>
  <c r="AY16" i="14"/>
  <c r="AX16" i="14"/>
  <c r="AW16" i="14"/>
  <c r="AV16" i="14"/>
  <c r="AU16" i="14"/>
  <c r="AT16" i="14"/>
  <c r="AS16" i="14"/>
  <c r="AR16" i="14"/>
  <c r="AQ16" i="14"/>
  <c r="AP16" i="14"/>
  <c r="AO16" i="14"/>
  <c r="AN16" i="14"/>
  <c r="AM16" i="14"/>
  <c r="AL16" i="14"/>
  <c r="AK16" i="14"/>
  <c r="AJ16" i="14"/>
  <c r="AI16" i="14"/>
  <c r="AH16" i="14"/>
  <c r="AG16" i="14"/>
  <c r="AF16" i="14"/>
  <c r="AE16" i="14"/>
  <c r="AD16" i="14"/>
  <c r="AC16" i="14"/>
  <c r="AB16" i="14"/>
  <c r="AA16" i="14"/>
  <c r="Z16" i="14"/>
  <c r="Y16" i="14"/>
  <c r="X16" i="14"/>
  <c r="W16" i="14"/>
  <c r="V16" i="14"/>
  <c r="U16" i="14"/>
  <c r="T16" i="14"/>
  <c r="S16" i="14"/>
  <c r="Q16" i="14"/>
  <c r="P16" i="14"/>
  <c r="O16" i="14"/>
  <c r="N16" i="14"/>
  <c r="L16" i="14"/>
  <c r="K16" i="14"/>
  <c r="J16" i="14"/>
  <c r="H16" i="14"/>
  <c r="E16" i="14"/>
  <c r="D16" i="14"/>
  <c r="C16" i="14"/>
  <c r="B16" i="14"/>
  <c r="FF15" i="14"/>
  <c r="FE15" i="14"/>
  <c r="FD15" i="14"/>
  <c r="FC15" i="14"/>
  <c r="FB15" i="14"/>
  <c r="FA15" i="14"/>
  <c r="EZ15" i="14"/>
  <c r="EY15" i="14"/>
  <c r="EX15" i="14"/>
  <c r="EW15" i="14"/>
  <c r="EV15" i="14"/>
  <c r="EU15" i="14"/>
  <c r="ET15" i="14"/>
  <c r="ES15" i="14"/>
  <c r="ER15" i="14"/>
  <c r="EQ15" i="14"/>
  <c r="EP15" i="14"/>
  <c r="EO15" i="14"/>
  <c r="EN15" i="14"/>
  <c r="EM15" i="14"/>
  <c r="EL15" i="14"/>
  <c r="EK15" i="14"/>
  <c r="EJ15" i="14"/>
  <c r="EI15" i="14"/>
  <c r="EH15" i="14"/>
  <c r="EG15" i="14"/>
  <c r="EF15" i="14"/>
  <c r="EE15" i="14"/>
  <c r="ED15" i="14"/>
  <c r="EC15" i="14"/>
  <c r="EB15" i="14"/>
  <c r="EA15" i="14"/>
  <c r="DZ15" i="14"/>
  <c r="DY15" i="14"/>
  <c r="DX15" i="14"/>
  <c r="DW15" i="14"/>
  <c r="DV15" i="14"/>
  <c r="DU15" i="14"/>
  <c r="DT15" i="14"/>
  <c r="DS15" i="14"/>
  <c r="DR15" i="14"/>
  <c r="DQ15" i="14"/>
  <c r="DP15" i="14"/>
  <c r="DO15" i="14"/>
  <c r="DN15" i="14"/>
  <c r="DM15" i="14"/>
  <c r="DL15" i="14"/>
  <c r="DK15" i="14"/>
  <c r="DJ15" i="14"/>
  <c r="DI15" i="14"/>
  <c r="DH15" i="14"/>
  <c r="DG15" i="14"/>
  <c r="DF15" i="14"/>
  <c r="DE15" i="14"/>
  <c r="DD15" i="14"/>
  <c r="DC15" i="14"/>
  <c r="DB15" i="14"/>
  <c r="DA15" i="14"/>
  <c r="CZ15" i="14"/>
  <c r="CY15" i="14"/>
  <c r="CX15" i="14"/>
  <c r="CW15" i="14"/>
  <c r="CV15" i="14"/>
  <c r="CU15" i="14"/>
  <c r="CT15" i="14"/>
  <c r="CS15" i="14"/>
  <c r="CR15" i="14"/>
  <c r="CQ15" i="14"/>
  <c r="CP15" i="14"/>
  <c r="CO15" i="14"/>
  <c r="CN15" i="14"/>
  <c r="CM15" i="14"/>
  <c r="CL15" i="14"/>
  <c r="CK15" i="14"/>
  <c r="CJ15" i="14"/>
  <c r="CI15" i="14"/>
  <c r="CH15" i="14"/>
  <c r="CG15" i="14"/>
  <c r="CF15" i="14"/>
  <c r="CE15" i="14"/>
  <c r="CD15" i="14"/>
  <c r="CC15" i="14"/>
  <c r="CB15" i="14"/>
  <c r="CA15" i="14"/>
  <c r="BZ15" i="14"/>
  <c r="BY15" i="14"/>
  <c r="BX15" i="14"/>
  <c r="BW15" i="14"/>
  <c r="BV15" i="14"/>
  <c r="BU15" i="14"/>
  <c r="BT15" i="14"/>
  <c r="BS15" i="14"/>
  <c r="BR15" i="14"/>
  <c r="BQ15" i="14"/>
  <c r="BP15" i="14"/>
  <c r="BO15" i="14"/>
  <c r="BN15" i="14"/>
  <c r="BM15" i="14"/>
  <c r="BL15" i="14"/>
  <c r="BK15" i="14"/>
  <c r="BJ15" i="14"/>
  <c r="BI15" i="14"/>
  <c r="BH15" i="14"/>
  <c r="BG15" i="14"/>
  <c r="BF15" i="14"/>
  <c r="BE15" i="14"/>
  <c r="BD15" i="14"/>
  <c r="BC15" i="14"/>
  <c r="BB15" i="14"/>
  <c r="BA15" i="14"/>
  <c r="AZ15" i="14"/>
  <c r="AY15" i="14"/>
  <c r="AX15" i="14"/>
  <c r="AW15" i="14"/>
  <c r="AV15" i="14"/>
  <c r="AU15" i="14"/>
  <c r="AT15" i="14"/>
  <c r="AS15" i="14"/>
  <c r="AR15" i="14"/>
  <c r="AQ15" i="14"/>
  <c r="AP15" i="14"/>
  <c r="AO15" i="14"/>
  <c r="AN15" i="14"/>
  <c r="AM15" i="14"/>
  <c r="AL15" i="14"/>
  <c r="AK15" i="14"/>
  <c r="AJ15" i="14"/>
  <c r="AI15" i="14"/>
  <c r="AH15" i="14"/>
  <c r="AG15" i="14"/>
  <c r="AF15" i="14"/>
  <c r="AE15" i="14"/>
  <c r="AD15" i="14"/>
  <c r="AC15" i="14"/>
  <c r="AB15" i="14"/>
  <c r="AA15" i="14"/>
  <c r="Z15" i="14"/>
  <c r="Y15" i="14"/>
  <c r="X15" i="14"/>
  <c r="W15" i="14"/>
  <c r="V15" i="14"/>
  <c r="U15" i="14"/>
  <c r="T15" i="14"/>
  <c r="S15" i="14"/>
  <c r="Q15" i="14"/>
  <c r="P15" i="14"/>
  <c r="O15" i="14"/>
  <c r="N15" i="14"/>
  <c r="L15" i="14"/>
  <c r="K15" i="14"/>
  <c r="J15" i="14"/>
  <c r="H15" i="14"/>
  <c r="E15" i="14"/>
  <c r="D15" i="14"/>
  <c r="C15" i="14"/>
  <c r="B15" i="14"/>
  <c r="FF14" i="14"/>
  <c r="FE14" i="14"/>
  <c r="FD14" i="14"/>
  <c r="FC14" i="14"/>
  <c r="FB14" i="14"/>
  <c r="FA14" i="14"/>
  <c r="EZ14" i="14"/>
  <c r="EY14" i="14"/>
  <c r="EX14" i="14"/>
  <c r="EW14" i="14"/>
  <c r="EV14" i="14"/>
  <c r="EU14" i="14"/>
  <c r="ET14" i="14"/>
  <c r="ES14" i="14"/>
  <c r="ER14" i="14"/>
  <c r="EQ14" i="14"/>
  <c r="EP14" i="14"/>
  <c r="EO14" i="14"/>
  <c r="EN14" i="14"/>
  <c r="EM14" i="14"/>
  <c r="EL14" i="14"/>
  <c r="EK14" i="14"/>
  <c r="EJ14" i="14"/>
  <c r="EI14" i="14"/>
  <c r="EH14" i="14"/>
  <c r="EG14" i="14"/>
  <c r="EF14" i="14"/>
  <c r="EE14" i="14"/>
  <c r="ED14" i="14"/>
  <c r="EC14" i="14"/>
  <c r="EB14" i="14"/>
  <c r="EA14" i="14"/>
  <c r="DZ14" i="14"/>
  <c r="DY14" i="14"/>
  <c r="DX14" i="14"/>
  <c r="DW14" i="14"/>
  <c r="DV14" i="14"/>
  <c r="DU14" i="14"/>
  <c r="DT14" i="14"/>
  <c r="DS14" i="14"/>
  <c r="DR14" i="14"/>
  <c r="DQ14" i="14"/>
  <c r="DP14" i="14"/>
  <c r="DO14" i="14"/>
  <c r="DN14" i="14"/>
  <c r="DM14" i="14"/>
  <c r="DL14" i="14"/>
  <c r="DK14" i="14"/>
  <c r="DJ14" i="14"/>
  <c r="DI14" i="14"/>
  <c r="DH14" i="14"/>
  <c r="DG14" i="14"/>
  <c r="DF14" i="14"/>
  <c r="DE14" i="14"/>
  <c r="DD14" i="14"/>
  <c r="DC14" i="14"/>
  <c r="DB14" i="14"/>
  <c r="DA14" i="14"/>
  <c r="CZ14" i="14"/>
  <c r="CY14" i="14"/>
  <c r="CX14" i="14"/>
  <c r="CW14" i="14"/>
  <c r="CV14" i="14"/>
  <c r="CU14" i="14"/>
  <c r="CT14" i="14"/>
  <c r="CS14" i="14"/>
  <c r="CR14" i="14"/>
  <c r="CQ14" i="14"/>
  <c r="CP14" i="14"/>
  <c r="CO14" i="14"/>
  <c r="CN14" i="14"/>
  <c r="CM14" i="14"/>
  <c r="CL14" i="14"/>
  <c r="CK14" i="14"/>
  <c r="CJ14" i="14"/>
  <c r="CI14" i="14"/>
  <c r="CH14" i="14"/>
  <c r="CG14" i="14"/>
  <c r="CF14" i="14"/>
  <c r="CE14" i="14"/>
  <c r="CD14" i="14"/>
  <c r="CC14" i="14"/>
  <c r="CB14" i="14"/>
  <c r="CA14" i="14"/>
  <c r="BZ14" i="14"/>
  <c r="BY14" i="14"/>
  <c r="BX14" i="14"/>
  <c r="BW14" i="14"/>
  <c r="BV14" i="14"/>
  <c r="BU14" i="14"/>
  <c r="BT14" i="14"/>
  <c r="BS14" i="14"/>
  <c r="BR14" i="14"/>
  <c r="BQ14" i="14"/>
  <c r="BP14" i="14"/>
  <c r="BO14" i="14"/>
  <c r="BN14" i="14"/>
  <c r="BM14" i="14"/>
  <c r="BL14" i="14"/>
  <c r="BK14" i="14"/>
  <c r="BJ14" i="14"/>
  <c r="BI14" i="14"/>
  <c r="BH14" i="14"/>
  <c r="BG14" i="14"/>
  <c r="BF14" i="14"/>
  <c r="BE14" i="14"/>
  <c r="BD14" i="14"/>
  <c r="BC14" i="14"/>
  <c r="BB14" i="14"/>
  <c r="BA14" i="14"/>
  <c r="AZ14" i="14"/>
  <c r="AY14" i="14"/>
  <c r="AX14" i="14"/>
  <c r="AW14" i="14"/>
  <c r="AV14" i="14"/>
  <c r="AU14" i="14"/>
  <c r="AT14" i="14"/>
  <c r="AS14" i="14"/>
  <c r="AR14" i="14"/>
  <c r="AQ14" i="14"/>
  <c r="AP14" i="14"/>
  <c r="AO14" i="14"/>
  <c r="AN14" i="14"/>
  <c r="AM14" i="14"/>
  <c r="AL14" i="14"/>
  <c r="AK14" i="14"/>
  <c r="AJ14" i="14"/>
  <c r="AI14" i="14"/>
  <c r="AH14" i="14"/>
  <c r="AG14" i="14"/>
  <c r="AF14" i="14"/>
  <c r="AE14" i="14"/>
  <c r="AD14" i="14"/>
  <c r="AC14" i="14"/>
  <c r="AB14" i="14"/>
  <c r="AA14" i="14"/>
  <c r="Z14" i="14"/>
  <c r="Y14" i="14"/>
  <c r="X14" i="14"/>
  <c r="W14" i="14"/>
  <c r="V14" i="14"/>
  <c r="U14" i="14"/>
  <c r="T14" i="14"/>
  <c r="S14" i="14"/>
  <c r="Q14" i="14"/>
  <c r="P14" i="14"/>
  <c r="O14" i="14"/>
  <c r="N14" i="14"/>
  <c r="L14" i="14"/>
  <c r="K14" i="14"/>
  <c r="J14" i="14"/>
  <c r="H14" i="14"/>
  <c r="E14" i="14"/>
  <c r="D14" i="14"/>
  <c r="C14" i="14"/>
  <c r="B14" i="14"/>
  <c r="FF13" i="14"/>
  <c r="FE13" i="14"/>
  <c r="FD13" i="14"/>
  <c r="FC13" i="14"/>
  <c r="FB13" i="14"/>
  <c r="FA13" i="14"/>
  <c r="EZ13" i="14"/>
  <c r="EY13" i="14"/>
  <c r="EX13" i="14"/>
  <c r="EW13" i="14"/>
  <c r="EV13" i="14"/>
  <c r="EU13" i="14"/>
  <c r="ET13" i="14"/>
  <c r="ES13" i="14"/>
  <c r="ER13" i="14"/>
  <c r="EQ13" i="14"/>
  <c r="EP13" i="14"/>
  <c r="EO13" i="14"/>
  <c r="EN13" i="14"/>
  <c r="EM13" i="14"/>
  <c r="EL13" i="14"/>
  <c r="EK13" i="14"/>
  <c r="EJ13" i="14"/>
  <c r="EI13" i="14"/>
  <c r="EH13" i="14"/>
  <c r="EG13" i="14"/>
  <c r="EF13" i="14"/>
  <c r="EE13" i="14"/>
  <c r="ED13" i="14"/>
  <c r="EC13" i="14"/>
  <c r="EB13" i="14"/>
  <c r="EA13" i="14"/>
  <c r="DZ13" i="14"/>
  <c r="DY13" i="14"/>
  <c r="DX13" i="14"/>
  <c r="DW13" i="14"/>
  <c r="DV13" i="14"/>
  <c r="DU13" i="14"/>
  <c r="DT13" i="14"/>
  <c r="DS13" i="14"/>
  <c r="DR13" i="14"/>
  <c r="DQ13" i="14"/>
  <c r="DP13" i="14"/>
  <c r="DO13" i="14"/>
  <c r="DN13" i="14"/>
  <c r="DM13" i="14"/>
  <c r="DL13" i="14"/>
  <c r="DK13" i="14"/>
  <c r="DJ13" i="14"/>
  <c r="DI13" i="14"/>
  <c r="DH13" i="14"/>
  <c r="DG13" i="14"/>
  <c r="DF13" i="14"/>
  <c r="DE13" i="14"/>
  <c r="DD13" i="14"/>
  <c r="DC13" i="14"/>
  <c r="DB13" i="14"/>
  <c r="DA13" i="14"/>
  <c r="CZ13" i="14"/>
  <c r="CY13" i="14"/>
  <c r="CX13" i="14"/>
  <c r="CW13" i="14"/>
  <c r="CV13" i="14"/>
  <c r="CU13" i="14"/>
  <c r="CT13" i="14"/>
  <c r="CS13" i="14"/>
  <c r="CR13" i="14"/>
  <c r="CQ13" i="14"/>
  <c r="CP13" i="14"/>
  <c r="CO13" i="14"/>
  <c r="CN13" i="14"/>
  <c r="CM13" i="14"/>
  <c r="CL13" i="14"/>
  <c r="CK13" i="14"/>
  <c r="CJ13" i="14"/>
  <c r="CI13" i="14"/>
  <c r="CH13" i="14"/>
  <c r="CG13" i="14"/>
  <c r="CF13" i="14"/>
  <c r="CE13" i="14"/>
  <c r="CD13" i="14"/>
  <c r="CC13" i="14"/>
  <c r="CB13" i="14"/>
  <c r="CA13" i="14"/>
  <c r="BZ13" i="14"/>
  <c r="BY13" i="14"/>
  <c r="BX13" i="14"/>
  <c r="BW13" i="14"/>
  <c r="BV13" i="14"/>
  <c r="BU13" i="14"/>
  <c r="BT13" i="14"/>
  <c r="BS13" i="14"/>
  <c r="BR13" i="14"/>
  <c r="BQ13" i="14"/>
  <c r="BP13" i="14"/>
  <c r="BO13" i="14"/>
  <c r="BN13" i="14"/>
  <c r="BM13" i="14"/>
  <c r="BL13" i="14"/>
  <c r="BK13" i="14"/>
  <c r="BJ13" i="14"/>
  <c r="BI13" i="14"/>
  <c r="BH13" i="14"/>
  <c r="BG13" i="14"/>
  <c r="BF13" i="14"/>
  <c r="BE13" i="14"/>
  <c r="BD13" i="14"/>
  <c r="BC13" i="14"/>
  <c r="BB13" i="14"/>
  <c r="BA13" i="14"/>
  <c r="AZ13" i="14"/>
  <c r="AY13" i="14"/>
  <c r="AX13" i="14"/>
  <c r="AW13" i="14"/>
  <c r="AV13" i="14"/>
  <c r="AU13" i="14"/>
  <c r="AT13" i="14"/>
  <c r="AS13" i="14"/>
  <c r="AR13" i="14"/>
  <c r="AQ13" i="14"/>
  <c r="AP13" i="14"/>
  <c r="AO13" i="14"/>
  <c r="AN13" i="14"/>
  <c r="AM13" i="14"/>
  <c r="AL13" i="14"/>
  <c r="AK13" i="14"/>
  <c r="AJ13" i="14"/>
  <c r="AI13" i="14"/>
  <c r="AH13" i="14"/>
  <c r="AG13" i="14"/>
  <c r="AF13" i="14"/>
  <c r="AE13" i="14"/>
  <c r="AD13" i="14"/>
  <c r="AC13" i="14"/>
  <c r="AB13" i="14"/>
  <c r="AA13" i="14"/>
  <c r="Z13" i="14"/>
  <c r="Y13" i="14"/>
  <c r="X13" i="14"/>
  <c r="W13" i="14"/>
  <c r="V13" i="14"/>
  <c r="U13" i="14"/>
  <c r="T13" i="14"/>
  <c r="S13" i="14"/>
  <c r="Q13" i="14"/>
  <c r="P13" i="14"/>
  <c r="O13" i="14"/>
  <c r="N13" i="14"/>
  <c r="L13" i="14"/>
  <c r="K13" i="14"/>
  <c r="J13" i="14"/>
  <c r="H13" i="14"/>
  <c r="E13" i="14"/>
  <c r="D13" i="14"/>
  <c r="C13" i="14"/>
  <c r="B13" i="14"/>
  <c r="FF12" i="14"/>
  <c r="FE12" i="14"/>
  <c r="FD12" i="14"/>
  <c r="FC12" i="14"/>
  <c r="FB12" i="14"/>
  <c r="FA12" i="14"/>
  <c r="EZ12" i="14"/>
  <c r="EY12" i="14"/>
  <c r="EX12" i="14"/>
  <c r="EW12" i="14"/>
  <c r="EV12" i="14"/>
  <c r="EU12" i="14"/>
  <c r="ET12" i="14"/>
  <c r="ES12" i="14"/>
  <c r="ER12" i="14"/>
  <c r="EQ12" i="14"/>
  <c r="EP12" i="14"/>
  <c r="EO12" i="14"/>
  <c r="EN12" i="14"/>
  <c r="EM12" i="14"/>
  <c r="EL12" i="14"/>
  <c r="EK12" i="14"/>
  <c r="EJ12" i="14"/>
  <c r="EI12" i="14"/>
  <c r="EH12" i="14"/>
  <c r="EG12" i="14"/>
  <c r="EF12" i="14"/>
  <c r="EE12" i="14"/>
  <c r="ED12" i="14"/>
  <c r="EC12" i="14"/>
  <c r="EB12" i="14"/>
  <c r="EA12" i="14"/>
  <c r="DZ12" i="14"/>
  <c r="DY12" i="14"/>
  <c r="DX12" i="14"/>
  <c r="DW12" i="14"/>
  <c r="DV12" i="14"/>
  <c r="DU12" i="14"/>
  <c r="DT12" i="14"/>
  <c r="DS12" i="14"/>
  <c r="DR12" i="14"/>
  <c r="DQ12" i="14"/>
  <c r="DP12" i="14"/>
  <c r="DO12" i="14"/>
  <c r="DN12" i="14"/>
  <c r="DM12" i="14"/>
  <c r="DL12" i="14"/>
  <c r="DK12" i="14"/>
  <c r="DJ12" i="14"/>
  <c r="DI12" i="14"/>
  <c r="DH12" i="14"/>
  <c r="DG12" i="14"/>
  <c r="DF12" i="14"/>
  <c r="DE12" i="14"/>
  <c r="DD12" i="14"/>
  <c r="DC12" i="14"/>
  <c r="DB12" i="14"/>
  <c r="DA12" i="14"/>
  <c r="CZ12" i="14"/>
  <c r="CY12" i="14"/>
  <c r="CX12" i="14"/>
  <c r="CW12" i="14"/>
  <c r="CV12" i="14"/>
  <c r="CU12" i="14"/>
  <c r="CT12" i="14"/>
  <c r="CS12" i="14"/>
  <c r="CR12" i="14"/>
  <c r="CQ12" i="14"/>
  <c r="CP12" i="14"/>
  <c r="CO12" i="14"/>
  <c r="CN12" i="14"/>
  <c r="CM12" i="14"/>
  <c r="CL12" i="14"/>
  <c r="CK12" i="14"/>
  <c r="CJ12" i="14"/>
  <c r="CI12" i="14"/>
  <c r="CH12" i="14"/>
  <c r="CG12" i="14"/>
  <c r="CF12" i="14"/>
  <c r="CE12" i="14"/>
  <c r="CD12" i="14"/>
  <c r="CC12" i="14"/>
  <c r="CB12" i="14"/>
  <c r="CA12" i="14"/>
  <c r="BZ12" i="14"/>
  <c r="BY12" i="14"/>
  <c r="BX12" i="14"/>
  <c r="BW12" i="14"/>
  <c r="BV12" i="14"/>
  <c r="BU12" i="14"/>
  <c r="BT12" i="14"/>
  <c r="BS12" i="14"/>
  <c r="BR12" i="14"/>
  <c r="BQ12" i="14"/>
  <c r="BP12" i="14"/>
  <c r="BO12" i="14"/>
  <c r="BN12" i="14"/>
  <c r="BM12" i="14"/>
  <c r="BL12" i="14"/>
  <c r="BK12" i="14"/>
  <c r="BJ12" i="14"/>
  <c r="BI12" i="14"/>
  <c r="BH12" i="14"/>
  <c r="BG12" i="14"/>
  <c r="BF12" i="14"/>
  <c r="BE12" i="14"/>
  <c r="BD12" i="14"/>
  <c r="BC12" i="14"/>
  <c r="BB12" i="14"/>
  <c r="BA12" i="14"/>
  <c r="AZ12" i="14"/>
  <c r="AY12" i="14"/>
  <c r="AX12" i="14"/>
  <c r="AW12" i="14"/>
  <c r="AV12" i="14"/>
  <c r="AU12" i="14"/>
  <c r="AT12" i="14"/>
  <c r="AS12" i="14"/>
  <c r="AR12" i="14"/>
  <c r="AQ12" i="14"/>
  <c r="AP12" i="14"/>
  <c r="AO12" i="14"/>
  <c r="AN12" i="14"/>
  <c r="AM12" i="14"/>
  <c r="AL12" i="14"/>
  <c r="AK12" i="14"/>
  <c r="AJ12" i="14"/>
  <c r="AI12" i="14"/>
  <c r="AH12" i="14"/>
  <c r="AG12" i="14"/>
  <c r="AF12" i="14"/>
  <c r="AE12" i="14"/>
  <c r="AD12" i="14"/>
  <c r="AC12" i="14"/>
  <c r="AB12" i="14"/>
  <c r="AA12" i="14"/>
  <c r="Z12" i="14"/>
  <c r="Y12" i="14"/>
  <c r="X12" i="14"/>
  <c r="W12" i="14"/>
  <c r="V12" i="14"/>
  <c r="U12" i="14"/>
  <c r="T12" i="14"/>
  <c r="S12" i="14"/>
  <c r="Q12" i="14"/>
  <c r="P12" i="14"/>
  <c r="O12" i="14"/>
  <c r="N12" i="14"/>
  <c r="L12" i="14"/>
  <c r="K12" i="14"/>
  <c r="J12" i="14"/>
  <c r="H12" i="14"/>
  <c r="E12" i="14"/>
  <c r="D12" i="14"/>
  <c r="C12" i="14"/>
  <c r="B12" i="14"/>
  <c r="FF11" i="14"/>
  <c r="FE11" i="14"/>
  <c r="FD11" i="14"/>
  <c r="FC11" i="14"/>
  <c r="FB11" i="14"/>
  <c r="FA11" i="14"/>
  <c r="EZ11" i="14"/>
  <c r="EY11" i="14"/>
  <c r="EX11" i="14"/>
  <c r="EW11" i="14"/>
  <c r="EV11" i="14"/>
  <c r="EU11" i="14"/>
  <c r="ET11" i="14"/>
  <c r="ES11" i="14"/>
  <c r="ER11" i="14"/>
  <c r="EQ11" i="14"/>
  <c r="EP11" i="14"/>
  <c r="EO11" i="14"/>
  <c r="EN11" i="14"/>
  <c r="EM11" i="14"/>
  <c r="EL11" i="14"/>
  <c r="EK11" i="14"/>
  <c r="EJ11" i="14"/>
  <c r="EI11" i="14"/>
  <c r="EH11" i="14"/>
  <c r="EG11" i="14"/>
  <c r="EF11" i="14"/>
  <c r="EE11" i="14"/>
  <c r="ED11" i="14"/>
  <c r="EC11" i="14"/>
  <c r="EB11" i="14"/>
  <c r="EA11" i="14"/>
  <c r="DZ11" i="14"/>
  <c r="DY11" i="14"/>
  <c r="DX11" i="14"/>
  <c r="DW11" i="14"/>
  <c r="DV11" i="14"/>
  <c r="DU11" i="14"/>
  <c r="DT11" i="14"/>
  <c r="DS11" i="14"/>
  <c r="DR11" i="14"/>
  <c r="DQ11" i="14"/>
  <c r="DP11" i="14"/>
  <c r="DO11" i="14"/>
  <c r="DN11" i="14"/>
  <c r="DM11" i="14"/>
  <c r="DL11" i="14"/>
  <c r="DK11" i="14"/>
  <c r="DJ11" i="14"/>
  <c r="DI11" i="14"/>
  <c r="DH11" i="14"/>
  <c r="DG11" i="14"/>
  <c r="DF11" i="14"/>
  <c r="DE11" i="14"/>
  <c r="DD11" i="14"/>
  <c r="DC11" i="14"/>
  <c r="DB11" i="14"/>
  <c r="DA11" i="14"/>
  <c r="CZ11" i="14"/>
  <c r="CY11" i="14"/>
  <c r="CX11" i="14"/>
  <c r="CW11" i="14"/>
  <c r="CV11" i="14"/>
  <c r="CU11" i="14"/>
  <c r="CT11" i="14"/>
  <c r="CS11" i="14"/>
  <c r="CR11" i="14"/>
  <c r="CQ11" i="14"/>
  <c r="CP11" i="14"/>
  <c r="CO11" i="14"/>
  <c r="CN11" i="14"/>
  <c r="CM11" i="14"/>
  <c r="CL11" i="14"/>
  <c r="CK11" i="14"/>
  <c r="CJ11" i="14"/>
  <c r="CI11" i="14"/>
  <c r="CH11" i="14"/>
  <c r="CG11" i="14"/>
  <c r="CF11" i="14"/>
  <c r="CE11" i="14"/>
  <c r="CD11" i="14"/>
  <c r="CC11" i="14"/>
  <c r="CB11" i="14"/>
  <c r="CA11" i="14"/>
  <c r="BZ11" i="14"/>
  <c r="BY11" i="14"/>
  <c r="BX11" i="14"/>
  <c r="BW11" i="14"/>
  <c r="BV11" i="14"/>
  <c r="BU11" i="14"/>
  <c r="BT11" i="14"/>
  <c r="BS11" i="14"/>
  <c r="BR11" i="14"/>
  <c r="BQ11" i="14"/>
  <c r="BP11" i="14"/>
  <c r="BO11" i="14"/>
  <c r="BN11" i="14"/>
  <c r="BM11" i="14"/>
  <c r="BL11" i="14"/>
  <c r="BK11" i="14"/>
  <c r="BJ11" i="14"/>
  <c r="BI11" i="14"/>
  <c r="BH11" i="14"/>
  <c r="BG11" i="14"/>
  <c r="BF11" i="14"/>
  <c r="BE11" i="14"/>
  <c r="BD11" i="14"/>
  <c r="BC11" i="14"/>
  <c r="BB11" i="14"/>
  <c r="BA11" i="14"/>
  <c r="AZ11" i="14"/>
  <c r="AY11" i="14"/>
  <c r="AX11" i="14"/>
  <c r="AW11" i="14"/>
  <c r="AV11" i="14"/>
  <c r="AU11" i="14"/>
  <c r="AT11" i="14"/>
  <c r="AS11" i="14"/>
  <c r="AR11" i="14"/>
  <c r="AQ11" i="14"/>
  <c r="AP11" i="14"/>
  <c r="AO11" i="14"/>
  <c r="AN11" i="14"/>
  <c r="AM11" i="14"/>
  <c r="AL11" i="14"/>
  <c r="AK11" i="14"/>
  <c r="AJ11" i="14"/>
  <c r="AI11" i="14"/>
  <c r="AH11" i="14"/>
  <c r="AG11" i="14"/>
  <c r="AF11" i="14"/>
  <c r="AE11" i="14"/>
  <c r="AD11" i="14"/>
  <c r="AC11" i="14"/>
  <c r="AB11" i="14"/>
  <c r="AA11" i="14"/>
  <c r="Z11" i="14"/>
  <c r="Y11" i="14"/>
  <c r="X11" i="14"/>
  <c r="W11" i="14"/>
  <c r="V11" i="14"/>
  <c r="U11" i="14"/>
  <c r="T11" i="14"/>
  <c r="S11" i="14"/>
  <c r="Q11" i="14"/>
  <c r="P11" i="14"/>
  <c r="O11" i="14"/>
  <c r="N11" i="14"/>
  <c r="L11" i="14"/>
  <c r="K11" i="14"/>
  <c r="J11" i="14"/>
  <c r="H11" i="14"/>
  <c r="E11" i="14"/>
  <c r="D11" i="14"/>
  <c r="C11" i="14"/>
  <c r="B11" i="14"/>
  <c r="FF10" i="14"/>
  <c r="FE10" i="14"/>
  <c r="FD10" i="14"/>
  <c r="FC10" i="14"/>
  <c r="FB10" i="14"/>
  <c r="FA10" i="14"/>
  <c r="EZ10" i="14"/>
  <c r="EY10" i="14"/>
  <c r="EX10" i="14"/>
  <c r="EW10" i="14"/>
  <c r="EV10" i="14"/>
  <c r="EU10" i="14"/>
  <c r="ET10" i="14"/>
  <c r="ES10" i="14"/>
  <c r="ER10" i="14"/>
  <c r="EQ10" i="14"/>
  <c r="EP10" i="14"/>
  <c r="EO10" i="14"/>
  <c r="EN10" i="14"/>
  <c r="EM10" i="14"/>
  <c r="EL10" i="14"/>
  <c r="EK10" i="14"/>
  <c r="EJ10" i="14"/>
  <c r="EI10" i="14"/>
  <c r="EH10" i="14"/>
  <c r="EG10" i="14"/>
  <c r="EF10" i="14"/>
  <c r="EE10" i="14"/>
  <c r="ED10" i="14"/>
  <c r="EC10" i="14"/>
  <c r="EB10" i="14"/>
  <c r="EA10" i="14"/>
  <c r="DZ10" i="14"/>
  <c r="DY10" i="14"/>
  <c r="DX10" i="14"/>
  <c r="DW10" i="14"/>
  <c r="DV10" i="14"/>
  <c r="DU10" i="14"/>
  <c r="DT10" i="14"/>
  <c r="DS10" i="14"/>
  <c r="DR10" i="14"/>
  <c r="DQ10" i="14"/>
  <c r="DP10" i="14"/>
  <c r="DO10" i="14"/>
  <c r="DN10" i="14"/>
  <c r="DM10" i="14"/>
  <c r="DL10" i="14"/>
  <c r="DK10" i="14"/>
  <c r="DJ10" i="14"/>
  <c r="DI10" i="14"/>
  <c r="DH10" i="14"/>
  <c r="DG10" i="14"/>
  <c r="DF10" i="14"/>
  <c r="DE10" i="14"/>
  <c r="DD10" i="14"/>
  <c r="DC10" i="14"/>
  <c r="DB10" i="14"/>
  <c r="DA10" i="14"/>
  <c r="CZ10" i="14"/>
  <c r="CY10" i="14"/>
  <c r="CX10" i="14"/>
  <c r="CW10" i="14"/>
  <c r="CV10" i="14"/>
  <c r="CU10" i="14"/>
  <c r="CT10" i="14"/>
  <c r="CS10" i="14"/>
  <c r="CR10" i="14"/>
  <c r="CQ10" i="14"/>
  <c r="CP10" i="14"/>
  <c r="CO10" i="14"/>
  <c r="CN10" i="14"/>
  <c r="CM10" i="14"/>
  <c r="CL10" i="14"/>
  <c r="CK10" i="14"/>
  <c r="CJ10" i="14"/>
  <c r="CI10" i="14"/>
  <c r="CH10" i="14"/>
  <c r="CG10" i="14"/>
  <c r="CF10" i="14"/>
  <c r="CE10" i="14"/>
  <c r="CD10" i="14"/>
  <c r="CC10" i="14"/>
  <c r="CB10" i="14"/>
  <c r="CA10" i="14"/>
  <c r="BZ10" i="14"/>
  <c r="BY10" i="14"/>
  <c r="BX10" i="14"/>
  <c r="BW10" i="14"/>
  <c r="BV10" i="14"/>
  <c r="BU10" i="14"/>
  <c r="BT10" i="14"/>
  <c r="BS10" i="14"/>
  <c r="BR10" i="14"/>
  <c r="BQ10" i="14"/>
  <c r="BP10" i="14"/>
  <c r="BO10" i="14"/>
  <c r="BN10" i="14"/>
  <c r="BM10" i="14"/>
  <c r="BL10" i="14"/>
  <c r="BK10" i="14"/>
  <c r="BJ10" i="14"/>
  <c r="BI10" i="14"/>
  <c r="BH10" i="14"/>
  <c r="BG10" i="14"/>
  <c r="BF10" i="14"/>
  <c r="BE10" i="14"/>
  <c r="BD10" i="14"/>
  <c r="BC10" i="14"/>
  <c r="BB10" i="14"/>
  <c r="BA10" i="14"/>
  <c r="AZ10" i="14"/>
  <c r="AY10" i="14"/>
  <c r="AX10" i="14"/>
  <c r="AW10" i="14"/>
  <c r="AV10" i="14"/>
  <c r="AU10" i="14"/>
  <c r="AT10" i="14"/>
  <c r="AS10" i="14"/>
  <c r="AR10" i="14"/>
  <c r="AQ10" i="14"/>
  <c r="AP10" i="14"/>
  <c r="AO10" i="14"/>
  <c r="AN10" i="14"/>
  <c r="AM10" i="14"/>
  <c r="AL10" i="14"/>
  <c r="AK10" i="14"/>
  <c r="AJ10" i="14"/>
  <c r="AI10" i="14"/>
  <c r="AH10" i="14"/>
  <c r="AG10" i="14"/>
  <c r="AF10" i="14"/>
  <c r="AE10" i="14"/>
  <c r="AD10" i="14"/>
  <c r="AC10" i="14"/>
  <c r="AB10" i="14"/>
  <c r="AA10" i="14"/>
  <c r="Z10" i="14"/>
  <c r="Y10" i="14"/>
  <c r="X10" i="14"/>
  <c r="W10" i="14"/>
  <c r="V10" i="14"/>
  <c r="U10" i="14"/>
  <c r="T10" i="14"/>
  <c r="S10" i="14"/>
  <c r="Q10" i="14"/>
  <c r="P10" i="14"/>
  <c r="O10" i="14"/>
  <c r="N10" i="14"/>
  <c r="L10" i="14"/>
  <c r="K10" i="14"/>
  <c r="J10" i="14"/>
  <c r="H10" i="14"/>
  <c r="E10" i="14"/>
  <c r="D10" i="14"/>
  <c r="C10" i="14"/>
  <c r="B10" i="14"/>
  <c r="FF9" i="14"/>
  <c r="FE9" i="14"/>
  <c r="FD9" i="14"/>
  <c r="FC9" i="14"/>
  <c r="FB9" i="14"/>
  <c r="FA9" i="14"/>
  <c r="EZ9" i="14"/>
  <c r="EY9" i="14"/>
  <c r="EX9" i="14"/>
  <c r="EW9" i="14"/>
  <c r="EV9" i="14"/>
  <c r="EU9" i="14"/>
  <c r="ET9" i="14"/>
  <c r="ES9" i="14"/>
  <c r="ER9" i="14"/>
  <c r="EQ9" i="14"/>
  <c r="EP9" i="14"/>
  <c r="EO9" i="14"/>
  <c r="EN9" i="14"/>
  <c r="EM9" i="14"/>
  <c r="EL9" i="14"/>
  <c r="EK9" i="14"/>
  <c r="EJ9" i="14"/>
  <c r="EI9" i="14"/>
  <c r="EH9" i="14"/>
  <c r="EG9" i="14"/>
  <c r="EF9" i="14"/>
  <c r="EE9" i="14"/>
  <c r="ED9" i="14"/>
  <c r="EC9" i="14"/>
  <c r="EB9" i="14"/>
  <c r="EA9" i="14"/>
  <c r="DZ9" i="14"/>
  <c r="DY9" i="14"/>
  <c r="DX9" i="14"/>
  <c r="DW9" i="14"/>
  <c r="DV9" i="14"/>
  <c r="DU9" i="14"/>
  <c r="DT9" i="14"/>
  <c r="DS9" i="14"/>
  <c r="DR9" i="14"/>
  <c r="DQ9" i="14"/>
  <c r="DP9" i="14"/>
  <c r="DO9" i="14"/>
  <c r="DN9" i="14"/>
  <c r="DM9" i="14"/>
  <c r="DL9" i="14"/>
  <c r="DK9" i="14"/>
  <c r="DJ9" i="14"/>
  <c r="DI9" i="14"/>
  <c r="DH9" i="14"/>
  <c r="DG9" i="14"/>
  <c r="DF9" i="14"/>
  <c r="DE9" i="14"/>
  <c r="DD9" i="14"/>
  <c r="DC9" i="14"/>
  <c r="DB9" i="14"/>
  <c r="DA9" i="14"/>
  <c r="CZ9" i="14"/>
  <c r="CY9" i="14"/>
  <c r="CX9" i="14"/>
  <c r="CW9" i="14"/>
  <c r="CV9" i="14"/>
  <c r="CU9" i="14"/>
  <c r="CT9" i="14"/>
  <c r="CS9" i="14"/>
  <c r="CR9" i="14"/>
  <c r="CQ9" i="14"/>
  <c r="CP9" i="14"/>
  <c r="CO9" i="14"/>
  <c r="CN9" i="14"/>
  <c r="CM9" i="14"/>
  <c r="CL9" i="14"/>
  <c r="CK9" i="14"/>
  <c r="CJ9" i="14"/>
  <c r="CI9" i="14"/>
  <c r="CH9" i="14"/>
  <c r="CG9" i="14"/>
  <c r="CF9" i="14"/>
  <c r="CE9" i="14"/>
  <c r="CD9" i="14"/>
  <c r="CC9" i="14"/>
  <c r="CB9" i="14"/>
  <c r="CA9" i="14"/>
  <c r="BZ9" i="14"/>
  <c r="BY9" i="14"/>
  <c r="BX9" i="14"/>
  <c r="BW9" i="14"/>
  <c r="BV9" i="14"/>
  <c r="BU9" i="14"/>
  <c r="BT9" i="14"/>
  <c r="BS9" i="14"/>
  <c r="BR9" i="14"/>
  <c r="BQ9" i="14"/>
  <c r="BP9" i="14"/>
  <c r="BO9" i="14"/>
  <c r="BN9" i="14"/>
  <c r="BM9" i="14"/>
  <c r="BL9" i="14"/>
  <c r="BK9" i="14"/>
  <c r="BJ9" i="14"/>
  <c r="BI9" i="14"/>
  <c r="BH9" i="14"/>
  <c r="BG9" i="14"/>
  <c r="BF9" i="14"/>
  <c r="BE9" i="14"/>
  <c r="BD9" i="14"/>
  <c r="BC9" i="14"/>
  <c r="BB9" i="14"/>
  <c r="BA9" i="14"/>
  <c r="AZ9" i="14"/>
  <c r="AY9" i="14"/>
  <c r="AX9" i="14"/>
  <c r="AW9" i="14"/>
  <c r="AV9" i="14"/>
  <c r="AU9" i="14"/>
  <c r="AT9" i="14"/>
  <c r="AS9" i="14"/>
  <c r="AR9" i="14"/>
  <c r="AQ9" i="14"/>
  <c r="AP9" i="14"/>
  <c r="AO9" i="14"/>
  <c r="AN9" i="14"/>
  <c r="AM9" i="14"/>
  <c r="AL9" i="14"/>
  <c r="AK9" i="14"/>
  <c r="AJ9" i="14"/>
  <c r="AI9" i="14"/>
  <c r="AH9" i="14"/>
  <c r="AG9" i="14"/>
  <c r="AF9" i="14"/>
  <c r="AE9" i="14"/>
  <c r="AD9" i="14"/>
  <c r="AC9" i="14"/>
  <c r="AB9" i="14"/>
  <c r="AA9" i="14"/>
  <c r="Z9" i="14"/>
  <c r="Y9" i="14"/>
  <c r="X9" i="14"/>
  <c r="W9" i="14"/>
  <c r="V9" i="14"/>
  <c r="U9" i="14"/>
  <c r="T9" i="14"/>
  <c r="S9" i="14"/>
  <c r="Q9" i="14"/>
  <c r="P9" i="14"/>
  <c r="O9" i="14"/>
  <c r="N9" i="14"/>
  <c r="L9" i="14"/>
  <c r="K9" i="14"/>
  <c r="J9" i="14"/>
  <c r="H9" i="14"/>
  <c r="E9" i="14"/>
  <c r="D9" i="14"/>
  <c r="C9" i="14"/>
  <c r="B9" i="14"/>
  <c r="FF8" i="14"/>
  <c r="FE8" i="14"/>
  <c r="FD8" i="14"/>
  <c r="FC8" i="14"/>
  <c r="FB8" i="14"/>
  <c r="FA8" i="14"/>
  <c r="EZ8" i="14"/>
  <c r="EY8" i="14"/>
  <c r="EX8" i="14"/>
  <c r="EW8" i="14"/>
  <c r="EV8" i="14"/>
  <c r="EU8" i="14"/>
  <c r="ET8" i="14"/>
  <c r="ES8" i="14"/>
  <c r="ER8" i="14"/>
  <c r="EQ8" i="14"/>
  <c r="EP8" i="14"/>
  <c r="EO8" i="14"/>
  <c r="EN8" i="14"/>
  <c r="EM8" i="14"/>
  <c r="EL8" i="14"/>
  <c r="EK8" i="14"/>
  <c r="EJ8" i="14"/>
  <c r="EI8" i="14"/>
  <c r="EH8" i="14"/>
  <c r="EG8" i="14"/>
  <c r="EF8" i="14"/>
  <c r="EE8" i="14"/>
  <c r="ED8" i="14"/>
  <c r="EC8" i="14"/>
  <c r="EB8" i="14"/>
  <c r="EA8" i="14"/>
  <c r="DZ8" i="14"/>
  <c r="DY8" i="14"/>
  <c r="DX8" i="14"/>
  <c r="DW8" i="14"/>
  <c r="DV8" i="14"/>
  <c r="DU8" i="14"/>
  <c r="DT8" i="14"/>
  <c r="DS8" i="14"/>
  <c r="DR8" i="14"/>
  <c r="DQ8" i="14"/>
  <c r="DP8" i="14"/>
  <c r="DO8" i="14"/>
  <c r="DN8" i="14"/>
  <c r="DM8" i="14"/>
  <c r="DL8" i="14"/>
  <c r="DK8" i="14"/>
  <c r="DJ8" i="14"/>
  <c r="DI8" i="14"/>
  <c r="DH8" i="14"/>
  <c r="DG8" i="14"/>
  <c r="DF8" i="14"/>
  <c r="DE8" i="14"/>
  <c r="DD8" i="14"/>
  <c r="DC8" i="14"/>
  <c r="DB8" i="14"/>
  <c r="DA8" i="14"/>
  <c r="CZ8" i="14"/>
  <c r="CY8" i="14"/>
  <c r="CX8" i="14"/>
  <c r="CW8" i="14"/>
  <c r="CV8" i="14"/>
  <c r="CU8" i="14"/>
  <c r="CT8" i="14"/>
  <c r="CS8" i="14"/>
  <c r="CR8" i="14"/>
  <c r="CQ8" i="14"/>
  <c r="CP8" i="14"/>
  <c r="CO8" i="14"/>
  <c r="CN8" i="14"/>
  <c r="CM8" i="14"/>
  <c r="CL8" i="14"/>
  <c r="CK8" i="14"/>
  <c r="CJ8" i="14"/>
  <c r="CI8" i="14"/>
  <c r="CH8" i="14"/>
  <c r="CG8" i="14"/>
  <c r="CF8" i="14"/>
  <c r="CE8" i="14"/>
  <c r="CD8" i="14"/>
  <c r="CC8" i="14"/>
  <c r="CB8" i="14"/>
  <c r="CA8" i="14"/>
  <c r="BZ8" i="14"/>
  <c r="BY8" i="14"/>
  <c r="BX8" i="14"/>
  <c r="BW8" i="14"/>
  <c r="BV8" i="14"/>
  <c r="BU8" i="14"/>
  <c r="BT8" i="14"/>
  <c r="BS8" i="14"/>
  <c r="BR8" i="14"/>
  <c r="BQ8" i="14"/>
  <c r="BP8" i="14"/>
  <c r="BO8" i="14"/>
  <c r="BN8" i="14"/>
  <c r="BM8" i="14"/>
  <c r="BL8" i="14"/>
  <c r="BK8" i="14"/>
  <c r="BJ8" i="14"/>
  <c r="BI8" i="14"/>
  <c r="BH8" i="14"/>
  <c r="BG8" i="14"/>
  <c r="BF8" i="14"/>
  <c r="BE8" i="14"/>
  <c r="BD8" i="14"/>
  <c r="BC8" i="14"/>
  <c r="BB8" i="14"/>
  <c r="BA8" i="14"/>
  <c r="AZ8" i="14"/>
  <c r="AY8" i="14"/>
  <c r="AX8" i="14"/>
  <c r="AW8" i="14"/>
  <c r="AV8" i="14"/>
  <c r="AU8" i="14"/>
  <c r="AT8" i="14"/>
  <c r="AS8" i="14"/>
  <c r="AR8" i="14"/>
  <c r="AQ8" i="14"/>
  <c r="AP8" i="14"/>
  <c r="AO8" i="14"/>
  <c r="AN8" i="14"/>
  <c r="AM8" i="14"/>
  <c r="AL8" i="14"/>
  <c r="AK8" i="14"/>
  <c r="AJ8" i="14"/>
  <c r="AI8" i="14"/>
  <c r="AH8" i="14"/>
  <c r="AG8" i="14"/>
  <c r="AF8" i="14"/>
  <c r="AE8" i="14"/>
  <c r="AD8" i="14"/>
  <c r="AC8" i="14"/>
  <c r="AB8" i="14"/>
  <c r="AA8" i="14"/>
  <c r="Z8" i="14"/>
  <c r="Y8" i="14"/>
  <c r="X8" i="14"/>
  <c r="W8" i="14"/>
  <c r="V8" i="14"/>
  <c r="U8" i="14"/>
  <c r="T8" i="14"/>
  <c r="S8" i="14"/>
  <c r="Q8" i="14"/>
  <c r="P8" i="14"/>
  <c r="O8" i="14"/>
  <c r="N8" i="14"/>
  <c r="L8" i="14"/>
  <c r="K8" i="14"/>
  <c r="J8" i="14"/>
  <c r="I8" i="14"/>
  <c r="H8" i="14"/>
  <c r="E8" i="14"/>
  <c r="D8" i="14"/>
  <c r="C8" i="14"/>
  <c r="B8" i="14"/>
  <c r="FF7" i="14"/>
  <c r="FE7" i="14"/>
  <c r="FD7" i="14"/>
  <c r="FC7" i="14"/>
  <c r="FB7" i="14"/>
  <c r="FA7" i="14"/>
  <c r="EZ7" i="14"/>
  <c r="EY7" i="14"/>
  <c r="EX7" i="14"/>
  <c r="EW7" i="14"/>
  <c r="EV7" i="14"/>
  <c r="EU7" i="14"/>
  <c r="ET7" i="14"/>
  <c r="ES7" i="14"/>
  <c r="ER7" i="14"/>
  <c r="EQ7" i="14"/>
  <c r="EP7" i="14"/>
  <c r="EO7" i="14"/>
  <c r="EN7" i="14"/>
  <c r="EM7" i="14"/>
  <c r="EL7" i="14"/>
  <c r="EK7" i="14"/>
  <c r="EJ7" i="14"/>
  <c r="EI7" i="14"/>
  <c r="EH7" i="14"/>
  <c r="EG7" i="14"/>
  <c r="EF7" i="14"/>
  <c r="EE7" i="14"/>
  <c r="ED7" i="14"/>
  <c r="EC7" i="14"/>
  <c r="EB7" i="14"/>
  <c r="EA7" i="14"/>
  <c r="DZ7" i="14"/>
  <c r="DY7" i="14"/>
  <c r="DX7" i="14"/>
  <c r="DW7" i="14"/>
  <c r="DV7" i="14"/>
  <c r="DU7" i="14"/>
  <c r="DT7" i="14"/>
  <c r="DS7" i="14"/>
  <c r="DR7" i="14"/>
  <c r="DQ7" i="14"/>
  <c r="DP7" i="14"/>
  <c r="DO7" i="14"/>
  <c r="DN7" i="14"/>
  <c r="DM7" i="14"/>
  <c r="DL7" i="14"/>
  <c r="DK7" i="14"/>
  <c r="DJ7" i="14"/>
  <c r="DI7" i="14"/>
  <c r="DH7" i="14"/>
  <c r="DG7" i="14"/>
  <c r="DF7" i="14"/>
  <c r="DE7" i="14"/>
  <c r="DD7" i="14"/>
  <c r="DC7" i="14"/>
  <c r="DB7" i="14"/>
  <c r="DA7" i="14"/>
  <c r="CZ7" i="14"/>
  <c r="CY7" i="14"/>
  <c r="CX7" i="14"/>
  <c r="CW7" i="14"/>
  <c r="CV7" i="14"/>
  <c r="CU7" i="14"/>
  <c r="CT7" i="14"/>
  <c r="CS7" i="14"/>
  <c r="CR7" i="14"/>
  <c r="CQ7" i="14"/>
  <c r="CP7" i="14"/>
  <c r="CO7" i="14"/>
  <c r="CN7" i="14"/>
  <c r="CM7" i="14"/>
  <c r="CL7" i="14"/>
  <c r="CK7" i="14"/>
  <c r="CJ7" i="14"/>
  <c r="CI7" i="14"/>
  <c r="CH7" i="14"/>
  <c r="CG7" i="14"/>
  <c r="CF7" i="14"/>
  <c r="CE7" i="14"/>
  <c r="CD7" i="14"/>
  <c r="CC7" i="14"/>
  <c r="CB7" i="14"/>
  <c r="CA7" i="14"/>
  <c r="BZ7" i="14"/>
  <c r="BY7" i="14"/>
  <c r="BX7" i="14"/>
  <c r="BW7" i="14"/>
  <c r="BV7" i="14"/>
  <c r="BU7" i="14"/>
  <c r="BT7" i="14"/>
  <c r="BS7" i="14"/>
  <c r="BR7" i="14"/>
  <c r="BQ7" i="14"/>
  <c r="BP7" i="14"/>
  <c r="BO7" i="14"/>
  <c r="BN7" i="14"/>
  <c r="BM7" i="14"/>
  <c r="BL7" i="14"/>
  <c r="BK7" i="14"/>
  <c r="BJ7" i="14"/>
  <c r="BI7" i="14"/>
  <c r="BH7" i="14"/>
  <c r="BG7" i="14"/>
  <c r="BF7" i="14"/>
  <c r="BE7" i="14"/>
  <c r="BD7" i="14"/>
  <c r="BC7" i="14"/>
  <c r="BB7" i="14"/>
  <c r="BA7" i="14"/>
  <c r="AZ7" i="14"/>
  <c r="AY7" i="14"/>
  <c r="AX7" i="14"/>
  <c r="AW7" i="14"/>
  <c r="AV7" i="14"/>
  <c r="AU7" i="14"/>
  <c r="AT7" i="14"/>
  <c r="AS7" i="14"/>
  <c r="AR7" i="14"/>
  <c r="AQ7" i="14"/>
  <c r="AP7" i="14"/>
  <c r="AO7" i="14"/>
  <c r="AN7" i="14"/>
  <c r="AM7" i="14"/>
  <c r="AL7" i="14"/>
  <c r="AK7" i="14"/>
  <c r="AJ7" i="14"/>
  <c r="AI7" i="14"/>
  <c r="AH7" i="14"/>
  <c r="AG7" i="14"/>
  <c r="AF7" i="14"/>
  <c r="AE7" i="14"/>
  <c r="AD7" i="14"/>
  <c r="AC7" i="14"/>
  <c r="AB7" i="14"/>
  <c r="AA7" i="14"/>
  <c r="Z7" i="14"/>
  <c r="Y7" i="14"/>
  <c r="X7" i="14"/>
  <c r="W7" i="14"/>
  <c r="V7" i="14"/>
  <c r="U7" i="14"/>
  <c r="T7" i="14"/>
  <c r="S7" i="14"/>
  <c r="Q7" i="14"/>
  <c r="P7" i="14"/>
  <c r="O7" i="14"/>
  <c r="N7" i="14"/>
  <c r="L7" i="14"/>
  <c r="K7" i="14"/>
  <c r="J7" i="14"/>
  <c r="H7" i="14"/>
  <c r="E7" i="14"/>
  <c r="D7" i="14"/>
  <c r="C7" i="14"/>
  <c r="B7" i="14"/>
  <c r="FF6" i="14"/>
  <c r="FE6" i="14"/>
  <c r="FD6" i="14"/>
  <c r="FC6" i="14"/>
  <c r="FB6" i="14"/>
  <c r="FA6" i="14"/>
  <c r="EZ6" i="14"/>
  <c r="EY6" i="14"/>
  <c r="EX6" i="14"/>
  <c r="EW6" i="14"/>
  <c r="EV6" i="14"/>
  <c r="EU6" i="14"/>
  <c r="ET6" i="14"/>
  <c r="ES6" i="14"/>
  <c r="ER6" i="14"/>
  <c r="EQ6" i="14"/>
  <c r="EP6" i="14"/>
  <c r="EO6" i="14"/>
  <c r="EN6" i="14"/>
  <c r="EM6" i="14"/>
  <c r="EL6" i="14"/>
  <c r="EK6" i="14"/>
  <c r="EJ6" i="14"/>
  <c r="EI6" i="14"/>
  <c r="EH6" i="14"/>
  <c r="EG6" i="14"/>
  <c r="EF6" i="14"/>
  <c r="EE6" i="14"/>
  <c r="ED6" i="14"/>
  <c r="EC6" i="14"/>
  <c r="EB6" i="14"/>
  <c r="EA6" i="14"/>
  <c r="DZ6" i="14"/>
  <c r="DY6" i="14"/>
  <c r="DX6" i="14"/>
  <c r="DW6" i="14"/>
  <c r="DV6" i="14"/>
  <c r="DU6" i="14"/>
  <c r="DT6" i="14"/>
  <c r="DS6" i="14"/>
  <c r="DR6" i="14"/>
  <c r="DQ6" i="14"/>
  <c r="DP6" i="14"/>
  <c r="DO6" i="14"/>
  <c r="DN6" i="14"/>
  <c r="DM6" i="14"/>
  <c r="DL6" i="14"/>
  <c r="DK6" i="14"/>
  <c r="DJ6" i="14"/>
  <c r="DI6" i="14"/>
  <c r="DH6" i="14"/>
  <c r="DG6" i="14"/>
  <c r="DF6" i="14"/>
  <c r="DE6" i="14"/>
  <c r="DD6" i="14"/>
  <c r="DC6" i="14"/>
  <c r="DB6" i="14"/>
  <c r="DA6" i="14"/>
  <c r="CZ6" i="14"/>
  <c r="CY6" i="14"/>
  <c r="CX6" i="14"/>
  <c r="CW6" i="14"/>
  <c r="CV6" i="14"/>
  <c r="CU6" i="14"/>
  <c r="CT6" i="14"/>
  <c r="CS6" i="14"/>
  <c r="CR6" i="14"/>
  <c r="CQ6" i="14"/>
  <c r="CP6" i="14"/>
  <c r="CO6" i="14"/>
  <c r="CN6" i="14"/>
  <c r="CM6" i="14"/>
  <c r="CL6" i="14"/>
  <c r="CK6" i="14"/>
  <c r="CJ6" i="14"/>
  <c r="CI6" i="14"/>
  <c r="CH6" i="14"/>
  <c r="CG6" i="14"/>
  <c r="CF6" i="14"/>
  <c r="CE6" i="14"/>
  <c r="CD6" i="14"/>
  <c r="CC6" i="14"/>
  <c r="CB6" i="14"/>
  <c r="CA6" i="14"/>
  <c r="BZ6" i="14"/>
  <c r="BY6" i="14"/>
  <c r="BX6" i="14"/>
  <c r="BW6" i="14"/>
  <c r="BV6" i="14"/>
  <c r="BU6" i="14"/>
  <c r="BT6" i="14"/>
  <c r="BS6" i="14"/>
  <c r="BR6" i="14"/>
  <c r="BQ6" i="14"/>
  <c r="BP6" i="14"/>
  <c r="BO6" i="14"/>
  <c r="BN6" i="14"/>
  <c r="BM6" i="14"/>
  <c r="BL6" i="14"/>
  <c r="BK6" i="14"/>
  <c r="BJ6" i="14"/>
  <c r="BI6" i="14"/>
  <c r="BH6" i="14"/>
  <c r="BG6" i="14"/>
  <c r="BF6" i="14"/>
  <c r="BE6" i="14"/>
  <c r="BD6" i="14"/>
  <c r="BC6" i="14"/>
  <c r="BB6" i="14"/>
  <c r="BA6" i="14"/>
  <c r="AZ6" i="14"/>
  <c r="AY6" i="14"/>
  <c r="AX6" i="14"/>
  <c r="AW6" i="14"/>
  <c r="AV6" i="14"/>
  <c r="AU6" i="14"/>
  <c r="AT6" i="14"/>
  <c r="AS6" i="14"/>
  <c r="AR6" i="14"/>
  <c r="AQ6" i="14"/>
  <c r="AP6" i="14"/>
  <c r="AO6" i="14"/>
  <c r="AN6" i="14"/>
  <c r="AM6" i="14"/>
  <c r="AL6" i="14"/>
  <c r="AK6" i="14"/>
  <c r="AJ6" i="14"/>
  <c r="AI6" i="14"/>
  <c r="AH6" i="14"/>
  <c r="AG6" i="14"/>
  <c r="AF6" i="14"/>
  <c r="AE6" i="14"/>
  <c r="AD6" i="14"/>
  <c r="AC6" i="14"/>
  <c r="AB6" i="14"/>
  <c r="AA6" i="14"/>
  <c r="Z6" i="14"/>
  <c r="Y6" i="14"/>
  <c r="X6" i="14"/>
  <c r="W6" i="14"/>
  <c r="V6" i="14"/>
  <c r="U6" i="14"/>
  <c r="T6" i="14"/>
  <c r="S6" i="14"/>
  <c r="Q6" i="14"/>
  <c r="P6" i="14"/>
  <c r="O6" i="14"/>
  <c r="N6" i="14"/>
  <c r="L6" i="14"/>
  <c r="K6" i="14"/>
  <c r="J6" i="14"/>
  <c r="H6" i="14"/>
  <c r="E6" i="14"/>
  <c r="D6" i="14"/>
  <c r="C6" i="14"/>
  <c r="B6" i="14"/>
  <c r="FF5" i="14"/>
  <c r="FE5" i="14"/>
  <c r="FD5" i="14"/>
  <c r="FC5" i="14"/>
  <c r="FB5" i="14"/>
  <c r="FA5" i="14"/>
  <c r="EZ5" i="14"/>
  <c r="EY5" i="14"/>
  <c r="EX5" i="14"/>
  <c r="EW5" i="14"/>
  <c r="EV5" i="14"/>
  <c r="EU5" i="14"/>
  <c r="ET5" i="14"/>
  <c r="ES5" i="14"/>
  <c r="ER5" i="14"/>
  <c r="EQ5" i="14"/>
  <c r="EP5" i="14"/>
  <c r="EO5" i="14"/>
  <c r="EN5" i="14"/>
  <c r="EM5" i="14"/>
  <c r="EL5" i="14"/>
  <c r="EK5" i="14"/>
  <c r="EJ5" i="14"/>
  <c r="EI5" i="14"/>
  <c r="EH5" i="14"/>
  <c r="EG5" i="14"/>
  <c r="EF5" i="14"/>
  <c r="EE5" i="14"/>
  <c r="ED5" i="14"/>
  <c r="EC5" i="14"/>
  <c r="EB5" i="14"/>
  <c r="EA5" i="14"/>
  <c r="DZ5" i="14"/>
  <c r="DY5" i="14"/>
  <c r="DX5" i="14"/>
  <c r="DW5" i="14"/>
  <c r="DV5" i="14"/>
  <c r="DU5" i="14"/>
  <c r="DT5" i="14"/>
  <c r="DS5" i="14"/>
  <c r="DR5" i="14"/>
  <c r="DQ5" i="14"/>
  <c r="DP5" i="14"/>
  <c r="DO5" i="14"/>
  <c r="DN5" i="14"/>
  <c r="DM5" i="14"/>
  <c r="DL5" i="14"/>
  <c r="DK5" i="14"/>
  <c r="DJ5" i="14"/>
  <c r="DI5" i="14"/>
  <c r="DH5" i="14"/>
  <c r="DG5" i="14"/>
  <c r="DF5" i="14"/>
  <c r="DE5" i="14"/>
  <c r="DD5" i="14"/>
  <c r="DC5" i="14"/>
  <c r="DB5" i="14"/>
  <c r="DA5" i="14"/>
  <c r="CZ5" i="14"/>
  <c r="CY5" i="14"/>
  <c r="CX5" i="14"/>
  <c r="CW5" i="14"/>
  <c r="CV5" i="14"/>
  <c r="CU5" i="14"/>
  <c r="CT5" i="14"/>
  <c r="CS5" i="14"/>
  <c r="CR5" i="14"/>
  <c r="CQ5" i="14"/>
  <c r="CP5" i="14"/>
  <c r="CO5" i="14"/>
  <c r="CN5" i="14"/>
  <c r="CM5" i="14"/>
  <c r="CL5" i="14"/>
  <c r="CK5" i="14"/>
  <c r="CJ5" i="14"/>
  <c r="CI5" i="14"/>
  <c r="CH5" i="14"/>
  <c r="CG5" i="14"/>
  <c r="CF5" i="14"/>
  <c r="CE5" i="14"/>
  <c r="CD5" i="14"/>
  <c r="CC5" i="14"/>
  <c r="CB5" i="14"/>
  <c r="CA5" i="14"/>
  <c r="BZ5" i="14"/>
  <c r="BY5" i="14"/>
  <c r="BX5" i="14"/>
  <c r="BW5" i="14"/>
  <c r="BV5" i="14"/>
  <c r="BU5" i="14"/>
  <c r="BT5" i="14"/>
  <c r="BS5" i="14"/>
  <c r="BR5" i="14"/>
  <c r="BQ5" i="14"/>
  <c r="BP5" i="14"/>
  <c r="BO5" i="14"/>
  <c r="BN5" i="14"/>
  <c r="BM5" i="14"/>
  <c r="BL5" i="14"/>
  <c r="BK5" i="14"/>
  <c r="BJ5" i="14"/>
  <c r="BI5" i="14"/>
  <c r="BH5" i="14"/>
  <c r="BG5" i="14"/>
  <c r="BF5" i="14"/>
  <c r="BE5" i="14"/>
  <c r="BD5" i="14"/>
  <c r="BC5" i="14"/>
  <c r="BB5" i="14"/>
  <c r="BA5" i="14"/>
  <c r="AZ5" i="14"/>
  <c r="AY5" i="14"/>
  <c r="AX5" i="14"/>
  <c r="AW5" i="14"/>
  <c r="AV5" i="14"/>
  <c r="AU5" i="14"/>
  <c r="AT5" i="14"/>
  <c r="AS5" i="14"/>
  <c r="AR5" i="14"/>
  <c r="AQ5" i="14"/>
  <c r="AP5" i="14"/>
  <c r="AO5" i="14"/>
  <c r="AN5" i="14"/>
  <c r="AM5" i="14"/>
  <c r="AL5" i="14"/>
  <c r="AK5" i="14"/>
  <c r="AJ5" i="14"/>
  <c r="AI5" i="14"/>
  <c r="AH5" i="14"/>
  <c r="AG5" i="14"/>
  <c r="AF5" i="14"/>
  <c r="AE5" i="14"/>
  <c r="AD5" i="14"/>
  <c r="AC5" i="14"/>
  <c r="AB5" i="14"/>
  <c r="AA5" i="14"/>
  <c r="Z5" i="14"/>
  <c r="Y5" i="14"/>
  <c r="X5" i="14"/>
  <c r="W5" i="14"/>
  <c r="V5" i="14"/>
  <c r="U5" i="14"/>
  <c r="T5" i="14"/>
  <c r="S5" i="14"/>
  <c r="Q5" i="14"/>
  <c r="P5" i="14"/>
  <c r="O5" i="14"/>
  <c r="N5" i="14"/>
  <c r="L5" i="14"/>
  <c r="K5" i="14"/>
  <c r="J5" i="14"/>
  <c r="H5" i="14"/>
  <c r="E5" i="14"/>
  <c r="D5" i="14"/>
  <c r="C5" i="14"/>
  <c r="B5" i="14"/>
  <c r="FF4" i="14"/>
  <c r="FE4" i="14"/>
  <c r="FD4" i="14"/>
  <c r="FC4" i="14"/>
  <c r="FB4" i="14"/>
  <c r="FA4" i="14"/>
  <c r="EZ4" i="14"/>
  <c r="EY4" i="14"/>
  <c r="EX4" i="14"/>
  <c r="EW4" i="14"/>
  <c r="EV4" i="14"/>
  <c r="EU4" i="14"/>
  <c r="ET4" i="14"/>
  <c r="ES4" i="14"/>
  <c r="ER4" i="14"/>
  <c r="EQ4" i="14"/>
  <c r="EP4" i="14"/>
  <c r="EO4" i="14"/>
  <c r="EN4" i="14"/>
  <c r="EM4" i="14"/>
  <c r="EL4" i="14"/>
  <c r="EK4" i="14"/>
  <c r="EJ4" i="14"/>
  <c r="EI4" i="14"/>
  <c r="EH4" i="14"/>
  <c r="EG4" i="14"/>
  <c r="EF4" i="14"/>
  <c r="EE4" i="14"/>
  <c r="ED4" i="14"/>
  <c r="EC4" i="14"/>
  <c r="EB4" i="14"/>
  <c r="EA4" i="14"/>
  <c r="DZ4" i="14"/>
  <c r="DY4" i="14"/>
  <c r="DX4" i="14"/>
  <c r="DW4" i="14"/>
  <c r="DV4" i="14"/>
  <c r="DU4" i="14"/>
  <c r="DT4" i="14"/>
  <c r="DS4" i="14"/>
  <c r="DR4" i="14"/>
  <c r="DQ4" i="14"/>
  <c r="DP4" i="14"/>
  <c r="DO4" i="14"/>
  <c r="DN4" i="14"/>
  <c r="DM4" i="14"/>
  <c r="DL4" i="14"/>
  <c r="DK4" i="14"/>
  <c r="DJ4" i="14"/>
  <c r="DI4" i="14"/>
  <c r="DH4" i="14"/>
  <c r="DG4" i="14"/>
  <c r="DF4" i="14"/>
  <c r="DE4" i="14"/>
  <c r="DD4" i="14"/>
  <c r="DC4" i="14"/>
  <c r="DB4" i="14"/>
  <c r="DA4" i="14"/>
  <c r="CZ4" i="14"/>
  <c r="CY4" i="14"/>
  <c r="CX4" i="14"/>
  <c r="CW4" i="14"/>
  <c r="CV4" i="14"/>
  <c r="CU4" i="14"/>
  <c r="CT4" i="14"/>
  <c r="CS4" i="14"/>
  <c r="CR4" i="14"/>
  <c r="CQ4" i="14"/>
  <c r="CP4" i="14"/>
  <c r="CO4" i="14"/>
  <c r="CN4" i="14"/>
  <c r="CM4" i="14"/>
  <c r="CL4" i="14"/>
  <c r="CK4" i="14"/>
  <c r="CJ4" i="14"/>
  <c r="CI4" i="14"/>
  <c r="CH4" i="14"/>
  <c r="CG4" i="14"/>
  <c r="CF4" i="14"/>
  <c r="CE4" i="14"/>
  <c r="CD4" i="14"/>
  <c r="CC4" i="14"/>
  <c r="CB4" i="14"/>
  <c r="CA4" i="14"/>
  <c r="BZ4" i="14"/>
  <c r="BY4" i="14"/>
  <c r="BX4" i="14"/>
  <c r="BW4" i="14"/>
  <c r="BV4" i="14"/>
  <c r="BU4" i="14"/>
  <c r="BT4" i="14"/>
  <c r="BS4" i="14"/>
  <c r="BR4" i="14"/>
  <c r="BQ4" i="14"/>
  <c r="BP4" i="14"/>
  <c r="BO4" i="14"/>
  <c r="BN4" i="14"/>
  <c r="BM4" i="14"/>
  <c r="BL4" i="14"/>
  <c r="BK4" i="14"/>
  <c r="BJ4" i="14"/>
  <c r="BI4" i="14"/>
  <c r="BH4" i="14"/>
  <c r="BG4" i="14"/>
  <c r="BF4" i="14"/>
  <c r="BE4" i="14"/>
  <c r="BD4" i="14"/>
  <c r="BC4" i="14"/>
  <c r="BB4" i="14"/>
  <c r="BA4" i="14"/>
  <c r="AZ4" i="14"/>
  <c r="AY4" i="14"/>
  <c r="AX4" i="14"/>
  <c r="AW4" i="14"/>
  <c r="AV4" i="14"/>
  <c r="AU4" i="14"/>
  <c r="AT4" i="14"/>
  <c r="AS4" i="14"/>
  <c r="AR4" i="14"/>
  <c r="AQ4" i="14"/>
  <c r="AP4" i="14"/>
  <c r="AO4" i="14"/>
  <c r="AN4" i="14"/>
  <c r="AM4" i="14"/>
  <c r="AL4" i="14"/>
  <c r="AK4" i="14"/>
  <c r="AJ4" i="14"/>
  <c r="AI4" i="14"/>
  <c r="AH4" i="14"/>
  <c r="AG4" i="14"/>
  <c r="AF4" i="14"/>
  <c r="AE4" i="14"/>
  <c r="AD4" i="14"/>
  <c r="AC4" i="14"/>
  <c r="AB4" i="14"/>
  <c r="AA4" i="14"/>
  <c r="Z4" i="14"/>
  <c r="Y4" i="14"/>
  <c r="X4" i="14"/>
  <c r="W4" i="14"/>
  <c r="V4" i="14"/>
  <c r="U4" i="14"/>
  <c r="T4" i="14"/>
  <c r="S4" i="14"/>
  <c r="Q4" i="14"/>
  <c r="P4" i="14"/>
  <c r="O4" i="14"/>
  <c r="N4" i="14"/>
  <c r="L4" i="14"/>
  <c r="K4" i="14"/>
  <c r="J4" i="14"/>
  <c r="H4" i="14"/>
  <c r="E4" i="14"/>
  <c r="D4" i="14"/>
  <c r="C4" i="14"/>
  <c r="B4" i="14"/>
  <c r="FF3" i="14"/>
  <c r="FE3" i="14"/>
  <c r="FD3" i="14"/>
  <c r="FC3" i="14"/>
  <c r="FB3" i="14"/>
  <c r="FA3" i="14"/>
  <c r="EZ3" i="14"/>
  <c r="EY3" i="14"/>
  <c r="EX3" i="14"/>
  <c r="EW3" i="14"/>
  <c r="EV3" i="14"/>
  <c r="EU3" i="14"/>
  <c r="ET3" i="14"/>
  <c r="ES3" i="14"/>
  <c r="ER3" i="14"/>
  <c r="EQ3" i="14"/>
  <c r="EP3" i="14"/>
  <c r="EO3" i="14"/>
  <c r="EN3" i="14"/>
  <c r="EM3" i="14"/>
  <c r="EL3" i="14"/>
  <c r="EK3" i="14"/>
  <c r="EJ3" i="14"/>
  <c r="EI3" i="14"/>
  <c r="EH3" i="14"/>
  <c r="EG3" i="14"/>
  <c r="EF3" i="14"/>
  <c r="EE3" i="14"/>
  <c r="ED3" i="14"/>
  <c r="EC3" i="14"/>
  <c r="EB3" i="14"/>
  <c r="EA3" i="14"/>
  <c r="DZ3" i="14"/>
  <c r="DY3" i="14"/>
  <c r="DX3" i="14"/>
  <c r="DW3" i="14"/>
  <c r="DV3" i="14"/>
  <c r="DU3" i="14"/>
  <c r="DT3" i="14"/>
  <c r="DS3" i="14"/>
  <c r="DR3" i="14"/>
  <c r="DQ3" i="14"/>
  <c r="DP3" i="14"/>
  <c r="DO3" i="14"/>
  <c r="DN3" i="14"/>
  <c r="DM3" i="14"/>
  <c r="DL3" i="14"/>
  <c r="DK3" i="14"/>
  <c r="DJ3" i="14"/>
  <c r="DI3" i="14"/>
  <c r="DH3" i="14"/>
  <c r="DG3" i="14"/>
  <c r="DF3" i="14"/>
  <c r="DE3" i="14"/>
  <c r="DD3" i="14"/>
  <c r="DC3" i="14"/>
  <c r="DB3" i="14"/>
  <c r="DA3" i="14"/>
  <c r="CZ3" i="14"/>
  <c r="CY3" i="14"/>
  <c r="CX3" i="14"/>
  <c r="CW3" i="14"/>
  <c r="CV3" i="14"/>
  <c r="CU3" i="14"/>
  <c r="CT3" i="14"/>
  <c r="CS3" i="14"/>
  <c r="CR3" i="14"/>
  <c r="CQ3" i="14"/>
  <c r="CP3" i="14"/>
  <c r="CO3" i="14"/>
  <c r="CN3" i="14"/>
  <c r="CM3" i="14"/>
  <c r="CL3" i="14"/>
  <c r="CK3" i="14"/>
  <c r="CJ3" i="14"/>
  <c r="CI3" i="14"/>
  <c r="CH3" i="14"/>
  <c r="CG3" i="14"/>
  <c r="CF3" i="14"/>
  <c r="CE3" i="14"/>
  <c r="CD3" i="14"/>
  <c r="CC3" i="14"/>
  <c r="CB3" i="14"/>
  <c r="CA3" i="14"/>
  <c r="BZ3" i="14"/>
  <c r="BY3" i="14"/>
  <c r="BX3" i="14"/>
  <c r="BW3" i="14"/>
  <c r="BV3" i="14"/>
  <c r="BU3" i="14"/>
  <c r="BT3" i="14"/>
  <c r="BS3" i="14"/>
  <c r="BR3" i="14"/>
  <c r="BQ3" i="14"/>
  <c r="BP3" i="14"/>
  <c r="BO3" i="14"/>
  <c r="BN3" i="14"/>
  <c r="BM3" i="14"/>
  <c r="BL3" i="14"/>
  <c r="BK3" i="14"/>
  <c r="BJ3" i="14"/>
  <c r="BI3" i="14"/>
  <c r="BH3" i="14"/>
  <c r="BG3" i="14"/>
  <c r="BF3" i="14"/>
  <c r="BE3" i="14"/>
  <c r="BD3" i="14"/>
  <c r="BC3" i="14"/>
  <c r="BB3" i="14"/>
  <c r="BA3" i="14"/>
  <c r="AZ3" i="14"/>
  <c r="AY3" i="14"/>
  <c r="AX3" i="14"/>
  <c r="AW3" i="14"/>
  <c r="AV3" i="14"/>
  <c r="AU3" i="14"/>
  <c r="AT3" i="14"/>
  <c r="AS3" i="14"/>
  <c r="AR3" i="14"/>
  <c r="AQ3" i="14"/>
  <c r="AP3" i="14"/>
  <c r="AO3" i="14"/>
  <c r="AN3" i="14"/>
  <c r="AM3" i="14"/>
  <c r="AL3" i="14"/>
  <c r="AK3" i="14"/>
  <c r="AJ3" i="14"/>
  <c r="AI3" i="14"/>
  <c r="AH3" i="14"/>
  <c r="AG3" i="14"/>
  <c r="AF3" i="14"/>
  <c r="AE3" i="14"/>
  <c r="AD3" i="14"/>
  <c r="AC3" i="14"/>
  <c r="AB3" i="14"/>
  <c r="AA3" i="14"/>
  <c r="Z3" i="14"/>
  <c r="Y3" i="14"/>
  <c r="X3" i="14"/>
  <c r="W3" i="14"/>
  <c r="V3" i="14"/>
  <c r="U3" i="14"/>
  <c r="T3" i="14"/>
  <c r="S3" i="14"/>
  <c r="R2" i="14"/>
  <c r="L2" i="14"/>
  <c r="H2" i="14"/>
  <c r="B2" i="14"/>
  <c r="N1" i="14"/>
  <c r="L1" i="14"/>
  <c r="H1" i="14"/>
  <c r="I31" i="13"/>
  <c r="B31" i="13"/>
  <c r="K28" i="13"/>
  <c r="J28" i="13"/>
  <c r="K27" i="13"/>
  <c r="J27" i="13"/>
  <c r="K26" i="13"/>
  <c r="J26" i="13"/>
  <c r="J25" i="13"/>
  <c r="K25" i="13" s="1"/>
  <c r="I25" i="13"/>
  <c r="H25" i="13"/>
  <c r="G25" i="13"/>
  <c r="F25" i="13"/>
  <c r="E25" i="13"/>
  <c r="D25" i="13"/>
  <c r="C25" i="13"/>
  <c r="B25" i="13"/>
  <c r="J24" i="13"/>
  <c r="K24" i="13" s="1"/>
  <c r="I24" i="13"/>
  <c r="H24" i="13"/>
  <c r="G24" i="13"/>
  <c r="F24" i="13"/>
  <c r="E24" i="13"/>
  <c r="D24" i="13"/>
  <c r="C24" i="13"/>
  <c r="B24" i="13"/>
  <c r="J23" i="13"/>
  <c r="K23" i="13" s="1"/>
  <c r="I23" i="13"/>
  <c r="H23" i="13"/>
  <c r="G23" i="13"/>
  <c r="F23" i="13"/>
  <c r="E23" i="13"/>
  <c r="D23" i="13"/>
  <c r="C23" i="13"/>
  <c r="B23" i="13"/>
  <c r="J22" i="13"/>
  <c r="K22" i="13" s="1"/>
  <c r="I22" i="13"/>
  <c r="H22" i="13"/>
  <c r="G22" i="13"/>
  <c r="F22" i="13"/>
  <c r="E22" i="13"/>
  <c r="D22" i="13"/>
  <c r="C22" i="13"/>
  <c r="B22" i="13"/>
  <c r="J21" i="13"/>
  <c r="K21" i="13" s="1"/>
  <c r="I21" i="13"/>
  <c r="H21" i="13"/>
  <c r="G21" i="13"/>
  <c r="F21" i="13"/>
  <c r="E21" i="13"/>
  <c r="D21" i="13"/>
  <c r="C21" i="13"/>
  <c r="B21" i="13"/>
  <c r="J20" i="13"/>
  <c r="K20" i="13" s="1"/>
  <c r="I20" i="13"/>
  <c r="H20" i="13"/>
  <c r="G20" i="13"/>
  <c r="F20" i="13"/>
  <c r="E20" i="13"/>
  <c r="D20" i="13"/>
  <c r="C20" i="13"/>
  <c r="B20" i="13"/>
  <c r="J19" i="13"/>
  <c r="K19" i="13" s="1"/>
  <c r="I19" i="13"/>
  <c r="H19" i="13"/>
  <c r="G19" i="13"/>
  <c r="F19" i="13"/>
  <c r="E19" i="13"/>
  <c r="D19" i="13"/>
  <c r="C19" i="13"/>
  <c r="B19" i="13"/>
  <c r="J18" i="13"/>
  <c r="K18" i="13" s="1"/>
  <c r="I18" i="13"/>
  <c r="H18" i="13"/>
  <c r="G18" i="13"/>
  <c r="F18" i="13"/>
  <c r="E18" i="13"/>
  <c r="D18" i="13"/>
  <c r="C18" i="13"/>
  <c r="B18" i="13"/>
  <c r="J17" i="13"/>
  <c r="K17" i="13" s="1"/>
  <c r="I17" i="13"/>
  <c r="H17" i="13"/>
  <c r="G17" i="13"/>
  <c r="F17" i="13"/>
  <c r="E17" i="13"/>
  <c r="D17" i="13"/>
  <c r="C17" i="13"/>
  <c r="B17" i="13"/>
  <c r="J16" i="13"/>
  <c r="K16" i="13" s="1"/>
  <c r="I16" i="13"/>
  <c r="H16" i="13"/>
  <c r="G16" i="13"/>
  <c r="F16" i="13"/>
  <c r="E16" i="13"/>
  <c r="D16" i="13"/>
  <c r="C16" i="13"/>
  <c r="B16" i="13"/>
  <c r="J15" i="13"/>
  <c r="K15" i="13" s="1"/>
  <c r="I15" i="13"/>
  <c r="H15" i="13"/>
  <c r="G15" i="13"/>
  <c r="F15" i="13"/>
  <c r="E15" i="13"/>
  <c r="D15" i="13"/>
  <c r="C15" i="13"/>
  <c r="B15" i="13"/>
  <c r="J14" i="13"/>
  <c r="K14" i="13" s="1"/>
  <c r="I14" i="13"/>
  <c r="H14" i="13"/>
  <c r="G14" i="13"/>
  <c r="F14" i="13"/>
  <c r="E14" i="13"/>
  <c r="D14" i="13"/>
  <c r="C14" i="13"/>
  <c r="B14" i="13"/>
  <c r="J13" i="13"/>
  <c r="K13" i="13" s="1"/>
  <c r="I13" i="13"/>
  <c r="H13" i="13"/>
  <c r="G13" i="13"/>
  <c r="F13" i="13"/>
  <c r="E13" i="13"/>
  <c r="D13" i="13"/>
  <c r="C13" i="13"/>
  <c r="B13" i="13"/>
  <c r="J12" i="13"/>
  <c r="K12" i="13" s="1"/>
  <c r="I12" i="13"/>
  <c r="H12" i="13"/>
  <c r="G12" i="13"/>
  <c r="F12" i="13"/>
  <c r="E12" i="13"/>
  <c r="D12" i="13"/>
  <c r="C12" i="13"/>
  <c r="B12" i="13"/>
  <c r="J11" i="13"/>
  <c r="K11" i="13" s="1"/>
  <c r="I11" i="13"/>
  <c r="H11" i="13"/>
  <c r="G11" i="13"/>
  <c r="F11" i="13"/>
  <c r="E11" i="13"/>
  <c r="D11" i="13"/>
  <c r="C11" i="13"/>
  <c r="B11" i="13"/>
  <c r="J10" i="13"/>
  <c r="K10" i="13" s="1"/>
  <c r="I10" i="13"/>
  <c r="H10" i="13"/>
  <c r="G10" i="13"/>
  <c r="F10" i="13"/>
  <c r="E10" i="13"/>
  <c r="D10" i="13"/>
  <c r="C10" i="13"/>
  <c r="B10" i="13"/>
  <c r="J9" i="13"/>
  <c r="K9" i="13" s="1"/>
  <c r="I9" i="13"/>
  <c r="H9" i="13"/>
  <c r="G9" i="13"/>
  <c r="F9" i="13"/>
  <c r="E9" i="13"/>
  <c r="D9" i="13"/>
  <c r="C9" i="13"/>
  <c r="B9" i="13"/>
  <c r="G5" i="13"/>
  <c r="F5" i="13"/>
  <c r="C5" i="13"/>
  <c r="G4" i="13"/>
  <c r="C4" i="13"/>
  <c r="G2" i="13"/>
  <c r="B319" i="601"/>
  <c r="B318" i="601"/>
  <c r="B317" i="601"/>
  <c r="B316" i="601"/>
  <c r="B315" i="601"/>
  <c r="B314" i="601"/>
  <c r="B313" i="601"/>
  <c r="B310" i="601"/>
  <c r="B309" i="601"/>
  <c r="B308" i="601"/>
  <c r="B307" i="601"/>
  <c r="B306" i="601"/>
  <c r="B303" i="601"/>
  <c r="B302" i="601"/>
  <c r="B301" i="601"/>
  <c r="B300" i="601"/>
  <c r="B299" i="601"/>
  <c r="B298" i="601"/>
  <c r="B295" i="601"/>
  <c r="B294" i="601"/>
  <c r="B293" i="601"/>
  <c r="B292" i="601"/>
  <c r="B291" i="601"/>
  <c r="B290" i="601"/>
  <c r="B287" i="601"/>
  <c r="B286" i="601"/>
  <c r="B285" i="601"/>
  <c r="B284" i="601"/>
  <c r="B283" i="601"/>
  <c r="B282" i="601"/>
  <c r="B281" i="601"/>
  <c r="B278" i="601"/>
  <c r="B277" i="601"/>
  <c r="B276" i="601"/>
  <c r="B275" i="601"/>
  <c r="B274" i="601"/>
  <c r="B271" i="601"/>
  <c r="B270" i="601"/>
  <c r="B269" i="601"/>
  <c r="B268" i="601"/>
  <c r="B267" i="601"/>
  <c r="B266" i="601"/>
  <c r="B263" i="601"/>
  <c r="B262" i="601"/>
  <c r="B261" i="601"/>
  <c r="B260" i="601"/>
  <c r="B259" i="601"/>
  <c r="B258" i="601"/>
  <c r="B255" i="601"/>
  <c r="B254" i="601"/>
  <c r="B253" i="601"/>
  <c r="B252" i="601"/>
  <c r="B251" i="601"/>
  <c r="B250" i="601"/>
  <c r="B247" i="601"/>
  <c r="B246" i="601"/>
  <c r="B245" i="601"/>
  <c r="B244" i="601"/>
  <c r="B243" i="601"/>
  <c r="B240" i="601"/>
  <c r="B239" i="601"/>
  <c r="B238" i="601"/>
  <c r="B237" i="601"/>
  <c r="B236" i="601"/>
  <c r="B235" i="601"/>
  <c r="B232" i="601"/>
  <c r="B231" i="601"/>
  <c r="B230" i="601"/>
  <c r="B229" i="601"/>
  <c r="B228" i="601"/>
  <c r="B225" i="601"/>
  <c r="B224" i="601"/>
  <c r="B223" i="601"/>
  <c r="B222" i="601"/>
  <c r="B221" i="601"/>
  <c r="B220" i="601"/>
  <c r="B217" i="601"/>
  <c r="B216" i="601"/>
  <c r="B215" i="601"/>
  <c r="B214" i="601"/>
  <c r="B213" i="601"/>
  <c r="B212" i="601"/>
  <c r="B211" i="601"/>
  <c r="B210" i="601"/>
  <c r="B209" i="601"/>
  <c r="B208" i="601"/>
  <c r="B206" i="601"/>
  <c r="B205" i="601"/>
  <c r="B204" i="601"/>
  <c r="B203" i="601"/>
  <c r="B202" i="601"/>
  <c r="B201" i="601"/>
  <c r="B198" i="601"/>
  <c r="B197" i="601"/>
  <c r="B196" i="601"/>
  <c r="B195" i="601"/>
  <c r="B194" i="601"/>
  <c r="B193" i="601"/>
  <c r="B190" i="601"/>
  <c r="B189" i="601"/>
  <c r="B188" i="601"/>
  <c r="B187" i="601"/>
  <c r="B186" i="601"/>
  <c r="B185" i="601"/>
  <c r="B182" i="601"/>
  <c r="B181" i="601"/>
  <c r="B180" i="601"/>
  <c r="B179" i="601"/>
  <c r="B178" i="601"/>
  <c r="B175" i="601"/>
  <c r="B174" i="601"/>
  <c r="B173" i="601"/>
  <c r="B172" i="601"/>
  <c r="B171" i="601"/>
  <c r="B170" i="601"/>
  <c r="B167" i="601"/>
  <c r="B166" i="601"/>
  <c r="B165" i="601"/>
  <c r="B164" i="601"/>
  <c r="B163" i="601"/>
  <c r="B162" i="601"/>
  <c r="B159" i="601"/>
  <c r="B158" i="601"/>
  <c r="B157" i="601"/>
  <c r="B156" i="601"/>
  <c r="B155" i="601"/>
  <c r="B154" i="601"/>
  <c r="B151" i="601"/>
  <c r="B150" i="601"/>
  <c r="B149" i="601"/>
  <c r="B148" i="601"/>
  <c r="B147" i="601"/>
  <c r="B146" i="601"/>
  <c r="B143" i="601"/>
  <c r="B142" i="601"/>
  <c r="B141" i="601"/>
  <c r="B140" i="601"/>
  <c r="B139" i="601"/>
  <c r="B138" i="601"/>
  <c r="B135" i="601"/>
  <c r="B134" i="601"/>
  <c r="B133" i="601"/>
  <c r="B132" i="601"/>
  <c r="B131" i="601"/>
  <c r="B130" i="601"/>
  <c r="B129" i="601"/>
  <c r="B126" i="601"/>
  <c r="B125" i="601"/>
  <c r="B124" i="601"/>
  <c r="B123" i="601"/>
  <c r="B120" i="601"/>
  <c r="B119" i="601"/>
  <c r="B118" i="601"/>
  <c r="B117" i="601"/>
  <c r="B114" i="601"/>
  <c r="B113" i="601"/>
  <c r="B112" i="601"/>
  <c r="B111" i="601"/>
  <c r="B110" i="601"/>
  <c r="B109" i="601"/>
  <c r="B108" i="601"/>
  <c r="B106" i="601"/>
  <c r="B105" i="601"/>
  <c r="B104" i="601"/>
  <c r="B103" i="601"/>
  <c r="B102" i="601"/>
  <c r="B101" i="601"/>
  <c r="B100" i="601"/>
  <c r="B99" i="601"/>
  <c r="B96" i="601"/>
  <c r="B95" i="601"/>
  <c r="B94" i="601"/>
  <c r="B93" i="601"/>
  <c r="B92" i="601"/>
  <c r="B91" i="601"/>
  <c r="D82" i="601"/>
  <c r="B82" i="601"/>
  <c r="D81" i="601"/>
  <c r="B81" i="601"/>
  <c r="B79" i="601"/>
  <c r="B78" i="601"/>
  <c r="F13" i="601"/>
  <c r="E13" i="601"/>
  <c r="D13" i="601"/>
  <c r="D10" i="601"/>
  <c r="B9" i="601"/>
  <c r="D8" i="601"/>
  <c r="D7" i="601"/>
  <c r="B7" i="601"/>
  <c r="F3" i="601"/>
  <c r="E3" i="601"/>
  <c r="D3" i="601"/>
  <c r="F2" i="601"/>
  <c r="E2" i="601"/>
  <c r="D2" i="601"/>
  <c r="B2" i="601"/>
  <c r="M47" i="600"/>
  <c r="M45" i="600"/>
  <c r="B45" i="600"/>
  <c r="M44" i="600"/>
  <c r="B44" i="600"/>
  <c r="K41" i="600"/>
  <c r="D41" i="600"/>
  <c r="K40" i="600"/>
  <c r="D40" i="600"/>
  <c r="K39" i="600"/>
  <c r="D39" i="600"/>
  <c r="D37" i="600"/>
  <c r="R36" i="600"/>
  <c r="O36" i="600"/>
  <c r="D36" i="600"/>
  <c r="D35" i="600"/>
  <c r="D34" i="600"/>
  <c r="M33" i="600"/>
  <c r="K32" i="600"/>
  <c r="D32" i="600"/>
  <c r="M31" i="600"/>
  <c r="D31" i="600"/>
  <c r="K30" i="600"/>
  <c r="D30" i="600"/>
  <c r="K29" i="600"/>
  <c r="D29" i="600"/>
  <c r="D28" i="600"/>
  <c r="K27" i="600"/>
  <c r="D27" i="600"/>
  <c r="P26" i="600"/>
  <c r="M26" i="600"/>
  <c r="D26" i="600"/>
  <c r="R25" i="600"/>
  <c r="P25" i="600"/>
  <c r="K25" i="600"/>
  <c r="D25" i="600"/>
  <c r="P24" i="600"/>
  <c r="D24" i="600"/>
  <c r="P23" i="600"/>
  <c r="O23" i="600"/>
  <c r="M23" i="600"/>
  <c r="K23" i="600"/>
  <c r="H23" i="600"/>
  <c r="D23" i="600"/>
  <c r="B23" i="600"/>
  <c r="O19" i="600"/>
  <c r="H19" i="600"/>
  <c r="G19" i="600"/>
  <c r="D19" i="600"/>
  <c r="B19" i="600"/>
  <c r="D15" i="600"/>
  <c r="B15" i="600"/>
  <c r="C12" i="600"/>
  <c r="B12" i="600"/>
  <c r="C11" i="600"/>
  <c r="B9" i="600"/>
  <c r="D5" i="600"/>
  <c r="M3" i="600"/>
  <c r="H3" i="600"/>
  <c r="D3" i="600"/>
  <c r="M2" i="600"/>
  <c r="H2" i="600"/>
  <c r="D2" i="600"/>
  <c r="B2" i="600"/>
  <c r="E21" i="468"/>
  <c r="B21" i="468"/>
  <c r="B20" i="468"/>
  <c r="C17" i="468"/>
  <c r="B17" i="468"/>
  <c r="B14" i="468"/>
  <c r="E13" i="468"/>
  <c r="D13" i="468"/>
  <c r="C13" i="468"/>
  <c r="B13" i="468"/>
  <c r="E12" i="468"/>
  <c r="D12" i="468"/>
  <c r="C12" i="468"/>
  <c r="B12" i="468"/>
  <c r="E11" i="468"/>
  <c r="D11" i="468"/>
  <c r="C11" i="468"/>
  <c r="B11" i="468"/>
  <c r="E10" i="468"/>
  <c r="D10" i="468"/>
  <c r="C10" i="468"/>
  <c r="D8" i="468"/>
  <c r="B5" i="468"/>
  <c r="E3" i="468"/>
  <c r="C3" i="468"/>
  <c r="B3" i="468"/>
  <c r="E2" i="468"/>
  <c r="C2" i="468"/>
  <c r="B2" i="468"/>
  <c r="B65" i="636"/>
  <c r="K60" i="636"/>
  <c r="I60" i="636"/>
  <c r="G60" i="636"/>
  <c r="F60" i="636"/>
  <c r="E60" i="636"/>
  <c r="D60" i="636"/>
  <c r="C60" i="636"/>
  <c r="B60" i="636"/>
  <c r="K59" i="636"/>
  <c r="I59" i="636"/>
  <c r="G59" i="636"/>
  <c r="F59" i="636"/>
  <c r="E59" i="636"/>
  <c r="D59" i="636"/>
  <c r="C59" i="636"/>
  <c r="B59" i="636"/>
  <c r="K58" i="636"/>
  <c r="I58" i="636"/>
  <c r="G58" i="636"/>
  <c r="F58" i="636"/>
  <c r="E58" i="636"/>
  <c r="D58" i="636"/>
  <c r="C58" i="636"/>
  <c r="B58" i="636"/>
  <c r="K57" i="636"/>
  <c r="I57" i="636"/>
  <c r="G57" i="636"/>
  <c r="F57" i="636"/>
  <c r="E57" i="636"/>
  <c r="D57" i="636"/>
  <c r="C57" i="636"/>
  <c r="B57" i="636"/>
  <c r="K56" i="636"/>
  <c r="I56" i="636"/>
  <c r="G56" i="636"/>
  <c r="F56" i="636"/>
  <c r="E56" i="636"/>
  <c r="D56" i="636"/>
  <c r="C56" i="636"/>
  <c r="B56" i="636"/>
  <c r="K55" i="636"/>
  <c r="I55" i="636"/>
  <c r="G55" i="636"/>
  <c r="F55" i="636"/>
  <c r="E55" i="636"/>
  <c r="D55" i="636"/>
  <c r="C55" i="636"/>
  <c r="B55" i="636"/>
  <c r="K54" i="636"/>
  <c r="I54" i="636"/>
  <c r="G54" i="636"/>
  <c r="F54" i="636"/>
  <c r="E54" i="636"/>
  <c r="D54" i="636"/>
  <c r="C54" i="636"/>
  <c r="B54" i="636"/>
  <c r="K53" i="636"/>
  <c r="I53" i="636"/>
  <c r="G53" i="636"/>
  <c r="F53" i="636"/>
  <c r="E53" i="636"/>
  <c r="D53" i="636"/>
  <c r="C53" i="636"/>
  <c r="B53" i="636"/>
  <c r="K52" i="636"/>
  <c r="I52" i="636"/>
  <c r="G52" i="636"/>
  <c r="F52" i="636"/>
  <c r="E52" i="636"/>
  <c r="D52" i="636"/>
  <c r="C52" i="636"/>
  <c r="B52" i="636"/>
  <c r="K51" i="636"/>
  <c r="I51" i="636"/>
  <c r="G51" i="636"/>
  <c r="F51" i="636"/>
  <c r="E51" i="636"/>
  <c r="D51" i="636"/>
  <c r="C51" i="636"/>
  <c r="B51" i="636"/>
  <c r="G50" i="636"/>
  <c r="F50" i="636"/>
  <c r="E50" i="636"/>
  <c r="D50" i="636"/>
  <c r="C50" i="636"/>
  <c r="B50" i="636"/>
  <c r="B49" i="636"/>
  <c r="K47" i="636"/>
  <c r="I47" i="636"/>
  <c r="G47" i="636"/>
  <c r="F47" i="636"/>
  <c r="E47" i="636"/>
  <c r="D47" i="636"/>
  <c r="C47" i="636"/>
  <c r="B47" i="636"/>
  <c r="K46" i="636"/>
  <c r="I46" i="636"/>
  <c r="G46" i="636"/>
  <c r="F46" i="636"/>
  <c r="E46" i="636"/>
  <c r="D46" i="636"/>
  <c r="C46" i="636"/>
  <c r="B46" i="636"/>
  <c r="K45" i="636"/>
  <c r="I45" i="636"/>
  <c r="G45" i="636"/>
  <c r="F45" i="636"/>
  <c r="E45" i="636"/>
  <c r="D45" i="636"/>
  <c r="C45" i="636"/>
  <c r="B45" i="636"/>
  <c r="K44" i="636"/>
  <c r="I44" i="636"/>
  <c r="G44" i="636"/>
  <c r="F44" i="636"/>
  <c r="E44" i="636"/>
  <c r="D44" i="636"/>
  <c r="C44" i="636"/>
  <c r="B44" i="636"/>
  <c r="K43" i="636"/>
  <c r="I43" i="636"/>
  <c r="G43" i="636"/>
  <c r="F43" i="636"/>
  <c r="E43" i="636"/>
  <c r="D43" i="636"/>
  <c r="C43" i="636"/>
  <c r="B43" i="636"/>
  <c r="K42" i="636"/>
  <c r="I42" i="636"/>
  <c r="G42" i="636"/>
  <c r="F42" i="636"/>
  <c r="E42" i="636"/>
  <c r="D42" i="636"/>
  <c r="C42" i="636"/>
  <c r="B42" i="636"/>
  <c r="K41" i="636"/>
  <c r="I41" i="636"/>
  <c r="G41" i="636"/>
  <c r="F41" i="636"/>
  <c r="E41" i="636"/>
  <c r="D41" i="636"/>
  <c r="C41" i="636"/>
  <c r="B41" i="636"/>
  <c r="K40" i="636"/>
  <c r="I40" i="636"/>
  <c r="G40" i="636"/>
  <c r="F40" i="636"/>
  <c r="E40" i="636"/>
  <c r="D40" i="636"/>
  <c r="C40" i="636"/>
  <c r="B40" i="636"/>
  <c r="K39" i="636"/>
  <c r="I39" i="636"/>
  <c r="G39" i="636"/>
  <c r="F39" i="636"/>
  <c r="E39" i="636"/>
  <c r="D39" i="636"/>
  <c r="C39" i="636"/>
  <c r="B39" i="636"/>
  <c r="K38" i="636"/>
  <c r="I38" i="636"/>
  <c r="G38" i="636"/>
  <c r="F38" i="636"/>
  <c r="E38" i="636"/>
  <c r="D38" i="636"/>
  <c r="C38" i="636"/>
  <c r="B38" i="636"/>
  <c r="G37" i="636"/>
  <c r="F37" i="636"/>
  <c r="E37" i="636"/>
  <c r="D37" i="636"/>
  <c r="C37" i="636"/>
  <c r="B37" i="636"/>
  <c r="B36" i="636"/>
  <c r="K34" i="636"/>
  <c r="I34" i="636"/>
  <c r="G34" i="636"/>
  <c r="F34" i="636"/>
  <c r="E34" i="636"/>
  <c r="D34" i="636"/>
  <c r="C34" i="636"/>
  <c r="B34" i="636"/>
  <c r="K33" i="636"/>
  <c r="I33" i="636"/>
  <c r="G33" i="636"/>
  <c r="F33" i="636"/>
  <c r="E33" i="636"/>
  <c r="D33" i="636"/>
  <c r="C33" i="636"/>
  <c r="B33" i="636"/>
  <c r="K32" i="636"/>
  <c r="I32" i="636"/>
  <c r="G32" i="636"/>
  <c r="F32" i="636"/>
  <c r="E32" i="636"/>
  <c r="D32" i="636"/>
  <c r="C32" i="636"/>
  <c r="B32" i="636"/>
  <c r="K31" i="636"/>
  <c r="I31" i="636"/>
  <c r="G31" i="636"/>
  <c r="F31" i="636"/>
  <c r="E31" i="636"/>
  <c r="D31" i="636"/>
  <c r="C31" i="636"/>
  <c r="B31" i="636"/>
  <c r="K30" i="636"/>
  <c r="I30" i="636"/>
  <c r="G30" i="636"/>
  <c r="F30" i="636"/>
  <c r="E30" i="636"/>
  <c r="D30" i="636"/>
  <c r="C30" i="636"/>
  <c r="B30" i="636"/>
  <c r="K29" i="636"/>
  <c r="I29" i="636"/>
  <c r="G29" i="636"/>
  <c r="F29" i="636"/>
  <c r="E29" i="636"/>
  <c r="D29" i="636"/>
  <c r="C29" i="636"/>
  <c r="B29" i="636"/>
  <c r="K28" i="636"/>
  <c r="I28" i="636"/>
  <c r="G28" i="636"/>
  <c r="F28" i="636"/>
  <c r="E28" i="636"/>
  <c r="D28" i="636"/>
  <c r="C28" i="636"/>
  <c r="B28" i="636"/>
  <c r="K27" i="636"/>
  <c r="I27" i="636"/>
  <c r="G27" i="636"/>
  <c r="F27" i="636"/>
  <c r="E27" i="636"/>
  <c r="D27" i="636"/>
  <c r="C27" i="636"/>
  <c r="B27" i="636"/>
  <c r="K26" i="636"/>
  <c r="I26" i="636"/>
  <c r="G26" i="636"/>
  <c r="F26" i="636"/>
  <c r="E26" i="636"/>
  <c r="D26" i="636"/>
  <c r="C26" i="636"/>
  <c r="B26" i="636"/>
  <c r="K25" i="636"/>
  <c r="I25" i="636"/>
  <c r="G25" i="636"/>
  <c r="F25" i="636"/>
  <c r="E25" i="636"/>
  <c r="D25" i="636"/>
  <c r="C25" i="636"/>
  <c r="B25" i="636"/>
  <c r="G24" i="636"/>
  <c r="F24" i="636"/>
  <c r="E24" i="636"/>
  <c r="D24" i="636"/>
  <c r="C24" i="636"/>
  <c r="B24" i="636"/>
  <c r="B23" i="636"/>
  <c r="K21" i="636"/>
  <c r="I21" i="636"/>
  <c r="G21" i="636"/>
  <c r="F21" i="636"/>
  <c r="E21" i="636"/>
  <c r="D21" i="636"/>
  <c r="C21" i="636"/>
  <c r="B21" i="636"/>
  <c r="K20" i="636"/>
  <c r="I20" i="636"/>
  <c r="G20" i="636"/>
  <c r="F20" i="636"/>
  <c r="E20" i="636"/>
  <c r="D20" i="636"/>
  <c r="C20" i="636"/>
  <c r="B20" i="636"/>
  <c r="K19" i="636"/>
  <c r="I19" i="636"/>
  <c r="G19" i="636"/>
  <c r="F19" i="636"/>
  <c r="E19" i="636"/>
  <c r="D19" i="636"/>
  <c r="C19" i="636"/>
  <c r="B19" i="636"/>
  <c r="K18" i="636"/>
  <c r="I18" i="636"/>
  <c r="G18" i="636"/>
  <c r="F18" i="636"/>
  <c r="E18" i="636"/>
  <c r="D18" i="636"/>
  <c r="C18" i="636"/>
  <c r="B18" i="636"/>
  <c r="K17" i="636"/>
  <c r="I17" i="636"/>
  <c r="G17" i="636"/>
  <c r="F17" i="636"/>
  <c r="E17" i="636"/>
  <c r="D17" i="636"/>
  <c r="C17" i="636"/>
  <c r="B17" i="636"/>
  <c r="K16" i="636"/>
  <c r="I16" i="636"/>
  <c r="G16" i="636"/>
  <c r="F16" i="636"/>
  <c r="E16" i="636"/>
  <c r="D16" i="636"/>
  <c r="C16" i="636"/>
  <c r="B16" i="636"/>
  <c r="K15" i="636"/>
  <c r="I15" i="636"/>
  <c r="G15" i="636"/>
  <c r="F15" i="636"/>
  <c r="E15" i="636"/>
  <c r="D15" i="636"/>
  <c r="C15" i="636"/>
  <c r="B15" i="636"/>
  <c r="K14" i="636"/>
  <c r="I14" i="636"/>
  <c r="G14" i="636"/>
  <c r="F14" i="636"/>
  <c r="E14" i="636"/>
  <c r="D14" i="636"/>
  <c r="C14" i="636"/>
  <c r="B14" i="636"/>
  <c r="K13" i="636"/>
  <c r="I13" i="636"/>
  <c r="G13" i="636"/>
  <c r="F13" i="636"/>
  <c r="E13" i="636"/>
  <c r="D13" i="636"/>
  <c r="C13" i="636"/>
  <c r="B13" i="636"/>
  <c r="K12" i="636"/>
  <c r="I12" i="636"/>
  <c r="G12" i="636"/>
  <c r="F12" i="636"/>
  <c r="E12" i="636"/>
  <c r="D12" i="636"/>
  <c r="C12" i="636"/>
  <c r="B12" i="636"/>
  <c r="G11" i="636"/>
  <c r="F11" i="636"/>
  <c r="E11" i="636"/>
  <c r="D11" i="636"/>
  <c r="C11" i="636"/>
  <c r="B11" i="636"/>
  <c r="B10" i="636"/>
  <c r="I7" i="636"/>
  <c r="B6" i="636"/>
  <c r="G5" i="636"/>
  <c r="F5" i="636"/>
  <c r="E5" i="636"/>
  <c r="G4" i="636"/>
  <c r="F4" i="636"/>
  <c r="E4" i="636"/>
  <c r="L3" i="636"/>
  <c r="C3" i="636"/>
  <c r="B3" i="636"/>
  <c r="L2" i="636"/>
  <c r="C2" i="636"/>
  <c r="B2" i="636"/>
  <c r="B118" i="462"/>
  <c r="K115" i="462"/>
  <c r="I115" i="462"/>
  <c r="G115" i="462"/>
  <c r="F115" i="462"/>
  <c r="E115" i="462"/>
  <c r="D115" i="462"/>
  <c r="C115" i="462"/>
  <c r="B115" i="462"/>
  <c r="K114" i="462"/>
  <c r="I114" i="462"/>
  <c r="G114" i="462"/>
  <c r="F114" i="462"/>
  <c r="E114" i="462"/>
  <c r="D114" i="462"/>
  <c r="C114" i="462"/>
  <c r="B114" i="462"/>
  <c r="K113" i="462"/>
  <c r="I113" i="462"/>
  <c r="G113" i="462"/>
  <c r="F113" i="462"/>
  <c r="E113" i="462"/>
  <c r="D113" i="462"/>
  <c r="C113" i="462"/>
  <c r="B113" i="462"/>
  <c r="G112" i="462"/>
  <c r="F112" i="462"/>
  <c r="E112" i="462"/>
  <c r="D112" i="462"/>
  <c r="C112" i="462"/>
  <c r="B112" i="462"/>
  <c r="B111" i="462"/>
  <c r="K109" i="462"/>
  <c r="I109" i="462"/>
  <c r="G109" i="462"/>
  <c r="F109" i="462"/>
  <c r="E109" i="462"/>
  <c r="D109" i="462"/>
  <c r="C109" i="462"/>
  <c r="B109" i="462"/>
  <c r="K108" i="462"/>
  <c r="I108" i="462"/>
  <c r="G108" i="462"/>
  <c r="F108" i="462"/>
  <c r="E108" i="462"/>
  <c r="D108" i="462"/>
  <c r="C108" i="462"/>
  <c r="B108" i="462"/>
  <c r="K107" i="462"/>
  <c r="I107" i="462"/>
  <c r="G107" i="462"/>
  <c r="F107" i="462"/>
  <c r="E107" i="462"/>
  <c r="D107" i="462"/>
  <c r="C107" i="462"/>
  <c r="B107" i="462"/>
  <c r="K106" i="462"/>
  <c r="I106" i="462"/>
  <c r="G106" i="462"/>
  <c r="F106" i="462"/>
  <c r="E106" i="462"/>
  <c r="D106" i="462"/>
  <c r="C106" i="462"/>
  <c r="B106" i="462"/>
  <c r="K105" i="462"/>
  <c r="I105" i="462"/>
  <c r="G105" i="462"/>
  <c r="F105" i="462"/>
  <c r="E105" i="462"/>
  <c r="D105" i="462"/>
  <c r="C105" i="462"/>
  <c r="B105" i="462"/>
  <c r="K104" i="462"/>
  <c r="I104" i="462"/>
  <c r="G104" i="462"/>
  <c r="F104" i="462"/>
  <c r="E104" i="462"/>
  <c r="D104" i="462"/>
  <c r="C104" i="462"/>
  <c r="B104" i="462"/>
  <c r="K103" i="462"/>
  <c r="I103" i="462"/>
  <c r="G103" i="462"/>
  <c r="F103" i="462"/>
  <c r="E103" i="462"/>
  <c r="D103" i="462"/>
  <c r="C103" i="462"/>
  <c r="B103" i="462"/>
  <c r="G102" i="462"/>
  <c r="F102" i="462"/>
  <c r="E102" i="462"/>
  <c r="D102" i="462"/>
  <c r="C102" i="462"/>
  <c r="B102" i="462"/>
  <c r="B101" i="462"/>
  <c r="K99" i="462"/>
  <c r="I99" i="462"/>
  <c r="G99" i="462"/>
  <c r="F99" i="462"/>
  <c r="E99" i="462"/>
  <c r="D99" i="462"/>
  <c r="C99" i="462"/>
  <c r="B99" i="462"/>
  <c r="K98" i="462"/>
  <c r="I98" i="462"/>
  <c r="G98" i="462"/>
  <c r="F98" i="462"/>
  <c r="E98" i="462"/>
  <c r="D98" i="462"/>
  <c r="C98" i="462"/>
  <c r="B98" i="462"/>
  <c r="K97" i="462"/>
  <c r="I97" i="462"/>
  <c r="G97" i="462"/>
  <c r="F97" i="462"/>
  <c r="E97" i="462"/>
  <c r="D97" i="462"/>
  <c r="C97" i="462"/>
  <c r="B97" i="462"/>
  <c r="K96" i="462"/>
  <c r="I96" i="462"/>
  <c r="G96" i="462"/>
  <c r="F96" i="462"/>
  <c r="E96" i="462"/>
  <c r="D96" i="462"/>
  <c r="C96" i="462"/>
  <c r="B96" i="462"/>
  <c r="K95" i="462"/>
  <c r="I95" i="462"/>
  <c r="G95" i="462"/>
  <c r="F95" i="462"/>
  <c r="E95" i="462"/>
  <c r="D95" i="462"/>
  <c r="C95" i="462"/>
  <c r="B95" i="462"/>
  <c r="K94" i="462"/>
  <c r="I94" i="462"/>
  <c r="G94" i="462"/>
  <c r="F94" i="462"/>
  <c r="E94" i="462"/>
  <c r="D94" i="462"/>
  <c r="C94" i="462"/>
  <c r="B94" i="462"/>
  <c r="K93" i="462"/>
  <c r="I93" i="462"/>
  <c r="G93" i="462"/>
  <c r="F93" i="462"/>
  <c r="E93" i="462"/>
  <c r="D93" i="462"/>
  <c r="C93" i="462"/>
  <c r="B93" i="462"/>
  <c r="K92" i="462"/>
  <c r="I92" i="462"/>
  <c r="G92" i="462"/>
  <c r="F92" i="462"/>
  <c r="E92" i="462"/>
  <c r="D92" i="462"/>
  <c r="C92" i="462"/>
  <c r="B92" i="462"/>
  <c r="K91" i="462"/>
  <c r="I91" i="462"/>
  <c r="G91" i="462"/>
  <c r="F91" i="462"/>
  <c r="E91" i="462"/>
  <c r="D91" i="462"/>
  <c r="C91" i="462"/>
  <c r="B91" i="462"/>
  <c r="K90" i="462"/>
  <c r="I90" i="462"/>
  <c r="G90" i="462"/>
  <c r="F90" i="462"/>
  <c r="E90" i="462"/>
  <c r="D90" i="462"/>
  <c r="C90" i="462"/>
  <c r="B90" i="462"/>
  <c r="K89" i="462"/>
  <c r="I89" i="462"/>
  <c r="G89" i="462"/>
  <c r="F89" i="462"/>
  <c r="E89" i="462"/>
  <c r="D89" i="462"/>
  <c r="C89" i="462"/>
  <c r="B89" i="462"/>
  <c r="K88" i="462"/>
  <c r="I88" i="462"/>
  <c r="G88" i="462"/>
  <c r="F88" i="462"/>
  <c r="E88" i="462"/>
  <c r="D88" i="462"/>
  <c r="C88" i="462"/>
  <c r="B88" i="462"/>
  <c r="K87" i="462"/>
  <c r="I87" i="462"/>
  <c r="G87" i="462"/>
  <c r="F87" i="462"/>
  <c r="E87" i="462"/>
  <c r="D87" i="462"/>
  <c r="C87" i="462"/>
  <c r="B87" i="462"/>
  <c r="K86" i="462"/>
  <c r="I86" i="462"/>
  <c r="G86" i="462"/>
  <c r="F86" i="462"/>
  <c r="E86" i="462"/>
  <c r="D86" i="462"/>
  <c r="C86" i="462"/>
  <c r="B86" i="462"/>
  <c r="K85" i="462"/>
  <c r="I85" i="462"/>
  <c r="G85" i="462"/>
  <c r="F85" i="462"/>
  <c r="E85" i="462"/>
  <c r="D85" i="462"/>
  <c r="C85" i="462"/>
  <c r="B85" i="462"/>
  <c r="K84" i="462"/>
  <c r="I84" i="462"/>
  <c r="G84" i="462"/>
  <c r="F84" i="462"/>
  <c r="E84" i="462"/>
  <c r="D84" i="462"/>
  <c r="C84" i="462"/>
  <c r="B84" i="462"/>
  <c r="K83" i="462"/>
  <c r="I83" i="462"/>
  <c r="G83" i="462"/>
  <c r="F83" i="462"/>
  <c r="E83" i="462"/>
  <c r="D83" i="462"/>
  <c r="C83" i="462"/>
  <c r="B83" i="462"/>
  <c r="K82" i="462"/>
  <c r="I82" i="462"/>
  <c r="G82" i="462"/>
  <c r="F82" i="462"/>
  <c r="E82" i="462"/>
  <c r="D82" i="462"/>
  <c r="C82" i="462"/>
  <c r="B82" i="462"/>
  <c r="K81" i="462"/>
  <c r="I81" i="462"/>
  <c r="G81" i="462"/>
  <c r="F81" i="462"/>
  <c r="E81" i="462"/>
  <c r="D81" i="462"/>
  <c r="C81" i="462"/>
  <c r="B81" i="462"/>
  <c r="K80" i="462"/>
  <c r="I80" i="462"/>
  <c r="G80" i="462"/>
  <c r="F80" i="462"/>
  <c r="E80" i="462"/>
  <c r="D80" i="462"/>
  <c r="C80" i="462"/>
  <c r="B80" i="462"/>
  <c r="G79" i="462"/>
  <c r="F79" i="462"/>
  <c r="E79" i="462"/>
  <c r="D79" i="462"/>
  <c r="C79" i="462"/>
  <c r="B79" i="462"/>
  <c r="B78" i="462"/>
  <c r="K76" i="462"/>
  <c r="I76" i="462"/>
  <c r="G76" i="462"/>
  <c r="F76" i="462"/>
  <c r="E76" i="462"/>
  <c r="D76" i="462"/>
  <c r="C76" i="462"/>
  <c r="B76" i="462"/>
  <c r="K75" i="462"/>
  <c r="I75" i="462"/>
  <c r="G75" i="462"/>
  <c r="F75" i="462"/>
  <c r="E75" i="462"/>
  <c r="D75" i="462"/>
  <c r="C75" i="462"/>
  <c r="B75" i="462"/>
  <c r="K74" i="462"/>
  <c r="I74" i="462"/>
  <c r="G74" i="462"/>
  <c r="F74" i="462"/>
  <c r="E74" i="462"/>
  <c r="D74" i="462"/>
  <c r="C74" i="462"/>
  <c r="B74" i="462"/>
  <c r="K73" i="462"/>
  <c r="I73" i="462"/>
  <c r="G73" i="462"/>
  <c r="F73" i="462"/>
  <c r="E73" i="462"/>
  <c r="D73" i="462"/>
  <c r="C73" i="462"/>
  <c r="B73" i="462"/>
  <c r="K72" i="462"/>
  <c r="I72" i="462"/>
  <c r="G72" i="462"/>
  <c r="F72" i="462"/>
  <c r="E72" i="462"/>
  <c r="D72" i="462"/>
  <c r="C72" i="462"/>
  <c r="B72" i="462"/>
  <c r="K71" i="462"/>
  <c r="I71" i="462"/>
  <c r="G71" i="462"/>
  <c r="F71" i="462"/>
  <c r="E71" i="462"/>
  <c r="D71" i="462"/>
  <c r="C71" i="462"/>
  <c r="B71" i="462"/>
  <c r="K70" i="462"/>
  <c r="I70" i="462"/>
  <c r="G70" i="462"/>
  <c r="F70" i="462"/>
  <c r="E70" i="462"/>
  <c r="D70" i="462"/>
  <c r="C70" i="462"/>
  <c r="B70" i="462"/>
  <c r="K69" i="462"/>
  <c r="I69" i="462"/>
  <c r="G69" i="462"/>
  <c r="F69" i="462"/>
  <c r="E69" i="462"/>
  <c r="D69" i="462"/>
  <c r="C69" i="462"/>
  <c r="B69" i="462"/>
  <c r="K68" i="462"/>
  <c r="I68" i="462"/>
  <c r="G68" i="462"/>
  <c r="F68" i="462"/>
  <c r="E68" i="462"/>
  <c r="D68" i="462"/>
  <c r="C68" i="462"/>
  <c r="B68" i="462"/>
  <c r="K67" i="462"/>
  <c r="I67" i="462"/>
  <c r="G67" i="462"/>
  <c r="F67" i="462"/>
  <c r="E67" i="462"/>
  <c r="D67" i="462"/>
  <c r="C67" i="462"/>
  <c r="B67" i="462"/>
  <c r="K66" i="462"/>
  <c r="I66" i="462"/>
  <c r="G66" i="462"/>
  <c r="F66" i="462"/>
  <c r="E66" i="462"/>
  <c r="D66" i="462"/>
  <c r="C66" i="462"/>
  <c r="B66" i="462"/>
  <c r="K65" i="462"/>
  <c r="I65" i="462"/>
  <c r="G65" i="462"/>
  <c r="F65" i="462"/>
  <c r="E65" i="462"/>
  <c r="D65" i="462"/>
  <c r="C65" i="462"/>
  <c r="B65" i="462"/>
  <c r="K64" i="462"/>
  <c r="I64" i="462"/>
  <c r="G64" i="462"/>
  <c r="F64" i="462"/>
  <c r="E64" i="462"/>
  <c r="D64" i="462"/>
  <c r="C64" i="462"/>
  <c r="B64" i="462"/>
  <c r="K63" i="462"/>
  <c r="I63" i="462"/>
  <c r="G63" i="462"/>
  <c r="F63" i="462"/>
  <c r="E63" i="462"/>
  <c r="D63" i="462"/>
  <c r="C63" i="462"/>
  <c r="B63" i="462"/>
  <c r="K62" i="462"/>
  <c r="I62" i="462"/>
  <c r="G62" i="462"/>
  <c r="F62" i="462"/>
  <c r="E62" i="462"/>
  <c r="D62" i="462"/>
  <c r="C62" i="462"/>
  <c r="B62" i="462"/>
  <c r="K61" i="462"/>
  <c r="I61" i="462"/>
  <c r="G61" i="462"/>
  <c r="F61" i="462"/>
  <c r="E61" i="462"/>
  <c r="D61" i="462"/>
  <c r="C61" i="462"/>
  <c r="B61" i="462"/>
  <c r="K60" i="462"/>
  <c r="I60" i="462"/>
  <c r="G60" i="462"/>
  <c r="F60" i="462"/>
  <c r="E60" i="462"/>
  <c r="D60" i="462"/>
  <c r="C60" i="462"/>
  <c r="B60" i="462"/>
  <c r="K59" i="462"/>
  <c r="I59" i="462"/>
  <c r="G59" i="462"/>
  <c r="F59" i="462"/>
  <c r="E59" i="462"/>
  <c r="D59" i="462"/>
  <c r="C59" i="462"/>
  <c r="B59" i="462"/>
  <c r="K58" i="462"/>
  <c r="I58" i="462"/>
  <c r="G58" i="462"/>
  <c r="F58" i="462"/>
  <c r="E58" i="462"/>
  <c r="D58" i="462"/>
  <c r="C58" i="462"/>
  <c r="B58" i="462"/>
  <c r="K57" i="462"/>
  <c r="I57" i="462"/>
  <c r="G57" i="462"/>
  <c r="F57" i="462"/>
  <c r="E57" i="462"/>
  <c r="D57" i="462"/>
  <c r="C57" i="462"/>
  <c r="B57" i="462"/>
  <c r="K56" i="462"/>
  <c r="I56" i="462"/>
  <c r="G56" i="462"/>
  <c r="F56" i="462"/>
  <c r="E56" i="462"/>
  <c r="D56" i="462"/>
  <c r="C56" i="462"/>
  <c r="B56" i="462"/>
  <c r="K55" i="462"/>
  <c r="I55" i="462"/>
  <c r="G55" i="462"/>
  <c r="F55" i="462"/>
  <c r="E55" i="462"/>
  <c r="D55" i="462"/>
  <c r="C55" i="462"/>
  <c r="B55" i="462"/>
  <c r="K54" i="462"/>
  <c r="I54" i="462"/>
  <c r="G54" i="462"/>
  <c r="F54" i="462"/>
  <c r="E54" i="462"/>
  <c r="D54" i="462"/>
  <c r="C54" i="462"/>
  <c r="B54" i="462"/>
  <c r="K53" i="462"/>
  <c r="I53" i="462"/>
  <c r="G53" i="462"/>
  <c r="F53" i="462"/>
  <c r="E53" i="462"/>
  <c r="D53" i="462"/>
  <c r="C53" i="462"/>
  <c r="B53" i="462"/>
  <c r="K52" i="462"/>
  <c r="I52" i="462"/>
  <c r="G52" i="462"/>
  <c r="F52" i="462"/>
  <c r="E52" i="462"/>
  <c r="D52" i="462"/>
  <c r="C52" i="462"/>
  <c r="B52" i="462"/>
  <c r="K51" i="462"/>
  <c r="I51" i="462"/>
  <c r="G51" i="462"/>
  <c r="F51" i="462"/>
  <c r="E51" i="462"/>
  <c r="D51" i="462"/>
  <c r="C51" i="462"/>
  <c r="B51" i="462"/>
  <c r="K50" i="462"/>
  <c r="I50" i="462"/>
  <c r="G50" i="462"/>
  <c r="F50" i="462"/>
  <c r="E50" i="462"/>
  <c r="D50" i="462"/>
  <c r="C50" i="462"/>
  <c r="B50" i="462"/>
  <c r="K49" i="462"/>
  <c r="I49" i="462"/>
  <c r="G49" i="462"/>
  <c r="F49" i="462"/>
  <c r="E49" i="462"/>
  <c r="D49" i="462"/>
  <c r="C49" i="462"/>
  <c r="B49" i="462"/>
  <c r="K48" i="462"/>
  <c r="I48" i="462"/>
  <c r="G48" i="462"/>
  <c r="F48" i="462"/>
  <c r="E48" i="462"/>
  <c r="D48" i="462"/>
  <c r="C48" i="462"/>
  <c r="B48" i="462"/>
  <c r="K47" i="462"/>
  <c r="I47" i="462"/>
  <c r="G47" i="462"/>
  <c r="F47" i="462"/>
  <c r="E47" i="462"/>
  <c r="D47" i="462"/>
  <c r="C47" i="462"/>
  <c r="B47" i="462"/>
  <c r="K46" i="462"/>
  <c r="I46" i="462"/>
  <c r="G46" i="462"/>
  <c r="F46" i="462"/>
  <c r="E46" i="462"/>
  <c r="D46" i="462"/>
  <c r="C46" i="462"/>
  <c r="B46" i="462"/>
  <c r="K45" i="462"/>
  <c r="I45" i="462"/>
  <c r="G45" i="462"/>
  <c r="F45" i="462"/>
  <c r="E45" i="462"/>
  <c r="D45" i="462"/>
  <c r="C45" i="462"/>
  <c r="B45" i="462"/>
  <c r="K44" i="462"/>
  <c r="I44" i="462"/>
  <c r="G44" i="462"/>
  <c r="F44" i="462"/>
  <c r="E44" i="462"/>
  <c r="D44" i="462"/>
  <c r="C44" i="462"/>
  <c r="B44" i="462"/>
  <c r="K43" i="462"/>
  <c r="I43" i="462"/>
  <c r="G43" i="462"/>
  <c r="F43" i="462"/>
  <c r="E43" i="462"/>
  <c r="D43" i="462"/>
  <c r="C43" i="462"/>
  <c r="B43" i="462"/>
  <c r="K42" i="462"/>
  <c r="I42" i="462"/>
  <c r="G42" i="462"/>
  <c r="F42" i="462"/>
  <c r="E42" i="462"/>
  <c r="D42" i="462"/>
  <c r="C42" i="462"/>
  <c r="B42" i="462"/>
  <c r="K41" i="462"/>
  <c r="I41" i="462"/>
  <c r="G41" i="462"/>
  <c r="F41" i="462"/>
  <c r="E41" i="462"/>
  <c r="D41" i="462"/>
  <c r="C41" i="462"/>
  <c r="B41" i="462"/>
  <c r="K40" i="462"/>
  <c r="I40" i="462"/>
  <c r="G40" i="462"/>
  <c r="F40" i="462"/>
  <c r="E40" i="462"/>
  <c r="D40" i="462"/>
  <c r="C40" i="462"/>
  <c r="B40" i="462"/>
  <c r="K39" i="462"/>
  <c r="I39" i="462"/>
  <c r="G39" i="462"/>
  <c r="F39" i="462"/>
  <c r="E39" i="462"/>
  <c r="D39" i="462"/>
  <c r="C39" i="462"/>
  <c r="B39" i="462"/>
  <c r="K38" i="462"/>
  <c r="I38" i="462"/>
  <c r="G38" i="462"/>
  <c r="F38" i="462"/>
  <c r="E38" i="462"/>
  <c r="D38" i="462"/>
  <c r="C38" i="462"/>
  <c r="B38" i="462"/>
  <c r="K37" i="462"/>
  <c r="I37" i="462"/>
  <c r="G37" i="462"/>
  <c r="F37" i="462"/>
  <c r="E37" i="462"/>
  <c r="D37" i="462"/>
  <c r="C37" i="462"/>
  <c r="B37" i="462"/>
  <c r="K36" i="462"/>
  <c r="I36" i="462"/>
  <c r="G36" i="462"/>
  <c r="F36" i="462"/>
  <c r="E36" i="462"/>
  <c r="D36" i="462"/>
  <c r="C36" i="462"/>
  <c r="B36" i="462"/>
  <c r="K35" i="462"/>
  <c r="I35" i="462"/>
  <c r="G35" i="462"/>
  <c r="F35" i="462"/>
  <c r="E35" i="462"/>
  <c r="D35" i="462"/>
  <c r="C35" i="462"/>
  <c r="B35" i="462"/>
  <c r="G34" i="462"/>
  <c r="F34" i="462"/>
  <c r="E34" i="462"/>
  <c r="D34" i="462"/>
  <c r="C34" i="462"/>
  <c r="B34" i="462"/>
  <c r="B33" i="462"/>
  <c r="K31" i="462"/>
  <c r="I31" i="462"/>
  <c r="G31" i="462"/>
  <c r="F31" i="462"/>
  <c r="E31" i="462"/>
  <c r="D31" i="462"/>
  <c r="C31" i="462"/>
  <c r="B31" i="462"/>
  <c r="K30" i="462"/>
  <c r="I30" i="462"/>
  <c r="G30" i="462"/>
  <c r="F30" i="462"/>
  <c r="E30" i="462"/>
  <c r="D30" i="462"/>
  <c r="C30" i="462"/>
  <c r="B30" i="462"/>
  <c r="K29" i="462"/>
  <c r="I29" i="462"/>
  <c r="G29" i="462"/>
  <c r="F29" i="462"/>
  <c r="E29" i="462"/>
  <c r="D29" i="462"/>
  <c r="C29" i="462"/>
  <c r="B29" i="462"/>
  <c r="K28" i="462"/>
  <c r="I28" i="462"/>
  <c r="G28" i="462"/>
  <c r="F28" i="462"/>
  <c r="E28" i="462"/>
  <c r="D28" i="462"/>
  <c r="C28" i="462"/>
  <c r="B28" i="462"/>
  <c r="K27" i="462"/>
  <c r="I27" i="462"/>
  <c r="G27" i="462"/>
  <c r="F27" i="462"/>
  <c r="E27" i="462"/>
  <c r="D27" i="462"/>
  <c r="C27" i="462"/>
  <c r="B27" i="462"/>
  <c r="K26" i="462"/>
  <c r="I26" i="462"/>
  <c r="G26" i="462"/>
  <c r="F26" i="462"/>
  <c r="E26" i="462"/>
  <c r="D26" i="462"/>
  <c r="C26" i="462"/>
  <c r="B26" i="462"/>
  <c r="K25" i="462"/>
  <c r="I25" i="462"/>
  <c r="G25" i="462"/>
  <c r="F25" i="462"/>
  <c r="E25" i="462"/>
  <c r="D25" i="462"/>
  <c r="C25" i="462"/>
  <c r="B25" i="462"/>
  <c r="K24" i="462"/>
  <c r="I24" i="462"/>
  <c r="G24" i="462"/>
  <c r="F24" i="462"/>
  <c r="E24" i="462"/>
  <c r="D24" i="462"/>
  <c r="C24" i="462"/>
  <c r="B24" i="462"/>
  <c r="K23" i="462"/>
  <c r="I23" i="462"/>
  <c r="G23" i="462"/>
  <c r="F23" i="462"/>
  <c r="E23" i="462"/>
  <c r="D23" i="462"/>
  <c r="C23" i="462"/>
  <c r="B23" i="462"/>
  <c r="K22" i="462"/>
  <c r="I22" i="462"/>
  <c r="G22" i="462"/>
  <c r="F22" i="462"/>
  <c r="E22" i="462"/>
  <c r="D22" i="462"/>
  <c r="C22" i="462"/>
  <c r="B22" i="462"/>
  <c r="K21" i="462"/>
  <c r="I21" i="462"/>
  <c r="G21" i="462"/>
  <c r="F21" i="462"/>
  <c r="E21" i="462"/>
  <c r="D21" i="462"/>
  <c r="C21" i="462"/>
  <c r="B21" i="462"/>
  <c r="K20" i="462"/>
  <c r="I20" i="462"/>
  <c r="G20" i="462"/>
  <c r="F20" i="462"/>
  <c r="E20" i="462"/>
  <c r="D20" i="462"/>
  <c r="C20" i="462"/>
  <c r="B20" i="462"/>
  <c r="K19" i="462"/>
  <c r="I19" i="462"/>
  <c r="G19" i="462"/>
  <c r="F19" i="462"/>
  <c r="E19" i="462"/>
  <c r="D19" i="462"/>
  <c r="C19" i="462"/>
  <c r="B19" i="462"/>
  <c r="K18" i="462"/>
  <c r="I18" i="462"/>
  <c r="G18" i="462"/>
  <c r="F18" i="462"/>
  <c r="E18" i="462"/>
  <c r="D18" i="462"/>
  <c r="C18" i="462"/>
  <c r="B18" i="462"/>
  <c r="K17" i="462"/>
  <c r="I17" i="462"/>
  <c r="G17" i="462"/>
  <c r="F17" i="462"/>
  <c r="E17" i="462"/>
  <c r="D17" i="462"/>
  <c r="C17" i="462"/>
  <c r="B17" i="462"/>
  <c r="K16" i="462"/>
  <c r="I16" i="462"/>
  <c r="G16" i="462"/>
  <c r="F16" i="462"/>
  <c r="E16" i="462"/>
  <c r="D16" i="462"/>
  <c r="C16" i="462"/>
  <c r="B16" i="462"/>
  <c r="K15" i="462"/>
  <c r="I15" i="462"/>
  <c r="G15" i="462"/>
  <c r="F15" i="462"/>
  <c r="E15" i="462"/>
  <c r="D15" i="462"/>
  <c r="C15" i="462"/>
  <c r="B15" i="462"/>
  <c r="K14" i="462"/>
  <c r="I14" i="462"/>
  <c r="G14" i="462"/>
  <c r="F14" i="462"/>
  <c r="E14" i="462"/>
  <c r="D14" i="462"/>
  <c r="C14" i="462"/>
  <c r="B14" i="462"/>
  <c r="K13" i="462"/>
  <c r="I13" i="462"/>
  <c r="G13" i="462"/>
  <c r="F13" i="462"/>
  <c r="E13" i="462"/>
  <c r="D13" i="462"/>
  <c r="C13" i="462"/>
  <c r="B13" i="462"/>
  <c r="K12" i="462"/>
  <c r="I12" i="462"/>
  <c r="G12" i="462"/>
  <c r="F12" i="462"/>
  <c r="E12" i="462"/>
  <c r="D12" i="462"/>
  <c r="C12" i="462"/>
  <c r="B12" i="462"/>
  <c r="G11" i="462"/>
  <c r="F11" i="462"/>
  <c r="E11" i="462"/>
  <c r="D11" i="462"/>
  <c r="C11" i="462"/>
  <c r="B11" i="462"/>
  <c r="B10" i="462"/>
  <c r="F8" i="462"/>
  <c r="I7" i="462"/>
  <c r="G7" i="462"/>
  <c r="F7" i="462"/>
  <c r="B6" i="462"/>
  <c r="G5" i="462"/>
  <c r="F5" i="462"/>
  <c r="E5" i="462"/>
  <c r="G4" i="462"/>
  <c r="F4" i="462"/>
  <c r="E4" i="462"/>
  <c r="L3" i="462"/>
  <c r="C3" i="462"/>
  <c r="B3" i="462"/>
  <c r="L2" i="462"/>
  <c r="C2" i="462"/>
  <c r="B2" i="462"/>
  <c r="AF61" i="35"/>
  <c r="AF60" i="35"/>
  <c r="AF59" i="35"/>
  <c r="AF58" i="35"/>
  <c r="AF56" i="35"/>
  <c r="AI37" i="35"/>
  <c r="AH37" i="35"/>
  <c r="AN35" i="35"/>
  <c r="AI35" i="35"/>
  <c r="AH35" i="35"/>
  <c r="A34" i="35"/>
  <c r="AP33" i="35"/>
  <c r="AK33" i="35"/>
  <c r="AJ33" i="35"/>
  <c r="AI33" i="35"/>
  <c r="AG33" i="35"/>
  <c r="A33" i="35"/>
  <c r="AP32" i="35"/>
  <c r="AK32" i="35"/>
  <c r="AJ32" i="35"/>
  <c r="AI32" i="35"/>
  <c r="AG32" i="35"/>
  <c r="AP31" i="35"/>
  <c r="AK31" i="35"/>
  <c r="AJ31" i="35"/>
  <c r="AI31" i="35"/>
  <c r="AH31" i="35"/>
  <c r="AG31" i="35"/>
  <c r="GA29" i="35"/>
  <c r="FZ29" i="35"/>
  <c r="FY29" i="35"/>
  <c r="FX29" i="35"/>
  <c r="FW29" i="35"/>
  <c r="FV29" i="35"/>
  <c r="FU29" i="35"/>
  <c r="FT29" i="35"/>
  <c r="FS29" i="35"/>
  <c r="FR29" i="35"/>
  <c r="FQ29" i="35"/>
  <c r="FP29" i="35"/>
  <c r="FO29" i="35"/>
  <c r="FN29" i="35"/>
  <c r="FM29" i="35"/>
  <c r="FL29" i="35"/>
  <c r="FK29" i="35"/>
  <c r="FJ29" i="35"/>
  <c r="FI29" i="35"/>
  <c r="FH29" i="35"/>
  <c r="FG29" i="35"/>
  <c r="FF29" i="35"/>
  <c r="FE29" i="35"/>
  <c r="FD29" i="35"/>
  <c r="FC29" i="35"/>
  <c r="FB29" i="35"/>
  <c r="FA29" i="35"/>
  <c r="EZ29" i="35"/>
  <c r="EY29" i="35"/>
  <c r="EX29" i="35"/>
  <c r="EW29" i="35"/>
  <c r="EV29" i="35"/>
  <c r="EU29" i="35"/>
  <c r="ET29" i="35"/>
  <c r="ES29" i="35"/>
  <c r="ER29" i="35"/>
  <c r="EQ29" i="35"/>
  <c r="EP29" i="35"/>
  <c r="EO29" i="35"/>
  <c r="EN29" i="35"/>
  <c r="EM29" i="35"/>
  <c r="EL29" i="35"/>
  <c r="EK29" i="35"/>
  <c r="EJ29" i="35"/>
  <c r="EI29" i="35"/>
  <c r="EH29" i="35"/>
  <c r="EG29" i="35"/>
  <c r="EF29" i="35"/>
  <c r="EE29" i="35"/>
  <c r="ED29" i="35"/>
  <c r="EC29" i="35"/>
  <c r="EB29" i="35"/>
  <c r="EA29" i="35"/>
  <c r="DZ29" i="35"/>
  <c r="DY29" i="35"/>
  <c r="DX29" i="35"/>
  <c r="DW29" i="35"/>
  <c r="DV29" i="35"/>
  <c r="DU29" i="35"/>
  <c r="DT29" i="35"/>
  <c r="DS29" i="35"/>
  <c r="DR29" i="35"/>
  <c r="DQ29" i="35"/>
  <c r="DP29" i="35"/>
  <c r="DO29" i="35"/>
  <c r="DN29" i="35"/>
  <c r="DM29" i="35"/>
  <c r="DL29" i="35"/>
  <c r="DK29" i="35"/>
  <c r="DJ29" i="35"/>
  <c r="DI29" i="35"/>
  <c r="DH29" i="35"/>
  <c r="DG29" i="35"/>
  <c r="DF29" i="35"/>
  <c r="DE29" i="35"/>
  <c r="DD29" i="35"/>
  <c r="DC29" i="35"/>
  <c r="DB29" i="35"/>
  <c r="DA29" i="35"/>
  <c r="CZ29" i="35"/>
  <c r="CY29" i="35"/>
  <c r="CX29" i="35"/>
  <c r="CW29" i="35"/>
  <c r="CV29" i="35"/>
  <c r="CU29" i="35"/>
  <c r="CT29" i="35"/>
  <c r="CS29" i="35"/>
  <c r="CR29" i="35"/>
  <c r="CQ29" i="35"/>
  <c r="CP29" i="35"/>
  <c r="CO29" i="35"/>
  <c r="CN29" i="35"/>
  <c r="CM29" i="35"/>
  <c r="CL29" i="35"/>
  <c r="CK29" i="35"/>
  <c r="CJ29" i="35"/>
  <c r="CI29" i="35"/>
  <c r="CH29" i="35"/>
  <c r="CG29" i="35"/>
  <c r="CF29" i="35"/>
  <c r="CE29" i="35"/>
  <c r="CD29" i="35"/>
  <c r="CC29" i="35"/>
  <c r="CB29" i="35"/>
  <c r="CA29" i="35"/>
  <c r="BZ29" i="35"/>
  <c r="BY29" i="35"/>
  <c r="BX29" i="35"/>
  <c r="BW29" i="35"/>
  <c r="BV29" i="35"/>
  <c r="BU29" i="35"/>
  <c r="BT29" i="35"/>
  <c r="BS29" i="35"/>
  <c r="BR29" i="35"/>
  <c r="BQ29" i="35"/>
  <c r="BP29" i="35"/>
  <c r="BO29" i="35"/>
  <c r="BN29" i="35"/>
  <c r="BM29" i="35"/>
  <c r="BL29" i="35"/>
  <c r="BK29" i="35"/>
  <c r="BJ29" i="35"/>
  <c r="BI29" i="35"/>
  <c r="BH29" i="35"/>
  <c r="BG29" i="35"/>
  <c r="BF29" i="35"/>
  <c r="BE29" i="35"/>
  <c r="BD29" i="35"/>
  <c r="BC29" i="35"/>
  <c r="BB29" i="35"/>
  <c r="BA29" i="35"/>
  <c r="AZ29" i="35"/>
  <c r="AY29" i="35"/>
  <c r="AX29" i="35"/>
  <c r="AW29" i="35"/>
  <c r="AV29" i="35"/>
  <c r="AU29" i="35"/>
  <c r="AT29" i="35"/>
  <c r="AS29" i="35"/>
  <c r="AR29" i="35"/>
  <c r="AQ29" i="35"/>
  <c r="AP29" i="35"/>
  <c r="AO29" i="35"/>
  <c r="AN29" i="35"/>
  <c r="AL29" i="35"/>
  <c r="AK29" i="35"/>
  <c r="AJ29" i="35"/>
  <c r="AI29" i="35"/>
  <c r="AH29" i="35"/>
  <c r="AF29" i="35"/>
  <c r="AE29" i="35"/>
  <c r="D29" i="35"/>
  <c r="B29" i="35"/>
  <c r="GA28" i="35"/>
  <c r="FZ28" i="35"/>
  <c r="FY28" i="35"/>
  <c r="FX28" i="35"/>
  <c r="FW28" i="35"/>
  <c r="FV28" i="35"/>
  <c r="FU28" i="35"/>
  <c r="FT28" i="35"/>
  <c r="FS28" i="35"/>
  <c r="FR28" i="35"/>
  <c r="FQ28" i="35"/>
  <c r="FP28" i="35"/>
  <c r="FO28" i="35"/>
  <c r="FN28" i="35"/>
  <c r="FM28" i="35"/>
  <c r="FL28" i="35"/>
  <c r="FK28" i="35"/>
  <c r="FJ28" i="35"/>
  <c r="FI28" i="35"/>
  <c r="FH28" i="35"/>
  <c r="FG28" i="35"/>
  <c r="FF28" i="35"/>
  <c r="FE28" i="35"/>
  <c r="FD28" i="35"/>
  <c r="FC28" i="35"/>
  <c r="FB28" i="35"/>
  <c r="FA28" i="35"/>
  <c r="EZ28" i="35"/>
  <c r="EY28" i="35"/>
  <c r="EX28" i="35"/>
  <c r="EW28" i="35"/>
  <c r="EV28" i="35"/>
  <c r="EU28" i="35"/>
  <c r="ET28" i="35"/>
  <c r="ES28" i="35"/>
  <c r="ER28" i="35"/>
  <c r="EQ28" i="35"/>
  <c r="EP28" i="35"/>
  <c r="EO28" i="35"/>
  <c r="EN28" i="35"/>
  <c r="EM28" i="35"/>
  <c r="EL28" i="35"/>
  <c r="EK28" i="35"/>
  <c r="EJ28" i="35"/>
  <c r="EI28" i="35"/>
  <c r="EH28" i="35"/>
  <c r="EG28" i="35"/>
  <c r="EF28" i="35"/>
  <c r="EE28" i="35"/>
  <c r="ED28" i="35"/>
  <c r="EC28" i="35"/>
  <c r="EB28" i="35"/>
  <c r="EA28" i="35"/>
  <c r="DZ28" i="35"/>
  <c r="DY28" i="35"/>
  <c r="DX28" i="35"/>
  <c r="DW28" i="35"/>
  <c r="DV28" i="35"/>
  <c r="DU28" i="35"/>
  <c r="DT28" i="35"/>
  <c r="DS28" i="35"/>
  <c r="DR28" i="35"/>
  <c r="DQ28" i="35"/>
  <c r="DP28" i="35"/>
  <c r="DO28" i="35"/>
  <c r="DN28" i="35"/>
  <c r="DM28" i="35"/>
  <c r="DL28" i="35"/>
  <c r="DK28" i="35"/>
  <c r="DJ28" i="35"/>
  <c r="DI28" i="35"/>
  <c r="DH28" i="35"/>
  <c r="DG28" i="35"/>
  <c r="DF28" i="35"/>
  <c r="DE28" i="35"/>
  <c r="DD28" i="35"/>
  <c r="DC28" i="35"/>
  <c r="DB28" i="35"/>
  <c r="DA28" i="35"/>
  <c r="CZ28" i="35"/>
  <c r="CY28" i="35"/>
  <c r="CX28" i="35"/>
  <c r="CW28" i="35"/>
  <c r="CV28" i="35"/>
  <c r="CU28" i="35"/>
  <c r="CT28" i="35"/>
  <c r="CS28" i="35"/>
  <c r="CR28" i="35"/>
  <c r="CQ28" i="35"/>
  <c r="CP28" i="35"/>
  <c r="CO28" i="35"/>
  <c r="CN28" i="35"/>
  <c r="CM28" i="35"/>
  <c r="CL28" i="35"/>
  <c r="CK28" i="35"/>
  <c r="CJ28" i="35"/>
  <c r="CI28" i="35"/>
  <c r="CH28" i="35"/>
  <c r="CG28" i="35"/>
  <c r="CF28" i="35"/>
  <c r="CE28" i="35"/>
  <c r="CD28" i="35"/>
  <c r="CC28" i="35"/>
  <c r="CB28" i="35"/>
  <c r="CA28" i="35"/>
  <c r="BZ28" i="35"/>
  <c r="BY28" i="35"/>
  <c r="BX28" i="35"/>
  <c r="BW28" i="35"/>
  <c r="BV28" i="35"/>
  <c r="BU28" i="35"/>
  <c r="BT28" i="35"/>
  <c r="BS28" i="35"/>
  <c r="BR28" i="35"/>
  <c r="BQ28" i="35"/>
  <c r="BP28" i="35"/>
  <c r="BO28" i="35"/>
  <c r="BN28" i="35"/>
  <c r="BM28" i="35"/>
  <c r="BL28" i="35"/>
  <c r="BK28" i="35"/>
  <c r="BJ28" i="35"/>
  <c r="BI28" i="35"/>
  <c r="BH28" i="35"/>
  <c r="BG28" i="35"/>
  <c r="BF28" i="35"/>
  <c r="BE28" i="35"/>
  <c r="BD28" i="35"/>
  <c r="BC28" i="35"/>
  <c r="BB28" i="35"/>
  <c r="BA28" i="35"/>
  <c r="AZ28" i="35"/>
  <c r="AY28" i="35"/>
  <c r="AX28" i="35"/>
  <c r="AW28" i="35"/>
  <c r="AV28" i="35"/>
  <c r="AU28" i="35"/>
  <c r="AT28" i="35"/>
  <c r="AS28" i="35"/>
  <c r="AR28" i="35"/>
  <c r="AQ28" i="35"/>
  <c r="AP28" i="35"/>
  <c r="AO28" i="35"/>
  <c r="AN28" i="35"/>
  <c r="AL28" i="35"/>
  <c r="AK28" i="35"/>
  <c r="AJ28" i="35"/>
  <c r="AI28" i="35"/>
  <c r="AH28" i="35"/>
  <c r="AF28" i="35"/>
  <c r="AE28" i="35"/>
  <c r="AC28" i="35"/>
  <c r="I28" i="35"/>
  <c r="D28" i="35"/>
  <c r="B28" i="35"/>
  <c r="AF27" i="35"/>
  <c r="GA26" i="35"/>
  <c r="FZ26" i="35"/>
  <c r="FY26" i="35"/>
  <c r="FX26" i="35"/>
  <c r="FW26" i="35"/>
  <c r="FV26" i="35"/>
  <c r="FU26" i="35"/>
  <c r="FT26" i="35"/>
  <c r="FS26" i="35"/>
  <c r="FR26" i="35"/>
  <c r="FQ26" i="35"/>
  <c r="FP26" i="35"/>
  <c r="FO26" i="35"/>
  <c r="FN26" i="35"/>
  <c r="FM26" i="35"/>
  <c r="FL26" i="35"/>
  <c r="FK26" i="35"/>
  <c r="FJ26" i="35"/>
  <c r="FI26" i="35"/>
  <c r="FH26" i="35"/>
  <c r="FG26" i="35"/>
  <c r="FF26" i="35"/>
  <c r="FE26" i="35"/>
  <c r="FD26" i="35"/>
  <c r="FC26" i="35"/>
  <c r="FB26" i="35"/>
  <c r="FA26" i="35"/>
  <c r="EZ26" i="35"/>
  <c r="EY26" i="35"/>
  <c r="EX26" i="35"/>
  <c r="EW26" i="35"/>
  <c r="EV26" i="35"/>
  <c r="EU26" i="35"/>
  <c r="ET26" i="35"/>
  <c r="ES26" i="35"/>
  <c r="ER26" i="35"/>
  <c r="EQ26" i="35"/>
  <c r="EP26" i="35"/>
  <c r="EO26" i="35"/>
  <c r="EN26" i="35"/>
  <c r="EM26" i="35"/>
  <c r="EL26" i="35"/>
  <c r="EK26" i="35"/>
  <c r="EJ26" i="35"/>
  <c r="EI26" i="35"/>
  <c r="EH26" i="35"/>
  <c r="EG26" i="35"/>
  <c r="EF26" i="35"/>
  <c r="EE26" i="35"/>
  <c r="ED26" i="35"/>
  <c r="EC26" i="35"/>
  <c r="EB26" i="35"/>
  <c r="EA26" i="35"/>
  <c r="DZ26" i="35"/>
  <c r="DY26" i="35"/>
  <c r="DX26" i="35"/>
  <c r="DW26" i="35"/>
  <c r="DV26" i="35"/>
  <c r="DU26" i="35"/>
  <c r="DT26" i="35"/>
  <c r="DS26" i="35"/>
  <c r="DR26" i="35"/>
  <c r="DQ26" i="35"/>
  <c r="DP26" i="35"/>
  <c r="DO26" i="35"/>
  <c r="DN26" i="35"/>
  <c r="DM26" i="35"/>
  <c r="DL26" i="35"/>
  <c r="DK26" i="35"/>
  <c r="DJ26" i="35"/>
  <c r="DI26" i="35"/>
  <c r="DH26" i="35"/>
  <c r="DG26" i="35"/>
  <c r="DF26" i="35"/>
  <c r="DE26" i="35"/>
  <c r="DD26" i="35"/>
  <c r="DC26" i="35"/>
  <c r="DB26" i="35"/>
  <c r="DA26" i="35"/>
  <c r="CZ26" i="35"/>
  <c r="CY26" i="35"/>
  <c r="CX26" i="35"/>
  <c r="CW26" i="35"/>
  <c r="CV26" i="35"/>
  <c r="CU26" i="35"/>
  <c r="CT26" i="35"/>
  <c r="CS26" i="35"/>
  <c r="CR26" i="35"/>
  <c r="CQ26" i="35"/>
  <c r="CP26" i="35"/>
  <c r="CO26" i="35"/>
  <c r="CN26" i="35"/>
  <c r="CM26" i="35"/>
  <c r="CL26" i="35"/>
  <c r="CK26" i="35"/>
  <c r="CJ26" i="35"/>
  <c r="CI26" i="35"/>
  <c r="CH26" i="35"/>
  <c r="CG26" i="35"/>
  <c r="CF26" i="35"/>
  <c r="CE26" i="35"/>
  <c r="CD26" i="35"/>
  <c r="CC26" i="35"/>
  <c r="CB26" i="35"/>
  <c r="CA26" i="35"/>
  <c r="BZ26" i="35"/>
  <c r="BY26" i="35"/>
  <c r="BX26" i="35"/>
  <c r="BW26" i="35"/>
  <c r="BV26" i="35"/>
  <c r="BU26" i="35"/>
  <c r="BT26" i="35"/>
  <c r="BS26" i="35"/>
  <c r="BR26" i="35"/>
  <c r="BQ26" i="35"/>
  <c r="BP26" i="35"/>
  <c r="BO26" i="35"/>
  <c r="BN26" i="35"/>
  <c r="BM26" i="35"/>
  <c r="BL26" i="35"/>
  <c r="BK26" i="35"/>
  <c r="BJ26" i="35"/>
  <c r="BI26" i="35"/>
  <c r="BH26" i="35"/>
  <c r="BG26" i="35"/>
  <c r="BF26" i="35"/>
  <c r="BE26" i="35"/>
  <c r="BD26" i="35"/>
  <c r="BC26" i="35"/>
  <c r="BB26" i="35"/>
  <c r="BA26" i="35"/>
  <c r="AZ26" i="35"/>
  <c r="AY26" i="35"/>
  <c r="AX26" i="35"/>
  <c r="AW26" i="35"/>
  <c r="AV26" i="35"/>
  <c r="AU26" i="35"/>
  <c r="AT26" i="35"/>
  <c r="AS26" i="35"/>
  <c r="AR26" i="35"/>
  <c r="AQ26" i="35"/>
  <c r="AP26" i="35"/>
  <c r="AO26" i="35"/>
  <c r="AN26" i="35"/>
  <c r="AK26" i="35"/>
  <c r="AJ26" i="35"/>
  <c r="AI26" i="35"/>
  <c r="AH26" i="35"/>
  <c r="AF26" i="35"/>
  <c r="AE26" i="35"/>
  <c r="AD26" i="35"/>
  <c r="AC26" i="35"/>
  <c r="E26" i="35"/>
  <c r="D26" i="35"/>
  <c r="C26" i="35"/>
  <c r="B26" i="35"/>
  <c r="GA25" i="35"/>
  <c r="FZ25" i="35"/>
  <c r="FY25" i="35"/>
  <c r="FX25" i="35"/>
  <c r="FW25" i="35"/>
  <c r="FV25" i="35"/>
  <c r="FU25" i="35"/>
  <c r="FT25" i="35"/>
  <c r="FS25" i="35"/>
  <c r="FR25" i="35"/>
  <c r="FQ25" i="35"/>
  <c r="FP25" i="35"/>
  <c r="FO25" i="35"/>
  <c r="FN25" i="35"/>
  <c r="FM25" i="35"/>
  <c r="FL25" i="35"/>
  <c r="FK25" i="35"/>
  <c r="FJ25" i="35"/>
  <c r="FI25" i="35"/>
  <c r="FH25" i="35"/>
  <c r="FG25" i="35"/>
  <c r="FF25" i="35"/>
  <c r="FE25" i="35"/>
  <c r="FD25" i="35"/>
  <c r="FC25" i="35"/>
  <c r="FB25" i="35"/>
  <c r="FA25" i="35"/>
  <c r="EZ25" i="35"/>
  <c r="EY25" i="35"/>
  <c r="EX25" i="35"/>
  <c r="EW25" i="35"/>
  <c r="EV25" i="35"/>
  <c r="EU25" i="35"/>
  <c r="ET25" i="35"/>
  <c r="ES25" i="35"/>
  <c r="ER25" i="35"/>
  <c r="EQ25" i="35"/>
  <c r="EP25" i="35"/>
  <c r="EO25" i="35"/>
  <c r="EN25" i="35"/>
  <c r="EM25" i="35"/>
  <c r="EL25" i="35"/>
  <c r="EK25" i="35"/>
  <c r="EJ25" i="35"/>
  <c r="EI25" i="35"/>
  <c r="EH25" i="35"/>
  <c r="EG25" i="35"/>
  <c r="EF25" i="35"/>
  <c r="EE25" i="35"/>
  <c r="ED25" i="35"/>
  <c r="EC25" i="35"/>
  <c r="EB25" i="35"/>
  <c r="EA25" i="35"/>
  <c r="DZ25" i="35"/>
  <c r="DY25" i="35"/>
  <c r="DX25" i="35"/>
  <c r="DW25" i="35"/>
  <c r="DV25" i="35"/>
  <c r="DU25" i="35"/>
  <c r="DT25" i="35"/>
  <c r="DS25" i="35"/>
  <c r="DR25" i="35"/>
  <c r="DQ25" i="35"/>
  <c r="DP25" i="35"/>
  <c r="DO25" i="35"/>
  <c r="DN25" i="35"/>
  <c r="DM25" i="35"/>
  <c r="DL25" i="35"/>
  <c r="DK25" i="35"/>
  <c r="DJ25" i="35"/>
  <c r="DI25" i="35"/>
  <c r="DH25" i="35"/>
  <c r="DG25" i="35"/>
  <c r="DF25" i="35"/>
  <c r="DE25" i="35"/>
  <c r="DD25" i="35"/>
  <c r="DC25" i="35"/>
  <c r="DB25" i="35"/>
  <c r="DA25" i="35"/>
  <c r="CZ25" i="35"/>
  <c r="CY25" i="35"/>
  <c r="CX25" i="35"/>
  <c r="CW25" i="35"/>
  <c r="CV25" i="35"/>
  <c r="CU25" i="35"/>
  <c r="CT25" i="35"/>
  <c r="CS25" i="35"/>
  <c r="CR25" i="35"/>
  <c r="CQ25" i="35"/>
  <c r="CP25" i="35"/>
  <c r="CO25" i="35"/>
  <c r="CN25" i="35"/>
  <c r="CM25" i="35"/>
  <c r="CL25" i="35"/>
  <c r="CK25" i="35"/>
  <c r="CJ25" i="35"/>
  <c r="CI25" i="35"/>
  <c r="CH25" i="35"/>
  <c r="CG25" i="35"/>
  <c r="CF25" i="35"/>
  <c r="CE25" i="35"/>
  <c r="CD25" i="35"/>
  <c r="CC25" i="35"/>
  <c r="CB25" i="35"/>
  <c r="CA25" i="35"/>
  <c r="BZ25" i="35"/>
  <c r="BY25" i="35"/>
  <c r="BX25" i="35"/>
  <c r="BW25" i="35"/>
  <c r="BV25" i="35"/>
  <c r="BU25" i="35"/>
  <c r="BT25" i="35"/>
  <c r="BS25" i="35"/>
  <c r="BR25" i="35"/>
  <c r="BQ25" i="35"/>
  <c r="BP25" i="35"/>
  <c r="BO25" i="35"/>
  <c r="BN25" i="35"/>
  <c r="BM25" i="35"/>
  <c r="BL25" i="35"/>
  <c r="BK25" i="35"/>
  <c r="BJ25" i="35"/>
  <c r="BI25" i="35"/>
  <c r="BH25" i="35"/>
  <c r="BG25" i="35"/>
  <c r="BF25" i="35"/>
  <c r="BE25" i="35"/>
  <c r="BD25" i="35"/>
  <c r="BC25" i="35"/>
  <c r="BB25" i="35"/>
  <c r="BA25" i="35"/>
  <c r="AZ25" i="35"/>
  <c r="AY25" i="35"/>
  <c r="AX25" i="35"/>
  <c r="AW25" i="35"/>
  <c r="AV25" i="35"/>
  <c r="AU25" i="35"/>
  <c r="AT25" i="35"/>
  <c r="AS25" i="35"/>
  <c r="AR25" i="35"/>
  <c r="AQ25" i="35"/>
  <c r="AP25" i="35"/>
  <c r="AO25" i="35"/>
  <c r="AN25" i="35"/>
  <c r="AK25" i="35"/>
  <c r="AJ25" i="35"/>
  <c r="AI25" i="35"/>
  <c r="AH25" i="35"/>
  <c r="AF25" i="35"/>
  <c r="AE25" i="35"/>
  <c r="AD25" i="35"/>
  <c r="AC25" i="35"/>
  <c r="E25" i="35"/>
  <c r="D25" i="35"/>
  <c r="C25" i="35"/>
  <c r="B25" i="35"/>
  <c r="GA24" i="35"/>
  <c r="FZ24" i="35"/>
  <c r="FY24" i="35"/>
  <c r="FX24" i="35"/>
  <c r="FW24" i="35"/>
  <c r="FV24" i="35"/>
  <c r="FU24" i="35"/>
  <c r="FT24" i="35"/>
  <c r="FS24" i="35"/>
  <c r="FR24" i="35"/>
  <c r="FQ24" i="35"/>
  <c r="FP24" i="35"/>
  <c r="FO24" i="35"/>
  <c r="FN24" i="35"/>
  <c r="FM24" i="35"/>
  <c r="FL24" i="35"/>
  <c r="FK24" i="35"/>
  <c r="FJ24" i="35"/>
  <c r="FI24" i="35"/>
  <c r="FH24" i="35"/>
  <c r="FG24" i="35"/>
  <c r="FF24" i="35"/>
  <c r="FE24" i="35"/>
  <c r="FD24" i="35"/>
  <c r="FC24" i="35"/>
  <c r="FB24" i="35"/>
  <c r="FA24" i="35"/>
  <c r="EZ24" i="35"/>
  <c r="EY24" i="35"/>
  <c r="EX24" i="35"/>
  <c r="EW24" i="35"/>
  <c r="EV24" i="35"/>
  <c r="EU24" i="35"/>
  <c r="ET24" i="35"/>
  <c r="ES24" i="35"/>
  <c r="ER24" i="35"/>
  <c r="EQ24" i="35"/>
  <c r="EP24" i="35"/>
  <c r="EO24" i="35"/>
  <c r="EN24" i="35"/>
  <c r="EM24" i="35"/>
  <c r="EL24" i="35"/>
  <c r="EK24" i="35"/>
  <c r="EJ24" i="35"/>
  <c r="EI24" i="35"/>
  <c r="EH24" i="35"/>
  <c r="EG24" i="35"/>
  <c r="EF24" i="35"/>
  <c r="EE24" i="35"/>
  <c r="ED24" i="35"/>
  <c r="EC24" i="35"/>
  <c r="EB24" i="35"/>
  <c r="EA24" i="35"/>
  <c r="DZ24" i="35"/>
  <c r="DY24" i="35"/>
  <c r="DX24" i="35"/>
  <c r="DW24" i="35"/>
  <c r="DV24" i="35"/>
  <c r="DU24" i="35"/>
  <c r="DT24" i="35"/>
  <c r="DS24" i="35"/>
  <c r="DR24" i="35"/>
  <c r="DQ24" i="35"/>
  <c r="DP24" i="35"/>
  <c r="DO24" i="35"/>
  <c r="DN24" i="35"/>
  <c r="DM24" i="35"/>
  <c r="DL24" i="35"/>
  <c r="DK24" i="35"/>
  <c r="DJ24" i="35"/>
  <c r="DI24" i="35"/>
  <c r="DH24" i="35"/>
  <c r="DG24" i="35"/>
  <c r="DF24" i="35"/>
  <c r="DE24" i="35"/>
  <c r="DD24" i="35"/>
  <c r="DC24" i="35"/>
  <c r="DB24" i="35"/>
  <c r="DA24" i="35"/>
  <c r="CZ24" i="35"/>
  <c r="CY24" i="35"/>
  <c r="CX24" i="35"/>
  <c r="CW24" i="35"/>
  <c r="CV24" i="35"/>
  <c r="CU24" i="35"/>
  <c r="CT24" i="35"/>
  <c r="CS24" i="35"/>
  <c r="CR24" i="35"/>
  <c r="CQ24" i="35"/>
  <c r="CP24" i="35"/>
  <c r="CO24" i="35"/>
  <c r="CN24" i="35"/>
  <c r="CM24" i="35"/>
  <c r="CL24" i="35"/>
  <c r="CK24" i="35"/>
  <c r="CJ24" i="35"/>
  <c r="CI24" i="35"/>
  <c r="CH24" i="35"/>
  <c r="CG24" i="35"/>
  <c r="CF24" i="35"/>
  <c r="CE24" i="35"/>
  <c r="CD24" i="35"/>
  <c r="CC24" i="35"/>
  <c r="CB24" i="35"/>
  <c r="CA24" i="35"/>
  <c r="BZ24" i="35"/>
  <c r="BY24" i="35"/>
  <c r="BX24" i="35"/>
  <c r="BW24" i="35"/>
  <c r="BV24" i="35"/>
  <c r="BU24" i="35"/>
  <c r="BT24" i="35"/>
  <c r="BS24" i="35"/>
  <c r="BR24" i="35"/>
  <c r="BQ24" i="35"/>
  <c r="BP24" i="35"/>
  <c r="BO24" i="35"/>
  <c r="BN24" i="35"/>
  <c r="BM24" i="35"/>
  <c r="BL24" i="35"/>
  <c r="BK24" i="35"/>
  <c r="BJ24" i="35"/>
  <c r="BI24" i="35"/>
  <c r="BH24" i="35"/>
  <c r="BG24" i="35"/>
  <c r="BF24" i="35"/>
  <c r="BE24" i="35"/>
  <c r="BD24" i="35"/>
  <c r="BC24" i="35"/>
  <c r="BB24" i="35"/>
  <c r="BA24" i="35"/>
  <c r="AZ24" i="35"/>
  <c r="AY24" i="35"/>
  <c r="AX24" i="35"/>
  <c r="AW24" i="35"/>
  <c r="AV24" i="35"/>
  <c r="AU24" i="35"/>
  <c r="AT24" i="35"/>
  <c r="AS24" i="35"/>
  <c r="AR24" i="35"/>
  <c r="AQ24" i="35"/>
  <c r="AP24" i="35"/>
  <c r="AO24" i="35"/>
  <c r="AN24" i="35"/>
  <c r="AK24" i="35"/>
  <c r="AJ24" i="35"/>
  <c r="AI24" i="35"/>
  <c r="AH24" i="35"/>
  <c r="AF24" i="35"/>
  <c r="AE24" i="35"/>
  <c r="AD24" i="35"/>
  <c r="AC24" i="35"/>
  <c r="E24" i="35"/>
  <c r="D24" i="35"/>
  <c r="C24" i="35"/>
  <c r="B24" i="35"/>
  <c r="GQ23" i="35"/>
  <c r="GA23" i="35"/>
  <c r="FZ23" i="35"/>
  <c r="FY23" i="35"/>
  <c r="FX23" i="35"/>
  <c r="FW23" i="35"/>
  <c r="FV23" i="35"/>
  <c r="FU23" i="35"/>
  <c r="FT23" i="35"/>
  <c r="FS23" i="35"/>
  <c r="FR23" i="35"/>
  <c r="FQ23" i="35"/>
  <c r="FP23" i="35"/>
  <c r="FO23" i="35"/>
  <c r="FN23" i="35"/>
  <c r="FM23" i="35"/>
  <c r="FL23" i="35"/>
  <c r="FK23" i="35"/>
  <c r="FJ23" i="35"/>
  <c r="FI23" i="35"/>
  <c r="FH23" i="35"/>
  <c r="FG23" i="35"/>
  <c r="FF23" i="35"/>
  <c r="FE23" i="35"/>
  <c r="FD23" i="35"/>
  <c r="FC23" i="35"/>
  <c r="FB23" i="35"/>
  <c r="FA23" i="35"/>
  <c r="EZ23" i="35"/>
  <c r="EY23" i="35"/>
  <c r="EX23" i="35"/>
  <c r="EW23" i="35"/>
  <c r="EV23" i="35"/>
  <c r="EU23" i="35"/>
  <c r="ET23" i="35"/>
  <c r="ES23" i="35"/>
  <c r="ER23" i="35"/>
  <c r="EQ23" i="35"/>
  <c r="EP23" i="35"/>
  <c r="EO23" i="35"/>
  <c r="EN23" i="35"/>
  <c r="EM23" i="35"/>
  <c r="EL23" i="35"/>
  <c r="EK23" i="35"/>
  <c r="EJ23" i="35"/>
  <c r="EI23" i="35"/>
  <c r="EH23" i="35"/>
  <c r="EG23" i="35"/>
  <c r="EF23" i="35"/>
  <c r="EE23" i="35"/>
  <c r="ED23" i="35"/>
  <c r="EC23" i="35"/>
  <c r="EB23" i="35"/>
  <c r="EA23" i="35"/>
  <c r="DZ23" i="35"/>
  <c r="DY23" i="35"/>
  <c r="DX23" i="35"/>
  <c r="DW23" i="35"/>
  <c r="DV23" i="35"/>
  <c r="DU23" i="35"/>
  <c r="DT23" i="35"/>
  <c r="DS23" i="35"/>
  <c r="DR23" i="35"/>
  <c r="DQ23" i="35"/>
  <c r="DP23" i="35"/>
  <c r="DO23" i="35"/>
  <c r="DN23" i="35"/>
  <c r="DM23" i="35"/>
  <c r="DL23" i="35"/>
  <c r="DK23" i="35"/>
  <c r="DJ23" i="35"/>
  <c r="DI23" i="35"/>
  <c r="DH23" i="35"/>
  <c r="DG23" i="35"/>
  <c r="DF23" i="35"/>
  <c r="DE23" i="35"/>
  <c r="DD23" i="35"/>
  <c r="DC23" i="35"/>
  <c r="DB23" i="35"/>
  <c r="DA23" i="35"/>
  <c r="CZ23" i="35"/>
  <c r="CY23" i="35"/>
  <c r="CX23" i="35"/>
  <c r="CW23" i="35"/>
  <c r="CV23" i="35"/>
  <c r="CU23" i="35"/>
  <c r="CT23" i="35"/>
  <c r="CS23" i="35"/>
  <c r="CR23" i="35"/>
  <c r="CQ23" i="35"/>
  <c r="CP23" i="35"/>
  <c r="CO23" i="35"/>
  <c r="CN23" i="35"/>
  <c r="CM23" i="35"/>
  <c r="CL23" i="35"/>
  <c r="CK23" i="35"/>
  <c r="CJ23" i="35"/>
  <c r="CI23" i="35"/>
  <c r="CH23" i="35"/>
  <c r="CG23" i="35"/>
  <c r="CF23" i="35"/>
  <c r="CE23" i="35"/>
  <c r="CD23" i="35"/>
  <c r="CC23" i="35"/>
  <c r="CB23" i="35"/>
  <c r="CA23" i="35"/>
  <c r="BZ23" i="35"/>
  <c r="BY23" i="35"/>
  <c r="BX23" i="35"/>
  <c r="BW23" i="35"/>
  <c r="BV23" i="35"/>
  <c r="BU23" i="35"/>
  <c r="BT23" i="35"/>
  <c r="BS23" i="35"/>
  <c r="BR23" i="35"/>
  <c r="BQ23" i="35"/>
  <c r="BP23" i="35"/>
  <c r="BO23" i="35"/>
  <c r="BN23" i="35"/>
  <c r="BM23" i="35"/>
  <c r="BL23" i="35"/>
  <c r="BK23" i="35"/>
  <c r="BJ23" i="35"/>
  <c r="BI23" i="35"/>
  <c r="BH23" i="35"/>
  <c r="BG23" i="35"/>
  <c r="BF23" i="35"/>
  <c r="BE23" i="35"/>
  <c r="BD23" i="35"/>
  <c r="BC23" i="35"/>
  <c r="BB23" i="35"/>
  <c r="BA23" i="35"/>
  <c r="AZ23" i="35"/>
  <c r="AY23" i="35"/>
  <c r="AX23" i="35"/>
  <c r="AW23" i="35"/>
  <c r="AV23" i="35"/>
  <c r="AU23" i="35"/>
  <c r="AT23" i="35"/>
  <c r="AS23" i="35"/>
  <c r="AR23" i="35"/>
  <c r="AQ23" i="35"/>
  <c r="AP23" i="35"/>
  <c r="AO23" i="35"/>
  <c r="AN23" i="35"/>
  <c r="AL23" i="35"/>
  <c r="AK23" i="35"/>
  <c r="AJ23" i="35"/>
  <c r="AI23" i="35"/>
  <c r="AH23" i="35"/>
  <c r="AF23" i="35"/>
  <c r="AE23" i="35"/>
  <c r="AD23" i="35"/>
  <c r="AC23" i="35"/>
  <c r="Y23" i="35"/>
  <c r="X23" i="35"/>
  <c r="V23" i="35"/>
  <c r="U23" i="35"/>
  <c r="T23" i="35"/>
  <c r="S23" i="35"/>
  <c r="R23" i="35"/>
  <c r="Q23" i="35"/>
  <c r="P23" i="35"/>
  <c r="O23" i="35"/>
  <c r="N23" i="35"/>
  <c r="M23" i="35"/>
  <c r="L23" i="35"/>
  <c r="K23" i="35"/>
  <c r="J23" i="35"/>
  <c r="I23" i="35"/>
  <c r="G23" i="35"/>
  <c r="F23" i="35"/>
  <c r="E23" i="35"/>
  <c r="D23" i="35"/>
  <c r="C23" i="35"/>
  <c r="B23" i="35"/>
  <c r="GQ22" i="35"/>
  <c r="GA22" i="35"/>
  <c r="FZ22" i="35"/>
  <c r="FY22" i="35"/>
  <c r="FX22" i="35"/>
  <c r="FW22" i="35"/>
  <c r="FV22" i="35"/>
  <c r="FU22" i="35"/>
  <c r="FT22" i="35"/>
  <c r="FS22" i="35"/>
  <c r="FR22" i="35"/>
  <c r="FQ22" i="35"/>
  <c r="FP22" i="35"/>
  <c r="FO22" i="35"/>
  <c r="FN22" i="35"/>
  <c r="FM22" i="35"/>
  <c r="FL22" i="35"/>
  <c r="FK22" i="35"/>
  <c r="FJ22" i="35"/>
  <c r="FI22" i="35"/>
  <c r="FH22" i="35"/>
  <c r="FG22" i="35"/>
  <c r="FF22" i="35"/>
  <c r="FE22" i="35"/>
  <c r="FD22" i="35"/>
  <c r="FC22" i="35"/>
  <c r="FB22" i="35"/>
  <c r="FA22" i="35"/>
  <c r="EZ22" i="35"/>
  <c r="EY22" i="35"/>
  <c r="EX22" i="35"/>
  <c r="EW22" i="35"/>
  <c r="EV22" i="35"/>
  <c r="EU22" i="35"/>
  <c r="ET22" i="35"/>
  <c r="ES22" i="35"/>
  <c r="ER22" i="35"/>
  <c r="EQ22" i="35"/>
  <c r="EP22" i="35"/>
  <c r="EO22" i="35"/>
  <c r="EN22" i="35"/>
  <c r="EM22" i="35"/>
  <c r="EL22" i="35"/>
  <c r="EK22" i="35"/>
  <c r="EJ22" i="35"/>
  <c r="EI22" i="35"/>
  <c r="EH22" i="35"/>
  <c r="EG22" i="35"/>
  <c r="EF22" i="35"/>
  <c r="EE22" i="35"/>
  <c r="ED22" i="35"/>
  <c r="EC22" i="35"/>
  <c r="EB22" i="35"/>
  <c r="EA22" i="35"/>
  <c r="DZ22" i="35"/>
  <c r="DY22" i="35"/>
  <c r="DX22" i="35"/>
  <c r="DW22" i="35"/>
  <c r="DV22" i="35"/>
  <c r="DU22" i="35"/>
  <c r="DT22" i="35"/>
  <c r="DS22" i="35"/>
  <c r="DR22" i="35"/>
  <c r="DQ22" i="35"/>
  <c r="DP22" i="35"/>
  <c r="DO22" i="35"/>
  <c r="DN22" i="35"/>
  <c r="DM22" i="35"/>
  <c r="DL22" i="35"/>
  <c r="DK22" i="35"/>
  <c r="DJ22" i="35"/>
  <c r="DI22" i="35"/>
  <c r="DH22" i="35"/>
  <c r="DG22" i="35"/>
  <c r="DF22" i="35"/>
  <c r="DE22" i="35"/>
  <c r="DD22" i="35"/>
  <c r="DC22" i="35"/>
  <c r="DB22" i="35"/>
  <c r="DA22" i="35"/>
  <c r="CZ22" i="35"/>
  <c r="CY22" i="35"/>
  <c r="CX22" i="35"/>
  <c r="CW22" i="35"/>
  <c r="CV22" i="35"/>
  <c r="CU22" i="35"/>
  <c r="CT22" i="35"/>
  <c r="CS22" i="35"/>
  <c r="CR22" i="35"/>
  <c r="CQ22" i="35"/>
  <c r="CP22" i="35"/>
  <c r="CO22" i="35"/>
  <c r="CN22" i="35"/>
  <c r="CM22" i="35"/>
  <c r="CL22" i="35"/>
  <c r="CK22" i="35"/>
  <c r="CJ22" i="35"/>
  <c r="CI22" i="35"/>
  <c r="CH22" i="35"/>
  <c r="CG22" i="35"/>
  <c r="CF22" i="35"/>
  <c r="CE22" i="35"/>
  <c r="CD22" i="35"/>
  <c r="CC22" i="35"/>
  <c r="CB22" i="35"/>
  <c r="CA22" i="35"/>
  <c r="BZ22" i="35"/>
  <c r="BY22" i="35"/>
  <c r="BX22" i="35"/>
  <c r="BW22" i="35"/>
  <c r="BV22" i="35"/>
  <c r="BU22" i="35"/>
  <c r="BT22" i="35"/>
  <c r="BS22" i="35"/>
  <c r="BR22" i="35"/>
  <c r="BQ22" i="35"/>
  <c r="BP22" i="35"/>
  <c r="BO22" i="35"/>
  <c r="BN22" i="35"/>
  <c r="BM22" i="35"/>
  <c r="BL22" i="35"/>
  <c r="BK22" i="35"/>
  <c r="BJ22" i="35"/>
  <c r="BI22" i="35"/>
  <c r="BH22" i="35"/>
  <c r="BG22" i="35"/>
  <c r="BF22" i="35"/>
  <c r="BE22" i="35"/>
  <c r="BD22" i="35"/>
  <c r="BC22" i="35"/>
  <c r="BB22" i="35"/>
  <c r="BA22" i="35"/>
  <c r="AZ22" i="35"/>
  <c r="AY22" i="35"/>
  <c r="AX22" i="35"/>
  <c r="AW22" i="35"/>
  <c r="AV22" i="35"/>
  <c r="AU22" i="35"/>
  <c r="AT22" i="35"/>
  <c r="AS22" i="35"/>
  <c r="AR22" i="35"/>
  <c r="AQ22" i="35"/>
  <c r="AP22" i="35"/>
  <c r="AO22" i="35"/>
  <c r="AN22" i="35"/>
  <c r="AL22" i="35"/>
  <c r="AK22" i="35"/>
  <c r="AJ22" i="35"/>
  <c r="AI22" i="35"/>
  <c r="AH22" i="35"/>
  <c r="AF22" i="35"/>
  <c r="AE22" i="35"/>
  <c r="AD22" i="35"/>
  <c r="AC22" i="35"/>
  <c r="Y22" i="35"/>
  <c r="X22" i="35"/>
  <c r="V22" i="35"/>
  <c r="U22" i="35"/>
  <c r="T22" i="35"/>
  <c r="S22" i="35"/>
  <c r="R22" i="35"/>
  <c r="Q22" i="35"/>
  <c r="P22" i="35"/>
  <c r="O22" i="35"/>
  <c r="N22" i="35"/>
  <c r="M22" i="35"/>
  <c r="L22" i="35"/>
  <c r="K22" i="35"/>
  <c r="J22" i="35"/>
  <c r="I22" i="35"/>
  <c r="G22" i="35"/>
  <c r="F22" i="35"/>
  <c r="E22" i="35"/>
  <c r="D22" i="35"/>
  <c r="C22" i="35"/>
  <c r="B22" i="35"/>
  <c r="GQ21" i="35"/>
  <c r="GA21" i="35"/>
  <c r="FZ21" i="35"/>
  <c r="FY21" i="35"/>
  <c r="FX21" i="35"/>
  <c r="FW21" i="35"/>
  <c r="FV21" i="35"/>
  <c r="FU21" i="35"/>
  <c r="FT21" i="35"/>
  <c r="FS21" i="35"/>
  <c r="FR21" i="35"/>
  <c r="FQ21" i="35"/>
  <c r="FP21" i="35"/>
  <c r="FO21" i="35"/>
  <c r="FN21" i="35"/>
  <c r="FM21" i="35"/>
  <c r="FL21" i="35"/>
  <c r="FK21" i="35"/>
  <c r="FJ21" i="35"/>
  <c r="FI21" i="35"/>
  <c r="FH21" i="35"/>
  <c r="FG21" i="35"/>
  <c r="FF21" i="35"/>
  <c r="FE21" i="35"/>
  <c r="FD21" i="35"/>
  <c r="FC21" i="35"/>
  <c r="FB21" i="35"/>
  <c r="FA21" i="35"/>
  <c r="EZ21" i="35"/>
  <c r="EY21" i="35"/>
  <c r="EX21" i="35"/>
  <c r="EW21" i="35"/>
  <c r="EV21" i="35"/>
  <c r="EU21" i="35"/>
  <c r="ET21" i="35"/>
  <c r="ES21" i="35"/>
  <c r="ER21" i="35"/>
  <c r="EQ21" i="35"/>
  <c r="EP21" i="35"/>
  <c r="EO21" i="35"/>
  <c r="EN21" i="35"/>
  <c r="EM21" i="35"/>
  <c r="EL21" i="35"/>
  <c r="EK21" i="35"/>
  <c r="EJ21" i="35"/>
  <c r="EI21" i="35"/>
  <c r="EH21" i="35"/>
  <c r="EG21" i="35"/>
  <c r="EF21" i="35"/>
  <c r="EE21" i="35"/>
  <c r="ED21" i="35"/>
  <c r="EC21" i="35"/>
  <c r="EB21" i="35"/>
  <c r="EA21" i="35"/>
  <c r="DZ21" i="35"/>
  <c r="DY21" i="35"/>
  <c r="DX21" i="35"/>
  <c r="DW21" i="35"/>
  <c r="DV21" i="35"/>
  <c r="DU21" i="35"/>
  <c r="DT21" i="35"/>
  <c r="DS21" i="35"/>
  <c r="DR21" i="35"/>
  <c r="DQ21" i="35"/>
  <c r="DP21" i="35"/>
  <c r="DO21" i="35"/>
  <c r="DN21" i="35"/>
  <c r="DM21" i="35"/>
  <c r="DL21" i="35"/>
  <c r="DK21" i="35"/>
  <c r="DJ21" i="35"/>
  <c r="DI21" i="35"/>
  <c r="DH21" i="35"/>
  <c r="DG21" i="35"/>
  <c r="DF21" i="35"/>
  <c r="DE21" i="35"/>
  <c r="DD21" i="35"/>
  <c r="DC21" i="35"/>
  <c r="DB21" i="35"/>
  <c r="DA21" i="35"/>
  <c r="CZ21" i="35"/>
  <c r="CY21" i="35"/>
  <c r="CX21" i="35"/>
  <c r="CW21" i="35"/>
  <c r="CV21" i="35"/>
  <c r="CU21" i="35"/>
  <c r="CT21" i="35"/>
  <c r="CS21" i="35"/>
  <c r="CR21" i="35"/>
  <c r="CQ21" i="35"/>
  <c r="CP21" i="35"/>
  <c r="CO21" i="35"/>
  <c r="CN21" i="35"/>
  <c r="CM21" i="35"/>
  <c r="CL21" i="35"/>
  <c r="CK21" i="35"/>
  <c r="CJ21" i="35"/>
  <c r="CI21" i="35"/>
  <c r="CH21" i="35"/>
  <c r="CG21" i="35"/>
  <c r="CF21" i="35"/>
  <c r="CE21" i="35"/>
  <c r="CD21" i="35"/>
  <c r="CC21" i="35"/>
  <c r="CB21" i="35"/>
  <c r="CA21" i="35"/>
  <c r="BZ21" i="35"/>
  <c r="BY21" i="35"/>
  <c r="BX21" i="35"/>
  <c r="BW21" i="35"/>
  <c r="BV21" i="35"/>
  <c r="BU21" i="35"/>
  <c r="BT21" i="35"/>
  <c r="BS21" i="35"/>
  <c r="BR21" i="35"/>
  <c r="BQ21" i="35"/>
  <c r="BP21" i="35"/>
  <c r="BO21" i="35"/>
  <c r="BN21" i="35"/>
  <c r="BM21" i="35"/>
  <c r="BL21" i="35"/>
  <c r="BK21" i="35"/>
  <c r="BJ21" i="35"/>
  <c r="BI21" i="35"/>
  <c r="BH21" i="35"/>
  <c r="BG21" i="35"/>
  <c r="BF21" i="35"/>
  <c r="BE21" i="35"/>
  <c r="BD21" i="35"/>
  <c r="BC21" i="35"/>
  <c r="BB21" i="35"/>
  <c r="BA21" i="35"/>
  <c r="AZ21" i="35"/>
  <c r="AY21" i="35"/>
  <c r="AX21" i="35"/>
  <c r="AW21" i="35"/>
  <c r="AV21" i="35"/>
  <c r="AU21" i="35"/>
  <c r="AT21" i="35"/>
  <c r="AS21" i="35"/>
  <c r="AR21" i="35"/>
  <c r="AQ21" i="35"/>
  <c r="AP21" i="35"/>
  <c r="AO21" i="35"/>
  <c r="AN21" i="35"/>
  <c r="AL21" i="35"/>
  <c r="AK21" i="35"/>
  <c r="AJ21" i="35"/>
  <c r="AI21" i="35"/>
  <c r="AH21" i="35"/>
  <c r="AF21" i="35"/>
  <c r="AE21" i="35"/>
  <c r="AD21" i="35"/>
  <c r="AC21" i="35"/>
  <c r="Y21" i="35"/>
  <c r="X21" i="35"/>
  <c r="V21" i="35"/>
  <c r="U21" i="35"/>
  <c r="T21" i="35"/>
  <c r="S21" i="35"/>
  <c r="R21" i="35"/>
  <c r="Q21" i="35"/>
  <c r="P21" i="35"/>
  <c r="O21" i="35"/>
  <c r="N21" i="35"/>
  <c r="M21" i="35"/>
  <c r="L21" i="35"/>
  <c r="K21" i="35"/>
  <c r="J21" i="35"/>
  <c r="I21" i="35"/>
  <c r="G21" i="35"/>
  <c r="F21" i="35"/>
  <c r="E21" i="35"/>
  <c r="D21" i="35"/>
  <c r="C21" i="35"/>
  <c r="B21" i="35"/>
  <c r="GQ20" i="35"/>
  <c r="GA20" i="35"/>
  <c r="FZ20" i="35"/>
  <c r="FY20" i="35"/>
  <c r="FX20" i="35"/>
  <c r="FW20" i="35"/>
  <c r="FV20" i="35"/>
  <c r="FU20" i="35"/>
  <c r="FT20" i="35"/>
  <c r="FS20" i="35"/>
  <c r="FR20" i="35"/>
  <c r="FQ20" i="35"/>
  <c r="FP20" i="35"/>
  <c r="FO20" i="35"/>
  <c r="FN20" i="35"/>
  <c r="FM20" i="35"/>
  <c r="FL20" i="35"/>
  <c r="FK20" i="35"/>
  <c r="FJ20" i="35"/>
  <c r="FI20" i="35"/>
  <c r="FH20" i="35"/>
  <c r="FG20" i="35"/>
  <c r="FF20" i="35"/>
  <c r="FE20" i="35"/>
  <c r="FD20" i="35"/>
  <c r="FC20" i="35"/>
  <c r="FB20" i="35"/>
  <c r="FA20" i="35"/>
  <c r="EZ20" i="35"/>
  <c r="EY20" i="35"/>
  <c r="EX20" i="35"/>
  <c r="EW20" i="35"/>
  <c r="EV20" i="35"/>
  <c r="EU20" i="35"/>
  <c r="ET20" i="35"/>
  <c r="ES20" i="35"/>
  <c r="ER20" i="35"/>
  <c r="EQ20" i="35"/>
  <c r="EP20" i="35"/>
  <c r="EO20" i="35"/>
  <c r="EN20" i="35"/>
  <c r="EM20" i="35"/>
  <c r="EL20" i="35"/>
  <c r="EK20" i="35"/>
  <c r="EJ20" i="35"/>
  <c r="EI20" i="35"/>
  <c r="EH20" i="35"/>
  <c r="EG20" i="35"/>
  <c r="EF20" i="35"/>
  <c r="EE20" i="35"/>
  <c r="ED20" i="35"/>
  <c r="EC20" i="35"/>
  <c r="EB20" i="35"/>
  <c r="EA20" i="35"/>
  <c r="DZ20" i="35"/>
  <c r="DY20" i="35"/>
  <c r="DX20" i="35"/>
  <c r="DW20" i="35"/>
  <c r="DV20" i="35"/>
  <c r="DU20" i="35"/>
  <c r="DT20" i="35"/>
  <c r="DS20" i="35"/>
  <c r="DR20" i="35"/>
  <c r="DQ20" i="35"/>
  <c r="DP20" i="35"/>
  <c r="DO20" i="35"/>
  <c r="DN20" i="35"/>
  <c r="DM20" i="35"/>
  <c r="DL20" i="35"/>
  <c r="DK20" i="35"/>
  <c r="DJ20" i="35"/>
  <c r="DI20" i="35"/>
  <c r="DH20" i="35"/>
  <c r="DG20" i="35"/>
  <c r="DF20" i="35"/>
  <c r="DE20" i="35"/>
  <c r="DD20" i="35"/>
  <c r="DC20" i="35"/>
  <c r="DB20" i="35"/>
  <c r="DA20" i="35"/>
  <c r="CZ20" i="35"/>
  <c r="CY20" i="35"/>
  <c r="CX20" i="35"/>
  <c r="CW20" i="35"/>
  <c r="CV20" i="35"/>
  <c r="CU20" i="35"/>
  <c r="CT20" i="35"/>
  <c r="CS20" i="35"/>
  <c r="CR20" i="35"/>
  <c r="CQ20" i="35"/>
  <c r="CP20" i="35"/>
  <c r="CO20" i="35"/>
  <c r="CN20" i="35"/>
  <c r="CM20" i="35"/>
  <c r="CL20" i="35"/>
  <c r="CK20" i="35"/>
  <c r="CJ20" i="35"/>
  <c r="CI20" i="35"/>
  <c r="CH20" i="35"/>
  <c r="CG20" i="35"/>
  <c r="CF20" i="35"/>
  <c r="CE20" i="35"/>
  <c r="CD20" i="35"/>
  <c r="CC20" i="35"/>
  <c r="CB20" i="35"/>
  <c r="CA20" i="35"/>
  <c r="BZ20" i="35"/>
  <c r="BY20" i="35"/>
  <c r="BX20" i="35"/>
  <c r="BW20" i="35"/>
  <c r="BV20" i="35"/>
  <c r="BU20" i="35"/>
  <c r="BT20" i="35"/>
  <c r="BS20" i="35"/>
  <c r="BR20" i="35"/>
  <c r="BQ20" i="35"/>
  <c r="BP20" i="35"/>
  <c r="BO20" i="35"/>
  <c r="BN20" i="35"/>
  <c r="BM20" i="35"/>
  <c r="BL20" i="35"/>
  <c r="BK20" i="35"/>
  <c r="BJ20" i="35"/>
  <c r="BI20" i="35"/>
  <c r="BH20" i="35"/>
  <c r="BG20" i="35"/>
  <c r="BF20" i="35"/>
  <c r="BE20" i="35"/>
  <c r="BD20" i="35"/>
  <c r="BC20" i="35"/>
  <c r="BB20" i="35"/>
  <c r="BA20" i="35"/>
  <c r="AZ20" i="35"/>
  <c r="AY20" i="35"/>
  <c r="AX20" i="35"/>
  <c r="AW20" i="35"/>
  <c r="AV20" i="35"/>
  <c r="AU20" i="35"/>
  <c r="AT20" i="35"/>
  <c r="AS20" i="35"/>
  <c r="AR20" i="35"/>
  <c r="AQ20" i="35"/>
  <c r="AP20" i="35"/>
  <c r="AO20" i="35"/>
  <c r="AN20" i="35"/>
  <c r="AL20" i="35"/>
  <c r="AK20" i="35"/>
  <c r="AJ20" i="35"/>
  <c r="AI20" i="35"/>
  <c r="AH20" i="35"/>
  <c r="AF20" i="35"/>
  <c r="AE20" i="35"/>
  <c r="AD20" i="35"/>
  <c r="AC20" i="35"/>
  <c r="Y20" i="35"/>
  <c r="X20" i="35"/>
  <c r="V20" i="35"/>
  <c r="U20" i="35"/>
  <c r="T20" i="35"/>
  <c r="S20" i="35"/>
  <c r="R20" i="35"/>
  <c r="Q20" i="35"/>
  <c r="P20" i="35"/>
  <c r="O20" i="35"/>
  <c r="N20" i="35"/>
  <c r="M20" i="35"/>
  <c r="L20" i="35"/>
  <c r="K20" i="35"/>
  <c r="J20" i="35"/>
  <c r="I20" i="35"/>
  <c r="G20" i="35"/>
  <c r="F20" i="35"/>
  <c r="E20" i="35"/>
  <c r="D20" i="35"/>
  <c r="C20" i="35"/>
  <c r="B20" i="35"/>
  <c r="GQ19" i="35"/>
  <c r="GA19" i="35"/>
  <c r="FZ19" i="35"/>
  <c r="FY19" i="35"/>
  <c r="FX19" i="35"/>
  <c r="FW19" i="35"/>
  <c r="FV19" i="35"/>
  <c r="FU19" i="35"/>
  <c r="FT19" i="35"/>
  <c r="FS19" i="35"/>
  <c r="FR19" i="35"/>
  <c r="FQ19" i="35"/>
  <c r="FP19" i="35"/>
  <c r="FO19" i="35"/>
  <c r="FN19" i="35"/>
  <c r="FM19" i="35"/>
  <c r="FL19" i="35"/>
  <c r="FK19" i="35"/>
  <c r="FJ19" i="35"/>
  <c r="FI19" i="35"/>
  <c r="FH19" i="35"/>
  <c r="FG19" i="35"/>
  <c r="FF19" i="35"/>
  <c r="FE19" i="35"/>
  <c r="FD19" i="35"/>
  <c r="FC19" i="35"/>
  <c r="FB19" i="35"/>
  <c r="FA19" i="35"/>
  <c r="EZ19" i="35"/>
  <c r="EY19" i="35"/>
  <c r="EX19" i="35"/>
  <c r="EW19" i="35"/>
  <c r="EV19" i="35"/>
  <c r="EU19" i="35"/>
  <c r="ET19" i="35"/>
  <c r="ES19" i="35"/>
  <c r="ER19" i="35"/>
  <c r="EQ19" i="35"/>
  <c r="EP19" i="35"/>
  <c r="EO19" i="35"/>
  <c r="EN19" i="35"/>
  <c r="EM19" i="35"/>
  <c r="EL19" i="35"/>
  <c r="EK19" i="35"/>
  <c r="EJ19" i="35"/>
  <c r="EI19" i="35"/>
  <c r="EH19" i="35"/>
  <c r="EG19" i="35"/>
  <c r="EF19" i="35"/>
  <c r="EE19" i="35"/>
  <c r="ED19" i="35"/>
  <c r="EC19" i="35"/>
  <c r="EB19" i="35"/>
  <c r="EA19" i="35"/>
  <c r="DZ19" i="35"/>
  <c r="DY19" i="35"/>
  <c r="DX19" i="35"/>
  <c r="DW19" i="35"/>
  <c r="DV19" i="35"/>
  <c r="DU19" i="35"/>
  <c r="DT19" i="35"/>
  <c r="DS19" i="35"/>
  <c r="DR19" i="35"/>
  <c r="DQ19" i="35"/>
  <c r="DP19" i="35"/>
  <c r="DO19" i="35"/>
  <c r="DN19" i="35"/>
  <c r="DM19" i="35"/>
  <c r="DL19" i="35"/>
  <c r="DK19" i="35"/>
  <c r="DJ19" i="35"/>
  <c r="DI19" i="35"/>
  <c r="DH19" i="35"/>
  <c r="DG19" i="35"/>
  <c r="DF19" i="35"/>
  <c r="DE19" i="35"/>
  <c r="DD19" i="35"/>
  <c r="DC19" i="35"/>
  <c r="DB19" i="35"/>
  <c r="DA19" i="35"/>
  <c r="CZ19" i="35"/>
  <c r="CY19" i="35"/>
  <c r="CX19" i="35"/>
  <c r="CW19" i="35"/>
  <c r="CV19" i="35"/>
  <c r="CU19" i="35"/>
  <c r="CT19" i="35"/>
  <c r="CS19" i="35"/>
  <c r="CR19" i="35"/>
  <c r="CQ19" i="35"/>
  <c r="CP19" i="35"/>
  <c r="CO19" i="35"/>
  <c r="CN19" i="35"/>
  <c r="CM19" i="35"/>
  <c r="CL19" i="35"/>
  <c r="CK19" i="35"/>
  <c r="CJ19" i="35"/>
  <c r="CI19" i="35"/>
  <c r="CH19" i="35"/>
  <c r="CG19" i="35"/>
  <c r="CF19" i="35"/>
  <c r="CE19" i="35"/>
  <c r="CD19" i="35"/>
  <c r="CC19" i="35"/>
  <c r="CB19" i="35"/>
  <c r="CA19" i="35"/>
  <c r="BZ19" i="35"/>
  <c r="BY19" i="35"/>
  <c r="BX19" i="35"/>
  <c r="BW19" i="35"/>
  <c r="BV19" i="35"/>
  <c r="BU19" i="35"/>
  <c r="BT19" i="35"/>
  <c r="BS19" i="35"/>
  <c r="BR19" i="35"/>
  <c r="BQ19" i="35"/>
  <c r="BP19" i="35"/>
  <c r="BO19" i="35"/>
  <c r="BN19" i="35"/>
  <c r="BM19" i="35"/>
  <c r="BL19" i="35"/>
  <c r="BK19" i="35"/>
  <c r="BJ19" i="35"/>
  <c r="BI19" i="35"/>
  <c r="BH19" i="35"/>
  <c r="BG19" i="35"/>
  <c r="BF19" i="35"/>
  <c r="BE19" i="35"/>
  <c r="BD19" i="35"/>
  <c r="BC19" i="35"/>
  <c r="BB19" i="35"/>
  <c r="BA19" i="35"/>
  <c r="AZ19" i="35"/>
  <c r="AY19" i="35"/>
  <c r="AX19" i="35"/>
  <c r="AW19" i="35"/>
  <c r="AV19" i="35"/>
  <c r="AU19" i="35"/>
  <c r="AT19" i="35"/>
  <c r="AS19" i="35"/>
  <c r="AR19" i="35"/>
  <c r="AQ19" i="35"/>
  <c r="AP19" i="35"/>
  <c r="AO19" i="35"/>
  <c r="AN19" i="35"/>
  <c r="AL19" i="35"/>
  <c r="AK19" i="35"/>
  <c r="AJ19" i="35"/>
  <c r="AI19" i="35"/>
  <c r="AH19" i="35"/>
  <c r="AF19" i="35"/>
  <c r="AE19" i="35"/>
  <c r="AD19" i="35"/>
  <c r="AC19" i="35"/>
  <c r="Y19" i="35"/>
  <c r="X19" i="35"/>
  <c r="V19" i="35"/>
  <c r="U19" i="35"/>
  <c r="T19" i="35"/>
  <c r="S19" i="35"/>
  <c r="R19" i="35"/>
  <c r="Q19" i="35"/>
  <c r="P19" i="35"/>
  <c r="O19" i="35"/>
  <c r="N19" i="35"/>
  <c r="M19" i="35"/>
  <c r="L19" i="35"/>
  <c r="K19" i="35"/>
  <c r="J19" i="35"/>
  <c r="I19" i="35"/>
  <c r="G19" i="35"/>
  <c r="F19" i="35"/>
  <c r="E19" i="35"/>
  <c r="D19" i="35"/>
  <c r="C19" i="35"/>
  <c r="B19" i="35"/>
  <c r="GQ18" i="35"/>
  <c r="GA18" i="35"/>
  <c r="FZ18" i="35"/>
  <c r="FY18" i="35"/>
  <c r="FX18" i="35"/>
  <c r="FW18" i="35"/>
  <c r="FV18" i="35"/>
  <c r="FU18" i="35"/>
  <c r="FT18" i="35"/>
  <c r="FS18" i="35"/>
  <c r="FR18" i="35"/>
  <c r="FQ18" i="35"/>
  <c r="FP18" i="35"/>
  <c r="FO18" i="35"/>
  <c r="FN18" i="35"/>
  <c r="FM18" i="35"/>
  <c r="FL18" i="35"/>
  <c r="FK18" i="35"/>
  <c r="FJ18" i="35"/>
  <c r="FI18" i="35"/>
  <c r="FH18" i="35"/>
  <c r="FG18" i="35"/>
  <c r="FF18" i="35"/>
  <c r="FE18" i="35"/>
  <c r="FD18" i="35"/>
  <c r="FC18" i="35"/>
  <c r="FB18" i="35"/>
  <c r="FA18" i="35"/>
  <c r="EZ18" i="35"/>
  <c r="EY18" i="35"/>
  <c r="EX18" i="35"/>
  <c r="EW18" i="35"/>
  <c r="EV18" i="35"/>
  <c r="EU18" i="35"/>
  <c r="ET18" i="35"/>
  <c r="ES18" i="35"/>
  <c r="ER18" i="35"/>
  <c r="EQ18" i="35"/>
  <c r="EP18" i="35"/>
  <c r="EO18" i="35"/>
  <c r="EN18" i="35"/>
  <c r="EM18" i="35"/>
  <c r="EL18" i="35"/>
  <c r="EK18" i="35"/>
  <c r="EJ18" i="35"/>
  <c r="EI18" i="35"/>
  <c r="EH18" i="35"/>
  <c r="EG18" i="35"/>
  <c r="EF18" i="35"/>
  <c r="EE18" i="35"/>
  <c r="ED18" i="35"/>
  <c r="EC18" i="35"/>
  <c r="EB18" i="35"/>
  <c r="EA18" i="35"/>
  <c r="DZ18" i="35"/>
  <c r="DY18" i="35"/>
  <c r="DX18" i="35"/>
  <c r="DW18" i="35"/>
  <c r="DV18" i="35"/>
  <c r="DU18" i="35"/>
  <c r="DT18" i="35"/>
  <c r="DS18" i="35"/>
  <c r="DR18" i="35"/>
  <c r="DQ18" i="35"/>
  <c r="DP18" i="35"/>
  <c r="DO18" i="35"/>
  <c r="DN18" i="35"/>
  <c r="DM18" i="35"/>
  <c r="DL18" i="35"/>
  <c r="DK18" i="35"/>
  <c r="DJ18" i="35"/>
  <c r="DI18" i="35"/>
  <c r="DH18" i="35"/>
  <c r="DG18" i="35"/>
  <c r="DF18" i="35"/>
  <c r="DE18" i="35"/>
  <c r="DD18" i="35"/>
  <c r="DC18" i="35"/>
  <c r="DB18" i="35"/>
  <c r="DA18" i="35"/>
  <c r="CZ18" i="35"/>
  <c r="CY18" i="35"/>
  <c r="CX18" i="35"/>
  <c r="CW18" i="35"/>
  <c r="CV18" i="35"/>
  <c r="CU18" i="35"/>
  <c r="CT18" i="35"/>
  <c r="CS18" i="35"/>
  <c r="CR18" i="35"/>
  <c r="CQ18" i="35"/>
  <c r="CP18" i="35"/>
  <c r="CO18" i="35"/>
  <c r="CN18" i="35"/>
  <c r="CM18" i="35"/>
  <c r="CL18" i="35"/>
  <c r="CK18" i="35"/>
  <c r="CJ18" i="35"/>
  <c r="CI18" i="35"/>
  <c r="CH18" i="35"/>
  <c r="CG18" i="35"/>
  <c r="CF18" i="35"/>
  <c r="CE18" i="35"/>
  <c r="CD18" i="35"/>
  <c r="CC18" i="35"/>
  <c r="CB18" i="35"/>
  <c r="CA18" i="35"/>
  <c r="BZ18" i="35"/>
  <c r="BY18" i="35"/>
  <c r="BX18" i="35"/>
  <c r="BW18" i="35"/>
  <c r="BV18" i="35"/>
  <c r="BU18" i="35"/>
  <c r="BT18" i="35"/>
  <c r="BS18" i="35"/>
  <c r="BR18" i="35"/>
  <c r="BQ18" i="35"/>
  <c r="BP18" i="35"/>
  <c r="BO18" i="35"/>
  <c r="BN18" i="35"/>
  <c r="BM18" i="35"/>
  <c r="BL18" i="35"/>
  <c r="BK18" i="35"/>
  <c r="BJ18" i="35"/>
  <c r="BI18" i="35"/>
  <c r="BH18" i="35"/>
  <c r="BG18" i="35"/>
  <c r="BF18" i="35"/>
  <c r="BE18" i="35"/>
  <c r="BD18" i="35"/>
  <c r="BC18" i="35"/>
  <c r="BB18" i="35"/>
  <c r="BA18" i="35"/>
  <c r="AZ18" i="35"/>
  <c r="AY18" i="35"/>
  <c r="AX18" i="35"/>
  <c r="AW18" i="35"/>
  <c r="AV18" i="35"/>
  <c r="AU18" i="35"/>
  <c r="AT18" i="35"/>
  <c r="AS18" i="35"/>
  <c r="AR18" i="35"/>
  <c r="AQ18" i="35"/>
  <c r="AP18" i="35"/>
  <c r="AO18" i="35"/>
  <c r="AN18" i="35"/>
  <c r="AL18" i="35"/>
  <c r="AK18" i="35"/>
  <c r="AJ18" i="35"/>
  <c r="AI18" i="35"/>
  <c r="AH18" i="35"/>
  <c r="AF18" i="35"/>
  <c r="AE18" i="35"/>
  <c r="AD18" i="35"/>
  <c r="AC18" i="35"/>
  <c r="Y18" i="35"/>
  <c r="X18" i="35"/>
  <c r="V18" i="35"/>
  <c r="U18" i="35"/>
  <c r="T18" i="35"/>
  <c r="S18" i="35"/>
  <c r="R18" i="35"/>
  <c r="Q18" i="35"/>
  <c r="P18" i="35"/>
  <c r="O18" i="35"/>
  <c r="N18" i="35"/>
  <c r="M18" i="35"/>
  <c r="L18" i="35"/>
  <c r="K18" i="35"/>
  <c r="J18" i="35"/>
  <c r="I18" i="35"/>
  <c r="G18" i="35"/>
  <c r="F18" i="35"/>
  <c r="E18" i="35"/>
  <c r="D18" i="35"/>
  <c r="C18" i="35"/>
  <c r="B18" i="35"/>
  <c r="GQ17" i="35"/>
  <c r="GA17" i="35"/>
  <c r="FZ17" i="35"/>
  <c r="FY17" i="35"/>
  <c r="FX17" i="35"/>
  <c r="FW17" i="35"/>
  <c r="FV17" i="35"/>
  <c r="FU17" i="35"/>
  <c r="FT17" i="35"/>
  <c r="FS17" i="35"/>
  <c r="FR17" i="35"/>
  <c r="FQ17" i="35"/>
  <c r="FP17" i="35"/>
  <c r="FO17" i="35"/>
  <c r="FN17" i="35"/>
  <c r="FM17" i="35"/>
  <c r="FL17" i="35"/>
  <c r="FK17" i="35"/>
  <c r="FJ17" i="35"/>
  <c r="FI17" i="35"/>
  <c r="FH17" i="35"/>
  <c r="FG17" i="35"/>
  <c r="FF17" i="35"/>
  <c r="FE17" i="35"/>
  <c r="FD17" i="35"/>
  <c r="FC17" i="35"/>
  <c r="FB17" i="35"/>
  <c r="FA17" i="35"/>
  <c r="EZ17" i="35"/>
  <c r="EY17" i="35"/>
  <c r="EX17" i="35"/>
  <c r="EW17" i="35"/>
  <c r="EV17" i="35"/>
  <c r="EU17" i="35"/>
  <c r="ET17" i="35"/>
  <c r="ES17" i="35"/>
  <c r="ER17" i="35"/>
  <c r="EQ17" i="35"/>
  <c r="EP17" i="35"/>
  <c r="EO17" i="35"/>
  <c r="EN17" i="35"/>
  <c r="EM17" i="35"/>
  <c r="EL17" i="35"/>
  <c r="EK17" i="35"/>
  <c r="EJ17" i="35"/>
  <c r="EI17" i="35"/>
  <c r="EH17" i="35"/>
  <c r="EG17" i="35"/>
  <c r="EF17" i="35"/>
  <c r="EE17" i="35"/>
  <c r="ED17" i="35"/>
  <c r="EC17" i="35"/>
  <c r="EB17" i="35"/>
  <c r="EA17" i="35"/>
  <c r="DZ17" i="35"/>
  <c r="DY17" i="35"/>
  <c r="DX17" i="35"/>
  <c r="DW17" i="35"/>
  <c r="DV17" i="35"/>
  <c r="DU17" i="35"/>
  <c r="DT17" i="35"/>
  <c r="DS17" i="35"/>
  <c r="DR17" i="35"/>
  <c r="DQ17" i="35"/>
  <c r="DP17" i="35"/>
  <c r="DO17" i="35"/>
  <c r="DN17" i="35"/>
  <c r="DM17" i="35"/>
  <c r="DL17" i="35"/>
  <c r="DK17" i="35"/>
  <c r="DJ17" i="35"/>
  <c r="DI17" i="35"/>
  <c r="DH17" i="35"/>
  <c r="DG17" i="35"/>
  <c r="DF17" i="35"/>
  <c r="DE17" i="35"/>
  <c r="DD17" i="35"/>
  <c r="DC17" i="35"/>
  <c r="DB17" i="35"/>
  <c r="DA17" i="35"/>
  <c r="CZ17" i="35"/>
  <c r="CY17" i="35"/>
  <c r="CX17" i="35"/>
  <c r="CW17" i="35"/>
  <c r="CV17" i="35"/>
  <c r="CU17" i="35"/>
  <c r="CT17" i="35"/>
  <c r="CS17" i="35"/>
  <c r="CR17" i="35"/>
  <c r="CQ17" i="35"/>
  <c r="CP17" i="35"/>
  <c r="CO17" i="35"/>
  <c r="CN17" i="35"/>
  <c r="CM17" i="35"/>
  <c r="CL17" i="35"/>
  <c r="CK17" i="35"/>
  <c r="CJ17" i="35"/>
  <c r="CI17" i="35"/>
  <c r="CH17" i="35"/>
  <c r="CG17" i="35"/>
  <c r="CF17" i="35"/>
  <c r="CE17" i="35"/>
  <c r="CD17" i="35"/>
  <c r="CC17" i="35"/>
  <c r="CB17" i="35"/>
  <c r="CA17" i="35"/>
  <c r="BZ17" i="35"/>
  <c r="BY17" i="35"/>
  <c r="BX17" i="35"/>
  <c r="BW17" i="35"/>
  <c r="BV17" i="35"/>
  <c r="BU17" i="35"/>
  <c r="BT17" i="35"/>
  <c r="BS17" i="35"/>
  <c r="BR17" i="35"/>
  <c r="BQ17" i="35"/>
  <c r="BP17" i="35"/>
  <c r="BO17" i="35"/>
  <c r="BN17" i="35"/>
  <c r="BM17" i="35"/>
  <c r="BL17" i="35"/>
  <c r="BK17" i="35"/>
  <c r="BJ17" i="35"/>
  <c r="BI17" i="35"/>
  <c r="BH17" i="35"/>
  <c r="BG17" i="35"/>
  <c r="BF17" i="35"/>
  <c r="BE17" i="35"/>
  <c r="BD17" i="35"/>
  <c r="BC17" i="35"/>
  <c r="BB17" i="35"/>
  <c r="BA17" i="35"/>
  <c r="AZ17" i="35"/>
  <c r="AY17" i="35"/>
  <c r="AX17" i="35"/>
  <c r="AW17" i="35"/>
  <c r="AV17" i="35"/>
  <c r="AU17" i="35"/>
  <c r="AT17" i="35"/>
  <c r="AS17" i="35"/>
  <c r="AR17" i="35"/>
  <c r="AQ17" i="35"/>
  <c r="AP17" i="35"/>
  <c r="AO17" i="35"/>
  <c r="AN17" i="35"/>
  <c r="AL17" i="35"/>
  <c r="AK17" i="35"/>
  <c r="AJ17" i="35"/>
  <c r="AI17" i="35"/>
  <c r="AH17" i="35"/>
  <c r="AF17" i="35"/>
  <c r="AE17" i="35"/>
  <c r="AD17" i="35"/>
  <c r="AC17" i="35"/>
  <c r="Y17" i="35"/>
  <c r="X17" i="35"/>
  <c r="V17" i="35"/>
  <c r="U17" i="35"/>
  <c r="T17" i="35"/>
  <c r="S17" i="35"/>
  <c r="R17" i="35"/>
  <c r="Q17" i="35"/>
  <c r="P17" i="35"/>
  <c r="O17" i="35"/>
  <c r="N17" i="35"/>
  <c r="M17" i="35"/>
  <c r="L17" i="35"/>
  <c r="K17" i="35"/>
  <c r="J17" i="35"/>
  <c r="I17" i="35"/>
  <c r="G17" i="35"/>
  <c r="F17" i="35"/>
  <c r="E17" i="35"/>
  <c r="D17" i="35"/>
  <c r="C17" i="35"/>
  <c r="B17" i="35"/>
  <c r="GQ16" i="35"/>
  <c r="GA16" i="35"/>
  <c r="FZ16" i="35"/>
  <c r="FY16" i="35"/>
  <c r="FX16" i="35"/>
  <c r="FW16" i="35"/>
  <c r="FV16" i="35"/>
  <c r="FU16" i="35"/>
  <c r="FT16" i="35"/>
  <c r="FS16" i="35"/>
  <c r="FR16" i="35"/>
  <c r="FQ16" i="35"/>
  <c r="FP16" i="35"/>
  <c r="FO16" i="35"/>
  <c r="FN16" i="35"/>
  <c r="FM16" i="35"/>
  <c r="FL16" i="35"/>
  <c r="FK16" i="35"/>
  <c r="FJ16" i="35"/>
  <c r="FI16" i="35"/>
  <c r="FH16" i="35"/>
  <c r="FG16" i="35"/>
  <c r="FF16" i="35"/>
  <c r="FE16" i="35"/>
  <c r="FD16" i="35"/>
  <c r="FC16" i="35"/>
  <c r="FB16" i="35"/>
  <c r="FA16" i="35"/>
  <c r="EZ16" i="35"/>
  <c r="EY16" i="35"/>
  <c r="EX16" i="35"/>
  <c r="EW16" i="35"/>
  <c r="EV16" i="35"/>
  <c r="EU16" i="35"/>
  <c r="ET16" i="35"/>
  <c r="ES16" i="35"/>
  <c r="ER16" i="35"/>
  <c r="EQ16" i="35"/>
  <c r="EP16" i="35"/>
  <c r="EO16" i="35"/>
  <c r="EN16" i="35"/>
  <c r="EM16" i="35"/>
  <c r="EL16" i="35"/>
  <c r="EK16" i="35"/>
  <c r="EJ16" i="35"/>
  <c r="EI16" i="35"/>
  <c r="EH16" i="35"/>
  <c r="EG16" i="35"/>
  <c r="EF16" i="35"/>
  <c r="EE16" i="35"/>
  <c r="ED16" i="35"/>
  <c r="EC16" i="35"/>
  <c r="EB16" i="35"/>
  <c r="EA16" i="35"/>
  <c r="DZ16" i="35"/>
  <c r="DY16" i="35"/>
  <c r="DX16" i="35"/>
  <c r="DW16" i="35"/>
  <c r="DV16" i="35"/>
  <c r="DU16" i="35"/>
  <c r="DT16" i="35"/>
  <c r="DS16" i="35"/>
  <c r="DR16" i="35"/>
  <c r="DQ16" i="35"/>
  <c r="DP16" i="35"/>
  <c r="DO16" i="35"/>
  <c r="DN16" i="35"/>
  <c r="DM16" i="35"/>
  <c r="DL16" i="35"/>
  <c r="DK16" i="35"/>
  <c r="DJ16" i="35"/>
  <c r="DI16" i="35"/>
  <c r="DH16" i="35"/>
  <c r="DG16" i="35"/>
  <c r="DF16" i="35"/>
  <c r="DE16" i="35"/>
  <c r="DD16" i="35"/>
  <c r="DC16" i="35"/>
  <c r="DB16" i="35"/>
  <c r="DA16" i="35"/>
  <c r="CZ16" i="35"/>
  <c r="CY16" i="35"/>
  <c r="CX16" i="35"/>
  <c r="CW16" i="35"/>
  <c r="CV16" i="35"/>
  <c r="CU16" i="35"/>
  <c r="CT16" i="35"/>
  <c r="CS16" i="35"/>
  <c r="CR16" i="35"/>
  <c r="CQ16" i="35"/>
  <c r="CP16" i="35"/>
  <c r="CO16" i="35"/>
  <c r="CN16" i="35"/>
  <c r="CM16" i="35"/>
  <c r="CL16" i="35"/>
  <c r="CK16" i="35"/>
  <c r="CJ16" i="35"/>
  <c r="CI16" i="35"/>
  <c r="CH16" i="35"/>
  <c r="CG16" i="35"/>
  <c r="CF16" i="35"/>
  <c r="CE16" i="35"/>
  <c r="CD16" i="35"/>
  <c r="CC16" i="35"/>
  <c r="CB16" i="35"/>
  <c r="CA16" i="35"/>
  <c r="BZ16" i="35"/>
  <c r="BY16" i="35"/>
  <c r="BX16" i="35"/>
  <c r="BW16" i="35"/>
  <c r="BV16" i="35"/>
  <c r="BU16" i="35"/>
  <c r="BT16" i="35"/>
  <c r="BS16" i="35"/>
  <c r="BR16" i="35"/>
  <c r="BQ16" i="35"/>
  <c r="BP16" i="35"/>
  <c r="BO16" i="35"/>
  <c r="BN16" i="35"/>
  <c r="BM16" i="35"/>
  <c r="BL16" i="35"/>
  <c r="BK16" i="35"/>
  <c r="BJ16" i="35"/>
  <c r="BI16" i="35"/>
  <c r="BH16" i="35"/>
  <c r="BG16" i="35"/>
  <c r="BF16" i="35"/>
  <c r="BE16" i="35"/>
  <c r="BD16" i="35"/>
  <c r="BC16" i="35"/>
  <c r="BB16" i="35"/>
  <c r="BA16" i="35"/>
  <c r="AZ16" i="35"/>
  <c r="AY16" i="35"/>
  <c r="AX16" i="35"/>
  <c r="AW16" i="35"/>
  <c r="AV16" i="35"/>
  <c r="AU16" i="35"/>
  <c r="AT16" i="35"/>
  <c r="AS16" i="35"/>
  <c r="AR16" i="35"/>
  <c r="AQ16" i="35"/>
  <c r="AP16" i="35"/>
  <c r="AO16" i="35"/>
  <c r="AN16" i="35"/>
  <c r="AL16" i="35"/>
  <c r="AK16" i="35"/>
  <c r="AJ16" i="35"/>
  <c r="AI16" i="35"/>
  <c r="AH16" i="35"/>
  <c r="AF16" i="35"/>
  <c r="AE16" i="35"/>
  <c r="AD16" i="35"/>
  <c r="AC16" i="35"/>
  <c r="Y16" i="35"/>
  <c r="X16" i="35"/>
  <c r="V16" i="35"/>
  <c r="U16" i="35"/>
  <c r="T16" i="35"/>
  <c r="S16" i="35"/>
  <c r="R16" i="35"/>
  <c r="Q16" i="35"/>
  <c r="P16" i="35"/>
  <c r="O16" i="35"/>
  <c r="N16" i="35"/>
  <c r="M16" i="35"/>
  <c r="L16" i="35"/>
  <c r="K16" i="35"/>
  <c r="J16" i="35"/>
  <c r="I16" i="35"/>
  <c r="G16" i="35"/>
  <c r="F16" i="35"/>
  <c r="E16" i="35"/>
  <c r="D16" i="35"/>
  <c r="C16" i="35"/>
  <c r="B16" i="35"/>
  <c r="GQ15" i="35"/>
  <c r="GA15" i="35"/>
  <c r="FZ15" i="35"/>
  <c r="FY15" i="35"/>
  <c r="FX15" i="35"/>
  <c r="FW15" i="35"/>
  <c r="FV15" i="35"/>
  <c r="FU15" i="35"/>
  <c r="FT15" i="35"/>
  <c r="FS15" i="35"/>
  <c r="FR15" i="35"/>
  <c r="FQ15" i="35"/>
  <c r="FP15" i="35"/>
  <c r="FO15" i="35"/>
  <c r="FN15" i="35"/>
  <c r="FM15" i="35"/>
  <c r="FL15" i="35"/>
  <c r="FK15" i="35"/>
  <c r="FJ15" i="35"/>
  <c r="FI15" i="35"/>
  <c r="FH15" i="35"/>
  <c r="FG15" i="35"/>
  <c r="FF15" i="35"/>
  <c r="FE15" i="35"/>
  <c r="FD15" i="35"/>
  <c r="FC15" i="35"/>
  <c r="FB15" i="35"/>
  <c r="FA15" i="35"/>
  <c r="EZ15" i="35"/>
  <c r="EY15" i="35"/>
  <c r="EX15" i="35"/>
  <c r="EW15" i="35"/>
  <c r="EV15" i="35"/>
  <c r="EU15" i="35"/>
  <c r="ET15" i="35"/>
  <c r="ES15" i="35"/>
  <c r="ER15" i="35"/>
  <c r="EQ15" i="35"/>
  <c r="EP15" i="35"/>
  <c r="EO15" i="35"/>
  <c r="EN15" i="35"/>
  <c r="EM15" i="35"/>
  <c r="EL15" i="35"/>
  <c r="EK15" i="35"/>
  <c r="EJ15" i="35"/>
  <c r="EI15" i="35"/>
  <c r="EH15" i="35"/>
  <c r="EG15" i="35"/>
  <c r="EF15" i="35"/>
  <c r="EE15" i="35"/>
  <c r="ED15" i="35"/>
  <c r="EC15" i="35"/>
  <c r="EB15" i="35"/>
  <c r="EA15" i="35"/>
  <c r="DZ15" i="35"/>
  <c r="DY15" i="35"/>
  <c r="DX15" i="35"/>
  <c r="DW15" i="35"/>
  <c r="DV15" i="35"/>
  <c r="DU15" i="35"/>
  <c r="DT15" i="35"/>
  <c r="DS15" i="35"/>
  <c r="DR15" i="35"/>
  <c r="DQ15" i="35"/>
  <c r="DP15" i="35"/>
  <c r="DO15" i="35"/>
  <c r="DN15" i="35"/>
  <c r="DM15" i="35"/>
  <c r="DL15" i="35"/>
  <c r="DK15" i="35"/>
  <c r="DJ15" i="35"/>
  <c r="DI15" i="35"/>
  <c r="DH15" i="35"/>
  <c r="DG15" i="35"/>
  <c r="DF15" i="35"/>
  <c r="DE15" i="35"/>
  <c r="DD15" i="35"/>
  <c r="DC15" i="35"/>
  <c r="DB15" i="35"/>
  <c r="DA15" i="35"/>
  <c r="CZ15" i="35"/>
  <c r="CY15" i="35"/>
  <c r="CX15" i="35"/>
  <c r="CW15" i="35"/>
  <c r="CV15" i="35"/>
  <c r="CU15" i="35"/>
  <c r="CT15" i="35"/>
  <c r="CS15" i="35"/>
  <c r="CR15" i="35"/>
  <c r="CQ15" i="35"/>
  <c r="CP15" i="35"/>
  <c r="CO15" i="35"/>
  <c r="CN15" i="35"/>
  <c r="CM15" i="35"/>
  <c r="CL15" i="35"/>
  <c r="CK15" i="35"/>
  <c r="CJ15" i="35"/>
  <c r="CI15" i="35"/>
  <c r="CH15" i="35"/>
  <c r="CG15" i="35"/>
  <c r="CF15" i="35"/>
  <c r="CE15" i="35"/>
  <c r="CD15" i="35"/>
  <c r="CC15" i="35"/>
  <c r="CB15" i="35"/>
  <c r="CA15" i="35"/>
  <c r="BZ15" i="35"/>
  <c r="BY15" i="35"/>
  <c r="BX15" i="35"/>
  <c r="BW15" i="35"/>
  <c r="BV15" i="35"/>
  <c r="BU15" i="35"/>
  <c r="BT15" i="35"/>
  <c r="BS15" i="35"/>
  <c r="BR15" i="35"/>
  <c r="BQ15" i="35"/>
  <c r="BP15" i="35"/>
  <c r="BO15" i="35"/>
  <c r="BN15" i="35"/>
  <c r="BM15" i="35"/>
  <c r="BL15" i="35"/>
  <c r="BK15" i="35"/>
  <c r="BJ15" i="35"/>
  <c r="BI15" i="35"/>
  <c r="BH15" i="35"/>
  <c r="BG15" i="35"/>
  <c r="BF15" i="35"/>
  <c r="BE15" i="35"/>
  <c r="BD15" i="35"/>
  <c r="BC15" i="35"/>
  <c r="BB15" i="35"/>
  <c r="BA15" i="35"/>
  <c r="AZ15" i="35"/>
  <c r="AY15" i="35"/>
  <c r="AX15" i="35"/>
  <c r="AW15" i="35"/>
  <c r="AV15" i="35"/>
  <c r="AU15" i="35"/>
  <c r="AT15" i="35"/>
  <c r="AS15" i="35"/>
  <c r="AR15" i="35"/>
  <c r="AQ15" i="35"/>
  <c r="AP15" i="35"/>
  <c r="AO15" i="35"/>
  <c r="AN15" i="35"/>
  <c r="AL15" i="35"/>
  <c r="AK15" i="35"/>
  <c r="AJ15" i="35"/>
  <c r="AI15" i="35"/>
  <c r="AH15" i="35"/>
  <c r="AF15" i="35"/>
  <c r="AE15" i="35"/>
  <c r="AD15" i="35"/>
  <c r="AC15" i="35"/>
  <c r="Y15" i="35"/>
  <c r="X15" i="35"/>
  <c r="V15" i="35"/>
  <c r="U15" i="35"/>
  <c r="T15" i="35"/>
  <c r="S15" i="35"/>
  <c r="R15" i="35"/>
  <c r="Q15" i="35"/>
  <c r="P15" i="35"/>
  <c r="O15" i="35"/>
  <c r="N15" i="35"/>
  <c r="M15" i="35"/>
  <c r="L15" i="35"/>
  <c r="K15" i="35"/>
  <c r="J15" i="35"/>
  <c r="I15" i="35"/>
  <c r="G15" i="35"/>
  <c r="F15" i="35"/>
  <c r="E15" i="35"/>
  <c r="D15" i="35"/>
  <c r="C15" i="35"/>
  <c r="B15" i="35"/>
  <c r="GQ14" i="35"/>
  <c r="GA14" i="35"/>
  <c r="FZ14" i="35"/>
  <c r="FY14" i="35"/>
  <c r="FX14" i="35"/>
  <c r="FW14" i="35"/>
  <c r="FV14" i="35"/>
  <c r="FU14" i="35"/>
  <c r="FT14" i="35"/>
  <c r="FS14" i="35"/>
  <c r="FR14" i="35"/>
  <c r="FQ14" i="35"/>
  <c r="FP14" i="35"/>
  <c r="FO14" i="35"/>
  <c r="FN14" i="35"/>
  <c r="FM14" i="35"/>
  <c r="FL14" i="35"/>
  <c r="FK14" i="35"/>
  <c r="FJ14" i="35"/>
  <c r="FI14" i="35"/>
  <c r="FH14" i="35"/>
  <c r="FG14" i="35"/>
  <c r="FF14" i="35"/>
  <c r="FE14" i="35"/>
  <c r="FD14" i="35"/>
  <c r="FC14" i="35"/>
  <c r="FB14" i="35"/>
  <c r="FA14" i="35"/>
  <c r="EZ14" i="35"/>
  <c r="EY14" i="35"/>
  <c r="EX14" i="35"/>
  <c r="EW14" i="35"/>
  <c r="EV14" i="35"/>
  <c r="EU14" i="35"/>
  <c r="ET14" i="35"/>
  <c r="ES14" i="35"/>
  <c r="ER14" i="35"/>
  <c r="EQ14" i="35"/>
  <c r="EP14" i="35"/>
  <c r="EO14" i="35"/>
  <c r="EN14" i="35"/>
  <c r="EM14" i="35"/>
  <c r="EL14" i="35"/>
  <c r="EK14" i="35"/>
  <c r="EJ14" i="35"/>
  <c r="EI14" i="35"/>
  <c r="EH14" i="35"/>
  <c r="EG14" i="35"/>
  <c r="EF14" i="35"/>
  <c r="EE14" i="35"/>
  <c r="ED14" i="35"/>
  <c r="EC14" i="35"/>
  <c r="EB14" i="35"/>
  <c r="EA14" i="35"/>
  <c r="DZ14" i="35"/>
  <c r="DY14" i="35"/>
  <c r="DX14" i="35"/>
  <c r="DW14" i="35"/>
  <c r="DV14" i="35"/>
  <c r="DU14" i="35"/>
  <c r="DT14" i="35"/>
  <c r="DS14" i="35"/>
  <c r="DR14" i="35"/>
  <c r="DQ14" i="35"/>
  <c r="DP14" i="35"/>
  <c r="DO14" i="35"/>
  <c r="DN14" i="35"/>
  <c r="DM14" i="35"/>
  <c r="DL14" i="35"/>
  <c r="DK14" i="35"/>
  <c r="DJ14" i="35"/>
  <c r="DI14" i="35"/>
  <c r="DH14" i="35"/>
  <c r="DG14" i="35"/>
  <c r="DF14" i="35"/>
  <c r="DE14" i="35"/>
  <c r="DD14" i="35"/>
  <c r="DC14" i="35"/>
  <c r="DB14" i="35"/>
  <c r="DA14" i="35"/>
  <c r="CZ14" i="35"/>
  <c r="CY14" i="35"/>
  <c r="CX14" i="35"/>
  <c r="CW14" i="35"/>
  <c r="CV14" i="35"/>
  <c r="CU14" i="35"/>
  <c r="CT14" i="35"/>
  <c r="CS14" i="35"/>
  <c r="CR14" i="35"/>
  <c r="CQ14" i="35"/>
  <c r="CP14" i="35"/>
  <c r="CO14" i="35"/>
  <c r="CN14" i="35"/>
  <c r="CM14" i="35"/>
  <c r="CL14" i="35"/>
  <c r="CK14" i="35"/>
  <c r="CJ14" i="35"/>
  <c r="CI14" i="35"/>
  <c r="CH14" i="35"/>
  <c r="CG14" i="35"/>
  <c r="CF14" i="35"/>
  <c r="CE14" i="35"/>
  <c r="CD14" i="35"/>
  <c r="CC14" i="35"/>
  <c r="CB14" i="35"/>
  <c r="CA14" i="35"/>
  <c r="BZ14" i="35"/>
  <c r="BY14" i="35"/>
  <c r="BX14" i="35"/>
  <c r="BW14" i="35"/>
  <c r="BV14" i="35"/>
  <c r="BU14" i="35"/>
  <c r="BT14" i="35"/>
  <c r="BS14" i="35"/>
  <c r="BR14" i="35"/>
  <c r="BQ14" i="35"/>
  <c r="BP14" i="35"/>
  <c r="BO14" i="35"/>
  <c r="BN14" i="35"/>
  <c r="BM14" i="35"/>
  <c r="BL14" i="35"/>
  <c r="BK14" i="35"/>
  <c r="BJ14" i="35"/>
  <c r="BI14" i="35"/>
  <c r="BH14" i="35"/>
  <c r="BG14" i="35"/>
  <c r="BF14" i="35"/>
  <c r="BE14" i="35"/>
  <c r="BD14" i="35"/>
  <c r="BC14" i="35"/>
  <c r="BB14" i="35"/>
  <c r="BA14" i="35"/>
  <c r="AZ14" i="35"/>
  <c r="AY14" i="35"/>
  <c r="AX14" i="35"/>
  <c r="AW14" i="35"/>
  <c r="AV14" i="35"/>
  <c r="AU14" i="35"/>
  <c r="AT14" i="35"/>
  <c r="AS14" i="35"/>
  <c r="AR14" i="35"/>
  <c r="AQ14" i="35"/>
  <c r="AP14" i="35"/>
  <c r="AO14" i="35"/>
  <c r="AN14" i="35"/>
  <c r="AL14" i="35"/>
  <c r="AK14" i="35"/>
  <c r="AJ14" i="35"/>
  <c r="AI14" i="35"/>
  <c r="AH14" i="35"/>
  <c r="AF14" i="35"/>
  <c r="AE14" i="35"/>
  <c r="AD14" i="35"/>
  <c r="AC14" i="35"/>
  <c r="Y14" i="35"/>
  <c r="X14" i="35"/>
  <c r="V14" i="35"/>
  <c r="U14" i="35"/>
  <c r="T14" i="35"/>
  <c r="S14" i="35"/>
  <c r="R14" i="35"/>
  <c r="Q14" i="35"/>
  <c r="P14" i="35"/>
  <c r="O14" i="35"/>
  <c r="N14" i="35"/>
  <c r="M14" i="35"/>
  <c r="L14" i="35"/>
  <c r="K14" i="35"/>
  <c r="J14" i="35"/>
  <c r="I14" i="35"/>
  <c r="G14" i="35"/>
  <c r="F14" i="35"/>
  <c r="E14" i="35"/>
  <c r="D14" i="35"/>
  <c r="C14" i="35"/>
  <c r="B14" i="35"/>
  <c r="GQ13" i="35"/>
  <c r="GA13" i="35"/>
  <c r="FZ13" i="35"/>
  <c r="FY13" i="35"/>
  <c r="FX13" i="35"/>
  <c r="FW13" i="35"/>
  <c r="FV13" i="35"/>
  <c r="FU13" i="35"/>
  <c r="FT13" i="35"/>
  <c r="FS13" i="35"/>
  <c r="FR13" i="35"/>
  <c r="FQ13" i="35"/>
  <c r="FP13" i="35"/>
  <c r="FO13" i="35"/>
  <c r="FN13" i="35"/>
  <c r="FM13" i="35"/>
  <c r="FL13" i="35"/>
  <c r="FK13" i="35"/>
  <c r="FJ13" i="35"/>
  <c r="FI13" i="35"/>
  <c r="FH13" i="35"/>
  <c r="FG13" i="35"/>
  <c r="FF13" i="35"/>
  <c r="FE13" i="35"/>
  <c r="FD13" i="35"/>
  <c r="FC13" i="35"/>
  <c r="FB13" i="35"/>
  <c r="FA13" i="35"/>
  <c r="EZ13" i="35"/>
  <c r="EY13" i="35"/>
  <c r="EX13" i="35"/>
  <c r="EW13" i="35"/>
  <c r="EV13" i="35"/>
  <c r="EU13" i="35"/>
  <c r="ET13" i="35"/>
  <c r="ES13" i="35"/>
  <c r="ER13" i="35"/>
  <c r="EQ13" i="35"/>
  <c r="EP13" i="35"/>
  <c r="EO13" i="35"/>
  <c r="EN13" i="35"/>
  <c r="EM13" i="35"/>
  <c r="EL13" i="35"/>
  <c r="EK13" i="35"/>
  <c r="EJ13" i="35"/>
  <c r="EI13" i="35"/>
  <c r="EH13" i="35"/>
  <c r="EG13" i="35"/>
  <c r="EF13" i="35"/>
  <c r="EE13" i="35"/>
  <c r="ED13" i="35"/>
  <c r="EC13" i="35"/>
  <c r="EB13" i="35"/>
  <c r="EA13" i="35"/>
  <c r="DZ13" i="35"/>
  <c r="DY13" i="35"/>
  <c r="DX13" i="35"/>
  <c r="DW13" i="35"/>
  <c r="DV13" i="35"/>
  <c r="DU13" i="35"/>
  <c r="DT13" i="35"/>
  <c r="DS13" i="35"/>
  <c r="DR13" i="35"/>
  <c r="DQ13" i="35"/>
  <c r="DP13" i="35"/>
  <c r="DO13" i="35"/>
  <c r="DN13" i="35"/>
  <c r="DM13" i="35"/>
  <c r="DL13" i="35"/>
  <c r="DK13" i="35"/>
  <c r="DJ13" i="35"/>
  <c r="DI13" i="35"/>
  <c r="DH13" i="35"/>
  <c r="DG13" i="35"/>
  <c r="DF13" i="35"/>
  <c r="DE13" i="35"/>
  <c r="DD13" i="35"/>
  <c r="DC13" i="35"/>
  <c r="DB13" i="35"/>
  <c r="DA13" i="35"/>
  <c r="CZ13" i="35"/>
  <c r="CY13" i="35"/>
  <c r="CX13" i="35"/>
  <c r="CW13" i="35"/>
  <c r="CV13" i="35"/>
  <c r="CU13" i="35"/>
  <c r="CT13" i="35"/>
  <c r="CS13" i="35"/>
  <c r="CR13" i="35"/>
  <c r="CQ13" i="35"/>
  <c r="CP13" i="35"/>
  <c r="CO13" i="35"/>
  <c r="CN13" i="35"/>
  <c r="CM13" i="35"/>
  <c r="CL13" i="35"/>
  <c r="CK13" i="35"/>
  <c r="CJ13" i="35"/>
  <c r="CI13" i="35"/>
  <c r="CH13" i="35"/>
  <c r="CG13" i="35"/>
  <c r="CF13" i="35"/>
  <c r="CE13" i="35"/>
  <c r="CD13" i="35"/>
  <c r="CC13" i="35"/>
  <c r="CB13" i="35"/>
  <c r="CA13" i="35"/>
  <c r="BZ13" i="35"/>
  <c r="BY13" i="35"/>
  <c r="BX13" i="35"/>
  <c r="BW13" i="35"/>
  <c r="BV13" i="35"/>
  <c r="BU13" i="35"/>
  <c r="BT13" i="35"/>
  <c r="BS13" i="35"/>
  <c r="BR13" i="35"/>
  <c r="BQ13" i="35"/>
  <c r="BP13" i="35"/>
  <c r="BO13" i="35"/>
  <c r="BN13" i="35"/>
  <c r="BM13" i="35"/>
  <c r="BL13" i="35"/>
  <c r="BK13" i="35"/>
  <c r="BJ13" i="35"/>
  <c r="BI13" i="35"/>
  <c r="BH13" i="35"/>
  <c r="BG13" i="35"/>
  <c r="BF13" i="35"/>
  <c r="BE13" i="35"/>
  <c r="BD13" i="35"/>
  <c r="BC13" i="35"/>
  <c r="BB13" i="35"/>
  <c r="BA13" i="35"/>
  <c r="AZ13" i="35"/>
  <c r="AY13" i="35"/>
  <c r="AX13" i="35"/>
  <c r="AW13" i="35"/>
  <c r="AV13" i="35"/>
  <c r="AU13" i="35"/>
  <c r="AT13" i="35"/>
  <c r="AS13" i="35"/>
  <c r="AR13" i="35"/>
  <c r="AQ13" i="35"/>
  <c r="AP13" i="35"/>
  <c r="AO13" i="35"/>
  <c r="AN13" i="35"/>
  <c r="AL13" i="35"/>
  <c r="AK13" i="35"/>
  <c r="AJ13" i="35"/>
  <c r="AI13" i="35"/>
  <c r="AH13" i="35"/>
  <c r="AF13" i="35"/>
  <c r="AE13" i="35"/>
  <c r="AD13" i="35"/>
  <c r="AC13" i="35"/>
  <c r="Y13" i="35"/>
  <c r="X13" i="35"/>
  <c r="V13" i="35"/>
  <c r="U13" i="35"/>
  <c r="T13" i="35"/>
  <c r="S13" i="35"/>
  <c r="R13" i="35"/>
  <c r="Q13" i="35"/>
  <c r="P13" i="35"/>
  <c r="O13" i="35"/>
  <c r="N13" i="35"/>
  <c r="M13" i="35"/>
  <c r="L13" i="35"/>
  <c r="K13" i="35"/>
  <c r="J13" i="35"/>
  <c r="I13" i="35"/>
  <c r="G13" i="35"/>
  <c r="F13" i="35"/>
  <c r="E13" i="35"/>
  <c r="D13" i="35"/>
  <c r="C13" i="35"/>
  <c r="B13" i="35"/>
  <c r="GQ12" i="35"/>
  <c r="GA12" i="35"/>
  <c r="FZ12" i="35"/>
  <c r="FY12" i="35"/>
  <c r="FX12" i="35"/>
  <c r="FW12" i="35"/>
  <c r="FV12" i="35"/>
  <c r="FU12" i="35"/>
  <c r="FT12" i="35"/>
  <c r="FS12" i="35"/>
  <c r="FR12" i="35"/>
  <c r="FQ12" i="35"/>
  <c r="FP12" i="35"/>
  <c r="FO12" i="35"/>
  <c r="FN12" i="35"/>
  <c r="FM12" i="35"/>
  <c r="FL12" i="35"/>
  <c r="FK12" i="35"/>
  <c r="FJ12" i="35"/>
  <c r="FI12" i="35"/>
  <c r="FH12" i="35"/>
  <c r="FG12" i="35"/>
  <c r="FF12" i="35"/>
  <c r="FE12" i="35"/>
  <c r="FD12" i="35"/>
  <c r="FC12" i="35"/>
  <c r="FB12" i="35"/>
  <c r="FA12" i="35"/>
  <c r="EZ12" i="35"/>
  <c r="EY12" i="35"/>
  <c r="EX12" i="35"/>
  <c r="EW12" i="35"/>
  <c r="EV12" i="35"/>
  <c r="EU12" i="35"/>
  <c r="ET12" i="35"/>
  <c r="ES12" i="35"/>
  <c r="ER12" i="35"/>
  <c r="EQ12" i="35"/>
  <c r="EP12" i="35"/>
  <c r="EO12" i="35"/>
  <c r="EN12" i="35"/>
  <c r="EM12" i="35"/>
  <c r="EL12" i="35"/>
  <c r="EK12" i="35"/>
  <c r="EJ12" i="35"/>
  <c r="EI12" i="35"/>
  <c r="EH12" i="35"/>
  <c r="EG12" i="35"/>
  <c r="EF12" i="35"/>
  <c r="EE12" i="35"/>
  <c r="ED12" i="35"/>
  <c r="EC12" i="35"/>
  <c r="EB12" i="35"/>
  <c r="EA12" i="35"/>
  <c r="DZ12" i="35"/>
  <c r="DY12" i="35"/>
  <c r="DX12" i="35"/>
  <c r="DW12" i="35"/>
  <c r="DV12" i="35"/>
  <c r="DU12" i="35"/>
  <c r="DT12" i="35"/>
  <c r="DS12" i="35"/>
  <c r="DR12" i="35"/>
  <c r="DQ12" i="35"/>
  <c r="DP12" i="35"/>
  <c r="DO12" i="35"/>
  <c r="DN12" i="35"/>
  <c r="DM12" i="35"/>
  <c r="DL12" i="35"/>
  <c r="DK12" i="35"/>
  <c r="DJ12" i="35"/>
  <c r="DI12" i="35"/>
  <c r="DH12" i="35"/>
  <c r="DG12" i="35"/>
  <c r="DF12" i="35"/>
  <c r="DE12" i="35"/>
  <c r="DD12" i="35"/>
  <c r="DC12" i="35"/>
  <c r="DB12" i="35"/>
  <c r="DA12" i="35"/>
  <c r="CZ12" i="35"/>
  <c r="CY12" i="35"/>
  <c r="CX12" i="35"/>
  <c r="CW12" i="35"/>
  <c r="CV12" i="35"/>
  <c r="CU12" i="35"/>
  <c r="CT12" i="35"/>
  <c r="CS12" i="35"/>
  <c r="CR12" i="35"/>
  <c r="CQ12" i="35"/>
  <c r="CP12" i="35"/>
  <c r="CO12" i="35"/>
  <c r="CN12" i="35"/>
  <c r="CM12" i="35"/>
  <c r="CL12" i="35"/>
  <c r="CK12" i="35"/>
  <c r="CJ12" i="35"/>
  <c r="CI12" i="35"/>
  <c r="CH12" i="35"/>
  <c r="CG12" i="35"/>
  <c r="CF12" i="35"/>
  <c r="CE12" i="35"/>
  <c r="CD12" i="35"/>
  <c r="CC12" i="35"/>
  <c r="CB12" i="35"/>
  <c r="CA12" i="35"/>
  <c r="BZ12" i="35"/>
  <c r="BY12" i="35"/>
  <c r="BX12" i="35"/>
  <c r="BW12" i="35"/>
  <c r="BV12" i="35"/>
  <c r="BU12" i="35"/>
  <c r="BT12" i="35"/>
  <c r="BS12" i="35"/>
  <c r="BR12" i="35"/>
  <c r="BQ12" i="35"/>
  <c r="BP12" i="35"/>
  <c r="BO12" i="35"/>
  <c r="BN12" i="35"/>
  <c r="BM12" i="35"/>
  <c r="BL12" i="35"/>
  <c r="BK12" i="35"/>
  <c r="BJ12" i="35"/>
  <c r="BI12" i="35"/>
  <c r="BH12" i="35"/>
  <c r="BG12" i="35"/>
  <c r="BF12" i="35"/>
  <c r="BE12" i="35"/>
  <c r="BD12" i="35"/>
  <c r="BC12" i="35"/>
  <c r="BB12" i="35"/>
  <c r="BA12" i="35"/>
  <c r="AZ12" i="35"/>
  <c r="AY12" i="35"/>
  <c r="AX12" i="35"/>
  <c r="AW12" i="35"/>
  <c r="AV12" i="35"/>
  <c r="AU12" i="35"/>
  <c r="AT12" i="35"/>
  <c r="AS12" i="35"/>
  <c r="AR12" i="35"/>
  <c r="AQ12" i="35"/>
  <c r="AP12" i="35"/>
  <c r="AO12" i="35"/>
  <c r="AN12" i="35"/>
  <c r="AL12" i="35"/>
  <c r="AK12" i="35"/>
  <c r="AJ12" i="35"/>
  <c r="AI12" i="35"/>
  <c r="AH12" i="35"/>
  <c r="AF12" i="35"/>
  <c r="AE12" i="35"/>
  <c r="AD12" i="35"/>
  <c r="AC12" i="35"/>
  <c r="Y12" i="35"/>
  <c r="X12" i="35"/>
  <c r="V12" i="35"/>
  <c r="U12" i="35"/>
  <c r="T12" i="35"/>
  <c r="S12" i="35"/>
  <c r="R12" i="35"/>
  <c r="Q12" i="35"/>
  <c r="P12" i="35"/>
  <c r="O12" i="35"/>
  <c r="N12" i="35"/>
  <c r="M12" i="35"/>
  <c r="L12" i="35"/>
  <c r="K12" i="35"/>
  <c r="J12" i="35"/>
  <c r="I12" i="35"/>
  <c r="G12" i="35"/>
  <c r="F12" i="35"/>
  <c r="E12" i="35"/>
  <c r="D12" i="35"/>
  <c r="C12" i="35"/>
  <c r="B12" i="35"/>
  <c r="GQ11" i="35"/>
  <c r="GA11" i="35"/>
  <c r="FZ11" i="35"/>
  <c r="FY11" i="35"/>
  <c r="FX11" i="35"/>
  <c r="FW11" i="35"/>
  <c r="FV11" i="35"/>
  <c r="FU11" i="35"/>
  <c r="FT11" i="35"/>
  <c r="FS11" i="35"/>
  <c r="FR11" i="35"/>
  <c r="FQ11" i="35"/>
  <c r="FP11" i="35"/>
  <c r="FO11" i="35"/>
  <c r="FN11" i="35"/>
  <c r="FM11" i="35"/>
  <c r="FL11" i="35"/>
  <c r="FK11" i="35"/>
  <c r="FJ11" i="35"/>
  <c r="FI11" i="35"/>
  <c r="FH11" i="35"/>
  <c r="FG11" i="35"/>
  <c r="FF11" i="35"/>
  <c r="FE11" i="35"/>
  <c r="FD11" i="35"/>
  <c r="FC11" i="35"/>
  <c r="FB11" i="35"/>
  <c r="FA11" i="35"/>
  <c r="EZ11" i="35"/>
  <c r="EY11" i="35"/>
  <c r="EX11" i="35"/>
  <c r="EW11" i="35"/>
  <c r="EV11" i="35"/>
  <c r="EU11" i="35"/>
  <c r="ET11" i="35"/>
  <c r="ES11" i="35"/>
  <c r="ER11" i="35"/>
  <c r="EQ11" i="35"/>
  <c r="EP11" i="35"/>
  <c r="EO11" i="35"/>
  <c r="EN11" i="35"/>
  <c r="EM11" i="35"/>
  <c r="EL11" i="35"/>
  <c r="EK11" i="35"/>
  <c r="EJ11" i="35"/>
  <c r="EI11" i="35"/>
  <c r="EH11" i="35"/>
  <c r="EG11" i="35"/>
  <c r="EF11" i="35"/>
  <c r="EE11" i="35"/>
  <c r="ED11" i="35"/>
  <c r="EC11" i="35"/>
  <c r="EB11" i="35"/>
  <c r="EA11" i="35"/>
  <c r="DZ11" i="35"/>
  <c r="DY11" i="35"/>
  <c r="DX11" i="35"/>
  <c r="DW11" i="35"/>
  <c r="DV11" i="35"/>
  <c r="DU11" i="35"/>
  <c r="DT11" i="35"/>
  <c r="DS11" i="35"/>
  <c r="DR11" i="35"/>
  <c r="DQ11" i="35"/>
  <c r="DP11" i="35"/>
  <c r="DO11" i="35"/>
  <c r="DN11" i="35"/>
  <c r="DM11" i="35"/>
  <c r="DL11" i="35"/>
  <c r="DK11" i="35"/>
  <c r="DJ11" i="35"/>
  <c r="DI11" i="35"/>
  <c r="DH11" i="35"/>
  <c r="DG11" i="35"/>
  <c r="DF11" i="35"/>
  <c r="DE11" i="35"/>
  <c r="DD11" i="35"/>
  <c r="DC11" i="35"/>
  <c r="DB11" i="35"/>
  <c r="DA11" i="35"/>
  <c r="CZ11" i="35"/>
  <c r="CY11" i="35"/>
  <c r="CX11" i="35"/>
  <c r="CW11" i="35"/>
  <c r="CV11" i="35"/>
  <c r="CU11" i="35"/>
  <c r="CT11" i="35"/>
  <c r="CS11" i="35"/>
  <c r="CR11" i="35"/>
  <c r="CQ11" i="35"/>
  <c r="CP11" i="35"/>
  <c r="CO11" i="35"/>
  <c r="CN11" i="35"/>
  <c r="CM11" i="35"/>
  <c r="CL11" i="35"/>
  <c r="CK11" i="35"/>
  <c r="CJ11" i="35"/>
  <c r="CI11" i="35"/>
  <c r="CH11" i="35"/>
  <c r="CG11" i="35"/>
  <c r="CF11" i="35"/>
  <c r="CE11" i="35"/>
  <c r="CD11" i="35"/>
  <c r="CC11" i="35"/>
  <c r="CB11" i="35"/>
  <c r="CA11" i="35"/>
  <c r="BZ11" i="35"/>
  <c r="BY11" i="35"/>
  <c r="BX11" i="35"/>
  <c r="BW11" i="35"/>
  <c r="BV11" i="35"/>
  <c r="BU11" i="35"/>
  <c r="BT11" i="35"/>
  <c r="BS11" i="35"/>
  <c r="BR11" i="35"/>
  <c r="BQ11" i="35"/>
  <c r="BP11" i="35"/>
  <c r="BO11" i="35"/>
  <c r="BN11" i="35"/>
  <c r="BM11" i="35"/>
  <c r="BL11" i="35"/>
  <c r="BK11" i="35"/>
  <c r="BJ11" i="35"/>
  <c r="BI11" i="35"/>
  <c r="BH11" i="35"/>
  <c r="BG11" i="35"/>
  <c r="BF11" i="35"/>
  <c r="BE11" i="35"/>
  <c r="BD11" i="35"/>
  <c r="BC11" i="35"/>
  <c r="BB11" i="35"/>
  <c r="BA11" i="35"/>
  <c r="AZ11" i="35"/>
  <c r="AY11" i="35"/>
  <c r="AX11" i="35"/>
  <c r="AW11" i="35"/>
  <c r="AV11" i="35"/>
  <c r="AU11" i="35"/>
  <c r="AT11" i="35"/>
  <c r="AS11" i="35"/>
  <c r="AR11" i="35"/>
  <c r="AQ11" i="35"/>
  <c r="AP11" i="35"/>
  <c r="AO11" i="35"/>
  <c r="AN11" i="35"/>
  <c r="AL11" i="35"/>
  <c r="AK11" i="35"/>
  <c r="AJ11" i="35"/>
  <c r="AI11" i="35"/>
  <c r="AH11" i="35"/>
  <c r="AF11" i="35"/>
  <c r="AE11" i="35"/>
  <c r="AD11" i="35"/>
  <c r="AC11" i="35"/>
  <c r="Y11" i="35"/>
  <c r="X11" i="35"/>
  <c r="V11" i="35"/>
  <c r="U11" i="35"/>
  <c r="T11" i="35"/>
  <c r="S11" i="35"/>
  <c r="R11" i="35"/>
  <c r="Q11" i="35"/>
  <c r="P11" i="35"/>
  <c r="O11" i="35"/>
  <c r="N11" i="35"/>
  <c r="M11" i="35"/>
  <c r="L11" i="35"/>
  <c r="K11" i="35"/>
  <c r="J11" i="35"/>
  <c r="I11" i="35"/>
  <c r="G11" i="35"/>
  <c r="F11" i="35"/>
  <c r="E11" i="35"/>
  <c r="D11" i="35"/>
  <c r="C11" i="35"/>
  <c r="B11" i="35"/>
  <c r="GQ10" i="35"/>
  <c r="GA10" i="35"/>
  <c r="FZ10" i="35"/>
  <c r="FY10" i="35"/>
  <c r="FX10" i="35"/>
  <c r="FW10" i="35"/>
  <c r="FV10" i="35"/>
  <c r="FU10" i="35"/>
  <c r="FT10" i="35"/>
  <c r="FS10" i="35"/>
  <c r="FR10" i="35"/>
  <c r="FQ10" i="35"/>
  <c r="FP10" i="35"/>
  <c r="FO10" i="35"/>
  <c r="FN10" i="35"/>
  <c r="FM10" i="35"/>
  <c r="FL10" i="35"/>
  <c r="FK10" i="35"/>
  <c r="FJ10" i="35"/>
  <c r="FI10" i="35"/>
  <c r="FH10" i="35"/>
  <c r="FG10" i="35"/>
  <c r="FF10" i="35"/>
  <c r="FE10" i="35"/>
  <c r="FD10" i="35"/>
  <c r="FC10" i="35"/>
  <c r="FB10" i="35"/>
  <c r="FA10" i="35"/>
  <c r="EZ10" i="35"/>
  <c r="EY10" i="35"/>
  <c r="EX10" i="35"/>
  <c r="EW10" i="35"/>
  <c r="EV10" i="35"/>
  <c r="EU10" i="35"/>
  <c r="ET10" i="35"/>
  <c r="ES10" i="35"/>
  <c r="ER10" i="35"/>
  <c r="EQ10" i="35"/>
  <c r="EP10" i="35"/>
  <c r="EO10" i="35"/>
  <c r="EN10" i="35"/>
  <c r="EM10" i="35"/>
  <c r="EL10" i="35"/>
  <c r="EK10" i="35"/>
  <c r="EJ10" i="35"/>
  <c r="EI10" i="35"/>
  <c r="EH10" i="35"/>
  <c r="EG10" i="35"/>
  <c r="EF10" i="35"/>
  <c r="EE10" i="35"/>
  <c r="ED10" i="35"/>
  <c r="EC10" i="35"/>
  <c r="EB10" i="35"/>
  <c r="EA10" i="35"/>
  <c r="DZ10" i="35"/>
  <c r="DY10" i="35"/>
  <c r="DX10" i="35"/>
  <c r="DW10" i="35"/>
  <c r="DV10" i="35"/>
  <c r="DU10" i="35"/>
  <c r="DT10" i="35"/>
  <c r="DS10" i="35"/>
  <c r="DR10" i="35"/>
  <c r="DQ10" i="35"/>
  <c r="DP10" i="35"/>
  <c r="DO10" i="35"/>
  <c r="DN10" i="35"/>
  <c r="DM10" i="35"/>
  <c r="DL10" i="35"/>
  <c r="DK10" i="35"/>
  <c r="DJ10" i="35"/>
  <c r="DI10" i="35"/>
  <c r="DH10" i="35"/>
  <c r="DG10" i="35"/>
  <c r="DF10" i="35"/>
  <c r="DE10" i="35"/>
  <c r="DD10" i="35"/>
  <c r="DC10" i="35"/>
  <c r="DB10" i="35"/>
  <c r="DA10" i="35"/>
  <c r="CZ10" i="35"/>
  <c r="CY10" i="35"/>
  <c r="CX10" i="35"/>
  <c r="CW10" i="35"/>
  <c r="CV10" i="35"/>
  <c r="CU10" i="35"/>
  <c r="CT10" i="35"/>
  <c r="CS10" i="35"/>
  <c r="CR10" i="35"/>
  <c r="CQ10" i="35"/>
  <c r="CP10" i="35"/>
  <c r="CO10" i="35"/>
  <c r="CN10" i="35"/>
  <c r="CM10" i="35"/>
  <c r="CL10" i="35"/>
  <c r="CK10" i="35"/>
  <c r="CJ10" i="35"/>
  <c r="CI10" i="35"/>
  <c r="CH10" i="35"/>
  <c r="CG10" i="35"/>
  <c r="CF10" i="35"/>
  <c r="CE10" i="35"/>
  <c r="CD10" i="35"/>
  <c r="CC10" i="35"/>
  <c r="CB10" i="35"/>
  <c r="CA10" i="35"/>
  <c r="BZ10" i="35"/>
  <c r="BY10" i="35"/>
  <c r="BX10" i="35"/>
  <c r="BW10" i="35"/>
  <c r="BV10" i="35"/>
  <c r="BU10" i="35"/>
  <c r="BT10" i="35"/>
  <c r="BS10" i="35"/>
  <c r="BR10" i="35"/>
  <c r="BQ10" i="35"/>
  <c r="BP10" i="35"/>
  <c r="BO10" i="35"/>
  <c r="BN10" i="35"/>
  <c r="BM10" i="35"/>
  <c r="BL10" i="35"/>
  <c r="BK10" i="35"/>
  <c r="BJ10" i="35"/>
  <c r="BI10" i="35"/>
  <c r="BH10" i="35"/>
  <c r="BG10" i="35"/>
  <c r="BF10" i="35"/>
  <c r="BE10" i="35"/>
  <c r="BD10" i="35"/>
  <c r="BC10" i="35"/>
  <c r="BB10" i="35"/>
  <c r="BA10" i="35"/>
  <c r="AZ10" i="35"/>
  <c r="AY10" i="35"/>
  <c r="AX10" i="35"/>
  <c r="AW10" i="35"/>
  <c r="AV10" i="35"/>
  <c r="AU10" i="35"/>
  <c r="AT10" i="35"/>
  <c r="AS10" i="35"/>
  <c r="AR10" i="35"/>
  <c r="AQ10" i="35"/>
  <c r="AP10" i="35"/>
  <c r="AO10" i="35"/>
  <c r="AN10" i="35"/>
  <c r="AL10" i="35"/>
  <c r="AK10" i="35"/>
  <c r="AJ10" i="35"/>
  <c r="AI10" i="35"/>
  <c r="AH10" i="35"/>
  <c r="AF10" i="35"/>
  <c r="AE10" i="35"/>
  <c r="AD10" i="35"/>
  <c r="AC10" i="35"/>
  <c r="Y10" i="35"/>
  <c r="X10" i="35"/>
  <c r="V10" i="35"/>
  <c r="U10" i="35"/>
  <c r="T10" i="35"/>
  <c r="S10" i="35"/>
  <c r="R10" i="35"/>
  <c r="Q10" i="35"/>
  <c r="P10" i="35"/>
  <c r="O10" i="35"/>
  <c r="N10" i="35"/>
  <c r="M10" i="35"/>
  <c r="L10" i="35"/>
  <c r="K10" i="35"/>
  <c r="J10" i="35"/>
  <c r="I10" i="35"/>
  <c r="G10" i="35"/>
  <c r="F10" i="35"/>
  <c r="E10" i="35"/>
  <c r="D10" i="35"/>
  <c r="C10" i="35"/>
  <c r="B10" i="35"/>
  <c r="GQ9" i="35"/>
  <c r="GA9" i="35"/>
  <c r="FZ9" i="35"/>
  <c r="FY9" i="35"/>
  <c r="FX9" i="35"/>
  <c r="FW9" i="35"/>
  <c r="FV9" i="35"/>
  <c r="FU9" i="35"/>
  <c r="FT9" i="35"/>
  <c r="FS9" i="35"/>
  <c r="FR9" i="35"/>
  <c r="FQ9" i="35"/>
  <c r="FP9" i="35"/>
  <c r="FO9" i="35"/>
  <c r="FN9" i="35"/>
  <c r="FM9" i="35"/>
  <c r="FL9" i="35"/>
  <c r="FK9" i="35"/>
  <c r="FJ9" i="35"/>
  <c r="FI9" i="35"/>
  <c r="FH9" i="35"/>
  <c r="FG9" i="35"/>
  <c r="FF9" i="35"/>
  <c r="FE9" i="35"/>
  <c r="FD9" i="35"/>
  <c r="FC9" i="35"/>
  <c r="FB9" i="35"/>
  <c r="FA9" i="35"/>
  <c r="EZ9" i="35"/>
  <c r="EY9" i="35"/>
  <c r="EX9" i="35"/>
  <c r="EW9" i="35"/>
  <c r="EV9" i="35"/>
  <c r="EU9" i="35"/>
  <c r="ET9" i="35"/>
  <c r="ES9" i="35"/>
  <c r="ER9" i="35"/>
  <c r="EQ9" i="35"/>
  <c r="EP9" i="35"/>
  <c r="EO9" i="35"/>
  <c r="EN9" i="35"/>
  <c r="EM9" i="35"/>
  <c r="EL9" i="35"/>
  <c r="EK9" i="35"/>
  <c r="EJ9" i="35"/>
  <c r="EI9" i="35"/>
  <c r="EH9" i="35"/>
  <c r="EG9" i="35"/>
  <c r="EF9" i="35"/>
  <c r="EE9" i="35"/>
  <c r="ED9" i="35"/>
  <c r="EC9" i="35"/>
  <c r="EB9" i="35"/>
  <c r="EA9" i="35"/>
  <c r="DZ9" i="35"/>
  <c r="DY9" i="35"/>
  <c r="DX9" i="35"/>
  <c r="DW9" i="35"/>
  <c r="DV9" i="35"/>
  <c r="DU9" i="35"/>
  <c r="DT9" i="35"/>
  <c r="DS9" i="35"/>
  <c r="DR9" i="35"/>
  <c r="DQ9" i="35"/>
  <c r="DP9" i="35"/>
  <c r="DO9" i="35"/>
  <c r="DN9" i="35"/>
  <c r="DM9" i="35"/>
  <c r="DL9" i="35"/>
  <c r="DK9" i="35"/>
  <c r="DJ9" i="35"/>
  <c r="DI9" i="35"/>
  <c r="DH9" i="35"/>
  <c r="DG9" i="35"/>
  <c r="DF9" i="35"/>
  <c r="DE9" i="35"/>
  <c r="DD9" i="35"/>
  <c r="DC9" i="35"/>
  <c r="DB9" i="35"/>
  <c r="DA9" i="35"/>
  <c r="CZ9" i="35"/>
  <c r="CY9" i="35"/>
  <c r="CX9" i="35"/>
  <c r="CW9" i="35"/>
  <c r="CV9" i="35"/>
  <c r="CU9" i="35"/>
  <c r="CT9" i="35"/>
  <c r="CS9" i="35"/>
  <c r="CR9" i="35"/>
  <c r="CQ9" i="35"/>
  <c r="CP9" i="35"/>
  <c r="CO9" i="35"/>
  <c r="CN9" i="35"/>
  <c r="CM9" i="35"/>
  <c r="CL9" i="35"/>
  <c r="CK9" i="35"/>
  <c r="CJ9" i="35"/>
  <c r="CI9" i="35"/>
  <c r="CH9" i="35"/>
  <c r="CG9" i="35"/>
  <c r="CF9" i="35"/>
  <c r="CE9" i="35"/>
  <c r="CD9" i="35"/>
  <c r="CC9" i="35"/>
  <c r="CB9" i="35"/>
  <c r="CA9" i="35"/>
  <c r="BZ9" i="35"/>
  <c r="BY9" i="35"/>
  <c r="BX9" i="35"/>
  <c r="BW9" i="35"/>
  <c r="BV9" i="35"/>
  <c r="BU9" i="35"/>
  <c r="BT9" i="35"/>
  <c r="BS9" i="35"/>
  <c r="BR9" i="35"/>
  <c r="BQ9" i="35"/>
  <c r="BP9" i="35"/>
  <c r="BO9" i="35"/>
  <c r="BN9" i="35"/>
  <c r="BM9" i="35"/>
  <c r="BL9" i="35"/>
  <c r="BK9" i="35"/>
  <c r="BJ9" i="35"/>
  <c r="BI9" i="35"/>
  <c r="BH9" i="35"/>
  <c r="BG9" i="35"/>
  <c r="BF9" i="35"/>
  <c r="BE9" i="35"/>
  <c r="BD9" i="35"/>
  <c r="BC9" i="35"/>
  <c r="BB9" i="35"/>
  <c r="BA9" i="35"/>
  <c r="AZ9" i="35"/>
  <c r="AY9" i="35"/>
  <c r="AX9" i="35"/>
  <c r="AW9" i="35"/>
  <c r="AV9" i="35"/>
  <c r="AU9" i="35"/>
  <c r="AT9" i="35"/>
  <c r="AS9" i="35"/>
  <c r="AR9" i="35"/>
  <c r="AQ9" i="35"/>
  <c r="AP9" i="35"/>
  <c r="AO9" i="35"/>
  <c r="AN9" i="35"/>
  <c r="AL9" i="35"/>
  <c r="AK9" i="35"/>
  <c r="AJ9" i="35"/>
  <c r="AI9" i="35"/>
  <c r="AH9" i="35"/>
  <c r="AF9" i="35"/>
  <c r="AE9" i="35"/>
  <c r="AD9" i="35"/>
  <c r="AC9" i="35"/>
  <c r="Y9" i="35"/>
  <c r="X9" i="35"/>
  <c r="V9" i="35"/>
  <c r="U9" i="35"/>
  <c r="T9" i="35"/>
  <c r="S9" i="35"/>
  <c r="R9" i="35"/>
  <c r="Q9" i="35"/>
  <c r="P9" i="35"/>
  <c r="O9" i="35"/>
  <c r="N9" i="35"/>
  <c r="M9" i="35"/>
  <c r="L9" i="35"/>
  <c r="K9" i="35"/>
  <c r="J9" i="35"/>
  <c r="I9" i="35"/>
  <c r="G9" i="35"/>
  <c r="F9" i="35"/>
  <c r="E9" i="35"/>
  <c r="D9" i="35"/>
  <c r="C9" i="35"/>
  <c r="B9" i="35"/>
  <c r="GQ8" i="35"/>
  <c r="GA8" i="35"/>
  <c r="FZ8" i="35"/>
  <c r="FY8" i="35"/>
  <c r="FX8" i="35"/>
  <c r="FW8" i="35"/>
  <c r="FV8" i="35"/>
  <c r="FU8" i="35"/>
  <c r="FT8" i="35"/>
  <c r="FS8" i="35"/>
  <c r="FR8" i="35"/>
  <c r="FQ8" i="35"/>
  <c r="FP8" i="35"/>
  <c r="FO8" i="35"/>
  <c r="FN8" i="35"/>
  <c r="FM8" i="35"/>
  <c r="FL8" i="35"/>
  <c r="FK8" i="35"/>
  <c r="FJ8" i="35"/>
  <c r="FI8" i="35"/>
  <c r="FH8" i="35"/>
  <c r="FG8" i="35"/>
  <c r="FF8" i="35"/>
  <c r="FE8" i="35"/>
  <c r="FD8" i="35"/>
  <c r="FC8" i="35"/>
  <c r="FB8" i="35"/>
  <c r="FA8" i="35"/>
  <c r="EZ8" i="35"/>
  <c r="EY8" i="35"/>
  <c r="EX8" i="35"/>
  <c r="EW8" i="35"/>
  <c r="EV8" i="35"/>
  <c r="EU8" i="35"/>
  <c r="ET8" i="35"/>
  <c r="ES8" i="35"/>
  <c r="ER8" i="35"/>
  <c r="EQ8" i="35"/>
  <c r="EP8" i="35"/>
  <c r="EO8" i="35"/>
  <c r="EN8" i="35"/>
  <c r="EM8" i="35"/>
  <c r="EL8" i="35"/>
  <c r="EK8" i="35"/>
  <c r="EJ8" i="35"/>
  <c r="EI8" i="35"/>
  <c r="EH8" i="35"/>
  <c r="EG8" i="35"/>
  <c r="EF8" i="35"/>
  <c r="EE8" i="35"/>
  <c r="ED8" i="35"/>
  <c r="EC8" i="35"/>
  <c r="EB8" i="35"/>
  <c r="EA8" i="35"/>
  <c r="DZ8" i="35"/>
  <c r="DY8" i="35"/>
  <c r="DX8" i="35"/>
  <c r="DW8" i="35"/>
  <c r="DV8" i="35"/>
  <c r="DU8" i="35"/>
  <c r="DT8" i="35"/>
  <c r="DS8" i="35"/>
  <c r="DR8" i="35"/>
  <c r="DQ8" i="35"/>
  <c r="DP8" i="35"/>
  <c r="DO8" i="35"/>
  <c r="DN8" i="35"/>
  <c r="DM8" i="35"/>
  <c r="DL8" i="35"/>
  <c r="DK8" i="35"/>
  <c r="DJ8" i="35"/>
  <c r="DI8" i="35"/>
  <c r="DH8" i="35"/>
  <c r="DG8" i="35"/>
  <c r="DF8" i="35"/>
  <c r="DE8" i="35"/>
  <c r="DD8" i="35"/>
  <c r="DC8" i="35"/>
  <c r="DB8" i="35"/>
  <c r="DA8" i="35"/>
  <c r="CZ8" i="35"/>
  <c r="CY8" i="35"/>
  <c r="CX8" i="35"/>
  <c r="CW8" i="35"/>
  <c r="CV8" i="35"/>
  <c r="CU8" i="35"/>
  <c r="CT8" i="35"/>
  <c r="CS8" i="35"/>
  <c r="CR8" i="35"/>
  <c r="CQ8" i="35"/>
  <c r="CP8" i="35"/>
  <c r="CO8" i="35"/>
  <c r="CN8" i="35"/>
  <c r="CM8" i="35"/>
  <c r="CL8" i="35"/>
  <c r="CK8" i="35"/>
  <c r="CJ8" i="35"/>
  <c r="CI8" i="35"/>
  <c r="CH8" i="35"/>
  <c r="CG8" i="35"/>
  <c r="CF8" i="35"/>
  <c r="CE8" i="35"/>
  <c r="CD8" i="35"/>
  <c r="CC8" i="35"/>
  <c r="CB8" i="35"/>
  <c r="CA8" i="35"/>
  <c r="BZ8" i="35"/>
  <c r="BY8" i="35"/>
  <c r="BX8" i="35"/>
  <c r="BW8" i="35"/>
  <c r="BV8" i="35"/>
  <c r="BU8" i="35"/>
  <c r="BT8" i="35"/>
  <c r="BS8" i="35"/>
  <c r="BR8" i="35"/>
  <c r="BQ8" i="35"/>
  <c r="BP8" i="35"/>
  <c r="BO8" i="35"/>
  <c r="BN8" i="35"/>
  <c r="BM8" i="35"/>
  <c r="BL8" i="35"/>
  <c r="BK8" i="35"/>
  <c r="BJ8" i="35"/>
  <c r="BI8" i="35"/>
  <c r="BH8" i="35"/>
  <c r="BG8" i="35"/>
  <c r="BF8" i="35"/>
  <c r="BE8" i="35"/>
  <c r="BD8" i="35"/>
  <c r="BC8" i="35"/>
  <c r="BB8" i="35"/>
  <c r="BA8" i="35"/>
  <c r="AZ8" i="35"/>
  <c r="AY8" i="35"/>
  <c r="AX8" i="35"/>
  <c r="AW8" i="35"/>
  <c r="AV8" i="35"/>
  <c r="AU8" i="35"/>
  <c r="AT8" i="35"/>
  <c r="AS8" i="35"/>
  <c r="AR8" i="35"/>
  <c r="AQ8" i="35"/>
  <c r="AP8" i="35"/>
  <c r="AO8" i="35"/>
  <c r="AN8" i="35"/>
  <c r="AL8" i="35"/>
  <c r="AK8" i="35"/>
  <c r="AJ8" i="35"/>
  <c r="AI8" i="35"/>
  <c r="AH8" i="35"/>
  <c r="AF8" i="35"/>
  <c r="AE8" i="35"/>
  <c r="AD8" i="35"/>
  <c r="AC8" i="35"/>
  <c r="Y8" i="35"/>
  <c r="X8" i="35"/>
  <c r="V8" i="35"/>
  <c r="U8" i="35"/>
  <c r="T8" i="35"/>
  <c r="S8" i="35"/>
  <c r="R8" i="35"/>
  <c r="Q8" i="35"/>
  <c r="P8" i="35"/>
  <c r="O8" i="35"/>
  <c r="N8" i="35"/>
  <c r="M8" i="35"/>
  <c r="L8" i="35"/>
  <c r="K8" i="35"/>
  <c r="J8" i="35"/>
  <c r="I8" i="35"/>
  <c r="G8" i="35"/>
  <c r="F8" i="35"/>
  <c r="E8" i="35"/>
  <c r="D8" i="35"/>
  <c r="C8" i="35"/>
  <c r="B8" i="35"/>
  <c r="GQ7" i="35"/>
  <c r="GA7" i="35"/>
  <c r="FZ7" i="35"/>
  <c r="FY7" i="35"/>
  <c r="FX7" i="35"/>
  <c r="FW7" i="35"/>
  <c r="FV7" i="35"/>
  <c r="FU7" i="35"/>
  <c r="FT7" i="35"/>
  <c r="FS7" i="35"/>
  <c r="FR7" i="35"/>
  <c r="FQ7" i="35"/>
  <c r="FP7" i="35"/>
  <c r="FO7" i="35"/>
  <c r="FN7" i="35"/>
  <c r="FM7" i="35"/>
  <c r="FL7" i="35"/>
  <c r="FK7" i="35"/>
  <c r="FJ7" i="35"/>
  <c r="FI7" i="35"/>
  <c r="FH7" i="35"/>
  <c r="FG7" i="35"/>
  <c r="FF7" i="35"/>
  <c r="FE7" i="35"/>
  <c r="FD7" i="35"/>
  <c r="FC7" i="35"/>
  <c r="FB7" i="35"/>
  <c r="FA7" i="35"/>
  <c r="EZ7" i="35"/>
  <c r="EY7" i="35"/>
  <c r="EX7" i="35"/>
  <c r="EW7" i="35"/>
  <c r="EV7" i="35"/>
  <c r="EU7" i="35"/>
  <c r="ET7" i="35"/>
  <c r="ES7" i="35"/>
  <c r="ER7" i="35"/>
  <c r="EQ7" i="35"/>
  <c r="EP7" i="35"/>
  <c r="EO7" i="35"/>
  <c r="EN7" i="35"/>
  <c r="EM7" i="35"/>
  <c r="EL7" i="35"/>
  <c r="EK7" i="35"/>
  <c r="EJ7" i="35"/>
  <c r="EI7" i="35"/>
  <c r="EH7" i="35"/>
  <c r="EG7" i="35"/>
  <c r="EF7" i="35"/>
  <c r="EE7" i="35"/>
  <c r="ED7" i="35"/>
  <c r="EC7" i="35"/>
  <c r="EB7" i="35"/>
  <c r="EA7" i="35"/>
  <c r="DZ7" i="35"/>
  <c r="DY7" i="35"/>
  <c r="DX7" i="35"/>
  <c r="DW7" i="35"/>
  <c r="DV7" i="35"/>
  <c r="DU7" i="35"/>
  <c r="DT7" i="35"/>
  <c r="DS7" i="35"/>
  <c r="DR7" i="35"/>
  <c r="DQ7" i="35"/>
  <c r="DP7" i="35"/>
  <c r="DO7" i="35"/>
  <c r="DN7" i="35"/>
  <c r="DM7" i="35"/>
  <c r="DL7" i="35"/>
  <c r="DK7" i="35"/>
  <c r="DJ7" i="35"/>
  <c r="DI7" i="35"/>
  <c r="DH7" i="35"/>
  <c r="DG7" i="35"/>
  <c r="DF7" i="35"/>
  <c r="DE7" i="35"/>
  <c r="DD7" i="35"/>
  <c r="DC7" i="35"/>
  <c r="DB7" i="35"/>
  <c r="DA7" i="35"/>
  <c r="CZ7" i="35"/>
  <c r="CY7" i="35"/>
  <c r="CX7" i="35"/>
  <c r="CW7" i="35"/>
  <c r="CV7" i="35"/>
  <c r="CU7" i="35"/>
  <c r="CT7" i="35"/>
  <c r="CS7" i="35"/>
  <c r="CR7" i="35"/>
  <c r="CQ7" i="35"/>
  <c r="CP7" i="35"/>
  <c r="CO7" i="35"/>
  <c r="CN7" i="35"/>
  <c r="CM7" i="35"/>
  <c r="CL7" i="35"/>
  <c r="CK7" i="35"/>
  <c r="CJ7" i="35"/>
  <c r="CI7" i="35"/>
  <c r="CH7" i="35"/>
  <c r="CG7" i="35"/>
  <c r="CF7" i="35"/>
  <c r="CE7" i="35"/>
  <c r="CD7" i="35"/>
  <c r="CC7" i="35"/>
  <c r="CB7" i="35"/>
  <c r="CA7" i="35"/>
  <c r="BZ7" i="35"/>
  <c r="BY7" i="35"/>
  <c r="BX7" i="35"/>
  <c r="BW7" i="35"/>
  <c r="BV7" i="35"/>
  <c r="BU7" i="35"/>
  <c r="BT7" i="35"/>
  <c r="BS7" i="35"/>
  <c r="BR7" i="35"/>
  <c r="BQ7" i="35"/>
  <c r="BP7" i="35"/>
  <c r="BO7" i="35"/>
  <c r="BN7" i="35"/>
  <c r="BM7" i="35"/>
  <c r="BL7" i="35"/>
  <c r="BK7" i="35"/>
  <c r="BJ7" i="35"/>
  <c r="BI7" i="35"/>
  <c r="BH7" i="35"/>
  <c r="BG7" i="35"/>
  <c r="BF7" i="35"/>
  <c r="BE7" i="35"/>
  <c r="BD7" i="35"/>
  <c r="BC7" i="35"/>
  <c r="BB7" i="35"/>
  <c r="BA7" i="35"/>
  <c r="AZ7" i="35"/>
  <c r="AY7" i="35"/>
  <c r="AX7" i="35"/>
  <c r="AW7" i="35"/>
  <c r="AV7" i="35"/>
  <c r="AU7" i="35"/>
  <c r="AT7" i="35"/>
  <c r="AS7" i="35"/>
  <c r="AR7" i="35"/>
  <c r="AQ7" i="35"/>
  <c r="AP7" i="35"/>
  <c r="AO7" i="35"/>
  <c r="AN7" i="35"/>
  <c r="AL7" i="35"/>
  <c r="AK7" i="35"/>
  <c r="AJ7" i="35"/>
  <c r="AI7" i="35"/>
  <c r="AH7" i="35"/>
  <c r="AF7" i="35"/>
  <c r="AE7" i="35"/>
  <c r="AD7" i="35"/>
  <c r="AC7" i="35"/>
  <c r="Y7" i="35"/>
  <c r="X7" i="35"/>
  <c r="V7" i="35"/>
  <c r="U7" i="35"/>
  <c r="T7" i="35"/>
  <c r="S7" i="35"/>
  <c r="R7" i="35"/>
  <c r="Q7" i="35"/>
  <c r="P7" i="35"/>
  <c r="O7" i="35"/>
  <c r="N7" i="35"/>
  <c r="M7" i="35"/>
  <c r="L7" i="35"/>
  <c r="K7" i="35"/>
  <c r="J7" i="35"/>
  <c r="I7" i="35"/>
  <c r="G7" i="35"/>
  <c r="F7" i="35"/>
  <c r="E7" i="35"/>
  <c r="D7" i="35"/>
  <c r="C7" i="35"/>
  <c r="B7" i="35"/>
  <c r="GA6" i="35"/>
  <c r="FZ6" i="35"/>
  <c r="FY6" i="35"/>
  <c r="FX6" i="35"/>
  <c r="FW6" i="35"/>
  <c r="FV6" i="35"/>
  <c r="FU6" i="35"/>
  <c r="FT6" i="35"/>
  <c r="FS6" i="35"/>
  <c r="FR6" i="35"/>
  <c r="FQ6" i="35"/>
  <c r="FP6" i="35"/>
  <c r="FO6" i="35"/>
  <c r="FN6" i="35"/>
  <c r="FM6" i="35"/>
  <c r="FL6" i="35"/>
  <c r="FK6" i="35"/>
  <c r="FJ6" i="35"/>
  <c r="FI6" i="35"/>
  <c r="FH6" i="35"/>
  <c r="FG6" i="35"/>
  <c r="FF6" i="35"/>
  <c r="FE6" i="35"/>
  <c r="FD6" i="35"/>
  <c r="FC6" i="35"/>
  <c r="FB6" i="35"/>
  <c r="FA6" i="35"/>
  <c r="EZ6" i="35"/>
  <c r="EY6" i="35"/>
  <c r="EX6" i="35"/>
  <c r="EW6" i="35"/>
  <c r="EV6" i="35"/>
  <c r="EU6" i="35"/>
  <c r="ET6" i="35"/>
  <c r="ES6" i="35"/>
  <c r="ER6" i="35"/>
  <c r="EQ6" i="35"/>
  <c r="EP6" i="35"/>
  <c r="EO6" i="35"/>
  <c r="EN6" i="35"/>
  <c r="EM6" i="35"/>
  <c r="EL6" i="35"/>
  <c r="EK6" i="35"/>
  <c r="EJ6" i="35"/>
  <c r="EI6" i="35"/>
  <c r="EH6" i="35"/>
  <c r="EG6" i="35"/>
  <c r="EF6" i="35"/>
  <c r="EE6" i="35"/>
  <c r="ED6" i="35"/>
  <c r="EC6" i="35"/>
  <c r="EB6" i="35"/>
  <c r="EA6" i="35"/>
  <c r="DZ6" i="35"/>
  <c r="DY6" i="35"/>
  <c r="DX6" i="35"/>
  <c r="DW6" i="35"/>
  <c r="DV6" i="35"/>
  <c r="DU6" i="35"/>
  <c r="DT6" i="35"/>
  <c r="DS6" i="35"/>
  <c r="DR6" i="35"/>
  <c r="DQ6" i="35"/>
  <c r="DP6" i="35"/>
  <c r="DO6" i="35"/>
  <c r="DN6" i="35"/>
  <c r="DM6" i="35"/>
  <c r="DL6" i="35"/>
  <c r="DK6" i="35"/>
  <c r="DJ6" i="35"/>
  <c r="DI6" i="35"/>
  <c r="DH6" i="35"/>
  <c r="DG6" i="35"/>
  <c r="DF6" i="35"/>
  <c r="DE6" i="35"/>
  <c r="DD6" i="35"/>
  <c r="DC6" i="35"/>
  <c r="DB6" i="35"/>
  <c r="DA6" i="35"/>
  <c r="CZ6" i="35"/>
  <c r="CY6" i="35"/>
  <c r="CX6" i="35"/>
  <c r="CW6" i="35"/>
  <c r="CV6" i="35"/>
  <c r="CU6" i="35"/>
  <c r="CT6" i="35"/>
  <c r="CS6" i="35"/>
  <c r="CR6" i="35"/>
  <c r="CQ6" i="35"/>
  <c r="CP6" i="35"/>
  <c r="CO6" i="35"/>
  <c r="CN6" i="35"/>
  <c r="CM6" i="35"/>
  <c r="CL6" i="35"/>
  <c r="CK6" i="35"/>
  <c r="CJ6" i="35"/>
  <c r="CI6" i="35"/>
  <c r="CH6" i="35"/>
  <c r="CG6" i="35"/>
  <c r="CF6" i="35"/>
  <c r="CE6" i="35"/>
  <c r="CD6" i="35"/>
  <c r="CC6" i="35"/>
  <c r="CB6" i="35"/>
  <c r="CA6" i="35"/>
  <c r="BZ6" i="35"/>
  <c r="BY6" i="35"/>
  <c r="BX6" i="35"/>
  <c r="BW6" i="35"/>
  <c r="BV6" i="35"/>
  <c r="BU6" i="35"/>
  <c r="BT6" i="35"/>
  <c r="BS6" i="35"/>
  <c r="BR6" i="35"/>
  <c r="BQ6" i="35"/>
  <c r="BP6" i="35"/>
  <c r="BO6" i="35"/>
  <c r="BN6" i="35"/>
  <c r="BM6" i="35"/>
  <c r="BL6" i="35"/>
  <c r="BK6" i="35"/>
  <c r="BJ6" i="35"/>
  <c r="BI6" i="35"/>
  <c r="BH6" i="35"/>
  <c r="BG6" i="35"/>
  <c r="BF6" i="35"/>
  <c r="BE6" i="35"/>
  <c r="BD6" i="35"/>
  <c r="BC6" i="35"/>
  <c r="BB6" i="35"/>
  <c r="BA6" i="35"/>
  <c r="AZ6" i="35"/>
  <c r="AY6" i="35"/>
  <c r="AX6" i="35"/>
  <c r="AW6" i="35"/>
  <c r="AV6" i="35"/>
  <c r="AU6" i="35"/>
  <c r="AT6" i="35"/>
  <c r="AS6" i="35"/>
  <c r="AR6" i="35"/>
  <c r="AQ6" i="35"/>
  <c r="AP6" i="35"/>
  <c r="AO6" i="35"/>
  <c r="AN6" i="35"/>
  <c r="AL6" i="35"/>
  <c r="AG6" i="35"/>
  <c r="AF6" i="35"/>
  <c r="AE6" i="35"/>
  <c r="AD6" i="35"/>
  <c r="AC6" i="35"/>
  <c r="AB6" i="35"/>
  <c r="AA6" i="35"/>
  <c r="Z6" i="35"/>
  <c r="Y6" i="35"/>
  <c r="X6" i="35"/>
  <c r="V6" i="35"/>
  <c r="U6" i="35"/>
  <c r="T6" i="35"/>
  <c r="S6" i="35"/>
  <c r="R6" i="35"/>
  <c r="Q6" i="35"/>
  <c r="P6" i="35"/>
  <c r="O6" i="35"/>
  <c r="N6" i="35"/>
  <c r="M6" i="35"/>
  <c r="L6" i="35"/>
  <c r="K6" i="35"/>
  <c r="J6" i="35"/>
  <c r="I6" i="35"/>
  <c r="G6" i="35"/>
  <c r="F6" i="35"/>
  <c r="D6" i="35"/>
  <c r="B6" i="35"/>
  <c r="A6" i="35"/>
  <c r="I5" i="35"/>
  <c r="D5" i="35"/>
  <c r="B5" i="35"/>
  <c r="A5" i="35"/>
  <c r="B4" i="35"/>
  <c r="A4" i="35"/>
  <c r="AF3" i="35"/>
  <c r="V3" i="35"/>
  <c r="I3" i="35"/>
  <c r="B3" i="35"/>
  <c r="AH2" i="35"/>
  <c r="AF2" i="35"/>
  <c r="AE2" i="35"/>
  <c r="AB2" i="35"/>
  <c r="V2" i="35"/>
  <c r="B2" i="35"/>
  <c r="J34" i="668"/>
  <c r="I34" i="668"/>
  <c r="H34" i="668"/>
  <c r="J33" i="668"/>
  <c r="I33" i="668"/>
  <c r="H33" i="668"/>
  <c r="G33" i="668"/>
  <c r="J32" i="668"/>
  <c r="I32" i="668"/>
  <c r="H32" i="668"/>
  <c r="G32" i="668"/>
  <c r="J31" i="668"/>
  <c r="I31" i="668"/>
  <c r="G31" i="668"/>
  <c r="F30" i="668"/>
  <c r="J27" i="668"/>
  <c r="I27" i="668"/>
  <c r="H27" i="668"/>
  <c r="H26" i="668"/>
  <c r="G26" i="668"/>
  <c r="F26" i="668"/>
  <c r="E26" i="668"/>
  <c r="D26" i="668"/>
  <c r="C26" i="668"/>
  <c r="B26" i="668"/>
  <c r="H25" i="668"/>
  <c r="G25" i="668"/>
  <c r="F25" i="668"/>
  <c r="E25" i="668"/>
  <c r="D25" i="668"/>
  <c r="C25" i="668"/>
  <c r="B25" i="668"/>
  <c r="H24" i="668"/>
  <c r="G24" i="668"/>
  <c r="F24" i="668"/>
  <c r="E24" i="668"/>
  <c r="D24" i="668"/>
  <c r="C24" i="668"/>
  <c r="B24" i="668"/>
  <c r="C23" i="668"/>
  <c r="J21" i="668"/>
  <c r="I21" i="668"/>
  <c r="H21" i="668"/>
  <c r="H20" i="668"/>
  <c r="G20" i="668"/>
  <c r="F20" i="668"/>
  <c r="E20" i="668"/>
  <c r="D20" i="668"/>
  <c r="C20" i="668"/>
  <c r="B20" i="668"/>
  <c r="H19" i="668"/>
  <c r="G19" i="668"/>
  <c r="F19" i="668"/>
  <c r="E19" i="668"/>
  <c r="D19" i="668"/>
  <c r="C19" i="668"/>
  <c r="B19" i="668"/>
  <c r="H18" i="668"/>
  <c r="G18" i="668"/>
  <c r="F18" i="668"/>
  <c r="E18" i="668"/>
  <c r="D18" i="668"/>
  <c r="C18" i="668"/>
  <c r="B18" i="668"/>
  <c r="C17" i="668"/>
  <c r="J15" i="668"/>
  <c r="I15" i="668"/>
  <c r="H15" i="668"/>
  <c r="H14" i="668"/>
  <c r="G14" i="668"/>
  <c r="F14" i="668"/>
  <c r="E14" i="668"/>
  <c r="D14" i="668"/>
  <c r="C14" i="668"/>
  <c r="B14" i="668"/>
  <c r="H13" i="668"/>
  <c r="G13" i="668"/>
  <c r="F13" i="668"/>
  <c r="E13" i="668"/>
  <c r="D13" i="668"/>
  <c r="C13" i="668"/>
  <c r="B13" i="668"/>
  <c r="H12" i="668"/>
  <c r="G12" i="668"/>
  <c r="F12" i="668"/>
  <c r="E12" i="668"/>
  <c r="D12" i="668"/>
  <c r="C12" i="668"/>
  <c r="B12" i="668"/>
  <c r="H11" i="668"/>
  <c r="G11" i="668"/>
  <c r="F11" i="668"/>
  <c r="E11" i="668"/>
  <c r="D11" i="668"/>
  <c r="C11" i="668"/>
  <c r="B11" i="668"/>
  <c r="C10" i="668"/>
  <c r="K9" i="668"/>
  <c r="J9" i="668"/>
  <c r="I9" i="668"/>
  <c r="H9" i="668"/>
  <c r="G9" i="668"/>
  <c r="F9" i="668"/>
  <c r="E9" i="668"/>
  <c r="I8" i="668"/>
  <c r="E8" i="668"/>
  <c r="C8" i="668"/>
  <c r="B5" i="668"/>
  <c r="B3" i="668"/>
  <c r="M41" i="748"/>
  <c r="L41" i="748"/>
  <c r="K41" i="748"/>
  <c r="J41" i="748"/>
  <c r="C40" i="748"/>
  <c r="M8" i="748"/>
  <c r="L8" i="748"/>
  <c r="K8" i="748"/>
  <c r="J8" i="748"/>
  <c r="I8" i="748"/>
  <c r="H8" i="748"/>
  <c r="L7" i="748"/>
  <c r="J7" i="748"/>
  <c r="H7" i="748"/>
  <c r="G7" i="748"/>
  <c r="F7" i="748"/>
  <c r="D7" i="748"/>
  <c r="C7" i="748"/>
  <c r="B7" i="748"/>
  <c r="B5" i="748"/>
  <c r="B3" i="748"/>
  <c r="B61" i="732"/>
  <c r="B57" i="732"/>
  <c r="B56" i="732"/>
  <c r="C54" i="732"/>
  <c r="B54" i="732"/>
  <c r="B53" i="732"/>
  <c r="B52" i="732"/>
  <c r="B51" i="732"/>
  <c r="B50" i="732"/>
  <c r="B49" i="732"/>
  <c r="B48" i="732"/>
  <c r="B47" i="732"/>
  <c r="B46" i="732"/>
  <c r="D45" i="732"/>
  <c r="C45" i="732"/>
  <c r="B44" i="732"/>
  <c r="D32" i="732"/>
  <c r="B32" i="732"/>
  <c r="E31" i="732"/>
  <c r="D31" i="732"/>
  <c r="C31" i="732"/>
  <c r="B31" i="732"/>
  <c r="E30" i="732"/>
  <c r="D30" i="732"/>
  <c r="C30" i="732"/>
  <c r="B30" i="732"/>
  <c r="B29" i="732"/>
  <c r="B26" i="732"/>
  <c r="B24" i="732"/>
  <c r="B22" i="732"/>
  <c r="B21" i="732"/>
  <c r="B18" i="732"/>
  <c r="B17" i="732"/>
  <c r="B16" i="732"/>
  <c r="B15" i="732"/>
  <c r="B14" i="732"/>
  <c r="B13" i="732"/>
  <c r="D12" i="732"/>
  <c r="C12" i="732"/>
  <c r="B12" i="732"/>
  <c r="B11" i="732"/>
  <c r="B9" i="732"/>
  <c r="D8" i="732"/>
  <c r="C8" i="732"/>
  <c r="B8" i="732"/>
  <c r="B7" i="732"/>
  <c r="B5" i="732"/>
  <c r="B3" i="732"/>
  <c r="J34" i="667"/>
  <c r="I34" i="667"/>
  <c r="H34" i="667"/>
  <c r="J33" i="667"/>
  <c r="I33" i="667"/>
  <c r="H33" i="667"/>
  <c r="G33" i="667"/>
  <c r="J32" i="667"/>
  <c r="I32" i="667"/>
  <c r="H32" i="667"/>
  <c r="G32" i="667"/>
  <c r="J31" i="667"/>
  <c r="I31" i="667"/>
  <c r="G31" i="667"/>
  <c r="F30" i="667"/>
  <c r="J27" i="667"/>
  <c r="I27" i="667"/>
  <c r="H27" i="667"/>
  <c r="H26" i="667"/>
  <c r="G26" i="667"/>
  <c r="F26" i="667"/>
  <c r="E26" i="667"/>
  <c r="D26" i="667"/>
  <c r="C26" i="667"/>
  <c r="B26" i="667"/>
  <c r="H25" i="667"/>
  <c r="G25" i="667"/>
  <c r="F25" i="667"/>
  <c r="E25" i="667"/>
  <c r="D25" i="667"/>
  <c r="C25" i="667"/>
  <c r="B25" i="667"/>
  <c r="H24" i="667"/>
  <c r="G24" i="667"/>
  <c r="F24" i="667"/>
  <c r="E24" i="667"/>
  <c r="D24" i="667"/>
  <c r="C24" i="667"/>
  <c r="B24" i="667"/>
  <c r="C23" i="667"/>
  <c r="J21" i="667"/>
  <c r="I21" i="667"/>
  <c r="H21" i="667"/>
  <c r="H20" i="667"/>
  <c r="G20" i="667"/>
  <c r="F20" i="667"/>
  <c r="E20" i="667"/>
  <c r="D20" i="667"/>
  <c r="C20" i="667"/>
  <c r="B20" i="667"/>
  <c r="H19" i="667"/>
  <c r="G19" i="667"/>
  <c r="F19" i="667"/>
  <c r="E19" i="667"/>
  <c r="D19" i="667"/>
  <c r="C19" i="667"/>
  <c r="B19" i="667"/>
  <c r="H18" i="667"/>
  <c r="G18" i="667"/>
  <c r="F18" i="667"/>
  <c r="E18" i="667"/>
  <c r="D18" i="667"/>
  <c r="C18" i="667"/>
  <c r="B18" i="667"/>
  <c r="C17" i="667"/>
  <c r="J15" i="667"/>
  <c r="I15" i="667"/>
  <c r="H15" i="667"/>
  <c r="H14" i="667"/>
  <c r="G14" i="667"/>
  <c r="F14" i="667"/>
  <c r="E14" i="667"/>
  <c r="D14" i="667"/>
  <c r="C14" i="667"/>
  <c r="B14" i="667"/>
  <c r="H13" i="667"/>
  <c r="G13" i="667"/>
  <c r="F13" i="667"/>
  <c r="E13" i="667"/>
  <c r="D13" i="667"/>
  <c r="C13" i="667"/>
  <c r="B13" i="667"/>
  <c r="H12" i="667"/>
  <c r="G12" i="667"/>
  <c r="F12" i="667"/>
  <c r="E12" i="667"/>
  <c r="D12" i="667"/>
  <c r="C12" i="667"/>
  <c r="B12" i="667"/>
  <c r="H11" i="667"/>
  <c r="G11" i="667"/>
  <c r="F11" i="667"/>
  <c r="E11" i="667"/>
  <c r="D11" i="667"/>
  <c r="C11" i="667"/>
  <c r="B11" i="667"/>
  <c r="C10" i="667"/>
  <c r="K9" i="667"/>
  <c r="J9" i="667"/>
  <c r="I9" i="667"/>
  <c r="H9" i="667"/>
  <c r="G9" i="667"/>
  <c r="F9" i="667"/>
  <c r="E9" i="667"/>
  <c r="I8" i="667"/>
  <c r="E8" i="667"/>
  <c r="C8" i="667"/>
  <c r="B5" i="667"/>
  <c r="B3" i="667"/>
  <c r="M41" i="747"/>
  <c r="L41" i="747"/>
  <c r="K41" i="747"/>
  <c r="J41" i="747"/>
  <c r="C40" i="747"/>
  <c r="M8" i="747"/>
  <c r="L8" i="747"/>
  <c r="K8" i="747"/>
  <c r="J8" i="747"/>
  <c r="I8" i="747"/>
  <c r="H8" i="747"/>
  <c r="L7" i="747"/>
  <c r="J7" i="747"/>
  <c r="H7" i="747"/>
  <c r="G7" i="747"/>
  <c r="F7" i="747"/>
  <c r="D7" i="747"/>
  <c r="C7" i="747"/>
  <c r="B7" i="747"/>
  <c r="B5" i="747"/>
  <c r="B3" i="747"/>
  <c r="B61" i="731"/>
  <c r="B57" i="731"/>
  <c r="B56" i="731"/>
  <c r="C54" i="731"/>
  <c r="B54" i="731"/>
  <c r="B53" i="731"/>
  <c r="B52" i="731"/>
  <c r="B51" i="731"/>
  <c r="B50" i="731"/>
  <c r="B49" i="731"/>
  <c r="B48" i="731"/>
  <c r="B47" i="731"/>
  <c r="B46" i="731"/>
  <c r="D45" i="731"/>
  <c r="C45" i="731"/>
  <c r="B44" i="731"/>
  <c r="D32" i="731"/>
  <c r="B32" i="731"/>
  <c r="E31" i="731"/>
  <c r="D31" i="731"/>
  <c r="C31" i="731"/>
  <c r="B31" i="731"/>
  <c r="E30" i="731"/>
  <c r="D30" i="731"/>
  <c r="C30" i="731"/>
  <c r="B30" i="731"/>
  <c r="B29" i="731"/>
  <c r="B26" i="731"/>
  <c r="B24" i="731"/>
  <c r="B22" i="731"/>
  <c r="B21" i="731"/>
  <c r="B18" i="731"/>
  <c r="B17" i="731"/>
  <c r="B16" i="731"/>
  <c r="B15" i="731"/>
  <c r="B14" i="731"/>
  <c r="B13" i="731"/>
  <c r="D12" i="731"/>
  <c r="C12" i="731"/>
  <c r="B12" i="731"/>
  <c r="B11" i="731"/>
  <c r="B9" i="731"/>
  <c r="D8" i="731"/>
  <c r="C8" i="731"/>
  <c r="B8" i="731"/>
  <c r="B7" i="731"/>
  <c r="B5" i="731"/>
  <c r="B3" i="731"/>
  <c r="D15" i="34"/>
  <c r="B15" i="34"/>
  <c r="B2" i="34"/>
  <c r="D15" i="33"/>
  <c r="B15" i="33"/>
  <c r="B2" i="33"/>
  <c r="D15" i="32"/>
  <c r="B15" i="32"/>
  <c r="B2" i="32"/>
  <c r="J34" i="666"/>
  <c r="I34" i="666"/>
  <c r="H34" i="666"/>
  <c r="J33" i="666"/>
  <c r="I33" i="666"/>
  <c r="H33" i="666"/>
  <c r="G33" i="666"/>
  <c r="J32" i="666"/>
  <c r="I32" i="666"/>
  <c r="H32" i="666"/>
  <c r="G32" i="666"/>
  <c r="J31" i="666"/>
  <c r="I31" i="666"/>
  <c r="G31" i="666"/>
  <c r="F30" i="666"/>
  <c r="J27" i="666"/>
  <c r="I27" i="666"/>
  <c r="H27" i="666"/>
  <c r="H26" i="666"/>
  <c r="G26" i="666"/>
  <c r="F26" i="666"/>
  <c r="E26" i="666"/>
  <c r="D26" i="666"/>
  <c r="C26" i="666"/>
  <c r="B26" i="666"/>
  <c r="H25" i="666"/>
  <c r="G25" i="666"/>
  <c r="F25" i="666"/>
  <c r="E25" i="666"/>
  <c r="D25" i="666"/>
  <c r="C25" i="666"/>
  <c r="B25" i="666"/>
  <c r="H24" i="666"/>
  <c r="G24" i="666"/>
  <c r="F24" i="666"/>
  <c r="E24" i="666"/>
  <c r="D24" i="666"/>
  <c r="C24" i="666"/>
  <c r="B24" i="666"/>
  <c r="C23" i="666"/>
  <c r="J21" i="666"/>
  <c r="I21" i="666"/>
  <c r="H21" i="666"/>
  <c r="H20" i="666"/>
  <c r="G20" i="666"/>
  <c r="F20" i="666"/>
  <c r="E20" i="666"/>
  <c r="D20" i="666"/>
  <c r="C20" i="666"/>
  <c r="B20" i="666"/>
  <c r="H19" i="666"/>
  <c r="G19" i="666"/>
  <c r="F19" i="666"/>
  <c r="E19" i="666"/>
  <c r="D19" i="666"/>
  <c r="C19" i="666"/>
  <c r="B19" i="666"/>
  <c r="H18" i="666"/>
  <c r="G18" i="666"/>
  <c r="F18" i="666"/>
  <c r="E18" i="666"/>
  <c r="D18" i="666"/>
  <c r="C18" i="666"/>
  <c r="B18" i="666"/>
  <c r="C17" i="666"/>
  <c r="J15" i="666"/>
  <c r="I15" i="666"/>
  <c r="H15" i="666"/>
  <c r="H14" i="666"/>
  <c r="G14" i="666"/>
  <c r="F14" i="666"/>
  <c r="E14" i="666"/>
  <c r="D14" i="666"/>
  <c r="C14" i="666"/>
  <c r="B14" i="666"/>
  <c r="H13" i="666"/>
  <c r="G13" i="666"/>
  <c r="F13" i="666"/>
  <c r="E13" i="666"/>
  <c r="D13" i="666"/>
  <c r="C13" i="666"/>
  <c r="B13" i="666"/>
  <c r="H12" i="666"/>
  <c r="G12" i="666"/>
  <c r="F12" i="666"/>
  <c r="E12" i="666"/>
  <c r="D12" i="666"/>
  <c r="C12" i="666"/>
  <c r="B12" i="666"/>
  <c r="H11" i="666"/>
  <c r="G11" i="666"/>
  <c r="F11" i="666"/>
  <c r="E11" i="666"/>
  <c r="D11" i="666"/>
  <c r="C11" i="666"/>
  <c r="B11" i="666"/>
  <c r="C10" i="666"/>
  <c r="K9" i="666"/>
  <c r="J9" i="666"/>
  <c r="I9" i="666"/>
  <c r="H9" i="666"/>
  <c r="G9" i="666"/>
  <c r="F9" i="666"/>
  <c r="E9" i="666"/>
  <c r="I8" i="666"/>
  <c r="E8" i="666"/>
  <c r="C8" i="666"/>
  <c r="B5" i="666"/>
  <c r="B3" i="666"/>
  <c r="M41" i="746"/>
  <c r="L41" i="746"/>
  <c r="K41" i="746"/>
  <c r="J41" i="746"/>
  <c r="C40" i="746"/>
  <c r="M8" i="746"/>
  <c r="L8" i="746"/>
  <c r="K8" i="746"/>
  <c r="J8" i="746"/>
  <c r="I8" i="746"/>
  <c r="H8" i="746"/>
  <c r="L7" i="746"/>
  <c r="J7" i="746"/>
  <c r="H7" i="746"/>
  <c r="G7" i="746"/>
  <c r="F7" i="746"/>
  <c r="D7" i="746"/>
  <c r="C7" i="746"/>
  <c r="B7" i="746"/>
  <c r="B5" i="746"/>
  <c r="B3" i="746"/>
  <c r="B61" i="730"/>
  <c r="B57" i="730"/>
  <c r="B56" i="730"/>
  <c r="C54" i="730"/>
  <c r="B54" i="730"/>
  <c r="B53" i="730"/>
  <c r="B52" i="730"/>
  <c r="B51" i="730"/>
  <c r="B50" i="730"/>
  <c r="B49" i="730"/>
  <c r="B48" i="730"/>
  <c r="B47" i="730"/>
  <c r="B46" i="730"/>
  <c r="D45" i="730"/>
  <c r="C45" i="730"/>
  <c r="B44" i="730"/>
  <c r="D32" i="730"/>
  <c r="B32" i="730"/>
  <c r="E31" i="730"/>
  <c r="D31" i="730"/>
  <c r="C31" i="730"/>
  <c r="B31" i="730"/>
  <c r="E30" i="730"/>
  <c r="D30" i="730"/>
  <c r="C30" i="730"/>
  <c r="B30" i="730"/>
  <c r="B29" i="730"/>
  <c r="B26" i="730"/>
  <c r="B24" i="730"/>
  <c r="B22" i="730"/>
  <c r="B21" i="730"/>
  <c r="B18" i="730"/>
  <c r="B17" i="730"/>
  <c r="B16" i="730"/>
  <c r="B15" i="730"/>
  <c r="B14" i="730"/>
  <c r="B13" i="730"/>
  <c r="D12" i="730"/>
  <c r="C12" i="730"/>
  <c r="B12" i="730"/>
  <c r="B11" i="730"/>
  <c r="B9" i="730"/>
  <c r="D8" i="730"/>
  <c r="C8" i="730"/>
  <c r="B8" i="730"/>
  <c r="B7" i="730"/>
  <c r="B5" i="730"/>
  <c r="B3" i="730"/>
  <c r="J34" i="665"/>
  <c r="I34" i="665"/>
  <c r="H34" i="665"/>
  <c r="J33" i="665"/>
  <c r="I33" i="665"/>
  <c r="H33" i="665"/>
  <c r="G33" i="665"/>
  <c r="J32" i="665"/>
  <c r="I32" i="665"/>
  <c r="H32" i="665"/>
  <c r="G32" i="665"/>
  <c r="J31" i="665"/>
  <c r="I31" i="665"/>
  <c r="G31" i="665"/>
  <c r="F30" i="665"/>
  <c r="J27" i="665"/>
  <c r="I27" i="665"/>
  <c r="H27" i="665"/>
  <c r="H26" i="665"/>
  <c r="G26" i="665"/>
  <c r="F26" i="665"/>
  <c r="E26" i="665"/>
  <c r="D26" i="665"/>
  <c r="C26" i="665"/>
  <c r="B26" i="665"/>
  <c r="H25" i="665"/>
  <c r="G25" i="665"/>
  <c r="F25" i="665"/>
  <c r="E25" i="665"/>
  <c r="D25" i="665"/>
  <c r="C25" i="665"/>
  <c r="B25" i="665"/>
  <c r="H24" i="665"/>
  <c r="G24" i="665"/>
  <c r="F24" i="665"/>
  <c r="E24" i="665"/>
  <c r="D24" i="665"/>
  <c r="C24" i="665"/>
  <c r="B24" i="665"/>
  <c r="C23" i="665"/>
  <c r="J21" i="665"/>
  <c r="I21" i="665"/>
  <c r="H21" i="665"/>
  <c r="H20" i="665"/>
  <c r="G20" i="665"/>
  <c r="F20" i="665"/>
  <c r="E20" i="665"/>
  <c r="D20" i="665"/>
  <c r="C20" i="665"/>
  <c r="B20" i="665"/>
  <c r="H19" i="665"/>
  <c r="G19" i="665"/>
  <c r="F19" i="665"/>
  <c r="E19" i="665"/>
  <c r="D19" i="665"/>
  <c r="C19" i="665"/>
  <c r="B19" i="665"/>
  <c r="H18" i="665"/>
  <c r="G18" i="665"/>
  <c r="F18" i="665"/>
  <c r="E18" i="665"/>
  <c r="D18" i="665"/>
  <c r="C18" i="665"/>
  <c r="B18" i="665"/>
  <c r="C17" i="665"/>
  <c r="J15" i="665"/>
  <c r="I15" i="665"/>
  <c r="H15" i="665"/>
  <c r="H14" i="665"/>
  <c r="G14" i="665"/>
  <c r="F14" i="665"/>
  <c r="E14" i="665"/>
  <c r="D14" i="665"/>
  <c r="C14" i="665"/>
  <c r="B14" i="665"/>
  <c r="H13" i="665"/>
  <c r="G13" i="665"/>
  <c r="F13" i="665"/>
  <c r="E13" i="665"/>
  <c r="D13" i="665"/>
  <c r="C13" i="665"/>
  <c r="B13" i="665"/>
  <c r="H12" i="665"/>
  <c r="G12" i="665"/>
  <c r="F12" i="665"/>
  <c r="E12" i="665"/>
  <c r="D12" i="665"/>
  <c r="C12" i="665"/>
  <c r="B12" i="665"/>
  <c r="H11" i="665"/>
  <c r="G11" i="665"/>
  <c r="F11" i="665"/>
  <c r="E11" i="665"/>
  <c r="D11" i="665"/>
  <c r="C11" i="665"/>
  <c r="B11" i="665"/>
  <c r="C10" i="665"/>
  <c r="K9" i="665"/>
  <c r="J9" i="665"/>
  <c r="I9" i="665"/>
  <c r="H9" i="665"/>
  <c r="G9" i="665"/>
  <c r="F9" i="665"/>
  <c r="E9" i="665"/>
  <c r="I8" i="665"/>
  <c r="E8" i="665"/>
  <c r="C8" i="665"/>
  <c r="B5" i="665"/>
  <c r="B3" i="665"/>
  <c r="M41" i="745"/>
  <c r="L41" i="745"/>
  <c r="K41" i="745"/>
  <c r="J41" i="745"/>
  <c r="C40" i="745"/>
  <c r="M8" i="745"/>
  <c r="L8" i="745"/>
  <c r="K8" i="745"/>
  <c r="J8" i="745"/>
  <c r="I8" i="745"/>
  <c r="H8" i="745"/>
  <c r="L7" i="745"/>
  <c r="J7" i="745"/>
  <c r="H7" i="745"/>
  <c r="G7" i="745"/>
  <c r="F7" i="745"/>
  <c r="D7" i="745"/>
  <c r="C7" i="745"/>
  <c r="B7" i="745"/>
  <c r="B5" i="745"/>
  <c r="B3" i="745"/>
  <c r="B61" i="729"/>
  <c r="B57" i="729"/>
  <c r="B56" i="729"/>
  <c r="C54" i="729"/>
  <c r="B54" i="729"/>
  <c r="B53" i="729"/>
  <c r="B52" i="729"/>
  <c r="B51" i="729"/>
  <c r="B50" i="729"/>
  <c r="B49" i="729"/>
  <c r="B48" i="729"/>
  <c r="B47" i="729"/>
  <c r="B46" i="729"/>
  <c r="D45" i="729"/>
  <c r="C45" i="729"/>
  <c r="B44" i="729"/>
  <c r="D32" i="729"/>
  <c r="B32" i="729"/>
  <c r="E31" i="729"/>
  <c r="D31" i="729"/>
  <c r="C31" i="729"/>
  <c r="B31" i="729"/>
  <c r="E30" i="729"/>
  <c r="D30" i="729"/>
  <c r="C30" i="729"/>
  <c r="B30" i="729"/>
  <c r="B29" i="729"/>
  <c r="B26" i="729"/>
  <c r="B24" i="729"/>
  <c r="B22" i="729"/>
  <c r="B21" i="729"/>
  <c r="B18" i="729"/>
  <c r="B17" i="729"/>
  <c r="B16" i="729"/>
  <c r="B15" i="729"/>
  <c r="B14" i="729"/>
  <c r="B13" i="729"/>
  <c r="D12" i="729"/>
  <c r="C12" i="729"/>
  <c r="B12" i="729"/>
  <c r="B11" i="729"/>
  <c r="B9" i="729"/>
  <c r="D8" i="729"/>
  <c r="C8" i="729"/>
  <c r="B8" i="729"/>
  <c r="B7" i="729"/>
  <c r="B5" i="729"/>
  <c r="B3" i="729"/>
  <c r="J34" i="664"/>
  <c r="I34" i="664"/>
  <c r="H34" i="664"/>
  <c r="J33" i="664"/>
  <c r="I33" i="664"/>
  <c r="H33" i="664"/>
  <c r="G33" i="664"/>
  <c r="J32" i="664"/>
  <c r="I32" i="664"/>
  <c r="H32" i="664"/>
  <c r="G32" i="664"/>
  <c r="J31" i="664"/>
  <c r="I31" i="664"/>
  <c r="G31" i="664"/>
  <c r="F30" i="664"/>
  <c r="J27" i="664"/>
  <c r="I27" i="664"/>
  <c r="H27" i="664"/>
  <c r="H26" i="664"/>
  <c r="G26" i="664"/>
  <c r="F26" i="664"/>
  <c r="E26" i="664"/>
  <c r="D26" i="664"/>
  <c r="C26" i="664"/>
  <c r="B26" i="664"/>
  <c r="H25" i="664"/>
  <c r="G25" i="664"/>
  <c r="F25" i="664"/>
  <c r="E25" i="664"/>
  <c r="D25" i="664"/>
  <c r="C25" i="664"/>
  <c r="B25" i="664"/>
  <c r="H24" i="664"/>
  <c r="G24" i="664"/>
  <c r="F24" i="664"/>
  <c r="E24" i="664"/>
  <c r="D24" i="664"/>
  <c r="C24" i="664"/>
  <c r="B24" i="664"/>
  <c r="C23" i="664"/>
  <c r="J21" i="664"/>
  <c r="I21" i="664"/>
  <c r="H21" i="664"/>
  <c r="H20" i="664"/>
  <c r="G20" i="664"/>
  <c r="F20" i="664"/>
  <c r="E20" i="664"/>
  <c r="D20" i="664"/>
  <c r="C20" i="664"/>
  <c r="B20" i="664"/>
  <c r="H19" i="664"/>
  <c r="G19" i="664"/>
  <c r="F19" i="664"/>
  <c r="E19" i="664"/>
  <c r="D19" i="664"/>
  <c r="C19" i="664"/>
  <c r="B19" i="664"/>
  <c r="H18" i="664"/>
  <c r="G18" i="664"/>
  <c r="F18" i="664"/>
  <c r="E18" i="664"/>
  <c r="D18" i="664"/>
  <c r="C18" i="664"/>
  <c r="B18" i="664"/>
  <c r="C17" i="664"/>
  <c r="J15" i="664"/>
  <c r="I15" i="664"/>
  <c r="H15" i="664"/>
  <c r="H14" i="664"/>
  <c r="G14" i="664"/>
  <c r="F14" i="664"/>
  <c r="E14" i="664"/>
  <c r="D14" i="664"/>
  <c r="C14" i="664"/>
  <c r="B14" i="664"/>
  <c r="H13" i="664"/>
  <c r="G13" i="664"/>
  <c r="F13" i="664"/>
  <c r="E13" i="664"/>
  <c r="D13" i="664"/>
  <c r="C13" i="664"/>
  <c r="B13" i="664"/>
  <c r="H12" i="664"/>
  <c r="G12" i="664"/>
  <c r="F12" i="664"/>
  <c r="E12" i="664"/>
  <c r="D12" i="664"/>
  <c r="C12" i="664"/>
  <c r="B12" i="664"/>
  <c r="H11" i="664"/>
  <c r="G11" i="664"/>
  <c r="F11" i="664"/>
  <c r="E11" i="664"/>
  <c r="D11" i="664"/>
  <c r="C11" i="664"/>
  <c r="B11" i="664"/>
  <c r="C10" i="664"/>
  <c r="K9" i="664"/>
  <c r="J9" i="664"/>
  <c r="I9" i="664"/>
  <c r="H9" i="664"/>
  <c r="G9" i="664"/>
  <c r="F9" i="664"/>
  <c r="E9" i="664"/>
  <c r="I8" i="664"/>
  <c r="E8" i="664"/>
  <c r="C8" i="664"/>
  <c r="B5" i="664"/>
  <c r="B3" i="664"/>
  <c r="M41" i="744"/>
  <c r="L41" i="744"/>
  <c r="K41" i="744"/>
  <c r="J41" i="744"/>
  <c r="C40" i="744"/>
  <c r="M8" i="744"/>
  <c r="L8" i="744"/>
  <c r="K8" i="744"/>
  <c r="J8" i="744"/>
  <c r="I8" i="744"/>
  <c r="H8" i="744"/>
  <c r="L7" i="744"/>
  <c r="J7" i="744"/>
  <c r="H7" i="744"/>
  <c r="G7" i="744"/>
  <c r="F7" i="744"/>
  <c r="D7" i="744"/>
  <c r="C7" i="744"/>
  <c r="B7" i="744"/>
  <c r="B5" i="744"/>
  <c r="B3" i="744"/>
  <c r="B61" i="728"/>
  <c r="B57" i="728"/>
  <c r="B56" i="728"/>
  <c r="C54" i="728"/>
  <c r="B54" i="728"/>
  <c r="B53" i="728"/>
  <c r="B52" i="728"/>
  <c r="B51" i="728"/>
  <c r="B50" i="728"/>
  <c r="B49" i="728"/>
  <c r="B48" i="728"/>
  <c r="B47" i="728"/>
  <c r="B46" i="728"/>
  <c r="D45" i="728"/>
  <c r="C45" i="728"/>
  <c r="B44" i="728"/>
  <c r="D32" i="728"/>
  <c r="B32" i="728"/>
  <c r="E31" i="728"/>
  <c r="D31" i="728"/>
  <c r="C31" i="728"/>
  <c r="B31" i="728"/>
  <c r="E30" i="728"/>
  <c r="D30" i="728"/>
  <c r="C30" i="728"/>
  <c r="B30" i="728"/>
  <c r="B29" i="728"/>
  <c r="B26" i="728"/>
  <c r="B24" i="728"/>
  <c r="B22" i="728"/>
  <c r="B21" i="728"/>
  <c r="B18" i="728"/>
  <c r="B17" i="728"/>
  <c r="B16" i="728"/>
  <c r="B15" i="728"/>
  <c r="B14" i="728"/>
  <c r="B13" i="728"/>
  <c r="D12" i="728"/>
  <c r="C12" i="728"/>
  <c r="B12" i="728"/>
  <c r="B11" i="728"/>
  <c r="B9" i="728"/>
  <c r="D8" i="728"/>
  <c r="C8" i="728"/>
  <c r="B8" i="728"/>
  <c r="B7" i="728"/>
  <c r="B5" i="728"/>
  <c r="B3" i="728"/>
  <c r="J34" i="663"/>
  <c r="I34" i="663"/>
  <c r="H34" i="663"/>
  <c r="J33" i="663"/>
  <c r="I33" i="663"/>
  <c r="H33" i="663"/>
  <c r="G33" i="663"/>
  <c r="J32" i="663"/>
  <c r="I32" i="663"/>
  <c r="H32" i="663"/>
  <c r="G32" i="663"/>
  <c r="J31" i="663"/>
  <c r="I31" i="663"/>
  <c r="G31" i="663"/>
  <c r="F30" i="663"/>
  <c r="J27" i="663"/>
  <c r="I27" i="663"/>
  <c r="H27" i="663"/>
  <c r="H26" i="663"/>
  <c r="G26" i="663"/>
  <c r="F26" i="663"/>
  <c r="E26" i="663"/>
  <c r="D26" i="663"/>
  <c r="C26" i="663"/>
  <c r="B26" i="663"/>
  <c r="H25" i="663"/>
  <c r="G25" i="663"/>
  <c r="F25" i="663"/>
  <c r="E25" i="663"/>
  <c r="D25" i="663"/>
  <c r="C25" i="663"/>
  <c r="B25" i="663"/>
  <c r="H24" i="663"/>
  <c r="G24" i="663"/>
  <c r="F24" i="663"/>
  <c r="E24" i="663"/>
  <c r="D24" i="663"/>
  <c r="C24" i="663"/>
  <c r="B24" i="663"/>
  <c r="C23" i="663"/>
  <c r="J21" i="663"/>
  <c r="I21" i="663"/>
  <c r="H21" i="663"/>
  <c r="H20" i="663"/>
  <c r="G20" i="663"/>
  <c r="F20" i="663"/>
  <c r="E20" i="663"/>
  <c r="D20" i="663"/>
  <c r="C20" i="663"/>
  <c r="B20" i="663"/>
  <c r="H19" i="663"/>
  <c r="G19" i="663"/>
  <c r="F19" i="663"/>
  <c r="E19" i="663"/>
  <c r="D19" i="663"/>
  <c r="C19" i="663"/>
  <c r="B19" i="663"/>
  <c r="H18" i="663"/>
  <c r="G18" i="663"/>
  <c r="F18" i="663"/>
  <c r="E18" i="663"/>
  <c r="D18" i="663"/>
  <c r="C18" i="663"/>
  <c r="B18" i="663"/>
  <c r="C17" i="663"/>
  <c r="J15" i="663"/>
  <c r="I15" i="663"/>
  <c r="H15" i="663"/>
  <c r="H14" i="663"/>
  <c r="G14" i="663"/>
  <c r="F14" i="663"/>
  <c r="E14" i="663"/>
  <c r="D14" i="663"/>
  <c r="C14" i="663"/>
  <c r="B14" i="663"/>
  <c r="H13" i="663"/>
  <c r="G13" i="663"/>
  <c r="F13" i="663"/>
  <c r="E13" i="663"/>
  <c r="D13" i="663"/>
  <c r="C13" i="663"/>
  <c r="B13" i="663"/>
  <c r="H12" i="663"/>
  <c r="G12" i="663"/>
  <c r="F12" i="663"/>
  <c r="E12" i="663"/>
  <c r="D12" i="663"/>
  <c r="C12" i="663"/>
  <c r="B12" i="663"/>
  <c r="H11" i="663"/>
  <c r="G11" i="663"/>
  <c r="F11" i="663"/>
  <c r="E11" i="663"/>
  <c r="D11" i="663"/>
  <c r="C11" i="663"/>
  <c r="B11" i="663"/>
  <c r="C10" i="663"/>
  <c r="K9" i="663"/>
  <c r="J9" i="663"/>
  <c r="I9" i="663"/>
  <c r="H9" i="663"/>
  <c r="G9" i="663"/>
  <c r="F9" i="663"/>
  <c r="E9" i="663"/>
  <c r="I8" i="663"/>
  <c r="E8" i="663"/>
  <c r="C8" i="663"/>
  <c r="B5" i="663"/>
  <c r="B3" i="663"/>
  <c r="M41" i="743"/>
  <c r="L41" i="743"/>
  <c r="K41" i="743"/>
  <c r="J41" i="743"/>
  <c r="C40" i="743"/>
  <c r="M8" i="743"/>
  <c r="L8" i="743"/>
  <c r="K8" i="743"/>
  <c r="J8" i="743"/>
  <c r="I8" i="743"/>
  <c r="H8" i="743"/>
  <c r="L7" i="743"/>
  <c r="J7" i="743"/>
  <c r="H7" i="743"/>
  <c r="G7" i="743"/>
  <c r="F7" i="743"/>
  <c r="D7" i="743"/>
  <c r="C7" i="743"/>
  <c r="B7" i="743"/>
  <c r="B5" i="743"/>
  <c r="B3" i="743"/>
  <c r="B61" i="727"/>
  <c r="B57" i="727"/>
  <c r="B56" i="727"/>
  <c r="C54" i="727"/>
  <c r="B54" i="727"/>
  <c r="B53" i="727"/>
  <c r="B52" i="727"/>
  <c r="B51" i="727"/>
  <c r="B50" i="727"/>
  <c r="B49" i="727"/>
  <c r="B48" i="727"/>
  <c r="B47" i="727"/>
  <c r="B46" i="727"/>
  <c r="D45" i="727"/>
  <c r="C45" i="727"/>
  <c r="B44" i="727"/>
  <c r="D32" i="727"/>
  <c r="B32" i="727"/>
  <c r="E31" i="727"/>
  <c r="D31" i="727"/>
  <c r="C31" i="727"/>
  <c r="B31" i="727"/>
  <c r="E30" i="727"/>
  <c r="D30" i="727"/>
  <c r="C30" i="727"/>
  <c r="B30" i="727"/>
  <c r="B29" i="727"/>
  <c r="B26" i="727"/>
  <c r="B24" i="727"/>
  <c r="B22" i="727"/>
  <c r="B21" i="727"/>
  <c r="B18" i="727"/>
  <c r="B17" i="727"/>
  <c r="B16" i="727"/>
  <c r="B15" i="727"/>
  <c r="B14" i="727"/>
  <c r="B13" i="727"/>
  <c r="D12" i="727"/>
  <c r="C12" i="727"/>
  <c r="B12" i="727"/>
  <c r="B11" i="727"/>
  <c r="B9" i="727"/>
  <c r="D8" i="727"/>
  <c r="C8" i="727"/>
  <c r="B8" i="727"/>
  <c r="B7" i="727"/>
  <c r="B5" i="727"/>
  <c r="B3" i="727"/>
  <c r="J34" i="662"/>
  <c r="I34" i="662"/>
  <c r="H34" i="662"/>
  <c r="J33" i="662"/>
  <c r="I33" i="662"/>
  <c r="H33" i="662"/>
  <c r="G33" i="662"/>
  <c r="J32" i="662"/>
  <c r="I32" i="662"/>
  <c r="H32" i="662"/>
  <c r="G32" i="662"/>
  <c r="J31" i="662"/>
  <c r="I31" i="662"/>
  <c r="G31" i="662"/>
  <c r="F30" i="662"/>
  <c r="J27" i="662"/>
  <c r="I27" i="662"/>
  <c r="H27" i="662"/>
  <c r="H26" i="662"/>
  <c r="G26" i="662"/>
  <c r="F26" i="662"/>
  <c r="E26" i="662"/>
  <c r="D26" i="662"/>
  <c r="C26" i="662"/>
  <c r="B26" i="662"/>
  <c r="H25" i="662"/>
  <c r="G25" i="662"/>
  <c r="F25" i="662"/>
  <c r="E25" i="662"/>
  <c r="D25" i="662"/>
  <c r="C25" i="662"/>
  <c r="B25" i="662"/>
  <c r="H24" i="662"/>
  <c r="G24" i="662"/>
  <c r="F24" i="662"/>
  <c r="E24" i="662"/>
  <c r="D24" i="662"/>
  <c r="C24" i="662"/>
  <c r="B24" i="662"/>
  <c r="C23" i="662"/>
  <c r="J21" i="662"/>
  <c r="I21" i="662"/>
  <c r="H21" i="662"/>
  <c r="H20" i="662"/>
  <c r="G20" i="662"/>
  <c r="F20" i="662"/>
  <c r="E20" i="662"/>
  <c r="D20" i="662"/>
  <c r="C20" i="662"/>
  <c r="B20" i="662"/>
  <c r="H19" i="662"/>
  <c r="G19" i="662"/>
  <c r="F19" i="662"/>
  <c r="E19" i="662"/>
  <c r="D19" i="662"/>
  <c r="C19" i="662"/>
  <c r="B19" i="662"/>
  <c r="H18" i="662"/>
  <c r="G18" i="662"/>
  <c r="F18" i="662"/>
  <c r="E18" i="662"/>
  <c r="D18" i="662"/>
  <c r="C18" i="662"/>
  <c r="B18" i="662"/>
  <c r="C17" i="662"/>
  <c r="J15" i="662"/>
  <c r="I15" i="662"/>
  <c r="H15" i="662"/>
  <c r="H14" i="662"/>
  <c r="G14" i="662"/>
  <c r="F14" i="662"/>
  <c r="E14" i="662"/>
  <c r="D14" i="662"/>
  <c r="C14" i="662"/>
  <c r="B14" i="662"/>
  <c r="H13" i="662"/>
  <c r="G13" i="662"/>
  <c r="F13" i="662"/>
  <c r="E13" i="662"/>
  <c r="D13" i="662"/>
  <c r="C13" i="662"/>
  <c r="B13" i="662"/>
  <c r="H12" i="662"/>
  <c r="G12" i="662"/>
  <c r="F12" i="662"/>
  <c r="E12" i="662"/>
  <c r="D12" i="662"/>
  <c r="C12" i="662"/>
  <c r="B12" i="662"/>
  <c r="H11" i="662"/>
  <c r="G11" i="662"/>
  <c r="F11" i="662"/>
  <c r="E11" i="662"/>
  <c r="D11" i="662"/>
  <c r="C11" i="662"/>
  <c r="B11" i="662"/>
  <c r="C10" i="662"/>
  <c r="K9" i="662"/>
  <c r="J9" i="662"/>
  <c r="I9" i="662"/>
  <c r="H9" i="662"/>
  <c r="G9" i="662"/>
  <c r="F9" i="662"/>
  <c r="E9" i="662"/>
  <c r="I8" i="662"/>
  <c r="E8" i="662"/>
  <c r="C8" i="662"/>
  <c r="B5" i="662"/>
  <c r="B3" i="662"/>
  <c r="M41" i="742"/>
  <c r="L41" i="742"/>
  <c r="K41" i="742"/>
  <c r="J41" i="742"/>
  <c r="C40" i="742"/>
  <c r="M8" i="742"/>
  <c r="L8" i="742"/>
  <c r="K8" i="742"/>
  <c r="J8" i="742"/>
  <c r="I8" i="742"/>
  <c r="H8" i="742"/>
  <c r="L7" i="742"/>
  <c r="J7" i="742"/>
  <c r="H7" i="742"/>
  <c r="G7" i="742"/>
  <c r="F7" i="742"/>
  <c r="D7" i="742"/>
  <c r="C7" i="742"/>
  <c r="B7" i="742"/>
  <c r="B5" i="742"/>
  <c r="B3" i="742"/>
  <c r="B61" i="726"/>
  <c r="B57" i="726"/>
  <c r="B56" i="726"/>
  <c r="C54" i="726"/>
  <c r="B54" i="726"/>
  <c r="B53" i="726"/>
  <c r="B52" i="726"/>
  <c r="B51" i="726"/>
  <c r="B50" i="726"/>
  <c r="B49" i="726"/>
  <c r="B48" i="726"/>
  <c r="B47" i="726"/>
  <c r="B46" i="726"/>
  <c r="D45" i="726"/>
  <c r="C45" i="726"/>
  <c r="B44" i="726"/>
  <c r="D32" i="726"/>
  <c r="B32" i="726"/>
  <c r="E31" i="726"/>
  <c r="D31" i="726"/>
  <c r="C31" i="726"/>
  <c r="B31" i="726"/>
  <c r="E30" i="726"/>
  <c r="D30" i="726"/>
  <c r="C30" i="726"/>
  <c r="B30" i="726"/>
  <c r="B29" i="726"/>
  <c r="B26" i="726"/>
  <c r="B24" i="726"/>
  <c r="B22" i="726"/>
  <c r="B21" i="726"/>
  <c r="B18" i="726"/>
  <c r="B17" i="726"/>
  <c r="B16" i="726"/>
  <c r="B15" i="726"/>
  <c r="B14" i="726"/>
  <c r="B13" i="726"/>
  <c r="D12" i="726"/>
  <c r="C12" i="726"/>
  <c r="B12" i="726"/>
  <c r="B11" i="726"/>
  <c r="B9" i="726"/>
  <c r="D8" i="726"/>
  <c r="C8" i="726"/>
  <c r="B8" i="726"/>
  <c r="B7" i="726"/>
  <c r="B5" i="726"/>
  <c r="B3" i="726"/>
  <c r="J34" i="661"/>
  <c r="I34" i="661"/>
  <c r="H34" i="661"/>
  <c r="J33" i="661"/>
  <c r="I33" i="661"/>
  <c r="H33" i="661"/>
  <c r="G33" i="661"/>
  <c r="J32" i="661"/>
  <c r="I32" i="661"/>
  <c r="H32" i="661"/>
  <c r="G32" i="661"/>
  <c r="J31" i="661"/>
  <c r="I31" i="661"/>
  <c r="G31" i="661"/>
  <c r="F30" i="661"/>
  <c r="J27" i="661"/>
  <c r="I27" i="661"/>
  <c r="H27" i="661"/>
  <c r="H26" i="661"/>
  <c r="G26" i="661"/>
  <c r="F26" i="661"/>
  <c r="E26" i="661"/>
  <c r="D26" i="661"/>
  <c r="C26" i="661"/>
  <c r="B26" i="661"/>
  <c r="H25" i="661"/>
  <c r="G25" i="661"/>
  <c r="F25" i="661"/>
  <c r="E25" i="661"/>
  <c r="D25" i="661"/>
  <c r="C25" i="661"/>
  <c r="B25" i="661"/>
  <c r="H24" i="661"/>
  <c r="G24" i="661"/>
  <c r="F24" i="661"/>
  <c r="E24" i="661"/>
  <c r="D24" i="661"/>
  <c r="C24" i="661"/>
  <c r="B24" i="661"/>
  <c r="C23" i="661"/>
  <c r="J21" i="661"/>
  <c r="I21" i="661"/>
  <c r="H21" i="661"/>
  <c r="H20" i="661"/>
  <c r="G20" i="661"/>
  <c r="F20" i="661"/>
  <c r="E20" i="661"/>
  <c r="D20" i="661"/>
  <c r="C20" i="661"/>
  <c r="B20" i="661"/>
  <c r="H19" i="661"/>
  <c r="G19" i="661"/>
  <c r="F19" i="661"/>
  <c r="E19" i="661"/>
  <c r="D19" i="661"/>
  <c r="C19" i="661"/>
  <c r="B19" i="661"/>
  <c r="H18" i="661"/>
  <c r="G18" i="661"/>
  <c r="F18" i="661"/>
  <c r="E18" i="661"/>
  <c r="D18" i="661"/>
  <c r="C18" i="661"/>
  <c r="B18" i="661"/>
  <c r="C17" i="661"/>
  <c r="J15" i="661"/>
  <c r="I15" i="661"/>
  <c r="H15" i="661"/>
  <c r="H14" i="661"/>
  <c r="G14" i="661"/>
  <c r="F14" i="661"/>
  <c r="E14" i="661"/>
  <c r="D14" i="661"/>
  <c r="C14" i="661"/>
  <c r="B14" i="661"/>
  <c r="H13" i="661"/>
  <c r="G13" i="661"/>
  <c r="F13" i="661"/>
  <c r="E13" i="661"/>
  <c r="D13" i="661"/>
  <c r="C13" i="661"/>
  <c r="B13" i="661"/>
  <c r="H12" i="661"/>
  <c r="G12" i="661"/>
  <c r="F12" i="661"/>
  <c r="E12" i="661"/>
  <c r="D12" i="661"/>
  <c r="C12" i="661"/>
  <c r="B12" i="661"/>
  <c r="H11" i="661"/>
  <c r="G11" i="661"/>
  <c r="F11" i="661"/>
  <c r="E11" i="661"/>
  <c r="D11" i="661"/>
  <c r="C11" i="661"/>
  <c r="B11" i="661"/>
  <c r="C10" i="661"/>
  <c r="K9" i="661"/>
  <c r="J9" i="661"/>
  <c r="I9" i="661"/>
  <c r="H9" i="661"/>
  <c r="G9" i="661"/>
  <c r="F9" i="661"/>
  <c r="E9" i="661"/>
  <c r="I8" i="661"/>
  <c r="E8" i="661"/>
  <c r="C8" i="661"/>
  <c r="B5" i="661"/>
  <c r="B3" i="661"/>
  <c r="M41" i="741"/>
  <c r="L41" i="741"/>
  <c r="K41" i="741"/>
  <c r="J41" i="741"/>
  <c r="C40" i="741"/>
  <c r="M8" i="741"/>
  <c r="L8" i="741"/>
  <c r="K8" i="741"/>
  <c r="J8" i="741"/>
  <c r="I8" i="741"/>
  <c r="H8" i="741"/>
  <c r="L7" i="741"/>
  <c r="J7" i="741"/>
  <c r="H7" i="741"/>
  <c r="G7" i="741"/>
  <c r="F7" i="741"/>
  <c r="D7" i="741"/>
  <c r="C7" i="741"/>
  <c r="B7" i="741"/>
  <c r="B5" i="741"/>
  <c r="B3" i="741"/>
  <c r="B61" i="725"/>
  <c r="B57" i="725"/>
  <c r="B56" i="725"/>
  <c r="C54" i="725"/>
  <c r="B54" i="725"/>
  <c r="B53" i="725"/>
  <c r="B52" i="725"/>
  <c r="B51" i="725"/>
  <c r="B50" i="725"/>
  <c r="B49" i="725"/>
  <c r="B48" i="725"/>
  <c r="B47" i="725"/>
  <c r="B46" i="725"/>
  <c r="D45" i="725"/>
  <c r="C45" i="725"/>
  <c r="B44" i="725"/>
  <c r="D32" i="725"/>
  <c r="B32" i="725"/>
  <c r="E31" i="725"/>
  <c r="D31" i="725"/>
  <c r="C31" i="725"/>
  <c r="B31" i="725"/>
  <c r="E30" i="725"/>
  <c r="D30" i="725"/>
  <c r="C30" i="725"/>
  <c r="B30" i="725"/>
  <c r="B29" i="725"/>
  <c r="B26" i="725"/>
  <c r="B24" i="725"/>
  <c r="B22" i="725"/>
  <c r="B21" i="725"/>
  <c r="B18" i="725"/>
  <c r="B17" i="725"/>
  <c r="B16" i="725"/>
  <c r="B15" i="725"/>
  <c r="B14" i="725"/>
  <c r="B13" i="725"/>
  <c r="D12" i="725"/>
  <c r="C12" i="725"/>
  <c r="B12" i="725"/>
  <c r="B11" i="725"/>
  <c r="B9" i="725"/>
  <c r="D8" i="725"/>
  <c r="C8" i="725"/>
  <c r="B8" i="725"/>
  <c r="B7" i="725"/>
  <c r="B5" i="725"/>
  <c r="B3" i="725"/>
  <c r="J34" i="660"/>
  <c r="I34" i="660"/>
  <c r="H34" i="660"/>
  <c r="J33" i="660"/>
  <c r="I33" i="660"/>
  <c r="H33" i="660"/>
  <c r="G33" i="660"/>
  <c r="J32" i="660"/>
  <c r="I32" i="660"/>
  <c r="H32" i="660"/>
  <c r="G32" i="660"/>
  <c r="J31" i="660"/>
  <c r="I31" i="660"/>
  <c r="G31" i="660"/>
  <c r="F30" i="660"/>
  <c r="J27" i="660"/>
  <c r="I27" i="660"/>
  <c r="H27" i="660"/>
  <c r="H26" i="660"/>
  <c r="G26" i="660"/>
  <c r="F26" i="660"/>
  <c r="E26" i="660"/>
  <c r="D26" i="660"/>
  <c r="C26" i="660"/>
  <c r="B26" i="660"/>
  <c r="H25" i="660"/>
  <c r="G25" i="660"/>
  <c r="F25" i="660"/>
  <c r="E25" i="660"/>
  <c r="D25" i="660"/>
  <c r="C25" i="660"/>
  <c r="B25" i="660"/>
  <c r="H24" i="660"/>
  <c r="G24" i="660"/>
  <c r="F24" i="660"/>
  <c r="E24" i="660"/>
  <c r="D24" i="660"/>
  <c r="C24" i="660"/>
  <c r="B24" i="660"/>
  <c r="C23" i="660"/>
  <c r="J21" i="660"/>
  <c r="I21" i="660"/>
  <c r="H21" i="660"/>
  <c r="H20" i="660"/>
  <c r="G20" i="660"/>
  <c r="F20" i="660"/>
  <c r="E20" i="660"/>
  <c r="D20" i="660"/>
  <c r="C20" i="660"/>
  <c r="B20" i="660"/>
  <c r="H19" i="660"/>
  <c r="G19" i="660"/>
  <c r="F19" i="660"/>
  <c r="E19" i="660"/>
  <c r="D19" i="660"/>
  <c r="C19" i="660"/>
  <c r="B19" i="660"/>
  <c r="H18" i="660"/>
  <c r="G18" i="660"/>
  <c r="F18" i="660"/>
  <c r="E18" i="660"/>
  <c r="D18" i="660"/>
  <c r="C18" i="660"/>
  <c r="B18" i="660"/>
  <c r="C17" i="660"/>
  <c r="J15" i="660"/>
  <c r="I15" i="660"/>
  <c r="H15" i="660"/>
  <c r="H14" i="660"/>
  <c r="G14" i="660"/>
  <c r="F14" i="660"/>
  <c r="E14" i="660"/>
  <c r="D14" i="660"/>
  <c r="C14" i="660"/>
  <c r="B14" i="660"/>
  <c r="H13" i="660"/>
  <c r="G13" i="660"/>
  <c r="F13" i="660"/>
  <c r="E13" i="660"/>
  <c r="D13" i="660"/>
  <c r="C13" i="660"/>
  <c r="B13" i="660"/>
  <c r="H12" i="660"/>
  <c r="G12" i="660"/>
  <c r="F12" i="660"/>
  <c r="E12" i="660"/>
  <c r="D12" i="660"/>
  <c r="C12" i="660"/>
  <c r="B12" i="660"/>
  <c r="H11" i="660"/>
  <c r="G11" i="660"/>
  <c r="F11" i="660"/>
  <c r="E11" i="660"/>
  <c r="D11" i="660"/>
  <c r="C11" i="660"/>
  <c r="B11" i="660"/>
  <c r="C10" i="660"/>
  <c r="K9" i="660"/>
  <c r="J9" i="660"/>
  <c r="I9" i="660"/>
  <c r="H9" i="660"/>
  <c r="G9" i="660"/>
  <c r="F9" i="660"/>
  <c r="E9" i="660"/>
  <c r="I8" i="660"/>
  <c r="E8" i="660"/>
  <c r="C8" i="660"/>
  <c r="B5" i="660"/>
  <c r="B3" i="660"/>
  <c r="M41" i="740"/>
  <c r="L41" i="740"/>
  <c r="K41" i="740"/>
  <c r="J41" i="740"/>
  <c r="C40" i="740"/>
  <c r="M8" i="740"/>
  <c r="L8" i="740"/>
  <c r="K8" i="740"/>
  <c r="J8" i="740"/>
  <c r="I8" i="740"/>
  <c r="H8" i="740"/>
  <c r="L7" i="740"/>
  <c r="J7" i="740"/>
  <c r="H7" i="740"/>
  <c r="G7" i="740"/>
  <c r="F7" i="740"/>
  <c r="D7" i="740"/>
  <c r="C7" i="740"/>
  <c r="B7" i="740"/>
  <c r="B5" i="740"/>
  <c r="B3" i="740"/>
  <c r="B61" i="724"/>
  <c r="B57" i="724"/>
  <c r="B56" i="724"/>
  <c r="C54" i="724"/>
  <c r="B54" i="724"/>
  <c r="B53" i="724"/>
  <c r="B52" i="724"/>
  <c r="B51" i="724"/>
  <c r="B50" i="724"/>
  <c r="B49" i="724"/>
  <c r="B48" i="724"/>
  <c r="B47" i="724"/>
  <c r="B46" i="724"/>
  <c r="D45" i="724"/>
  <c r="C45" i="724"/>
  <c r="B44" i="724"/>
  <c r="D32" i="724"/>
  <c r="B32" i="724"/>
  <c r="E31" i="724"/>
  <c r="D31" i="724"/>
  <c r="C31" i="724"/>
  <c r="B31" i="724"/>
  <c r="E30" i="724"/>
  <c r="D30" i="724"/>
  <c r="C30" i="724"/>
  <c r="B30" i="724"/>
  <c r="B29" i="724"/>
  <c r="B26" i="724"/>
  <c r="B24" i="724"/>
  <c r="B22" i="724"/>
  <c r="B21" i="724"/>
  <c r="B18" i="724"/>
  <c r="B17" i="724"/>
  <c r="B16" i="724"/>
  <c r="B15" i="724"/>
  <c r="B14" i="724"/>
  <c r="B13" i="724"/>
  <c r="D12" i="724"/>
  <c r="C12" i="724"/>
  <c r="B12" i="724"/>
  <c r="B11" i="724"/>
  <c r="B9" i="724"/>
  <c r="D8" i="724"/>
  <c r="C8" i="724"/>
  <c r="B8" i="724"/>
  <c r="B7" i="724"/>
  <c r="B5" i="724"/>
  <c r="B3" i="724"/>
  <c r="J34" i="659"/>
  <c r="I34" i="659"/>
  <c r="H34" i="659"/>
  <c r="J33" i="659"/>
  <c r="I33" i="659"/>
  <c r="H33" i="659"/>
  <c r="G33" i="659"/>
  <c r="J32" i="659"/>
  <c r="I32" i="659"/>
  <c r="H32" i="659"/>
  <c r="G32" i="659"/>
  <c r="J31" i="659"/>
  <c r="I31" i="659"/>
  <c r="G31" i="659"/>
  <c r="F30" i="659"/>
  <c r="J27" i="659"/>
  <c r="I27" i="659"/>
  <c r="H27" i="659"/>
  <c r="H26" i="659"/>
  <c r="G26" i="659"/>
  <c r="F26" i="659"/>
  <c r="E26" i="659"/>
  <c r="D26" i="659"/>
  <c r="C26" i="659"/>
  <c r="B26" i="659"/>
  <c r="H25" i="659"/>
  <c r="G25" i="659"/>
  <c r="F25" i="659"/>
  <c r="E25" i="659"/>
  <c r="D25" i="659"/>
  <c r="C25" i="659"/>
  <c r="B25" i="659"/>
  <c r="H24" i="659"/>
  <c r="G24" i="659"/>
  <c r="F24" i="659"/>
  <c r="E24" i="659"/>
  <c r="D24" i="659"/>
  <c r="C24" i="659"/>
  <c r="B24" i="659"/>
  <c r="C23" i="659"/>
  <c r="J21" i="659"/>
  <c r="I21" i="659"/>
  <c r="H21" i="659"/>
  <c r="H20" i="659"/>
  <c r="G20" i="659"/>
  <c r="F20" i="659"/>
  <c r="E20" i="659"/>
  <c r="D20" i="659"/>
  <c r="C20" i="659"/>
  <c r="B20" i="659"/>
  <c r="H19" i="659"/>
  <c r="G19" i="659"/>
  <c r="F19" i="659"/>
  <c r="E19" i="659"/>
  <c r="D19" i="659"/>
  <c r="C19" i="659"/>
  <c r="B19" i="659"/>
  <c r="H18" i="659"/>
  <c r="G18" i="659"/>
  <c r="F18" i="659"/>
  <c r="E18" i="659"/>
  <c r="D18" i="659"/>
  <c r="C18" i="659"/>
  <c r="B18" i="659"/>
  <c r="C17" i="659"/>
  <c r="J15" i="659"/>
  <c r="I15" i="659"/>
  <c r="H15" i="659"/>
  <c r="H14" i="659"/>
  <c r="G14" i="659"/>
  <c r="F14" i="659"/>
  <c r="E14" i="659"/>
  <c r="D14" i="659"/>
  <c r="C14" i="659"/>
  <c r="B14" i="659"/>
  <c r="H13" i="659"/>
  <c r="G13" i="659"/>
  <c r="F13" i="659"/>
  <c r="E13" i="659"/>
  <c r="D13" i="659"/>
  <c r="C13" i="659"/>
  <c r="B13" i="659"/>
  <c r="H12" i="659"/>
  <c r="G12" i="659"/>
  <c r="F12" i="659"/>
  <c r="E12" i="659"/>
  <c r="D12" i="659"/>
  <c r="C12" i="659"/>
  <c r="B12" i="659"/>
  <c r="H11" i="659"/>
  <c r="G11" i="659"/>
  <c r="F11" i="659"/>
  <c r="E11" i="659"/>
  <c r="D11" i="659"/>
  <c r="C11" i="659"/>
  <c r="B11" i="659"/>
  <c r="C10" i="659"/>
  <c r="K9" i="659"/>
  <c r="J9" i="659"/>
  <c r="I9" i="659"/>
  <c r="H9" i="659"/>
  <c r="G9" i="659"/>
  <c r="F9" i="659"/>
  <c r="E9" i="659"/>
  <c r="I8" i="659"/>
  <c r="E8" i="659"/>
  <c r="C8" i="659"/>
  <c r="B5" i="659"/>
  <c r="B3" i="659"/>
  <c r="M41" i="739"/>
  <c r="L41" i="739"/>
  <c r="K41" i="739"/>
  <c r="J41" i="739"/>
  <c r="C40" i="739"/>
  <c r="M8" i="739"/>
  <c r="L8" i="739"/>
  <c r="K8" i="739"/>
  <c r="J8" i="739"/>
  <c r="I8" i="739"/>
  <c r="H8" i="739"/>
  <c r="L7" i="739"/>
  <c r="J7" i="739"/>
  <c r="H7" i="739"/>
  <c r="G7" i="739"/>
  <c r="F7" i="739"/>
  <c r="D7" i="739"/>
  <c r="C7" i="739"/>
  <c r="B7" i="739"/>
  <c r="B5" i="739"/>
  <c r="B3" i="739"/>
  <c r="B61" i="723"/>
  <c r="B57" i="723"/>
  <c r="B56" i="723"/>
  <c r="C54" i="723"/>
  <c r="B54" i="723"/>
  <c r="B53" i="723"/>
  <c r="B52" i="723"/>
  <c r="B51" i="723"/>
  <c r="B50" i="723"/>
  <c r="B49" i="723"/>
  <c r="B48" i="723"/>
  <c r="B47" i="723"/>
  <c r="B46" i="723"/>
  <c r="D45" i="723"/>
  <c r="C45" i="723"/>
  <c r="B44" i="723"/>
  <c r="D32" i="723"/>
  <c r="B32" i="723"/>
  <c r="E31" i="723"/>
  <c r="D31" i="723"/>
  <c r="C31" i="723"/>
  <c r="B31" i="723"/>
  <c r="E30" i="723"/>
  <c r="D30" i="723"/>
  <c r="C30" i="723"/>
  <c r="B30" i="723"/>
  <c r="B29" i="723"/>
  <c r="B26" i="723"/>
  <c r="B24" i="723"/>
  <c r="B22" i="723"/>
  <c r="B21" i="723"/>
  <c r="B18" i="723"/>
  <c r="B17" i="723"/>
  <c r="B16" i="723"/>
  <c r="B15" i="723"/>
  <c r="B14" i="723"/>
  <c r="B13" i="723"/>
  <c r="D12" i="723"/>
  <c r="C12" i="723"/>
  <c r="B12" i="723"/>
  <c r="B11" i="723"/>
  <c r="B9" i="723"/>
  <c r="D8" i="723"/>
  <c r="C8" i="723"/>
  <c r="B8" i="723"/>
  <c r="B7" i="723"/>
  <c r="B5" i="723"/>
  <c r="B3" i="723"/>
  <c r="J34" i="658"/>
  <c r="I34" i="658"/>
  <c r="H34" i="658"/>
  <c r="J33" i="658"/>
  <c r="I33" i="658"/>
  <c r="H33" i="658"/>
  <c r="G33" i="658"/>
  <c r="J32" i="658"/>
  <c r="I32" i="658"/>
  <c r="H32" i="658"/>
  <c r="G32" i="658"/>
  <c r="J31" i="658"/>
  <c r="I31" i="658"/>
  <c r="G31" i="658"/>
  <c r="F30" i="658"/>
  <c r="J27" i="658"/>
  <c r="I27" i="658"/>
  <c r="H27" i="658"/>
  <c r="H26" i="658"/>
  <c r="G26" i="658"/>
  <c r="F26" i="658"/>
  <c r="E26" i="658"/>
  <c r="D26" i="658"/>
  <c r="C26" i="658"/>
  <c r="B26" i="658"/>
  <c r="H25" i="658"/>
  <c r="G25" i="658"/>
  <c r="F25" i="658"/>
  <c r="E25" i="658"/>
  <c r="D25" i="658"/>
  <c r="C25" i="658"/>
  <c r="B25" i="658"/>
  <c r="H24" i="658"/>
  <c r="G24" i="658"/>
  <c r="F24" i="658"/>
  <c r="E24" i="658"/>
  <c r="D24" i="658"/>
  <c r="C24" i="658"/>
  <c r="B24" i="658"/>
  <c r="C23" i="658"/>
  <c r="J21" i="658"/>
  <c r="I21" i="658"/>
  <c r="H21" i="658"/>
  <c r="H20" i="658"/>
  <c r="G20" i="658"/>
  <c r="F20" i="658"/>
  <c r="E20" i="658"/>
  <c r="D20" i="658"/>
  <c r="C20" i="658"/>
  <c r="B20" i="658"/>
  <c r="H19" i="658"/>
  <c r="G19" i="658"/>
  <c r="F19" i="658"/>
  <c r="E19" i="658"/>
  <c r="D19" i="658"/>
  <c r="C19" i="658"/>
  <c r="B19" i="658"/>
  <c r="H18" i="658"/>
  <c r="G18" i="658"/>
  <c r="F18" i="658"/>
  <c r="E18" i="658"/>
  <c r="D18" i="658"/>
  <c r="C18" i="658"/>
  <c r="B18" i="658"/>
  <c r="C17" i="658"/>
  <c r="J15" i="658"/>
  <c r="I15" i="658"/>
  <c r="H15" i="658"/>
  <c r="H14" i="658"/>
  <c r="G14" i="658"/>
  <c r="F14" i="658"/>
  <c r="E14" i="658"/>
  <c r="D14" i="658"/>
  <c r="C14" i="658"/>
  <c r="B14" i="658"/>
  <c r="H13" i="658"/>
  <c r="G13" i="658"/>
  <c r="F13" i="658"/>
  <c r="E13" i="658"/>
  <c r="D13" i="658"/>
  <c r="C13" i="658"/>
  <c r="B13" i="658"/>
  <c r="H12" i="658"/>
  <c r="G12" i="658"/>
  <c r="F12" i="658"/>
  <c r="E12" i="658"/>
  <c r="D12" i="658"/>
  <c r="C12" i="658"/>
  <c r="B12" i="658"/>
  <c r="H11" i="658"/>
  <c r="G11" i="658"/>
  <c r="F11" i="658"/>
  <c r="E11" i="658"/>
  <c r="D11" i="658"/>
  <c r="C11" i="658"/>
  <c r="B11" i="658"/>
  <c r="C10" i="658"/>
  <c r="K9" i="658"/>
  <c r="J9" i="658"/>
  <c r="I9" i="658"/>
  <c r="H9" i="658"/>
  <c r="G9" i="658"/>
  <c r="F9" i="658"/>
  <c r="E9" i="658"/>
  <c r="I8" i="658"/>
  <c r="E8" i="658"/>
  <c r="C8" i="658"/>
  <c r="B5" i="658"/>
  <c r="B3" i="658"/>
  <c r="M41" i="738"/>
  <c r="L41" i="738"/>
  <c r="K41" i="738"/>
  <c r="J41" i="738"/>
  <c r="C40" i="738"/>
  <c r="M8" i="738"/>
  <c r="L8" i="738"/>
  <c r="K8" i="738"/>
  <c r="J8" i="738"/>
  <c r="I8" i="738"/>
  <c r="H8" i="738"/>
  <c r="L7" i="738"/>
  <c r="J7" i="738"/>
  <c r="H7" i="738"/>
  <c r="G7" i="738"/>
  <c r="F7" i="738"/>
  <c r="D7" i="738"/>
  <c r="C7" i="738"/>
  <c r="B7" i="738"/>
  <c r="B5" i="738"/>
  <c r="B3" i="738"/>
  <c r="B61" i="722"/>
  <c r="B57" i="722"/>
  <c r="B56" i="722"/>
  <c r="C54" i="722"/>
  <c r="B54" i="722"/>
  <c r="B53" i="722"/>
  <c r="B52" i="722"/>
  <c r="B51" i="722"/>
  <c r="B50" i="722"/>
  <c r="B49" i="722"/>
  <c r="B48" i="722"/>
  <c r="B47" i="722"/>
  <c r="B46" i="722"/>
  <c r="D45" i="722"/>
  <c r="C45" i="722"/>
  <c r="B44" i="722"/>
  <c r="D32" i="722"/>
  <c r="B32" i="722"/>
  <c r="E31" i="722"/>
  <c r="D31" i="722"/>
  <c r="C31" i="722"/>
  <c r="B31" i="722"/>
  <c r="E30" i="722"/>
  <c r="D30" i="722"/>
  <c r="C30" i="722"/>
  <c r="B30" i="722"/>
  <c r="B29" i="722"/>
  <c r="B26" i="722"/>
  <c r="B24" i="722"/>
  <c r="B22" i="722"/>
  <c r="B21" i="722"/>
  <c r="B18" i="722"/>
  <c r="B17" i="722"/>
  <c r="B16" i="722"/>
  <c r="B15" i="722"/>
  <c r="B14" i="722"/>
  <c r="B13" i="722"/>
  <c r="D12" i="722"/>
  <c r="C12" i="722"/>
  <c r="B12" i="722"/>
  <c r="B11" i="722"/>
  <c r="B9" i="722"/>
  <c r="D8" i="722"/>
  <c r="C8" i="722"/>
  <c r="B8" i="722"/>
  <c r="B7" i="722"/>
  <c r="B5" i="722"/>
  <c r="B3" i="722"/>
  <c r="J34" i="657"/>
  <c r="I34" i="657"/>
  <c r="H34" i="657"/>
  <c r="J33" i="657"/>
  <c r="I33" i="657"/>
  <c r="H33" i="657"/>
  <c r="G33" i="657"/>
  <c r="J32" i="657"/>
  <c r="I32" i="657"/>
  <c r="H32" i="657"/>
  <c r="G32" i="657"/>
  <c r="J31" i="657"/>
  <c r="I31" i="657"/>
  <c r="G31" i="657"/>
  <c r="F30" i="657"/>
  <c r="J27" i="657"/>
  <c r="I27" i="657"/>
  <c r="H27" i="657"/>
  <c r="H26" i="657"/>
  <c r="G26" i="657"/>
  <c r="F26" i="657"/>
  <c r="E26" i="657"/>
  <c r="D26" i="657"/>
  <c r="C26" i="657"/>
  <c r="B26" i="657"/>
  <c r="H25" i="657"/>
  <c r="G25" i="657"/>
  <c r="F25" i="657"/>
  <c r="E25" i="657"/>
  <c r="D25" i="657"/>
  <c r="C25" i="657"/>
  <c r="B25" i="657"/>
  <c r="H24" i="657"/>
  <c r="G24" i="657"/>
  <c r="F24" i="657"/>
  <c r="E24" i="657"/>
  <c r="D24" i="657"/>
  <c r="C24" i="657"/>
  <c r="B24" i="657"/>
  <c r="C23" i="657"/>
  <c r="J21" i="657"/>
  <c r="I21" i="657"/>
  <c r="H21" i="657"/>
  <c r="H20" i="657"/>
  <c r="G20" i="657"/>
  <c r="F20" i="657"/>
  <c r="E20" i="657"/>
  <c r="D20" i="657"/>
  <c r="C20" i="657"/>
  <c r="B20" i="657"/>
  <c r="H19" i="657"/>
  <c r="G19" i="657"/>
  <c r="F19" i="657"/>
  <c r="E19" i="657"/>
  <c r="D19" i="657"/>
  <c r="C19" i="657"/>
  <c r="B19" i="657"/>
  <c r="H18" i="657"/>
  <c r="G18" i="657"/>
  <c r="F18" i="657"/>
  <c r="E18" i="657"/>
  <c r="D18" i="657"/>
  <c r="C18" i="657"/>
  <c r="B18" i="657"/>
  <c r="C17" i="657"/>
  <c r="J15" i="657"/>
  <c r="I15" i="657"/>
  <c r="H15" i="657"/>
  <c r="H14" i="657"/>
  <c r="G14" i="657"/>
  <c r="F14" i="657"/>
  <c r="E14" i="657"/>
  <c r="D14" i="657"/>
  <c r="C14" i="657"/>
  <c r="B14" i="657"/>
  <c r="H13" i="657"/>
  <c r="G13" i="657"/>
  <c r="F13" i="657"/>
  <c r="E13" i="657"/>
  <c r="D13" i="657"/>
  <c r="C13" i="657"/>
  <c r="B13" i="657"/>
  <c r="H12" i="657"/>
  <c r="G12" i="657"/>
  <c r="F12" i="657"/>
  <c r="E12" i="657"/>
  <c r="D12" i="657"/>
  <c r="C12" i="657"/>
  <c r="B12" i="657"/>
  <c r="H11" i="657"/>
  <c r="G11" i="657"/>
  <c r="F11" i="657"/>
  <c r="E11" i="657"/>
  <c r="D11" i="657"/>
  <c r="C11" i="657"/>
  <c r="B11" i="657"/>
  <c r="C10" i="657"/>
  <c r="K9" i="657"/>
  <c r="J9" i="657"/>
  <c r="I9" i="657"/>
  <c r="H9" i="657"/>
  <c r="G9" i="657"/>
  <c r="F9" i="657"/>
  <c r="E9" i="657"/>
  <c r="I8" i="657"/>
  <c r="E8" i="657"/>
  <c r="C8" i="657"/>
  <c r="B5" i="657"/>
  <c r="B3" i="657"/>
  <c r="M41" i="737"/>
  <c r="L41" i="737"/>
  <c r="K41" i="737"/>
  <c r="J41" i="737"/>
  <c r="C40" i="737"/>
  <c r="M8" i="737"/>
  <c r="L8" i="737"/>
  <c r="K8" i="737"/>
  <c r="J8" i="737"/>
  <c r="I8" i="737"/>
  <c r="H8" i="737"/>
  <c r="L7" i="737"/>
  <c r="J7" i="737"/>
  <c r="H7" i="737"/>
  <c r="G7" i="737"/>
  <c r="F7" i="737"/>
  <c r="D7" i="737"/>
  <c r="C7" i="737"/>
  <c r="B7" i="737"/>
  <c r="B5" i="737"/>
  <c r="B3" i="737"/>
  <c r="B61" i="721"/>
  <c r="B57" i="721"/>
  <c r="B56" i="721"/>
  <c r="C54" i="721"/>
  <c r="B54" i="721"/>
  <c r="B53" i="721"/>
  <c r="B52" i="721"/>
  <c r="B51" i="721"/>
  <c r="B50" i="721"/>
  <c r="B49" i="721"/>
  <c r="B48" i="721"/>
  <c r="B47" i="721"/>
  <c r="B46" i="721"/>
  <c r="D45" i="721"/>
  <c r="C45" i="721"/>
  <c r="B44" i="721"/>
  <c r="D32" i="721"/>
  <c r="B32" i="721"/>
  <c r="E31" i="721"/>
  <c r="D31" i="721"/>
  <c r="C31" i="721"/>
  <c r="B31" i="721"/>
  <c r="E30" i="721"/>
  <c r="D30" i="721"/>
  <c r="C30" i="721"/>
  <c r="B30" i="721"/>
  <c r="B29" i="721"/>
  <c r="B26" i="721"/>
  <c r="B24" i="721"/>
  <c r="B22" i="721"/>
  <c r="B21" i="721"/>
  <c r="B18" i="721"/>
  <c r="B17" i="721"/>
  <c r="B16" i="721"/>
  <c r="B15" i="721"/>
  <c r="B14" i="721"/>
  <c r="B13" i="721"/>
  <c r="D12" i="721"/>
  <c r="C12" i="721"/>
  <c r="B12" i="721"/>
  <c r="B11" i="721"/>
  <c r="B9" i="721"/>
  <c r="D8" i="721"/>
  <c r="C8" i="721"/>
  <c r="B8" i="721"/>
  <c r="B7" i="721"/>
  <c r="B5" i="721"/>
  <c r="B3" i="721"/>
  <c r="J34" i="656"/>
  <c r="I34" i="656"/>
  <c r="H34" i="656"/>
  <c r="J33" i="656"/>
  <c r="I33" i="656"/>
  <c r="H33" i="656"/>
  <c r="G33" i="656"/>
  <c r="J32" i="656"/>
  <c r="I32" i="656"/>
  <c r="H32" i="656"/>
  <c r="G32" i="656"/>
  <c r="J31" i="656"/>
  <c r="I31" i="656"/>
  <c r="G31" i="656"/>
  <c r="F30" i="656"/>
  <c r="J27" i="656"/>
  <c r="I27" i="656"/>
  <c r="H27" i="656"/>
  <c r="H26" i="656"/>
  <c r="G26" i="656"/>
  <c r="F26" i="656"/>
  <c r="E26" i="656"/>
  <c r="D26" i="656"/>
  <c r="C26" i="656"/>
  <c r="B26" i="656"/>
  <c r="H25" i="656"/>
  <c r="G25" i="656"/>
  <c r="F25" i="656"/>
  <c r="E25" i="656"/>
  <c r="D25" i="656"/>
  <c r="C25" i="656"/>
  <c r="B25" i="656"/>
  <c r="H24" i="656"/>
  <c r="G24" i="656"/>
  <c r="F24" i="656"/>
  <c r="E24" i="656"/>
  <c r="D24" i="656"/>
  <c r="C24" i="656"/>
  <c r="B24" i="656"/>
  <c r="C23" i="656"/>
  <c r="J21" i="656"/>
  <c r="I21" i="656"/>
  <c r="H21" i="656"/>
  <c r="H20" i="656"/>
  <c r="G20" i="656"/>
  <c r="F20" i="656"/>
  <c r="E20" i="656"/>
  <c r="D20" i="656"/>
  <c r="C20" i="656"/>
  <c r="B20" i="656"/>
  <c r="H19" i="656"/>
  <c r="G19" i="656"/>
  <c r="F19" i="656"/>
  <c r="E19" i="656"/>
  <c r="D19" i="656"/>
  <c r="C19" i="656"/>
  <c r="B19" i="656"/>
  <c r="H18" i="656"/>
  <c r="G18" i="656"/>
  <c r="F18" i="656"/>
  <c r="E18" i="656"/>
  <c r="D18" i="656"/>
  <c r="C18" i="656"/>
  <c r="B18" i="656"/>
  <c r="C17" i="656"/>
  <c r="J15" i="656"/>
  <c r="I15" i="656"/>
  <c r="H15" i="656"/>
  <c r="H14" i="656"/>
  <c r="G14" i="656"/>
  <c r="F14" i="656"/>
  <c r="E14" i="656"/>
  <c r="D14" i="656"/>
  <c r="C14" i="656"/>
  <c r="B14" i="656"/>
  <c r="H13" i="656"/>
  <c r="G13" i="656"/>
  <c r="F13" i="656"/>
  <c r="E13" i="656"/>
  <c r="D13" i="656"/>
  <c r="C13" i="656"/>
  <c r="B13" i="656"/>
  <c r="H12" i="656"/>
  <c r="G12" i="656"/>
  <c r="F12" i="656"/>
  <c r="E12" i="656"/>
  <c r="D12" i="656"/>
  <c r="C12" i="656"/>
  <c r="B12" i="656"/>
  <c r="H11" i="656"/>
  <c r="G11" i="656"/>
  <c r="F11" i="656"/>
  <c r="E11" i="656"/>
  <c r="D11" i="656"/>
  <c r="C11" i="656"/>
  <c r="B11" i="656"/>
  <c r="C10" i="656"/>
  <c r="K9" i="656"/>
  <c r="J9" i="656"/>
  <c r="I9" i="656"/>
  <c r="H9" i="656"/>
  <c r="G9" i="656"/>
  <c r="F9" i="656"/>
  <c r="E9" i="656"/>
  <c r="I8" i="656"/>
  <c r="E8" i="656"/>
  <c r="C8" i="656"/>
  <c r="B5" i="656"/>
  <c r="B3" i="656"/>
  <c r="M41" i="736"/>
  <c r="L41" i="736"/>
  <c r="K41" i="736"/>
  <c r="J41" i="736"/>
  <c r="C40" i="736"/>
  <c r="M8" i="736"/>
  <c r="L8" i="736"/>
  <c r="K8" i="736"/>
  <c r="J8" i="736"/>
  <c r="I8" i="736"/>
  <c r="H8" i="736"/>
  <c r="L7" i="736"/>
  <c r="J7" i="736"/>
  <c r="H7" i="736"/>
  <c r="G7" i="736"/>
  <c r="F7" i="736"/>
  <c r="D7" i="736"/>
  <c r="C7" i="736"/>
  <c r="B7" i="736"/>
  <c r="B5" i="736"/>
  <c r="B3" i="736"/>
  <c r="B61" i="720"/>
  <c r="B57" i="720"/>
  <c r="B56" i="720"/>
  <c r="C54" i="720"/>
  <c r="B54" i="720"/>
  <c r="B53" i="720"/>
  <c r="B52" i="720"/>
  <c r="B51" i="720"/>
  <c r="B50" i="720"/>
  <c r="B49" i="720"/>
  <c r="B48" i="720"/>
  <c r="B47" i="720"/>
  <c r="B46" i="720"/>
  <c r="D45" i="720"/>
  <c r="C45" i="720"/>
  <c r="B44" i="720"/>
  <c r="D32" i="720"/>
  <c r="B32" i="720"/>
  <c r="E31" i="720"/>
  <c r="D31" i="720"/>
  <c r="C31" i="720"/>
  <c r="B31" i="720"/>
  <c r="E30" i="720"/>
  <c r="D30" i="720"/>
  <c r="C30" i="720"/>
  <c r="B30" i="720"/>
  <c r="B29" i="720"/>
  <c r="B26" i="720"/>
  <c r="B24" i="720"/>
  <c r="B22" i="720"/>
  <c r="B21" i="720"/>
  <c r="B18" i="720"/>
  <c r="B17" i="720"/>
  <c r="B16" i="720"/>
  <c r="B15" i="720"/>
  <c r="B14" i="720"/>
  <c r="B13" i="720"/>
  <c r="D12" i="720"/>
  <c r="C12" i="720"/>
  <c r="B12" i="720"/>
  <c r="B11" i="720"/>
  <c r="B9" i="720"/>
  <c r="D8" i="720"/>
  <c r="C8" i="720"/>
  <c r="B8" i="720"/>
  <c r="B7" i="720"/>
  <c r="B5" i="720"/>
  <c r="B3" i="720"/>
  <c r="J34" i="655"/>
  <c r="I34" i="655"/>
  <c r="H34" i="655"/>
  <c r="J33" i="655"/>
  <c r="I33" i="655"/>
  <c r="H33" i="655"/>
  <c r="G33" i="655"/>
  <c r="J32" i="655"/>
  <c r="I32" i="655"/>
  <c r="H32" i="655"/>
  <c r="G32" i="655"/>
  <c r="J31" i="655"/>
  <c r="I31" i="655"/>
  <c r="G31" i="655"/>
  <c r="F30" i="655"/>
  <c r="J27" i="655"/>
  <c r="I27" i="655"/>
  <c r="H27" i="655"/>
  <c r="H26" i="655"/>
  <c r="G26" i="655"/>
  <c r="F26" i="655"/>
  <c r="E26" i="655"/>
  <c r="D26" i="655"/>
  <c r="C26" i="655"/>
  <c r="B26" i="655"/>
  <c r="H25" i="655"/>
  <c r="G25" i="655"/>
  <c r="F25" i="655"/>
  <c r="E25" i="655"/>
  <c r="D25" i="655"/>
  <c r="C25" i="655"/>
  <c r="B25" i="655"/>
  <c r="H24" i="655"/>
  <c r="G24" i="655"/>
  <c r="F24" i="655"/>
  <c r="E24" i="655"/>
  <c r="D24" i="655"/>
  <c r="C24" i="655"/>
  <c r="B24" i="655"/>
  <c r="C23" i="655"/>
  <c r="J21" i="655"/>
  <c r="I21" i="655"/>
  <c r="H21" i="655"/>
  <c r="H20" i="655"/>
  <c r="G20" i="655"/>
  <c r="F20" i="655"/>
  <c r="E20" i="655"/>
  <c r="D20" i="655"/>
  <c r="C20" i="655"/>
  <c r="B20" i="655"/>
  <c r="H19" i="655"/>
  <c r="G19" i="655"/>
  <c r="F19" i="655"/>
  <c r="E19" i="655"/>
  <c r="D19" i="655"/>
  <c r="C19" i="655"/>
  <c r="B19" i="655"/>
  <c r="H18" i="655"/>
  <c r="G18" i="655"/>
  <c r="F18" i="655"/>
  <c r="E18" i="655"/>
  <c r="D18" i="655"/>
  <c r="C18" i="655"/>
  <c r="B18" i="655"/>
  <c r="C17" i="655"/>
  <c r="J15" i="655"/>
  <c r="I15" i="655"/>
  <c r="H15" i="655"/>
  <c r="H14" i="655"/>
  <c r="G14" i="655"/>
  <c r="F14" i="655"/>
  <c r="E14" i="655"/>
  <c r="D14" i="655"/>
  <c r="C14" i="655"/>
  <c r="B14" i="655"/>
  <c r="H13" i="655"/>
  <c r="G13" i="655"/>
  <c r="F13" i="655"/>
  <c r="E13" i="655"/>
  <c r="D13" i="655"/>
  <c r="C13" i="655"/>
  <c r="B13" i="655"/>
  <c r="H12" i="655"/>
  <c r="G12" i="655"/>
  <c r="F12" i="655"/>
  <c r="E12" i="655"/>
  <c r="D12" i="655"/>
  <c r="C12" i="655"/>
  <c r="B12" i="655"/>
  <c r="H11" i="655"/>
  <c r="G11" i="655"/>
  <c r="F11" i="655"/>
  <c r="E11" i="655"/>
  <c r="D11" i="655"/>
  <c r="C11" i="655"/>
  <c r="B11" i="655"/>
  <c r="C10" i="655"/>
  <c r="K9" i="655"/>
  <c r="J9" i="655"/>
  <c r="I9" i="655"/>
  <c r="H9" i="655"/>
  <c r="G9" i="655"/>
  <c r="F9" i="655"/>
  <c r="E9" i="655"/>
  <c r="I8" i="655"/>
  <c r="E8" i="655"/>
  <c r="C8" i="655"/>
  <c r="B5" i="655"/>
  <c r="B3" i="655"/>
  <c r="M41" i="735"/>
  <c r="L41" i="735"/>
  <c r="K41" i="735"/>
  <c r="J41" i="735"/>
  <c r="C40" i="735"/>
  <c r="M8" i="735"/>
  <c r="L8" i="735"/>
  <c r="K8" i="735"/>
  <c r="J8" i="735"/>
  <c r="I8" i="735"/>
  <c r="H8" i="735"/>
  <c r="L7" i="735"/>
  <c r="J7" i="735"/>
  <c r="H7" i="735"/>
  <c r="G7" i="735"/>
  <c r="F7" i="735"/>
  <c r="D7" i="735"/>
  <c r="C7" i="735"/>
  <c r="B7" i="735"/>
  <c r="B5" i="735"/>
  <c r="B3" i="735"/>
  <c r="B61" i="719"/>
  <c r="B57" i="719"/>
  <c r="B56" i="719"/>
  <c r="C54" i="719"/>
  <c r="B54" i="719"/>
  <c r="B53" i="719"/>
  <c r="B52" i="719"/>
  <c r="B51" i="719"/>
  <c r="B50" i="719"/>
  <c r="B49" i="719"/>
  <c r="B48" i="719"/>
  <c r="B47" i="719"/>
  <c r="B46" i="719"/>
  <c r="D45" i="719"/>
  <c r="C45" i="719"/>
  <c r="B44" i="719"/>
  <c r="D32" i="719"/>
  <c r="B32" i="719"/>
  <c r="E31" i="719"/>
  <c r="D31" i="719"/>
  <c r="C31" i="719"/>
  <c r="B31" i="719"/>
  <c r="E30" i="719"/>
  <c r="D30" i="719"/>
  <c r="C30" i="719"/>
  <c r="B30" i="719"/>
  <c r="B29" i="719"/>
  <c r="B26" i="719"/>
  <c r="B24" i="719"/>
  <c r="B22" i="719"/>
  <c r="B21" i="719"/>
  <c r="B18" i="719"/>
  <c r="B17" i="719"/>
  <c r="B16" i="719"/>
  <c r="B15" i="719"/>
  <c r="B14" i="719"/>
  <c r="B13" i="719"/>
  <c r="D12" i="719"/>
  <c r="C12" i="719"/>
  <c r="B12" i="719"/>
  <c r="B11" i="719"/>
  <c r="B9" i="719"/>
  <c r="D8" i="719"/>
  <c r="C8" i="719"/>
  <c r="B8" i="719"/>
  <c r="B7" i="719"/>
  <c r="B5" i="719"/>
  <c r="B3" i="719"/>
  <c r="J34" i="654"/>
  <c r="I34" i="654"/>
  <c r="H34" i="654"/>
  <c r="J33" i="654"/>
  <c r="I33" i="654"/>
  <c r="H33" i="654"/>
  <c r="G33" i="654"/>
  <c r="J32" i="654"/>
  <c r="I32" i="654"/>
  <c r="H32" i="654"/>
  <c r="G32" i="654"/>
  <c r="J31" i="654"/>
  <c r="I31" i="654"/>
  <c r="G31" i="654"/>
  <c r="F30" i="654"/>
  <c r="J27" i="654"/>
  <c r="I27" i="654"/>
  <c r="H27" i="654"/>
  <c r="H26" i="654"/>
  <c r="G26" i="654"/>
  <c r="F26" i="654"/>
  <c r="E26" i="654"/>
  <c r="D26" i="654"/>
  <c r="C26" i="654"/>
  <c r="B26" i="654"/>
  <c r="H25" i="654"/>
  <c r="G25" i="654"/>
  <c r="F25" i="654"/>
  <c r="E25" i="654"/>
  <c r="D25" i="654"/>
  <c r="C25" i="654"/>
  <c r="B25" i="654"/>
  <c r="H24" i="654"/>
  <c r="G24" i="654"/>
  <c r="F24" i="654"/>
  <c r="E24" i="654"/>
  <c r="D24" i="654"/>
  <c r="C24" i="654"/>
  <c r="B24" i="654"/>
  <c r="C23" i="654"/>
  <c r="J21" i="654"/>
  <c r="I21" i="654"/>
  <c r="H21" i="654"/>
  <c r="H20" i="654"/>
  <c r="G20" i="654"/>
  <c r="F20" i="654"/>
  <c r="E20" i="654"/>
  <c r="D20" i="654"/>
  <c r="C20" i="654"/>
  <c r="B20" i="654"/>
  <c r="H19" i="654"/>
  <c r="G19" i="654"/>
  <c r="F19" i="654"/>
  <c r="E19" i="654"/>
  <c r="D19" i="654"/>
  <c r="C19" i="654"/>
  <c r="B19" i="654"/>
  <c r="H18" i="654"/>
  <c r="G18" i="654"/>
  <c r="F18" i="654"/>
  <c r="E18" i="654"/>
  <c r="D18" i="654"/>
  <c r="C18" i="654"/>
  <c r="B18" i="654"/>
  <c r="C17" i="654"/>
  <c r="J15" i="654"/>
  <c r="I15" i="654"/>
  <c r="H15" i="654"/>
  <c r="H14" i="654"/>
  <c r="G14" i="654"/>
  <c r="F14" i="654"/>
  <c r="E14" i="654"/>
  <c r="D14" i="654"/>
  <c r="C14" i="654"/>
  <c r="B14" i="654"/>
  <c r="H13" i="654"/>
  <c r="G13" i="654"/>
  <c r="F13" i="654"/>
  <c r="E13" i="654"/>
  <c r="D13" i="654"/>
  <c r="C13" i="654"/>
  <c r="B13" i="654"/>
  <c r="H12" i="654"/>
  <c r="G12" i="654"/>
  <c r="F12" i="654"/>
  <c r="E12" i="654"/>
  <c r="D12" i="654"/>
  <c r="C12" i="654"/>
  <c r="B12" i="654"/>
  <c r="H11" i="654"/>
  <c r="G11" i="654"/>
  <c r="F11" i="654"/>
  <c r="E11" i="654"/>
  <c r="D11" i="654"/>
  <c r="C11" i="654"/>
  <c r="B11" i="654"/>
  <c r="C10" i="654"/>
  <c r="K9" i="654"/>
  <c r="J9" i="654"/>
  <c r="I9" i="654"/>
  <c r="H9" i="654"/>
  <c r="G9" i="654"/>
  <c r="F9" i="654"/>
  <c r="E9" i="654"/>
  <c r="I8" i="654"/>
  <c r="E8" i="654"/>
  <c r="C8" i="654"/>
  <c r="B5" i="654"/>
  <c r="B3" i="654"/>
  <c r="M41" i="734"/>
  <c r="L41" i="734"/>
  <c r="K41" i="734"/>
  <c r="J41" i="734"/>
  <c r="C40" i="734"/>
  <c r="M8" i="734"/>
  <c r="L8" i="734"/>
  <c r="K8" i="734"/>
  <c r="J8" i="734"/>
  <c r="I8" i="734"/>
  <c r="H8" i="734"/>
  <c r="L7" i="734"/>
  <c r="J7" i="734"/>
  <c r="H7" i="734"/>
  <c r="G7" i="734"/>
  <c r="F7" i="734"/>
  <c r="D7" i="734"/>
  <c r="C7" i="734"/>
  <c r="B7" i="734"/>
  <c r="B5" i="734"/>
  <c r="B3" i="734"/>
  <c r="B61" i="718"/>
  <c r="B57" i="718"/>
  <c r="B56" i="718"/>
  <c r="C54" i="718"/>
  <c r="B54" i="718"/>
  <c r="B53" i="718"/>
  <c r="B52" i="718"/>
  <c r="B51" i="718"/>
  <c r="B50" i="718"/>
  <c r="B49" i="718"/>
  <c r="B48" i="718"/>
  <c r="B47" i="718"/>
  <c r="B46" i="718"/>
  <c r="D45" i="718"/>
  <c r="C45" i="718"/>
  <c r="B44" i="718"/>
  <c r="D32" i="718"/>
  <c r="B32" i="718"/>
  <c r="E31" i="718"/>
  <c r="D31" i="718"/>
  <c r="C31" i="718"/>
  <c r="B31" i="718"/>
  <c r="E30" i="718"/>
  <c r="D30" i="718"/>
  <c r="C30" i="718"/>
  <c r="B30" i="718"/>
  <c r="B29" i="718"/>
  <c r="B26" i="718"/>
  <c r="B24" i="718"/>
  <c r="B22" i="718"/>
  <c r="B21" i="718"/>
  <c r="B18" i="718"/>
  <c r="B17" i="718"/>
  <c r="B16" i="718"/>
  <c r="B15" i="718"/>
  <c r="B14" i="718"/>
  <c r="B13" i="718"/>
  <c r="D12" i="718"/>
  <c r="C12" i="718"/>
  <c r="B12" i="718"/>
  <c r="B11" i="718"/>
  <c r="B9" i="718"/>
  <c r="D8" i="718"/>
  <c r="C8" i="718"/>
  <c r="B8" i="718"/>
  <c r="B7" i="718"/>
  <c r="B5" i="718"/>
  <c r="B3" i="718"/>
  <c r="J34" i="653"/>
  <c r="I34" i="653"/>
  <c r="H34" i="653"/>
  <c r="J33" i="653"/>
  <c r="I33" i="653"/>
  <c r="H33" i="653"/>
  <c r="G33" i="653"/>
  <c r="J32" i="653"/>
  <c r="I32" i="653"/>
  <c r="H32" i="653"/>
  <c r="G32" i="653"/>
  <c r="J31" i="653"/>
  <c r="I31" i="653"/>
  <c r="G31" i="653"/>
  <c r="F30" i="653"/>
  <c r="J27" i="653"/>
  <c r="I27" i="653"/>
  <c r="H27" i="653"/>
  <c r="H26" i="653"/>
  <c r="G26" i="653"/>
  <c r="F26" i="653"/>
  <c r="E26" i="653"/>
  <c r="D26" i="653"/>
  <c r="C26" i="653"/>
  <c r="B26" i="653"/>
  <c r="H25" i="653"/>
  <c r="G25" i="653"/>
  <c r="F25" i="653"/>
  <c r="E25" i="653"/>
  <c r="D25" i="653"/>
  <c r="C25" i="653"/>
  <c r="B25" i="653"/>
  <c r="H24" i="653"/>
  <c r="G24" i="653"/>
  <c r="F24" i="653"/>
  <c r="E24" i="653"/>
  <c r="D24" i="653"/>
  <c r="C24" i="653"/>
  <c r="B24" i="653"/>
  <c r="C23" i="653"/>
  <c r="J21" i="653"/>
  <c r="I21" i="653"/>
  <c r="H21" i="653"/>
  <c r="H20" i="653"/>
  <c r="G20" i="653"/>
  <c r="F20" i="653"/>
  <c r="E20" i="653"/>
  <c r="D20" i="653"/>
  <c r="C20" i="653"/>
  <c r="B20" i="653"/>
  <c r="H19" i="653"/>
  <c r="G19" i="653"/>
  <c r="F19" i="653"/>
  <c r="E19" i="653"/>
  <c r="D19" i="653"/>
  <c r="C19" i="653"/>
  <c r="B19" i="653"/>
  <c r="H18" i="653"/>
  <c r="G18" i="653"/>
  <c r="F18" i="653"/>
  <c r="E18" i="653"/>
  <c r="D18" i="653"/>
  <c r="C18" i="653"/>
  <c r="B18" i="653"/>
  <c r="C17" i="653"/>
  <c r="J15" i="653"/>
  <c r="I15" i="653"/>
  <c r="H15" i="653"/>
  <c r="H14" i="653"/>
  <c r="G14" i="653"/>
  <c r="F14" i="653"/>
  <c r="E14" i="653"/>
  <c r="D14" i="653"/>
  <c r="C14" i="653"/>
  <c r="B14" i="653"/>
  <c r="H13" i="653"/>
  <c r="G13" i="653"/>
  <c r="F13" i="653"/>
  <c r="E13" i="653"/>
  <c r="D13" i="653"/>
  <c r="C13" i="653"/>
  <c r="B13" i="653"/>
  <c r="H12" i="653"/>
  <c r="G12" i="653"/>
  <c r="F12" i="653"/>
  <c r="E12" i="653"/>
  <c r="D12" i="653"/>
  <c r="C12" i="653"/>
  <c r="B12" i="653"/>
  <c r="H11" i="653"/>
  <c r="G11" i="653"/>
  <c r="F11" i="653"/>
  <c r="E11" i="653"/>
  <c r="D11" i="653"/>
  <c r="C11" i="653"/>
  <c r="B11" i="653"/>
  <c r="C10" i="653"/>
  <c r="K9" i="653"/>
  <c r="J9" i="653"/>
  <c r="I9" i="653"/>
  <c r="H9" i="653"/>
  <c r="G9" i="653"/>
  <c r="F9" i="653"/>
  <c r="E9" i="653"/>
  <c r="I8" i="653"/>
  <c r="E8" i="653"/>
  <c r="C8" i="653"/>
  <c r="B5" i="653"/>
  <c r="B3" i="653"/>
  <c r="M41" i="733"/>
  <c r="L41" i="733"/>
  <c r="K41" i="733"/>
  <c r="J41" i="733"/>
  <c r="C40" i="733"/>
  <c r="M8" i="733"/>
  <c r="L8" i="733"/>
  <c r="K8" i="733"/>
  <c r="J8" i="733"/>
  <c r="I8" i="733"/>
  <c r="H8" i="733"/>
  <c r="L7" i="733"/>
  <c r="J7" i="733"/>
  <c r="H7" i="733"/>
  <c r="G7" i="733"/>
  <c r="F7" i="733"/>
  <c r="D7" i="733"/>
  <c r="C7" i="733"/>
  <c r="B7" i="733"/>
  <c r="B5" i="733"/>
  <c r="B3" i="733"/>
  <c r="B61" i="717"/>
  <c r="B57" i="717"/>
  <c r="B56" i="717"/>
  <c r="C54" i="717"/>
  <c r="B54" i="717"/>
  <c r="B53" i="717"/>
  <c r="B52" i="717"/>
  <c r="B51" i="717"/>
  <c r="B50" i="717"/>
  <c r="B49" i="717"/>
  <c r="B48" i="717"/>
  <c r="B47" i="717"/>
  <c r="B46" i="717"/>
  <c r="D45" i="717"/>
  <c r="C45" i="717"/>
  <c r="B44" i="717"/>
  <c r="D32" i="717"/>
  <c r="B32" i="717"/>
  <c r="E31" i="717"/>
  <c r="D31" i="717"/>
  <c r="C31" i="717"/>
  <c r="B31" i="717"/>
  <c r="E30" i="717"/>
  <c r="D30" i="717"/>
  <c r="C30" i="717"/>
  <c r="B30" i="717"/>
  <c r="B29" i="717"/>
  <c r="B26" i="717"/>
  <c r="B24" i="717"/>
  <c r="B22" i="717"/>
  <c r="B21" i="717"/>
  <c r="B18" i="717"/>
  <c r="B17" i="717"/>
  <c r="B16" i="717"/>
  <c r="B15" i="717"/>
  <c r="B14" i="717"/>
  <c r="B13" i="717"/>
  <c r="D12" i="717"/>
  <c r="C12" i="717"/>
  <c r="B12" i="717"/>
  <c r="B11" i="717"/>
  <c r="B9" i="717"/>
  <c r="D8" i="717"/>
  <c r="C8" i="717"/>
  <c r="B8" i="717"/>
  <c r="B7" i="717"/>
  <c r="B5" i="717"/>
  <c r="B3" i="717"/>
  <c r="J34" i="41"/>
  <c r="I34" i="41"/>
  <c r="H34" i="41"/>
  <c r="J33" i="41"/>
  <c r="I33" i="41"/>
  <c r="H33" i="41"/>
  <c r="G33" i="41"/>
  <c r="J32" i="41"/>
  <c r="I32" i="41"/>
  <c r="H32" i="41"/>
  <c r="G32" i="41"/>
  <c r="J31" i="41"/>
  <c r="I31" i="41"/>
  <c r="G31" i="41"/>
  <c r="F30" i="41"/>
  <c r="J27" i="41"/>
  <c r="I27" i="41"/>
  <c r="H27" i="41"/>
  <c r="H26" i="41"/>
  <c r="G26" i="41"/>
  <c r="F26" i="41"/>
  <c r="E26" i="41"/>
  <c r="D26" i="41"/>
  <c r="C26" i="41"/>
  <c r="B26" i="41"/>
  <c r="H25" i="41"/>
  <c r="G25" i="41"/>
  <c r="F25" i="41"/>
  <c r="E25" i="41"/>
  <c r="D25" i="41"/>
  <c r="C25" i="41"/>
  <c r="B25" i="41"/>
  <c r="H24" i="41"/>
  <c r="G24" i="41"/>
  <c r="F24" i="41"/>
  <c r="E24" i="41"/>
  <c r="D24" i="41"/>
  <c r="C24" i="41"/>
  <c r="B24" i="41"/>
  <c r="C23" i="41"/>
  <c r="J21" i="41"/>
  <c r="I21" i="41"/>
  <c r="H21" i="41"/>
  <c r="H20" i="41"/>
  <c r="G20" i="41"/>
  <c r="F20" i="41"/>
  <c r="E20" i="41"/>
  <c r="D20" i="41"/>
  <c r="C20" i="41"/>
  <c r="B20" i="41"/>
  <c r="H19" i="41"/>
  <c r="G19" i="41"/>
  <c r="F19" i="41"/>
  <c r="E19" i="41"/>
  <c r="D19" i="41"/>
  <c r="C19" i="41"/>
  <c r="B19" i="41"/>
  <c r="H18" i="41"/>
  <c r="G18" i="41"/>
  <c r="F18" i="41"/>
  <c r="E18" i="41"/>
  <c r="D18" i="41"/>
  <c r="C18" i="41"/>
  <c r="B18" i="41"/>
  <c r="C17" i="41"/>
  <c r="J15" i="41"/>
  <c r="I15" i="41"/>
  <c r="H15" i="41"/>
  <c r="H14" i="41"/>
  <c r="G14" i="41"/>
  <c r="F14" i="41"/>
  <c r="E14" i="41"/>
  <c r="D14" i="41"/>
  <c r="C14" i="41"/>
  <c r="B14" i="41"/>
  <c r="H13" i="41"/>
  <c r="G13" i="41"/>
  <c r="F13" i="41"/>
  <c r="E13" i="41"/>
  <c r="D13" i="41"/>
  <c r="C13" i="41"/>
  <c r="B13" i="41"/>
  <c r="H12" i="41"/>
  <c r="G12" i="41"/>
  <c r="F12" i="41"/>
  <c r="E12" i="41"/>
  <c r="D12" i="41"/>
  <c r="C12" i="41"/>
  <c r="B12" i="41"/>
  <c r="H11" i="41"/>
  <c r="G11" i="41"/>
  <c r="F11" i="41"/>
  <c r="E11" i="41"/>
  <c r="D11" i="41"/>
  <c r="C11" i="41"/>
  <c r="B11" i="41"/>
  <c r="C10" i="41"/>
  <c r="K9" i="41"/>
  <c r="J9" i="41"/>
  <c r="I9" i="41"/>
  <c r="H9" i="41"/>
  <c r="G9" i="41"/>
  <c r="F9" i="41"/>
  <c r="E9" i="41"/>
  <c r="I8" i="41"/>
  <c r="E8" i="41"/>
  <c r="C8" i="41"/>
  <c r="B5" i="41"/>
  <c r="B3" i="41"/>
  <c r="M41" i="605"/>
  <c r="L41" i="605"/>
  <c r="K41" i="605"/>
  <c r="J41" i="605"/>
  <c r="C40" i="605"/>
  <c r="M8" i="605"/>
  <c r="L8" i="605"/>
  <c r="K8" i="605"/>
  <c r="J8" i="605"/>
  <c r="I8" i="605"/>
  <c r="H8" i="605"/>
  <c r="L7" i="605"/>
  <c r="J7" i="605"/>
  <c r="H7" i="605"/>
  <c r="G7" i="605"/>
  <c r="F7" i="605"/>
  <c r="D7" i="605"/>
  <c r="C7" i="605"/>
  <c r="B7" i="605"/>
  <c r="B5" i="605"/>
  <c r="B3" i="605"/>
  <c r="B61" i="15"/>
  <c r="B57" i="15"/>
  <c r="B56" i="15"/>
  <c r="C54" i="15"/>
  <c r="B54" i="15"/>
  <c r="B53" i="15"/>
  <c r="B52" i="15"/>
  <c r="B51" i="15"/>
  <c r="B50" i="15"/>
  <c r="B49" i="15"/>
  <c r="B48" i="15"/>
  <c r="B47" i="15"/>
  <c r="B46" i="15"/>
  <c r="D45" i="15"/>
  <c r="C45" i="15"/>
  <c r="B44" i="15"/>
  <c r="D32" i="15"/>
  <c r="B32" i="15"/>
  <c r="E31" i="15"/>
  <c r="D31" i="15"/>
  <c r="C31" i="15"/>
  <c r="B31" i="15"/>
  <c r="E30" i="15"/>
  <c r="D30" i="15"/>
  <c r="C30" i="15"/>
  <c r="B30" i="15"/>
  <c r="B29" i="15"/>
  <c r="B26" i="15"/>
  <c r="B24" i="15"/>
  <c r="B22" i="15"/>
  <c r="B21" i="15"/>
  <c r="B18" i="15"/>
  <c r="B17" i="15"/>
  <c r="B16" i="15"/>
  <c r="B15" i="15"/>
  <c r="B14" i="15"/>
  <c r="B13" i="15"/>
  <c r="D12" i="15"/>
  <c r="C12" i="15"/>
  <c r="B12" i="15"/>
  <c r="B11" i="15"/>
  <c r="B9" i="15"/>
  <c r="D8" i="15"/>
  <c r="C8" i="15"/>
  <c r="B8" i="15"/>
  <c r="B7" i="15"/>
  <c r="B5" i="15"/>
  <c r="B3" i="15"/>
  <c r="C54" i="1"/>
  <c r="C53" i="1"/>
  <c r="C52" i="1"/>
  <c r="C51" i="1"/>
  <c r="C48" i="1"/>
  <c r="D47" i="1"/>
  <c r="C47" i="1"/>
  <c r="C46" i="1"/>
  <c r="D45" i="1"/>
  <c r="C45" i="1"/>
  <c r="D44" i="1"/>
  <c r="C44" i="1"/>
  <c r="G43" i="1"/>
  <c r="G42" i="1"/>
  <c r="C42" i="1"/>
  <c r="G41" i="1"/>
  <c r="C41" i="1"/>
  <c r="G40" i="1"/>
  <c r="C40" i="1"/>
  <c r="G39" i="1"/>
  <c r="C39" i="1"/>
  <c r="C38" i="1"/>
  <c r="I28" i="1"/>
  <c r="H28" i="1"/>
  <c r="I27" i="1"/>
  <c r="H27" i="1"/>
  <c r="G27" i="1"/>
  <c r="D27" i="1"/>
  <c r="C27" i="1"/>
  <c r="JJ25" i="1"/>
  <c r="JI25" i="1"/>
  <c r="JH25" i="1"/>
  <c r="JG25" i="1"/>
  <c r="JF25" i="1"/>
  <c r="JE25" i="1"/>
  <c r="JD25" i="1"/>
  <c r="JC25" i="1"/>
  <c r="JB25" i="1"/>
  <c r="JA25" i="1"/>
  <c r="IZ25" i="1"/>
  <c r="IY25" i="1"/>
  <c r="IX25" i="1"/>
  <c r="IW25" i="1"/>
  <c r="IV25" i="1"/>
  <c r="IU25" i="1"/>
  <c r="IT25" i="1"/>
  <c r="IS25" i="1"/>
  <c r="IR25" i="1"/>
  <c r="IQ25" i="1"/>
  <c r="IP25" i="1"/>
  <c r="IO25" i="1"/>
  <c r="IN25" i="1"/>
  <c r="IM25" i="1"/>
  <c r="IL25" i="1"/>
  <c r="IK25" i="1"/>
  <c r="IJ25" i="1"/>
  <c r="II25" i="1"/>
  <c r="IH25" i="1"/>
  <c r="IG25" i="1"/>
  <c r="IF25" i="1"/>
  <c r="IE25" i="1"/>
  <c r="ID25" i="1"/>
  <c r="IC25" i="1"/>
  <c r="IB25" i="1"/>
  <c r="IA25" i="1"/>
  <c r="HZ25" i="1"/>
  <c r="HY25" i="1"/>
  <c r="HX25" i="1"/>
  <c r="HW25" i="1"/>
  <c r="HV25" i="1"/>
  <c r="HU25" i="1"/>
  <c r="HT25" i="1"/>
  <c r="HS25" i="1"/>
  <c r="HR25" i="1"/>
  <c r="HQ25" i="1"/>
  <c r="HP25" i="1"/>
  <c r="HO25" i="1"/>
  <c r="HN25" i="1"/>
  <c r="HM25" i="1"/>
  <c r="HL25" i="1"/>
  <c r="HK25" i="1"/>
  <c r="HJ25" i="1"/>
  <c r="HI25" i="1"/>
  <c r="HH25" i="1"/>
  <c r="HG25" i="1"/>
  <c r="HF25" i="1"/>
  <c r="HE25" i="1"/>
  <c r="HD25" i="1"/>
  <c r="HC25" i="1"/>
  <c r="HB25" i="1"/>
  <c r="HA25" i="1"/>
  <c r="GZ25" i="1"/>
  <c r="GY25" i="1"/>
  <c r="GX25" i="1"/>
  <c r="GW25" i="1"/>
  <c r="GV25" i="1"/>
  <c r="GU25" i="1"/>
  <c r="GT25" i="1"/>
  <c r="GS25" i="1"/>
  <c r="GR25" i="1"/>
  <c r="GQ25" i="1"/>
  <c r="GP25" i="1"/>
  <c r="GO25" i="1"/>
  <c r="GN25" i="1"/>
  <c r="GM25" i="1"/>
  <c r="GL25" i="1"/>
  <c r="GK25" i="1"/>
  <c r="GJ25" i="1"/>
  <c r="GI25" i="1"/>
  <c r="GH25" i="1"/>
  <c r="GG25" i="1"/>
  <c r="GF25" i="1"/>
  <c r="GE25" i="1"/>
  <c r="GD25" i="1"/>
  <c r="GC25" i="1"/>
  <c r="GB25" i="1"/>
  <c r="GA25" i="1"/>
  <c r="FZ25" i="1"/>
  <c r="FY25" i="1"/>
  <c r="FX25" i="1"/>
  <c r="FW25" i="1"/>
  <c r="FV25" i="1"/>
  <c r="FU25" i="1"/>
  <c r="FT25" i="1"/>
  <c r="FS25" i="1"/>
  <c r="FR25" i="1"/>
  <c r="FQ25" i="1"/>
  <c r="FP25" i="1"/>
  <c r="FO25" i="1"/>
  <c r="FN25" i="1"/>
  <c r="FM25" i="1"/>
  <c r="FL25" i="1"/>
  <c r="FK25" i="1"/>
  <c r="FJ25" i="1"/>
  <c r="FI25" i="1"/>
  <c r="FH25" i="1"/>
  <c r="FG25" i="1"/>
  <c r="FF25" i="1"/>
  <c r="FE25" i="1"/>
  <c r="FD25" i="1"/>
  <c r="FC25" i="1"/>
  <c r="FB25" i="1"/>
  <c r="FA25" i="1"/>
  <c r="EZ25" i="1"/>
  <c r="EY25" i="1"/>
  <c r="EX25" i="1"/>
  <c r="EW25" i="1"/>
  <c r="EV25" i="1"/>
  <c r="EU25" i="1"/>
  <c r="ET25" i="1"/>
  <c r="ES25" i="1"/>
  <c r="ER25" i="1"/>
  <c r="EQ25" i="1"/>
  <c r="EP25" i="1"/>
  <c r="EO25" i="1"/>
  <c r="EN25" i="1"/>
  <c r="EM25" i="1"/>
  <c r="EL25" i="1"/>
  <c r="EK25" i="1"/>
  <c r="EJ25" i="1"/>
  <c r="EI25" i="1"/>
  <c r="EH25" i="1"/>
  <c r="EG25" i="1"/>
  <c r="EF25" i="1"/>
  <c r="EE25" i="1"/>
  <c r="ED25" i="1"/>
  <c r="EC25" i="1"/>
  <c r="EB25" i="1"/>
  <c r="EA25" i="1"/>
  <c r="DZ25" i="1"/>
  <c r="DY25" i="1"/>
  <c r="DX25" i="1"/>
  <c r="DW25" i="1"/>
  <c r="DV25" i="1"/>
  <c r="DU25" i="1"/>
  <c r="DT25" i="1"/>
  <c r="DS25" i="1"/>
  <c r="DR25" i="1"/>
  <c r="DQ25" i="1"/>
  <c r="DP25" i="1"/>
  <c r="DO25" i="1"/>
  <c r="DN25" i="1"/>
  <c r="DM25" i="1"/>
  <c r="DL25" i="1"/>
  <c r="DK25" i="1"/>
  <c r="DJ25" i="1"/>
  <c r="DI25" i="1"/>
  <c r="DH25" i="1"/>
  <c r="DG25" i="1"/>
  <c r="DF25" i="1"/>
  <c r="DE25" i="1"/>
  <c r="DD25" i="1"/>
  <c r="DC25" i="1"/>
  <c r="DB25" i="1"/>
  <c r="DA25" i="1"/>
  <c r="CZ25" i="1"/>
  <c r="CY25" i="1"/>
  <c r="CX25" i="1"/>
  <c r="CW25" i="1"/>
  <c r="CV25" i="1"/>
  <c r="CU25" i="1"/>
  <c r="CT25" i="1"/>
  <c r="CS25" i="1"/>
  <c r="CR25" i="1"/>
  <c r="CQ25" i="1"/>
  <c r="CP25" i="1"/>
  <c r="CO25" i="1"/>
  <c r="CN25" i="1"/>
  <c r="CM25" i="1"/>
  <c r="CL25" i="1"/>
  <c r="CK25" i="1"/>
  <c r="CJ25" i="1"/>
  <c r="CI25" i="1"/>
  <c r="CH25" i="1"/>
  <c r="CG25" i="1"/>
  <c r="CF25" i="1"/>
  <c r="CE25" i="1"/>
  <c r="CD25" i="1"/>
  <c r="CC25" i="1"/>
  <c r="CB25" i="1"/>
  <c r="CA25" i="1"/>
  <c r="BZ25" i="1"/>
  <c r="BY25" i="1"/>
  <c r="BX25" i="1"/>
  <c r="BW25" i="1"/>
  <c r="BV25" i="1"/>
  <c r="BU25" i="1"/>
  <c r="BT25" i="1"/>
  <c r="BS25" i="1"/>
  <c r="BR25" i="1"/>
  <c r="BQ25" i="1"/>
  <c r="BP25" i="1"/>
  <c r="BO25" i="1"/>
  <c r="BN25" i="1"/>
  <c r="BM25" i="1"/>
  <c r="BL25" i="1"/>
  <c r="BK25" i="1"/>
  <c r="BJ25" i="1"/>
  <c r="BI25" i="1"/>
  <c r="BH25" i="1"/>
  <c r="BG25" i="1"/>
  <c r="BF25" i="1"/>
  <c r="BE25" i="1"/>
  <c r="BD25" i="1"/>
  <c r="BC25" i="1"/>
  <c r="BB25" i="1"/>
  <c r="BA25" i="1"/>
  <c r="AZ25" i="1"/>
  <c r="AY25" i="1"/>
  <c r="AX25" i="1"/>
  <c r="AW25" i="1"/>
  <c r="AV25" i="1"/>
  <c r="AU25" i="1"/>
  <c r="AT25" i="1"/>
  <c r="AS25" i="1"/>
  <c r="AR25" i="1"/>
  <c r="AQ25" i="1"/>
  <c r="AP25" i="1"/>
  <c r="AO25" i="1"/>
  <c r="AN25" i="1"/>
  <c r="AM25" i="1"/>
  <c r="AL25" i="1"/>
  <c r="AK25" i="1"/>
  <c r="AJ25" i="1"/>
  <c r="AI25" i="1"/>
  <c r="AH25" i="1"/>
  <c r="AG25" i="1"/>
  <c r="AF25" i="1"/>
  <c r="AE25" i="1"/>
  <c r="AD25" i="1"/>
  <c r="AC25" i="1"/>
  <c r="AB25" i="1"/>
  <c r="AA25" i="1"/>
  <c r="Z25" i="1"/>
  <c r="Y25" i="1"/>
  <c r="X25" i="1"/>
  <c r="W25" i="1"/>
  <c r="V25" i="1"/>
  <c r="U25" i="1"/>
  <c r="T25" i="1"/>
  <c r="S25" i="1"/>
  <c r="N25" i="1"/>
  <c r="M25" i="1"/>
  <c r="L25" i="1"/>
  <c r="K25" i="1"/>
  <c r="G25" i="1"/>
  <c r="JJ24" i="1"/>
  <c r="JI24" i="1"/>
  <c r="JH24" i="1"/>
  <c r="JG24" i="1"/>
  <c r="JF24" i="1"/>
  <c r="JE24" i="1"/>
  <c r="JD24" i="1"/>
  <c r="JC24" i="1"/>
  <c r="JB24" i="1"/>
  <c r="JA24" i="1"/>
  <c r="IZ24" i="1"/>
  <c r="IY24" i="1"/>
  <c r="IX24" i="1"/>
  <c r="IW24" i="1"/>
  <c r="IV24" i="1"/>
  <c r="IU24" i="1"/>
  <c r="IT24" i="1"/>
  <c r="IS24" i="1"/>
  <c r="IR24" i="1"/>
  <c r="IQ24" i="1"/>
  <c r="IP24" i="1"/>
  <c r="IO24" i="1"/>
  <c r="IN24" i="1"/>
  <c r="IM24" i="1"/>
  <c r="IL24" i="1"/>
  <c r="IK24" i="1"/>
  <c r="IJ24" i="1"/>
  <c r="II24" i="1"/>
  <c r="IH24" i="1"/>
  <c r="IG24" i="1"/>
  <c r="IF24" i="1"/>
  <c r="IE24" i="1"/>
  <c r="ID24" i="1"/>
  <c r="IC24" i="1"/>
  <c r="IB24" i="1"/>
  <c r="IA24" i="1"/>
  <c r="HZ24" i="1"/>
  <c r="HY24" i="1"/>
  <c r="HX24" i="1"/>
  <c r="HW24" i="1"/>
  <c r="HV24" i="1"/>
  <c r="HU24" i="1"/>
  <c r="HT24" i="1"/>
  <c r="HS24" i="1"/>
  <c r="HR24" i="1"/>
  <c r="HQ24" i="1"/>
  <c r="HP24" i="1"/>
  <c r="HO24" i="1"/>
  <c r="HN24" i="1"/>
  <c r="HM24" i="1"/>
  <c r="HL24" i="1"/>
  <c r="HK24" i="1"/>
  <c r="HJ24" i="1"/>
  <c r="HI24" i="1"/>
  <c r="HH24" i="1"/>
  <c r="HG24" i="1"/>
  <c r="HF24" i="1"/>
  <c r="HE24" i="1"/>
  <c r="HD24" i="1"/>
  <c r="HC24" i="1"/>
  <c r="HB24" i="1"/>
  <c r="HA24" i="1"/>
  <c r="GZ24" i="1"/>
  <c r="GY24" i="1"/>
  <c r="GX24" i="1"/>
  <c r="GW24" i="1"/>
  <c r="GV24" i="1"/>
  <c r="GU24" i="1"/>
  <c r="GT24" i="1"/>
  <c r="GS24" i="1"/>
  <c r="GR24" i="1"/>
  <c r="GQ24" i="1"/>
  <c r="GP24" i="1"/>
  <c r="GO24" i="1"/>
  <c r="GN24" i="1"/>
  <c r="GM24" i="1"/>
  <c r="GL24" i="1"/>
  <c r="GK24" i="1"/>
  <c r="GJ24" i="1"/>
  <c r="GI24" i="1"/>
  <c r="GH24" i="1"/>
  <c r="GG24" i="1"/>
  <c r="GF24" i="1"/>
  <c r="GE24" i="1"/>
  <c r="GD24" i="1"/>
  <c r="GC24" i="1"/>
  <c r="GB24" i="1"/>
  <c r="GA24" i="1"/>
  <c r="FZ24" i="1"/>
  <c r="FY24" i="1"/>
  <c r="FX24" i="1"/>
  <c r="FW24" i="1"/>
  <c r="FV24" i="1"/>
  <c r="FU24" i="1"/>
  <c r="FT24" i="1"/>
  <c r="FS24" i="1"/>
  <c r="FR24" i="1"/>
  <c r="FQ24" i="1"/>
  <c r="FP24" i="1"/>
  <c r="FO24" i="1"/>
  <c r="FN24" i="1"/>
  <c r="FM24" i="1"/>
  <c r="FL24" i="1"/>
  <c r="FK24" i="1"/>
  <c r="FJ24" i="1"/>
  <c r="FI24" i="1"/>
  <c r="FH24" i="1"/>
  <c r="FG24" i="1"/>
  <c r="FF24" i="1"/>
  <c r="FE24" i="1"/>
  <c r="FD24" i="1"/>
  <c r="FC24" i="1"/>
  <c r="FB24" i="1"/>
  <c r="FA24" i="1"/>
  <c r="EZ24" i="1"/>
  <c r="EY24" i="1"/>
  <c r="EX24" i="1"/>
  <c r="EW24" i="1"/>
  <c r="EV24" i="1"/>
  <c r="EU24" i="1"/>
  <c r="ET24" i="1"/>
  <c r="ES24" i="1"/>
  <c r="ER24" i="1"/>
  <c r="EQ24" i="1"/>
  <c r="EP24" i="1"/>
  <c r="EO24" i="1"/>
  <c r="EN24" i="1"/>
  <c r="EM24" i="1"/>
  <c r="EL24" i="1"/>
  <c r="EK24" i="1"/>
  <c r="EJ24" i="1"/>
  <c r="EI24" i="1"/>
  <c r="EH24" i="1"/>
  <c r="EG24" i="1"/>
  <c r="EF24" i="1"/>
  <c r="EE24" i="1"/>
  <c r="ED24" i="1"/>
  <c r="EC24" i="1"/>
  <c r="EB24" i="1"/>
  <c r="EA24" i="1"/>
  <c r="DZ24" i="1"/>
  <c r="DY24" i="1"/>
  <c r="DX24" i="1"/>
  <c r="DW24" i="1"/>
  <c r="DV24" i="1"/>
  <c r="DU24" i="1"/>
  <c r="DT24" i="1"/>
  <c r="DS24" i="1"/>
  <c r="DR24" i="1"/>
  <c r="DQ24" i="1"/>
  <c r="DP24" i="1"/>
  <c r="DO24" i="1"/>
  <c r="DN24" i="1"/>
  <c r="DM24" i="1"/>
  <c r="DL24" i="1"/>
  <c r="DK24" i="1"/>
  <c r="DJ24" i="1"/>
  <c r="DI24" i="1"/>
  <c r="DH24" i="1"/>
  <c r="DG24" i="1"/>
  <c r="DF24" i="1"/>
  <c r="DE24" i="1"/>
  <c r="DD24" i="1"/>
  <c r="DC24" i="1"/>
  <c r="DB24" i="1"/>
  <c r="DA24" i="1"/>
  <c r="CZ24" i="1"/>
  <c r="CY24" i="1"/>
  <c r="CX24" i="1"/>
  <c r="CW24" i="1"/>
  <c r="CV24" i="1"/>
  <c r="CU24" i="1"/>
  <c r="CT24" i="1"/>
  <c r="CS24" i="1"/>
  <c r="CR24" i="1"/>
  <c r="CQ24" i="1"/>
  <c r="CP24" i="1"/>
  <c r="CO24" i="1"/>
  <c r="CN24" i="1"/>
  <c r="CM24" i="1"/>
  <c r="CL24" i="1"/>
  <c r="CK24" i="1"/>
  <c r="CJ24" i="1"/>
  <c r="CI24" i="1"/>
  <c r="CH24" i="1"/>
  <c r="CG24" i="1"/>
  <c r="CF24" i="1"/>
  <c r="CE24" i="1"/>
  <c r="CD24" i="1"/>
  <c r="CC24" i="1"/>
  <c r="CB24" i="1"/>
  <c r="CA24" i="1"/>
  <c r="BZ24" i="1"/>
  <c r="BY24" i="1"/>
  <c r="BX24" i="1"/>
  <c r="BW24" i="1"/>
  <c r="BV24" i="1"/>
  <c r="BU24" i="1"/>
  <c r="BT24" i="1"/>
  <c r="BS24" i="1"/>
  <c r="BR24" i="1"/>
  <c r="BQ24" i="1"/>
  <c r="BP24" i="1"/>
  <c r="BO24" i="1"/>
  <c r="BN24" i="1"/>
  <c r="BM24" i="1"/>
  <c r="BL24" i="1"/>
  <c r="BK24" i="1"/>
  <c r="BJ24" i="1"/>
  <c r="BI24" i="1"/>
  <c r="BH24" i="1"/>
  <c r="BG24" i="1"/>
  <c r="BF24" i="1"/>
  <c r="BE24" i="1"/>
  <c r="BD24" i="1"/>
  <c r="BC24" i="1"/>
  <c r="BB24" i="1"/>
  <c r="BA24" i="1"/>
  <c r="AZ24" i="1"/>
  <c r="AY24" i="1"/>
  <c r="AX24" i="1"/>
  <c r="AW24" i="1"/>
  <c r="AV24" i="1"/>
  <c r="AU24" i="1"/>
  <c r="AT24" i="1"/>
  <c r="AS24" i="1"/>
  <c r="AR24" i="1"/>
  <c r="AQ24" i="1"/>
  <c r="AP24" i="1"/>
  <c r="AO24" i="1"/>
  <c r="AN24" i="1"/>
  <c r="AM24" i="1"/>
  <c r="AL24" i="1"/>
  <c r="AK24" i="1"/>
  <c r="AJ24" i="1"/>
  <c r="AI24" i="1"/>
  <c r="AH24" i="1"/>
  <c r="AG24" i="1"/>
  <c r="AF24" i="1"/>
  <c r="AE24" i="1"/>
  <c r="AD24" i="1"/>
  <c r="AC24" i="1"/>
  <c r="AB24" i="1"/>
  <c r="AA24" i="1"/>
  <c r="Z24" i="1"/>
  <c r="Y24" i="1"/>
  <c r="X24" i="1"/>
  <c r="W24" i="1"/>
  <c r="V24" i="1"/>
  <c r="U24" i="1"/>
  <c r="T24" i="1"/>
  <c r="S24" i="1"/>
  <c r="N24" i="1"/>
  <c r="M24" i="1"/>
  <c r="L24" i="1"/>
  <c r="K24" i="1"/>
  <c r="G24" i="1"/>
  <c r="JJ23" i="1"/>
  <c r="JI23" i="1"/>
  <c r="JH23" i="1"/>
  <c r="JG23" i="1"/>
  <c r="JF23" i="1"/>
  <c r="JE23" i="1"/>
  <c r="JD23" i="1"/>
  <c r="JC23" i="1"/>
  <c r="JB23" i="1"/>
  <c r="JA23" i="1"/>
  <c r="IZ23" i="1"/>
  <c r="IY23" i="1"/>
  <c r="IX23" i="1"/>
  <c r="IW23" i="1"/>
  <c r="IV23" i="1"/>
  <c r="IU23" i="1"/>
  <c r="IT23" i="1"/>
  <c r="IS23" i="1"/>
  <c r="IR23" i="1"/>
  <c r="IQ23" i="1"/>
  <c r="IP23" i="1"/>
  <c r="IO23" i="1"/>
  <c r="IN23" i="1"/>
  <c r="IM23" i="1"/>
  <c r="IL23" i="1"/>
  <c r="IK23" i="1"/>
  <c r="IJ23" i="1"/>
  <c r="II23" i="1"/>
  <c r="IH23" i="1"/>
  <c r="IG23" i="1"/>
  <c r="IF23" i="1"/>
  <c r="IE23" i="1"/>
  <c r="ID23" i="1"/>
  <c r="IC23" i="1"/>
  <c r="IB23" i="1"/>
  <c r="IA23" i="1"/>
  <c r="HZ23" i="1"/>
  <c r="HY23" i="1"/>
  <c r="HX23" i="1"/>
  <c r="HW23" i="1"/>
  <c r="HV23" i="1"/>
  <c r="HU23" i="1"/>
  <c r="HT23" i="1"/>
  <c r="HS23" i="1"/>
  <c r="HR23" i="1"/>
  <c r="HQ23" i="1"/>
  <c r="HP23" i="1"/>
  <c r="HO23" i="1"/>
  <c r="HN23" i="1"/>
  <c r="HM23" i="1"/>
  <c r="HL23" i="1"/>
  <c r="HK23" i="1"/>
  <c r="HJ23" i="1"/>
  <c r="HI23" i="1"/>
  <c r="HH23" i="1"/>
  <c r="HG23" i="1"/>
  <c r="HF23" i="1"/>
  <c r="HE23" i="1"/>
  <c r="HD23" i="1"/>
  <c r="HC23" i="1"/>
  <c r="HB23" i="1"/>
  <c r="HA23" i="1"/>
  <c r="GZ23" i="1"/>
  <c r="GY23" i="1"/>
  <c r="GX23" i="1"/>
  <c r="GW23" i="1"/>
  <c r="GV23" i="1"/>
  <c r="GU23" i="1"/>
  <c r="GT23" i="1"/>
  <c r="GS23" i="1"/>
  <c r="GR23" i="1"/>
  <c r="GQ23" i="1"/>
  <c r="GP23" i="1"/>
  <c r="GO23" i="1"/>
  <c r="GN23" i="1"/>
  <c r="GM23" i="1"/>
  <c r="GL23" i="1"/>
  <c r="GK23" i="1"/>
  <c r="GJ23" i="1"/>
  <c r="GI23" i="1"/>
  <c r="GH23" i="1"/>
  <c r="GG23" i="1"/>
  <c r="GF23" i="1"/>
  <c r="GE23" i="1"/>
  <c r="GD23" i="1"/>
  <c r="GC23" i="1"/>
  <c r="GB23" i="1"/>
  <c r="GA23" i="1"/>
  <c r="FZ23" i="1"/>
  <c r="FY23" i="1"/>
  <c r="FX23" i="1"/>
  <c r="FW23" i="1"/>
  <c r="FV23" i="1"/>
  <c r="FU23" i="1"/>
  <c r="FT23" i="1"/>
  <c r="FS23" i="1"/>
  <c r="FR23" i="1"/>
  <c r="FQ23" i="1"/>
  <c r="FP23" i="1"/>
  <c r="FO23" i="1"/>
  <c r="FN23" i="1"/>
  <c r="FM23" i="1"/>
  <c r="FL23" i="1"/>
  <c r="FK23" i="1"/>
  <c r="FJ23" i="1"/>
  <c r="FI23" i="1"/>
  <c r="FH23" i="1"/>
  <c r="FG23" i="1"/>
  <c r="FF23" i="1"/>
  <c r="FE23" i="1"/>
  <c r="FD23" i="1"/>
  <c r="FC23" i="1"/>
  <c r="FB23" i="1"/>
  <c r="FA23" i="1"/>
  <c r="EZ23" i="1"/>
  <c r="EY23" i="1"/>
  <c r="EX23" i="1"/>
  <c r="EW23" i="1"/>
  <c r="EV23" i="1"/>
  <c r="EU23" i="1"/>
  <c r="ET23" i="1"/>
  <c r="ES23" i="1"/>
  <c r="ER23" i="1"/>
  <c r="EQ23" i="1"/>
  <c r="EP23" i="1"/>
  <c r="EO23" i="1"/>
  <c r="EN23" i="1"/>
  <c r="EM23" i="1"/>
  <c r="EL23" i="1"/>
  <c r="EK23" i="1"/>
  <c r="EJ23" i="1"/>
  <c r="EI23" i="1"/>
  <c r="EH23" i="1"/>
  <c r="EG23" i="1"/>
  <c r="EF23" i="1"/>
  <c r="EE23" i="1"/>
  <c r="ED23" i="1"/>
  <c r="EC23" i="1"/>
  <c r="EB23" i="1"/>
  <c r="EA23" i="1"/>
  <c r="DZ23" i="1"/>
  <c r="DY23" i="1"/>
  <c r="DX23" i="1"/>
  <c r="DW23" i="1"/>
  <c r="DV23" i="1"/>
  <c r="DU23" i="1"/>
  <c r="DT23" i="1"/>
  <c r="DS23" i="1"/>
  <c r="DR23" i="1"/>
  <c r="DQ23" i="1"/>
  <c r="DP23" i="1"/>
  <c r="DO23" i="1"/>
  <c r="DN23" i="1"/>
  <c r="DM23" i="1"/>
  <c r="DL23" i="1"/>
  <c r="DK23" i="1"/>
  <c r="DJ23" i="1"/>
  <c r="DI23" i="1"/>
  <c r="DH23" i="1"/>
  <c r="DG23" i="1"/>
  <c r="DF23" i="1"/>
  <c r="DE23" i="1"/>
  <c r="DD23" i="1"/>
  <c r="DC23" i="1"/>
  <c r="DB23" i="1"/>
  <c r="DA23" i="1"/>
  <c r="CZ23" i="1"/>
  <c r="CY23" i="1"/>
  <c r="CX23" i="1"/>
  <c r="CW23" i="1"/>
  <c r="CV23" i="1"/>
  <c r="CU23" i="1"/>
  <c r="CT23" i="1"/>
  <c r="CS23" i="1"/>
  <c r="CR23" i="1"/>
  <c r="CQ23" i="1"/>
  <c r="CP23" i="1"/>
  <c r="CO23" i="1"/>
  <c r="CN23" i="1"/>
  <c r="CM23" i="1"/>
  <c r="CL23" i="1"/>
  <c r="CK23" i="1"/>
  <c r="CJ23" i="1"/>
  <c r="CI23" i="1"/>
  <c r="CH23" i="1"/>
  <c r="CG23" i="1"/>
  <c r="CF23" i="1"/>
  <c r="CE23" i="1"/>
  <c r="CD23" i="1"/>
  <c r="CC23" i="1"/>
  <c r="CB23" i="1"/>
  <c r="CA23" i="1"/>
  <c r="BZ23" i="1"/>
  <c r="BY23" i="1"/>
  <c r="BX23" i="1"/>
  <c r="BW23" i="1"/>
  <c r="BV23" i="1"/>
  <c r="BU23" i="1"/>
  <c r="BT23" i="1"/>
  <c r="BS23" i="1"/>
  <c r="BR23" i="1"/>
  <c r="BQ23" i="1"/>
  <c r="BP23" i="1"/>
  <c r="BO23" i="1"/>
  <c r="BN23" i="1"/>
  <c r="BM23" i="1"/>
  <c r="BL23" i="1"/>
  <c r="BK23" i="1"/>
  <c r="BJ23" i="1"/>
  <c r="BI23" i="1"/>
  <c r="BH23" i="1"/>
  <c r="BG23" i="1"/>
  <c r="BF23" i="1"/>
  <c r="BE23" i="1"/>
  <c r="BD23" i="1"/>
  <c r="BC23" i="1"/>
  <c r="BB23" i="1"/>
  <c r="BA23" i="1"/>
  <c r="AZ23" i="1"/>
  <c r="AY23" i="1"/>
  <c r="AX23" i="1"/>
  <c r="AW23" i="1"/>
  <c r="AV23" i="1"/>
  <c r="AU23" i="1"/>
  <c r="AT23" i="1"/>
  <c r="AS23" i="1"/>
  <c r="AR23" i="1"/>
  <c r="AQ23" i="1"/>
  <c r="AP23" i="1"/>
  <c r="AO23" i="1"/>
  <c r="AN23" i="1"/>
  <c r="AM23" i="1"/>
  <c r="AL23" i="1"/>
  <c r="AK23" i="1"/>
  <c r="AJ23" i="1"/>
  <c r="AI23" i="1"/>
  <c r="AH23" i="1"/>
  <c r="AG23" i="1"/>
  <c r="AF23" i="1"/>
  <c r="AE23" i="1"/>
  <c r="AD23" i="1"/>
  <c r="AC23" i="1"/>
  <c r="AB23" i="1"/>
  <c r="AA23" i="1"/>
  <c r="Z23" i="1"/>
  <c r="Y23" i="1"/>
  <c r="X23" i="1"/>
  <c r="W23" i="1"/>
  <c r="V23" i="1"/>
  <c r="U23" i="1"/>
  <c r="T23" i="1"/>
  <c r="S23" i="1"/>
  <c r="N23" i="1"/>
  <c r="M23" i="1"/>
  <c r="L23" i="1"/>
  <c r="K23" i="1"/>
  <c r="G23" i="1"/>
  <c r="JJ22" i="1"/>
  <c r="JI22" i="1"/>
  <c r="JH22" i="1"/>
  <c r="JG22" i="1"/>
  <c r="JF22" i="1"/>
  <c r="JE22" i="1"/>
  <c r="JD22" i="1"/>
  <c r="JC22" i="1"/>
  <c r="JB22" i="1"/>
  <c r="JA22" i="1"/>
  <c r="IZ22" i="1"/>
  <c r="IY22" i="1"/>
  <c r="IX22" i="1"/>
  <c r="IW22" i="1"/>
  <c r="IV22" i="1"/>
  <c r="IU22" i="1"/>
  <c r="IT22" i="1"/>
  <c r="IS22" i="1"/>
  <c r="IR22" i="1"/>
  <c r="IQ22" i="1"/>
  <c r="IP22" i="1"/>
  <c r="IO22" i="1"/>
  <c r="IN22" i="1"/>
  <c r="IM22" i="1"/>
  <c r="IL22" i="1"/>
  <c r="IK22" i="1"/>
  <c r="IJ22" i="1"/>
  <c r="II22" i="1"/>
  <c r="IH22" i="1"/>
  <c r="IG22" i="1"/>
  <c r="IF22" i="1"/>
  <c r="IE22" i="1"/>
  <c r="ID22" i="1"/>
  <c r="IC22" i="1"/>
  <c r="IB22" i="1"/>
  <c r="IA22" i="1"/>
  <c r="HZ22" i="1"/>
  <c r="HY22" i="1"/>
  <c r="HX22" i="1"/>
  <c r="HW22" i="1"/>
  <c r="HV22" i="1"/>
  <c r="HU22" i="1"/>
  <c r="HT22" i="1"/>
  <c r="HS22" i="1"/>
  <c r="HR22" i="1"/>
  <c r="HQ22" i="1"/>
  <c r="HP22" i="1"/>
  <c r="HO22" i="1"/>
  <c r="HN22" i="1"/>
  <c r="HM22" i="1"/>
  <c r="HL22" i="1"/>
  <c r="HK22" i="1"/>
  <c r="HJ22" i="1"/>
  <c r="HI22" i="1"/>
  <c r="HH22" i="1"/>
  <c r="HG22" i="1"/>
  <c r="HF22" i="1"/>
  <c r="HE22" i="1"/>
  <c r="HD22" i="1"/>
  <c r="HC22" i="1"/>
  <c r="HB22" i="1"/>
  <c r="HA22" i="1"/>
  <c r="GZ22" i="1"/>
  <c r="GY22" i="1"/>
  <c r="GX22" i="1"/>
  <c r="GW22" i="1"/>
  <c r="GV22" i="1"/>
  <c r="GU22" i="1"/>
  <c r="GT22" i="1"/>
  <c r="GS22" i="1"/>
  <c r="GR22" i="1"/>
  <c r="GQ22" i="1"/>
  <c r="GP22" i="1"/>
  <c r="GO22" i="1"/>
  <c r="GN22" i="1"/>
  <c r="GM22" i="1"/>
  <c r="GL22" i="1"/>
  <c r="GK22" i="1"/>
  <c r="GJ22" i="1"/>
  <c r="GI22" i="1"/>
  <c r="GH22" i="1"/>
  <c r="GG22" i="1"/>
  <c r="GF22" i="1"/>
  <c r="GE22" i="1"/>
  <c r="GD22" i="1"/>
  <c r="GC22" i="1"/>
  <c r="GB22" i="1"/>
  <c r="GA22" i="1"/>
  <c r="FZ22" i="1"/>
  <c r="FY22" i="1"/>
  <c r="FX22" i="1"/>
  <c r="FW22" i="1"/>
  <c r="FV22" i="1"/>
  <c r="FU22" i="1"/>
  <c r="FT22" i="1"/>
  <c r="FS22" i="1"/>
  <c r="FR22" i="1"/>
  <c r="FQ22" i="1"/>
  <c r="FP22" i="1"/>
  <c r="FO22" i="1"/>
  <c r="FN22" i="1"/>
  <c r="FM22" i="1"/>
  <c r="FL22" i="1"/>
  <c r="FK22" i="1"/>
  <c r="FJ22" i="1"/>
  <c r="FI22" i="1"/>
  <c r="FH22" i="1"/>
  <c r="FG22" i="1"/>
  <c r="FF22" i="1"/>
  <c r="FE22" i="1"/>
  <c r="FD22" i="1"/>
  <c r="FC22" i="1"/>
  <c r="FB22" i="1"/>
  <c r="FA22" i="1"/>
  <c r="EZ22" i="1"/>
  <c r="EY22" i="1"/>
  <c r="EX22" i="1"/>
  <c r="EW22" i="1"/>
  <c r="EV22" i="1"/>
  <c r="EU22" i="1"/>
  <c r="ET22" i="1"/>
  <c r="ES22" i="1"/>
  <c r="ER22" i="1"/>
  <c r="EQ22" i="1"/>
  <c r="EP22" i="1"/>
  <c r="EO22" i="1"/>
  <c r="EN22" i="1"/>
  <c r="EM22" i="1"/>
  <c r="EL22" i="1"/>
  <c r="EK22" i="1"/>
  <c r="EJ22" i="1"/>
  <c r="EI22" i="1"/>
  <c r="EH22" i="1"/>
  <c r="EG22" i="1"/>
  <c r="EF22" i="1"/>
  <c r="EE22" i="1"/>
  <c r="ED22" i="1"/>
  <c r="EC22" i="1"/>
  <c r="EB22" i="1"/>
  <c r="EA22" i="1"/>
  <c r="DZ22" i="1"/>
  <c r="DY22" i="1"/>
  <c r="DX22" i="1"/>
  <c r="DW22" i="1"/>
  <c r="DV22" i="1"/>
  <c r="DU22" i="1"/>
  <c r="DT22" i="1"/>
  <c r="DS22" i="1"/>
  <c r="DR22" i="1"/>
  <c r="DQ22" i="1"/>
  <c r="DP22" i="1"/>
  <c r="DO22" i="1"/>
  <c r="DN22" i="1"/>
  <c r="DM22" i="1"/>
  <c r="DL22" i="1"/>
  <c r="DK22" i="1"/>
  <c r="DJ22" i="1"/>
  <c r="DI22" i="1"/>
  <c r="DH22" i="1"/>
  <c r="DG22" i="1"/>
  <c r="DF22" i="1"/>
  <c r="DE22" i="1"/>
  <c r="DD22" i="1"/>
  <c r="DC22" i="1"/>
  <c r="DB22" i="1"/>
  <c r="DA22" i="1"/>
  <c r="CZ22" i="1"/>
  <c r="CY22" i="1"/>
  <c r="CX22" i="1"/>
  <c r="CW22" i="1"/>
  <c r="CV22" i="1"/>
  <c r="CU22" i="1"/>
  <c r="CT22" i="1"/>
  <c r="CS22" i="1"/>
  <c r="CR22" i="1"/>
  <c r="CQ22" i="1"/>
  <c r="CP22" i="1"/>
  <c r="CO22" i="1"/>
  <c r="CN22" i="1"/>
  <c r="CM22" i="1"/>
  <c r="CL22" i="1"/>
  <c r="CK22" i="1"/>
  <c r="CJ22" i="1"/>
  <c r="CI22" i="1"/>
  <c r="CH22" i="1"/>
  <c r="CG22" i="1"/>
  <c r="CF22" i="1"/>
  <c r="CE22" i="1"/>
  <c r="CD22" i="1"/>
  <c r="CC22" i="1"/>
  <c r="CB22" i="1"/>
  <c r="CA22" i="1"/>
  <c r="BZ22" i="1"/>
  <c r="BY22" i="1"/>
  <c r="BX22" i="1"/>
  <c r="BW22" i="1"/>
  <c r="BV22" i="1"/>
  <c r="BU22" i="1"/>
  <c r="BT22" i="1"/>
  <c r="BS22" i="1"/>
  <c r="BR22" i="1"/>
  <c r="BQ22" i="1"/>
  <c r="BP22" i="1"/>
  <c r="BO22" i="1"/>
  <c r="BN22" i="1"/>
  <c r="BM22" i="1"/>
  <c r="BL22" i="1"/>
  <c r="BK22" i="1"/>
  <c r="BJ22" i="1"/>
  <c r="BI22" i="1"/>
  <c r="BH22" i="1"/>
  <c r="BG22" i="1"/>
  <c r="BF22" i="1"/>
  <c r="BE22" i="1"/>
  <c r="BD22" i="1"/>
  <c r="BC22" i="1"/>
  <c r="BB22" i="1"/>
  <c r="BA22" i="1"/>
  <c r="AZ22" i="1"/>
  <c r="AY22" i="1"/>
  <c r="AX22" i="1"/>
  <c r="AW22" i="1"/>
  <c r="AV22" i="1"/>
  <c r="AU22" i="1"/>
  <c r="AT22" i="1"/>
  <c r="AS22" i="1"/>
  <c r="AR22" i="1"/>
  <c r="AQ22" i="1"/>
  <c r="AP22" i="1"/>
  <c r="AO22" i="1"/>
  <c r="AN22" i="1"/>
  <c r="AM22" i="1"/>
  <c r="AL22" i="1"/>
  <c r="AK22" i="1"/>
  <c r="AJ22" i="1"/>
  <c r="AI22" i="1"/>
  <c r="AH22" i="1"/>
  <c r="AG22" i="1"/>
  <c r="AF22" i="1"/>
  <c r="AE22" i="1"/>
  <c r="AD22" i="1"/>
  <c r="AC22" i="1"/>
  <c r="AB22" i="1"/>
  <c r="AA22" i="1"/>
  <c r="Z22" i="1"/>
  <c r="Y22" i="1"/>
  <c r="X22" i="1"/>
  <c r="W22" i="1"/>
  <c r="V22" i="1"/>
  <c r="U22" i="1"/>
  <c r="T22" i="1"/>
  <c r="S22" i="1"/>
  <c r="N22" i="1"/>
  <c r="M22" i="1"/>
  <c r="L22" i="1"/>
  <c r="K22" i="1"/>
  <c r="G22" i="1"/>
  <c r="JJ21" i="1"/>
  <c r="JI21" i="1"/>
  <c r="JH21" i="1"/>
  <c r="JG21" i="1"/>
  <c r="JF21" i="1"/>
  <c r="JE21" i="1"/>
  <c r="JD21" i="1"/>
  <c r="JC21" i="1"/>
  <c r="JB21" i="1"/>
  <c r="JA21" i="1"/>
  <c r="IZ21" i="1"/>
  <c r="IY21" i="1"/>
  <c r="IX21" i="1"/>
  <c r="IW21" i="1"/>
  <c r="IV21" i="1"/>
  <c r="IU21" i="1"/>
  <c r="IT21" i="1"/>
  <c r="IS21" i="1"/>
  <c r="IR21" i="1"/>
  <c r="IQ21" i="1"/>
  <c r="IP21" i="1"/>
  <c r="IO21" i="1"/>
  <c r="IN21" i="1"/>
  <c r="IM21" i="1"/>
  <c r="IL21" i="1"/>
  <c r="IK21" i="1"/>
  <c r="IJ21" i="1"/>
  <c r="II21" i="1"/>
  <c r="IH21" i="1"/>
  <c r="IG21" i="1"/>
  <c r="IF21" i="1"/>
  <c r="IE21" i="1"/>
  <c r="ID21" i="1"/>
  <c r="IC21" i="1"/>
  <c r="IB21" i="1"/>
  <c r="IA21" i="1"/>
  <c r="HZ21" i="1"/>
  <c r="HY21" i="1"/>
  <c r="HX21" i="1"/>
  <c r="HW21" i="1"/>
  <c r="HV21" i="1"/>
  <c r="HU21" i="1"/>
  <c r="HT21" i="1"/>
  <c r="HS21" i="1"/>
  <c r="HR21" i="1"/>
  <c r="HQ21" i="1"/>
  <c r="HP21" i="1"/>
  <c r="HO21" i="1"/>
  <c r="HN21" i="1"/>
  <c r="HM21" i="1"/>
  <c r="HL21" i="1"/>
  <c r="HK21" i="1"/>
  <c r="HJ21" i="1"/>
  <c r="HI21" i="1"/>
  <c r="HH21" i="1"/>
  <c r="HG21" i="1"/>
  <c r="HF21" i="1"/>
  <c r="HE21" i="1"/>
  <c r="HD21" i="1"/>
  <c r="HC21" i="1"/>
  <c r="HB21" i="1"/>
  <c r="HA21" i="1"/>
  <c r="GZ21" i="1"/>
  <c r="GY21" i="1"/>
  <c r="GX21" i="1"/>
  <c r="GW21" i="1"/>
  <c r="GV21" i="1"/>
  <c r="GU21" i="1"/>
  <c r="GT21" i="1"/>
  <c r="GS21" i="1"/>
  <c r="GR21" i="1"/>
  <c r="GQ21" i="1"/>
  <c r="GP21" i="1"/>
  <c r="GO21" i="1"/>
  <c r="GN21" i="1"/>
  <c r="GM21" i="1"/>
  <c r="GL21" i="1"/>
  <c r="GK21" i="1"/>
  <c r="GJ21" i="1"/>
  <c r="GI21" i="1"/>
  <c r="GH21" i="1"/>
  <c r="GG21" i="1"/>
  <c r="GF21" i="1"/>
  <c r="GE21" i="1"/>
  <c r="GD21" i="1"/>
  <c r="GC21" i="1"/>
  <c r="GB21" i="1"/>
  <c r="GA21" i="1"/>
  <c r="FZ21" i="1"/>
  <c r="FY21" i="1"/>
  <c r="FX21" i="1"/>
  <c r="FW21" i="1"/>
  <c r="FV21" i="1"/>
  <c r="FU21" i="1"/>
  <c r="FT21" i="1"/>
  <c r="FS21" i="1"/>
  <c r="FR21" i="1"/>
  <c r="FQ21" i="1"/>
  <c r="FP21" i="1"/>
  <c r="FO21" i="1"/>
  <c r="FN21" i="1"/>
  <c r="FM21" i="1"/>
  <c r="FL21" i="1"/>
  <c r="FK21" i="1"/>
  <c r="FJ21" i="1"/>
  <c r="FI21" i="1"/>
  <c r="FH21" i="1"/>
  <c r="FG21" i="1"/>
  <c r="FF21" i="1"/>
  <c r="FE21" i="1"/>
  <c r="FD21" i="1"/>
  <c r="FC21" i="1"/>
  <c r="FB21" i="1"/>
  <c r="FA21" i="1"/>
  <c r="EZ21" i="1"/>
  <c r="EY21" i="1"/>
  <c r="EX21" i="1"/>
  <c r="EW21" i="1"/>
  <c r="EV21" i="1"/>
  <c r="EU21" i="1"/>
  <c r="ET21" i="1"/>
  <c r="ES21" i="1"/>
  <c r="ER21" i="1"/>
  <c r="EQ21" i="1"/>
  <c r="EP21" i="1"/>
  <c r="EO21" i="1"/>
  <c r="EN21" i="1"/>
  <c r="EM21" i="1"/>
  <c r="EL21" i="1"/>
  <c r="EK21" i="1"/>
  <c r="EJ21" i="1"/>
  <c r="EI21" i="1"/>
  <c r="EH21" i="1"/>
  <c r="EG21" i="1"/>
  <c r="EF21" i="1"/>
  <c r="EE21" i="1"/>
  <c r="ED21" i="1"/>
  <c r="EC21" i="1"/>
  <c r="EB21" i="1"/>
  <c r="EA21" i="1"/>
  <c r="DZ21" i="1"/>
  <c r="DY21" i="1"/>
  <c r="DX21" i="1"/>
  <c r="DW21" i="1"/>
  <c r="DV21" i="1"/>
  <c r="DU21" i="1"/>
  <c r="DT21" i="1"/>
  <c r="DS21" i="1"/>
  <c r="DR21" i="1"/>
  <c r="DQ21" i="1"/>
  <c r="DP21" i="1"/>
  <c r="DO21" i="1"/>
  <c r="DN21" i="1"/>
  <c r="DM21" i="1"/>
  <c r="DL21" i="1"/>
  <c r="DK21" i="1"/>
  <c r="DJ21" i="1"/>
  <c r="DI21" i="1"/>
  <c r="DH21" i="1"/>
  <c r="DG21" i="1"/>
  <c r="DF21" i="1"/>
  <c r="DE21" i="1"/>
  <c r="DD21" i="1"/>
  <c r="DC21" i="1"/>
  <c r="DB21" i="1"/>
  <c r="DA21" i="1"/>
  <c r="CZ21" i="1"/>
  <c r="CY21" i="1"/>
  <c r="CX21" i="1"/>
  <c r="CW21" i="1"/>
  <c r="CV21" i="1"/>
  <c r="CU21" i="1"/>
  <c r="CT21" i="1"/>
  <c r="CS21" i="1"/>
  <c r="CR21" i="1"/>
  <c r="CQ21" i="1"/>
  <c r="CP21" i="1"/>
  <c r="CO21" i="1"/>
  <c r="CN21" i="1"/>
  <c r="CM21" i="1"/>
  <c r="CL21" i="1"/>
  <c r="CK21" i="1"/>
  <c r="CJ21" i="1"/>
  <c r="CI21" i="1"/>
  <c r="CH21" i="1"/>
  <c r="CG21" i="1"/>
  <c r="CF21" i="1"/>
  <c r="CE21" i="1"/>
  <c r="CD21" i="1"/>
  <c r="CC21" i="1"/>
  <c r="CB21" i="1"/>
  <c r="CA21" i="1"/>
  <c r="BZ21" i="1"/>
  <c r="BY21" i="1"/>
  <c r="BX21" i="1"/>
  <c r="BW21" i="1"/>
  <c r="BV21" i="1"/>
  <c r="BU21" i="1"/>
  <c r="BT21" i="1"/>
  <c r="BS21" i="1"/>
  <c r="BR21" i="1"/>
  <c r="BQ21" i="1"/>
  <c r="BP21" i="1"/>
  <c r="BO21" i="1"/>
  <c r="BN21" i="1"/>
  <c r="BM21" i="1"/>
  <c r="BL21" i="1"/>
  <c r="BK21" i="1"/>
  <c r="BJ21" i="1"/>
  <c r="BI21" i="1"/>
  <c r="BH21" i="1"/>
  <c r="BG21" i="1"/>
  <c r="BF21" i="1"/>
  <c r="BE21" i="1"/>
  <c r="BD21" i="1"/>
  <c r="BC21" i="1"/>
  <c r="BB21" i="1"/>
  <c r="BA21" i="1"/>
  <c r="AZ21" i="1"/>
  <c r="AY21" i="1"/>
  <c r="AX21" i="1"/>
  <c r="AW21" i="1"/>
  <c r="AV21" i="1"/>
  <c r="AU21" i="1"/>
  <c r="AT21" i="1"/>
  <c r="AS21" i="1"/>
  <c r="AR21" i="1"/>
  <c r="AQ21" i="1"/>
  <c r="AP21" i="1"/>
  <c r="AO21" i="1"/>
  <c r="AN21" i="1"/>
  <c r="AM21" i="1"/>
  <c r="AL21" i="1"/>
  <c r="AK21" i="1"/>
  <c r="AJ21" i="1"/>
  <c r="AI21" i="1"/>
  <c r="AH21" i="1"/>
  <c r="AG21" i="1"/>
  <c r="AF21" i="1"/>
  <c r="AE21" i="1"/>
  <c r="AD21" i="1"/>
  <c r="AC21" i="1"/>
  <c r="AB21" i="1"/>
  <c r="AA21" i="1"/>
  <c r="Z21" i="1"/>
  <c r="Y21" i="1"/>
  <c r="X21" i="1"/>
  <c r="W21" i="1"/>
  <c r="V21" i="1"/>
  <c r="U21" i="1"/>
  <c r="T21" i="1"/>
  <c r="S21" i="1"/>
  <c r="N21" i="1"/>
  <c r="M21" i="1"/>
  <c r="L21" i="1"/>
  <c r="K21" i="1"/>
  <c r="G21" i="1"/>
  <c r="JJ20" i="1"/>
  <c r="JI20" i="1"/>
  <c r="JH20" i="1"/>
  <c r="JG20" i="1"/>
  <c r="JF20" i="1"/>
  <c r="JE20" i="1"/>
  <c r="JD20" i="1"/>
  <c r="JC20" i="1"/>
  <c r="JB20" i="1"/>
  <c r="JA20" i="1"/>
  <c r="IZ20" i="1"/>
  <c r="IY20" i="1"/>
  <c r="IX20" i="1"/>
  <c r="IW20" i="1"/>
  <c r="IV20" i="1"/>
  <c r="IU20" i="1"/>
  <c r="IT20" i="1"/>
  <c r="IS20" i="1"/>
  <c r="IR20" i="1"/>
  <c r="IQ20" i="1"/>
  <c r="IP20" i="1"/>
  <c r="IO20" i="1"/>
  <c r="IN20" i="1"/>
  <c r="IM20" i="1"/>
  <c r="IL20" i="1"/>
  <c r="IK20" i="1"/>
  <c r="IJ20" i="1"/>
  <c r="II20" i="1"/>
  <c r="IH20" i="1"/>
  <c r="IG20" i="1"/>
  <c r="IF20" i="1"/>
  <c r="IE20" i="1"/>
  <c r="ID20" i="1"/>
  <c r="IC20" i="1"/>
  <c r="IB20" i="1"/>
  <c r="IA20" i="1"/>
  <c r="HZ20" i="1"/>
  <c r="HY20" i="1"/>
  <c r="HX20" i="1"/>
  <c r="HW20" i="1"/>
  <c r="HV20" i="1"/>
  <c r="HU20" i="1"/>
  <c r="HT20" i="1"/>
  <c r="HS20" i="1"/>
  <c r="HR20" i="1"/>
  <c r="HQ20" i="1"/>
  <c r="HP20" i="1"/>
  <c r="HO20" i="1"/>
  <c r="HN20" i="1"/>
  <c r="HM20" i="1"/>
  <c r="HL20" i="1"/>
  <c r="HK20" i="1"/>
  <c r="HJ20" i="1"/>
  <c r="HI20" i="1"/>
  <c r="HH20" i="1"/>
  <c r="HG20" i="1"/>
  <c r="HF20" i="1"/>
  <c r="HE20" i="1"/>
  <c r="HD20" i="1"/>
  <c r="HC20" i="1"/>
  <c r="HB20" i="1"/>
  <c r="HA20" i="1"/>
  <c r="GZ20" i="1"/>
  <c r="GY20" i="1"/>
  <c r="GX20" i="1"/>
  <c r="GW20" i="1"/>
  <c r="GV20" i="1"/>
  <c r="GU20" i="1"/>
  <c r="GT20" i="1"/>
  <c r="GS20" i="1"/>
  <c r="GR20" i="1"/>
  <c r="GQ20" i="1"/>
  <c r="GP20" i="1"/>
  <c r="GO20" i="1"/>
  <c r="GN20" i="1"/>
  <c r="GM20" i="1"/>
  <c r="GL20" i="1"/>
  <c r="GK20" i="1"/>
  <c r="GJ20" i="1"/>
  <c r="GI20" i="1"/>
  <c r="GH20" i="1"/>
  <c r="GG20" i="1"/>
  <c r="GF20" i="1"/>
  <c r="GE20" i="1"/>
  <c r="GD20" i="1"/>
  <c r="GC20" i="1"/>
  <c r="GB20" i="1"/>
  <c r="GA20" i="1"/>
  <c r="FZ20" i="1"/>
  <c r="FY20" i="1"/>
  <c r="FX20" i="1"/>
  <c r="FW20" i="1"/>
  <c r="FV20" i="1"/>
  <c r="FU20" i="1"/>
  <c r="FT20" i="1"/>
  <c r="FS20" i="1"/>
  <c r="FR20" i="1"/>
  <c r="FQ20" i="1"/>
  <c r="FP20" i="1"/>
  <c r="FO20" i="1"/>
  <c r="FN20" i="1"/>
  <c r="FM20" i="1"/>
  <c r="FL20" i="1"/>
  <c r="FK20" i="1"/>
  <c r="FJ20" i="1"/>
  <c r="FI20" i="1"/>
  <c r="FH20" i="1"/>
  <c r="FG20" i="1"/>
  <c r="FF20" i="1"/>
  <c r="FE20" i="1"/>
  <c r="FD20" i="1"/>
  <c r="FC20" i="1"/>
  <c r="FB20" i="1"/>
  <c r="FA20" i="1"/>
  <c r="EZ20" i="1"/>
  <c r="EY20" i="1"/>
  <c r="EX20" i="1"/>
  <c r="EW20" i="1"/>
  <c r="EV20" i="1"/>
  <c r="EU20" i="1"/>
  <c r="ET20" i="1"/>
  <c r="ES20" i="1"/>
  <c r="ER20" i="1"/>
  <c r="EQ20" i="1"/>
  <c r="EP20" i="1"/>
  <c r="EO20" i="1"/>
  <c r="EN20" i="1"/>
  <c r="EM20" i="1"/>
  <c r="EL20" i="1"/>
  <c r="EK20" i="1"/>
  <c r="EJ20" i="1"/>
  <c r="EI20" i="1"/>
  <c r="EH20" i="1"/>
  <c r="EG20" i="1"/>
  <c r="EF20" i="1"/>
  <c r="EE20" i="1"/>
  <c r="ED20" i="1"/>
  <c r="EC20" i="1"/>
  <c r="EB20" i="1"/>
  <c r="EA20" i="1"/>
  <c r="DZ20" i="1"/>
  <c r="DY20" i="1"/>
  <c r="DX20" i="1"/>
  <c r="DW20" i="1"/>
  <c r="DV20" i="1"/>
  <c r="DU20" i="1"/>
  <c r="DT20" i="1"/>
  <c r="DS20" i="1"/>
  <c r="DR20" i="1"/>
  <c r="DQ20" i="1"/>
  <c r="DP20" i="1"/>
  <c r="DO20" i="1"/>
  <c r="DN20" i="1"/>
  <c r="DM20" i="1"/>
  <c r="DL20" i="1"/>
  <c r="DK20" i="1"/>
  <c r="DJ20" i="1"/>
  <c r="DI20" i="1"/>
  <c r="DH20" i="1"/>
  <c r="DG20" i="1"/>
  <c r="DF20" i="1"/>
  <c r="DE20" i="1"/>
  <c r="DD20" i="1"/>
  <c r="DC20" i="1"/>
  <c r="DB20" i="1"/>
  <c r="DA20" i="1"/>
  <c r="CZ20" i="1"/>
  <c r="CY20" i="1"/>
  <c r="CX20" i="1"/>
  <c r="CW20" i="1"/>
  <c r="CV20" i="1"/>
  <c r="CU20" i="1"/>
  <c r="CT20" i="1"/>
  <c r="CS20" i="1"/>
  <c r="CR20" i="1"/>
  <c r="CQ20" i="1"/>
  <c r="CP20" i="1"/>
  <c r="CO20" i="1"/>
  <c r="CN20" i="1"/>
  <c r="CM20" i="1"/>
  <c r="CL20" i="1"/>
  <c r="CK20" i="1"/>
  <c r="CJ20" i="1"/>
  <c r="CI20" i="1"/>
  <c r="CH20" i="1"/>
  <c r="CG20" i="1"/>
  <c r="CF20" i="1"/>
  <c r="CE20" i="1"/>
  <c r="CD20" i="1"/>
  <c r="CC20" i="1"/>
  <c r="CB20" i="1"/>
  <c r="CA20" i="1"/>
  <c r="BZ20" i="1"/>
  <c r="BY20" i="1"/>
  <c r="BX20" i="1"/>
  <c r="BW20" i="1"/>
  <c r="BV20" i="1"/>
  <c r="BU20" i="1"/>
  <c r="BT20" i="1"/>
  <c r="BS20" i="1"/>
  <c r="BR20" i="1"/>
  <c r="BQ20" i="1"/>
  <c r="BP20" i="1"/>
  <c r="BO20" i="1"/>
  <c r="BN20" i="1"/>
  <c r="BM20" i="1"/>
  <c r="BL20" i="1"/>
  <c r="BK20" i="1"/>
  <c r="BJ20" i="1"/>
  <c r="BI20" i="1"/>
  <c r="BH20" i="1"/>
  <c r="BG20" i="1"/>
  <c r="BF20" i="1"/>
  <c r="BE20" i="1"/>
  <c r="BD20" i="1"/>
  <c r="BC20" i="1"/>
  <c r="BB20" i="1"/>
  <c r="BA20" i="1"/>
  <c r="AZ20" i="1"/>
  <c r="AY20" i="1"/>
  <c r="AX20" i="1"/>
  <c r="AW20" i="1"/>
  <c r="AV20" i="1"/>
  <c r="AU20" i="1"/>
  <c r="AT20" i="1"/>
  <c r="AS20" i="1"/>
  <c r="AR20" i="1"/>
  <c r="AQ20" i="1"/>
  <c r="AP20" i="1"/>
  <c r="AO20" i="1"/>
  <c r="AN20" i="1"/>
  <c r="AM20" i="1"/>
  <c r="AL20" i="1"/>
  <c r="AK20" i="1"/>
  <c r="AJ20" i="1"/>
  <c r="AI20" i="1"/>
  <c r="AH20" i="1"/>
  <c r="AG20" i="1"/>
  <c r="AF20" i="1"/>
  <c r="AE20" i="1"/>
  <c r="AD20" i="1"/>
  <c r="AC20" i="1"/>
  <c r="AB20" i="1"/>
  <c r="AA20" i="1"/>
  <c r="Z20" i="1"/>
  <c r="Y20" i="1"/>
  <c r="X20" i="1"/>
  <c r="W20" i="1"/>
  <c r="V20" i="1"/>
  <c r="U20" i="1"/>
  <c r="T20" i="1"/>
  <c r="S20" i="1"/>
  <c r="N20" i="1"/>
  <c r="M20" i="1"/>
  <c r="L20" i="1"/>
  <c r="K20" i="1"/>
  <c r="G20" i="1"/>
  <c r="JJ19" i="1"/>
  <c r="JI19" i="1"/>
  <c r="JH19" i="1"/>
  <c r="JG19" i="1"/>
  <c r="JF19" i="1"/>
  <c r="JE19" i="1"/>
  <c r="JD19" i="1"/>
  <c r="JC19" i="1"/>
  <c r="JB19" i="1"/>
  <c r="JA19" i="1"/>
  <c r="IZ19" i="1"/>
  <c r="IY19" i="1"/>
  <c r="IX19" i="1"/>
  <c r="IW19" i="1"/>
  <c r="IV19" i="1"/>
  <c r="IU19" i="1"/>
  <c r="IT19" i="1"/>
  <c r="IS19" i="1"/>
  <c r="IR19" i="1"/>
  <c r="IQ19" i="1"/>
  <c r="IP19" i="1"/>
  <c r="IO19" i="1"/>
  <c r="IN19" i="1"/>
  <c r="IM19" i="1"/>
  <c r="IL19" i="1"/>
  <c r="IK19" i="1"/>
  <c r="IJ19" i="1"/>
  <c r="II19" i="1"/>
  <c r="IH19" i="1"/>
  <c r="IG19" i="1"/>
  <c r="IF19" i="1"/>
  <c r="IE19" i="1"/>
  <c r="ID19" i="1"/>
  <c r="IC19" i="1"/>
  <c r="IB19" i="1"/>
  <c r="IA19" i="1"/>
  <c r="HZ19" i="1"/>
  <c r="HY19" i="1"/>
  <c r="HX19" i="1"/>
  <c r="HW19" i="1"/>
  <c r="HV19" i="1"/>
  <c r="HU19" i="1"/>
  <c r="HT19" i="1"/>
  <c r="HS19" i="1"/>
  <c r="HR19" i="1"/>
  <c r="HQ19" i="1"/>
  <c r="HP19" i="1"/>
  <c r="HO19" i="1"/>
  <c r="HN19" i="1"/>
  <c r="HM19" i="1"/>
  <c r="HL19" i="1"/>
  <c r="HK19" i="1"/>
  <c r="HJ19" i="1"/>
  <c r="HI19" i="1"/>
  <c r="HH19" i="1"/>
  <c r="HG19" i="1"/>
  <c r="HF19" i="1"/>
  <c r="HE19" i="1"/>
  <c r="HD19" i="1"/>
  <c r="HC19" i="1"/>
  <c r="HB19" i="1"/>
  <c r="HA19" i="1"/>
  <c r="GZ19" i="1"/>
  <c r="GY19" i="1"/>
  <c r="GX19" i="1"/>
  <c r="GW19" i="1"/>
  <c r="GV19" i="1"/>
  <c r="GU19" i="1"/>
  <c r="GT19" i="1"/>
  <c r="GS19" i="1"/>
  <c r="GR19" i="1"/>
  <c r="GQ19" i="1"/>
  <c r="GP19" i="1"/>
  <c r="GO19" i="1"/>
  <c r="GN19" i="1"/>
  <c r="GM19" i="1"/>
  <c r="GL19" i="1"/>
  <c r="GK19" i="1"/>
  <c r="GJ19" i="1"/>
  <c r="GI19" i="1"/>
  <c r="GH19" i="1"/>
  <c r="GG19" i="1"/>
  <c r="GF19" i="1"/>
  <c r="GE19" i="1"/>
  <c r="GD19" i="1"/>
  <c r="GC19" i="1"/>
  <c r="GB19" i="1"/>
  <c r="GA19" i="1"/>
  <c r="FZ19" i="1"/>
  <c r="FY19" i="1"/>
  <c r="FX19" i="1"/>
  <c r="FW19" i="1"/>
  <c r="FV19" i="1"/>
  <c r="FU19" i="1"/>
  <c r="FT19" i="1"/>
  <c r="FS19" i="1"/>
  <c r="FR19" i="1"/>
  <c r="FQ19" i="1"/>
  <c r="FP19" i="1"/>
  <c r="FO19" i="1"/>
  <c r="FN19" i="1"/>
  <c r="FM19" i="1"/>
  <c r="FL19" i="1"/>
  <c r="FK19" i="1"/>
  <c r="FJ19" i="1"/>
  <c r="FI19" i="1"/>
  <c r="FH19" i="1"/>
  <c r="FG19" i="1"/>
  <c r="FF19" i="1"/>
  <c r="FE19" i="1"/>
  <c r="FD19" i="1"/>
  <c r="FC19" i="1"/>
  <c r="FB19" i="1"/>
  <c r="FA19" i="1"/>
  <c r="EZ19" i="1"/>
  <c r="EY19" i="1"/>
  <c r="EX19" i="1"/>
  <c r="EW19" i="1"/>
  <c r="EV19" i="1"/>
  <c r="EU19" i="1"/>
  <c r="ET19" i="1"/>
  <c r="ES19" i="1"/>
  <c r="ER19" i="1"/>
  <c r="EQ19" i="1"/>
  <c r="EP19" i="1"/>
  <c r="EO19" i="1"/>
  <c r="EN19" i="1"/>
  <c r="EM19" i="1"/>
  <c r="EL19" i="1"/>
  <c r="EK19" i="1"/>
  <c r="EJ19" i="1"/>
  <c r="EI19" i="1"/>
  <c r="EH19" i="1"/>
  <c r="EG19" i="1"/>
  <c r="EF19" i="1"/>
  <c r="EE19" i="1"/>
  <c r="ED19" i="1"/>
  <c r="EC19" i="1"/>
  <c r="EB19" i="1"/>
  <c r="EA19" i="1"/>
  <c r="DZ19" i="1"/>
  <c r="DY19" i="1"/>
  <c r="DX19" i="1"/>
  <c r="DW19" i="1"/>
  <c r="DV19" i="1"/>
  <c r="DU19" i="1"/>
  <c r="DT19" i="1"/>
  <c r="DS19" i="1"/>
  <c r="DR19" i="1"/>
  <c r="DQ19" i="1"/>
  <c r="DP19" i="1"/>
  <c r="DO19" i="1"/>
  <c r="DN19" i="1"/>
  <c r="DM19" i="1"/>
  <c r="DL19" i="1"/>
  <c r="DK19" i="1"/>
  <c r="DJ19" i="1"/>
  <c r="DI19" i="1"/>
  <c r="DH19" i="1"/>
  <c r="DG19" i="1"/>
  <c r="DF19" i="1"/>
  <c r="DE19" i="1"/>
  <c r="DD19" i="1"/>
  <c r="DC19" i="1"/>
  <c r="DB19" i="1"/>
  <c r="DA19" i="1"/>
  <c r="CZ19" i="1"/>
  <c r="CY19" i="1"/>
  <c r="CX19" i="1"/>
  <c r="CW19" i="1"/>
  <c r="CV19" i="1"/>
  <c r="CU19" i="1"/>
  <c r="CT19" i="1"/>
  <c r="CS19" i="1"/>
  <c r="CR19" i="1"/>
  <c r="CQ19" i="1"/>
  <c r="CP19" i="1"/>
  <c r="CO19" i="1"/>
  <c r="CN19" i="1"/>
  <c r="CM19" i="1"/>
  <c r="CL19" i="1"/>
  <c r="CK19" i="1"/>
  <c r="CJ19" i="1"/>
  <c r="CI19" i="1"/>
  <c r="CH19" i="1"/>
  <c r="CG19" i="1"/>
  <c r="CF19" i="1"/>
  <c r="CE19" i="1"/>
  <c r="CD19" i="1"/>
  <c r="CC19" i="1"/>
  <c r="CB19" i="1"/>
  <c r="CA19" i="1"/>
  <c r="BZ19" i="1"/>
  <c r="BY19" i="1"/>
  <c r="BX19" i="1"/>
  <c r="BW19" i="1"/>
  <c r="BV19" i="1"/>
  <c r="BU19" i="1"/>
  <c r="BT19" i="1"/>
  <c r="BS19" i="1"/>
  <c r="BR19" i="1"/>
  <c r="BQ19" i="1"/>
  <c r="BP19" i="1"/>
  <c r="BO19" i="1"/>
  <c r="BN19" i="1"/>
  <c r="BM19" i="1"/>
  <c r="BL19" i="1"/>
  <c r="BK19" i="1"/>
  <c r="BJ19" i="1"/>
  <c r="BI19" i="1"/>
  <c r="BH19" i="1"/>
  <c r="BG19" i="1"/>
  <c r="BF19" i="1"/>
  <c r="BE19" i="1"/>
  <c r="BD19" i="1"/>
  <c r="BC19" i="1"/>
  <c r="BB19" i="1"/>
  <c r="BA19" i="1"/>
  <c r="AZ19" i="1"/>
  <c r="AY19" i="1"/>
  <c r="AX19" i="1"/>
  <c r="AW19" i="1"/>
  <c r="AV19" i="1"/>
  <c r="AU19" i="1"/>
  <c r="AT19" i="1"/>
  <c r="AS19" i="1"/>
  <c r="AR19" i="1"/>
  <c r="AQ19" i="1"/>
  <c r="AP19" i="1"/>
  <c r="AO19" i="1"/>
  <c r="AN19" i="1"/>
  <c r="AM19" i="1"/>
  <c r="AL19" i="1"/>
  <c r="AK19" i="1"/>
  <c r="AJ19" i="1"/>
  <c r="AI19" i="1"/>
  <c r="AH19" i="1"/>
  <c r="AG19" i="1"/>
  <c r="AF19" i="1"/>
  <c r="AE19" i="1"/>
  <c r="AD19" i="1"/>
  <c r="AC19" i="1"/>
  <c r="AB19" i="1"/>
  <c r="AA19" i="1"/>
  <c r="Z19" i="1"/>
  <c r="Y19" i="1"/>
  <c r="X19" i="1"/>
  <c r="W19" i="1"/>
  <c r="V19" i="1"/>
  <c r="U19" i="1"/>
  <c r="T19" i="1"/>
  <c r="S19" i="1"/>
  <c r="N19" i="1"/>
  <c r="M19" i="1"/>
  <c r="L19" i="1"/>
  <c r="K19" i="1"/>
  <c r="G19" i="1"/>
  <c r="JJ18" i="1"/>
  <c r="JI18" i="1"/>
  <c r="JH18" i="1"/>
  <c r="JG18" i="1"/>
  <c r="JF18" i="1"/>
  <c r="JE18" i="1"/>
  <c r="JD18" i="1"/>
  <c r="JC18" i="1"/>
  <c r="JB18" i="1"/>
  <c r="JA18" i="1"/>
  <c r="IZ18" i="1"/>
  <c r="IY18" i="1"/>
  <c r="IX18" i="1"/>
  <c r="IW18" i="1"/>
  <c r="IV18" i="1"/>
  <c r="IU18" i="1"/>
  <c r="IT18" i="1"/>
  <c r="IS18" i="1"/>
  <c r="IR18" i="1"/>
  <c r="IQ18" i="1"/>
  <c r="IP18" i="1"/>
  <c r="IO18" i="1"/>
  <c r="IN18" i="1"/>
  <c r="IM18" i="1"/>
  <c r="IL18" i="1"/>
  <c r="IK18" i="1"/>
  <c r="IJ18" i="1"/>
  <c r="II18" i="1"/>
  <c r="IH18" i="1"/>
  <c r="IG18" i="1"/>
  <c r="IF18" i="1"/>
  <c r="IE18" i="1"/>
  <c r="ID18" i="1"/>
  <c r="IC18" i="1"/>
  <c r="IB18" i="1"/>
  <c r="IA18" i="1"/>
  <c r="HZ18" i="1"/>
  <c r="HY18" i="1"/>
  <c r="HX18" i="1"/>
  <c r="HW18" i="1"/>
  <c r="HV18" i="1"/>
  <c r="HU18" i="1"/>
  <c r="HT18" i="1"/>
  <c r="HS18" i="1"/>
  <c r="HR18" i="1"/>
  <c r="HQ18" i="1"/>
  <c r="HP18" i="1"/>
  <c r="HO18" i="1"/>
  <c r="HN18" i="1"/>
  <c r="HM18" i="1"/>
  <c r="HL18" i="1"/>
  <c r="HK18" i="1"/>
  <c r="HJ18" i="1"/>
  <c r="HI18" i="1"/>
  <c r="HH18" i="1"/>
  <c r="HG18" i="1"/>
  <c r="HF18" i="1"/>
  <c r="HE18" i="1"/>
  <c r="HD18" i="1"/>
  <c r="HC18" i="1"/>
  <c r="HB18" i="1"/>
  <c r="HA18" i="1"/>
  <c r="GZ18" i="1"/>
  <c r="GY18" i="1"/>
  <c r="GX18" i="1"/>
  <c r="GW18" i="1"/>
  <c r="GV18" i="1"/>
  <c r="GU18" i="1"/>
  <c r="GT18" i="1"/>
  <c r="GS18" i="1"/>
  <c r="GR18" i="1"/>
  <c r="GQ18" i="1"/>
  <c r="GP18" i="1"/>
  <c r="GO18" i="1"/>
  <c r="GN18" i="1"/>
  <c r="GM18" i="1"/>
  <c r="GL18" i="1"/>
  <c r="GK18" i="1"/>
  <c r="GJ18" i="1"/>
  <c r="GI18" i="1"/>
  <c r="GH18" i="1"/>
  <c r="GG18" i="1"/>
  <c r="GF18" i="1"/>
  <c r="GE18" i="1"/>
  <c r="GD18" i="1"/>
  <c r="GC18" i="1"/>
  <c r="GB18" i="1"/>
  <c r="GA18" i="1"/>
  <c r="FZ18" i="1"/>
  <c r="FY18" i="1"/>
  <c r="FX18" i="1"/>
  <c r="FW18" i="1"/>
  <c r="FV18" i="1"/>
  <c r="FU18" i="1"/>
  <c r="FT18" i="1"/>
  <c r="FS18" i="1"/>
  <c r="FR18" i="1"/>
  <c r="FQ18" i="1"/>
  <c r="FP18" i="1"/>
  <c r="FO18" i="1"/>
  <c r="FN18" i="1"/>
  <c r="FM18" i="1"/>
  <c r="FL18" i="1"/>
  <c r="FK18" i="1"/>
  <c r="FJ18" i="1"/>
  <c r="FI18" i="1"/>
  <c r="FH18" i="1"/>
  <c r="FG18" i="1"/>
  <c r="FF18" i="1"/>
  <c r="FE18" i="1"/>
  <c r="FD18" i="1"/>
  <c r="FC18" i="1"/>
  <c r="FB18" i="1"/>
  <c r="FA18" i="1"/>
  <c r="EZ18" i="1"/>
  <c r="EY18" i="1"/>
  <c r="EX18" i="1"/>
  <c r="EW18" i="1"/>
  <c r="EV18" i="1"/>
  <c r="EU18" i="1"/>
  <c r="ET18" i="1"/>
  <c r="ES18" i="1"/>
  <c r="ER18" i="1"/>
  <c r="EQ18" i="1"/>
  <c r="EP18" i="1"/>
  <c r="EO18" i="1"/>
  <c r="EN18" i="1"/>
  <c r="EM18" i="1"/>
  <c r="EL18" i="1"/>
  <c r="EK18" i="1"/>
  <c r="EJ18" i="1"/>
  <c r="EI18" i="1"/>
  <c r="EH18" i="1"/>
  <c r="EG18" i="1"/>
  <c r="EF18" i="1"/>
  <c r="EE18" i="1"/>
  <c r="ED18" i="1"/>
  <c r="EC18" i="1"/>
  <c r="EB18" i="1"/>
  <c r="EA18" i="1"/>
  <c r="DZ18" i="1"/>
  <c r="DY18" i="1"/>
  <c r="DX18" i="1"/>
  <c r="DW18" i="1"/>
  <c r="DV18" i="1"/>
  <c r="DU18" i="1"/>
  <c r="DT18" i="1"/>
  <c r="DS18" i="1"/>
  <c r="DR18" i="1"/>
  <c r="DQ18" i="1"/>
  <c r="DP18" i="1"/>
  <c r="DO18" i="1"/>
  <c r="DN18" i="1"/>
  <c r="DM18" i="1"/>
  <c r="DL18" i="1"/>
  <c r="DK18" i="1"/>
  <c r="DJ18" i="1"/>
  <c r="DI18" i="1"/>
  <c r="DH18" i="1"/>
  <c r="DG18" i="1"/>
  <c r="DF18" i="1"/>
  <c r="DE18" i="1"/>
  <c r="DD18" i="1"/>
  <c r="DC18" i="1"/>
  <c r="DB18" i="1"/>
  <c r="DA18" i="1"/>
  <c r="CZ18" i="1"/>
  <c r="CY18" i="1"/>
  <c r="CX18" i="1"/>
  <c r="CW18" i="1"/>
  <c r="CV18" i="1"/>
  <c r="CU18" i="1"/>
  <c r="CT18" i="1"/>
  <c r="CS18" i="1"/>
  <c r="CR18" i="1"/>
  <c r="CQ18" i="1"/>
  <c r="CP18" i="1"/>
  <c r="CO18" i="1"/>
  <c r="CN18" i="1"/>
  <c r="CM18" i="1"/>
  <c r="CL18" i="1"/>
  <c r="CK18" i="1"/>
  <c r="CJ18" i="1"/>
  <c r="CI18" i="1"/>
  <c r="CH18" i="1"/>
  <c r="CG18" i="1"/>
  <c r="CF18" i="1"/>
  <c r="CE18" i="1"/>
  <c r="CD18" i="1"/>
  <c r="CC18" i="1"/>
  <c r="CB18" i="1"/>
  <c r="CA18" i="1"/>
  <c r="BZ18" i="1"/>
  <c r="BY18" i="1"/>
  <c r="BX18" i="1"/>
  <c r="BW18" i="1"/>
  <c r="BV18" i="1"/>
  <c r="BU18" i="1"/>
  <c r="BT18" i="1"/>
  <c r="BS18" i="1"/>
  <c r="BR18" i="1"/>
  <c r="BQ18" i="1"/>
  <c r="BP18" i="1"/>
  <c r="BO18" i="1"/>
  <c r="BN18" i="1"/>
  <c r="BM18" i="1"/>
  <c r="BL18" i="1"/>
  <c r="BK18" i="1"/>
  <c r="BJ18" i="1"/>
  <c r="BI18" i="1"/>
  <c r="BH18" i="1"/>
  <c r="BG18" i="1"/>
  <c r="BF18" i="1"/>
  <c r="BE18" i="1"/>
  <c r="BD18" i="1"/>
  <c r="BC18" i="1"/>
  <c r="BB18" i="1"/>
  <c r="BA18" i="1"/>
  <c r="AZ18" i="1"/>
  <c r="AY18" i="1"/>
  <c r="AX18" i="1"/>
  <c r="AW18" i="1"/>
  <c r="AV18" i="1"/>
  <c r="AU18" i="1"/>
  <c r="AT18" i="1"/>
  <c r="AS18" i="1"/>
  <c r="AR18" i="1"/>
  <c r="AQ18" i="1"/>
  <c r="AP18" i="1"/>
  <c r="AO18" i="1"/>
  <c r="AN18" i="1"/>
  <c r="AM18" i="1"/>
  <c r="AL18" i="1"/>
  <c r="AK18" i="1"/>
  <c r="AJ18" i="1"/>
  <c r="AI18" i="1"/>
  <c r="AH18" i="1"/>
  <c r="AG18" i="1"/>
  <c r="AF18" i="1"/>
  <c r="AE18" i="1"/>
  <c r="AD18" i="1"/>
  <c r="AC18" i="1"/>
  <c r="AB18" i="1"/>
  <c r="AA18" i="1"/>
  <c r="Z18" i="1"/>
  <c r="Y18" i="1"/>
  <c r="X18" i="1"/>
  <c r="W18" i="1"/>
  <c r="V18" i="1"/>
  <c r="U18" i="1"/>
  <c r="T18" i="1"/>
  <c r="S18" i="1"/>
  <c r="N18" i="1"/>
  <c r="M18" i="1"/>
  <c r="L18" i="1"/>
  <c r="K18" i="1"/>
  <c r="G18" i="1"/>
  <c r="JJ17" i="1"/>
  <c r="JI17" i="1"/>
  <c r="JH17" i="1"/>
  <c r="JG17" i="1"/>
  <c r="JF17" i="1"/>
  <c r="JE17" i="1"/>
  <c r="JD17" i="1"/>
  <c r="JC17" i="1"/>
  <c r="JB17" i="1"/>
  <c r="JA17" i="1"/>
  <c r="IZ17" i="1"/>
  <c r="IY17" i="1"/>
  <c r="IX17" i="1"/>
  <c r="IW17" i="1"/>
  <c r="IV17" i="1"/>
  <c r="IU17" i="1"/>
  <c r="IT17" i="1"/>
  <c r="IS17" i="1"/>
  <c r="IR17" i="1"/>
  <c r="IQ17" i="1"/>
  <c r="IP17" i="1"/>
  <c r="IO17" i="1"/>
  <c r="IN17" i="1"/>
  <c r="IM17" i="1"/>
  <c r="IL17" i="1"/>
  <c r="IK17" i="1"/>
  <c r="IJ17" i="1"/>
  <c r="II17" i="1"/>
  <c r="IH17" i="1"/>
  <c r="IG17" i="1"/>
  <c r="IF17" i="1"/>
  <c r="IE17" i="1"/>
  <c r="ID17" i="1"/>
  <c r="IC17" i="1"/>
  <c r="IB17" i="1"/>
  <c r="IA17" i="1"/>
  <c r="HZ17" i="1"/>
  <c r="HY17" i="1"/>
  <c r="HX17" i="1"/>
  <c r="HW17" i="1"/>
  <c r="HV17" i="1"/>
  <c r="HU17" i="1"/>
  <c r="HT17" i="1"/>
  <c r="HS17" i="1"/>
  <c r="HR17" i="1"/>
  <c r="HQ17" i="1"/>
  <c r="HP17" i="1"/>
  <c r="HO17" i="1"/>
  <c r="HN17" i="1"/>
  <c r="HM17" i="1"/>
  <c r="HL17" i="1"/>
  <c r="HK17" i="1"/>
  <c r="HJ17" i="1"/>
  <c r="HI17" i="1"/>
  <c r="HH17" i="1"/>
  <c r="HG17" i="1"/>
  <c r="HF17" i="1"/>
  <c r="HE17" i="1"/>
  <c r="HD17" i="1"/>
  <c r="HC17" i="1"/>
  <c r="HB17" i="1"/>
  <c r="HA17" i="1"/>
  <c r="GZ17" i="1"/>
  <c r="GY17" i="1"/>
  <c r="GX17" i="1"/>
  <c r="GW17" i="1"/>
  <c r="GV17" i="1"/>
  <c r="GU17" i="1"/>
  <c r="GT17" i="1"/>
  <c r="GS17" i="1"/>
  <c r="GR17" i="1"/>
  <c r="GQ17" i="1"/>
  <c r="GP17" i="1"/>
  <c r="GO17" i="1"/>
  <c r="GN17" i="1"/>
  <c r="GM17" i="1"/>
  <c r="GL17" i="1"/>
  <c r="GK17" i="1"/>
  <c r="GJ17" i="1"/>
  <c r="GI17" i="1"/>
  <c r="GH17" i="1"/>
  <c r="GG17" i="1"/>
  <c r="GF17" i="1"/>
  <c r="GE17" i="1"/>
  <c r="GD17" i="1"/>
  <c r="GC17" i="1"/>
  <c r="GB17" i="1"/>
  <c r="GA17" i="1"/>
  <c r="FZ17" i="1"/>
  <c r="FY17" i="1"/>
  <c r="FX17" i="1"/>
  <c r="FW17" i="1"/>
  <c r="FV17" i="1"/>
  <c r="FU17" i="1"/>
  <c r="FT17" i="1"/>
  <c r="FS17" i="1"/>
  <c r="FR17" i="1"/>
  <c r="FQ17" i="1"/>
  <c r="FP17" i="1"/>
  <c r="FO17" i="1"/>
  <c r="FN17" i="1"/>
  <c r="FM17" i="1"/>
  <c r="FL17" i="1"/>
  <c r="FK17" i="1"/>
  <c r="FJ17" i="1"/>
  <c r="FI17" i="1"/>
  <c r="FH17" i="1"/>
  <c r="FG17" i="1"/>
  <c r="FF17" i="1"/>
  <c r="FE17" i="1"/>
  <c r="FD17" i="1"/>
  <c r="FC17" i="1"/>
  <c r="FB17" i="1"/>
  <c r="FA17" i="1"/>
  <c r="EZ17" i="1"/>
  <c r="EY17" i="1"/>
  <c r="EX17" i="1"/>
  <c r="EW17" i="1"/>
  <c r="EV17" i="1"/>
  <c r="EU17" i="1"/>
  <c r="ET17" i="1"/>
  <c r="ES17" i="1"/>
  <c r="ER17" i="1"/>
  <c r="EQ17" i="1"/>
  <c r="EP17" i="1"/>
  <c r="EO17" i="1"/>
  <c r="EN17" i="1"/>
  <c r="EM17" i="1"/>
  <c r="EL17" i="1"/>
  <c r="EK17" i="1"/>
  <c r="EJ17" i="1"/>
  <c r="EI17" i="1"/>
  <c r="EH17" i="1"/>
  <c r="EG17" i="1"/>
  <c r="EF17" i="1"/>
  <c r="EE17" i="1"/>
  <c r="ED17" i="1"/>
  <c r="EC17" i="1"/>
  <c r="EB17" i="1"/>
  <c r="EA17" i="1"/>
  <c r="DZ17" i="1"/>
  <c r="DY17" i="1"/>
  <c r="DX17" i="1"/>
  <c r="DW17" i="1"/>
  <c r="DV17" i="1"/>
  <c r="DU17" i="1"/>
  <c r="DT17" i="1"/>
  <c r="DS17" i="1"/>
  <c r="DR17" i="1"/>
  <c r="DQ17" i="1"/>
  <c r="DP17" i="1"/>
  <c r="DO17" i="1"/>
  <c r="DN17" i="1"/>
  <c r="DM17" i="1"/>
  <c r="DL17" i="1"/>
  <c r="DK17" i="1"/>
  <c r="DJ17" i="1"/>
  <c r="DI17" i="1"/>
  <c r="DH17" i="1"/>
  <c r="DG17" i="1"/>
  <c r="DF17" i="1"/>
  <c r="DE17" i="1"/>
  <c r="DD17" i="1"/>
  <c r="DC17" i="1"/>
  <c r="DB17" i="1"/>
  <c r="DA17" i="1"/>
  <c r="CZ17" i="1"/>
  <c r="CY17" i="1"/>
  <c r="CX17" i="1"/>
  <c r="CW17" i="1"/>
  <c r="CV17" i="1"/>
  <c r="CU17" i="1"/>
  <c r="CT17" i="1"/>
  <c r="CS17" i="1"/>
  <c r="CR17" i="1"/>
  <c r="CQ17" i="1"/>
  <c r="CP17" i="1"/>
  <c r="CO17" i="1"/>
  <c r="CN17" i="1"/>
  <c r="CM17" i="1"/>
  <c r="CL17" i="1"/>
  <c r="CK17" i="1"/>
  <c r="CJ17" i="1"/>
  <c r="CI17" i="1"/>
  <c r="CH17" i="1"/>
  <c r="CG17" i="1"/>
  <c r="CF17" i="1"/>
  <c r="CE17" i="1"/>
  <c r="CD17" i="1"/>
  <c r="CC17" i="1"/>
  <c r="CB17" i="1"/>
  <c r="CA17" i="1"/>
  <c r="BZ17" i="1"/>
  <c r="BY17" i="1"/>
  <c r="BX17" i="1"/>
  <c r="BW17" i="1"/>
  <c r="BV17" i="1"/>
  <c r="BU17" i="1"/>
  <c r="BT17" i="1"/>
  <c r="BS17" i="1"/>
  <c r="BR17" i="1"/>
  <c r="BQ17" i="1"/>
  <c r="BP17" i="1"/>
  <c r="BO17" i="1"/>
  <c r="BN17" i="1"/>
  <c r="BM17" i="1"/>
  <c r="BL17" i="1"/>
  <c r="BK17" i="1"/>
  <c r="BJ17" i="1"/>
  <c r="BI17" i="1"/>
  <c r="BH17" i="1"/>
  <c r="BG17" i="1"/>
  <c r="BF17" i="1"/>
  <c r="BE17" i="1"/>
  <c r="BD17" i="1"/>
  <c r="BC17" i="1"/>
  <c r="BB17" i="1"/>
  <c r="BA17" i="1"/>
  <c r="AZ17" i="1"/>
  <c r="AY17" i="1"/>
  <c r="AX17" i="1"/>
  <c r="AW17" i="1"/>
  <c r="AV17" i="1"/>
  <c r="AU17" i="1"/>
  <c r="AT17" i="1"/>
  <c r="AS17" i="1"/>
  <c r="AR17" i="1"/>
  <c r="AQ17" i="1"/>
  <c r="AP17" i="1"/>
  <c r="AO17" i="1"/>
  <c r="AN17" i="1"/>
  <c r="AM17" i="1"/>
  <c r="AL17" i="1"/>
  <c r="AK17" i="1"/>
  <c r="AJ17" i="1"/>
  <c r="AI17" i="1"/>
  <c r="AH17" i="1"/>
  <c r="AG17" i="1"/>
  <c r="AF17" i="1"/>
  <c r="AE17" i="1"/>
  <c r="AD17" i="1"/>
  <c r="AC17" i="1"/>
  <c r="AB17" i="1"/>
  <c r="AA17" i="1"/>
  <c r="Z17" i="1"/>
  <c r="Y17" i="1"/>
  <c r="X17" i="1"/>
  <c r="W17" i="1"/>
  <c r="V17" i="1"/>
  <c r="U17" i="1"/>
  <c r="T17" i="1"/>
  <c r="S17" i="1"/>
  <c r="N17" i="1"/>
  <c r="M17" i="1"/>
  <c r="L17" i="1"/>
  <c r="K17" i="1"/>
  <c r="G17" i="1"/>
  <c r="JJ16" i="1"/>
  <c r="JI16" i="1"/>
  <c r="JH16" i="1"/>
  <c r="JG16" i="1"/>
  <c r="JF16" i="1"/>
  <c r="JE16" i="1"/>
  <c r="JD16" i="1"/>
  <c r="JC16" i="1"/>
  <c r="JB16" i="1"/>
  <c r="JA16" i="1"/>
  <c r="IZ16" i="1"/>
  <c r="IY16" i="1"/>
  <c r="IX16" i="1"/>
  <c r="IW16" i="1"/>
  <c r="IV16" i="1"/>
  <c r="IU16" i="1"/>
  <c r="IT16" i="1"/>
  <c r="IS16" i="1"/>
  <c r="IR16" i="1"/>
  <c r="IQ16" i="1"/>
  <c r="IP16" i="1"/>
  <c r="IO16" i="1"/>
  <c r="IN16" i="1"/>
  <c r="IM16" i="1"/>
  <c r="IL16" i="1"/>
  <c r="IK16" i="1"/>
  <c r="IJ16" i="1"/>
  <c r="II16" i="1"/>
  <c r="IH16" i="1"/>
  <c r="IG16" i="1"/>
  <c r="IF16" i="1"/>
  <c r="IE16" i="1"/>
  <c r="ID16" i="1"/>
  <c r="IC16" i="1"/>
  <c r="IB16" i="1"/>
  <c r="IA16" i="1"/>
  <c r="HZ16" i="1"/>
  <c r="HY16" i="1"/>
  <c r="HX16" i="1"/>
  <c r="HW16" i="1"/>
  <c r="HV16" i="1"/>
  <c r="HU16" i="1"/>
  <c r="HT16" i="1"/>
  <c r="HS16" i="1"/>
  <c r="HR16" i="1"/>
  <c r="HQ16" i="1"/>
  <c r="HP16" i="1"/>
  <c r="HO16" i="1"/>
  <c r="HN16" i="1"/>
  <c r="HM16" i="1"/>
  <c r="HL16" i="1"/>
  <c r="HK16" i="1"/>
  <c r="HJ16" i="1"/>
  <c r="HI16" i="1"/>
  <c r="HH16" i="1"/>
  <c r="HG16" i="1"/>
  <c r="HF16" i="1"/>
  <c r="HE16" i="1"/>
  <c r="HD16" i="1"/>
  <c r="HC16" i="1"/>
  <c r="HB16" i="1"/>
  <c r="HA16" i="1"/>
  <c r="GZ16" i="1"/>
  <c r="GY16" i="1"/>
  <c r="GX16" i="1"/>
  <c r="GW16" i="1"/>
  <c r="GV16" i="1"/>
  <c r="GU16" i="1"/>
  <c r="GT16" i="1"/>
  <c r="GS16" i="1"/>
  <c r="GR16" i="1"/>
  <c r="GQ16" i="1"/>
  <c r="GP16" i="1"/>
  <c r="GO16" i="1"/>
  <c r="GN16" i="1"/>
  <c r="GM16" i="1"/>
  <c r="GL16" i="1"/>
  <c r="GK16" i="1"/>
  <c r="GJ16" i="1"/>
  <c r="GI16" i="1"/>
  <c r="GH16" i="1"/>
  <c r="GG16" i="1"/>
  <c r="GF16" i="1"/>
  <c r="GE16" i="1"/>
  <c r="GD16" i="1"/>
  <c r="GC16" i="1"/>
  <c r="GB16" i="1"/>
  <c r="GA16" i="1"/>
  <c r="FZ16" i="1"/>
  <c r="FY16" i="1"/>
  <c r="FX16" i="1"/>
  <c r="FW16" i="1"/>
  <c r="FV16" i="1"/>
  <c r="FU16" i="1"/>
  <c r="FT16" i="1"/>
  <c r="FS16" i="1"/>
  <c r="FR16" i="1"/>
  <c r="FQ16" i="1"/>
  <c r="FP16" i="1"/>
  <c r="FO16" i="1"/>
  <c r="FN16" i="1"/>
  <c r="FM16" i="1"/>
  <c r="FL16" i="1"/>
  <c r="FK16" i="1"/>
  <c r="FJ16" i="1"/>
  <c r="FI16" i="1"/>
  <c r="FH16" i="1"/>
  <c r="FG16" i="1"/>
  <c r="FF16" i="1"/>
  <c r="FE16" i="1"/>
  <c r="FD16" i="1"/>
  <c r="FC16" i="1"/>
  <c r="FB16" i="1"/>
  <c r="FA16" i="1"/>
  <c r="EZ16" i="1"/>
  <c r="EY16" i="1"/>
  <c r="EX16" i="1"/>
  <c r="EW16" i="1"/>
  <c r="EV16" i="1"/>
  <c r="EU16" i="1"/>
  <c r="ET16" i="1"/>
  <c r="ES16" i="1"/>
  <c r="ER16" i="1"/>
  <c r="EQ16" i="1"/>
  <c r="EP16" i="1"/>
  <c r="EO16" i="1"/>
  <c r="EN16" i="1"/>
  <c r="EM16" i="1"/>
  <c r="EL16" i="1"/>
  <c r="EK16" i="1"/>
  <c r="EJ16" i="1"/>
  <c r="EI16" i="1"/>
  <c r="EH16" i="1"/>
  <c r="EG16" i="1"/>
  <c r="EF16" i="1"/>
  <c r="EE16" i="1"/>
  <c r="ED16" i="1"/>
  <c r="EC16" i="1"/>
  <c r="EB16" i="1"/>
  <c r="EA16" i="1"/>
  <c r="DZ16" i="1"/>
  <c r="DY16" i="1"/>
  <c r="DX16" i="1"/>
  <c r="DW16" i="1"/>
  <c r="DV16" i="1"/>
  <c r="DU16" i="1"/>
  <c r="DT16" i="1"/>
  <c r="DS16" i="1"/>
  <c r="DR16" i="1"/>
  <c r="DQ16" i="1"/>
  <c r="DP16" i="1"/>
  <c r="DO16" i="1"/>
  <c r="DN16" i="1"/>
  <c r="DM16" i="1"/>
  <c r="DL16" i="1"/>
  <c r="DK16" i="1"/>
  <c r="DJ16" i="1"/>
  <c r="DI16" i="1"/>
  <c r="DH16" i="1"/>
  <c r="DG16" i="1"/>
  <c r="DF16" i="1"/>
  <c r="DE16" i="1"/>
  <c r="DD16" i="1"/>
  <c r="DC16" i="1"/>
  <c r="DB16" i="1"/>
  <c r="DA16" i="1"/>
  <c r="CZ16" i="1"/>
  <c r="CY16" i="1"/>
  <c r="CX16" i="1"/>
  <c r="CW16" i="1"/>
  <c r="CV16" i="1"/>
  <c r="CU16" i="1"/>
  <c r="CT16" i="1"/>
  <c r="CS16" i="1"/>
  <c r="CR16" i="1"/>
  <c r="CQ16" i="1"/>
  <c r="CP16" i="1"/>
  <c r="CO16" i="1"/>
  <c r="CN16" i="1"/>
  <c r="CM16" i="1"/>
  <c r="CL16" i="1"/>
  <c r="CK16" i="1"/>
  <c r="CJ16" i="1"/>
  <c r="CI16" i="1"/>
  <c r="CH16" i="1"/>
  <c r="CG16" i="1"/>
  <c r="CF16" i="1"/>
  <c r="CE16" i="1"/>
  <c r="CD16" i="1"/>
  <c r="CC16" i="1"/>
  <c r="CB16" i="1"/>
  <c r="CA16" i="1"/>
  <c r="BZ16" i="1"/>
  <c r="BY16" i="1"/>
  <c r="BX16" i="1"/>
  <c r="BW16" i="1"/>
  <c r="BV16" i="1"/>
  <c r="BU16" i="1"/>
  <c r="BT16" i="1"/>
  <c r="BS16" i="1"/>
  <c r="BR16" i="1"/>
  <c r="BQ16" i="1"/>
  <c r="BP16" i="1"/>
  <c r="BO16" i="1"/>
  <c r="BN16" i="1"/>
  <c r="BM16" i="1"/>
  <c r="BL16" i="1"/>
  <c r="BK16" i="1"/>
  <c r="BJ16" i="1"/>
  <c r="BI16" i="1"/>
  <c r="BH16" i="1"/>
  <c r="BG16" i="1"/>
  <c r="BF16" i="1"/>
  <c r="BE16" i="1"/>
  <c r="BD16" i="1"/>
  <c r="BC16" i="1"/>
  <c r="BB16" i="1"/>
  <c r="BA16" i="1"/>
  <c r="AZ16" i="1"/>
  <c r="AY16" i="1"/>
  <c r="AX16" i="1"/>
  <c r="AW16" i="1"/>
  <c r="AV16" i="1"/>
  <c r="AU16" i="1"/>
  <c r="AT16" i="1"/>
  <c r="AS16" i="1"/>
  <c r="AR16" i="1"/>
  <c r="AQ16" i="1"/>
  <c r="AP16" i="1"/>
  <c r="AO16" i="1"/>
  <c r="AN16" i="1"/>
  <c r="AM16" i="1"/>
  <c r="AL16" i="1"/>
  <c r="AK16" i="1"/>
  <c r="AJ16" i="1"/>
  <c r="AI16" i="1"/>
  <c r="AH16" i="1"/>
  <c r="AG16" i="1"/>
  <c r="AF16" i="1"/>
  <c r="AE16" i="1"/>
  <c r="AD16" i="1"/>
  <c r="AC16" i="1"/>
  <c r="AB16" i="1"/>
  <c r="AA16" i="1"/>
  <c r="Z16" i="1"/>
  <c r="Y16" i="1"/>
  <c r="X16" i="1"/>
  <c r="W16" i="1"/>
  <c r="V16" i="1"/>
  <c r="U16" i="1"/>
  <c r="T16" i="1"/>
  <c r="S16" i="1"/>
  <c r="N16" i="1"/>
  <c r="M16" i="1"/>
  <c r="L16" i="1"/>
  <c r="K16" i="1"/>
  <c r="G16" i="1"/>
  <c r="JJ15" i="1"/>
  <c r="JI15" i="1"/>
  <c r="JH15" i="1"/>
  <c r="JG15" i="1"/>
  <c r="JF15" i="1"/>
  <c r="JE15" i="1"/>
  <c r="JD15" i="1"/>
  <c r="JC15" i="1"/>
  <c r="JB15" i="1"/>
  <c r="JA15" i="1"/>
  <c r="IZ15" i="1"/>
  <c r="IY15" i="1"/>
  <c r="IX15" i="1"/>
  <c r="IW15" i="1"/>
  <c r="IV15" i="1"/>
  <c r="IU15" i="1"/>
  <c r="IT15" i="1"/>
  <c r="IS15" i="1"/>
  <c r="IR15" i="1"/>
  <c r="IQ15" i="1"/>
  <c r="IP15" i="1"/>
  <c r="IO15" i="1"/>
  <c r="IN15" i="1"/>
  <c r="IM15" i="1"/>
  <c r="IL15" i="1"/>
  <c r="IK15" i="1"/>
  <c r="IJ15" i="1"/>
  <c r="II15" i="1"/>
  <c r="IH15" i="1"/>
  <c r="IG15" i="1"/>
  <c r="IF15" i="1"/>
  <c r="IE15" i="1"/>
  <c r="ID15" i="1"/>
  <c r="IC15" i="1"/>
  <c r="IB15" i="1"/>
  <c r="IA15" i="1"/>
  <c r="HZ15" i="1"/>
  <c r="HY15" i="1"/>
  <c r="HX15" i="1"/>
  <c r="HW15" i="1"/>
  <c r="HV15" i="1"/>
  <c r="HU15" i="1"/>
  <c r="HT15" i="1"/>
  <c r="HS15" i="1"/>
  <c r="HR15" i="1"/>
  <c r="HQ15" i="1"/>
  <c r="HP15" i="1"/>
  <c r="HO15" i="1"/>
  <c r="HN15" i="1"/>
  <c r="HM15" i="1"/>
  <c r="HL15" i="1"/>
  <c r="HK15" i="1"/>
  <c r="HJ15" i="1"/>
  <c r="HI15" i="1"/>
  <c r="HH15" i="1"/>
  <c r="HG15" i="1"/>
  <c r="HF15" i="1"/>
  <c r="HE15" i="1"/>
  <c r="HD15" i="1"/>
  <c r="HC15" i="1"/>
  <c r="HB15" i="1"/>
  <c r="HA15" i="1"/>
  <c r="GZ15" i="1"/>
  <c r="GY15" i="1"/>
  <c r="GX15" i="1"/>
  <c r="GW15" i="1"/>
  <c r="GV15" i="1"/>
  <c r="GU15" i="1"/>
  <c r="GT15" i="1"/>
  <c r="GS15" i="1"/>
  <c r="GR15" i="1"/>
  <c r="GQ15" i="1"/>
  <c r="GP15" i="1"/>
  <c r="GO15" i="1"/>
  <c r="GN15" i="1"/>
  <c r="GM15" i="1"/>
  <c r="GL15" i="1"/>
  <c r="GK15" i="1"/>
  <c r="GJ15" i="1"/>
  <c r="GI15" i="1"/>
  <c r="GH15" i="1"/>
  <c r="GG15" i="1"/>
  <c r="GF15" i="1"/>
  <c r="GE15" i="1"/>
  <c r="GD15" i="1"/>
  <c r="GC15" i="1"/>
  <c r="GB15" i="1"/>
  <c r="GA15" i="1"/>
  <c r="FZ15" i="1"/>
  <c r="FY15" i="1"/>
  <c r="FX15" i="1"/>
  <c r="FW15" i="1"/>
  <c r="FV15" i="1"/>
  <c r="FU15" i="1"/>
  <c r="FT15" i="1"/>
  <c r="FS15" i="1"/>
  <c r="FR15" i="1"/>
  <c r="FQ15" i="1"/>
  <c r="FP15" i="1"/>
  <c r="FO15" i="1"/>
  <c r="FN15" i="1"/>
  <c r="FM15" i="1"/>
  <c r="FL15" i="1"/>
  <c r="FK15" i="1"/>
  <c r="FJ15" i="1"/>
  <c r="FI15" i="1"/>
  <c r="FH15" i="1"/>
  <c r="FG15" i="1"/>
  <c r="FF15" i="1"/>
  <c r="FE15" i="1"/>
  <c r="FD15" i="1"/>
  <c r="FC15" i="1"/>
  <c r="FB15" i="1"/>
  <c r="FA15" i="1"/>
  <c r="EZ15" i="1"/>
  <c r="EY15" i="1"/>
  <c r="EX15" i="1"/>
  <c r="EW15" i="1"/>
  <c r="EV15" i="1"/>
  <c r="EU15" i="1"/>
  <c r="ET15" i="1"/>
  <c r="ES15" i="1"/>
  <c r="ER15" i="1"/>
  <c r="EQ15" i="1"/>
  <c r="EP15" i="1"/>
  <c r="EO15" i="1"/>
  <c r="EN15" i="1"/>
  <c r="EM15" i="1"/>
  <c r="EL15" i="1"/>
  <c r="EK15" i="1"/>
  <c r="EJ15" i="1"/>
  <c r="EI15" i="1"/>
  <c r="EH15" i="1"/>
  <c r="EG15" i="1"/>
  <c r="EF15" i="1"/>
  <c r="EE15" i="1"/>
  <c r="ED15" i="1"/>
  <c r="EC15" i="1"/>
  <c r="EB15" i="1"/>
  <c r="EA15" i="1"/>
  <c r="DZ15" i="1"/>
  <c r="DY15" i="1"/>
  <c r="DX15" i="1"/>
  <c r="DW15" i="1"/>
  <c r="DV15" i="1"/>
  <c r="DU15" i="1"/>
  <c r="DT15" i="1"/>
  <c r="DS15" i="1"/>
  <c r="DR15" i="1"/>
  <c r="DQ15" i="1"/>
  <c r="DP15" i="1"/>
  <c r="DO15" i="1"/>
  <c r="DN15" i="1"/>
  <c r="DM15" i="1"/>
  <c r="DL15" i="1"/>
  <c r="DK15" i="1"/>
  <c r="DJ15" i="1"/>
  <c r="DI15" i="1"/>
  <c r="DH15" i="1"/>
  <c r="DG15" i="1"/>
  <c r="DF15" i="1"/>
  <c r="DE15" i="1"/>
  <c r="DD15" i="1"/>
  <c r="DC15" i="1"/>
  <c r="DB15" i="1"/>
  <c r="DA15" i="1"/>
  <c r="CZ15" i="1"/>
  <c r="CY15" i="1"/>
  <c r="CX15" i="1"/>
  <c r="CW15" i="1"/>
  <c r="CV15" i="1"/>
  <c r="CU15" i="1"/>
  <c r="CT15" i="1"/>
  <c r="CS15" i="1"/>
  <c r="CR15" i="1"/>
  <c r="CQ15" i="1"/>
  <c r="CP15" i="1"/>
  <c r="CO15" i="1"/>
  <c r="CN15" i="1"/>
  <c r="CM15" i="1"/>
  <c r="CL15" i="1"/>
  <c r="CK15" i="1"/>
  <c r="CJ15" i="1"/>
  <c r="CI15" i="1"/>
  <c r="CH15" i="1"/>
  <c r="CG15" i="1"/>
  <c r="CF15" i="1"/>
  <c r="CE15" i="1"/>
  <c r="CD15" i="1"/>
  <c r="CC15" i="1"/>
  <c r="CB15" i="1"/>
  <c r="CA15" i="1"/>
  <c r="BZ15" i="1"/>
  <c r="BY15" i="1"/>
  <c r="BX15" i="1"/>
  <c r="BW15" i="1"/>
  <c r="BV15" i="1"/>
  <c r="BU15" i="1"/>
  <c r="BT15" i="1"/>
  <c r="BS15" i="1"/>
  <c r="BR15" i="1"/>
  <c r="BQ15" i="1"/>
  <c r="BP15" i="1"/>
  <c r="BO15" i="1"/>
  <c r="BN15" i="1"/>
  <c r="BM15" i="1"/>
  <c r="BL15" i="1"/>
  <c r="BK15" i="1"/>
  <c r="BJ15" i="1"/>
  <c r="BI15" i="1"/>
  <c r="BH15" i="1"/>
  <c r="BG15" i="1"/>
  <c r="BF15" i="1"/>
  <c r="BE15" i="1"/>
  <c r="BD15" i="1"/>
  <c r="BC15" i="1"/>
  <c r="BB15" i="1"/>
  <c r="BA15" i="1"/>
  <c r="AZ15" i="1"/>
  <c r="AY15" i="1"/>
  <c r="AX15" i="1"/>
  <c r="AW15" i="1"/>
  <c r="AV15" i="1"/>
  <c r="AU15" i="1"/>
  <c r="AT15" i="1"/>
  <c r="AS15" i="1"/>
  <c r="AR15" i="1"/>
  <c r="AQ15" i="1"/>
  <c r="AP15" i="1"/>
  <c r="AO15" i="1"/>
  <c r="AN15" i="1"/>
  <c r="AM15" i="1"/>
  <c r="AL15" i="1"/>
  <c r="AK15" i="1"/>
  <c r="AJ15" i="1"/>
  <c r="AI15" i="1"/>
  <c r="AH15" i="1"/>
  <c r="AG15" i="1"/>
  <c r="AF15" i="1"/>
  <c r="AE15" i="1"/>
  <c r="AD15" i="1"/>
  <c r="AC15" i="1"/>
  <c r="AB15" i="1"/>
  <c r="AA15" i="1"/>
  <c r="Z15" i="1"/>
  <c r="Y15" i="1"/>
  <c r="X15" i="1"/>
  <c r="W15" i="1"/>
  <c r="V15" i="1"/>
  <c r="U15" i="1"/>
  <c r="T15" i="1"/>
  <c r="S15" i="1"/>
  <c r="N15" i="1"/>
  <c r="M15" i="1"/>
  <c r="L15" i="1"/>
  <c r="K15" i="1"/>
  <c r="G15" i="1"/>
  <c r="JJ14" i="1"/>
  <c r="JI14" i="1"/>
  <c r="JH14" i="1"/>
  <c r="JG14" i="1"/>
  <c r="JF14" i="1"/>
  <c r="JE14" i="1"/>
  <c r="JD14" i="1"/>
  <c r="JC14" i="1"/>
  <c r="JB14" i="1"/>
  <c r="JA14" i="1"/>
  <c r="IZ14" i="1"/>
  <c r="IY14" i="1"/>
  <c r="IX14" i="1"/>
  <c r="IW14" i="1"/>
  <c r="IV14" i="1"/>
  <c r="IU14" i="1"/>
  <c r="IT14" i="1"/>
  <c r="IS14" i="1"/>
  <c r="IR14" i="1"/>
  <c r="IQ14" i="1"/>
  <c r="IP14" i="1"/>
  <c r="IO14" i="1"/>
  <c r="IN14" i="1"/>
  <c r="IM14" i="1"/>
  <c r="IL14" i="1"/>
  <c r="IK14" i="1"/>
  <c r="IJ14" i="1"/>
  <c r="II14" i="1"/>
  <c r="IH14" i="1"/>
  <c r="IG14" i="1"/>
  <c r="IF14" i="1"/>
  <c r="IE14" i="1"/>
  <c r="ID14" i="1"/>
  <c r="IC14" i="1"/>
  <c r="IB14" i="1"/>
  <c r="IA14" i="1"/>
  <c r="HZ14" i="1"/>
  <c r="HY14" i="1"/>
  <c r="HX14" i="1"/>
  <c r="HW14" i="1"/>
  <c r="HV14" i="1"/>
  <c r="HU14" i="1"/>
  <c r="HT14" i="1"/>
  <c r="HS14" i="1"/>
  <c r="HR14" i="1"/>
  <c r="HQ14" i="1"/>
  <c r="HP14" i="1"/>
  <c r="HO14" i="1"/>
  <c r="HN14" i="1"/>
  <c r="HM14" i="1"/>
  <c r="HL14" i="1"/>
  <c r="HK14" i="1"/>
  <c r="HJ14" i="1"/>
  <c r="HI14" i="1"/>
  <c r="HH14" i="1"/>
  <c r="HG14" i="1"/>
  <c r="HF14" i="1"/>
  <c r="HE14" i="1"/>
  <c r="HD14" i="1"/>
  <c r="HC14" i="1"/>
  <c r="HB14" i="1"/>
  <c r="HA14" i="1"/>
  <c r="GZ14" i="1"/>
  <c r="GY14" i="1"/>
  <c r="GX14" i="1"/>
  <c r="GW14" i="1"/>
  <c r="GV14" i="1"/>
  <c r="GU14" i="1"/>
  <c r="GT14" i="1"/>
  <c r="GS14" i="1"/>
  <c r="GR14" i="1"/>
  <c r="GQ14" i="1"/>
  <c r="GP14" i="1"/>
  <c r="GO14" i="1"/>
  <c r="GN14" i="1"/>
  <c r="GM14" i="1"/>
  <c r="GL14" i="1"/>
  <c r="GK14" i="1"/>
  <c r="GJ14" i="1"/>
  <c r="GI14" i="1"/>
  <c r="GH14" i="1"/>
  <c r="GG14" i="1"/>
  <c r="GF14" i="1"/>
  <c r="GE14" i="1"/>
  <c r="GD14" i="1"/>
  <c r="GC14" i="1"/>
  <c r="GB14" i="1"/>
  <c r="GA14" i="1"/>
  <c r="FZ14" i="1"/>
  <c r="FY14" i="1"/>
  <c r="FX14" i="1"/>
  <c r="FW14" i="1"/>
  <c r="FV14" i="1"/>
  <c r="FU14" i="1"/>
  <c r="FT14" i="1"/>
  <c r="FS14" i="1"/>
  <c r="FR14" i="1"/>
  <c r="FQ14" i="1"/>
  <c r="FP14" i="1"/>
  <c r="FO14" i="1"/>
  <c r="FN14" i="1"/>
  <c r="FM14" i="1"/>
  <c r="FL14" i="1"/>
  <c r="FK14" i="1"/>
  <c r="FJ14" i="1"/>
  <c r="FI14" i="1"/>
  <c r="FH14" i="1"/>
  <c r="FG14" i="1"/>
  <c r="FF14" i="1"/>
  <c r="FE14" i="1"/>
  <c r="FD14" i="1"/>
  <c r="FC14" i="1"/>
  <c r="FB14" i="1"/>
  <c r="FA14" i="1"/>
  <c r="EZ14" i="1"/>
  <c r="EY14" i="1"/>
  <c r="EX14" i="1"/>
  <c r="EW14" i="1"/>
  <c r="EV14" i="1"/>
  <c r="EU14" i="1"/>
  <c r="ET14" i="1"/>
  <c r="ES14" i="1"/>
  <c r="ER14" i="1"/>
  <c r="EQ14" i="1"/>
  <c r="EP14" i="1"/>
  <c r="EO14" i="1"/>
  <c r="EN14" i="1"/>
  <c r="EM14" i="1"/>
  <c r="EL14" i="1"/>
  <c r="EK14" i="1"/>
  <c r="EJ14" i="1"/>
  <c r="EI14" i="1"/>
  <c r="EH14" i="1"/>
  <c r="EG14" i="1"/>
  <c r="EF14" i="1"/>
  <c r="EE14" i="1"/>
  <c r="ED14" i="1"/>
  <c r="EC14" i="1"/>
  <c r="EB14" i="1"/>
  <c r="EA14" i="1"/>
  <c r="DZ14" i="1"/>
  <c r="DY14" i="1"/>
  <c r="DX14" i="1"/>
  <c r="DW14" i="1"/>
  <c r="DV14" i="1"/>
  <c r="DU14" i="1"/>
  <c r="DT14" i="1"/>
  <c r="DS14" i="1"/>
  <c r="DR14" i="1"/>
  <c r="DQ14" i="1"/>
  <c r="DP14" i="1"/>
  <c r="DO14" i="1"/>
  <c r="DN14" i="1"/>
  <c r="DM14" i="1"/>
  <c r="DL14" i="1"/>
  <c r="DK14" i="1"/>
  <c r="DJ14" i="1"/>
  <c r="DI14" i="1"/>
  <c r="DH14" i="1"/>
  <c r="DG14" i="1"/>
  <c r="DF14" i="1"/>
  <c r="DE14" i="1"/>
  <c r="DD14" i="1"/>
  <c r="DC14" i="1"/>
  <c r="DB14" i="1"/>
  <c r="DA14" i="1"/>
  <c r="CZ14" i="1"/>
  <c r="CY14" i="1"/>
  <c r="CX14" i="1"/>
  <c r="CW14" i="1"/>
  <c r="CV14" i="1"/>
  <c r="CU14" i="1"/>
  <c r="CT14" i="1"/>
  <c r="CS14" i="1"/>
  <c r="CR14" i="1"/>
  <c r="CQ14" i="1"/>
  <c r="CP14" i="1"/>
  <c r="CO14" i="1"/>
  <c r="CN14" i="1"/>
  <c r="CM14" i="1"/>
  <c r="CL14" i="1"/>
  <c r="CK14" i="1"/>
  <c r="CJ14" i="1"/>
  <c r="CI14" i="1"/>
  <c r="CH14" i="1"/>
  <c r="CG14" i="1"/>
  <c r="CF14" i="1"/>
  <c r="CE14" i="1"/>
  <c r="CD14" i="1"/>
  <c r="CC14" i="1"/>
  <c r="CB14" i="1"/>
  <c r="CA14" i="1"/>
  <c r="BZ14" i="1"/>
  <c r="BY14" i="1"/>
  <c r="BX14" i="1"/>
  <c r="BW14" i="1"/>
  <c r="BV14" i="1"/>
  <c r="BU14" i="1"/>
  <c r="BT14" i="1"/>
  <c r="BS14" i="1"/>
  <c r="BR14" i="1"/>
  <c r="BQ14" i="1"/>
  <c r="BP14" i="1"/>
  <c r="BO14" i="1"/>
  <c r="BN14" i="1"/>
  <c r="BM14" i="1"/>
  <c r="BL14" i="1"/>
  <c r="BK14" i="1"/>
  <c r="BJ14" i="1"/>
  <c r="BI14" i="1"/>
  <c r="BH14" i="1"/>
  <c r="BG14" i="1"/>
  <c r="BF14" i="1"/>
  <c r="BE14" i="1"/>
  <c r="BD14" i="1"/>
  <c r="BC14" i="1"/>
  <c r="BB14" i="1"/>
  <c r="BA14" i="1"/>
  <c r="AZ14" i="1"/>
  <c r="AY14" i="1"/>
  <c r="AX14" i="1"/>
  <c r="AW14" i="1"/>
  <c r="AV14" i="1"/>
  <c r="AU14" i="1"/>
  <c r="AT14" i="1"/>
  <c r="AS14" i="1"/>
  <c r="AR14" i="1"/>
  <c r="AQ14" i="1"/>
  <c r="AP14" i="1"/>
  <c r="AO14" i="1"/>
  <c r="AN14" i="1"/>
  <c r="AM14" i="1"/>
  <c r="AL14" i="1"/>
  <c r="AK14" i="1"/>
  <c r="AJ14" i="1"/>
  <c r="AI14" i="1"/>
  <c r="AH14" i="1"/>
  <c r="AG14" i="1"/>
  <c r="AF14" i="1"/>
  <c r="AE14" i="1"/>
  <c r="AD14" i="1"/>
  <c r="AC14" i="1"/>
  <c r="AB14" i="1"/>
  <c r="AA14" i="1"/>
  <c r="Z14" i="1"/>
  <c r="Y14" i="1"/>
  <c r="X14" i="1"/>
  <c r="W14" i="1"/>
  <c r="V14" i="1"/>
  <c r="U14" i="1"/>
  <c r="T14" i="1"/>
  <c r="S14" i="1"/>
  <c r="N14" i="1"/>
  <c r="M14" i="1"/>
  <c r="L14" i="1"/>
  <c r="K14" i="1"/>
  <c r="G14" i="1"/>
  <c r="JJ13" i="1"/>
  <c r="JI13" i="1"/>
  <c r="JH13" i="1"/>
  <c r="JG13" i="1"/>
  <c r="JF13" i="1"/>
  <c r="JE13" i="1"/>
  <c r="JD13" i="1"/>
  <c r="JC13" i="1"/>
  <c r="JB13" i="1"/>
  <c r="JA13" i="1"/>
  <c r="IZ13" i="1"/>
  <c r="IY13" i="1"/>
  <c r="IX13" i="1"/>
  <c r="IW13" i="1"/>
  <c r="IV13" i="1"/>
  <c r="IU13" i="1"/>
  <c r="IT13" i="1"/>
  <c r="IS13" i="1"/>
  <c r="IR13" i="1"/>
  <c r="IQ13" i="1"/>
  <c r="IP13" i="1"/>
  <c r="IO13" i="1"/>
  <c r="IN13" i="1"/>
  <c r="IM13" i="1"/>
  <c r="IL13" i="1"/>
  <c r="IK13" i="1"/>
  <c r="IJ13" i="1"/>
  <c r="II13" i="1"/>
  <c r="IH13" i="1"/>
  <c r="IG13" i="1"/>
  <c r="IF13" i="1"/>
  <c r="IE13" i="1"/>
  <c r="ID13" i="1"/>
  <c r="IC13" i="1"/>
  <c r="IB13" i="1"/>
  <c r="IA13" i="1"/>
  <c r="HZ13" i="1"/>
  <c r="HY13" i="1"/>
  <c r="HX13" i="1"/>
  <c r="HW13" i="1"/>
  <c r="HV13" i="1"/>
  <c r="HU13" i="1"/>
  <c r="HT13" i="1"/>
  <c r="HS13" i="1"/>
  <c r="HR13" i="1"/>
  <c r="HQ13" i="1"/>
  <c r="HP13" i="1"/>
  <c r="HO13" i="1"/>
  <c r="HN13" i="1"/>
  <c r="HM13" i="1"/>
  <c r="HL13" i="1"/>
  <c r="HK13" i="1"/>
  <c r="HJ13" i="1"/>
  <c r="HI13" i="1"/>
  <c r="HH13" i="1"/>
  <c r="HG13" i="1"/>
  <c r="HF13" i="1"/>
  <c r="HE13" i="1"/>
  <c r="HD13" i="1"/>
  <c r="HC13" i="1"/>
  <c r="HB13" i="1"/>
  <c r="HA13" i="1"/>
  <c r="GZ13" i="1"/>
  <c r="GY13" i="1"/>
  <c r="GX13" i="1"/>
  <c r="GW13" i="1"/>
  <c r="GV13" i="1"/>
  <c r="GU13" i="1"/>
  <c r="GT13" i="1"/>
  <c r="GS13" i="1"/>
  <c r="GR13" i="1"/>
  <c r="GQ13" i="1"/>
  <c r="GP13" i="1"/>
  <c r="GO13" i="1"/>
  <c r="GN13" i="1"/>
  <c r="GM13" i="1"/>
  <c r="GL13" i="1"/>
  <c r="GK13" i="1"/>
  <c r="GJ13" i="1"/>
  <c r="GI13" i="1"/>
  <c r="GH13" i="1"/>
  <c r="GG13" i="1"/>
  <c r="GF13" i="1"/>
  <c r="GE13" i="1"/>
  <c r="GD13" i="1"/>
  <c r="GC13" i="1"/>
  <c r="GB13" i="1"/>
  <c r="GA13" i="1"/>
  <c r="FZ13" i="1"/>
  <c r="FY13" i="1"/>
  <c r="FX13" i="1"/>
  <c r="FW13" i="1"/>
  <c r="FV13" i="1"/>
  <c r="FU13" i="1"/>
  <c r="FT13" i="1"/>
  <c r="FS13" i="1"/>
  <c r="FR13" i="1"/>
  <c r="FQ13" i="1"/>
  <c r="FP13" i="1"/>
  <c r="FO13" i="1"/>
  <c r="FN13" i="1"/>
  <c r="FM13" i="1"/>
  <c r="FL13" i="1"/>
  <c r="FK13" i="1"/>
  <c r="FJ13" i="1"/>
  <c r="FI13" i="1"/>
  <c r="FH13" i="1"/>
  <c r="FG13" i="1"/>
  <c r="FF13" i="1"/>
  <c r="FE13" i="1"/>
  <c r="FD13" i="1"/>
  <c r="FC13" i="1"/>
  <c r="FB13" i="1"/>
  <c r="FA13" i="1"/>
  <c r="EZ13" i="1"/>
  <c r="EY13" i="1"/>
  <c r="EX13" i="1"/>
  <c r="EW13" i="1"/>
  <c r="EV13" i="1"/>
  <c r="EU13" i="1"/>
  <c r="ET13" i="1"/>
  <c r="ES13" i="1"/>
  <c r="ER13" i="1"/>
  <c r="EQ13" i="1"/>
  <c r="EP13" i="1"/>
  <c r="EO13" i="1"/>
  <c r="EN13" i="1"/>
  <c r="EM13" i="1"/>
  <c r="EL13" i="1"/>
  <c r="EK13" i="1"/>
  <c r="EJ13" i="1"/>
  <c r="EI13" i="1"/>
  <c r="EH13" i="1"/>
  <c r="EG13" i="1"/>
  <c r="EF13" i="1"/>
  <c r="EE13" i="1"/>
  <c r="ED13" i="1"/>
  <c r="EC13" i="1"/>
  <c r="EB13" i="1"/>
  <c r="EA13" i="1"/>
  <c r="DZ13" i="1"/>
  <c r="DY13" i="1"/>
  <c r="DX13" i="1"/>
  <c r="DW13" i="1"/>
  <c r="DV13" i="1"/>
  <c r="DU13" i="1"/>
  <c r="DT13" i="1"/>
  <c r="DS13" i="1"/>
  <c r="DR13" i="1"/>
  <c r="DQ13" i="1"/>
  <c r="DP13" i="1"/>
  <c r="DO13" i="1"/>
  <c r="DN13" i="1"/>
  <c r="DM13" i="1"/>
  <c r="DL13" i="1"/>
  <c r="DK13" i="1"/>
  <c r="DJ13" i="1"/>
  <c r="DI13" i="1"/>
  <c r="DH13" i="1"/>
  <c r="DG13" i="1"/>
  <c r="DF13" i="1"/>
  <c r="DE13" i="1"/>
  <c r="DD13" i="1"/>
  <c r="DC13" i="1"/>
  <c r="DB13" i="1"/>
  <c r="DA13" i="1"/>
  <c r="CZ13" i="1"/>
  <c r="CY13" i="1"/>
  <c r="CX13" i="1"/>
  <c r="CW13" i="1"/>
  <c r="CV13" i="1"/>
  <c r="CU13" i="1"/>
  <c r="CT13" i="1"/>
  <c r="CS13" i="1"/>
  <c r="CR13" i="1"/>
  <c r="CQ13" i="1"/>
  <c r="CP13" i="1"/>
  <c r="CO13" i="1"/>
  <c r="CN13" i="1"/>
  <c r="CM13" i="1"/>
  <c r="CL13" i="1"/>
  <c r="CK13" i="1"/>
  <c r="CJ13" i="1"/>
  <c r="CI13" i="1"/>
  <c r="CH13" i="1"/>
  <c r="CG13" i="1"/>
  <c r="CF13" i="1"/>
  <c r="CE13" i="1"/>
  <c r="CD13" i="1"/>
  <c r="CC13" i="1"/>
  <c r="CB13" i="1"/>
  <c r="CA13" i="1"/>
  <c r="BZ13" i="1"/>
  <c r="BY13" i="1"/>
  <c r="BX13" i="1"/>
  <c r="BW13" i="1"/>
  <c r="BV13" i="1"/>
  <c r="BU13" i="1"/>
  <c r="BT13" i="1"/>
  <c r="BS13" i="1"/>
  <c r="BR13" i="1"/>
  <c r="BQ13" i="1"/>
  <c r="BP13" i="1"/>
  <c r="BO13" i="1"/>
  <c r="BN13" i="1"/>
  <c r="BM13" i="1"/>
  <c r="BL13" i="1"/>
  <c r="BK13" i="1"/>
  <c r="BJ13" i="1"/>
  <c r="BI13" i="1"/>
  <c r="BH13" i="1"/>
  <c r="BG13" i="1"/>
  <c r="BF13" i="1"/>
  <c r="BE13" i="1"/>
  <c r="BD13" i="1"/>
  <c r="BC13" i="1"/>
  <c r="BB13" i="1"/>
  <c r="BA13" i="1"/>
  <c r="AZ13" i="1"/>
  <c r="AY13" i="1"/>
  <c r="AX13" i="1"/>
  <c r="AW13" i="1"/>
  <c r="AV13" i="1"/>
  <c r="AU13" i="1"/>
  <c r="AT13" i="1"/>
  <c r="AS13" i="1"/>
  <c r="AR13" i="1"/>
  <c r="AQ13" i="1"/>
  <c r="AP13" i="1"/>
  <c r="AO13" i="1"/>
  <c r="AN13" i="1"/>
  <c r="AM13" i="1"/>
  <c r="AL13" i="1"/>
  <c r="AK13" i="1"/>
  <c r="AJ13" i="1"/>
  <c r="AI13" i="1"/>
  <c r="AH13" i="1"/>
  <c r="AG13" i="1"/>
  <c r="AF13" i="1"/>
  <c r="AE13" i="1"/>
  <c r="AD13" i="1"/>
  <c r="AC13" i="1"/>
  <c r="AB13" i="1"/>
  <c r="AA13" i="1"/>
  <c r="Z13" i="1"/>
  <c r="Y13" i="1"/>
  <c r="X13" i="1"/>
  <c r="W13" i="1"/>
  <c r="V13" i="1"/>
  <c r="U13" i="1"/>
  <c r="T13" i="1"/>
  <c r="S13" i="1"/>
  <c r="N13" i="1"/>
  <c r="M13" i="1"/>
  <c r="L13" i="1"/>
  <c r="K13" i="1"/>
  <c r="G13" i="1"/>
  <c r="JJ12" i="1"/>
  <c r="JI12" i="1"/>
  <c r="JH12" i="1"/>
  <c r="JG12" i="1"/>
  <c r="JF12" i="1"/>
  <c r="JE12" i="1"/>
  <c r="JD12" i="1"/>
  <c r="JC12" i="1"/>
  <c r="JB12" i="1"/>
  <c r="JA12" i="1"/>
  <c r="IZ12" i="1"/>
  <c r="IY12" i="1"/>
  <c r="IX12" i="1"/>
  <c r="IW12" i="1"/>
  <c r="IV12" i="1"/>
  <c r="IU12" i="1"/>
  <c r="IT12" i="1"/>
  <c r="IS12" i="1"/>
  <c r="IR12" i="1"/>
  <c r="IQ12" i="1"/>
  <c r="IP12" i="1"/>
  <c r="IO12" i="1"/>
  <c r="IN12" i="1"/>
  <c r="IM12" i="1"/>
  <c r="IL12" i="1"/>
  <c r="IK12" i="1"/>
  <c r="IJ12" i="1"/>
  <c r="II12" i="1"/>
  <c r="IH12" i="1"/>
  <c r="IG12" i="1"/>
  <c r="IF12" i="1"/>
  <c r="IE12" i="1"/>
  <c r="ID12" i="1"/>
  <c r="IC12" i="1"/>
  <c r="IB12" i="1"/>
  <c r="IA12" i="1"/>
  <c r="HZ12" i="1"/>
  <c r="HY12" i="1"/>
  <c r="HX12" i="1"/>
  <c r="HW12" i="1"/>
  <c r="HV12" i="1"/>
  <c r="HU12" i="1"/>
  <c r="HT12" i="1"/>
  <c r="HS12" i="1"/>
  <c r="HR12" i="1"/>
  <c r="HQ12" i="1"/>
  <c r="HP12" i="1"/>
  <c r="HO12" i="1"/>
  <c r="HN12" i="1"/>
  <c r="HM12" i="1"/>
  <c r="HL12" i="1"/>
  <c r="HK12" i="1"/>
  <c r="HJ12" i="1"/>
  <c r="HI12" i="1"/>
  <c r="HH12" i="1"/>
  <c r="HG12" i="1"/>
  <c r="HF12" i="1"/>
  <c r="HE12" i="1"/>
  <c r="HD12" i="1"/>
  <c r="HC12" i="1"/>
  <c r="HB12" i="1"/>
  <c r="HA12" i="1"/>
  <c r="GZ12" i="1"/>
  <c r="GY12" i="1"/>
  <c r="GX12" i="1"/>
  <c r="GW12" i="1"/>
  <c r="GV12" i="1"/>
  <c r="GU12" i="1"/>
  <c r="GT12" i="1"/>
  <c r="GS12" i="1"/>
  <c r="GR12" i="1"/>
  <c r="GQ12" i="1"/>
  <c r="GP12" i="1"/>
  <c r="GO12" i="1"/>
  <c r="GN12" i="1"/>
  <c r="GM12" i="1"/>
  <c r="GL12" i="1"/>
  <c r="GK12" i="1"/>
  <c r="GJ12" i="1"/>
  <c r="GI12" i="1"/>
  <c r="GH12" i="1"/>
  <c r="GG12" i="1"/>
  <c r="GF12" i="1"/>
  <c r="GE12" i="1"/>
  <c r="GD12" i="1"/>
  <c r="GC12" i="1"/>
  <c r="GB12" i="1"/>
  <c r="GA12" i="1"/>
  <c r="FZ12" i="1"/>
  <c r="FY12" i="1"/>
  <c r="FX12" i="1"/>
  <c r="FW12" i="1"/>
  <c r="FV12" i="1"/>
  <c r="FU12" i="1"/>
  <c r="FT12" i="1"/>
  <c r="FS12" i="1"/>
  <c r="FR12" i="1"/>
  <c r="FQ12" i="1"/>
  <c r="FP12" i="1"/>
  <c r="FO12" i="1"/>
  <c r="FN12" i="1"/>
  <c r="FM12" i="1"/>
  <c r="FL12" i="1"/>
  <c r="FK12" i="1"/>
  <c r="FJ12" i="1"/>
  <c r="FI12" i="1"/>
  <c r="FH12" i="1"/>
  <c r="FG12" i="1"/>
  <c r="FF12" i="1"/>
  <c r="FE12" i="1"/>
  <c r="FD12" i="1"/>
  <c r="FC12" i="1"/>
  <c r="FB12" i="1"/>
  <c r="FA12" i="1"/>
  <c r="EZ12" i="1"/>
  <c r="EY12" i="1"/>
  <c r="EX12" i="1"/>
  <c r="EW12" i="1"/>
  <c r="EV12" i="1"/>
  <c r="EU12" i="1"/>
  <c r="ET12" i="1"/>
  <c r="ES12" i="1"/>
  <c r="ER12" i="1"/>
  <c r="EQ12" i="1"/>
  <c r="EP12" i="1"/>
  <c r="EO12" i="1"/>
  <c r="EN12" i="1"/>
  <c r="EM12" i="1"/>
  <c r="EL12" i="1"/>
  <c r="EK12" i="1"/>
  <c r="EJ12" i="1"/>
  <c r="EI12" i="1"/>
  <c r="EH12" i="1"/>
  <c r="EG12" i="1"/>
  <c r="EF12" i="1"/>
  <c r="EE12" i="1"/>
  <c r="ED12" i="1"/>
  <c r="EC12" i="1"/>
  <c r="EB12" i="1"/>
  <c r="EA12" i="1"/>
  <c r="DZ12" i="1"/>
  <c r="DY12" i="1"/>
  <c r="DX12" i="1"/>
  <c r="DW12" i="1"/>
  <c r="DV12" i="1"/>
  <c r="DU12" i="1"/>
  <c r="DT12" i="1"/>
  <c r="DS12" i="1"/>
  <c r="DR12" i="1"/>
  <c r="DQ12" i="1"/>
  <c r="DP12" i="1"/>
  <c r="DO12" i="1"/>
  <c r="DN12" i="1"/>
  <c r="DM12" i="1"/>
  <c r="DL12" i="1"/>
  <c r="DK12" i="1"/>
  <c r="DJ12" i="1"/>
  <c r="DI12" i="1"/>
  <c r="DH12" i="1"/>
  <c r="DG12" i="1"/>
  <c r="DF12" i="1"/>
  <c r="DE12" i="1"/>
  <c r="DD12" i="1"/>
  <c r="DC12" i="1"/>
  <c r="DB12" i="1"/>
  <c r="DA12" i="1"/>
  <c r="CZ12" i="1"/>
  <c r="CY12" i="1"/>
  <c r="CX12" i="1"/>
  <c r="CW12" i="1"/>
  <c r="CV12" i="1"/>
  <c r="CU12" i="1"/>
  <c r="CT12" i="1"/>
  <c r="CS12" i="1"/>
  <c r="CR12" i="1"/>
  <c r="CQ12" i="1"/>
  <c r="CP12" i="1"/>
  <c r="CO12" i="1"/>
  <c r="CN12" i="1"/>
  <c r="CM12" i="1"/>
  <c r="CL12" i="1"/>
  <c r="CK12" i="1"/>
  <c r="CJ12" i="1"/>
  <c r="CI12" i="1"/>
  <c r="CH12" i="1"/>
  <c r="CG12" i="1"/>
  <c r="CF12" i="1"/>
  <c r="CE12" i="1"/>
  <c r="CD12" i="1"/>
  <c r="CC12" i="1"/>
  <c r="CB12" i="1"/>
  <c r="CA12" i="1"/>
  <c r="BZ12" i="1"/>
  <c r="BY12" i="1"/>
  <c r="BX12" i="1"/>
  <c r="BW12" i="1"/>
  <c r="BV12" i="1"/>
  <c r="BU12" i="1"/>
  <c r="BT12" i="1"/>
  <c r="BS12" i="1"/>
  <c r="BR12" i="1"/>
  <c r="BQ12" i="1"/>
  <c r="BP12" i="1"/>
  <c r="BO12" i="1"/>
  <c r="BN12" i="1"/>
  <c r="BM12" i="1"/>
  <c r="BL12" i="1"/>
  <c r="BK12" i="1"/>
  <c r="BJ12" i="1"/>
  <c r="BI12" i="1"/>
  <c r="BH12" i="1"/>
  <c r="BG12" i="1"/>
  <c r="BF12" i="1"/>
  <c r="BE12" i="1"/>
  <c r="BD12" i="1"/>
  <c r="BC12" i="1"/>
  <c r="BB12" i="1"/>
  <c r="BA12" i="1"/>
  <c r="AZ12" i="1"/>
  <c r="AY12" i="1"/>
  <c r="AX12" i="1"/>
  <c r="AW12" i="1"/>
  <c r="AV12" i="1"/>
  <c r="AU12" i="1"/>
  <c r="AT12" i="1"/>
  <c r="AS12" i="1"/>
  <c r="AR12" i="1"/>
  <c r="AQ12" i="1"/>
  <c r="AP12" i="1"/>
  <c r="AO12" i="1"/>
  <c r="AN12" i="1"/>
  <c r="AM12" i="1"/>
  <c r="AL12" i="1"/>
  <c r="AK12" i="1"/>
  <c r="AJ12" i="1"/>
  <c r="AI12" i="1"/>
  <c r="AH12" i="1"/>
  <c r="AG12" i="1"/>
  <c r="AF12" i="1"/>
  <c r="AE12" i="1"/>
  <c r="AD12" i="1"/>
  <c r="AC12" i="1"/>
  <c r="AB12" i="1"/>
  <c r="AA12" i="1"/>
  <c r="Z12" i="1"/>
  <c r="Y12" i="1"/>
  <c r="X12" i="1"/>
  <c r="W12" i="1"/>
  <c r="V12" i="1"/>
  <c r="U12" i="1"/>
  <c r="T12" i="1"/>
  <c r="S12" i="1"/>
  <c r="N12" i="1"/>
  <c r="M12" i="1"/>
  <c r="L12" i="1"/>
  <c r="K12" i="1"/>
  <c r="G12" i="1"/>
  <c r="JJ11" i="1"/>
  <c r="JI11" i="1"/>
  <c r="JH11" i="1"/>
  <c r="JG11" i="1"/>
  <c r="JF11" i="1"/>
  <c r="JE11" i="1"/>
  <c r="JD11" i="1"/>
  <c r="JC11" i="1"/>
  <c r="JB11" i="1"/>
  <c r="JA11" i="1"/>
  <c r="IZ11" i="1"/>
  <c r="IY11" i="1"/>
  <c r="IX11" i="1"/>
  <c r="IW11" i="1"/>
  <c r="IV11" i="1"/>
  <c r="IU11" i="1"/>
  <c r="IT11" i="1"/>
  <c r="IS11" i="1"/>
  <c r="IR11" i="1"/>
  <c r="IQ11" i="1"/>
  <c r="IP11" i="1"/>
  <c r="IO11" i="1"/>
  <c r="IN11" i="1"/>
  <c r="IM11" i="1"/>
  <c r="IL11" i="1"/>
  <c r="IK11" i="1"/>
  <c r="IJ11" i="1"/>
  <c r="II11" i="1"/>
  <c r="IH11" i="1"/>
  <c r="IG11" i="1"/>
  <c r="IF11" i="1"/>
  <c r="IE11" i="1"/>
  <c r="ID11" i="1"/>
  <c r="IC11" i="1"/>
  <c r="IB11" i="1"/>
  <c r="IA11" i="1"/>
  <c r="HZ11" i="1"/>
  <c r="HY11" i="1"/>
  <c r="HX11" i="1"/>
  <c r="HW11" i="1"/>
  <c r="HV11" i="1"/>
  <c r="HU11" i="1"/>
  <c r="HT11" i="1"/>
  <c r="HS11" i="1"/>
  <c r="HR11" i="1"/>
  <c r="HQ11" i="1"/>
  <c r="HP11" i="1"/>
  <c r="HO11" i="1"/>
  <c r="HN11" i="1"/>
  <c r="HM11" i="1"/>
  <c r="HL11" i="1"/>
  <c r="HK11" i="1"/>
  <c r="HJ11" i="1"/>
  <c r="HI11" i="1"/>
  <c r="HH11" i="1"/>
  <c r="HG11" i="1"/>
  <c r="HF11" i="1"/>
  <c r="HE11" i="1"/>
  <c r="HD11" i="1"/>
  <c r="HC11" i="1"/>
  <c r="HB11" i="1"/>
  <c r="HA11" i="1"/>
  <c r="GZ11" i="1"/>
  <c r="GY11" i="1"/>
  <c r="GX11" i="1"/>
  <c r="GW11" i="1"/>
  <c r="GV11" i="1"/>
  <c r="GU11" i="1"/>
  <c r="GT11" i="1"/>
  <c r="GS11" i="1"/>
  <c r="GR11" i="1"/>
  <c r="GQ11" i="1"/>
  <c r="GP11" i="1"/>
  <c r="GO11" i="1"/>
  <c r="GN11" i="1"/>
  <c r="GM11" i="1"/>
  <c r="GL11" i="1"/>
  <c r="GK11" i="1"/>
  <c r="GJ11" i="1"/>
  <c r="GI11" i="1"/>
  <c r="GH11" i="1"/>
  <c r="GG11" i="1"/>
  <c r="GF11" i="1"/>
  <c r="GE11" i="1"/>
  <c r="GD11" i="1"/>
  <c r="GC11" i="1"/>
  <c r="GB11" i="1"/>
  <c r="GA11" i="1"/>
  <c r="FZ11" i="1"/>
  <c r="FY11" i="1"/>
  <c r="FX11" i="1"/>
  <c r="FW11" i="1"/>
  <c r="FV11" i="1"/>
  <c r="FU11" i="1"/>
  <c r="FT11" i="1"/>
  <c r="FS11" i="1"/>
  <c r="FR11" i="1"/>
  <c r="FQ11" i="1"/>
  <c r="FP11" i="1"/>
  <c r="FO11" i="1"/>
  <c r="FN11" i="1"/>
  <c r="FM11" i="1"/>
  <c r="FL11" i="1"/>
  <c r="FK11" i="1"/>
  <c r="FJ11" i="1"/>
  <c r="FI11" i="1"/>
  <c r="FH11" i="1"/>
  <c r="FG11" i="1"/>
  <c r="FF11" i="1"/>
  <c r="FE11" i="1"/>
  <c r="FD11" i="1"/>
  <c r="FC11" i="1"/>
  <c r="FB11" i="1"/>
  <c r="FA11" i="1"/>
  <c r="EZ11" i="1"/>
  <c r="EY11" i="1"/>
  <c r="EX11" i="1"/>
  <c r="EW11" i="1"/>
  <c r="EV11" i="1"/>
  <c r="EU11" i="1"/>
  <c r="ET11" i="1"/>
  <c r="ES11" i="1"/>
  <c r="ER11" i="1"/>
  <c r="EQ11" i="1"/>
  <c r="EP11" i="1"/>
  <c r="EO11" i="1"/>
  <c r="EN11" i="1"/>
  <c r="EM11" i="1"/>
  <c r="EL11" i="1"/>
  <c r="EK11" i="1"/>
  <c r="EJ11" i="1"/>
  <c r="EI11" i="1"/>
  <c r="EH11" i="1"/>
  <c r="EG11" i="1"/>
  <c r="EF11" i="1"/>
  <c r="EE11" i="1"/>
  <c r="ED11" i="1"/>
  <c r="EC11" i="1"/>
  <c r="EB11" i="1"/>
  <c r="EA11" i="1"/>
  <c r="DZ11" i="1"/>
  <c r="DY11" i="1"/>
  <c r="DX11" i="1"/>
  <c r="DW11" i="1"/>
  <c r="DV11" i="1"/>
  <c r="DU11" i="1"/>
  <c r="DT11" i="1"/>
  <c r="DS11" i="1"/>
  <c r="DR11" i="1"/>
  <c r="DQ11" i="1"/>
  <c r="DP11" i="1"/>
  <c r="DO11" i="1"/>
  <c r="DN11" i="1"/>
  <c r="DM11" i="1"/>
  <c r="DL11" i="1"/>
  <c r="DK11" i="1"/>
  <c r="DJ11" i="1"/>
  <c r="DI11" i="1"/>
  <c r="DH11" i="1"/>
  <c r="DG11" i="1"/>
  <c r="DF11" i="1"/>
  <c r="DE11" i="1"/>
  <c r="DD11" i="1"/>
  <c r="DC11" i="1"/>
  <c r="DB11" i="1"/>
  <c r="DA11" i="1"/>
  <c r="CZ11" i="1"/>
  <c r="CY11" i="1"/>
  <c r="CX11" i="1"/>
  <c r="CW11" i="1"/>
  <c r="CV11" i="1"/>
  <c r="CU11" i="1"/>
  <c r="CT11" i="1"/>
  <c r="CS11" i="1"/>
  <c r="CR11" i="1"/>
  <c r="CQ11" i="1"/>
  <c r="CP11" i="1"/>
  <c r="CO11" i="1"/>
  <c r="CN11" i="1"/>
  <c r="CM11" i="1"/>
  <c r="CL11" i="1"/>
  <c r="CK11" i="1"/>
  <c r="CJ11" i="1"/>
  <c r="CI11" i="1"/>
  <c r="CH11" i="1"/>
  <c r="CG11" i="1"/>
  <c r="CF11" i="1"/>
  <c r="CE11" i="1"/>
  <c r="CD11" i="1"/>
  <c r="CC11" i="1"/>
  <c r="CB11" i="1"/>
  <c r="CA11" i="1"/>
  <c r="BZ11" i="1"/>
  <c r="BY11" i="1"/>
  <c r="BX11" i="1"/>
  <c r="BW11" i="1"/>
  <c r="BV11" i="1"/>
  <c r="BU11" i="1"/>
  <c r="BT11" i="1"/>
  <c r="BS11" i="1"/>
  <c r="BR11" i="1"/>
  <c r="BQ11" i="1"/>
  <c r="BP11" i="1"/>
  <c r="BO11" i="1"/>
  <c r="BN11" i="1"/>
  <c r="BM11" i="1"/>
  <c r="BL11" i="1"/>
  <c r="BK11" i="1"/>
  <c r="BJ11" i="1"/>
  <c r="BI11" i="1"/>
  <c r="BH11" i="1"/>
  <c r="BG11" i="1"/>
  <c r="BF11" i="1"/>
  <c r="BE11" i="1"/>
  <c r="BD11" i="1"/>
  <c r="BC11" i="1"/>
  <c r="BB11" i="1"/>
  <c r="BA11" i="1"/>
  <c r="AZ11" i="1"/>
  <c r="AY11" i="1"/>
  <c r="AX11" i="1"/>
  <c r="AW11" i="1"/>
  <c r="AV11" i="1"/>
  <c r="AU11" i="1"/>
  <c r="AT11" i="1"/>
  <c r="AS11" i="1"/>
  <c r="AR11" i="1"/>
  <c r="AQ11" i="1"/>
  <c r="AP11" i="1"/>
  <c r="AO11" i="1"/>
  <c r="AN11" i="1"/>
  <c r="AM11" i="1"/>
  <c r="AL11" i="1"/>
  <c r="AK11" i="1"/>
  <c r="AJ11" i="1"/>
  <c r="AI11" i="1"/>
  <c r="AH11" i="1"/>
  <c r="AG11" i="1"/>
  <c r="AF11" i="1"/>
  <c r="AE11" i="1"/>
  <c r="AD11" i="1"/>
  <c r="AC11" i="1"/>
  <c r="AB11" i="1"/>
  <c r="AA11" i="1"/>
  <c r="Z11" i="1"/>
  <c r="Y11" i="1"/>
  <c r="X11" i="1"/>
  <c r="W11" i="1"/>
  <c r="V11" i="1"/>
  <c r="U11" i="1"/>
  <c r="T11" i="1"/>
  <c r="S11" i="1"/>
  <c r="N11" i="1"/>
  <c r="M11" i="1"/>
  <c r="L11" i="1"/>
  <c r="K11" i="1"/>
  <c r="G11" i="1"/>
  <c r="JJ10" i="1"/>
  <c r="JI10" i="1"/>
  <c r="JH10" i="1"/>
  <c r="JG10" i="1"/>
  <c r="JF10" i="1"/>
  <c r="JE10" i="1"/>
  <c r="JD10" i="1"/>
  <c r="JC10" i="1"/>
  <c r="JB10" i="1"/>
  <c r="JA10" i="1"/>
  <c r="IZ10" i="1"/>
  <c r="IY10" i="1"/>
  <c r="IX10" i="1"/>
  <c r="IW10" i="1"/>
  <c r="IV10" i="1"/>
  <c r="IU10" i="1"/>
  <c r="IT10" i="1"/>
  <c r="IS10" i="1"/>
  <c r="IR10" i="1"/>
  <c r="IQ10" i="1"/>
  <c r="IP10" i="1"/>
  <c r="IO10" i="1"/>
  <c r="IN10" i="1"/>
  <c r="IM10" i="1"/>
  <c r="IL10" i="1"/>
  <c r="IK10" i="1"/>
  <c r="IJ10" i="1"/>
  <c r="II10" i="1"/>
  <c r="IH10" i="1"/>
  <c r="IG10" i="1"/>
  <c r="IF10" i="1"/>
  <c r="IE10" i="1"/>
  <c r="ID10" i="1"/>
  <c r="IC10" i="1"/>
  <c r="IB10" i="1"/>
  <c r="IA10" i="1"/>
  <c r="HZ10" i="1"/>
  <c r="HY10" i="1"/>
  <c r="HX10" i="1"/>
  <c r="HW10" i="1"/>
  <c r="HV10" i="1"/>
  <c r="HU10" i="1"/>
  <c r="HT10" i="1"/>
  <c r="HS10" i="1"/>
  <c r="HR10" i="1"/>
  <c r="HQ10" i="1"/>
  <c r="HP10" i="1"/>
  <c r="HO10" i="1"/>
  <c r="HN10" i="1"/>
  <c r="HM10" i="1"/>
  <c r="HL10" i="1"/>
  <c r="HK10" i="1"/>
  <c r="HJ10" i="1"/>
  <c r="HI10" i="1"/>
  <c r="HH10" i="1"/>
  <c r="HG10" i="1"/>
  <c r="HF10" i="1"/>
  <c r="HE10" i="1"/>
  <c r="HD10" i="1"/>
  <c r="HC10" i="1"/>
  <c r="HB10" i="1"/>
  <c r="HA10" i="1"/>
  <c r="GZ10" i="1"/>
  <c r="GY10" i="1"/>
  <c r="GX10" i="1"/>
  <c r="GW10" i="1"/>
  <c r="GV10" i="1"/>
  <c r="GU10" i="1"/>
  <c r="GT10" i="1"/>
  <c r="GS10" i="1"/>
  <c r="GR10" i="1"/>
  <c r="GQ10" i="1"/>
  <c r="GP10" i="1"/>
  <c r="GO10" i="1"/>
  <c r="GN10" i="1"/>
  <c r="GM10" i="1"/>
  <c r="GL10" i="1"/>
  <c r="GK10" i="1"/>
  <c r="GJ10" i="1"/>
  <c r="GI10" i="1"/>
  <c r="GH10" i="1"/>
  <c r="GG10" i="1"/>
  <c r="GF10" i="1"/>
  <c r="GE10" i="1"/>
  <c r="GD10" i="1"/>
  <c r="GC10" i="1"/>
  <c r="GB10" i="1"/>
  <c r="GA10" i="1"/>
  <c r="FZ10" i="1"/>
  <c r="FY10" i="1"/>
  <c r="FX10" i="1"/>
  <c r="FW10" i="1"/>
  <c r="FV10" i="1"/>
  <c r="FU10" i="1"/>
  <c r="FT10" i="1"/>
  <c r="FS10" i="1"/>
  <c r="FR10" i="1"/>
  <c r="FQ10" i="1"/>
  <c r="FP10" i="1"/>
  <c r="FO10" i="1"/>
  <c r="FN10" i="1"/>
  <c r="FM10" i="1"/>
  <c r="FL10" i="1"/>
  <c r="FK10" i="1"/>
  <c r="FJ10" i="1"/>
  <c r="FI10" i="1"/>
  <c r="FH10" i="1"/>
  <c r="FG10" i="1"/>
  <c r="FF10" i="1"/>
  <c r="FE10" i="1"/>
  <c r="FD10" i="1"/>
  <c r="FC10" i="1"/>
  <c r="FB10" i="1"/>
  <c r="FA10" i="1"/>
  <c r="EZ10" i="1"/>
  <c r="EY10" i="1"/>
  <c r="EX10" i="1"/>
  <c r="EW10" i="1"/>
  <c r="EV10" i="1"/>
  <c r="EU10" i="1"/>
  <c r="ET10" i="1"/>
  <c r="ES10" i="1"/>
  <c r="ER10" i="1"/>
  <c r="EQ10" i="1"/>
  <c r="EP10" i="1"/>
  <c r="EO10" i="1"/>
  <c r="EN10" i="1"/>
  <c r="EM10" i="1"/>
  <c r="EL10" i="1"/>
  <c r="EK10" i="1"/>
  <c r="EJ10" i="1"/>
  <c r="EI10" i="1"/>
  <c r="EH10" i="1"/>
  <c r="EG10" i="1"/>
  <c r="EF10" i="1"/>
  <c r="EE10" i="1"/>
  <c r="ED10" i="1"/>
  <c r="EC10" i="1"/>
  <c r="EB10" i="1"/>
  <c r="EA10" i="1"/>
  <c r="DZ10" i="1"/>
  <c r="DY10" i="1"/>
  <c r="DX10" i="1"/>
  <c r="DW10" i="1"/>
  <c r="DV10" i="1"/>
  <c r="DU10" i="1"/>
  <c r="DT10" i="1"/>
  <c r="DS10" i="1"/>
  <c r="DR10" i="1"/>
  <c r="DQ10" i="1"/>
  <c r="DP10" i="1"/>
  <c r="DO10" i="1"/>
  <c r="DN10" i="1"/>
  <c r="DM10" i="1"/>
  <c r="DL10" i="1"/>
  <c r="DK10" i="1"/>
  <c r="DJ10" i="1"/>
  <c r="DI10" i="1"/>
  <c r="DH10" i="1"/>
  <c r="DG10" i="1"/>
  <c r="DF10" i="1"/>
  <c r="DE10" i="1"/>
  <c r="DD10" i="1"/>
  <c r="DC10" i="1"/>
  <c r="DB10" i="1"/>
  <c r="DA10" i="1"/>
  <c r="CZ10" i="1"/>
  <c r="CY10" i="1"/>
  <c r="CX10" i="1"/>
  <c r="CW10" i="1"/>
  <c r="CV10" i="1"/>
  <c r="CU10" i="1"/>
  <c r="CT10" i="1"/>
  <c r="CS10" i="1"/>
  <c r="CR10" i="1"/>
  <c r="CQ10" i="1"/>
  <c r="CP10" i="1"/>
  <c r="CO10" i="1"/>
  <c r="CN10" i="1"/>
  <c r="CM10" i="1"/>
  <c r="CL10" i="1"/>
  <c r="CK10" i="1"/>
  <c r="CJ10" i="1"/>
  <c r="CI10" i="1"/>
  <c r="CH10" i="1"/>
  <c r="CG10" i="1"/>
  <c r="CF10" i="1"/>
  <c r="CE10" i="1"/>
  <c r="CD10" i="1"/>
  <c r="CC10" i="1"/>
  <c r="CB10" i="1"/>
  <c r="CA10" i="1"/>
  <c r="BZ10" i="1"/>
  <c r="BY10" i="1"/>
  <c r="BX10" i="1"/>
  <c r="BW10" i="1"/>
  <c r="BV10" i="1"/>
  <c r="BU10" i="1"/>
  <c r="BT10" i="1"/>
  <c r="BS10" i="1"/>
  <c r="BR10" i="1"/>
  <c r="BQ10" i="1"/>
  <c r="BP10" i="1"/>
  <c r="BO10" i="1"/>
  <c r="BN10" i="1"/>
  <c r="BM10" i="1"/>
  <c r="BL10" i="1"/>
  <c r="BK10" i="1"/>
  <c r="BJ10" i="1"/>
  <c r="BI10" i="1"/>
  <c r="BH10" i="1"/>
  <c r="BG10" i="1"/>
  <c r="BF10" i="1"/>
  <c r="BE10" i="1"/>
  <c r="BD10" i="1"/>
  <c r="BC10" i="1"/>
  <c r="BB10" i="1"/>
  <c r="BA10" i="1"/>
  <c r="AZ10" i="1"/>
  <c r="AY10" i="1"/>
  <c r="AX10" i="1"/>
  <c r="AW10" i="1"/>
  <c r="AV10" i="1"/>
  <c r="AU10" i="1"/>
  <c r="AT10" i="1"/>
  <c r="AS10" i="1"/>
  <c r="AR10" i="1"/>
  <c r="AQ10" i="1"/>
  <c r="AP10" i="1"/>
  <c r="AO10" i="1"/>
  <c r="AN10" i="1"/>
  <c r="AM10" i="1"/>
  <c r="AL10" i="1"/>
  <c r="AK10" i="1"/>
  <c r="AJ10" i="1"/>
  <c r="AI10" i="1"/>
  <c r="AH10" i="1"/>
  <c r="AG10" i="1"/>
  <c r="AF10" i="1"/>
  <c r="AE10" i="1"/>
  <c r="AD10" i="1"/>
  <c r="AC10" i="1"/>
  <c r="AB10" i="1"/>
  <c r="AA10" i="1"/>
  <c r="Z10" i="1"/>
  <c r="Y10" i="1"/>
  <c r="X10" i="1"/>
  <c r="W10" i="1"/>
  <c r="V10" i="1"/>
  <c r="U10" i="1"/>
  <c r="T10" i="1"/>
  <c r="S10" i="1"/>
  <c r="N10" i="1"/>
  <c r="M10" i="1"/>
  <c r="L10" i="1"/>
  <c r="K10" i="1"/>
  <c r="G10" i="1"/>
  <c r="JJ9" i="1"/>
  <c r="JI9" i="1"/>
  <c r="JH9" i="1"/>
  <c r="JG9" i="1"/>
  <c r="JF9" i="1"/>
  <c r="JE9" i="1"/>
  <c r="JD9" i="1"/>
  <c r="JC9" i="1"/>
  <c r="JB9" i="1"/>
  <c r="JA9" i="1"/>
  <c r="IZ9" i="1"/>
  <c r="IY9" i="1"/>
  <c r="IX9" i="1"/>
  <c r="IW9" i="1"/>
  <c r="IV9" i="1"/>
  <c r="IU9" i="1"/>
  <c r="IT9" i="1"/>
  <c r="IS9" i="1"/>
  <c r="IR9" i="1"/>
  <c r="IQ9" i="1"/>
  <c r="IP9" i="1"/>
  <c r="IO9" i="1"/>
  <c r="IN9" i="1"/>
  <c r="IM9" i="1"/>
  <c r="IL9" i="1"/>
  <c r="IK9" i="1"/>
  <c r="IJ9" i="1"/>
  <c r="II9" i="1"/>
  <c r="IH9" i="1"/>
  <c r="IG9" i="1"/>
  <c r="IF9" i="1"/>
  <c r="IE9" i="1"/>
  <c r="ID9" i="1"/>
  <c r="IC9" i="1"/>
  <c r="IB9" i="1"/>
  <c r="IA9" i="1"/>
  <c r="HZ9" i="1"/>
  <c r="HY9" i="1"/>
  <c r="HX9" i="1"/>
  <c r="HW9" i="1"/>
  <c r="HV9" i="1"/>
  <c r="HU9" i="1"/>
  <c r="HT9" i="1"/>
  <c r="HS9" i="1"/>
  <c r="HR9" i="1"/>
  <c r="HQ9" i="1"/>
  <c r="HP9" i="1"/>
  <c r="HO9" i="1"/>
  <c r="HN9" i="1"/>
  <c r="HM9" i="1"/>
  <c r="HL9" i="1"/>
  <c r="HK9" i="1"/>
  <c r="HJ9" i="1"/>
  <c r="HI9" i="1"/>
  <c r="HH9" i="1"/>
  <c r="HG9" i="1"/>
  <c r="HF9" i="1"/>
  <c r="HE9" i="1"/>
  <c r="HD9" i="1"/>
  <c r="HC9" i="1"/>
  <c r="HB9" i="1"/>
  <c r="HA9" i="1"/>
  <c r="GZ9" i="1"/>
  <c r="GY9" i="1"/>
  <c r="GX9" i="1"/>
  <c r="GW9" i="1"/>
  <c r="GV9" i="1"/>
  <c r="GU9" i="1"/>
  <c r="GT9" i="1"/>
  <c r="GS9" i="1"/>
  <c r="GR9" i="1"/>
  <c r="GQ9" i="1"/>
  <c r="GP9" i="1"/>
  <c r="GO9" i="1"/>
  <c r="GN9" i="1"/>
  <c r="GM9" i="1"/>
  <c r="GL9" i="1"/>
  <c r="GK9" i="1"/>
  <c r="GJ9" i="1"/>
  <c r="GI9" i="1"/>
  <c r="GH9" i="1"/>
  <c r="GG9" i="1"/>
  <c r="GF9" i="1"/>
  <c r="GE9" i="1"/>
  <c r="GD9" i="1"/>
  <c r="GC9" i="1"/>
  <c r="GB9" i="1"/>
  <c r="GA9" i="1"/>
  <c r="FZ9" i="1"/>
  <c r="FY9" i="1"/>
  <c r="FX9" i="1"/>
  <c r="FW9" i="1"/>
  <c r="FV9" i="1"/>
  <c r="FU9" i="1"/>
  <c r="FT9" i="1"/>
  <c r="FS9" i="1"/>
  <c r="FR9" i="1"/>
  <c r="FQ9" i="1"/>
  <c r="FP9" i="1"/>
  <c r="FO9" i="1"/>
  <c r="FN9" i="1"/>
  <c r="FM9" i="1"/>
  <c r="FL9" i="1"/>
  <c r="FK9" i="1"/>
  <c r="FJ9" i="1"/>
  <c r="FI9" i="1"/>
  <c r="FH9" i="1"/>
  <c r="FG9" i="1"/>
  <c r="FF9" i="1"/>
  <c r="FE9" i="1"/>
  <c r="FD9" i="1"/>
  <c r="FC9" i="1"/>
  <c r="FB9" i="1"/>
  <c r="FA9" i="1"/>
  <c r="EZ9" i="1"/>
  <c r="EY9" i="1"/>
  <c r="EX9" i="1"/>
  <c r="EW9" i="1"/>
  <c r="EV9" i="1"/>
  <c r="EU9" i="1"/>
  <c r="ET9" i="1"/>
  <c r="ES9" i="1"/>
  <c r="ER9" i="1"/>
  <c r="EQ9" i="1"/>
  <c r="EP9" i="1"/>
  <c r="EO9" i="1"/>
  <c r="EN9" i="1"/>
  <c r="EM9" i="1"/>
  <c r="EL9" i="1"/>
  <c r="EK9" i="1"/>
  <c r="EJ9" i="1"/>
  <c r="EI9" i="1"/>
  <c r="EH9" i="1"/>
  <c r="EG9" i="1"/>
  <c r="EF9" i="1"/>
  <c r="EE9" i="1"/>
  <c r="ED9" i="1"/>
  <c r="EC9" i="1"/>
  <c r="EB9" i="1"/>
  <c r="EA9" i="1"/>
  <c r="DZ9" i="1"/>
  <c r="DY9" i="1"/>
  <c r="DX9" i="1"/>
  <c r="DW9" i="1"/>
  <c r="DV9" i="1"/>
  <c r="DU9" i="1"/>
  <c r="DT9" i="1"/>
  <c r="DS9" i="1"/>
  <c r="DR9" i="1"/>
  <c r="DQ9" i="1"/>
  <c r="DP9" i="1"/>
  <c r="DO9" i="1"/>
  <c r="DN9" i="1"/>
  <c r="DM9" i="1"/>
  <c r="DL9" i="1"/>
  <c r="DK9" i="1"/>
  <c r="DJ9" i="1"/>
  <c r="DI9" i="1"/>
  <c r="DH9" i="1"/>
  <c r="DG9" i="1"/>
  <c r="DF9" i="1"/>
  <c r="DE9" i="1"/>
  <c r="DD9" i="1"/>
  <c r="DC9" i="1"/>
  <c r="DB9" i="1"/>
  <c r="DA9" i="1"/>
  <c r="CZ9" i="1"/>
  <c r="CY9" i="1"/>
  <c r="CX9" i="1"/>
  <c r="CW9" i="1"/>
  <c r="CV9" i="1"/>
  <c r="CU9" i="1"/>
  <c r="CT9" i="1"/>
  <c r="CS9" i="1"/>
  <c r="CR9" i="1"/>
  <c r="CQ9" i="1"/>
  <c r="CP9" i="1"/>
  <c r="CO9" i="1"/>
  <c r="CN9" i="1"/>
  <c r="CM9" i="1"/>
  <c r="CL9" i="1"/>
  <c r="CK9" i="1"/>
  <c r="CJ9" i="1"/>
  <c r="CI9" i="1"/>
  <c r="CH9" i="1"/>
  <c r="CG9" i="1"/>
  <c r="CF9" i="1"/>
  <c r="CE9" i="1"/>
  <c r="CD9" i="1"/>
  <c r="CC9" i="1"/>
  <c r="CB9" i="1"/>
  <c r="CA9" i="1"/>
  <c r="BZ9" i="1"/>
  <c r="BY9" i="1"/>
  <c r="BX9" i="1"/>
  <c r="BW9" i="1"/>
  <c r="BV9" i="1"/>
  <c r="BU9" i="1"/>
  <c r="BT9" i="1"/>
  <c r="BS9" i="1"/>
  <c r="BR9" i="1"/>
  <c r="BQ9" i="1"/>
  <c r="BP9" i="1"/>
  <c r="BO9" i="1"/>
  <c r="BN9" i="1"/>
  <c r="BM9" i="1"/>
  <c r="BL9" i="1"/>
  <c r="BK9" i="1"/>
  <c r="BJ9" i="1"/>
  <c r="BI9" i="1"/>
  <c r="BH9" i="1"/>
  <c r="BG9" i="1"/>
  <c r="BF9" i="1"/>
  <c r="BE9" i="1"/>
  <c r="BD9" i="1"/>
  <c r="BC9" i="1"/>
  <c r="BB9" i="1"/>
  <c r="BA9" i="1"/>
  <c r="AZ9" i="1"/>
  <c r="AY9" i="1"/>
  <c r="AX9" i="1"/>
  <c r="AW9" i="1"/>
  <c r="AV9" i="1"/>
  <c r="AU9" i="1"/>
  <c r="AT9" i="1"/>
  <c r="AS9" i="1"/>
  <c r="AR9" i="1"/>
  <c r="AQ9" i="1"/>
  <c r="AP9" i="1"/>
  <c r="AO9" i="1"/>
  <c r="AN9" i="1"/>
  <c r="AM9" i="1"/>
  <c r="AL9" i="1"/>
  <c r="AK9" i="1"/>
  <c r="AJ9" i="1"/>
  <c r="AI9" i="1"/>
  <c r="AH9" i="1"/>
  <c r="AG9" i="1"/>
  <c r="AF9" i="1"/>
  <c r="AE9" i="1"/>
  <c r="AD9" i="1"/>
  <c r="AC9" i="1"/>
  <c r="AB9" i="1"/>
  <c r="AA9" i="1"/>
  <c r="Z9" i="1"/>
  <c r="Y9" i="1"/>
  <c r="X9" i="1"/>
  <c r="W9" i="1"/>
  <c r="V9" i="1"/>
  <c r="U9" i="1"/>
  <c r="T9" i="1"/>
  <c r="S9" i="1"/>
  <c r="N9" i="1"/>
  <c r="M9" i="1"/>
  <c r="L9" i="1"/>
  <c r="K9" i="1"/>
  <c r="G9" i="1"/>
  <c r="B8" i="1"/>
  <c r="JJ7" i="1"/>
  <c r="JI7" i="1"/>
  <c r="JH7" i="1"/>
  <c r="JG7" i="1"/>
  <c r="JF7" i="1"/>
  <c r="JE7" i="1"/>
  <c r="JD7" i="1"/>
  <c r="JC7" i="1"/>
  <c r="JB7" i="1"/>
  <c r="JA7" i="1"/>
  <c r="IZ7" i="1"/>
  <c r="IY7" i="1"/>
  <c r="IX7" i="1"/>
  <c r="IW7" i="1"/>
  <c r="IV7" i="1"/>
  <c r="IU7" i="1"/>
  <c r="IT7" i="1"/>
  <c r="IS7" i="1"/>
  <c r="IR7" i="1"/>
  <c r="IQ7" i="1"/>
  <c r="IP7" i="1"/>
  <c r="IO7" i="1"/>
  <c r="IN7" i="1"/>
  <c r="IM7" i="1"/>
  <c r="IL7" i="1"/>
  <c r="IK7" i="1"/>
  <c r="IJ7" i="1"/>
  <c r="II7" i="1"/>
  <c r="IH7" i="1"/>
  <c r="IG7" i="1"/>
  <c r="IF7" i="1"/>
  <c r="IE7" i="1"/>
  <c r="ID7" i="1"/>
  <c r="IC7" i="1"/>
  <c r="IB7" i="1"/>
  <c r="IA7" i="1"/>
  <c r="HZ7" i="1"/>
  <c r="HY7" i="1"/>
  <c r="HX7" i="1"/>
  <c r="HW7" i="1"/>
  <c r="HV7" i="1"/>
  <c r="HU7" i="1"/>
  <c r="HT7" i="1"/>
  <c r="HS7" i="1"/>
  <c r="HR7" i="1"/>
  <c r="HQ7" i="1"/>
  <c r="HP7" i="1"/>
  <c r="HO7" i="1"/>
  <c r="HN7" i="1"/>
  <c r="HM7" i="1"/>
  <c r="HL7" i="1"/>
  <c r="HK7" i="1"/>
  <c r="HJ7" i="1"/>
  <c r="HI7" i="1"/>
  <c r="HH7" i="1"/>
  <c r="HG7" i="1"/>
  <c r="HF7" i="1"/>
  <c r="HE7" i="1"/>
  <c r="HD7" i="1"/>
  <c r="HC7" i="1"/>
  <c r="HB7" i="1"/>
  <c r="HA7" i="1"/>
  <c r="GZ7" i="1"/>
  <c r="GY7" i="1"/>
  <c r="GX7" i="1"/>
  <c r="GW7" i="1"/>
  <c r="GV7" i="1"/>
  <c r="GU7" i="1"/>
  <c r="GT7" i="1"/>
  <c r="GS7" i="1"/>
  <c r="GR7" i="1"/>
  <c r="GQ7" i="1"/>
  <c r="GP7" i="1"/>
  <c r="GO7" i="1"/>
  <c r="GN7" i="1"/>
  <c r="GM7" i="1"/>
  <c r="GL7" i="1"/>
  <c r="GK7" i="1"/>
  <c r="GJ7" i="1"/>
  <c r="GI7" i="1"/>
  <c r="GH7" i="1"/>
  <c r="GG7" i="1"/>
  <c r="GF7" i="1"/>
  <c r="GE7" i="1"/>
  <c r="GD7" i="1"/>
  <c r="GC7" i="1"/>
  <c r="GB7" i="1"/>
  <c r="GA7" i="1"/>
  <c r="FZ7" i="1"/>
  <c r="FY7" i="1"/>
  <c r="FX7" i="1"/>
  <c r="FW7" i="1"/>
  <c r="FV7" i="1"/>
  <c r="FU7" i="1"/>
  <c r="FT7" i="1"/>
  <c r="FS7" i="1"/>
  <c r="FR7" i="1"/>
  <c r="FQ7" i="1"/>
  <c r="FP7" i="1"/>
  <c r="FO7" i="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DC7" i="1"/>
  <c r="DB7" i="1"/>
  <c r="DA7" i="1"/>
  <c r="CZ7" i="1"/>
  <c r="CY7" i="1"/>
  <c r="CX7" i="1"/>
  <c r="CW7" i="1"/>
  <c r="CV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J7" i="1"/>
  <c r="I7" i="1"/>
  <c r="H7" i="1"/>
  <c r="G7" i="1"/>
  <c r="F7" i="1"/>
  <c r="E7" i="1"/>
  <c r="D7" i="1"/>
  <c r="C7" i="1"/>
  <c r="B7" i="1"/>
  <c r="Q6" i="1"/>
  <c r="A6" i="1"/>
  <c r="B5" i="1"/>
  <c r="JJ4" i="1"/>
  <c r="JI4" i="1"/>
  <c r="JH4" i="1"/>
  <c r="JG4" i="1"/>
  <c r="JF4" i="1"/>
  <c r="JE4" i="1"/>
  <c r="JD4" i="1"/>
  <c r="JC4" i="1"/>
  <c r="JB4" i="1"/>
  <c r="JA4" i="1"/>
  <c r="IZ4" i="1"/>
  <c r="IY4" i="1"/>
  <c r="IX4" i="1"/>
  <c r="IW4" i="1"/>
  <c r="IV4" i="1"/>
  <c r="IU4" i="1"/>
  <c r="IT4" i="1"/>
  <c r="IS4" i="1"/>
  <c r="IR4" i="1"/>
  <c r="IQ4" i="1"/>
  <c r="IP4" i="1"/>
  <c r="IO4" i="1"/>
  <c r="IN4" i="1"/>
  <c r="IM4" i="1"/>
  <c r="IL4" i="1"/>
  <c r="IK4" i="1"/>
  <c r="IJ4" i="1"/>
  <c r="II4" i="1"/>
  <c r="IH4" i="1"/>
  <c r="IG4" i="1"/>
  <c r="IF4" i="1"/>
  <c r="IE4" i="1"/>
  <c r="ID4" i="1"/>
  <c r="IC4" i="1"/>
  <c r="IB4" i="1"/>
  <c r="IA4" i="1"/>
  <c r="HZ4" i="1"/>
  <c r="HY4" i="1"/>
  <c r="HX4" i="1"/>
  <c r="HW4" i="1"/>
  <c r="HV4" i="1"/>
  <c r="HU4" i="1"/>
  <c r="HT4" i="1"/>
  <c r="HS4" i="1"/>
  <c r="HR4" i="1"/>
  <c r="HQ4" i="1"/>
  <c r="HP4" i="1"/>
  <c r="HO4" i="1"/>
  <c r="HN4" i="1"/>
  <c r="HM4" i="1"/>
  <c r="HL4" i="1"/>
  <c r="HK4" i="1"/>
  <c r="HJ4" i="1"/>
  <c r="HI4" i="1"/>
  <c r="HH4" i="1"/>
  <c r="HG4" i="1"/>
  <c r="HF4" i="1"/>
  <c r="HE4" i="1"/>
  <c r="HD4" i="1"/>
  <c r="HC4" i="1"/>
  <c r="HB4" i="1"/>
  <c r="HA4" i="1"/>
  <c r="GZ4" i="1"/>
  <c r="GY4" i="1"/>
  <c r="GX4" i="1"/>
  <c r="GW4" i="1"/>
  <c r="GV4" i="1"/>
  <c r="GU4" i="1"/>
  <c r="GT4" i="1"/>
  <c r="GS4" i="1"/>
  <c r="GR4" i="1"/>
  <c r="GQ4" i="1"/>
  <c r="GP4" i="1"/>
  <c r="GO4" i="1"/>
  <c r="GN4" i="1"/>
  <c r="GM4" i="1"/>
  <c r="GL4" i="1"/>
  <c r="GK4" i="1"/>
  <c r="GJ4" i="1"/>
  <c r="GI4" i="1"/>
  <c r="GH4" i="1"/>
  <c r="GG4" i="1"/>
  <c r="GF4" i="1"/>
  <c r="GE4" i="1"/>
  <c r="GD4" i="1"/>
  <c r="GC4" i="1"/>
  <c r="GB4" i="1"/>
  <c r="GA4" i="1"/>
  <c r="FZ4" i="1"/>
  <c r="FY4" i="1"/>
  <c r="FX4" i="1"/>
  <c r="FW4" i="1"/>
  <c r="FV4" i="1"/>
  <c r="FU4" i="1"/>
  <c r="FT4" i="1"/>
  <c r="FS4" i="1"/>
  <c r="FR4" i="1"/>
  <c r="FQ4" i="1"/>
  <c r="FP4" i="1"/>
  <c r="FO4" i="1"/>
  <c r="FN4" i="1"/>
  <c r="FM4" i="1"/>
  <c r="FL4" i="1"/>
  <c r="FK4" i="1"/>
  <c r="FJ4" i="1"/>
  <c r="FI4" i="1"/>
  <c r="FH4" i="1"/>
  <c r="FG4" i="1"/>
  <c r="FF4" i="1"/>
  <c r="FE4" i="1"/>
  <c r="FD4" i="1"/>
  <c r="FC4" i="1"/>
  <c r="FB4" i="1"/>
  <c r="FA4" i="1"/>
  <c r="EZ4" i="1"/>
  <c r="EY4" i="1"/>
  <c r="EX4" i="1"/>
  <c r="EW4" i="1"/>
  <c r="EV4" i="1"/>
  <c r="EU4" i="1"/>
  <c r="ET4" i="1"/>
  <c r="ES4" i="1"/>
  <c r="ER4" i="1"/>
  <c r="EQ4" i="1"/>
  <c r="EP4" i="1"/>
  <c r="EO4" i="1"/>
  <c r="EN4" i="1"/>
  <c r="EM4" i="1"/>
  <c r="EL4" i="1"/>
  <c r="EK4" i="1"/>
  <c r="EJ4" i="1"/>
  <c r="EI4" i="1"/>
  <c r="EH4" i="1"/>
  <c r="EG4" i="1"/>
  <c r="EF4" i="1"/>
  <c r="EE4" i="1"/>
  <c r="ED4" i="1"/>
  <c r="EC4" i="1"/>
  <c r="EB4" i="1"/>
  <c r="EA4" i="1"/>
  <c r="DZ4" i="1"/>
  <c r="DY4" i="1"/>
  <c r="DX4" i="1"/>
  <c r="DW4" i="1"/>
  <c r="DV4" i="1"/>
  <c r="DU4" i="1"/>
  <c r="DT4" i="1"/>
  <c r="DS4" i="1"/>
  <c r="DR4" i="1"/>
  <c r="DQ4" i="1"/>
  <c r="DP4" i="1"/>
  <c r="DO4" i="1"/>
  <c r="DN4" i="1"/>
  <c r="DM4" i="1"/>
  <c r="DL4" i="1"/>
  <c r="DK4" i="1"/>
  <c r="DJ4" i="1"/>
  <c r="DI4" i="1"/>
  <c r="DH4" i="1"/>
  <c r="DG4" i="1"/>
  <c r="DF4" i="1"/>
  <c r="DE4" i="1"/>
  <c r="DD4" i="1"/>
  <c r="DC4" i="1"/>
  <c r="DB4" i="1"/>
  <c r="DA4" i="1"/>
  <c r="CZ4" i="1"/>
  <c r="CY4" i="1"/>
  <c r="CX4" i="1"/>
  <c r="CW4" i="1"/>
  <c r="CV4" i="1"/>
  <c r="CU4" i="1"/>
  <c r="CT4" i="1"/>
  <c r="CS4" i="1"/>
  <c r="CR4" i="1"/>
  <c r="CQ4" i="1"/>
  <c r="CP4" i="1"/>
  <c r="CO4" i="1"/>
  <c r="CN4" i="1"/>
  <c r="CM4" i="1"/>
  <c r="CL4" i="1"/>
  <c r="CK4" i="1"/>
  <c r="CJ4" i="1"/>
  <c r="CI4" i="1"/>
  <c r="CH4" i="1"/>
  <c r="CG4" i="1"/>
  <c r="CF4" i="1"/>
  <c r="CE4" i="1"/>
  <c r="CD4" i="1"/>
  <c r="CC4" i="1"/>
  <c r="CB4" i="1"/>
  <c r="CA4" i="1"/>
  <c r="BZ4" i="1"/>
  <c r="BY4" i="1"/>
  <c r="BX4" i="1"/>
  <c r="BW4" i="1"/>
  <c r="BV4" i="1"/>
  <c r="BU4" i="1"/>
  <c r="BT4" i="1"/>
  <c r="BS4" i="1"/>
  <c r="BR4" i="1"/>
  <c r="BQ4" i="1"/>
  <c r="BP4" i="1"/>
  <c r="BO4" i="1"/>
  <c r="BN4" i="1"/>
  <c r="BM4" i="1"/>
  <c r="BL4" i="1"/>
  <c r="BK4" i="1"/>
  <c r="BJ4" i="1"/>
  <c r="BI4" i="1"/>
  <c r="BH4" i="1"/>
  <c r="BG4" i="1"/>
  <c r="BF4" i="1"/>
  <c r="BE4" i="1"/>
  <c r="BD4" i="1"/>
  <c r="BC4" i="1"/>
  <c r="BB4" i="1"/>
  <c r="BA4" i="1"/>
  <c r="AZ4" i="1"/>
  <c r="AY4" i="1"/>
  <c r="AX4" i="1"/>
  <c r="AW4" i="1"/>
  <c r="AV4" i="1"/>
  <c r="AU4" i="1"/>
  <c r="AT4" i="1"/>
  <c r="AS4" i="1"/>
  <c r="AR4" i="1"/>
  <c r="AQ4" i="1"/>
  <c r="AP4" i="1"/>
  <c r="AO4" i="1"/>
  <c r="AN4" i="1"/>
  <c r="AM4" i="1"/>
  <c r="AL4" i="1"/>
  <c r="AK4" i="1"/>
  <c r="AJ4" i="1"/>
  <c r="AI4" i="1"/>
  <c r="AH4" i="1"/>
  <c r="AG4" i="1"/>
  <c r="AF4" i="1"/>
  <c r="AE4" i="1"/>
  <c r="AD4" i="1"/>
  <c r="AC4" i="1"/>
  <c r="AB4" i="1"/>
  <c r="AA4" i="1"/>
  <c r="Z4" i="1"/>
  <c r="Y4" i="1"/>
  <c r="X4" i="1"/>
  <c r="W4" i="1"/>
  <c r="V4" i="1"/>
  <c r="U4" i="1"/>
  <c r="T4" i="1"/>
  <c r="JJ3" i="1"/>
  <c r="JI3" i="1"/>
  <c r="JH3" i="1"/>
  <c r="JG3" i="1"/>
  <c r="JF3" i="1"/>
  <c r="JE3" i="1"/>
  <c r="JD3" i="1"/>
  <c r="JC3" i="1"/>
  <c r="JB3" i="1"/>
  <c r="JA3" i="1"/>
  <c r="IZ3" i="1"/>
  <c r="IY3" i="1"/>
  <c r="IX3" i="1"/>
  <c r="IW3" i="1"/>
  <c r="IV3" i="1"/>
  <c r="IU3" i="1"/>
  <c r="IT3" i="1"/>
  <c r="IS3" i="1"/>
  <c r="IR3" i="1"/>
  <c r="IQ3" i="1"/>
  <c r="IP3" i="1"/>
  <c r="IO3" i="1"/>
  <c r="IN3" i="1"/>
  <c r="IM3" i="1"/>
  <c r="IL3" i="1"/>
  <c r="IK3" i="1"/>
  <c r="IJ3" i="1"/>
  <c r="II3" i="1"/>
  <c r="IH3" i="1"/>
  <c r="IG3" i="1"/>
  <c r="IF3" i="1"/>
  <c r="IE3" i="1"/>
  <c r="ID3" i="1"/>
  <c r="IC3" i="1"/>
  <c r="IB3" i="1"/>
  <c r="IA3" i="1"/>
  <c r="HZ3" i="1"/>
  <c r="HY3" i="1"/>
  <c r="HX3" i="1"/>
  <c r="HW3" i="1"/>
  <c r="HV3" i="1"/>
  <c r="HU3" i="1"/>
  <c r="HT3" i="1"/>
  <c r="HS3" i="1"/>
  <c r="HR3" i="1"/>
  <c r="HQ3" i="1"/>
  <c r="HP3" i="1"/>
  <c r="HO3" i="1"/>
  <c r="HN3" i="1"/>
  <c r="HM3" i="1"/>
  <c r="HL3" i="1"/>
  <c r="HK3" i="1"/>
  <c r="HJ3" i="1"/>
  <c r="HI3" i="1"/>
  <c r="HH3" i="1"/>
  <c r="HG3" i="1"/>
  <c r="HF3" i="1"/>
  <c r="HE3" i="1"/>
  <c r="HD3" i="1"/>
  <c r="HC3" i="1"/>
  <c r="HB3" i="1"/>
  <c r="HA3" i="1"/>
  <c r="GZ3" i="1"/>
  <c r="GY3" i="1"/>
  <c r="GX3" i="1"/>
  <c r="GW3" i="1"/>
  <c r="GV3" i="1"/>
  <c r="GU3" i="1"/>
  <c r="GT3" i="1"/>
  <c r="GS3" i="1"/>
  <c r="GR3" i="1"/>
  <c r="GQ3" i="1"/>
  <c r="GP3" i="1"/>
  <c r="GO3" i="1"/>
  <c r="GN3" i="1"/>
  <c r="GM3" i="1"/>
  <c r="GL3" i="1"/>
  <c r="GK3" i="1"/>
  <c r="GJ3" i="1"/>
  <c r="GI3" i="1"/>
  <c r="GH3" i="1"/>
  <c r="GG3" i="1"/>
  <c r="GF3" i="1"/>
  <c r="GE3" i="1"/>
  <c r="GD3" i="1"/>
  <c r="GC3" i="1"/>
  <c r="GB3" i="1"/>
  <c r="GA3" i="1"/>
  <c r="FZ3" i="1"/>
  <c r="FY3" i="1"/>
  <c r="FX3" i="1"/>
  <c r="FW3" i="1"/>
  <c r="FV3" i="1"/>
  <c r="FU3" i="1"/>
  <c r="FT3" i="1"/>
  <c r="FS3" i="1"/>
  <c r="FR3" i="1"/>
  <c r="FQ3" i="1"/>
  <c r="FP3" i="1"/>
  <c r="FO3" i="1"/>
  <c r="FN3" i="1"/>
  <c r="FM3" i="1"/>
  <c r="FL3" i="1"/>
  <c r="FK3" i="1"/>
  <c r="FJ3" i="1"/>
  <c r="FI3" i="1"/>
  <c r="FH3" i="1"/>
  <c r="FG3" i="1"/>
  <c r="FF3" i="1"/>
  <c r="FE3" i="1"/>
  <c r="FD3" i="1"/>
  <c r="FC3" i="1"/>
  <c r="FB3" i="1"/>
  <c r="FA3" i="1"/>
  <c r="EZ3" i="1"/>
  <c r="EY3" i="1"/>
  <c r="EX3" i="1"/>
  <c r="EW3" i="1"/>
  <c r="EV3" i="1"/>
  <c r="EU3" i="1"/>
  <c r="ET3" i="1"/>
  <c r="ES3" i="1"/>
  <c r="ER3" i="1"/>
  <c r="EQ3" i="1"/>
  <c r="EP3" i="1"/>
  <c r="EO3" i="1"/>
  <c r="EN3" i="1"/>
  <c r="EM3" i="1"/>
  <c r="EL3" i="1"/>
  <c r="EK3" i="1"/>
  <c r="EJ3" i="1"/>
  <c r="EI3" i="1"/>
  <c r="EH3" i="1"/>
  <c r="EG3" i="1"/>
  <c r="EF3" i="1"/>
  <c r="EE3" i="1"/>
  <c r="ED3" i="1"/>
  <c r="EC3" i="1"/>
  <c r="EB3" i="1"/>
  <c r="EA3" i="1"/>
  <c r="DZ3" i="1"/>
  <c r="DY3" i="1"/>
  <c r="DX3" i="1"/>
  <c r="DW3" i="1"/>
  <c r="DV3" i="1"/>
  <c r="DU3" i="1"/>
  <c r="DT3" i="1"/>
  <c r="DS3" i="1"/>
  <c r="DR3" i="1"/>
  <c r="DQ3" i="1"/>
  <c r="DP3" i="1"/>
  <c r="DO3" i="1"/>
  <c r="DN3" i="1"/>
  <c r="DM3" i="1"/>
  <c r="DL3" i="1"/>
  <c r="DK3" i="1"/>
  <c r="DJ3" i="1"/>
  <c r="DI3" i="1"/>
  <c r="DH3" i="1"/>
  <c r="DG3" i="1"/>
  <c r="DF3" i="1"/>
  <c r="DE3" i="1"/>
  <c r="DD3" i="1"/>
  <c r="DC3" i="1"/>
  <c r="DB3" i="1"/>
  <c r="DA3" i="1"/>
  <c r="CZ3" i="1"/>
  <c r="CY3" i="1"/>
  <c r="CX3" i="1"/>
  <c r="CW3" i="1"/>
  <c r="CV3" i="1"/>
  <c r="CU3" i="1"/>
  <c r="CT3" i="1"/>
  <c r="CS3" i="1"/>
  <c r="CR3" i="1"/>
  <c r="CQ3" i="1"/>
  <c r="CP3" i="1"/>
  <c r="CO3" i="1"/>
  <c r="CN3" i="1"/>
  <c r="CM3" i="1"/>
  <c r="CL3" i="1"/>
  <c r="CK3" i="1"/>
  <c r="CJ3" i="1"/>
  <c r="CI3" i="1"/>
  <c r="CH3" i="1"/>
  <c r="CG3" i="1"/>
  <c r="CF3" i="1"/>
  <c r="CE3" i="1"/>
  <c r="CD3" i="1"/>
  <c r="CC3" i="1"/>
  <c r="CB3" i="1"/>
  <c r="CA3" i="1"/>
  <c r="BZ3" i="1"/>
  <c r="BY3" i="1"/>
  <c r="BX3" i="1"/>
  <c r="BW3" i="1"/>
  <c r="BV3" i="1"/>
  <c r="BU3" i="1"/>
  <c r="BT3" i="1"/>
  <c r="BS3" i="1"/>
  <c r="BR3" i="1"/>
  <c r="BQ3" i="1"/>
  <c r="BP3" i="1"/>
  <c r="BO3" i="1"/>
  <c r="BN3" i="1"/>
  <c r="BM3" i="1"/>
  <c r="BL3" i="1"/>
  <c r="BK3" i="1"/>
  <c r="BJ3" i="1"/>
  <c r="BI3" i="1"/>
  <c r="BH3" i="1"/>
  <c r="BG3" i="1"/>
  <c r="BF3" i="1"/>
  <c r="BE3" i="1"/>
  <c r="BD3" i="1"/>
  <c r="BC3" i="1"/>
  <c r="BB3" i="1"/>
  <c r="BA3" i="1"/>
  <c r="AZ3" i="1"/>
  <c r="AY3" i="1"/>
  <c r="AX3" i="1"/>
  <c r="AW3" i="1"/>
  <c r="AV3" i="1"/>
  <c r="AU3" i="1"/>
  <c r="AT3" i="1"/>
  <c r="AS3" i="1"/>
  <c r="AR3" i="1"/>
  <c r="AQ3" i="1"/>
  <c r="AP3" i="1"/>
  <c r="AO3" i="1"/>
  <c r="AN3" i="1"/>
  <c r="AM3" i="1"/>
  <c r="AL3" i="1"/>
  <c r="AK3" i="1"/>
  <c r="AJ3" i="1"/>
  <c r="AI3" i="1"/>
  <c r="AH3" i="1"/>
  <c r="AG3" i="1"/>
  <c r="AF3" i="1"/>
  <c r="AE3" i="1"/>
  <c r="AD3" i="1"/>
  <c r="AC3" i="1"/>
  <c r="AB3" i="1"/>
  <c r="AA3" i="1"/>
  <c r="Z3" i="1"/>
  <c r="Y3" i="1"/>
  <c r="X3" i="1"/>
  <c r="W3" i="1"/>
  <c r="V3" i="1"/>
  <c r="U3" i="1"/>
  <c r="T3" i="1"/>
  <c r="B3" i="1"/>
  <c r="M59" i="460"/>
  <c r="L59" i="460"/>
  <c r="M58" i="460"/>
  <c r="L58" i="460"/>
  <c r="M57" i="460"/>
  <c r="L57" i="460"/>
  <c r="M56" i="460"/>
  <c r="L56" i="460"/>
  <c r="M55" i="460"/>
  <c r="L55" i="460"/>
  <c r="M54" i="460"/>
  <c r="L54" i="460"/>
  <c r="M53" i="460"/>
  <c r="L53" i="460"/>
  <c r="M52" i="460"/>
  <c r="L52" i="460"/>
  <c r="M51" i="460"/>
  <c r="L51" i="460"/>
  <c r="M50" i="460"/>
  <c r="L50" i="460"/>
  <c r="M49" i="460"/>
  <c r="L49" i="460"/>
  <c r="J49" i="460"/>
  <c r="I49" i="460"/>
  <c r="H49" i="460"/>
  <c r="F49" i="460"/>
  <c r="E49" i="460"/>
  <c r="D49" i="460"/>
  <c r="C49" i="460"/>
  <c r="C48" i="460"/>
  <c r="M46" i="460"/>
  <c r="L46" i="460"/>
  <c r="M45" i="460"/>
  <c r="L45" i="460"/>
  <c r="M44" i="460"/>
  <c r="L44" i="460"/>
  <c r="M43" i="460"/>
  <c r="L43" i="460"/>
  <c r="M42" i="460"/>
  <c r="L42" i="460"/>
  <c r="M41" i="460"/>
  <c r="L41" i="460"/>
  <c r="M40" i="460"/>
  <c r="L40" i="460"/>
  <c r="M39" i="460"/>
  <c r="L39" i="460"/>
  <c r="M38" i="460"/>
  <c r="L38" i="460"/>
  <c r="M37" i="460"/>
  <c r="L37" i="460"/>
  <c r="M36" i="460"/>
  <c r="L36" i="460"/>
  <c r="K36" i="460"/>
  <c r="J36" i="460"/>
  <c r="I36" i="460"/>
  <c r="H36" i="460"/>
  <c r="G36" i="460"/>
  <c r="F36" i="460"/>
  <c r="E36" i="460"/>
  <c r="D36" i="460"/>
  <c r="C36" i="460"/>
  <c r="C35" i="460"/>
  <c r="M33" i="460"/>
  <c r="L33" i="460"/>
  <c r="M32" i="460"/>
  <c r="L32" i="460"/>
  <c r="M31" i="460"/>
  <c r="L31" i="460"/>
  <c r="M30" i="460"/>
  <c r="L30" i="460"/>
  <c r="M29" i="460"/>
  <c r="L29" i="460"/>
  <c r="M28" i="460"/>
  <c r="L28" i="460"/>
  <c r="M27" i="460"/>
  <c r="L27" i="460"/>
  <c r="M26" i="460"/>
  <c r="L26" i="460"/>
  <c r="M25" i="460"/>
  <c r="L25" i="460"/>
  <c r="M24" i="460"/>
  <c r="L24" i="460"/>
  <c r="M23" i="460"/>
  <c r="L23" i="460"/>
  <c r="K23" i="460"/>
  <c r="J23" i="460"/>
  <c r="I23" i="460"/>
  <c r="H23" i="460"/>
  <c r="G23" i="460"/>
  <c r="F23" i="460"/>
  <c r="E23" i="460"/>
  <c r="D23" i="460"/>
  <c r="C23" i="460"/>
  <c r="C22" i="460"/>
  <c r="M20" i="460"/>
  <c r="L20" i="460"/>
  <c r="M19" i="460"/>
  <c r="L19" i="460"/>
  <c r="M18" i="460"/>
  <c r="L18" i="460"/>
  <c r="M17" i="460"/>
  <c r="L17" i="460"/>
  <c r="M16" i="460"/>
  <c r="L16" i="460"/>
  <c r="M15" i="460"/>
  <c r="L15" i="460"/>
  <c r="M14" i="460"/>
  <c r="L14" i="460"/>
  <c r="M13" i="460"/>
  <c r="L13" i="460"/>
  <c r="M12" i="460"/>
  <c r="L12" i="460"/>
  <c r="M11" i="460"/>
  <c r="L11" i="460"/>
  <c r="M10" i="460"/>
  <c r="L10" i="460"/>
  <c r="K10" i="460"/>
  <c r="J10" i="460"/>
  <c r="I10" i="460"/>
  <c r="H10" i="460"/>
  <c r="G10" i="460"/>
  <c r="F10" i="460"/>
  <c r="E10" i="460"/>
  <c r="D10" i="460"/>
  <c r="C10" i="460"/>
  <c r="C9" i="460"/>
  <c r="A9" i="460"/>
  <c r="N6" i="460"/>
  <c r="L6" i="460"/>
  <c r="N5" i="460"/>
  <c r="L5" i="460"/>
  <c r="C5" i="460"/>
  <c r="C3" i="460"/>
  <c r="S114" i="457"/>
  <c r="M114" i="457"/>
  <c r="L114" i="457"/>
  <c r="S113" i="457"/>
  <c r="M113" i="457"/>
  <c r="L113" i="457"/>
  <c r="S112" i="457"/>
  <c r="M112" i="457"/>
  <c r="L112" i="457"/>
  <c r="M111" i="457"/>
  <c r="L111" i="457"/>
  <c r="K111" i="457"/>
  <c r="J111" i="457"/>
  <c r="I111" i="457"/>
  <c r="H111" i="457"/>
  <c r="G111" i="457"/>
  <c r="F111" i="457"/>
  <c r="E111" i="457"/>
  <c r="D111" i="457"/>
  <c r="C111" i="457"/>
  <c r="C110" i="457"/>
  <c r="M108" i="457"/>
  <c r="L108" i="457"/>
  <c r="M107" i="457"/>
  <c r="L107" i="457"/>
  <c r="M106" i="457"/>
  <c r="L106" i="457"/>
  <c r="M105" i="457"/>
  <c r="L105" i="457"/>
  <c r="M104" i="457"/>
  <c r="L104" i="457"/>
  <c r="M103" i="457"/>
  <c r="L103" i="457"/>
  <c r="M102" i="457"/>
  <c r="L102" i="457"/>
  <c r="M101" i="457"/>
  <c r="L101" i="457"/>
  <c r="J101" i="457"/>
  <c r="I101" i="457"/>
  <c r="H101" i="457"/>
  <c r="G101" i="457"/>
  <c r="F101" i="457"/>
  <c r="E101" i="457"/>
  <c r="D101" i="457"/>
  <c r="C101" i="457"/>
  <c r="C100" i="457"/>
  <c r="M98" i="457"/>
  <c r="L98" i="457"/>
  <c r="M97" i="457"/>
  <c r="L97" i="457"/>
  <c r="M96" i="457"/>
  <c r="L96" i="457"/>
  <c r="M95" i="457"/>
  <c r="L95" i="457"/>
  <c r="M94" i="457"/>
  <c r="L94" i="457"/>
  <c r="M93" i="457"/>
  <c r="L93" i="457"/>
  <c r="M92" i="457"/>
  <c r="L92" i="457"/>
  <c r="M91" i="457"/>
  <c r="L91" i="457"/>
  <c r="M90" i="457"/>
  <c r="L90" i="457"/>
  <c r="M89" i="457"/>
  <c r="L89" i="457"/>
  <c r="M88" i="457"/>
  <c r="L88" i="457"/>
  <c r="M87" i="457"/>
  <c r="L87" i="457"/>
  <c r="M86" i="457"/>
  <c r="L86" i="457"/>
  <c r="M85" i="457"/>
  <c r="L85" i="457"/>
  <c r="M84" i="457"/>
  <c r="L84" i="457"/>
  <c r="M83" i="457"/>
  <c r="L83" i="457"/>
  <c r="M82" i="457"/>
  <c r="L82" i="457"/>
  <c r="M81" i="457"/>
  <c r="L81" i="457"/>
  <c r="M80" i="457"/>
  <c r="L80" i="457"/>
  <c r="M79" i="457"/>
  <c r="L79" i="457"/>
  <c r="M78" i="457"/>
  <c r="L78" i="457"/>
  <c r="K78" i="457"/>
  <c r="J78" i="457"/>
  <c r="I78" i="457"/>
  <c r="H78" i="457"/>
  <c r="G78" i="457"/>
  <c r="F78" i="457"/>
  <c r="E78" i="457"/>
  <c r="D78" i="457"/>
  <c r="C78" i="457"/>
  <c r="C77" i="457"/>
  <c r="M75" i="457"/>
  <c r="L75" i="457"/>
  <c r="M74" i="457"/>
  <c r="L74" i="457"/>
  <c r="M73" i="457"/>
  <c r="L73" i="457"/>
  <c r="M72" i="457"/>
  <c r="L72" i="457"/>
  <c r="M71" i="457"/>
  <c r="L71" i="457"/>
  <c r="M70" i="457"/>
  <c r="L70" i="457"/>
  <c r="M69" i="457"/>
  <c r="L69" i="457"/>
  <c r="M68" i="457"/>
  <c r="L68" i="457"/>
  <c r="M67" i="457"/>
  <c r="L67" i="457"/>
  <c r="M66" i="457"/>
  <c r="L66" i="457"/>
  <c r="M65" i="457"/>
  <c r="L65" i="457"/>
  <c r="M64" i="457"/>
  <c r="L64" i="457"/>
  <c r="M63" i="457"/>
  <c r="L63" i="457"/>
  <c r="M62" i="457"/>
  <c r="L62" i="457"/>
  <c r="M61" i="457"/>
  <c r="L61" i="457"/>
  <c r="M60" i="457"/>
  <c r="L60" i="457"/>
  <c r="M59" i="457"/>
  <c r="L59" i="457"/>
  <c r="M58" i="457"/>
  <c r="L58" i="457"/>
  <c r="M57" i="457"/>
  <c r="L57" i="457"/>
  <c r="M56" i="457"/>
  <c r="L56" i="457"/>
  <c r="M55" i="457"/>
  <c r="L55" i="457"/>
  <c r="M54" i="457"/>
  <c r="L54" i="457"/>
  <c r="M53" i="457"/>
  <c r="L53" i="457"/>
  <c r="M52" i="457"/>
  <c r="L52" i="457"/>
  <c r="M51" i="457"/>
  <c r="L51" i="457"/>
  <c r="M50" i="457"/>
  <c r="L50" i="457"/>
  <c r="M49" i="457"/>
  <c r="L49" i="457"/>
  <c r="M48" i="457"/>
  <c r="L48" i="457"/>
  <c r="M47" i="457"/>
  <c r="L47" i="457"/>
  <c r="M46" i="457"/>
  <c r="L46" i="457"/>
  <c r="M45" i="457"/>
  <c r="L45" i="457"/>
  <c r="M44" i="457"/>
  <c r="L44" i="457"/>
  <c r="M43" i="457"/>
  <c r="L43" i="457"/>
  <c r="M42" i="457"/>
  <c r="L42" i="457"/>
  <c r="M41" i="457"/>
  <c r="L41" i="457"/>
  <c r="M40" i="457"/>
  <c r="L40" i="457"/>
  <c r="M39" i="457"/>
  <c r="L39" i="457"/>
  <c r="M38" i="457"/>
  <c r="L38" i="457"/>
  <c r="M37" i="457"/>
  <c r="L37" i="457"/>
  <c r="M36" i="457"/>
  <c r="L36" i="457"/>
  <c r="M35" i="457"/>
  <c r="L35" i="457"/>
  <c r="M34" i="457"/>
  <c r="L34" i="457"/>
  <c r="M33" i="457"/>
  <c r="L33" i="457"/>
  <c r="K33" i="457"/>
  <c r="J33" i="457"/>
  <c r="I33" i="457"/>
  <c r="H33" i="457"/>
  <c r="G33" i="457"/>
  <c r="F33" i="457"/>
  <c r="E33" i="457"/>
  <c r="D33" i="457"/>
  <c r="C33" i="457"/>
  <c r="C32" i="457"/>
  <c r="M30" i="457"/>
  <c r="L30" i="457"/>
  <c r="M29" i="457"/>
  <c r="L29" i="457"/>
  <c r="M28" i="457"/>
  <c r="L28" i="457"/>
  <c r="M27" i="457"/>
  <c r="L27" i="457"/>
  <c r="M26" i="457"/>
  <c r="L26" i="457"/>
  <c r="M25" i="457"/>
  <c r="L25" i="457"/>
  <c r="M24" i="457"/>
  <c r="L24" i="457"/>
  <c r="M23" i="457"/>
  <c r="L23" i="457"/>
  <c r="M22" i="457"/>
  <c r="L22" i="457"/>
  <c r="M21" i="457"/>
  <c r="L21" i="457"/>
  <c r="M20" i="457"/>
  <c r="L20" i="457"/>
  <c r="M19" i="457"/>
  <c r="L19" i="457"/>
  <c r="M18" i="457"/>
  <c r="L18" i="457"/>
  <c r="M17" i="457"/>
  <c r="L17" i="457"/>
  <c r="M16" i="457"/>
  <c r="L16" i="457"/>
  <c r="M15" i="457"/>
  <c r="L15" i="457"/>
  <c r="M14" i="457"/>
  <c r="L14" i="457"/>
  <c r="M13" i="457"/>
  <c r="L13" i="457"/>
  <c r="M12" i="457"/>
  <c r="L12" i="457"/>
  <c r="M11" i="457"/>
  <c r="L11" i="457"/>
  <c r="M10" i="457"/>
  <c r="L10" i="457"/>
  <c r="K10" i="457"/>
  <c r="J10" i="457"/>
  <c r="I10" i="457"/>
  <c r="H10" i="457"/>
  <c r="G10" i="457"/>
  <c r="F10" i="457"/>
  <c r="E10" i="457"/>
  <c r="D10" i="457"/>
  <c r="C10" i="457"/>
  <c r="C9" i="457"/>
  <c r="A9" i="457"/>
  <c r="C8" i="457"/>
  <c r="D7" i="457"/>
  <c r="C7" i="457"/>
  <c r="M6" i="457"/>
  <c r="L6" i="457"/>
  <c r="M5" i="457"/>
  <c r="L5" i="457"/>
  <c r="B5" i="457"/>
  <c r="B3" i="457"/>
  <c r="B37" i="39"/>
  <c r="C35" i="39"/>
  <c r="C34" i="39"/>
  <c r="C33" i="39"/>
  <c r="C32" i="39"/>
  <c r="C31" i="39"/>
  <c r="C30" i="39"/>
  <c r="C29" i="39"/>
  <c r="C28" i="39"/>
  <c r="C27" i="39"/>
  <c r="C26" i="39"/>
  <c r="C25" i="39"/>
  <c r="C24" i="39"/>
  <c r="C23" i="39"/>
  <c r="C22" i="39"/>
  <c r="C21" i="39"/>
  <c r="C20" i="39"/>
  <c r="C19" i="39"/>
  <c r="C18" i="39"/>
  <c r="C17" i="39"/>
  <c r="C16" i="39"/>
  <c r="C15" i="39"/>
  <c r="C14" i="39"/>
  <c r="C13" i="39"/>
  <c r="C12" i="39"/>
  <c r="C11" i="39"/>
  <c r="C10" i="39"/>
  <c r="C9" i="39"/>
  <c r="C8" i="39"/>
  <c r="C7" i="39"/>
  <c r="F6" i="39"/>
  <c r="E6" i="39"/>
  <c r="D6" i="39"/>
  <c r="B6" i="39"/>
  <c r="F5" i="39"/>
  <c r="E5" i="39"/>
  <c r="D5" i="39"/>
  <c r="B4" i="39"/>
  <c r="B3" i="39"/>
  <c r="G68" i="40"/>
  <c r="H67" i="40"/>
  <c r="G67" i="40"/>
  <c r="H66" i="40"/>
  <c r="G66" i="40"/>
  <c r="D66" i="40"/>
  <c r="H65" i="40"/>
  <c r="G65" i="40"/>
  <c r="D65" i="40"/>
  <c r="H64" i="40"/>
  <c r="G64" i="40"/>
  <c r="D64" i="40"/>
  <c r="B44" i="40"/>
  <c r="B43" i="40"/>
  <c r="B42" i="40"/>
  <c r="H40" i="40"/>
  <c r="G39" i="40"/>
  <c r="E39" i="40"/>
  <c r="B39" i="40"/>
  <c r="B32" i="40"/>
  <c r="B30" i="40"/>
  <c r="B29" i="40"/>
  <c r="B28" i="40"/>
  <c r="B27" i="40"/>
  <c r="B26" i="40"/>
  <c r="B25" i="40"/>
  <c r="B24" i="40"/>
  <c r="B22" i="40"/>
  <c r="B21" i="40"/>
  <c r="B20" i="40"/>
  <c r="B19" i="40"/>
  <c r="B18" i="40"/>
  <c r="B17" i="40"/>
  <c r="B16" i="40"/>
  <c r="B14" i="40"/>
  <c r="E12" i="40"/>
  <c r="E11" i="40"/>
  <c r="B10" i="40"/>
  <c r="B9" i="40"/>
  <c r="B8" i="40"/>
  <c r="B7" i="40"/>
  <c r="B6" i="40"/>
  <c r="B5" i="40"/>
  <c r="B3" i="40"/>
  <c r="F56" i="630"/>
  <c r="F54" i="630"/>
  <c r="F52" i="630"/>
  <c r="B28" i="630"/>
  <c r="D25" i="630"/>
  <c r="B25" i="630"/>
  <c r="D24" i="630"/>
  <c r="B24" i="630"/>
  <c r="D23" i="630"/>
  <c r="B23" i="630"/>
  <c r="D22" i="630"/>
  <c r="B22" i="630"/>
  <c r="D21" i="630"/>
  <c r="B21" i="630"/>
  <c r="B20" i="630"/>
  <c r="B19" i="630"/>
  <c r="B18" i="630"/>
  <c r="B16" i="630"/>
  <c r="B15" i="630"/>
  <c r="B14" i="630"/>
  <c r="B13" i="630"/>
  <c r="B12" i="630"/>
  <c r="B11" i="630"/>
  <c r="B10" i="630"/>
  <c r="B9" i="630"/>
  <c r="B8" i="630"/>
  <c r="B7" i="630"/>
  <c r="B5" i="630"/>
  <c r="B3" i="630"/>
  <c r="M198" i="4"/>
  <c r="K198" i="4"/>
  <c r="M197" i="4"/>
  <c r="K197" i="4"/>
  <c r="M196" i="4"/>
  <c r="K196" i="4"/>
  <c r="M195" i="4"/>
  <c r="M194" i="4"/>
  <c r="M193" i="4"/>
  <c r="M192" i="4"/>
  <c r="M191" i="4"/>
  <c r="M190" i="4"/>
  <c r="M189" i="4"/>
  <c r="M188" i="4"/>
  <c r="K188" i="4"/>
  <c r="M187" i="4"/>
  <c r="K187" i="4"/>
  <c r="M186" i="4"/>
  <c r="K186" i="4"/>
  <c r="M185" i="4"/>
  <c r="M179" i="4"/>
  <c r="M178" i="4"/>
  <c r="M177" i="4"/>
  <c r="M176" i="4"/>
  <c r="M175" i="4"/>
  <c r="M174" i="4"/>
  <c r="M173" i="4"/>
  <c r="M172" i="4"/>
  <c r="M171" i="4"/>
  <c r="M170" i="4"/>
  <c r="M169" i="4"/>
  <c r="M168" i="4"/>
  <c r="M167" i="4"/>
  <c r="M166" i="4"/>
  <c r="M165" i="4"/>
  <c r="M164" i="4"/>
  <c r="M163" i="4"/>
  <c r="M162" i="4"/>
  <c r="M161" i="4"/>
  <c r="M160" i="4"/>
  <c r="M151" i="4"/>
  <c r="M150" i="4"/>
  <c r="M149" i="4"/>
  <c r="M148" i="4"/>
  <c r="M147" i="4"/>
  <c r="M146" i="4"/>
  <c r="M145" i="4"/>
  <c r="M144" i="4"/>
  <c r="M143" i="4"/>
  <c r="M142" i="4"/>
  <c r="M141" i="4"/>
  <c r="M140" i="4"/>
  <c r="M139" i="4"/>
  <c r="M138" i="4"/>
  <c r="M137" i="4"/>
  <c r="M136" i="4"/>
  <c r="M135" i="4"/>
  <c r="M132" i="4"/>
  <c r="M131" i="4"/>
  <c r="M130" i="4"/>
  <c r="M129" i="4"/>
  <c r="M128" i="4"/>
  <c r="M127" i="4"/>
  <c r="O126" i="4"/>
  <c r="M126" i="4"/>
  <c r="O125" i="4"/>
  <c r="M125" i="4"/>
  <c r="O124" i="4"/>
  <c r="M124" i="4"/>
  <c r="O123" i="4"/>
  <c r="M123" i="4"/>
  <c r="O122" i="4"/>
  <c r="M122" i="4"/>
  <c r="O121" i="4"/>
  <c r="M121" i="4"/>
  <c r="O120" i="4"/>
  <c r="M120" i="4"/>
  <c r="O119" i="4"/>
  <c r="M119" i="4"/>
  <c r="O118" i="4"/>
  <c r="M118" i="4"/>
  <c r="O117" i="4"/>
  <c r="M117" i="4"/>
  <c r="O116" i="4"/>
  <c r="M116" i="4"/>
  <c r="C116" i="4"/>
  <c r="O115" i="4"/>
  <c r="M115" i="4"/>
  <c r="C115" i="4"/>
  <c r="O114" i="4"/>
  <c r="M114" i="4"/>
  <c r="C114" i="4"/>
  <c r="O113" i="4"/>
  <c r="M113" i="4"/>
  <c r="C113" i="4"/>
  <c r="O112" i="4"/>
  <c r="M112" i="4"/>
  <c r="C112" i="4"/>
  <c r="O111" i="4"/>
  <c r="M111" i="4"/>
  <c r="C111" i="4"/>
  <c r="O110" i="4"/>
  <c r="M110" i="4"/>
  <c r="C110" i="4"/>
  <c r="C107" i="4" a="1"/>
  <c r="C107" i="4" s="1"/>
  <c r="O106" i="4"/>
  <c r="N106" i="4"/>
  <c r="M106" i="4"/>
  <c r="L106" i="4"/>
  <c r="K106" i="4"/>
  <c r="J106" i="4"/>
  <c r="O105" i="4" a="1"/>
  <c r="O105" i="4"/>
  <c r="N105" i="4" a="1"/>
  <c r="N105" i="4"/>
  <c r="M105" i="4" a="1"/>
  <c r="M105" i="4"/>
  <c r="L105" i="4" a="1"/>
  <c r="L105" i="4"/>
  <c r="K105" i="4" a="1"/>
  <c r="K105" i="4"/>
  <c r="J105" i="4" a="1"/>
  <c r="J105" i="4"/>
  <c r="C105" i="4" a="1"/>
  <c r="C105" i="4"/>
  <c r="C103" i="4"/>
  <c r="O102" i="4" a="1"/>
  <c r="O102" i="4"/>
  <c r="N102" i="4" a="1"/>
  <c r="N102" i="4"/>
  <c r="M102" i="4" a="1"/>
  <c r="M102" i="4"/>
  <c r="L102" i="4" a="1"/>
  <c r="L102" i="4"/>
  <c r="K102" i="4" a="1"/>
  <c r="K102" i="4"/>
  <c r="J102" i="4" a="1"/>
  <c r="J102" i="4"/>
  <c r="C100" i="4"/>
  <c r="M99" i="4"/>
  <c r="K99" i="4"/>
  <c r="O98" i="4"/>
  <c r="N98" i="4" a="1"/>
  <c r="N98" i="4"/>
  <c r="M98" i="4"/>
  <c r="K98" i="4"/>
  <c r="M97" i="4"/>
  <c r="K97" i="4"/>
  <c r="M96" i="4"/>
  <c r="K96" i="4"/>
  <c r="M95" i="4"/>
  <c r="K95" i="4"/>
  <c r="N94" i="4"/>
  <c r="M94" i="4"/>
  <c r="K94" i="4"/>
  <c r="D94" i="4"/>
  <c r="M93" i="4"/>
  <c r="K93" i="4"/>
  <c r="D93" i="4"/>
  <c r="M92" i="4"/>
  <c r="K92" i="4"/>
  <c r="V91" i="4"/>
  <c r="M91" i="4"/>
  <c r="K91" i="4"/>
  <c r="M90" i="4"/>
  <c r="K90" i="4"/>
  <c r="P89" i="4"/>
  <c r="M89" i="4"/>
  <c r="K89" i="4"/>
  <c r="V88" i="4"/>
  <c r="M88" i="4"/>
  <c r="K88" i="4"/>
  <c r="M87" i="4"/>
  <c r="K87" i="4"/>
  <c r="M86" i="4"/>
  <c r="K86" i="4"/>
  <c r="V85" i="4"/>
  <c r="M85" i="4"/>
  <c r="K85" i="4"/>
  <c r="M84" i="4"/>
  <c r="K84" i="4"/>
  <c r="D84" i="4"/>
  <c r="M83" i="4"/>
  <c r="K83" i="4"/>
  <c r="D83" i="4"/>
  <c r="V82" i="4"/>
  <c r="P82" i="4"/>
  <c r="M82" i="4"/>
  <c r="K82" i="4"/>
  <c r="D82" i="4"/>
  <c r="P81" i="4"/>
  <c r="M81" i="4"/>
  <c r="K81" i="4"/>
  <c r="D81" i="4"/>
  <c r="M80" i="4"/>
  <c r="K80" i="4"/>
  <c r="F80" i="4"/>
  <c r="D80" i="4"/>
  <c r="V79" i="4"/>
  <c r="M79" i="4"/>
  <c r="K79" i="4"/>
  <c r="F79" i="4"/>
  <c r="D79" i="4"/>
  <c r="M78" i="4"/>
  <c r="K78" i="4"/>
  <c r="D78" i="4"/>
  <c r="M77" i="4"/>
  <c r="M76" i="4"/>
  <c r="T75" i="4"/>
  <c r="S75" i="4"/>
  <c r="P75" i="4"/>
  <c r="M75" i="4"/>
  <c r="D75" i="4"/>
  <c r="V74" i="4"/>
  <c r="T74" i="4"/>
  <c r="S74" i="4"/>
  <c r="P74" i="4"/>
  <c r="D74" i="4"/>
  <c r="T73" i="4"/>
  <c r="S73" i="4"/>
  <c r="P73" i="4"/>
  <c r="S72" i="4"/>
  <c r="P72" i="4"/>
  <c r="I72" i="4"/>
  <c r="D72" i="4"/>
  <c r="V71" i="4"/>
  <c r="P71" i="4"/>
  <c r="D71" i="4"/>
  <c r="P70" i="4"/>
  <c r="G70" i="4"/>
  <c r="F70" i="4"/>
  <c r="P69" i="4"/>
  <c r="I69" i="4"/>
  <c r="G69" i="4"/>
  <c r="F69" i="4"/>
  <c r="D69" i="4"/>
  <c r="V68" i="4"/>
  <c r="S68" i="4"/>
  <c r="P68" i="4"/>
  <c r="I68" i="4"/>
  <c r="D68" i="4"/>
  <c r="Z67" i="4"/>
  <c r="Y67" i="4"/>
  <c r="X67" i="4"/>
  <c r="W67" i="4"/>
  <c r="V67" i="4"/>
  <c r="S67" i="4"/>
  <c r="P67" i="4"/>
  <c r="I67" i="4"/>
  <c r="AH66" i="4"/>
  <c r="AC66" i="4"/>
  <c r="Z66" i="4"/>
  <c r="Y66" i="4"/>
  <c r="X66" i="4"/>
  <c r="W66" i="4"/>
  <c r="S66" i="4"/>
  <c r="P66" i="4"/>
  <c r="I66" i="4"/>
  <c r="H66" i="4"/>
  <c r="G66" i="4"/>
  <c r="F66" i="4"/>
  <c r="D66" i="4"/>
  <c r="AH65" i="4"/>
  <c r="AE65" i="4"/>
  <c r="AD65" i="4"/>
  <c r="AC65" i="4"/>
  <c r="Z65" i="4"/>
  <c r="Y65" i="4"/>
  <c r="X65" i="4"/>
  <c r="W65" i="4"/>
  <c r="V65" i="4"/>
  <c r="S65" i="4"/>
  <c r="I65" i="4"/>
  <c r="H65" i="4"/>
  <c r="G65" i="4"/>
  <c r="F65" i="4"/>
  <c r="D65" i="4"/>
  <c r="V64" i="4"/>
  <c r="O37" i="4" a="1"/>
  <c r="O37" i="4"/>
  <c r="N37" i="4" a="1"/>
  <c r="N37" i="4"/>
  <c r="J33" i="4"/>
  <c r="F33" i="4"/>
  <c r="E33" i="4"/>
  <c r="D33" i="4"/>
  <c r="C33" i="4"/>
  <c r="L32" i="4"/>
  <c r="J32" i="4"/>
  <c r="F32" i="4"/>
  <c r="E32" i="4"/>
  <c r="D32" i="4"/>
  <c r="C32" i="4"/>
  <c r="F31" i="4"/>
  <c r="E31" i="4"/>
  <c r="D31" i="4"/>
  <c r="C31" i="4"/>
  <c r="F30" i="4"/>
  <c r="E30" i="4"/>
  <c r="D30" i="4"/>
  <c r="C30" i="4"/>
  <c r="L29" i="4"/>
  <c r="J29" i="4"/>
  <c r="F29" i="4"/>
  <c r="E29" i="4"/>
  <c r="D29" i="4"/>
  <c r="C29" i="4"/>
  <c r="C28" i="4"/>
  <c r="L27" i="4"/>
  <c r="J27" i="4"/>
  <c r="F27" i="4"/>
  <c r="E27" i="4"/>
  <c r="D27" i="4"/>
  <c r="C27" i="4"/>
  <c r="K26" i="4"/>
  <c r="F26" i="4"/>
  <c r="E26" i="4"/>
  <c r="D26" i="4"/>
  <c r="C26" i="4"/>
  <c r="E25" i="4"/>
  <c r="D25" i="4"/>
  <c r="F25" i="4" s="1"/>
  <c r="C25" i="4"/>
  <c r="F23" i="4"/>
  <c r="D23" i="4"/>
  <c r="C23" i="4"/>
  <c r="C20" i="4"/>
  <c r="B1" i="662" s="1"/>
  <c r="C19" i="4"/>
  <c r="D18" i="4"/>
  <c r="T17" i="4"/>
  <c r="H17" i="4"/>
  <c r="D17" i="4"/>
  <c r="V16" i="4"/>
  <c r="H16" i="4"/>
  <c r="D16" i="4"/>
  <c r="V15" i="4"/>
  <c r="V14" i="4"/>
  <c r="S14" i="4"/>
  <c r="V13" i="4"/>
  <c r="S13" i="4"/>
  <c r="E13" i="4"/>
  <c r="D13" i="4"/>
  <c r="V12" i="4"/>
  <c r="S12" i="4"/>
  <c r="E12" i="4"/>
  <c r="D12" i="4"/>
  <c r="V11" i="4"/>
  <c r="S11" i="4"/>
  <c r="D11" i="4"/>
  <c r="V10" i="4"/>
  <c r="S10" i="4"/>
  <c r="D10" i="4"/>
  <c r="T9" i="4"/>
  <c r="H9" i="4"/>
  <c r="D9" i="4"/>
  <c r="O8" i="4"/>
  <c r="N8" i="4"/>
  <c r="M8" i="4"/>
  <c r="L8" i="4"/>
  <c r="K8" i="4"/>
  <c r="J8" i="4"/>
  <c r="D8" i="4"/>
  <c r="S7" i="4"/>
  <c r="I7" i="4"/>
  <c r="D7" i="4"/>
  <c r="D6" i="4"/>
  <c r="I88" i="633"/>
  <c r="J87" i="633"/>
  <c r="I87" i="633"/>
  <c r="J86" i="633"/>
  <c r="I86" i="633"/>
  <c r="E86" i="633"/>
  <c r="J85" i="633"/>
  <c r="I85" i="633"/>
  <c r="E85" i="633"/>
  <c r="J84" i="633"/>
  <c r="I84" i="633"/>
  <c r="E84" i="633"/>
  <c r="B64" i="633"/>
  <c r="B63" i="633"/>
  <c r="B62" i="633"/>
  <c r="J60" i="633"/>
  <c r="I59" i="633"/>
  <c r="G59" i="633"/>
  <c r="B59" i="633"/>
  <c r="G41" i="633"/>
  <c r="F41" i="633"/>
  <c r="E41" i="633"/>
  <c r="D41" i="633"/>
  <c r="G40" i="633"/>
  <c r="F40" i="633"/>
  <c r="E40" i="633"/>
  <c r="D40" i="633"/>
  <c r="G39" i="633"/>
  <c r="F39" i="633"/>
  <c r="E39" i="633"/>
  <c r="D39" i="633"/>
  <c r="G38" i="633"/>
  <c r="F38" i="633"/>
  <c r="E38" i="633"/>
  <c r="D38" i="633"/>
  <c r="G37" i="633"/>
  <c r="F37" i="633"/>
  <c r="E37" i="633"/>
  <c r="D37" i="633"/>
  <c r="G36" i="633"/>
  <c r="F36" i="633"/>
  <c r="E36" i="633"/>
  <c r="D36" i="633"/>
  <c r="G35" i="633"/>
  <c r="F35" i="633"/>
  <c r="E35" i="633"/>
  <c r="D35" i="633"/>
  <c r="G34" i="633"/>
  <c r="F34" i="633"/>
  <c r="E34" i="633"/>
  <c r="D34" i="633"/>
  <c r="G33" i="633"/>
  <c r="F33" i="633"/>
  <c r="E33" i="633"/>
  <c r="D33" i="633"/>
  <c r="G32" i="633"/>
  <c r="F32" i="633"/>
  <c r="E32" i="633"/>
  <c r="D32" i="633"/>
  <c r="G31" i="633"/>
  <c r="F31" i="633"/>
  <c r="E31" i="633"/>
  <c r="D31" i="633"/>
  <c r="G30" i="633"/>
  <c r="F30" i="633"/>
  <c r="E30" i="633"/>
  <c r="D30" i="633"/>
  <c r="G29" i="633"/>
  <c r="F29" i="633"/>
  <c r="E29" i="633"/>
  <c r="D29" i="633"/>
  <c r="G28" i="633"/>
  <c r="F28" i="633"/>
  <c r="E28" i="633"/>
  <c r="D28" i="633"/>
  <c r="G27" i="633"/>
  <c r="F27" i="633"/>
  <c r="E27" i="633"/>
  <c r="D27" i="633"/>
  <c r="C27" i="633"/>
  <c r="B27" i="633"/>
  <c r="B26" i="633"/>
  <c r="D21" i="633"/>
  <c r="D20" i="633"/>
  <c r="D19" i="633"/>
  <c r="D18" i="633"/>
  <c r="D17" i="633"/>
  <c r="D16" i="633"/>
  <c r="D15" i="633"/>
  <c r="D14" i="633"/>
  <c r="D13" i="633"/>
  <c r="D12" i="633"/>
  <c r="C12" i="633"/>
  <c r="B11" i="633"/>
  <c r="C9" i="633"/>
  <c r="C8" i="633"/>
  <c r="C7" i="633"/>
  <c r="B6" i="633"/>
  <c r="B3" i="633"/>
  <c r="B47" i="476"/>
  <c r="B46" i="476"/>
  <c r="B45" i="476"/>
  <c r="B44" i="476"/>
  <c r="B43" i="476"/>
  <c r="B42" i="476"/>
  <c r="B41" i="476"/>
  <c r="B39" i="476"/>
  <c r="B34" i="476"/>
  <c r="B33" i="476"/>
  <c r="B32" i="476"/>
  <c r="B31" i="476"/>
  <c r="B30" i="476"/>
  <c r="B29" i="476"/>
  <c r="B28" i="476"/>
  <c r="B26" i="476"/>
  <c r="B25" i="476"/>
  <c r="B24" i="476"/>
  <c r="B23" i="476"/>
  <c r="B22" i="476"/>
  <c r="B17" i="476"/>
  <c r="B15" i="476"/>
  <c r="B14" i="476"/>
  <c r="B13" i="476"/>
  <c r="B11" i="476"/>
  <c r="X1491" i="475"/>
  <c r="G1491" i="475"/>
  <c r="E1491" i="475"/>
  <c r="B1491" i="475"/>
  <c r="X1490" i="475"/>
  <c r="G1490" i="475"/>
  <c r="E1490" i="475"/>
  <c r="B1490" i="475"/>
  <c r="X1489" i="475"/>
  <c r="G1489" i="475"/>
  <c r="E1489" i="475"/>
  <c r="B1489" i="475"/>
  <c r="X1488" i="475"/>
  <c r="G1488" i="475"/>
  <c r="E1488" i="475"/>
  <c r="B1488" i="475"/>
  <c r="X1487" i="475"/>
  <c r="G1487" i="475"/>
  <c r="E1487" i="475"/>
  <c r="B1487" i="475"/>
  <c r="X1486" i="475"/>
  <c r="G1486" i="475"/>
  <c r="E1486" i="475"/>
  <c r="B1486" i="475"/>
  <c r="X1485" i="475"/>
  <c r="G1485" i="475"/>
  <c r="E1485" i="475"/>
  <c r="B1485" i="475"/>
  <c r="AG1482" i="475"/>
  <c r="AC1482" i="475"/>
  <c r="AA1482" i="475"/>
  <c r="Z1482" i="475"/>
  <c r="X1482" i="475"/>
  <c r="G1482" i="475"/>
  <c r="E1482" i="475"/>
  <c r="B1482" i="475"/>
  <c r="AG1481" i="475"/>
  <c r="AC1481" i="475"/>
  <c r="AA1481" i="475"/>
  <c r="Z1481" i="475"/>
  <c r="X1481" i="475"/>
  <c r="G1481" i="475"/>
  <c r="E1481" i="475"/>
  <c r="B1481" i="475"/>
  <c r="AG1480" i="475"/>
  <c r="AC1480" i="475"/>
  <c r="AA1480" i="475"/>
  <c r="Z1480" i="475"/>
  <c r="X1480" i="475"/>
  <c r="G1480" i="475"/>
  <c r="E1480" i="475"/>
  <c r="B1480" i="475"/>
  <c r="AG1479" i="475"/>
  <c r="AC1479" i="475"/>
  <c r="AA1479" i="475"/>
  <c r="Z1479" i="475"/>
  <c r="X1479" i="475"/>
  <c r="G1479" i="475"/>
  <c r="E1479" i="475"/>
  <c r="B1479" i="475"/>
  <c r="AG1478" i="475"/>
  <c r="AC1478" i="475"/>
  <c r="AA1478" i="475"/>
  <c r="Z1478" i="475"/>
  <c r="X1478" i="475"/>
  <c r="G1478" i="475"/>
  <c r="E1478" i="475"/>
  <c r="B1478" i="475"/>
  <c r="AG1475" i="475"/>
  <c r="AC1475" i="475"/>
  <c r="AA1475" i="475"/>
  <c r="Z1475" i="475"/>
  <c r="X1475" i="475"/>
  <c r="G1475" i="475"/>
  <c r="E1475" i="475"/>
  <c r="B1475" i="475"/>
  <c r="AG1474" i="475"/>
  <c r="AC1474" i="475"/>
  <c r="AA1474" i="475"/>
  <c r="Z1474" i="475"/>
  <c r="X1474" i="475"/>
  <c r="G1474" i="475"/>
  <c r="E1474" i="475"/>
  <c r="B1474" i="475"/>
  <c r="AG1473" i="475"/>
  <c r="AC1473" i="475"/>
  <c r="AA1473" i="475"/>
  <c r="Z1473" i="475"/>
  <c r="X1473" i="475"/>
  <c r="G1473" i="475"/>
  <c r="E1473" i="475"/>
  <c r="B1473" i="475"/>
  <c r="AG1472" i="475"/>
  <c r="AC1472" i="475"/>
  <c r="AA1472" i="475"/>
  <c r="Z1472" i="475"/>
  <c r="X1472" i="475"/>
  <c r="G1472" i="475"/>
  <c r="E1472" i="475"/>
  <c r="B1472" i="475"/>
  <c r="AG1471" i="475"/>
  <c r="AC1471" i="475"/>
  <c r="AA1471" i="475"/>
  <c r="Z1471" i="475"/>
  <c r="X1471" i="475"/>
  <c r="G1471" i="475"/>
  <c r="E1471" i="475"/>
  <c r="B1471" i="475"/>
  <c r="AG1470" i="475"/>
  <c r="AC1470" i="475"/>
  <c r="AA1470" i="475"/>
  <c r="Z1470" i="475"/>
  <c r="X1470" i="475"/>
  <c r="G1470" i="475"/>
  <c r="E1470" i="475"/>
  <c r="B1470" i="475"/>
  <c r="AG1467" i="475"/>
  <c r="AC1467" i="475"/>
  <c r="AA1467" i="475"/>
  <c r="Z1467" i="475"/>
  <c r="X1467" i="475"/>
  <c r="G1467" i="475"/>
  <c r="E1467" i="475"/>
  <c r="B1467" i="475"/>
  <c r="AG1466" i="475"/>
  <c r="AC1466" i="475"/>
  <c r="AA1466" i="475"/>
  <c r="Z1466" i="475"/>
  <c r="X1466" i="475"/>
  <c r="G1466" i="475"/>
  <c r="E1466" i="475"/>
  <c r="B1466" i="475"/>
  <c r="AG1465" i="475"/>
  <c r="AC1465" i="475"/>
  <c r="AA1465" i="475"/>
  <c r="Z1465" i="475"/>
  <c r="X1465" i="475"/>
  <c r="G1465" i="475"/>
  <c r="E1465" i="475"/>
  <c r="B1465" i="475"/>
  <c r="AG1464" i="475"/>
  <c r="AC1464" i="475"/>
  <c r="AA1464" i="475"/>
  <c r="Z1464" i="475"/>
  <c r="X1464" i="475"/>
  <c r="G1464" i="475"/>
  <c r="E1464" i="475"/>
  <c r="B1464" i="475"/>
  <c r="AG1463" i="475"/>
  <c r="AC1463" i="475"/>
  <c r="AA1463" i="475"/>
  <c r="Z1463" i="475"/>
  <c r="X1463" i="475"/>
  <c r="G1463" i="475"/>
  <c r="E1463" i="475"/>
  <c r="B1463" i="475"/>
  <c r="AG1462" i="475"/>
  <c r="AC1462" i="475"/>
  <c r="AA1462" i="475"/>
  <c r="Z1462" i="475"/>
  <c r="X1462" i="475"/>
  <c r="G1462" i="475"/>
  <c r="E1462" i="475"/>
  <c r="B1462" i="475"/>
  <c r="AG1459" i="475"/>
  <c r="AC1459" i="475"/>
  <c r="AA1459" i="475"/>
  <c r="Z1459" i="475"/>
  <c r="X1459" i="475"/>
  <c r="G1459" i="475"/>
  <c r="E1459" i="475"/>
  <c r="B1459" i="475"/>
  <c r="AG1458" i="475"/>
  <c r="AC1458" i="475"/>
  <c r="AA1458" i="475"/>
  <c r="Z1458" i="475"/>
  <c r="X1458" i="475"/>
  <c r="G1458" i="475"/>
  <c r="E1458" i="475"/>
  <c r="B1458" i="475"/>
  <c r="AG1457" i="475"/>
  <c r="AC1457" i="475"/>
  <c r="AA1457" i="475"/>
  <c r="Z1457" i="475"/>
  <c r="X1457" i="475"/>
  <c r="G1457" i="475"/>
  <c r="E1457" i="475"/>
  <c r="B1457" i="475"/>
  <c r="AG1456" i="475"/>
  <c r="AC1456" i="475"/>
  <c r="AA1456" i="475"/>
  <c r="Z1456" i="475"/>
  <c r="X1456" i="475"/>
  <c r="G1456" i="475"/>
  <c r="E1456" i="475"/>
  <c r="B1456" i="475"/>
  <c r="AG1455" i="475"/>
  <c r="AC1455" i="475"/>
  <c r="AA1455" i="475"/>
  <c r="Z1455" i="475"/>
  <c r="X1455" i="475"/>
  <c r="G1455" i="475"/>
  <c r="E1455" i="475"/>
  <c r="B1455" i="475"/>
  <c r="AG1454" i="475"/>
  <c r="AC1454" i="475"/>
  <c r="AA1454" i="475"/>
  <c r="Z1454" i="475"/>
  <c r="X1454" i="475"/>
  <c r="G1454" i="475"/>
  <c r="E1454" i="475"/>
  <c r="B1454" i="475"/>
  <c r="AG1453" i="475"/>
  <c r="AC1453" i="475"/>
  <c r="AA1453" i="475"/>
  <c r="Z1453" i="475"/>
  <c r="X1453" i="475"/>
  <c r="G1453" i="475"/>
  <c r="E1453" i="475"/>
  <c r="B1453" i="475"/>
  <c r="AG1450" i="475"/>
  <c r="AC1450" i="475"/>
  <c r="AA1450" i="475"/>
  <c r="Z1450" i="475"/>
  <c r="X1450" i="475"/>
  <c r="G1450" i="475"/>
  <c r="E1450" i="475"/>
  <c r="B1450" i="475"/>
  <c r="AG1449" i="475"/>
  <c r="AC1449" i="475"/>
  <c r="AA1449" i="475"/>
  <c r="Z1449" i="475"/>
  <c r="X1449" i="475"/>
  <c r="G1449" i="475"/>
  <c r="E1449" i="475"/>
  <c r="B1449" i="475"/>
  <c r="AG1448" i="475"/>
  <c r="AC1448" i="475"/>
  <c r="AA1448" i="475"/>
  <c r="Z1448" i="475"/>
  <c r="X1448" i="475"/>
  <c r="G1448" i="475"/>
  <c r="E1448" i="475"/>
  <c r="B1448" i="475"/>
  <c r="AG1447" i="475"/>
  <c r="AC1447" i="475"/>
  <c r="AA1447" i="475"/>
  <c r="Z1447" i="475"/>
  <c r="X1447" i="475"/>
  <c r="G1447" i="475"/>
  <c r="E1447" i="475"/>
  <c r="B1447" i="475"/>
  <c r="AG1446" i="475"/>
  <c r="AC1446" i="475"/>
  <c r="AA1446" i="475"/>
  <c r="Z1446" i="475"/>
  <c r="X1446" i="475"/>
  <c r="G1446" i="475"/>
  <c r="E1446" i="475"/>
  <c r="B1446" i="475"/>
  <c r="AG1443" i="475"/>
  <c r="AC1443" i="475"/>
  <c r="AA1443" i="475"/>
  <c r="Z1443" i="475"/>
  <c r="X1443" i="475"/>
  <c r="G1443" i="475"/>
  <c r="E1443" i="475"/>
  <c r="B1443" i="475"/>
  <c r="AG1442" i="475"/>
  <c r="AC1442" i="475"/>
  <c r="AA1442" i="475"/>
  <c r="Z1442" i="475"/>
  <c r="X1442" i="475"/>
  <c r="G1442" i="475"/>
  <c r="E1442" i="475"/>
  <c r="B1442" i="475"/>
  <c r="AG1441" i="475"/>
  <c r="AC1441" i="475"/>
  <c r="AA1441" i="475"/>
  <c r="Z1441" i="475"/>
  <c r="X1441" i="475"/>
  <c r="G1441" i="475"/>
  <c r="E1441" i="475"/>
  <c r="B1441" i="475"/>
  <c r="AG1440" i="475"/>
  <c r="AC1440" i="475"/>
  <c r="AA1440" i="475"/>
  <c r="Z1440" i="475"/>
  <c r="X1440" i="475"/>
  <c r="G1440" i="475"/>
  <c r="E1440" i="475"/>
  <c r="B1440" i="475"/>
  <c r="AG1439" i="475"/>
  <c r="AC1439" i="475"/>
  <c r="AA1439" i="475"/>
  <c r="Z1439" i="475"/>
  <c r="X1439" i="475"/>
  <c r="G1439" i="475"/>
  <c r="E1439" i="475"/>
  <c r="B1439" i="475"/>
  <c r="AG1438" i="475"/>
  <c r="AC1438" i="475"/>
  <c r="AA1438" i="475"/>
  <c r="Z1438" i="475"/>
  <c r="X1438" i="475"/>
  <c r="G1438" i="475"/>
  <c r="E1438" i="475"/>
  <c r="B1438" i="475"/>
  <c r="AG1435" i="475"/>
  <c r="AC1435" i="475"/>
  <c r="AA1435" i="475"/>
  <c r="Z1435" i="475"/>
  <c r="X1435" i="475"/>
  <c r="G1435" i="475"/>
  <c r="E1435" i="475"/>
  <c r="B1435" i="475"/>
  <c r="AG1434" i="475"/>
  <c r="AC1434" i="475"/>
  <c r="AA1434" i="475"/>
  <c r="Z1434" i="475"/>
  <c r="X1434" i="475"/>
  <c r="G1434" i="475"/>
  <c r="E1434" i="475"/>
  <c r="B1434" i="475"/>
  <c r="AG1433" i="475"/>
  <c r="AC1433" i="475"/>
  <c r="AA1433" i="475"/>
  <c r="Z1433" i="475"/>
  <c r="X1433" i="475"/>
  <c r="G1433" i="475"/>
  <c r="E1433" i="475"/>
  <c r="B1433" i="475"/>
  <c r="AG1432" i="475"/>
  <c r="AC1432" i="475"/>
  <c r="AA1432" i="475"/>
  <c r="Z1432" i="475"/>
  <c r="X1432" i="475"/>
  <c r="G1432" i="475"/>
  <c r="E1432" i="475"/>
  <c r="B1432" i="475"/>
  <c r="AG1431" i="475"/>
  <c r="AC1431" i="475"/>
  <c r="AA1431" i="475"/>
  <c r="Z1431" i="475"/>
  <c r="X1431" i="475"/>
  <c r="G1431" i="475"/>
  <c r="E1431" i="475"/>
  <c r="B1431" i="475"/>
  <c r="AG1430" i="475"/>
  <c r="AC1430" i="475"/>
  <c r="AA1430" i="475"/>
  <c r="Z1430" i="475"/>
  <c r="X1430" i="475"/>
  <c r="G1430" i="475"/>
  <c r="E1430" i="475"/>
  <c r="B1430" i="475"/>
  <c r="AG1427" i="475"/>
  <c r="AC1427" i="475"/>
  <c r="AA1427" i="475"/>
  <c r="Z1427" i="475"/>
  <c r="X1427" i="475"/>
  <c r="G1427" i="475"/>
  <c r="E1427" i="475"/>
  <c r="B1427" i="475"/>
  <c r="AG1426" i="475"/>
  <c r="AC1426" i="475"/>
  <c r="AA1426" i="475"/>
  <c r="Z1426" i="475"/>
  <c r="X1426" i="475"/>
  <c r="G1426" i="475"/>
  <c r="E1426" i="475"/>
  <c r="B1426" i="475"/>
  <c r="AG1425" i="475"/>
  <c r="AC1425" i="475"/>
  <c r="AA1425" i="475"/>
  <c r="Z1425" i="475"/>
  <c r="X1425" i="475"/>
  <c r="G1425" i="475"/>
  <c r="E1425" i="475"/>
  <c r="B1425" i="475"/>
  <c r="AG1424" i="475"/>
  <c r="AC1424" i="475"/>
  <c r="AA1424" i="475"/>
  <c r="Z1424" i="475"/>
  <c r="X1424" i="475"/>
  <c r="G1424" i="475"/>
  <c r="E1424" i="475"/>
  <c r="B1424" i="475"/>
  <c r="AG1423" i="475"/>
  <c r="AC1423" i="475"/>
  <c r="AA1423" i="475"/>
  <c r="Z1423" i="475"/>
  <c r="X1423" i="475"/>
  <c r="G1423" i="475"/>
  <c r="E1423" i="475"/>
  <c r="B1423" i="475"/>
  <c r="AG1422" i="475"/>
  <c r="AC1422" i="475"/>
  <c r="AA1422" i="475"/>
  <c r="Z1422" i="475"/>
  <c r="X1422" i="475"/>
  <c r="G1422" i="475"/>
  <c r="E1422" i="475"/>
  <c r="B1422" i="475"/>
  <c r="AG1419" i="475"/>
  <c r="AC1419" i="475"/>
  <c r="AA1419" i="475"/>
  <c r="Z1419" i="475"/>
  <c r="X1419" i="475"/>
  <c r="G1419" i="475"/>
  <c r="E1419" i="475"/>
  <c r="B1419" i="475"/>
  <c r="AG1418" i="475"/>
  <c r="AC1418" i="475"/>
  <c r="AA1418" i="475"/>
  <c r="Z1418" i="475"/>
  <c r="X1418" i="475"/>
  <c r="G1418" i="475"/>
  <c r="E1418" i="475"/>
  <c r="B1418" i="475"/>
  <c r="AG1417" i="475"/>
  <c r="AC1417" i="475"/>
  <c r="AA1417" i="475"/>
  <c r="Z1417" i="475"/>
  <c r="X1417" i="475"/>
  <c r="G1417" i="475"/>
  <c r="E1417" i="475"/>
  <c r="B1417" i="475"/>
  <c r="AG1416" i="475"/>
  <c r="AC1416" i="475"/>
  <c r="AA1416" i="475"/>
  <c r="Z1416" i="475"/>
  <c r="X1416" i="475"/>
  <c r="G1416" i="475"/>
  <c r="E1416" i="475"/>
  <c r="B1416" i="475"/>
  <c r="AG1415" i="475"/>
  <c r="AC1415" i="475"/>
  <c r="AA1415" i="475"/>
  <c r="Z1415" i="475"/>
  <c r="X1415" i="475"/>
  <c r="G1415" i="475"/>
  <c r="E1415" i="475"/>
  <c r="B1415" i="475"/>
  <c r="AG1412" i="475"/>
  <c r="AC1412" i="475"/>
  <c r="AA1412" i="475"/>
  <c r="Z1412" i="475"/>
  <c r="X1412" i="475"/>
  <c r="G1412" i="475"/>
  <c r="E1412" i="475"/>
  <c r="B1412" i="475"/>
  <c r="AG1411" i="475"/>
  <c r="AC1411" i="475"/>
  <c r="AA1411" i="475"/>
  <c r="Z1411" i="475"/>
  <c r="X1411" i="475"/>
  <c r="G1411" i="475"/>
  <c r="E1411" i="475"/>
  <c r="B1411" i="475"/>
  <c r="AG1410" i="475"/>
  <c r="AC1410" i="475"/>
  <c r="AA1410" i="475"/>
  <c r="Z1410" i="475"/>
  <c r="X1410" i="475"/>
  <c r="G1410" i="475"/>
  <c r="E1410" i="475"/>
  <c r="B1410" i="475"/>
  <c r="AG1409" i="475"/>
  <c r="AC1409" i="475"/>
  <c r="AA1409" i="475"/>
  <c r="Z1409" i="475"/>
  <c r="X1409" i="475"/>
  <c r="G1409" i="475"/>
  <c r="E1409" i="475"/>
  <c r="B1409" i="475"/>
  <c r="AG1408" i="475"/>
  <c r="AC1408" i="475"/>
  <c r="AA1408" i="475"/>
  <c r="Z1408" i="475"/>
  <c r="X1408" i="475"/>
  <c r="G1408" i="475"/>
  <c r="E1408" i="475"/>
  <c r="B1408" i="475"/>
  <c r="AG1407" i="475"/>
  <c r="AC1407" i="475"/>
  <c r="AA1407" i="475"/>
  <c r="Z1407" i="475"/>
  <c r="X1407" i="475"/>
  <c r="G1407" i="475"/>
  <c r="E1407" i="475"/>
  <c r="B1407" i="475"/>
  <c r="AG1404" i="475"/>
  <c r="AC1404" i="475"/>
  <c r="AA1404" i="475"/>
  <c r="Z1404" i="475"/>
  <c r="X1404" i="475"/>
  <c r="G1404" i="475"/>
  <c r="E1404" i="475"/>
  <c r="B1404" i="475"/>
  <c r="AG1403" i="475"/>
  <c r="AC1403" i="475"/>
  <c r="AA1403" i="475"/>
  <c r="Z1403" i="475"/>
  <c r="X1403" i="475"/>
  <c r="G1403" i="475"/>
  <c r="E1403" i="475"/>
  <c r="B1403" i="475"/>
  <c r="AG1402" i="475"/>
  <c r="AC1402" i="475"/>
  <c r="AA1402" i="475"/>
  <c r="Z1402" i="475"/>
  <c r="X1402" i="475"/>
  <c r="G1402" i="475"/>
  <c r="E1402" i="475"/>
  <c r="B1402" i="475"/>
  <c r="AG1401" i="475"/>
  <c r="AC1401" i="475"/>
  <c r="AA1401" i="475"/>
  <c r="Z1401" i="475"/>
  <c r="X1401" i="475"/>
  <c r="G1401" i="475"/>
  <c r="E1401" i="475"/>
  <c r="B1401" i="475"/>
  <c r="AG1400" i="475"/>
  <c r="AC1400" i="475"/>
  <c r="AA1400" i="475"/>
  <c r="Z1400" i="475"/>
  <c r="X1400" i="475"/>
  <c r="G1400" i="475"/>
  <c r="E1400" i="475"/>
  <c r="B1400" i="475"/>
  <c r="AG1397" i="475"/>
  <c r="AC1397" i="475"/>
  <c r="AA1397" i="475"/>
  <c r="Z1397" i="475"/>
  <c r="X1397" i="475"/>
  <c r="G1397" i="475"/>
  <c r="E1397" i="475"/>
  <c r="B1397" i="475"/>
  <c r="AG1396" i="475"/>
  <c r="AC1396" i="475"/>
  <c r="AA1396" i="475"/>
  <c r="Z1396" i="475"/>
  <c r="X1396" i="475"/>
  <c r="G1396" i="475"/>
  <c r="E1396" i="475"/>
  <c r="B1396" i="475"/>
  <c r="AG1395" i="475"/>
  <c r="AC1395" i="475"/>
  <c r="AA1395" i="475"/>
  <c r="Z1395" i="475"/>
  <c r="X1395" i="475"/>
  <c r="G1395" i="475"/>
  <c r="E1395" i="475"/>
  <c r="B1395" i="475"/>
  <c r="AG1394" i="475"/>
  <c r="AC1394" i="475"/>
  <c r="AA1394" i="475"/>
  <c r="Z1394" i="475"/>
  <c r="X1394" i="475"/>
  <c r="G1394" i="475"/>
  <c r="E1394" i="475"/>
  <c r="B1394" i="475"/>
  <c r="AG1393" i="475"/>
  <c r="AC1393" i="475"/>
  <c r="AA1393" i="475"/>
  <c r="Z1393" i="475"/>
  <c r="X1393" i="475"/>
  <c r="G1393" i="475"/>
  <c r="E1393" i="475"/>
  <c r="B1393" i="475"/>
  <c r="AG1392" i="475"/>
  <c r="AC1392" i="475"/>
  <c r="AA1392" i="475"/>
  <c r="Z1392" i="475"/>
  <c r="X1392" i="475"/>
  <c r="G1392" i="475"/>
  <c r="E1392" i="475"/>
  <c r="B1392" i="475"/>
  <c r="AG1389" i="475"/>
  <c r="AC1389" i="475"/>
  <c r="AA1389" i="475"/>
  <c r="Z1389" i="475"/>
  <c r="X1389" i="475"/>
  <c r="G1389" i="475"/>
  <c r="E1389" i="475"/>
  <c r="B1389" i="475"/>
  <c r="AG1388" i="475"/>
  <c r="AC1388" i="475"/>
  <c r="AA1388" i="475"/>
  <c r="Z1388" i="475"/>
  <c r="X1388" i="475"/>
  <c r="G1388" i="475"/>
  <c r="E1388" i="475"/>
  <c r="B1388" i="475"/>
  <c r="AG1387" i="475"/>
  <c r="AC1387" i="475"/>
  <c r="AA1387" i="475"/>
  <c r="Z1387" i="475"/>
  <c r="X1387" i="475"/>
  <c r="G1387" i="475"/>
  <c r="E1387" i="475"/>
  <c r="B1387" i="475"/>
  <c r="AG1386" i="475"/>
  <c r="AC1386" i="475"/>
  <c r="AA1386" i="475"/>
  <c r="Z1386" i="475"/>
  <c r="X1386" i="475"/>
  <c r="G1386" i="475"/>
  <c r="E1386" i="475"/>
  <c r="B1386" i="475"/>
  <c r="AG1385" i="475"/>
  <c r="AC1385" i="475"/>
  <c r="AA1385" i="475"/>
  <c r="Z1385" i="475"/>
  <c r="X1385" i="475"/>
  <c r="G1385" i="475"/>
  <c r="E1385" i="475"/>
  <c r="B1385" i="475"/>
  <c r="AG1384" i="475"/>
  <c r="AC1384" i="475"/>
  <c r="AA1384" i="475"/>
  <c r="Z1384" i="475"/>
  <c r="X1384" i="475"/>
  <c r="G1384" i="475"/>
  <c r="E1384" i="475"/>
  <c r="B1384" i="475"/>
  <c r="AG1383" i="475"/>
  <c r="AC1383" i="475"/>
  <c r="AA1383" i="475"/>
  <c r="Z1383" i="475"/>
  <c r="X1383" i="475"/>
  <c r="G1383" i="475"/>
  <c r="E1383" i="475"/>
  <c r="B1383" i="475"/>
  <c r="AG1382" i="475"/>
  <c r="AC1382" i="475"/>
  <c r="AA1382" i="475"/>
  <c r="Z1382" i="475"/>
  <c r="X1382" i="475"/>
  <c r="G1382" i="475"/>
  <c r="E1382" i="475"/>
  <c r="B1382" i="475"/>
  <c r="AG1381" i="475"/>
  <c r="AC1381" i="475"/>
  <c r="AA1381" i="475"/>
  <c r="Z1381" i="475"/>
  <c r="X1381" i="475"/>
  <c r="G1381" i="475"/>
  <c r="E1381" i="475"/>
  <c r="B1381" i="475"/>
  <c r="G1380" i="475"/>
  <c r="E1380" i="475"/>
  <c r="B1380" i="475"/>
  <c r="AG1378" i="475"/>
  <c r="AC1378" i="475"/>
  <c r="AA1378" i="475"/>
  <c r="Z1378" i="475"/>
  <c r="X1378" i="475"/>
  <c r="G1378" i="475"/>
  <c r="E1378" i="475"/>
  <c r="B1378" i="475"/>
  <c r="AG1377" i="475"/>
  <c r="AC1377" i="475"/>
  <c r="AA1377" i="475"/>
  <c r="Z1377" i="475"/>
  <c r="X1377" i="475"/>
  <c r="G1377" i="475"/>
  <c r="E1377" i="475"/>
  <c r="B1377" i="475"/>
  <c r="AG1376" i="475"/>
  <c r="AC1376" i="475"/>
  <c r="AA1376" i="475"/>
  <c r="Z1376" i="475"/>
  <c r="X1376" i="475"/>
  <c r="G1376" i="475"/>
  <c r="E1376" i="475"/>
  <c r="B1376" i="475"/>
  <c r="AG1375" i="475"/>
  <c r="AC1375" i="475"/>
  <c r="AA1375" i="475"/>
  <c r="Z1375" i="475"/>
  <c r="X1375" i="475"/>
  <c r="G1375" i="475"/>
  <c r="E1375" i="475"/>
  <c r="B1375" i="475"/>
  <c r="AG1374" i="475"/>
  <c r="AC1374" i="475"/>
  <c r="AA1374" i="475"/>
  <c r="Z1374" i="475"/>
  <c r="X1374" i="475"/>
  <c r="G1374" i="475"/>
  <c r="E1374" i="475"/>
  <c r="B1374" i="475"/>
  <c r="AG1373" i="475"/>
  <c r="AC1373" i="475"/>
  <c r="AA1373" i="475"/>
  <c r="Z1373" i="475"/>
  <c r="X1373" i="475"/>
  <c r="G1373" i="475"/>
  <c r="E1373" i="475"/>
  <c r="B1373" i="475"/>
  <c r="AG1370" i="475"/>
  <c r="AC1370" i="475"/>
  <c r="AA1370" i="475"/>
  <c r="Z1370" i="475"/>
  <c r="X1370" i="475"/>
  <c r="G1370" i="475"/>
  <c r="E1370" i="475"/>
  <c r="B1370" i="475"/>
  <c r="AG1369" i="475"/>
  <c r="AC1369" i="475"/>
  <c r="AA1369" i="475"/>
  <c r="Z1369" i="475"/>
  <c r="X1369" i="475"/>
  <c r="G1369" i="475"/>
  <c r="E1369" i="475"/>
  <c r="B1369" i="475"/>
  <c r="AG1368" i="475"/>
  <c r="AC1368" i="475"/>
  <c r="AA1368" i="475"/>
  <c r="Z1368" i="475"/>
  <c r="X1368" i="475"/>
  <c r="G1368" i="475"/>
  <c r="E1368" i="475"/>
  <c r="B1368" i="475"/>
  <c r="AG1367" i="475"/>
  <c r="AC1367" i="475"/>
  <c r="AA1367" i="475"/>
  <c r="Z1367" i="475"/>
  <c r="X1367" i="475"/>
  <c r="G1367" i="475"/>
  <c r="E1367" i="475"/>
  <c r="B1367" i="475"/>
  <c r="AG1366" i="475"/>
  <c r="AC1366" i="475"/>
  <c r="AA1366" i="475"/>
  <c r="Z1366" i="475"/>
  <c r="X1366" i="475"/>
  <c r="G1366" i="475"/>
  <c r="E1366" i="475"/>
  <c r="B1366" i="475"/>
  <c r="AG1365" i="475"/>
  <c r="AC1365" i="475"/>
  <c r="AA1365" i="475"/>
  <c r="Z1365" i="475"/>
  <c r="X1365" i="475"/>
  <c r="G1365" i="475"/>
  <c r="E1365" i="475"/>
  <c r="B1365" i="475"/>
  <c r="AG1362" i="475"/>
  <c r="AC1362" i="475"/>
  <c r="AA1362" i="475"/>
  <c r="Z1362" i="475"/>
  <c r="X1362" i="475"/>
  <c r="G1362" i="475"/>
  <c r="E1362" i="475"/>
  <c r="B1362" i="475"/>
  <c r="AG1361" i="475"/>
  <c r="AC1361" i="475"/>
  <c r="AA1361" i="475"/>
  <c r="Z1361" i="475"/>
  <c r="X1361" i="475"/>
  <c r="G1361" i="475"/>
  <c r="E1361" i="475"/>
  <c r="B1361" i="475"/>
  <c r="AG1360" i="475"/>
  <c r="AC1360" i="475"/>
  <c r="AA1360" i="475"/>
  <c r="Z1360" i="475"/>
  <c r="X1360" i="475"/>
  <c r="G1360" i="475"/>
  <c r="E1360" i="475"/>
  <c r="B1360" i="475"/>
  <c r="AG1359" i="475"/>
  <c r="AC1359" i="475"/>
  <c r="AA1359" i="475"/>
  <c r="Z1359" i="475"/>
  <c r="X1359" i="475"/>
  <c r="G1359" i="475"/>
  <c r="E1359" i="475"/>
  <c r="B1359" i="475"/>
  <c r="AG1358" i="475"/>
  <c r="AC1358" i="475"/>
  <c r="AA1358" i="475"/>
  <c r="Z1358" i="475"/>
  <c r="X1358" i="475"/>
  <c r="G1358" i="475"/>
  <c r="E1358" i="475"/>
  <c r="B1358" i="475"/>
  <c r="AG1357" i="475"/>
  <c r="AC1357" i="475"/>
  <c r="AA1357" i="475"/>
  <c r="Z1357" i="475"/>
  <c r="X1357" i="475"/>
  <c r="G1357" i="475"/>
  <c r="E1357" i="475"/>
  <c r="B1357" i="475"/>
  <c r="AG1354" i="475"/>
  <c r="AC1354" i="475"/>
  <c r="AA1354" i="475"/>
  <c r="Z1354" i="475"/>
  <c r="X1354" i="475"/>
  <c r="G1354" i="475"/>
  <c r="E1354" i="475"/>
  <c r="B1354" i="475"/>
  <c r="AG1353" i="475"/>
  <c r="AC1353" i="475"/>
  <c r="AA1353" i="475"/>
  <c r="Z1353" i="475"/>
  <c r="X1353" i="475"/>
  <c r="G1353" i="475"/>
  <c r="E1353" i="475"/>
  <c r="B1353" i="475"/>
  <c r="AG1352" i="475"/>
  <c r="AC1352" i="475"/>
  <c r="AA1352" i="475"/>
  <c r="Z1352" i="475"/>
  <c r="X1352" i="475"/>
  <c r="G1352" i="475"/>
  <c r="E1352" i="475"/>
  <c r="B1352" i="475"/>
  <c r="AG1351" i="475"/>
  <c r="AC1351" i="475"/>
  <c r="AA1351" i="475"/>
  <c r="Z1351" i="475"/>
  <c r="X1351" i="475"/>
  <c r="G1351" i="475"/>
  <c r="E1351" i="475"/>
  <c r="B1351" i="475"/>
  <c r="AG1350" i="475"/>
  <c r="AC1350" i="475"/>
  <c r="AA1350" i="475"/>
  <c r="Z1350" i="475"/>
  <c r="X1350" i="475"/>
  <c r="G1350" i="475"/>
  <c r="E1350" i="475"/>
  <c r="B1350" i="475"/>
  <c r="AG1347" i="475"/>
  <c r="AC1347" i="475"/>
  <c r="AA1347" i="475"/>
  <c r="Z1347" i="475"/>
  <c r="X1347" i="475"/>
  <c r="G1347" i="475"/>
  <c r="E1347" i="475"/>
  <c r="B1347" i="475"/>
  <c r="AG1346" i="475"/>
  <c r="AC1346" i="475"/>
  <c r="AA1346" i="475"/>
  <c r="Z1346" i="475"/>
  <c r="X1346" i="475"/>
  <c r="G1346" i="475"/>
  <c r="E1346" i="475"/>
  <c r="B1346" i="475"/>
  <c r="AG1345" i="475"/>
  <c r="AC1345" i="475"/>
  <c r="AA1345" i="475"/>
  <c r="Z1345" i="475"/>
  <c r="X1345" i="475"/>
  <c r="G1345" i="475"/>
  <c r="E1345" i="475"/>
  <c r="B1345" i="475"/>
  <c r="AG1344" i="475"/>
  <c r="AC1344" i="475"/>
  <c r="AA1344" i="475"/>
  <c r="Z1344" i="475"/>
  <c r="X1344" i="475"/>
  <c r="G1344" i="475"/>
  <c r="E1344" i="475"/>
  <c r="B1344" i="475"/>
  <c r="AG1343" i="475"/>
  <c r="AC1343" i="475"/>
  <c r="AA1343" i="475"/>
  <c r="Z1343" i="475"/>
  <c r="X1343" i="475"/>
  <c r="G1343" i="475"/>
  <c r="E1343" i="475"/>
  <c r="B1343" i="475"/>
  <c r="AG1342" i="475"/>
  <c r="AC1342" i="475"/>
  <c r="AA1342" i="475"/>
  <c r="Z1342" i="475"/>
  <c r="X1342" i="475"/>
  <c r="G1342" i="475"/>
  <c r="E1342" i="475"/>
  <c r="B1342" i="475"/>
  <c r="AG1339" i="475"/>
  <c r="AC1339" i="475"/>
  <c r="AA1339" i="475"/>
  <c r="Z1339" i="475"/>
  <c r="X1339" i="475"/>
  <c r="G1339" i="475"/>
  <c r="E1339" i="475"/>
  <c r="B1339" i="475"/>
  <c r="AG1338" i="475"/>
  <c r="AC1338" i="475"/>
  <c r="AA1338" i="475"/>
  <c r="Z1338" i="475"/>
  <c r="X1338" i="475"/>
  <c r="G1338" i="475"/>
  <c r="E1338" i="475"/>
  <c r="B1338" i="475"/>
  <c r="AG1337" i="475"/>
  <c r="AC1337" i="475"/>
  <c r="AA1337" i="475"/>
  <c r="Z1337" i="475"/>
  <c r="X1337" i="475"/>
  <c r="G1337" i="475"/>
  <c r="E1337" i="475"/>
  <c r="B1337" i="475"/>
  <c r="AG1336" i="475"/>
  <c r="AC1336" i="475"/>
  <c r="AA1336" i="475"/>
  <c r="Z1336" i="475"/>
  <c r="X1336" i="475"/>
  <c r="G1336" i="475"/>
  <c r="E1336" i="475"/>
  <c r="B1336" i="475"/>
  <c r="AG1335" i="475"/>
  <c r="AC1335" i="475"/>
  <c r="AA1335" i="475"/>
  <c r="Z1335" i="475"/>
  <c r="X1335" i="475"/>
  <c r="G1335" i="475"/>
  <c r="E1335" i="475"/>
  <c r="B1335" i="475"/>
  <c r="AG1334" i="475"/>
  <c r="AC1334" i="475"/>
  <c r="AA1334" i="475"/>
  <c r="Z1334" i="475"/>
  <c r="X1334" i="475"/>
  <c r="G1334" i="475"/>
  <c r="E1334" i="475"/>
  <c r="B1334" i="475"/>
  <c r="AG1333" i="475"/>
  <c r="AC1333" i="475"/>
  <c r="AA1333" i="475"/>
  <c r="Z1333" i="475"/>
  <c r="AG1332" i="475"/>
  <c r="AC1332" i="475"/>
  <c r="AA1332" i="475"/>
  <c r="Z1332" i="475"/>
  <c r="AG1331" i="475"/>
  <c r="AC1331" i="475"/>
  <c r="AA1331" i="475"/>
  <c r="Z1331" i="475"/>
  <c r="X1331" i="475"/>
  <c r="G1331" i="475"/>
  <c r="E1331" i="475"/>
  <c r="B1331" i="475"/>
  <c r="AG1330" i="475"/>
  <c r="AC1330" i="475"/>
  <c r="AA1330" i="475"/>
  <c r="Z1330" i="475"/>
  <c r="X1330" i="475"/>
  <c r="G1330" i="475"/>
  <c r="E1330" i="475"/>
  <c r="B1330" i="475"/>
  <c r="AG1329" i="475"/>
  <c r="AC1329" i="475"/>
  <c r="AA1329" i="475"/>
  <c r="Z1329" i="475"/>
  <c r="X1329" i="475"/>
  <c r="G1329" i="475"/>
  <c r="E1329" i="475"/>
  <c r="B1329" i="475"/>
  <c r="AG1328" i="475"/>
  <c r="AC1328" i="475"/>
  <c r="AA1328" i="475"/>
  <c r="Z1328" i="475"/>
  <c r="X1328" i="475"/>
  <c r="G1328" i="475"/>
  <c r="E1328" i="475"/>
  <c r="B1328" i="475"/>
  <c r="AG1327" i="475"/>
  <c r="AC1327" i="475"/>
  <c r="AA1327" i="475"/>
  <c r="Z1327" i="475"/>
  <c r="X1327" i="475"/>
  <c r="G1327" i="475"/>
  <c r="E1327" i="475"/>
  <c r="B1327" i="475"/>
  <c r="AG1326" i="475"/>
  <c r="AC1326" i="475"/>
  <c r="AA1326" i="475"/>
  <c r="Z1326" i="475"/>
  <c r="X1326" i="475"/>
  <c r="G1326" i="475"/>
  <c r="E1326" i="475"/>
  <c r="B1326" i="475"/>
  <c r="AG1323" i="475"/>
  <c r="AC1323" i="475"/>
  <c r="AA1323" i="475"/>
  <c r="Z1323" i="475"/>
  <c r="X1323" i="475"/>
  <c r="G1323" i="475"/>
  <c r="E1323" i="475"/>
  <c r="B1323" i="475"/>
  <c r="AG1322" i="475"/>
  <c r="AC1322" i="475"/>
  <c r="AA1322" i="475"/>
  <c r="Z1322" i="475"/>
  <c r="X1322" i="475"/>
  <c r="G1322" i="475"/>
  <c r="E1322" i="475"/>
  <c r="B1322" i="475"/>
  <c r="AG1321" i="475"/>
  <c r="AC1321" i="475"/>
  <c r="AA1321" i="475"/>
  <c r="Z1321" i="475"/>
  <c r="X1321" i="475"/>
  <c r="G1321" i="475"/>
  <c r="E1321" i="475"/>
  <c r="B1321" i="475"/>
  <c r="AG1320" i="475"/>
  <c r="AC1320" i="475"/>
  <c r="AA1320" i="475"/>
  <c r="Z1320" i="475"/>
  <c r="X1320" i="475"/>
  <c r="G1320" i="475"/>
  <c r="E1320" i="475"/>
  <c r="B1320" i="475"/>
  <c r="AG1319" i="475"/>
  <c r="AC1319" i="475"/>
  <c r="AA1319" i="475"/>
  <c r="Z1319" i="475"/>
  <c r="X1319" i="475"/>
  <c r="G1319" i="475"/>
  <c r="E1319" i="475"/>
  <c r="B1319" i="475"/>
  <c r="AG1318" i="475"/>
  <c r="AC1318" i="475"/>
  <c r="AA1318" i="475"/>
  <c r="Z1318" i="475"/>
  <c r="X1318" i="475"/>
  <c r="G1318" i="475"/>
  <c r="E1318" i="475"/>
  <c r="B1318" i="475"/>
  <c r="AG1315" i="475"/>
  <c r="AC1315" i="475"/>
  <c r="AA1315" i="475"/>
  <c r="Z1315" i="475"/>
  <c r="X1315" i="475"/>
  <c r="G1315" i="475"/>
  <c r="E1315" i="475"/>
  <c r="B1315" i="475"/>
  <c r="AG1314" i="475"/>
  <c r="AC1314" i="475"/>
  <c r="AA1314" i="475"/>
  <c r="Z1314" i="475"/>
  <c r="X1314" i="475"/>
  <c r="G1314" i="475"/>
  <c r="E1314" i="475"/>
  <c r="B1314" i="475"/>
  <c r="AG1313" i="475"/>
  <c r="AC1313" i="475"/>
  <c r="AA1313" i="475"/>
  <c r="Z1313" i="475"/>
  <c r="X1313" i="475"/>
  <c r="G1313" i="475"/>
  <c r="E1313" i="475"/>
  <c r="B1313" i="475"/>
  <c r="AG1312" i="475"/>
  <c r="AC1312" i="475"/>
  <c r="AA1312" i="475"/>
  <c r="Z1312" i="475"/>
  <c r="X1312" i="475"/>
  <c r="G1312" i="475"/>
  <c r="E1312" i="475"/>
  <c r="B1312" i="475"/>
  <c r="AG1311" i="475"/>
  <c r="AC1311" i="475"/>
  <c r="AA1311" i="475"/>
  <c r="Z1311" i="475"/>
  <c r="X1311" i="475"/>
  <c r="G1311" i="475"/>
  <c r="E1311" i="475"/>
  <c r="B1311" i="475"/>
  <c r="AG1310" i="475"/>
  <c r="AC1310" i="475"/>
  <c r="AA1310" i="475"/>
  <c r="Z1310" i="475"/>
  <c r="X1310" i="475"/>
  <c r="G1310" i="475"/>
  <c r="E1310" i="475"/>
  <c r="B1310" i="475"/>
  <c r="AG1307" i="475"/>
  <c r="AC1307" i="475"/>
  <c r="AA1307" i="475"/>
  <c r="Z1307" i="475"/>
  <c r="X1307" i="475"/>
  <c r="G1307" i="475"/>
  <c r="E1307" i="475"/>
  <c r="B1307" i="475"/>
  <c r="AG1306" i="475"/>
  <c r="AC1306" i="475"/>
  <c r="AA1306" i="475"/>
  <c r="Z1306" i="475"/>
  <c r="X1306" i="475"/>
  <c r="G1306" i="475"/>
  <c r="E1306" i="475"/>
  <c r="B1306" i="475"/>
  <c r="AG1305" i="475"/>
  <c r="AC1305" i="475"/>
  <c r="AA1305" i="475"/>
  <c r="Z1305" i="475"/>
  <c r="X1305" i="475"/>
  <c r="G1305" i="475"/>
  <c r="E1305" i="475"/>
  <c r="B1305" i="475"/>
  <c r="AG1304" i="475"/>
  <c r="AC1304" i="475"/>
  <c r="AA1304" i="475"/>
  <c r="Z1304" i="475"/>
  <c r="X1304" i="475"/>
  <c r="G1304" i="475"/>
  <c r="E1304" i="475"/>
  <c r="B1304" i="475"/>
  <c r="AG1303" i="475"/>
  <c r="AC1303" i="475"/>
  <c r="AA1303" i="475"/>
  <c r="Z1303" i="475"/>
  <c r="X1303" i="475"/>
  <c r="G1303" i="475"/>
  <c r="E1303" i="475"/>
  <c r="B1303" i="475"/>
  <c r="AG1302" i="475"/>
  <c r="AC1302" i="475"/>
  <c r="AA1302" i="475"/>
  <c r="Z1302" i="475"/>
  <c r="X1302" i="475"/>
  <c r="G1302" i="475"/>
  <c r="E1302" i="475"/>
  <c r="B1302" i="475"/>
  <c r="AG1301" i="475"/>
  <c r="AC1301" i="475"/>
  <c r="AA1301" i="475"/>
  <c r="Z1301" i="475"/>
  <c r="G1301" i="475"/>
  <c r="E1301" i="475"/>
  <c r="B1301" i="475"/>
  <c r="AG1298" i="475"/>
  <c r="AC1298" i="475"/>
  <c r="AA1298" i="475"/>
  <c r="Z1298" i="475"/>
  <c r="X1298" i="475"/>
  <c r="G1298" i="475"/>
  <c r="E1298" i="475"/>
  <c r="B1298" i="475"/>
  <c r="AG1297" i="475"/>
  <c r="AC1297" i="475"/>
  <c r="AA1297" i="475"/>
  <c r="Z1297" i="475"/>
  <c r="X1297" i="475"/>
  <c r="G1297" i="475"/>
  <c r="E1297" i="475"/>
  <c r="B1297" i="475"/>
  <c r="AG1296" i="475"/>
  <c r="AC1296" i="475"/>
  <c r="AA1296" i="475"/>
  <c r="Z1296" i="475"/>
  <c r="X1296" i="475"/>
  <c r="G1296" i="475"/>
  <c r="E1296" i="475"/>
  <c r="B1296" i="475"/>
  <c r="AG1295" i="475"/>
  <c r="AC1295" i="475"/>
  <c r="AA1295" i="475"/>
  <c r="Z1295" i="475"/>
  <c r="X1295" i="475"/>
  <c r="G1295" i="475"/>
  <c r="E1295" i="475"/>
  <c r="B1295" i="475"/>
  <c r="AG1292" i="475"/>
  <c r="AC1292" i="475"/>
  <c r="AA1292" i="475"/>
  <c r="Z1292" i="475"/>
  <c r="X1292" i="475"/>
  <c r="G1292" i="475"/>
  <c r="E1292" i="475"/>
  <c r="B1292" i="475"/>
  <c r="AG1291" i="475"/>
  <c r="AC1291" i="475"/>
  <c r="AA1291" i="475"/>
  <c r="Z1291" i="475"/>
  <c r="X1291" i="475"/>
  <c r="G1291" i="475"/>
  <c r="E1291" i="475"/>
  <c r="B1291" i="475"/>
  <c r="AG1290" i="475"/>
  <c r="AC1290" i="475"/>
  <c r="AA1290" i="475"/>
  <c r="Z1290" i="475"/>
  <c r="X1290" i="475"/>
  <c r="G1290" i="475"/>
  <c r="E1290" i="475"/>
  <c r="B1290" i="475"/>
  <c r="AG1289" i="475"/>
  <c r="AC1289" i="475"/>
  <c r="AA1289" i="475"/>
  <c r="Z1289" i="475"/>
  <c r="X1289" i="475"/>
  <c r="G1289" i="475"/>
  <c r="E1289" i="475"/>
  <c r="B1289" i="475"/>
  <c r="AG1286" i="475"/>
  <c r="AC1286" i="475"/>
  <c r="AA1286" i="475"/>
  <c r="Z1286" i="475"/>
  <c r="X1286" i="475"/>
  <c r="G1286" i="475"/>
  <c r="E1286" i="475"/>
  <c r="B1286" i="475"/>
  <c r="AG1285" i="475"/>
  <c r="AC1285" i="475"/>
  <c r="AA1285" i="475"/>
  <c r="Z1285" i="475"/>
  <c r="X1285" i="475"/>
  <c r="G1285" i="475"/>
  <c r="E1285" i="475"/>
  <c r="B1285" i="475"/>
  <c r="AG1284" i="475"/>
  <c r="AC1284" i="475"/>
  <c r="AA1284" i="475"/>
  <c r="Z1284" i="475"/>
  <c r="X1284" i="475"/>
  <c r="G1284" i="475"/>
  <c r="E1284" i="475"/>
  <c r="B1284" i="475"/>
  <c r="AG1283" i="475"/>
  <c r="AC1283" i="475"/>
  <c r="AA1283" i="475"/>
  <c r="Z1283" i="475"/>
  <c r="X1283" i="475"/>
  <c r="G1283" i="475"/>
  <c r="E1283" i="475"/>
  <c r="B1283" i="475"/>
  <c r="AG1282" i="475"/>
  <c r="AC1282" i="475"/>
  <c r="AA1282" i="475"/>
  <c r="Z1282" i="475"/>
  <c r="X1282" i="475"/>
  <c r="G1282" i="475"/>
  <c r="E1282" i="475"/>
  <c r="B1282" i="475"/>
  <c r="AG1281" i="475"/>
  <c r="AC1281" i="475"/>
  <c r="AA1281" i="475"/>
  <c r="Z1281" i="475"/>
  <c r="X1281" i="475"/>
  <c r="G1281" i="475"/>
  <c r="E1281" i="475"/>
  <c r="B1281" i="475"/>
  <c r="AG1280" i="475"/>
  <c r="AC1280" i="475"/>
  <c r="AA1280" i="475"/>
  <c r="Z1280" i="475"/>
  <c r="X1280" i="475"/>
  <c r="B1280" i="475"/>
  <c r="AG1278" i="475"/>
  <c r="AC1278" i="475"/>
  <c r="AA1278" i="475"/>
  <c r="Z1278" i="475"/>
  <c r="X1278" i="475"/>
  <c r="G1278" i="475"/>
  <c r="E1278" i="475"/>
  <c r="B1278" i="475"/>
  <c r="AG1277" i="475"/>
  <c r="AC1277" i="475"/>
  <c r="AA1277" i="475"/>
  <c r="Z1277" i="475"/>
  <c r="X1277" i="475"/>
  <c r="G1277" i="475"/>
  <c r="E1277" i="475"/>
  <c r="B1277" i="475"/>
  <c r="AG1276" i="475"/>
  <c r="AC1276" i="475"/>
  <c r="AA1276" i="475"/>
  <c r="Z1276" i="475"/>
  <c r="X1276" i="475"/>
  <c r="G1276" i="475"/>
  <c r="E1276" i="475"/>
  <c r="B1276" i="475"/>
  <c r="AG1275" i="475"/>
  <c r="AC1275" i="475"/>
  <c r="AA1275" i="475"/>
  <c r="Z1275" i="475"/>
  <c r="X1275" i="475"/>
  <c r="G1275" i="475"/>
  <c r="E1275" i="475"/>
  <c r="B1275" i="475"/>
  <c r="AG1274" i="475"/>
  <c r="AC1274" i="475"/>
  <c r="AA1274" i="475"/>
  <c r="Z1274" i="475"/>
  <c r="X1274" i="475"/>
  <c r="G1274" i="475"/>
  <c r="E1274" i="475"/>
  <c r="B1274" i="475"/>
  <c r="AG1273" i="475"/>
  <c r="AC1273" i="475"/>
  <c r="AA1273" i="475"/>
  <c r="Z1273" i="475"/>
  <c r="X1273" i="475"/>
  <c r="G1273" i="475"/>
  <c r="E1273" i="475"/>
  <c r="B1273" i="475"/>
  <c r="AG1272" i="475"/>
  <c r="AC1272" i="475"/>
  <c r="AA1272" i="475"/>
  <c r="Z1272" i="475"/>
  <c r="X1272" i="475"/>
  <c r="G1272" i="475"/>
  <c r="E1272" i="475"/>
  <c r="B1272" i="475"/>
  <c r="AG1271" i="475"/>
  <c r="AC1271" i="475"/>
  <c r="AA1271" i="475"/>
  <c r="Z1271" i="475"/>
  <c r="X1271" i="475"/>
  <c r="B1271" i="475"/>
  <c r="AG1268" i="475"/>
  <c r="AC1268" i="475"/>
  <c r="AA1268" i="475"/>
  <c r="Z1268" i="475"/>
  <c r="X1268" i="475"/>
  <c r="G1268" i="475"/>
  <c r="E1268" i="475"/>
  <c r="B1268" i="475"/>
  <c r="AG1267" i="475"/>
  <c r="AC1267" i="475"/>
  <c r="AA1267" i="475"/>
  <c r="Z1267" i="475"/>
  <c r="X1267" i="475"/>
  <c r="G1267" i="475"/>
  <c r="E1267" i="475"/>
  <c r="B1267" i="475"/>
  <c r="AG1266" i="475"/>
  <c r="AC1266" i="475"/>
  <c r="AA1266" i="475"/>
  <c r="Z1266" i="475"/>
  <c r="X1266" i="475"/>
  <c r="G1266" i="475"/>
  <c r="E1266" i="475"/>
  <c r="B1266" i="475"/>
  <c r="AG1265" i="475"/>
  <c r="AC1265" i="475"/>
  <c r="AA1265" i="475"/>
  <c r="Z1265" i="475"/>
  <c r="X1265" i="475"/>
  <c r="G1265" i="475"/>
  <c r="E1265" i="475"/>
  <c r="B1265" i="475"/>
  <c r="AG1264" i="475"/>
  <c r="AC1264" i="475"/>
  <c r="AA1264" i="475"/>
  <c r="Z1264" i="475"/>
  <c r="X1264" i="475"/>
  <c r="G1264" i="475"/>
  <c r="E1264" i="475"/>
  <c r="B1264" i="475"/>
  <c r="AG1263" i="475"/>
  <c r="AC1263" i="475"/>
  <c r="AA1263" i="475"/>
  <c r="Z1263" i="475"/>
  <c r="X1263" i="475"/>
  <c r="G1263" i="475"/>
  <c r="E1263" i="475"/>
  <c r="B1263" i="475"/>
  <c r="G1262" i="475"/>
  <c r="E1262" i="475"/>
  <c r="B1262" i="475"/>
  <c r="AG1261" i="475"/>
  <c r="AC1261" i="475"/>
  <c r="AA1261" i="475"/>
  <c r="Z1261" i="475"/>
  <c r="X1261" i="475"/>
  <c r="G1259" i="475"/>
  <c r="E1259" i="475"/>
  <c r="B1259" i="475"/>
  <c r="B1258" i="475"/>
  <c r="B1257" i="475"/>
  <c r="B1256" i="475"/>
  <c r="B1255" i="475"/>
  <c r="B1254" i="475"/>
  <c r="B1253" i="475"/>
  <c r="B1252" i="475"/>
  <c r="B1251" i="475"/>
  <c r="B1250" i="475"/>
  <c r="B1249" i="475"/>
  <c r="B1248" i="475"/>
  <c r="G1247" i="475"/>
  <c r="E1247" i="475"/>
  <c r="B1247" i="475"/>
  <c r="G1246" i="475"/>
  <c r="E1246" i="475"/>
  <c r="B1246" i="475"/>
  <c r="B1244" i="475"/>
  <c r="B1243" i="475"/>
  <c r="B1242" i="475"/>
  <c r="B1241" i="475"/>
  <c r="B1240" i="475"/>
  <c r="B1239" i="475"/>
  <c r="B1238" i="475"/>
  <c r="B1237" i="475"/>
  <c r="B1236" i="475"/>
  <c r="B1235" i="475"/>
  <c r="B1233" i="475"/>
  <c r="B1232" i="475"/>
  <c r="B1231" i="475"/>
  <c r="B1230" i="475"/>
  <c r="B1229" i="475"/>
  <c r="B1225" i="475"/>
  <c r="B1224" i="475"/>
  <c r="B1223" i="475"/>
  <c r="B1222" i="475"/>
  <c r="B1221" i="475"/>
  <c r="B1217" i="475"/>
  <c r="B1216" i="475"/>
  <c r="B1215" i="475"/>
  <c r="B1214" i="475"/>
  <c r="B1213" i="475"/>
  <c r="B1212" i="475"/>
  <c r="B1211" i="475"/>
  <c r="B1210" i="475"/>
  <c r="B1209" i="475"/>
  <c r="B1208" i="475"/>
  <c r="B1207" i="475"/>
  <c r="B1206" i="475"/>
  <c r="B1205" i="475"/>
  <c r="B1203" i="475"/>
  <c r="B1202" i="475"/>
  <c r="B1201" i="475"/>
  <c r="B1200" i="475"/>
  <c r="B1199" i="475"/>
  <c r="B1198" i="475"/>
  <c r="B1197" i="475"/>
  <c r="B1195" i="475"/>
  <c r="B1194" i="475"/>
  <c r="B1193" i="475"/>
  <c r="B1192" i="475"/>
  <c r="B1191" i="475"/>
  <c r="B1190" i="475"/>
  <c r="B1189" i="475"/>
  <c r="B1188" i="475"/>
  <c r="B1187" i="475"/>
  <c r="B1186" i="475"/>
  <c r="B1185" i="475"/>
  <c r="B1184" i="475"/>
  <c r="B1183" i="475"/>
  <c r="B1181" i="475"/>
  <c r="B1180" i="475"/>
  <c r="B1179" i="475"/>
  <c r="B1178" i="475"/>
  <c r="B1177" i="475"/>
  <c r="B1176" i="475"/>
  <c r="B1175" i="475"/>
  <c r="B1174" i="475"/>
  <c r="B1172" i="475"/>
  <c r="B1171" i="475"/>
  <c r="B1170" i="475"/>
  <c r="B1169" i="475"/>
  <c r="B1168" i="475"/>
  <c r="B1167" i="475"/>
  <c r="B1166" i="475"/>
  <c r="B1165" i="475"/>
  <c r="B1164" i="475"/>
  <c r="B1163" i="475"/>
  <c r="B1162" i="475"/>
  <c r="B1160" i="475"/>
  <c r="B1159" i="475"/>
  <c r="B1158" i="475"/>
  <c r="B1157" i="475"/>
  <c r="B1156" i="475"/>
  <c r="B1155" i="475"/>
  <c r="B1154" i="475"/>
  <c r="B1153" i="475"/>
  <c r="B1152" i="475"/>
  <c r="B1151" i="475"/>
  <c r="B1149" i="475"/>
  <c r="B1148" i="475"/>
  <c r="B1147" i="475"/>
  <c r="B1146" i="475"/>
  <c r="B1145" i="475"/>
  <c r="B1144" i="475"/>
  <c r="B1143" i="475"/>
  <c r="B1142" i="475"/>
  <c r="B1141" i="475"/>
  <c r="B1140" i="475"/>
  <c r="B1139" i="475"/>
  <c r="B1138" i="475"/>
  <c r="B1137" i="475"/>
  <c r="B1136" i="475"/>
  <c r="B1135" i="475"/>
  <c r="B1134" i="475"/>
  <c r="B1133" i="475"/>
  <c r="B1129" i="475"/>
  <c r="B1128" i="475"/>
  <c r="B1127" i="475"/>
  <c r="B1126" i="475"/>
  <c r="B1125" i="475"/>
  <c r="B1124" i="475"/>
  <c r="B1123" i="475"/>
  <c r="B1122" i="475"/>
  <c r="B1121" i="475"/>
  <c r="B1120" i="475"/>
  <c r="B1119" i="475"/>
  <c r="B1117" i="475"/>
  <c r="B1116" i="475"/>
  <c r="B1111" i="475"/>
  <c r="B1110" i="475"/>
  <c r="B1109" i="475"/>
  <c r="B1102" i="475"/>
  <c r="B1101" i="475"/>
  <c r="B1100" i="475"/>
  <c r="B1099" i="475"/>
  <c r="B1098" i="475"/>
  <c r="B1097" i="475"/>
  <c r="B1096" i="475"/>
  <c r="B1095" i="475"/>
  <c r="B1093" i="475"/>
  <c r="B1092" i="475"/>
  <c r="B1091" i="475"/>
  <c r="B1090" i="475"/>
  <c r="B1089" i="475"/>
  <c r="B1088" i="475"/>
  <c r="B1087" i="475"/>
  <c r="B1086" i="475"/>
  <c r="B1085" i="475"/>
  <c r="B1084" i="475"/>
  <c r="B1079" i="475"/>
  <c r="B1078" i="475"/>
  <c r="B1077" i="475"/>
  <c r="B1076" i="475"/>
  <c r="B1075" i="475"/>
  <c r="B1073" i="475"/>
  <c r="B1072" i="475"/>
  <c r="B1071" i="475"/>
  <c r="B1070" i="475"/>
  <c r="B1069" i="475"/>
  <c r="B1068" i="475"/>
  <c r="B1066" i="475"/>
  <c r="B1065" i="475"/>
  <c r="B1064" i="475"/>
  <c r="B1063" i="475"/>
  <c r="B1062" i="475"/>
  <c r="B1061" i="475"/>
  <c r="B1059" i="475"/>
  <c r="B1058" i="475"/>
  <c r="B1057" i="475"/>
  <c r="B1056" i="475"/>
  <c r="B1055" i="475"/>
  <c r="B1054" i="475"/>
  <c r="B1052" i="475"/>
  <c r="B1051" i="475"/>
  <c r="B1049" i="475"/>
  <c r="B1048" i="475"/>
  <c r="B1047" i="475"/>
  <c r="B1046" i="475"/>
  <c r="B1045" i="475"/>
  <c r="B1044" i="475"/>
  <c r="B1041" i="475"/>
  <c r="B1040" i="475"/>
  <c r="B1039" i="475"/>
  <c r="B1038" i="475"/>
  <c r="B1037" i="475"/>
  <c r="B1036" i="475"/>
  <c r="B1035" i="475"/>
  <c r="B1034" i="475"/>
  <c r="B1033" i="475"/>
  <c r="B1032" i="475"/>
  <c r="B1031" i="475"/>
  <c r="B1030" i="475"/>
  <c r="B1024" i="475"/>
  <c r="B1023" i="475"/>
  <c r="B1022" i="475"/>
  <c r="B1021" i="475"/>
  <c r="B1020" i="475"/>
  <c r="B1019" i="475"/>
  <c r="B1018" i="475"/>
  <c r="B1016" i="475"/>
  <c r="B1015" i="475"/>
  <c r="B1014" i="475"/>
  <c r="B1013" i="475"/>
  <c r="B1012" i="475"/>
  <c r="B1011" i="475"/>
  <c r="B1010" i="475"/>
  <c r="B1009" i="475"/>
  <c r="B1008" i="475"/>
  <c r="B1006" i="475"/>
  <c r="B1005" i="475"/>
  <c r="B1003" i="475"/>
  <c r="B1002" i="475"/>
  <c r="B1000" i="475"/>
  <c r="B999" i="475"/>
  <c r="B998" i="475"/>
  <c r="B997" i="475"/>
  <c r="B995" i="475"/>
  <c r="B994" i="475"/>
  <c r="B993" i="475"/>
  <c r="B992" i="475"/>
  <c r="B990" i="475"/>
  <c r="B989" i="475"/>
  <c r="B988" i="475"/>
  <c r="B987" i="475"/>
  <c r="B986" i="475"/>
  <c r="B985" i="475"/>
  <c r="B984" i="475"/>
  <c r="B983" i="475"/>
  <c r="B982" i="475"/>
  <c r="B981" i="475"/>
  <c r="B980" i="475"/>
  <c r="B979" i="475"/>
  <c r="B978" i="475"/>
  <c r="B977" i="475"/>
  <c r="B976" i="475"/>
  <c r="B975" i="475"/>
  <c r="B974" i="475"/>
  <c r="B968" i="475"/>
  <c r="B967" i="475"/>
  <c r="B966" i="475"/>
  <c r="B965" i="475"/>
  <c r="B964" i="475"/>
  <c r="B962" i="475"/>
  <c r="B961" i="475"/>
  <c r="B960" i="475"/>
  <c r="B959" i="475"/>
  <c r="B958" i="475"/>
  <c r="B957" i="475"/>
  <c r="B954" i="475"/>
  <c r="B953" i="475"/>
  <c r="B951" i="475"/>
  <c r="B950" i="475"/>
  <c r="B949" i="475"/>
  <c r="B947" i="475"/>
  <c r="B946" i="475"/>
  <c r="B945" i="475"/>
  <c r="B944" i="475"/>
  <c r="B943" i="475"/>
  <c r="B942" i="475"/>
  <c r="B941" i="475"/>
  <c r="B939" i="475"/>
  <c r="B934" i="475"/>
  <c r="B933" i="475"/>
  <c r="B932" i="475"/>
  <c r="B931" i="475"/>
  <c r="B930" i="475"/>
  <c r="B927" i="475"/>
  <c r="B925" i="475"/>
  <c r="B924" i="475"/>
  <c r="B923" i="475"/>
  <c r="B918" i="475"/>
  <c r="B917" i="475"/>
  <c r="B916" i="475"/>
  <c r="B915" i="475"/>
  <c r="B914" i="475"/>
  <c r="B913" i="475"/>
  <c r="B910" i="475"/>
  <c r="B909" i="475"/>
  <c r="B908" i="475"/>
  <c r="B906" i="475"/>
  <c r="B905" i="475"/>
  <c r="B904" i="475"/>
  <c r="B903" i="475"/>
  <c r="B901" i="475"/>
  <c r="B900" i="475"/>
  <c r="B899" i="475"/>
  <c r="B898" i="475"/>
  <c r="B897" i="475"/>
  <c r="B896" i="475"/>
  <c r="B895" i="475"/>
  <c r="B894" i="475"/>
  <c r="B892" i="475"/>
  <c r="B891" i="475"/>
  <c r="B890" i="475"/>
  <c r="B889" i="475"/>
  <c r="B888" i="475"/>
  <c r="B887" i="475"/>
  <c r="B886" i="475"/>
  <c r="B884" i="475"/>
  <c r="B883" i="475"/>
  <c r="B882" i="475"/>
  <c r="B881" i="475"/>
  <c r="B880" i="475"/>
  <c r="B879" i="475"/>
  <c r="B878" i="475"/>
  <c r="B877" i="475"/>
  <c r="B875" i="475"/>
  <c r="B874" i="475"/>
  <c r="B872" i="475"/>
  <c r="B870" i="475"/>
  <c r="B869" i="475"/>
  <c r="B868" i="475"/>
  <c r="B867" i="475"/>
  <c r="B866" i="475"/>
  <c r="B865" i="475"/>
  <c r="B863" i="475"/>
  <c r="B862" i="475"/>
  <c r="B861" i="475"/>
  <c r="G860" i="475"/>
  <c r="E860" i="475"/>
  <c r="B860" i="475"/>
  <c r="B859" i="475"/>
  <c r="B858" i="475"/>
  <c r="B857" i="475"/>
  <c r="B856" i="475"/>
  <c r="B855" i="475"/>
  <c r="B852" i="475"/>
  <c r="B851" i="475"/>
  <c r="B850" i="475"/>
  <c r="B849" i="475"/>
  <c r="B848" i="475"/>
  <c r="B846" i="475"/>
  <c r="B845" i="475"/>
  <c r="B844" i="475"/>
  <c r="B843" i="475"/>
  <c r="B842" i="475"/>
  <c r="B841" i="475"/>
  <c r="B840" i="475"/>
  <c r="B838" i="475"/>
  <c r="G837" i="475"/>
  <c r="E837" i="475"/>
  <c r="B837" i="475"/>
  <c r="B836" i="475"/>
  <c r="B835" i="475"/>
  <c r="B834" i="475"/>
  <c r="B833" i="475"/>
  <c r="B832" i="475"/>
  <c r="B828" i="475"/>
  <c r="B827" i="475"/>
  <c r="B826" i="475"/>
  <c r="B825" i="475"/>
  <c r="B823" i="475"/>
  <c r="B822" i="475"/>
  <c r="B821" i="475"/>
  <c r="B820" i="475"/>
  <c r="B819" i="475"/>
  <c r="B818" i="475"/>
  <c r="B817" i="475"/>
  <c r="B816" i="475"/>
  <c r="B815" i="475"/>
  <c r="B814" i="475"/>
  <c r="B813" i="475"/>
  <c r="B812" i="475"/>
  <c r="B811" i="475"/>
  <c r="B810" i="475"/>
  <c r="B809" i="475"/>
  <c r="B808" i="475"/>
  <c r="B807" i="475"/>
  <c r="B806" i="475"/>
  <c r="B805" i="475"/>
  <c r="B804" i="475"/>
  <c r="B803" i="475"/>
  <c r="B802" i="475"/>
  <c r="B801" i="475"/>
  <c r="B800" i="475"/>
  <c r="B799" i="475"/>
  <c r="B798" i="475"/>
  <c r="B797" i="475"/>
  <c r="B795" i="475"/>
  <c r="B794" i="475"/>
  <c r="B793" i="475"/>
  <c r="B792" i="475"/>
  <c r="B791" i="475"/>
  <c r="B790" i="475"/>
  <c r="B789" i="475"/>
  <c r="B788" i="475"/>
  <c r="B787" i="475"/>
  <c r="B786" i="475"/>
  <c r="B785" i="475"/>
  <c r="B784" i="475"/>
  <c r="B783" i="475"/>
  <c r="B782" i="475"/>
  <c r="B781" i="475"/>
  <c r="B780" i="475"/>
  <c r="B779" i="475"/>
  <c r="B778" i="475"/>
  <c r="B777" i="475"/>
  <c r="B776" i="475"/>
  <c r="B775" i="475"/>
  <c r="B774" i="475"/>
  <c r="B770" i="475"/>
  <c r="B769" i="475"/>
  <c r="B768" i="475"/>
  <c r="B767" i="475"/>
  <c r="B766" i="475"/>
  <c r="B765" i="475"/>
  <c r="B764" i="475"/>
  <c r="B763" i="475"/>
  <c r="B762" i="475"/>
  <c r="B761" i="475"/>
  <c r="B759" i="475"/>
  <c r="B758" i="475"/>
  <c r="B757" i="475"/>
  <c r="B756" i="475"/>
  <c r="B755" i="475"/>
  <c r="B754" i="475"/>
  <c r="B752" i="475"/>
  <c r="B751" i="475"/>
  <c r="B750" i="475"/>
  <c r="B749" i="475"/>
  <c r="B748" i="475"/>
  <c r="B747" i="475"/>
  <c r="B746" i="475"/>
  <c r="B744" i="475"/>
  <c r="B743" i="475"/>
  <c r="B742" i="475"/>
  <c r="B741" i="475"/>
  <c r="B740" i="475"/>
  <c r="B739" i="475"/>
  <c r="B738" i="475"/>
  <c r="B736" i="475"/>
  <c r="B735" i="475"/>
  <c r="B734" i="475"/>
  <c r="B733" i="475"/>
  <c r="B732" i="475"/>
  <c r="B731" i="475"/>
  <c r="B729" i="475"/>
  <c r="B728" i="475"/>
  <c r="B727" i="475"/>
  <c r="B726" i="475"/>
  <c r="B725" i="475"/>
  <c r="B724" i="475"/>
  <c r="B723" i="475"/>
  <c r="B721" i="475"/>
  <c r="B720" i="475"/>
  <c r="B719" i="475"/>
  <c r="B718" i="475"/>
  <c r="B717" i="475"/>
  <c r="B716" i="475"/>
  <c r="B715" i="475"/>
  <c r="B713" i="475"/>
  <c r="B712" i="475"/>
  <c r="B711" i="475"/>
  <c r="B710" i="475"/>
  <c r="B709" i="475"/>
  <c r="B708" i="475"/>
  <c r="B706" i="475"/>
  <c r="B705" i="475"/>
  <c r="B704" i="475"/>
  <c r="B703" i="475"/>
  <c r="B702" i="475"/>
  <c r="B701" i="475"/>
  <c r="B699" i="475"/>
  <c r="B698" i="475"/>
  <c r="B697" i="475"/>
  <c r="B696" i="475"/>
  <c r="B695" i="475"/>
  <c r="B694" i="475"/>
  <c r="B693" i="475"/>
  <c r="B691" i="475"/>
  <c r="B690" i="475"/>
  <c r="B689" i="475"/>
  <c r="B687" i="475"/>
  <c r="B686" i="475"/>
  <c r="B685" i="475"/>
  <c r="B684" i="475"/>
  <c r="B683" i="475"/>
  <c r="B682" i="475"/>
  <c r="B681" i="475"/>
  <c r="B680" i="475"/>
  <c r="B677" i="475"/>
  <c r="B676" i="475"/>
  <c r="B675" i="475"/>
  <c r="B674" i="475"/>
  <c r="B673" i="475"/>
  <c r="B672" i="475"/>
  <c r="B671" i="475"/>
  <c r="B670" i="475"/>
  <c r="B669" i="475"/>
  <c r="B668" i="475"/>
  <c r="B667" i="475"/>
  <c r="G666" i="475"/>
  <c r="E666" i="475"/>
  <c r="B666" i="475"/>
  <c r="B665" i="475"/>
  <c r="B663" i="475"/>
  <c r="B660" i="475"/>
  <c r="B659" i="475"/>
  <c r="B658" i="475"/>
  <c r="B657" i="475"/>
  <c r="B656" i="475"/>
  <c r="B655" i="475"/>
  <c r="B654" i="475"/>
  <c r="B653" i="475"/>
  <c r="B652" i="475"/>
  <c r="B651" i="475"/>
  <c r="B650" i="475"/>
  <c r="B649" i="475"/>
  <c r="B648" i="475"/>
  <c r="B647" i="475"/>
  <c r="B646" i="475"/>
  <c r="B645" i="475"/>
  <c r="B643" i="475"/>
  <c r="B642" i="475"/>
  <c r="B641" i="475"/>
  <c r="B640" i="475"/>
  <c r="B639" i="475"/>
  <c r="B638" i="475"/>
  <c r="B637" i="475"/>
  <c r="B636" i="475"/>
  <c r="B635" i="475"/>
  <c r="B633" i="475"/>
  <c r="B632" i="475"/>
  <c r="B631" i="475"/>
  <c r="B630" i="475"/>
  <c r="B628" i="475"/>
  <c r="B627" i="475"/>
  <c r="B626" i="475"/>
  <c r="B625" i="475"/>
  <c r="B624" i="475"/>
  <c r="B623" i="475"/>
  <c r="B622" i="475"/>
  <c r="B621" i="475"/>
  <c r="B620" i="475"/>
  <c r="B618" i="475"/>
  <c r="B617" i="475"/>
  <c r="B616" i="475"/>
  <c r="B615" i="475"/>
  <c r="B614" i="475"/>
  <c r="B609" i="475"/>
  <c r="B608" i="475"/>
  <c r="B607" i="475"/>
  <c r="B606" i="475"/>
  <c r="B605" i="475"/>
  <c r="B604" i="475"/>
  <c r="B603" i="475"/>
  <c r="B601" i="475"/>
  <c r="B600" i="475"/>
  <c r="B599" i="475"/>
  <c r="B598" i="475"/>
  <c r="B597" i="475"/>
  <c r="B595" i="475"/>
  <c r="B594" i="475"/>
  <c r="B593" i="475"/>
  <c r="B592" i="475"/>
  <c r="B591" i="475"/>
  <c r="B590" i="475"/>
  <c r="B589" i="475"/>
  <c r="B588" i="475"/>
  <c r="B587" i="475"/>
  <c r="B583" i="475"/>
  <c r="B582" i="475"/>
  <c r="G577" i="475"/>
  <c r="E577" i="475"/>
  <c r="B577" i="475"/>
  <c r="G576" i="475"/>
  <c r="E576" i="475"/>
  <c r="B576" i="475"/>
  <c r="B574" i="475"/>
  <c r="B573" i="475"/>
  <c r="H572" i="475"/>
  <c r="B572" i="475"/>
  <c r="B571" i="475"/>
  <c r="B570" i="475"/>
  <c r="B569" i="475"/>
  <c r="B568" i="475"/>
  <c r="B567" i="475"/>
  <c r="B566" i="475"/>
  <c r="B565" i="475"/>
  <c r="B564" i="475"/>
  <c r="B563" i="475"/>
  <c r="B562" i="475"/>
  <c r="B561" i="475"/>
  <c r="B560" i="475"/>
  <c r="B559" i="475"/>
  <c r="B558" i="475"/>
  <c r="G557" i="475"/>
  <c r="E557" i="475"/>
  <c r="B557" i="475"/>
  <c r="B556" i="475"/>
  <c r="B555" i="475"/>
  <c r="B551" i="475"/>
  <c r="B549" i="475"/>
  <c r="B547" i="475"/>
  <c r="B546" i="475"/>
  <c r="B545" i="475"/>
  <c r="B544" i="475"/>
  <c r="B543" i="475"/>
  <c r="B542" i="475"/>
  <c r="B541" i="475"/>
  <c r="B540" i="475"/>
  <c r="B539" i="475"/>
  <c r="B535" i="475"/>
  <c r="B534" i="475"/>
  <c r="B533" i="475"/>
  <c r="B532" i="475"/>
  <c r="B531" i="475"/>
  <c r="B530" i="475"/>
  <c r="B529" i="475"/>
  <c r="B528" i="475"/>
  <c r="B527" i="475"/>
  <c r="B526" i="475"/>
  <c r="B525" i="475"/>
  <c r="B524" i="475"/>
  <c r="B523" i="475"/>
  <c r="B522" i="475"/>
  <c r="B521" i="475"/>
  <c r="B520" i="475"/>
  <c r="B519" i="475"/>
  <c r="B518" i="475"/>
  <c r="B517" i="475"/>
  <c r="B516" i="475"/>
  <c r="B515" i="475"/>
  <c r="B514" i="475"/>
  <c r="B513" i="475"/>
  <c r="B512" i="475"/>
  <c r="B511" i="475"/>
  <c r="B510" i="475"/>
  <c r="B509" i="475"/>
  <c r="B508" i="475"/>
  <c r="B507" i="475"/>
  <c r="B506" i="475"/>
  <c r="B502" i="475"/>
  <c r="B501" i="475"/>
  <c r="B500" i="475"/>
  <c r="B499" i="475"/>
  <c r="B498" i="475"/>
  <c r="B497" i="475"/>
  <c r="B496" i="475"/>
  <c r="B495" i="475"/>
  <c r="B494" i="475"/>
  <c r="B493" i="475"/>
  <c r="B492" i="475"/>
  <c r="B491" i="475"/>
  <c r="B490" i="475"/>
  <c r="B489" i="475"/>
  <c r="B488" i="475"/>
  <c r="B487" i="475"/>
  <c r="B486" i="475"/>
  <c r="B485" i="475"/>
  <c r="B484" i="475"/>
  <c r="B483" i="475"/>
  <c r="B482" i="475"/>
  <c r="B481" i="475"/>
  <c r="B480" i="475"/>
  <c r="B479" i="475"/>
  <c r="B478" i="475"/>
  <c r="B477" i="475"/>
  <c r="B476" i="475"/>
  <c r="B475" i="475"/>
  <c r="B474" i="475"/>
  <c r="B473" i="475"/>
  <c r="B472" i="475"/>
  <c r="B471" i="475"/>
  <c r="B470" i="475"/>
  <c r="B469" i="475"/>
  <c r="B468" i="475"/>
  <c r="B467" i="475"/>
  <c r="B466" i="475"/>
  <c r="B465" i="475"/>
  <c r="B464" i="475"/>
  <c r="B463" i="475"/>
  <c r="B462" i="475"/>
  <c r="B461" i="475"/>
  <c r="B460" i="475"/>
  <c r="B459" i="475"/>
  <c r="B458" i="475"/>
  <c r="B457" i="475"/>
  <c r="B456" i="475"/>
  <c r="B455" i="475"/>
  <c r="B454" i="475"/>
  <c r="B453" i="475"/>
  <c r="B452" i="475"/>
  <c r="B451" i="475"/>
  <c r="B450" i="475"/>
  <c r="B449" i="475"/>
  <c r="B448" i="475"/>
  <c r="B447" i="475"/>
  <c r="B446" i="475"/>
  <c r="B445" i="475"/>
  <c r="B444" i="475"/>
  <c r="B443" i="475"/>
  <c r="B442" i="475"/>
  <c r="B441" i="475"/>
  <c r="B440" i="475"/>
  <c r="B439" i="475"/>
  <c r="B438" i="475"/>
  <c r="B437" i="475"/>
  <c r="B436" i="475"/>
  <c r="B435" i="475"/>
  <c r="B434" i="475"/>
  <c r="B433" i="475"/>
  <c r="B432" i="475"/>
  <c r="B431" i="475"/>
  <c r="B430" i="475"/>
  <c r="B429" i="475"/>
  <c r="B428" i="475"/>
  <c r="B427" i="475"/>
  <c r="B426" i="475"/>
  <c r="B425" i="475"/>
  <c r="B424" i="475"/>
  <c r="B423" i="475"/>
  <c r="B422" i="475"/>
  <c r="B421" i="475"/>
  <c r="B420" i="475"/>
  <c r="B419" i="475"/>
  <c r="B418" i="475"/>
  <c r="B417" i="475"/>
  <c r="B416" i="475"/>
  <c r="B415" i="475"/>
  <c r="B414" i="475"/>
  <c r="B413" i="475"/>
  <c r="B412" i="475"/>
  <c r="B411" i="475"/>
  <c r="B410" i="475"/>
  <c r="B409" i="475"/>
  <c r="B408" i="475"/>
  <c r="B407" i="475"/>
  <c r="B406" i="475"/>
  <c r="B405" i="475"/>
  <c r="B404" i="475"/>
  <c r="B403" i="475"/>
  <c r="B402" i="475"/>
  <c r="B401" i="475"/>
  <c r="B400" i="475"/>
  <c r="B399" i="475"/>
  <c r="B398" i="475"/>
  <c r="B397" i="475"/>
  <c r="B396" i="475"/>
  <c r="B395" i="475"/>
  <c r="B394" i="475"/>
  <c r="B393" i="475"/>
  <c r="B392" i="475"/>
  <c r="B391" i="475"/>
  <c r="B390" i="475"/>
  <c r="B389" i="475"/>
  <c r="B388" i="475"/>
  <c r="B387" i="475"/>
  <c r="B386" i="475"/>
  <c r="B385" i="475"/>
  <c r="B384" i="475"/>
  <c r="B383" i="475"/>
  <c r="B382" i="475"/>
  <c r="B381" i="475"/>
  <c r="B380" i="475"/>
  <c r="B379" i="475"/>
  <c r="B378" i="475"/>
  <c r="B377" i="475"/>
  <c r="B376" i="475"/>
  <c r="B375" i="475"/>
  <c r="B374" i="475"/>
  <c r="B373" i="475"/>
  <c r="B372" i="475"/>
  <c r="B371" i="475"/>
  <c r="B370" i="475"/>
  <c r="B369" i="475"/>
  <c r="B368" i="475"/>
  <c r="B367" i="475"/>
  <c r="B366" i="475"/>
  <c r="B365" i="475"/>
  <c r="B364" i="475"/>
  <c r="B363" i="475"/>
  <c r="B362" i="475"/>
  <c r="B361" i="475"/>
  <c r="B360" i="475"/>
  <c r="B359" i="475"/>
  <c r="B358" i="475"/>
  <c r="B357" i="475"/>
  <c r="B356" i="475"/>
  <c r="B355" i="475"/>
  <c r="B354" i="475"/>
  <c r="B353" i="475"/>
  <c r="B352" i="475"/>
  <c r="B351" i="475"/>
  <c r="B350" i="475"/>
  <c r="B349" i="475"/>
  <c r="B348" i="475"/>
  <c r="B347" i="475"/>
  <c r="B346" i="475"/>
  <c r="B345" i="475"/>
  <c r="B344" i="475"/>
  <c r="B343" i="475"/>
  <c r="B342" i="475"/>
  <c r="B341" i="475"/>
  <c r="B340" i="475"/>
  <c r="B339" i="475"/>
  <c r="B338" i="475"/>
  <c r="B337" i="475"/>
  <c r="B336" i="475"/>
  <c r="B335" i="475"/>
  <c r="B334" i="475"/>
  <c r="B333" i="475"/>
  <c r="B332" i="475"/>
  <c r="B331" i="475"/>
  <c r="B330" i="475"/>
  <c r="B329" i="475"/>
  <c r="B328" i="475"/>
  <c r="B327" i="475"/>
  <c r="B326" i="475"/>
  <c r="B325" i="475"/>
  <c r="B324" i="475"/>
  <c r="B323" i="475"/>
  <c r="B322" i="475"/>
  <c r="B321" i="475"/>
  <c r="B320" i="475"/>
  <c r="B319" i="475"/>
  <c r="B318" i="475"/>
  <c r="B317" i="475"/>
  <c r="B316" i="475"/>
  <c r="B315" i="475"/>
  <c r="B314" i="475"/>
  <c r="B313" i="475"/>
  <c r="B312" i="475"/>
  <c r="B311" i="475"/>
  <c r="B310" i="475"/>
  <c r="B309" i="475"/>
  <c r="B308" i="475"/>
  <c r="B298" i="475"/>
  <c r="B296" i="475"/>
  <c r="B294" i="475"/>
  <c r="B293" i="475"/>
  <c r="B291" i="475"/>
  <c r="B290" i="475"/>
  <c r="B289" i="475"/>
  <c r="B288" i="475"/>
  <c r="B287" i="475"/>
  <c r="B286" i="475"/>
  <c r="B285" i="475"/>
  <c r="B284" i="475"/>
  <c r="B283" i="475"/>
  <c r="B278" i="475"/>
  <c r="B277" i="475"/>
  <c r="B276" i="475"/>
  <c r="B275" i="475"/>
  <c r="B274" i="475"/>
  <c r="B273" i="475"/>
  <c r="B272" i="475"/>
  <c r="B271" i="475"/>
  <c r="B270" i="475"/>
  <c r="B269" i="475"/>
  <c r="B268" i="475"/>
  <c r="B267" i="475"/>
  <c r="B266" i="475"/>
  <c r="B265" i="475"/>
  <c r="B264" i="475"/>
  <c r="B263" i="475"/>
  <c r="B262" i="475"/>
  <c r="B261" i="475"/>
  <c r="B260" i="475"/>
  <c r="B259" i="475"/>
  <c r="B258" i="475"/>
  <c r="B257" i="475"/>
  <c r="B256" i="475"/>
  <c r="B255" i="475"/>
  <c r="B254" i="475"/>
  <c r="B253" i="475"/>
  <c r="B252" i="475"/>
  <c r="B251" i="475"/>
  <c r="B250" i="475"/>
  <c r="B248" i="475"/>
  <c r="B247" i="475"/>
  <c r="B246" i="475"/>
  <c r="B245" i="475"/>
  <c r="B243" i="475"/>
  <c r="B242" i="475"/>
  <c r="B241" i="475"/>
  <c r="B240" i="475"/>
  <c r="B238" i="475"/>
  <c r="B237" i="475"/>
  <c r="B236" i="475"/>
  <c r="B234" i="475"/>
  <c r="B233" i="475"/>
  <c r="B232" i="475"/>
  <c r="B231" i="475"/>
  <c r="B230" i="475"/>
  <c r="B229" i="475"/>
  <c r="B228" i="475"/>
  <c r="B227" i="475"/>
  <c r="B225" i="475"/>
  <c r="B224" i="475"/>
  <c r="B223" i="475"/>
  <c r="B222" i="475"/>
  <c r="B221" i="475"/>
  <c r="B220" i="475"/>
  <c r="B219" i="475"/>
  <c r="B218" i="475"/>
  <c r="B217" i="475"/>
  <c r="B216" i="475"/>
  <c r="B215" i="475"/>
  <c r="B214" i="475"/>
  <c r="B213" i="475"/>
  <c r="B212" i="475"/>
  <c r="B211" i="475"/>
  <c r="B210" i="475"/>
  <c r="B209" i="475"/>
  <c r="B208" i="475"/>
  <c r="B207" i="475"/>
  <c r="B206" i="475"/>
  <c r="B203" i="475"/>
  <c r="B202" i="475"/>
  <c r="B201" i="475"/>
  <c r="B200" i="475"/>
  <c r="B199" i="475"/>
  <c r="B198" i="475"/>
  <c r="B196" i="475"/>
  <c r="B195" i="475"/>
  <c r="B194" i="475"/>
  <c r="B193" i="475"/>
  <c r="B192" i="475"/>
  <c r="B191" i="475"/>
  <c r="B190" i="475"/>
  <c r="B189" i="475"/>
  <c r="B188" i="475"/>
  <c r="B187" i="475"/>
  <c r="B186" i="475"/>
  <c r="B185" i="475"/>
  <c r="B184" i="475"/>
  <c r="B183" i="475"/>
  <c r="B182" i="475"/>
  <c r="B180" i="475"/>
  <c r="B179" i="475"/>
  <c r="B178" i="475"/>
  <c r="B176" i="475"/>
  <c r="B175" i="475"/>
  <c r="B174" i="475"/>
  <c r="B173" i="475"/>
  <c r="B171" i="475"/>
  <c r="B170" i="475"/>
  <c r="B169" i="475"/>
  <c r="B168" i="475"/>
  <c r="B167" i="475"/>
  <c r="B166" i="475"/>
  <c r="B165" i="475"/>
  <c r="B164" i="475"/>
  <c r="B163" i="475"/>
  <c r="G162" i="475"/>
  <c r="E162" i="475"/>
  <c r="B162" i="475"/>
  <c r="B158" i="475"/>
  <c r="B157" i="475"/>
  <c r="B156" i="475"/>
  <c r="B155" i="475"/>
  <c r="B154" i="475"/>
  <c r="B152" i="475"/>
  <c r="B150" i="475"/>
  <c r="B149" i="475"/>
  <c r="B148" i="475"/>
  <c r="B147" i="475"/>
  <c r="B146" i="475"/>
  <c r="B145" i="475"/>
  <c r="B144" i="475"/>
  <c r="B143" i="475"/>
  <c r="B142" i="475"/>
  <c r="B141" i="475"/>
  <c r="B140" i="475"/>
  <c r="B139" i="475"/>
  <c r="B138" i="475"/>
  <c r="B137" i="475"/>
  <c r="B135" i="475"/>
  <c r="B134" i="475"/>
  <c r="B133" i="475"/>
  <c r="B132" i="475"/>
  <c r="B131" i="475"/>
  <c r="B130" i="475"/>
  <c r="B129" i="475"/>
  <c r="B128" i="475"/>
  <c r="B127" i="475"/>
  <c r="B126" i="475"/>
  <c r="B125" i="475"/>
  <c r="B124" i="475"/>
  <c r="B123" i="475"/>
  <c r="B122" i="475"/>
  <c r="B120" i="475"/>
  <c r="B119" i="475"/>
  <c r="B118" i="475"/>
  <c r="B117" i="475"/>
  <c r="B116" i="475"/>
  <c r="B115" i="475"/>
  <c r="B114" i="475"/>
  <c r="B113" i="475"/>
  <c r="B112" i="475"/>
  <c r="B111" i="475"/>
  <c r="B110" i="475"/>
  <c r="B109" i="475"/>
  <c r="B108" i="475"/>
  <c r="B107" i="475"/>
  <c r="B105" i="475"/>
  <c r="B104" i="475"/>
  <c r="B103" i="475"/>
  <c r="B102" i="475"/>
  <c r="B101" i="475"/>
  <c r="B100" i="475"/>
  <c r="B99" i="475"/>
  <c r="B98" i="475"/>
  <c r="B97" i="475"/>
  <c r="B96" i="475"/>
  <c r="B95" i="475"/>
  <c r="B94" i="475"/>
  <c r="B93" i="475"/>
  <c r="G92" i="475"/>
  <c r="E92" i="475"/>
  <c r="B92" i="475"/>
  <c r="G91" i="475"/>
  <c r="E91" i="475"/>
  <c r="B91" i="475"/>
  <c r="B89" i="475"/>
  <c r="B88" i="475"/>
  <c r="B87" i="475"/>
  <c r="B86" i="475"/>
  <c r="B85" i="475"/>
  <c r="B84" i="475"/>
  <c r="B81" i="475"/>
  <c r="B80" i="475"/>
  <c r="B79" i="475"/>
  <c r="B78" i="475"/>
  <c r="B77" i="475"/>
  <c r="B76" i="475"/>
  <c r="B75" i="475"/>
  <c r="B74" i="475"/>
  <c r="B73" i="475"/>
  <c r="B72" i="475"/>
  <c r="B71" i="475"/>
  <c r="B70" i="475"/>
  <c r="B68" i="475"/>
  <c r="B67" i="475"/>
  <c r="B66" i="475"/>
  <c r="B64" i="475"/>
  <c r="B63" i="475"/>
  <c r="B62" i="475"/>
  <c r="B61" i="475"/>
  <c r="B60" i="475"/>
  <c r="B59" i="475"/>
  <c r="B58" i="475"/>
  <c r="B57" i="475"/>
  <c r="B56" i="475"/>
  <c r="I53" i="475"/>
  <c r="I52" i="475"/>
  <c r="I51" i="475"/>
  <c r="H51" i="475"/>
  <c r="G51" i="475"/>
  <c r="E51" i="475"/>
  <c r="B51" i="475"/>
  <c r="I50" i="475"/>
  <c r="H50" i="475"/>
  <c r="G50" i="475"/>
  <c r="E50" i="475"/>
  <c r="B50" i="475"/>
  <c r="I49" i="475"/>
  <c r="H49" i="475"/>
  <c r="G49" i="475"/>
  <c r="E49" i="475"/>
  <c r="B49" i="475"/>
  <c r="I48" i="475"/>
  <c r="H48" i="475"/>
  <c r="G48" i="475"/>
  <c r="E48" i="475"/>
  <c r="B48" i="475"/>
  <c r="I47" i="475"/>
  <c r="H47" i="475"/>
  <c r="G47" i="475"/>
  <c r="E47" i="475"/>
  <c r="B47" i="475"/>
  <c r="I46" i="475"/>
  <c r="H46" i="475"/>
  <c r="G46" i="475"/>
  <c r="E46" i="475"/>
  <c r="B46" i="475"/>
  <c r="B41" i="475"/>
  <c r="B40" i="475"/>
  <c r="B39" i="475"/>
  <c r="B38" i="475"/>
  <c r="G36" i="475"/>
  <c r="E36" i="475"/>
  <c r="B36" i="475"/>
  <c r="B35" i="475"/>
  <c r="B34" i="475"/>
  <c r="B33" i="475"/>
  <c r="B31" i="475"/>
  <c r="B29" i="475"/>
  <c r="B28" i="475"/>
  <c r="B27" i="475"/>
  <c r="B26" i="475"/>
  <c r="B25" i="475"/>
  <c r="B24" i="475"/>
  <c r="B23" i="475"/>
  <c r="B22" i="475"/>
  <c r="B21" i="475"/>
  <c r="B20" i="475"/>
  <c r="G19" i="475"/>
  <c r="E19" i="475"/>
  <c r="B19" i="475"/>
  <c r="B18" i="475"/>
  <c r="B17" i="475"/>
  <c r="B16" i="475"/>
  <c r="B15" i="475"/>
  <c r="B14" i="475"/>
  <c r="B13" i="475"/>
  <c r="B12" i="475"/>
  <c r="B11" i="475"/>
  <c r="B10" i="475"/>
  <c r="B9" i="475"/>
  <c r="C3" i="475"/>
  <c r="F58" i="635" a="1"/>
  <c r="G41" i="635"/>
  <c r="F77" i="635" a="1"/>
  <c r="F16" i="635" a="1"/>
  <c r="G45" i="635"/>
  <c r="G44" i="635"/>
  <c r="G71" i="635"/>
  <c r="G31" i="635"/>
  <c r="G43" i="635"/>
  <c r="G36" i="635"/>
  <c r="F82" i="635" a="1"/>
  <c r="G17" i="635"/>
  <c r="F57" i="635" a="1"/>
  <c r="F41" i="635" a="1"/>
  <c r="G19" i="635"/>
  <c r="F96" i="635" a="1"/>
  <c r="G69" i="635"/>
  <c r="G27" i="635"/>
  <c r="F93" i="635" a="1"/>
  <c r="G82" i="635"/>
  <c r="F34" i="635" a="1"/>
  <c r="F101" i="635" a="1"/>
  <c r="F86" i="635" a="1"/>
  <c r="F39" i="635" a="1"/>
  <c r="G94" i="635"/>
  <c r="F81" i="635" a="1"/>
  <c r="F50" i="635" a="1"/>
  <c r="F36" i="635" a="1"/>
  <c r="F83" i="635" a="1"/>
  <c r="F95" i="635" a="1"/>
  <c r="G75" i="635"/>
  <c r="F49" i="635" a="1"/>
  <c r="G25" i="635"/>
  <c r="F65" i="635" a="1"/>
  <c r="G53" i="635"/>
  <c r="G10" i="635"/>
  <c r="G30" i="635"/>
  <c r="F54" i="635" a="1"/>
  <c r="F23" i="635" a="1"/>
  <c r="F78" i="635" a="1"/>
  <c r="F61" i="635" a="1"/>
  <c r="F85" i="635" a="1"/>
  <c r="F12" i="635" a="1"/>
  <c r="G12" i="635"/>
  <c r="G83" i="635"/>
  <c r="F104" i="635" a="1"/>
  <c r="G104" i="635"/>
  <c r="G68" i="635"/>
  <c r="F69" i="635" a="1"/>
  <c r="G59" i="635"/>
  <c r="F76" i="635" a="1"/>
  <c r="F20" i="635" a="1"/>
  <c r="G97" i="635"/>
  <c r="G37" i="635"/>
  <c r="F64" i="635" a="1"/>
  <c r="F46" i="635" a="1"/>
  <c r="G7" i="635"/>
  <c r="G50" i="635"/>
  <c r="G55" i="635"/>
  <c r="G51" i="635"/>
  <c r="G102" i="635"/>
  <c r="G21" i="635"/>
  <c r="F24" i="635" a="1"/>
  <c r="F19" i="635" a="1"/>
  <c r="G87" i="635"/>
  <c r="F90" i="635" a="1"/>
  <c r="G57" i="635"/>
  <c r="G67" i="635"/>
  <c r="F15" i="635" a="1"/>
  <c r="G91" i="635"/>
  <c r="F56" i="635" a="1"/>
  <c r="G70" i="635"/>
  <c r="F40" i="635" a="1"/>
  <c r="G78" i="635"/>
  <c r="F18" i="635" a="1"/>
  <c r="F35" i="635" a="1"/>
  <c r="G77" i="635"/>
  <c r="F25" i="635" a="1"/>
  <c r="G58" i="635"/>
  <c r="F74" i="635" a="1"/>
  <c r="G23" i="635"/>
  <c r="G32" i="635"/>
  <c r="F38" i="635" a="1"/>
  <c r="G14" i="635"/>
  <c r="G61" i="635"/>
  <c r="G88" i="635"/>
  <c r="G63" i="635"/>
  <c r="F48" i="635" a="1"/>
  <c r="G9" i="635"/>
  <c r="F43" i="635" a="1"/>
  <c r="F55" i="635" a="1"/>
  <c r="F60" i="635" a="1"/>
  <c r="G28" i="635"/>
  <c r="F8" i="635" a="1"/>
  <c r="G65" i="635"/>
  <c r="F94" i="635" a="1"/>
  <c r="F17" i="635" a="1"/>
  <c r="F63" i="635" a="1"/>
  <c r="F73" i="635" a="1"/>
  <c r="F67" i="635" a="1"/>
  <c r="G20" i="635"/>
  <c r="F28" i="635" a="1"/>
  <c r="F84" i="635" a="1"/>
  <c r="F103" i="635" a="1"/>
  <c r="G96" i="635"/>
  <c r="F89" i="635" a="1"/>
  <c r="G81" i="635"/>
  <c r="G16" i="635"/>
  <c r="F100" i="635" a="1"/>
  <c r="F51" i="635" a="1"/>
  <c r="G60" i="635"/>
  <c r="F52" i="635" a="1"/>
  <c r="F13" i="635" a="1"/>
  <c r="F99" i="635" a="1"/>
  <c r="G66" i="635"/>
  <c r="G46" i="635"/>
  <c r="G42" i="635"/>
  <c r="G48" i="635"/>
  <c r="F14" i="635" a="1"/>
  <c r="G26" i="635"/>
  <c r="G29" i="635"/>
  <c r="F68" i="635" a="1"/>
  <c r="G76" i="635"/>
  <c r="G74" i="635"/>
  <c r="G80" i="635"/>
  <c r="G15" i="635"/>
  <c r="G95" i="635"/>
  <c r="F97" i="635" a="1"/>
  <c r="G62" i="635"/>
  <c r="F45" i="635" a="1"/>
  <c r="G84" i="635"/>
  <c r="F11" i="635" a="1"/>
  <c r="G54" i="635"/>
  <c r="G89" i="635"/>
  <c r="F62" i="635" a="1"/>
  <c r="F31" i="635" a="1"/>
  <c r="G47" i="635"/>
  <c r="F79" i="635" a="1"/>
  <c r="F72" i="635" a="1"/>
  <c r="G52" i="635"/>
  <c r="G79" i="635"/>
  <c r="G99" i="635"/>
  <c r="G22" i="635"/>
  <c r="G40" i="635"/>
  <c r="F87" i="635" a="1"/>
  <c r="G101" i="635"/>
  <c r="G92" i="635"/>
  <c r="F88" i="635" a="1"/>
  <c r="F59" i="635" a="1"/>
  <c r="G38" i="635"/>
  <c r="G8" i="635"/>
  <c r="G35" i="635"/>
  <c r="G100" i="635"/>
  <c r="F66" i="635" a="1"/>
  <c r="F27" i="635" a="1"/>
  <c r="G98" i="635"/>
  <c r="F75" i="635" a="1"/>
  <c r="G24" i="635"/>
  <c r="G93" i="635"/>
  <c r="G73" i="635"/>
  <c r="F21" i="635" a="1"/>
  <c r="F37" i="635" a="1"/>
  <c r="F91" i="635" a="1"/>
  <c r="G11" i="635"/>
  <c r="G90" i="635"/>
  <c r="G13" i="635"/>
  <c r="F26" i="635" a="1"/>
  <c r="F10" i="635" a="1"/>
  <c r="G56" i="635"/>
  <c r="G34" i="635"/>
  <c r="G103" i="635"/>
  <c r="G72" i="635"/>
  <c r="G39" i="635"/>
  <c r="F98" i="635" a="1"/>
  <c r="F44" i="635" a="1"/>
  <c r="F47" i="635" a="1"/>
  <c r="G33" i="635"/>
  <c r="F70" i="635" a="1"/>
  <c r="F102" i="635" a="1"/>
  <c r="F30" i="635" a="1"/>
  <c r="G49" i="635"/>
  <c r="G64" i="635"/>
  <c r="F22" i="635" a="1"/>
  <c r="F42" i="635" a="1"/>
  <c r="F29" i="635" a="1"/>
  <c r="F92" i="635" a="1"/>
  <c r="F53" i="635" a="1"/>
  <c r="F9" i="635" a="1"/>
  <c r="F80" i="635" a="1"/>
  <c r="G85" i="635"/>
  <c r="F32" i="635" a="1"/>
  <c r="G86" i="635"/>
  <c r="G18" i="635"/>
  <c r="F7" i="635" a="1"/>
  <c r="F33" i="635" a="1"/>
  <c r="F71" i="635" a="1"/>
  <c r="B1" i="739" l="1"/>
  <c r="B1" i="734"/>
  <c r="B1" i="740"/>
  <c r="B1" i="656"/>
  <c r="B1" i="721"/>
  <c r="B1" i="657"/>
  <c r="B1" i="722"/>
  <c r="B1" i="658"/>
  <c r="B1" i="723"/>
  <c r="B1" i="733"/>
  <c r="B1" i="668"/>
  <c r="B1" i="15"/>
  <c r="B1" i="41"/>
  <c r="B1" i="717"/>
  <c r="B1" i="660"/>
  <c r="B1" i="725"/>
  <c r="B1" i="742"/>
  <c r="B1" i="743"/>
  <c r="B1" i="745"/>
  <c r="B1" i="661"/>
  <c r="B1" i="726"/>
  <c r="B1" i="727"/>
  <c r="B1" i="744"/>
  <c r="B1" i="663"/>
  <c r="B1" i="728"/>
  <c r="B1" i="605"/>
  <c r="B1" i="738"/>
  <c r="B1" i="653"/>
  <c r="B1" i="654"/>
  <c r="B1" i="719"/>
  <c r="B1" i="659"/>
  <c r="B1" i="724"/>
  <c r="B1" i="741"/>
  <c r="F10" i="635"/>
  <c r="F20" i="635"/>
  <c r="F30" i="635"/>
  <c r="F40" i="635"/>
  <c r="F50" i="635"/>
  <c r="F60" i="635"/>
  <c r="F70" i="635"/>
  <c r="F80" i="635"/>
  <c r="F90" i="635"/>
  <c r="F100" i="635"/>
  <c r="F7" i="635"/>
  <c r="F17" i="635"/>
  <c r="F27" i="635"/>
  <c r="F37" i="635"/>
  <c r="F47" i="635"/>
  <c r="F57" i="635"/>
  <c r="F67" i="635"/>
  <c r="F77" i="635"/>
  <c r="F87" i="635"/>
  <c r="F97" i="635"/>
  <c r="G121" i="635"/>
  <c r="D67" i="4" s="1"/>
  <c r="F14" i="635"/>
  <c r="F24" i="635"/>
  <c r="F34" i="635"/>
  <c r="F44" i="635"/>
  <c r="F54" i="635"/>
  <c r="F64" i="635"/>
  <c r="F74" i="635"/>
  <c r="F84" i="635"/>
  <c r="F94" i="635"/>
  <c r="F104" i="635"/>
  <c r="F11" i="635"/>
  <c r="F21" i="635"/>
  <c r="F31" i="635"/>
  <c r="F41" i="635"/>
  <c r="F51" i="635"/>
  <c r="F61" i="635"/>
  <c r="F71" i="635"/>
  <c r="F81" i="635"/>
  <c r="F91" i="635"/>
  <c r="F101" i="635"/>
  <c r="F8" i="635"/>
  <c r="F18" i="635"/>
  <c r="F28" i="635"/>
  <c r="F38" i="635"/>
  <c r="F48" i="635"/>
  <c r="F58" i="635"/>
  <c r="F68" i="635"/>
  <c r="F78" i="635"/>
  <c r="F88" i="635"/>
  <c r="F98" i="635"/>
  <c r="F15" i="635"/>
  <c r="F25" i="635"/>
  <c r="F35" i="635"/>
  <c r="F45" i="635"/>
  <c r="F55" i="635"/>
  <c r="F65" i="635"/>
  <c r="F75" i="635"/>
  <c r="F85" i="635"/>
  <c r="F95" i="635"/>
  <c r="F12" i="635"/>
  <c r="F22" i="635"/>
  <c r="F32" i="635"/>
  <c r="F42" i="635"/>
  <c r="F52" i="635"/>
  <c r="F62" i="635"/>
  <c r="F72" i="635"/>
  <c r="F82" i="635"/>
  <c r="F92" i="635"/>
  <c r="F102" i="635"/>
  <c r="F9" i="635"/>
  <c r="F19" i="635"/>
  <c r="F29" i="635"/>
  <c r="F39" i="635"/>
  <c r="F49" i="635"/>
  <c r="F59" i="635"/>
  <c r="F69" i="635"/>
  <c r="F79" i="635"/>
  <c r="F89" i="635"/>
  <c r="F99" i="635"/>
  <c r="F16" i="635"/>
  <c r="F26" i="635"/>
  <c r="F36" i="635"/>
  <c r="F46" i="635"/>
  <c r="F56" i="635"/>
  <c r="F66" i="635"/>
  <c r="F76" i="635"/>
  <c r="F86" i="635"/>
  <c r="F96" i="635"/>
  <c r="F13" i="635"/>
  <c r="F23" i="635"/>
  <c r="F33" i="635"/>
  <c r="F43" i="635"/>
  <c r="F53" i="635"/>
  <c r="F63" i="635"/>
  <c r="F73" i="635"/>
  <c r="F83" i="635"/>
  <c r="F93" i="635"/>
  <c r="F103" i="635"/>
  <c r="K29" i="13"/>
  <c r="G182" i="749"/>
  <c r="B1" i="718"/>
  <c r="B1" i="735"/>
  <c r="B1" i="664"/>
  <c r="B1" i="729"/>
  <c r="B1" i="746"/>
  <c r="B1" i="747"/>
  <c r="B1" i="736"/>
  <c r="B1" i="665"/>
  <c r="B1" i="730"/>
  <c r="B1" i="731"/>
  <c r="B1" i="748"/>
  <c r="B1" i="655"/>
  <c r="B1" i="720"/>
  <c r="B1" i="737"/>
  <c r="B1" i="666"/>
  <c r="B1" i="667"/>
  <c r="B1" i="732"/>
  <c r="B3" i="4" l="1"/>
  <c r="C21" i="4"/>
  <c r="F121" i="63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Hannes Griebel</author>
  </authors>
  <commentList>
    <comment ref="I52" authorId="0" shapeId="0" xr:uid="{15E7DB23-2CAF-475A-8A85-CCD04F58942F}">
      <text>
        <r>
          <rPr>
            <b/>
            <sz val="9"/>
            <rFont val="Tahoma"/>
            <family val="2"/>
          </rPr>
          <t>Hannes Griebel:</t>
        </r>
        <r>
          <rPr>
            <sz val="9"/>
            <rFont val="Tahoma"/>
            <family val="2"/>
          </rPr>
          <t xml:space="preserve">
To pass, score must be greater than (not equal to) this grade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Wulff Seiler</author>
    <author>Hannes</author>
  </authors>
  <commentList>
    <comment ref="D8" authorId="0" shapeId="0" xr:uid="{82D94F84-E438-4D57-B893-336754EBB3A1}">
      <text>
        <r>
          <rPr>
            <b/>
            <sz val="9"/>
            <rFont val="Arial"/>
            <family val="2"/>
          </rPr>
          <t>EN:</t>
        </r>
        <r>
          <rPr>
            <sz val="9"/>
            <rFont val="Arial"/>
            <family val="2"/>
          </rPr>
          <t xml:space="preserve"> 
Company internal activity ID
</t>
        </r>
        <r>
          <rPr>
            <b/>
            <sz val="9"/>
            <rFont val="Arial"/>
            <family val="2"/>
          </rPr>
          <t>DE:</t>
        </r>
        <r>
          <rPr>
            <sz val="9"/>
            <rFont val="Arial"/>
            <family val="2"/>
          </rPr>
          <t xml:space="preserve"> 
Firmen-interne Vorgangs- oder Projekt Nummer
</t>
        </r>
      </text>
    </comment>
    <comment ref="B22" authorId="0" shapeId="0" xr:uid="{88A71370-3574-48B6-97A2-2B17EF911FBF}">
      <text>
        <r>
          <rPr>
            <b/>
            <sz val="9"/>
            <rFont val="Arial"/>
            <family val="2"/>
          </rPr>
          <t xml:space="preserve">EN:
</t>
        </r>
        <r>
          <rPr>
            <sz val="9"/>
            <rFont val="Arial"/>
            <family val="2"/>
          </rPr>
          <t xml:space="preserve">Short narrative description of the activity  (purpose, benefits)
</t>
        </r>
        <r>
          <rPr>
            <b/>
            <sz val="9"/>
            <rFont val="Arial"/>
            <family val="2"/>
          </rPr>
          <t>DE:</t>
        </r>
        <r>
          <rPr>
            <sz val="9"/>
            <rFont val="Arial"/>
            <family val="2"/>
          </rPr>
          <t xml:space="preserve">
Kurze Beschreibung des Vorhabens  (Zweck, Nutzen)</t>
        </r>
      </text>
    </comment>
    <comment ref="C30" authorId="1" shapeId="0" xr:uid="{5BFE2274-AE70-47C7-A275-B34EBB73A777}">
      <text>
        <r>
          <rPr>
            <b/>
            <sz val="9"/>
            <rFont val="Tahoma"/>
            <family val="2"/>
          </rPr>
          <t>EN:</t>
        </r>
        <r>
          <rPr>
            <sz val="9"/>
            <rFont val="Tahoma"/>
            <family val="2"/>
          </rPr>
          <t xml:space="preserve">
automatically pre-filled with start date of your involvement. Change this date if the project started before you joined.
</t>
        </r>
        <r>
          <rPr>
            <b/>
            <sz val="9"/>
            <rFont val="Tahoma"/>
            <family val="2"/>
          </rPr>
          <t xml:space="preserve">DE:
</t>
        </r>
        <r>
          <rPr>
            <sz val="9"/>
            <rFont val="Tahoma"/>
            <family val="2"/>
          </rPr>
          <t>Wird automatisch mit dem Startdatum der PM Tätigkeit befüllt. Bitte entsprechend anpassen, falls Sie ein bestehendes Projekt übernommen haben.</t>
        </r>
      </text>
    </comment>
    <comment ref="E30" authorId="1" shapeId="0" xr:uid="{EAF34F4F-FE65-4A58-A0EA-3728704C2CFE}">
      <text>
        <r>
          <rPr>
            <b/>
            <sz val="9"/>
            <rFont val="Tahoma"/>
            <family val="2"/>
          </rPr>
          <t>EN:</t>
        </r>
        <r>
          <rPr>
            <sz val="9"/>
            <rFont val="Tahoma"/>
            <family val="2"/>
          </rPr>
          <t xml:space="preserve">
automatically pre-filled with end date of your involvement. Change this date if the project ended after you joined.
</t>
        </r>
        <r>
          <rPr>
            <b/>
            <sz val="9"/>
            <rFont val="Tahoma"/>
            <family val="2"/>
          </rPr>
          <t>DE:</t>
        </r>
        <r>
          <rPr>
            <sz val="9"/>
            <rFont val="Tahoma"/>
            <family val="2"/>
          </rPr>
          <t xml:space="preserve">
Wird automatisch mit dem Enddatum der PM Tätigkeit befüllt. Bitte entsprechend anpassen, falls Sie das Projekt vor Ende verlassen haben.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Wulff Seiler</author>
    <author>Hannes</author>
  </authors>
  <commentList>
    <comment ref="D8" authorId="0" shapeId="0" xr:uid="{65657D54-F42F-427B-A22A-F97A5CEE986D}">
      <text>
        <r>
          <rPr>
            <b/>
            <sz val="9"/>
            <rFont val="Arial"/>
            <family val="2"/>
          </rPr>
          <t>EN:</t>
        </r>
        <r>
          <rPr>
            <sz val="9"/>
            <rFont val="Arial"/>
            <family val="2"/>
          </rPr>
          <t xml:space="preserve"> 
Company internal activity ID
</t>
        </r>
        <r>
          <rPr>
            <b/>
            <sz val="9"/>
            <rFont val="Arial"/>
            <family val="2"/>
          </rPr>
          <t>DE:</t>
        </r>
        <r>
          <rPr>
            <sz val="9"/>
            <rFont val="Arial"/>
            <family val="2"/>
          </rPr>
          <t xml:space="preserve"> 
Firmen-interne Vorgangs- oder Projekt Nummer
</t>
        </r>
      </text>
    </comment>
    <comment ref="B22" authorId="0" shapeId="0" xr:uid="{42649660-2322-403A-A052-AA287A86F60A}">
      <text>
        <r>
          <rPr>
            <b/>
            <sz val="9"/>
            <rFont val="Arial"/>
            <family val="2"/>
          </rPr>
          <t xml:space="preserve">EN:
</t>
        </r>
        <r>
          <rPr>
            <sz val="9"/>
            <rFont val="Arial"/>
            <family val="2"/>
          </rPr>
          <t xml:space="preserve">Short narrative description of the activity  (purpose, benefits)
</t>
        </r>
        <r>
          <rPr>
            <b/>
            <sz val="9"/>
            <rFont val="Arial"/>
            <family val="2"/>
          </rPr>
          <t>DE:</t>
        </r>
        <r>
          <rPr>
            <sz val="9"/>
            <rFont val="Arial"/>
            <family val="2"/>
          </rPr>
          <t xml:space="preserve">
Kurze Beschreibung des Vorhabens  (Zweck, Nutzen)</t>
        </r>
      </text>
    </comment>
    <comment ref="C30" authorId="1" shapeId="0" xr:uid="{12BB525E-B037-4DAF-A1D2-E70F64788921}">
      <text>
        <r>
          <rPr>
            <b/>
            <sz val="9"/>
            <rFont val="Tahoma"/>
            <family val="2"/>
          </rPr>
          <t>EN:</t>
        </r>
        <r>
          <rPr>
            <sz val="9"/>
            <rFont val="Tahoma"/>
            <family val="2"/>
          </rPr>
          <t xml:space="preserve">
automatically pre-filled with start date of your involvement. Change this date if the project started before you joined.
</t>
        </r>
        <r>
          <rPr>
            <b/>
            <sz val="9"/>
            <rFont val="Tahoma"/>
            <family val="2"/>
          </rPr>
          <t xml:space="preserve">DE:
</t>
        </r>
        <r>
          <rPr>
            <sz val="9"/>
            <rFont val="Tahoma"/>
            <family val="2"/>
          </rPr>
          <t>Wird automatisch mit dem Startdatum der PM Tätigkeit befüllt. Bitte entsprechend anpassen, falls Sie ein bestehendes Projekt übernommen haben.</t>
        </r>
      </text>
    </comment>
    <comment ref="E30" authorId="1" shapeId="0" xr:uid="{AA74A9DB-E9C9-4D0D-B648-17AC57988037}">
      <text>
        <r>
          <rPr>
            <b/>
            <sz val="9"/>
            <rFont val="Tahoma"/>
            <family val="2"/>
          </rPr>
          <t>EN:</t>
        </r>
        <r>
          <rPr>
            <sz val="9"/>
            <rFont val="Tahoma"/>
            <family val="2"/>
          </rPr>
          <t xml:space="preserve">
automatically pre-filled with end date of your involvement. Change this date if the project ended after you joined.
</t>
        </r>
        <r>
          <rPr>
            <b/>
            <sz val="9"/>
            <rFont val="Tahoma"/>
            <family val="2"/>
          </rPr>
          <t>DE:</t>
        </r>
        <r>
          <rPr>
            <sz val="9"/>
            <rFont val="Tahoma"/>
            <family val="2"/>
          </rPr>
          <t xml:space="preserve">
Wird automatisch mit dem Enddatum der PM Tätigkeit befüllt. Bitte entsprechend anpassen, falls Sie das Projekt vor Ende verlassen haben.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Wulff Seiler</author>
    <author>Hannes</author>
  </authors>
  <commentList>
    <comment ref="D8" authorId="0" shapeId="0" xr:uid="{AC613594-4384-446F-8F06-B9F78FDBCE47}">
      <text>
        <r>
          <rPr>
            <b/>
            <sz val="9"/>
            <rFont val="Arial"/>
            <family val="2"/>
          </rPr>
          <t>EN:</t>
        </r>
        <r>
          <rPr>
            <sz val="9"/>
            <rFont val="Arial"/>
            <family val="2"/>
          </rPr>
          <t xml:space="preserve"> 
Company internal activity ID
</t>
        </r>
        <r>
          <rPr>
            <b/>
            <sz val="9"/>
            <rFont val="Arial"/>
            <family val="2"/>
          </rPr>
          <t>DE:</t>
        </r>
        <r>
          <rPr>
            <sz val="9"/>
            <rFont val="Arial"/>
            <family val="2"/>
          </rPr>
          <t xml:space="preserve"> 
Firmen-interne Vorgangs- oder Projekt Nummer
</t>
        </r>
      </text>
    </comment>
    <comment ref="B22" authorId="0" shapeId="0" xr:uid="{6CDDF0BA-013D-483D-8097-F988075CBE66}">
      <text>
        <r>
          <rPr>
            <b/>
            <sz val="9"/>
            <rFont val="Arial"/>
            <family val="2"/>
          </rPr>
          <t xml:space="preserve">EN:
</t>
        </r>
        <r>
          <rPr>
            <sz val="9"/>
            <rFont val="Arial"/>
            <family val="2"/>
          </rPr>
          <t xml:space="preserve">Short narrative description of the activity  (purpose, benefits)
</t>
        </r>
        <r>
          <rPr>
            <b/>
            <sz val="9"/>
            <rFont val="Arial"/>
            <family val="2"/>
          </rPr>
          <t>DE:</t>
        </r>
        <r>
          <rPr>
            <sz val="9"/>
            <rFont val="Arial"/>
            <family val="2"/>
          </rPr>
          <t xml:space="preserve">
Kurze Beschreibung des Vorhabens  (Zweck, Nutzen)</t>
        </r>
      </text>
    </comment>
    <comment ref="C30" authorId="1" shapeId="0" xr:uid="{E6DA0A18-6B14-4A28-9D5E-DABED75C0649}">
      <text>
        <r>
          <rPr>
            <b/>
            <sz val="9"/>
            <rFont val="Tahoma"/>
            <family val="2"/>
          </rPr>
          <t>EN:</t>
        </r>
        <r>
          <rPr>
            <sz val="9"/>
            <rFont val="Tahoma"/>
            <family val="2"/>
          </rPr>
          <t xml:space="preserve">
automatically pre-filled with start date of your involvement. Change this date if the project started before you joined.
</t>
        </r>
        <r>
          <rPr>
            <b/>
            <sz val="9"/>
            <rFont val="Tahoma"/>
            <family val="2"/>
          </rPr>
          <t xml:space="preserve">DE:
</t>
        </r>
        <r>
          <rPr>
            <sz val="9"/>
            <rFont val="Tahoma"/>
            <family val="2"/>
          </rPr>
          <t>Wird automatisch mit dem Startdatum der PM Tätigkeit befüllt. Bitte entsprechend anpassen, falls Sie ein bestehendes Projekt übernommen haben.</t>
        </r>
      </text>
    </comment>
    <comment ref="E30" authorId="1" shapeId="0" xr:uid="{C4D5894F-1ABD-446C-8800-5673A27931F6}">
      <text>
        <r>
          <rPr>
            <b/>
            <sz val="9"/>
            <rFont val="Tahoma"/>
            <family val="2"/>
          </rPr>
          <t>EN:</t>
        </r>
        <r>
          <rPr>
            <sz val="9"/>
            <rFont val="Tahoma"/>
            <family val="2"/>
          </rPr>
          <t xml:space="preserve">
automatically pre-filled with end date of your involvement. Change this date if the project ended after you joined.
</t>
        </r>
        <r>
          <rPr>
            <b/>
            <sz val="9"/>
            <rFont val="Tahoma"/>
            <family val="2"/>
          </rPr>
          <t>DE:</t>
        </r>
        <r>
          <rPr>
            <sz val="9"/>
            <rFont val="Tahoma"/>
            <family val="2"/>
          </rPr>
          <t xml:space="preserve">
Wird automatisch mit dem Enddatum der PM Tätigkeit befüllt. Bitte entsprechend anpassen, falls Sie das Projekt vor Ende verlassen haben.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Wulff Seiler</author>
    <author>Hannes</author>
  </authors>
  <commentList>
    <comment ref="D8" authorId="0" shapeId="0" xr:uid="{2AB3A841-773D-4942-821D-0784DD524AF2}">
      <text>
        <r>
          <rPr>
            <b/>
            <sz val="9"/>
            <rFont val="Arial"/>
            <family val="2"/>
          </rPr>
          <t>EN:</t>
        </r>
        <r>
          <rPr>
            <sz val="9"/>
            <rFont val="Arial"/>
            <family val="2"/>
          </rPr>
          <t xml:space="preserve"> 
Company internal activity ID
</t>
        </r>
        <r>
          <rPr>
            <b/>
            <sz val="9"/>
            <rFont val="Arial"/>
            <family val="2"/>
          </rPr>
          <t>DE:</t>
        </r>
        <r>
          <rPr>
            <sz val="9"/>
            <rFont val="Arial"/>
            <family val="2"/>
          </rPr>
          <t xml:space="preserve"> 
Firmen-interne Vorgangs- oder Projekt Nummer
</t>
        </r>
      </text>
    </comment>
    <comment ref="B22" authorId="0" shapeId="0" xr:uid="{C5D499BF-C522-49FF-8A53-2B85B0EF20F9}">
      <text>
        <r>
          <rPr>
            <b/>
            <sz val="9"/>
            <rFont val="Arial"/>
            <family val="2"/>
          </rPr>
          <t xml:space="preserve">EN:
</t>
        </r>
        <r>
          <rPr>
            <sz val="9"/>
            <rFont val="Arial"/>
            <family val="2"/>
          </rPr>
          <t xml:space="preserve">Short narrative description of the activity  (purpose, benefits)
</t>
        </r>
        <r>
          <rPr>
            <b/>
            <sz val="9"/>
            <rFont val="Arial"/>
            <family val="2"/>
          </rPr>
          <t>DE:</t>
        </r>
        <r>
          <rPr>
            <sz val="9"/>
            <rFont val="Arial"/>
            <family val="2"/>
          </rPr>
          <t xml:space="preserve">
Kurze Beschreibung des Vorhabens  (Zweck, Nutzen)</t>
        </r>
      </text>
    </comment>
    <comment ref="C30" authorId="1" shapeId="0" xr:uid="{DC52DF74-871B-4AB1-A1E1-11971999A75B}">
      <text>
        <r>
          <rPr>
            <b/>
            <sz val="9"/>
            <rFont val="Tahoma"/>
            <family val="2"/>
          </rPr>
          <t>EN:</t>
        </r>
        <r>
          <rPr>
            <sz val="9"/>
            <rFont val="Tahoma"/>
            <family val="2"/>
          </rPr>
          <t xml:space="preserve">
automatically pre-filled with start date of your involvement. Change this date if the project started before you joined.
</t>
        </r>
        <r>
          <rPr>
            <b/>
            <sz val="9"/>
            <rFont val="Tahoma"/>
            <family val="2"/>
          </rPr>
          <t xml:space="preserve">DE:
</t>
        </r>
        <r>
          <rPr>
            <sz val="9"/>
            <rFont val="Tahoma"/>
            <family val="2"/>
          </rPr>
          <t>Wird automatisch mit dem Startdatum der PM Tätigkeit befüllt. Bitte entsprechend anpassen, falls Sie ein bestehendes Projekt übernommen haben.</t>
        </r>
      </text>
    </comment>
    <comment ref="E30" authorId="1" shapeId="0" xr:uid="{69CF0B62-0AB3-4FB5-95FD-BA131E66EE64}">
      <text>
        <r>
          <rPr>
            <b/>
            <sz val="9"/>
            <rFont val="Tahoma"/>
            <family val="2"/>
          </rPr>
          <t>EN:</t>
        </r>
        <r>
          <rPr>
            <sz val="9"/>
            <rFont val="Tahoma"/>
            <family val="2"/>
          </rPr>
          <t xml:space="preserve">
automatically pre-filled with end date of your involvement. Change this date if the project ended after you joined.
</t>
        </r>
        <r>
          <rPr>
            <b/>
            <sz val="9"/>
            <rFont val="Tahoma"/>
            <family val="2"/>
          </rPr>
          <t>DE:</t>
        </r>
        <r>
          <rPr>
            <sz val="9"/>
            <rFont val="Tahoma"/>
            <family val="2"/>
          </rPr>
          <t xml:space="preserve">
Wird automatisch mit dem Enddatum der PM Tätigkeit befüllt. Bitte entsprechend anpassen, falls Sie das Projekt vor Ende verlassen haben.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Wulff Seiler</author>
    <author>Hannes</author>
  </authors>
  <commentList>
    <comment ref="D8" authorId="0" shapeId="0" xr:uid="{9422D697-7B7B-4698-9D10-EBFB03F64087}">
      <text>
        <r>
          <rPr>
            <b/>
            <sz val="9"/>
            <rFont val="Arial"/>
            <family val="2"/>
          </rPr>
          <t>EN:</t>
        </r>
        <r>
          <rPr>
            <sz val="9"/>
            <rFont val="Arial"/>
            <family val="2"/>
          </rPr>
          <t xml:space="preserve"> 
Company internal activity ID
</t>
        </r>
        <r>
          <rPr>
            <b/>
            <sz val="9"/>
            <rFont val="Arial"/>
            <family val="2"/>
          </rPr>
          <t>DE:</t>
        </r>
        <r>
          <rPr>
            <sz val="9"/>
            <rFont val="Arial"/>
            <family val="2"/>
          </rPr>
          <t xml:space="preserve"> 
Firmen-interne Vorgangs- oder Projekt Nummer
</t>
        </r>
      </text>
    </comment>
    <comment ref="B22" authorId="0" shapeId="0" xr:uid="{7F236231-3724-47AA-AFA3-212577EB3321}">
      <text>
        <r>
          <rPr>
            <b/>
            <sz val="9"/>
            <rFont val="Arial"/>
            <family val="2"/>
          </rPr>
          <t xml:space="preserve">EN:
</t>
        </r>
        <r>
          <rPr>
            <sz val="9"/>
            <rFont val="Arial"/>
            <family val="2"/>
          </rPr>
          <t xml:space="preserve">Short narrative description of the activity  (purpose, benefits)
</t>
        </r>
        <r>
          <rPr>
            <b/>
            <sz val="9"/>
            <rFont val="Arial"/>
            <family val="2"/>
          </rPr>
          <t>DE:</t>
        </r>
        <r>
          <rPr>
            <sz val="9"/>
            <rFont val="Arial"/>
            <family val="2"/>
          </rPr>
          <t xml:space="preserve">
Kurze Beschreibung des Vorhabens  (Zweck, Nutzen)</t>
        </r>
      </text>
    </comment>
    <comment ref="C30" authorId="1" shapeId="0" xr:uid="{D953AA17-2B3E-410E-A15F-BE1CA3E521B7}">
      <text>
        <r>
          <rPr>
            <b/>
            <sz val="9"/>
            <rFont val="Tahoma"/>
            <family val="2"/>
          </rPr>
          <t>EN:</t>
        </r>
        <r>
          <rPr>
            <sz val="9"/>
            <rFont val="Tahoma"/>
            <family val="2"/>
          </rPr>
          <t xml:space="preserve">
automatically pre-filled with start date of your involvement. Change this date if the project started before you joined.
</t>
        </r>
        <r>
          <rPr>
            <b/>
            <sz val="9"/>
            <rFont val="Tahoma"/>
            <family val="2"/>
          </rPr>
          <t xml:space="preserve">DE:
</t>
        </r>
        <r>
          <rPr>
            <sz val="9"/>
            <rFont val="Tahoma"/>
            <family val="2"/>
          </rPr>
          <t>Wird automatisch mit dem Startdatum der PM Tätigkeit befüllt. Bitte entsprechend anpassen, falls Sie ein bestehendes Projekt übernommen haben.</t>
        </r>
      </text>
    </comment>
    <comment ref="E30" authorId="1" shapeId="0" xr:uid="{D8A2587C-76AC-4E09-97FD-574CE0F8F250}">
      <text>
        <r>
          <rPr>
            <b/>
            <sz val="9"/>
            <rFont val="Tahoma"/>
            <family val="2"/>
          </rPr>
          <t>EN:</t>
        </r>
        <r>
          <rPr>
            <sz val="9"/>
            <rFont val="Tahoma"/>
            <family val="2"/>
          </rPr>
          <t xml:space="preserve">
automatically pre-filled with end date of your involvement. Change this date if the project ended after you joined.
</t>
        </r>
        <r>
          <rPr>
            <b/>
            <sz val="9"/>
            <rFont val="Tahoma"/>
            <family val="2"/>
          </rPr>
          <t>DE:</t>
        </r>
        <r>
          <rPr>
            <sz val="9"/>
            <rFont val="Tahoma"/>
            <family val="2"/>
          </rPr>
          <t xml:space="preserve">
Wird automatisch mit dem Enddatum der PM Tätigkeit befüllt. Bitte entsprechend anpassen, falls Sie das Projekt vor Ende verlassen haben.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Wulff Seiler</author>
    <author>Hannes</author>
  </authors>
  <commentList>
    <comment ref="D8" authorId="0" shapeId="0" xr:uid="{CEB977E7-C038-44E6-9C56-BC6124749E0F}">
      <text>
        <r>
          <rPr>
            <b/>
            <sz val="9"/>
            <rFont val="Arial"/>
            <family val="2"/>
          </rPr>
          <t>EN:</t>
        </r>
        <r>
          <rPr>
            <sz val="9"/>
            <rFont val="Arial"/>
            <family val="2"/>
          </rPr>
          <t xml:space="preserve"> 
Company internal activity ID
</t>
        </r>
        <r>
          <rPr>
            <b/>
            <sz val="9"/>
            <rFont val="Arial"/>
            <family val="2"/>
          </rPr>
          <t>DE:</t>
        </r>
        <r>
          <rPr>
            <sz val="9"/>
            <rFont val="Arial"/>
            <family val="2"/>
          </rPr>
          <t xml:space="preserve"> 
Firmen-interne Vorgangs- oder Projekt Nummer
</t>
        </r>
      </text>
    </comment>
    <comment ref="B22" authorId="0" shapeId="0" xr:uid="{FCFD5611-3433-47CE-BDB2-A911E7737EE2}">
      <text>
        <r>
          <rPr>
            <b/>
            <sz val="9"/>
            <rFont val="Arial"/>
            <family val="2"/>
          </rPr>
          <t xml:space="preserve">EN:
</t>
        </r>
        <r>
          <rPr>
            <sz val="9"/>
            <rFont val="Arial"/>
            <family val="2"/>
          </rPr>
          <t xml:space="preserve">Short narrative description of the activity  (purpose, benefits)
</t>
        </r>
        <r>
          <rPr>
            <b/>
            <sz val="9"/>
            <rFont val="Arial"/>
            <family val="2"/>
          </rPr>
          <t>DE:</t>
        </r>
        <r>
          <rPr>
            <sz val="9"/>
            <rFont val="Arial"/>
            <family val="2"/>
          </rPr>
          <t xml:space="preserve">
Kurze Beschreibung des Vorhabens  (Zweck, Nutzen)</t>
        </r>
      </text>
    </comment>
    <comment ref="C30" authorId="1" shapeId="0" xr:uid="{C4B1FC67-4787-4BAE-A5E2-C8D98A699670}">
      <text>
        <r>
          <rPr>
            <b/>
            <sz val="9"/>
            <rFont val="Tahoma"/>
            <family val="2"/>
          </rPr>
          <t>EN:</t>
        </r>
        <r>
          <rPr>
            <sz val="9"/>
            <rFont val="Tahoma"/>
            <family val="2"/>
          </rPr>
          <t xml:space="preserve">
automatically pre-filled with start date of your involvement. Change this date if the project started before you joined.
</t>
        </r>
        <r>
          <rPr>
            <b/>
            <sz val="9"/>
            <rFont val="Tahoma"/>
            <family val="2"/>
          </rPr>
          <t xml:space="preserve">DE:
</t>
        </r>
        <r>
          <rPr>
            <sz val="9"/>
            <rFont val="Tahoma"/>
            <family val="2"/>
          </rPr>
          <t>Wird automatisch mit dem Startdatum der PM Tätigkeit befüllt. Bitte entsprechend anpassen, falls Sie ein bestehendes Projekt übernommen haben.</t>
        </r>
      </text>
    </comment>
    <comment ref="E30" authorId="1" shapeId="0" xr:uid="{623CF888-3544-4D18-8676-1E42BD02B748}">
      <text>
        <r>
          <rPr>
            <b/>
            <sz val="9"/>
            <rFont val="Tahoma"/>
            <family val="2"/>
          </rPr>
          <t>EN:</t>
        </r>
        <r>
          <rPr>
            <sz val="9"/>
            <rFont val="Tahoma"/>
            <family val="2"/>
          </rPr>
          <t xml:space="preserve">
automatically pre-filled with end date of your involvement. Change this date if the project ended after you joined.
</t>
        </r>
        <r>
          <rPr>
            <b/>
            <sz val="9"/>
            <rFont val="Tahoma"/>
            <family val="2"/>
          </rPr>
          <t>DE:</t>
        </r>
        <r>
          <rPr>
            <sz val="9"/>
            <rFont val="Tahoma"/>
            <family val="2"/>
          </rPr>
          <t xml:space="preserve">
Wird automatisch mit dem Enddatum der PM Tätigkeit befüllt. Bitte entsprechend anpassen, falls Sie das Projekt vor Ende verlassen haben.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Wulff Seiler</author>
    <author>Hannes</author>
  </authors>
  <commentList>
    <comment ref="D8" authorId="0" shapeId="0" xr:uid="{CB4A10AA-23C2-4E99-A06F-9EF6701329A4}">
      <text>
        <r>
          <rPr>
            <b/>
            <sz val="9"/>
            <rFont val="Arial"/>
            <family val="2"/>
          </rPr>
          <t>EN:</t>
        </r>
        <r>
          <rPr>
            <sz val="9"/>
            <rFont val="Arial"/>
            <family val="2"/>
          </rPr>
          <t xml:space="preserve"> 
Company internal activity ID
</t>
        </r>
        <r>
          <rPr>
            <b/>
            <sz val="9"/>
            <rFont val="Arial"/>
            <family val="2"/>
          </rPr>
          <t>DE:</t>
        </r>
        <r>
          <rPr>
            <sz val="9"/>
            <rFont val="Arial"/>
            <family val="2"/>
          </rPr>
          <t xml:space="preserve"> 
Firmen-interne Vorgangs- oder Projekt Nummer
</t>
        </r>
      </text>
    </comment>
    <comment ref="B22" authorId="0" shapeId="0" xr:uid="{5A35B394-84ED-46A7-A6EF-885EB392ABE9}">
      <text>
        <r>
          <rPr>
            <b/>
            <sz val="9"/>
            <rFont val="Arial"/>
            <family val="2"/>
          </rPr>
          <t xml:space="preserve">EN:
</t>
        </r>
        <r>
          <rPr>
            <sz val="9"/>
            <rFont val="Arial"/>
            <family val="2"/>
          </rPr>
          <t xml:space="preserve">Short narrative description of the activity  (purpose, benefits)
</t>
        </r>
        <r>
          <rPr>
            <b/>
            <sz val="9"/>
            <rFont val="Arial"/>
            <family val="2"/>
          </rPr>
          <t>DE:</t>
        </r>
        <r>
          <rPr>
            <sz val="9"/>
            <rFont val="Arial"/>
            <family val="2"/>
          </rPr>
          <t xml:space="preserve">
Kurze Beschreibung des Vorhabens  (Zweck, Nutzen)</t>
        </r>
      </text>
    </comment>
    <comment ref="C30" authorId="1" shapeId="0" xr:uid="{FDB6B950-547E-4E1D-B4E9-12CAFFD3DCC9}">
      <text>
        <r>
          <rPr>
            <b/>
            <sz val="9"/>
            <rFont val="Tahoma"/>
            <family val="2"/>
          </rPr>
          <t>EN:</t>
        </r>
        <r>
          <rPr>
            <sz val="9"/>
            <rFont val="Tahoma"/>
            <family val="2"/>
          </rPr>
          <t xml:space="preserve">
automatically pre-filled with start date of your involvement. Change this date if the project started before you joined.
</t>
        </r>
        <r>
          <rPr>
            <b/>
            <sz val="9"/>
            <rFont val="Tahoma"/>
            <family val="2"/>
          </rPr>
          <t xml:space="preserve">DE:
</t>
        </r>
        <r>
          <rPr>
            <sz val="9"/>
            <rFont val="Tahoma"/>
            <family val="2"/>
          </rPr>
          <t>Wird automatisch mit dem Startdatum der PM Tätigkeit befüllt. Bitte entsprechend anpassen, falls Sie ein bestehendes Projekt übernommen haben.</t>
        </r>
      </text>
    </comment>
    <comment ref="E30" authorId="1" shapeId="0" xr:uid="{81E383BE-E84D-45BB-80DA-A720D6E640FC}">
      <text>
        <r>
          <rPr>
            <b/>
            <sz val="9"/>
            <rFont val="Tahoma"/>
            <family val="2"/>
          </rPr>
          <t>EN:</t>
        </r>
        <r>
          <rPr>
            <sz val="9"/>
            <rFont val="Tahoma"/>
            <family val="2"/>
          </rPr>
          <t xml:space="preserve">
automatically pre-filled with end date of your involvement. Change this date if the project ended after you joined.
</t>
        </r>
        <r>
          <rPr>
            <b/>
            <sz val="9"/>
            <rFont val="Tahoma"/>
            <family val="2"/>
          </rPr>
          <t>DE:</t>
        </r>
        <r>
          <rPr>
            <sz val="9"/>
            <rFont val="Tahoma"/>
            <family val="2"/>
          </rPr>
          <t xml:space="preserve">
Wird automatisch mit dem Enddatum der PM Tätigkeit befüllt. Bitte entsprechend anpassen, falls Sie das Projekt vor Ende verlassen haben.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Wulff Seiler</author>
    <author>Hannes</author>
  </authors>
  <commentList>
    <comment ref="D8" authorId="0" shapeId="0" xr:uid="{92D5E8D6-8C39-433A-ABE8-1DCB7A8E50C7}">
      <text>
        <r>
          <rPr>
            <b/>
            <sz val="9"/>
            <rFont val="Arial"/>
            <family val="2"/>
          </rPr>
          <t>EN:</t>
        </r>
        <r>
          <rPr>
            <sz val="9"/>
            <rFont val="Arial"/>
            <family val="2"/>
          </rPr>
          <t xml:space="preserve"> 
Company internal activity ID
</t>
        </r>
        <r>
          <rPr>
            <b/>
            <sz val="9"/>
            <rFont val="Arial"/>
            <family val="2"/>
          </rPr>
          <t>DE:</t>
        </r>
        <r>
          <rPr>
            <sz val="9"/>
            <rFont val="Arial"/>
            <family val="2"/>
          </rPr>
          <t xml:space="preserve"> 
Firmen-interne Vorgangs- oder Projekt Nummer
</t>
        </r>
      </text>
    </comment>
    <comment ref="B22" authorId="0" shapeId="0" xr:uid="{29859CB7-26F4-4B4E-B127-4D8E07C44C4F}">
      <text>
        <r>
          <rPr>
            <b/>
            <sz val="9"/>
            <rFont val="Arial"/>
            <family val="2"/>
          </rPr>
          <t xml:space="preserve">EN:
</t>
        </r>
        <r>
          <rPr>
            <sz val="9"/>
            <rFont val="Arial"/>
            <family val="2"/>
          </rPr>
          <t xml:space="preserve">Short narrative description of the activity  (purpose, benefits)
</t>
        </r>
        <r>
          <rPr>
            <b/>
            <sz val="9"/>
            <rFont val="Arial"/>
            <family val="2"/>
          </rPr>
          <t>DE:</t>
        </r>
        <r>
          <rPr>
            <sz val="9"/>
            <rFont val="Arial"/>
            <family val="2"/>
          </rPr>
          <t xml:space="preserve">
Kurze Beschreibung des Vorhabens  (Zweck, Nutzen)</t>
        </r>
      </text>
    </comment>
    <comment ref="C30" authorId="1" shapeId="0" xr:uid="{FD672779-0565-4C5D-8740-A1718DCE13E3}">
      <text>
        <r>
          <rPr>
            <b/>
            <sz val="9"/>
            <rFont val="Tahoma"/>
            <family val="2"/>
          </rPr>
          <t>EN:</t>
        </r>
        <r>
          <rPr>
            <sz val="9"/>
            <rFont val="Tahoma"/>
            <family val="2"/>
          </rPr>
          <t xml:space="preserve">
automatically pre-filled with start date of your involvement. Change this date if the project started before you joined.
</t>
        </r>
        <r>
          <rPr>
            <b/>
            <sz val="9"/>
            <rFont val="Tahoma"/>
            <family val="2"/>
          </rPr>
          <t xml:space="preserve">DE:
</t>
        </r>
        <r>
          <rPr>
            <sz val="9"/>
            <rFont val="Tahoma"/>
            <family val="2"/>
          </rPr>
          <t>Wird automatisch mit dem Startdatum der PM Tätigkeit befüllt. Bitte entsprechend anpassen, falls Sie ein bestehendes Projekt übernommen haben.</t>
        </r>
      </text>
    </comment>
    <comment ref="E30" authorId="1" shapeId="0" xr:uid="{9CB6B5AB-93AB-428A-AE41-E3B2CFDBBB02}">
      <text>
        <r>
          <rPr>
            <b/>
            <sz val="9"/>
            <rFont val="Tahoma"/>
            <family val="2"/>
          </rPr>
          <t>EN:</t>
        </r>
        <r>
          <rPr>
            <sz val="9"/>
            <rFont val="Tahoma"/>
            <family val="2"/>
          </rPr>
          <t xml:space="preserve">
automatically pre-filled with end date of your involvement. Change this date if the project ended after you joined.
</t>
        </r>
        <r>
          <rPr>
            <b/>
            <sz val="9"/>
            <rFont val="Tahoma"/>
            <family val="2"/>
          </rPr>
          <t>DE:</t>
        </r>
        <r>
          <rPr>
            <sz val="9"/>
            <rFont val="Tahoma"/>
            <family val="2"/>
          </rPr>
          <t xml:space="preserve">
Wird automatisch mit dem Enddatum der PM Tätigkeit befüllt. Bitte entsprechend anpassen, falls Sie das Projekt vor Ende verlassen haben.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Wulff Seiler</author>
    <author>Hannes</author>
  </authors>
  <commentList>
    <comment ref="D8" authorId="0" shapeId="0" xr:uid="{7CC75A19-013E-4293-A6A3-8DF6E1F1FFF2}">
      <text>
        <r>
          <rPr>
            <b/>
            <sz val="9"/>
            <rFont val="Arial"/>
            <family val="2"/>
          </rPr>
          <t>EN:</t>
        </r>
        <r>
          <rPr>
            <sz val="9"/>
            <rFont val="Arial"/>
            <family val="2"/>
          </rPr>
          <t xml:space="preserve"> 
Company internal activity ID
</t>
        </r>
        <r>
          <rPr>
            <b/>
            <sz val="9"/>
            <rFont val="Arial"/>
            <family val="2"/>
          </rPr>
          <t>DE:</t>
        </r>
        <r>
          <rPr>
            <sz val="9"/>
            <rFont val="Arial"/>
            <family val="2"/>
          </rPr>
          <t xml:space="preserve"> 
Firmen-interne Vorgangs- oder Projekt Nummer
</t>
        </r>
      </text>
    </comment>
    <comment ref="B22" authorId="0" shapeId="0" xr:uid="{08445D98-681A-40D1-84F9-883C733D8AE4}">
      <text>
        <r>
          <rPr>
            <b/>
            <sz val="9"/>
            <rFont val="Arial"/>
            <family val="2"/>
          </rPr>
          <t xml:space="preserve">EN:
</t>
        </r>
        <r>
          <rPr>
            <sz val="9"/>
            <rFont val="Arial"/>
            <family val="2"/>
          </rPr>
          <t xml:space="preserve">Short narrative description of the activity  (purpose, benefits)
</t>
        </r>
        <r>
          <rPr>
            <b/>
            <sz val="9"/>
            <rFont val="Arial"/>
            <family val="2"/>
          </rPr>
          <t>DE:</t>
        </r>
        <r>
          <rPr>
            <sz val="9"/>
            <rFont val="Arial"/>
            <family val="2"/>
          </rPr>
          <t xml:space="preserve">
Kurze Beschreibung des Vorhabens  (Zweck, Nutzen)</t>
        </r>
      </text>
    </comment>
    <comment ref="C30" authorId="1" shapeId="0" xr:uid="{2D2783E2-DEF6-4500-928D-52F9DFEE7134}">
      <text>
        <r>
          <rPr>
            <b/>
            <sz val="9"/>
            <rFont val="Tahoma"/>
            <family val="2"/>
          </rPr>
          <t>EN:</t>
        </r>
        <r>
          <rPr>
            <sz val="9"/>
            <rFont val="Tahoma"/>
            <family val="2"/>
          </rPr>
          <t xml:space="preserve">
automatically pre-filled with start date of your involvement. Change this date if the project started before you joined.
</t>
        </r>
        <r>
          <rPr>
            <b/>
            <sz val="9"/>
            <rFont val="Tahoma"/>
            <family val="2"/>
          </rPr>
          <t xml:space="preserve">DE:
</t>
        </r>
        <r>
          <rPr>
            <sz val="9"/>
            <rFont val="Tahoma"/>
            <family val="2"/>
          </rPr>
          <t>Wird automatisch mit dem Startdatum der PM Tätigkeit befüllt. Bitte entsprechend anpassen, falls Sie ein bestehendes Projekt übernommen haben.</t>
        </r>
      </text>
    </comment>
    <comment ref="E30" authorId="1" shapeId="0" xr:uid="{983E163E-A69F-46EC-8816-070F13FD2F92}">
      <text>
        <r>
          <rPr>
            <b/>
            <sz val="9"/>
            <rFont val="Tahoma"/>
            <family val="2"/>
          </rPr>
          <t>EN:</t>
        </r>
        <r>
          <rPr>
            <sz val="9"/>
            <rFont val="Tahoma"/>
            <family val="2"/>
          </rPr>
          <t xml:space="preserve">
automatically pre-filled with end date of your involvement. Change this date if the project ended after you joined.
</t>
        </r>
        <r>
          <rPr>
            <b/>
            <sz val="9"/>
            <rFont val="Tahoma"/>
            <family val="2"/>
          </rPr>
          <t>DE:</t>
        </r>
        <r>
          <rPr>
            <sz val="9"/>
            <rFont val="Tahoma"/>
            <family val="2"/>
          </rPr>
          <t xml:space="preserve">
Wird automatisch mit dem Enddatum der PM Tätigkeit befüllt. Bitte entsprechend anpassen, falls Sie das Projekt vor Ende verlassen haben.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Wulff Seiler</author>
    <author>Hannes</author>
  </authors>
  <commentList>
    <comment ref="D8" authorId="0" shapeId="0" xr:uid="{098DFB2D-65B4-4F9F-8411-DACE6C4DA560}">
      <text>
        <r>
          <rPr>
            <b/>
            <sz val="9"/>
            <rFont val="Arial"/>
            <family val="2"/>
          </rPr>
          <t>EN:</t>
        </r>
        <r>
          <rPr>
            <sz val="9"/>
            <rFont val="Arial"/>
            <family val="2"/>
          </rPr>
          <t xml:space="preserve"> 
Company internal activity ID
</t>
        </r>
        <r>
          <rPr>
            <b/>
            <sz val="9"/>
            <rFont val="Arial"/>
            <family val="2"/>
          </rPr>
          <t>DE:</t>
        </r>
        <r>
          <rPr>
            <sz val="9"/>
            <rFont val="Arial"/>
            <family val="2"/>
          </rPr>
          <t xml:space="preserve"> 
Firmen-interne Vorgangs- oder Projekt Nummer
</t>
        </r>
      </text>
    </comment>
    <comment ref="B22" authorId="0" shapeId="0" xr:uid="{2C9ACEB5-90AE-474D-A5DB-52585C25994A}">
      <text>
        <r>
          <rPr>
            <b/>
            <sz val="9"/>
            <rFont val="Arial"/>
            <family val="2"/>
          </rPr>
          <t xml:space="preserve">EN:
</t>
        </r>
        <r>
          <rPr>
            <sz val="9"/>
            <rFont val="Arial"/>
            <family val="2"/>
          </rPr>
          <t xml:space="preserve">Short narrative description of the activity  (purpose, benefits)
</t>
        </r>
        <r>
          <rPr>
            <b/>
            <sz val="9"/>
            <rFont val="Arial"/>
            <family val="2"/>
          </rPr>
          <t>DE:</t>
        </r>
        <r>
          <rPr>
            <sz val="9"/>
            <rFont val="Arial"/>
            <family val="2"/>
          </rPr>
          <t xml:space="preserve">
Kurze Beschreibung des Vorhabens  (Zweck, Nutzen)</t>
        </r>
      </text>
    </comment>
    <comment ref="C30" authorId="1" shapeId="0" xr:uid="{5D3EB7F7-C312-4BDA-ACAB-F95DCBCB103A}">
      <text>
        <r>
          <rPr>
            <b/>
            <sz val="9"/>
            <rFont val="Tahoma"/>
            <family val="2"/>
          </rPr>
          <t>EN:</t>
        </r>
        <r>
          <rPr>
            <sz val="9"/>
            <rFont val="Tahoma"/>
            <family val="2"/>
          </rPr>
          <t xml:space="preserve">
automatically pre-filled with start date of your involvement. Change this date if the project started before you joined.
</t>
        </r>
        <r>
          <rPr>
            <b/>
            <sz val="9"/>
            <rFont val="Tahoma"/>
            <family val="2"/>
          </rPr>
          <t xml:space="preserve">DE:
</t>
        </r>
        <r>
          <rPr>
            <sz val="9"/>
            <rFont val="Tahoma"/>
            <family val="2"/>
          </rPr>
          <t>Wird automatisch mit dem Startdatum der PM Tätigkeit befüllt. Bitte entsprechend anpassen, falls Sie ein bestehendes Projekt übernommen haben.</t>
        </r>
      </text>
    </comment>
    <comment ref="E30" authorId="1" shapeId="0" xr:uid="{23A5C1E4-1AC3-492E-9213-8848BAF3AF13}">
      <text>
        <r>
          <rPr>
            <b/>
            <sz val="9"/>
            <rFont val="Tahoma"/>
            <family val="2"/>
          </rPr>
          <t>EN:</t>
        </r>
        <r>
          <rPr>
            <sz val="9"/>
            <rFont val="Tahoma"/>
            <family val="2"/>
          </rPr>
          <t xml:space="preserve">
automatically pre-filled with end date of your involvement. Change this date if the project ended after you joined.
</t>
        </r>
        <r>
          <rPr>
            <b/>
            <sz val="9"/>
            <rFont val="Tahoma"/>
            <family val="2"/>
          </rPr>
          <t>DE:</t>
        </r>
        <r>
          <rPr>
            <sz val="9"/>
            <rFont val="Tahoma"/>
            <family val="2"/>
          </rPr>
          <t xml:space="preserve">
Wird automatisch mit dem Enddatum der PM Tätigkeit befüllt. Bitte entsprechend anpassen, falls Sie das Projekt vor Ende verlassen haben.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Alexander von Glasow</author>
  </authors>
  <commentList>
    <comment ref="E11" authorId="0" shapeId="0" xr:uid="{00000000-0006-0000-0100-000001000000}">
      <text>
        <r>
          <rPr>
            <b/>
            <sz val="8"/>
            <rFont val="Segoe UI"/>
            <family val="2"/>
          </rPr>
          <t xml:space="preserve">EN:
</t>
        </r>
        <r>
          <rPr>
            <sz val="8"/>
            <rFont val="Segoe UI"/>
            <family val="2"/>
          </rPr>
          <t>Date of your planned certification or expiry date of your existing certificate (if this is a renewal application)</t>
        </r>
        <r>
          <rPr>
            <b/>
            <sz val="8"/>
            <rFont val="Segoe UI"/>
            <family val="2"/>
          </rPr>
          <t xml:space="preserve">
DE:
</t>
        </r>
        <r>
          <rPr>
            <sz val="8"/>
            <rFont val="Segoe UI"/>
            <family val="2"/>
          </rPr>
          <t>Datum Ihrer geplanten Zertifizierung, oder Ablaufdatum Ihres existierenden Zertifikats</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Wulff Seiler</author>
    <author>Hannes</author>
  </authors>
  <commentList>
    <comment ref="D8" authorId="0" shapeId="0" xr:uid="{A669661B-E7F7-4142-9A3D-676A8A7B8C34}">
      <text>
        <r>
          <rPr>
            <b/>
            <sz val="9"/>
            <rFont val="Arial"/>
            <family val="2"/>
          </rPr>
          <t>EN:</t>
        </r>
        <r>
          <rPr>
            <sz val="9"/>
            <rFont val="Arial"/>
            <family val="2"/>
          </rPr>
          <t xml:space="preserve"> 
Company internal activity ID
</t>
        </r>
        <r>
          <rPr>
            <b/>
            <sz val="9"/>
            <rFont val="Arial"/>
            <family val="2"/>
          </rPr>
          <t>DE:</t>
        </r>
        <r>
          <rPr>
            <sz val="9"/>
            <rFont val="Arial"/>
            <family val="2"/>
          </rPr>
          <t xml:space="preserve"> 
Firmen-interne Vorgangs- oder Projekt Nummer
</t>
        </r>
      </text>
    </comment>
    <comment ref="B22" authorId="0" shapeId="0" xr:uid="{3A04911A-AE5A-4F97-AB9B-0E65FA28AB8C}">
      <text>
        <r>
          <rPr>
            <b/>
            <sz val="9"/>
            <rFont val="Arial"/>
            <family val="2"/>
          </rPr>
          <t xml:space="preserve">EN:
</t>
        </r>
        <r>
          <rPr>
            <sz val="9"/>
            <rFont val="Arial"/>
            <family val="2"/>
          </rPr>
          <t xml:space="preserve">Short narrative description of the activity  (purpose, benefits)
</t>
        </r>
        <r>
          <rPr>
            <b/>
            <sz val="9"/>
            <rFont val="Arial"/>
            <family val="2"/>
          </rPr>
          <t>DE:</t>
        </r>
        <r>
          <rPr>
            <sz val="9"/>
            <rFont val="Arial"/>
            <family val="2"/>
          </rPr>
          <t xml:space="preserve">
Kurze Beschreibung des Vorhabens  (Zweck, Nutzen)</t>
        </r>
      </text>
    </comment>
    <comment ref="C30" authorId="1" shapeId="0" xr:uid="{436D98C1-F193-4C46-8402-4F4BC07661B2}">
      <text>
        <r>
          <rPr>
            <b/>
            <sz val="9"/>
            <rFont val="Tahoma"/>
            <family val="2"/>
          </rPr>
          <t>EN:</t>
        </r>
        <r>
          <rPr>
            <sz val="9"/>
            <rFont val="Tahoma"/>
            <family val="2"/>
          </rPr>
          <t xml:space="preserve">
automatically pre-filled with start date of your involvement. Change this date if the project started before you joined.
</t>
        </r>
        <r>
          <rPr>
            <b/>
            <sz val="9"/>
            <rFont val="Tahoma"/>
            <family val="2"/>
          </rPr>
          <t xml:space="preserve">DE:
</t>
        </r>
        <r>
          <rPr>
            <sz val="9"/>
            <rFont val="Tahoma"/>
            <family val="2"/>
          </rPr>
          <t>Wird automatisch mit dem Startdatum der PM Tätigkeit befüllt. Bitte entsprechend anpassen, falls Sie ein bestehendes Projekt übernommen haben.</t>
        </r>
      </text>
    </comment>
    <comment ref="E30" authorId="1" shapeId="0" xr:uid="{E3770DEA-1D32-4416-959A-AF2B94A54D40}">
      <text>
        <r>
          <rPr>
            <b/>
            <sz val="9"/>
            <rFont val="Tahoma"/>
            <family val="2"/>
          </rPr>
          <t>EN:</t>
        </r>
        <r>
          <rPr>
            <sz val="9"/>
            <rFont val="Tahoma"/>
            <family val="2"/>
          </rPr>
          <t xml:space="preserve">
automatically pre-filled with end date of your involvement. Change this date if the project ended after you joined.
</t>
        </r>
        <r>
          <rPr>
            <b/>
            <sz val="9"/>
            <rFont val="Tahoma"/>
            <family val="2"/>
          </rPr>
          <t>DE:</t>
        </r>
        <r>
          <rPr>
            <sz val="9"/>
            <rFont val="Tahoma"/>
            <family val="2"/>
          </rPr>
          <t xml:space="preserve">
Wird automatisch mit dem Enddatum der PM Tätigkeit befüllt. Bitte entsprechend anpassen, falls Sie das Projekt vor Ende verlassen haben.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Wulff Seiler</author>
    <author>Walter</author>
    <author>WE</author>
  </authors>
  <commentList>
    <comment ref="A2" authorId="0" shapeId="0" xr:uid="{00000000-0006-0000-2800-000001000000}">
      <text>
        <r>
          <rPr>
            <b/>
            <sz val="9"/>
            <rFont val="Arial"/>
            <family val="2"/>
          </rPr>
          <t xml:space="preserve">PM-ZERT:
</t>
        </r>
        <r>
          <rPr>
            <sz val="9"/>
            <rFont val="Arial"/>
            <family val="2"/>
          </rPr>
          <t xml:space="preserve">Name of the project
</t>
        </r>
      </text>
    </comment>
    <comment ref="C2" authorId="0" shapeId="0" xr:uid="{00000000-0006-0000-2800-000002000000}">
      <text>
        <r>
          <rPr>
            <b/>
            <sz val="9"/>
            <rFont val="Arial"/>
            <family val="2"/>
          </rPr>
          <t xml:space="preserve">PM-ZERT:
</t>
        </r>
        <r>
          <rPr>
            <sz val="9"/>
            <rFont val="Arial"/>
            <family val="2"/>
          </rPr>
          <t xml:space="preserve">Identification in the companies system
</t>
        </r>
      </text>
    </comment>
    <comment ref="A3" authorId="0" shapeId="0" xr:uid="{00000000-0006-0000-2800-000003000000}">
      <text>
        <r>
          <rPr>
            <b/>
            <sz val="9"/>
            <rFont val="Arial"/>
            <family val="2"/>
          </rPr>
          <t xml:space="preserve">PM-ZERT:
</t>
        </r>
        <r>
          <rPr>
            <sz val="9"/>
            <rFont val="Arial"/>
            <family val="2"/>
          </rPr>
          <t>Name of the project owner and his role in the organisation</t>
        </r>
      </text>
    </comment>
    <comment ref="D3" authorId="1" shapeId="0" xr:uid="{00000000-0006-0000-2800-000004000000}">
      <text>
        <r>
          <rPr>
            <b/>
            <sz val="9"/>
            <rFont val="Tahoma"/>
            <family val="2"/>
          </rPr>
          <t xml:space="preserve">PM-ZERT:
</t>
        </r>
        <r>
          <rPr>
            <sz val="9"/>
            <rFont val="Tahoma"/>
            <family val="2"/>
          </rPr>
          <t xml:space="preserve">Please delete the </t>
        </r>
        <r>
          <rPr>
            <sz val="9"/>
            <rFont val="Wingdings"/>
            <family val="2"/>
            <charset val="2"/>
          </rPr>
          <t>x</t>
        </r>
        <r>
          <rPr>
            <sz val="9"/>
            <rFont val="Tahoma"/>
            <family val="2"/>
          </rPr>
          <t>, if not the internal owner is meant.</t>
        </r>
      </text>
    </comment>
    <comment ref="B4" authorId="1" shapeId="0" xr:uid="{00000000-0006-0000-2800-000005000000}">
      <text>
        <r>
          <rPr>
            <b/>
            <sz val="9"/>
            <rFont val="Tahoma"/>
            <family val="2"/>
          </rPr>
          <t xml:space="preserve">PM-ZERT:
</t>
        </r>
        <r>
          <rPr>
            <sz val="9"/>
            <rFont val="Tahoma"/>
            <family val="2"/>
          </rPr>
          <t xml:space="preserve">Please delete the </t>
        </r>
        <r>
          <rPr>
            <sz val="9"/>
            <rFont val="Wingdings"/>
            <family val="2"/>
            <charset val="2"/>
          </rPr>
          <t>x</t>
        </r>
        <r>
          <rPr>
            <sz val="9"/>
            <rFont val="Tahoma"/>
            <family val="2"/>
          </rPr>
          <t>, if you are not the project manager.</t>
        </r>
      </text>
    </comment>
    <comment ref="C4" authorId="1" shapeId="0" xr:uid="{00000000-0006-0000-2800-000006000000}">
      <text>
        <r>
          <rPr>
            <b/>
            <sz val="9"/>
            <rFont val="Tahoma"/>
            <family val="2"/>
          </rPr>
          <t xml:space="preserve">PM-ZERT:
</t>
        </r>
        <r>
          <rPr>
            <sz val="9"/>
            <rFont val="Tahoma"/>
            <family val="2"/>
          </rPr>
          <t xml:space="preserve">Please delete the </t>
        </r>
        <r>
          <rPr>
            <sz val="9"/>
            <rFont val="Wingdings"/>
            <family val="2"/>
            <charset val="2"/>
          </rPr>
          <t>x</t>
        </r>
        <r>
          <rPr>
            <sz val="9"/>
            <rFont val="Tahoma"/>
            <family val="2"/>
          </rPr>
          <t>, if you are not the subproject manager.</t>
        </r>
      </text>
    </comment>
    <comment ref="D4" authorId="1" shapeId="0" xr:uid="{00000000-0006-0000-2800-000007000000}">
      <text>
        <r>
          <rPr>
            <b/>
            <sz val="9"/>
            <rFont val="Tahoma"/>
            <family val="2"/>
          </rPr>
          <t xml:space="preserve">PM-ZERT:
</t>
        </r>
        <r>
          <rPr>
            <sz val="9"/>
            <rFont val="Tahoma"/>
            <family val="2"/>
          </rPr>
          <t xml:space="preserve">Please delete the </t>
        </r>
        <r>
          <rPr>
            <sz val="9"/>
            <rFont val="Wingdings"/>
            <family val="2"/>
            <charset val="2"/>
          </rPr>
          <t>x</t>
        </r>
        <r>
          <rPr>
            <sz val="9"/>
            <rFont val="Tahoma"/>
            <family val="2"/>
          </rPr>
          <t>, if you are "more" than a team member.</t>
        </r>
      </text>
    </comment>
    <comment ref="A5" authorId="0" shapeId="0" xr:uid="{00000000-0006-0000-2800-000008000000}">
      <text>
        <r>
          <rPr>
            <b/>
            <sz val="9"/>
            <rFont val="Arial"/>
            <family val="2"/>
          </rPr>
          <t xml:space="preserve">PM-ZERT:
</t>
        </r>
        <r>
          <rPr>
            <sz val="9"/>
            <rFont val="Arial"/>
            <family val="2"/>
          </rPr>
          <t>Which dimensions in the "Objectives Triangle" you were responsible for?</t>
        </r>
      </text>
    </comment>
    <comment ref="B5" authorId="1" shapeId="0" xr:uid="{00000000-0006-0000-2800-000009000000}">
      <text>
        <r>
          <rPr>
            <b/>
            <sz val="9"/>
            <rFont val="Tahoma"/>
            <family val="2"/>
          </rPr>
          <t xml:space="preserve">PM-ZERT:
</t>
        </r>
        <r>
          <rPr>
            <sz val="9"/>
            <rFont val="Tahoma"/>
            <family val="2"/>
          </rPr>
          <t xml:space="preserve">Please delete the </t>
        </r>
        <r>
          <rPr>
            <sz val="9"/>
            <rFont val="Wingdings"/>
            <family val="2"/>
            <charset val="2"/>
          </rPr>
          <t>x</t>
        </r>
        <r>
          <rPr>
            <sz val="9"/>
            <rFont val="Tahoma"/>
            <family val="2"/>
          </rPr>
          <t>, if you are not responsible for scope / deliverables.</t>
        </r>
      </text>
    </comment>
    <comment ref="C5" authorId="1" shapeId="0" xr:uid="{00000000-0006-0000-2800-00000A000000}">
      <text>
        <r>
          <rPr>
            <b/>
            <sz val="9"/>
            <rFont val="Tahoma"/>
            <family val="2"/>
          </rPr>
          <t xml:space="preserve">PM-ZERT:
</t>
        </r>
        <r>
          <rPr>
            <sz val="9"/>
            <rFont val="Tahoma"/>
            <family val="2"/>
          </rPr>
          <t xml:space="preserve">Please delete the </t>
        </r>
        <r>
          <rPr>
            <sz val="9"/>
            <rFont val="Wingdings"/>
            <family val="2"/>
            <charset val="2"/>
          </rPr>
          <t>x</t>
        </r>
        <r>
          <rPr>
            <sz val="9"/>
            <rFont val="Tahoma"/>
            <family val="2"/>
          </rPr>
          <t>, if you are not responsible for dates.</t>
        </r>
      </text>
    </comment>
    <comment ref="D5" authorId="1" shapeId="0" xr:uid="{00000000-0006-0000-2800-00000B000000}">
      <text>
        <r>
          <rPr>
            <b/>
            <sz val="9"/>
            <rFont val="Tahoma"/>
            <family val="2"/>
          </rPr>
          <t xml:space="preserve">PM-ZERT:
</t>
        </r>
        <r>
          <rPr>
            <sz val="9"/>
            <rFont val="Tahoma"/>
            <family val="2"/>
          </rPr>
          <t xml:space="preserve">Please delete the </t>
        </r>
        <r>
          <rPr>
            <sz val="9"/>
            <rFont val="Wingdings"/>
            <family val="2"/>
            <charset val="2"/>
          </rPr>
          <t>x</t>
        </r>
        <r>
          <rPr>
            <sz val="9"/>
            <rFont val="Tahoma"/>
            <family val="2"/>
          </rPr>
          <t>, if you are not responsible for costs.</t>
        </r>
      </text>
    </comment>
    <comment ref="A7" authorId="0" shapeId="0" xr:uid="{00000000-0006-0000-2800-00000C000000}">
      <text>
        <r>
          <rPr>
            <b/>
            <sz val="9"/>
            <rFont val="Arial"/>
            <family val="2"/>
          </rPr>
          <t xml:space="preserve">PM-ZERT:
</t>
        </r>
        <r>
          <rPr>
            <sz val="9"/>
            <rFont val="Arial"/>
            <family val="2"/>
          </rPr>
          <t>Short narrative description of the project (purpose, benefits)</t>
        </r>
      </text>
    </comment>
    <comment ref="A9" authorId="1" shapeId="0" xr:uid="{00000000-0006-0000-2800-00000D000000}">
      <text>
        <r>
          <rPr>
            <b/>
            <sz val="9"/>
            <rFont val="Tahoma"/>
            <family val="2"/>
          </rPr>
          <t>PM-ZERT:</t>
        </r>
        <r>
          <rPr>
            <sz val="9"/>
            <rFont val="Tahoma"/>
            <family val="2"/>
          </rPr>
          <t xml:space="preserve">
Description of the task scope, for which you are / were responsible.</t>
        </r>
      </text>
    </comment>
    <comment ref="A11" authorId="0" shapeId="0" xr:uid="{00000000-0006-0000-2800-00000E000000}">
      <text>
        <r>
          <rPr>
            <b/>
            <sz val="9"/>
            <rFont val="Arial"/>
            <family val="2"/>
          </rPr>
          <t xml:space="preserve">PM-Zert:
</t>
        </r>
        <r>
          <rPr>
            <sz val="9"/>
            <rFont val="Arial"/>
            <family val="2"/>
          </rPr>
          <t>Description of the objectives of the objectives triangle,  additional a social objective (based on the scope of tasks for which you are / were responsible).</t>
        </r>
      </text>
    </comment>
    <comment ref="A13" authorId="0" shapeId="0" xr:uid="{00000000-0006-0000-2800-00000F000000}">
      <text>
        <r>
          <rPr>
            <b/>
            <sz val="9"/>
            <rFont val="Arial"/>
            <family val="2"/>
          </rPr>
          <t xml:space="preserve">PM-ZERT:
</t>
        </r>
        <r>
          <rPr>
            <sz val="9"/>
            <rFont val="Arial"/>
            <family val="2"/>
          </rPr>
          <t>What deliverables to be delivered -  (based on the scope of tasks for which you are / were responsible).</t>
        </r>
      </text>
    </comment>
    <comment ref="A15" authorId="0" shapeId="0" xr:uid="{00000000-0006-0000-2800-000010000000}">
      <text>
        <r>
          <rPr>
            <b/>
            <sz val="9"/>
            <rFont val="Arial"/>
            <family val="2"/>
          </rPr>
          <t xml:space="preserve">PM-ZERT:
</t>
        </r>
        <r>
          <rPr>
            <sz val="9"/>
            <rFont val="Arial"/>
            <family val="2"/>
          </rPr>
          <t>start date MM.YY
(based on the scope of tasks for which you are / were responsible).</t>
        </r>
      </text>
    </comment>
    <comment ref="C15" authorId="0" shapeId="0" xr:uid="{00000000-0006-0000-2800-000011000000}">
      <text>
        <r>
          <rPr>
            <b/>
            <sz val="9"/>
            <rFont val="Arial"/>
            <family val="2"/>
          </rPr>
          <t xml:space="preserve">PM-ZERT:
</t>
        </r>
        <r>
          <rPr>
            <sz val="9"/>
            <rFont val="Arial"/>
            <family val="2"/>
          </rPr>
          <t>end date MM.YY
(based on the scope of tasks for which you are / were responsible).</t>
        </r>
      </text>
    </comment>
    <comment ref="A16" authorId="0" shapeId="0" xr:uid="{00000000-0006-0000-2800-000012000000}">
      <text>
        <r>
          <rPr>
            <b/>
            <sz val="9"/>
            <rFont val="Arial"/>
            <family val="2"/>
          </rPr>
          <t xml:space="preserve">PM-ZERT:
</t>
        </r>
        <r>
          <rPr>
            <sz val="9"/>
            <rFont val="Arial"/>
            <family val="2"/>
          </rPr>
          <t>List of project-related phases
(based on the scope of tasks for which you are / were responsible).</t>
        </r>
      </text>
    </comment>
    <comment ref="C16" authorId="1" shapeId="0" xr:uid="{00000000-0006-0000-2800-000013000000}">
      <text>
        <r>
          <rPr>
            <b/>
            <sz val="9"/>
            <rFont val="Tahoma"/>
            <family val="2"/>
          </rPr>
          <t>PM-ZERT:</t>
        </r>
        <r>
          <rPr>
            <sz val="9"/>
            <rFont val="Tahoma"/>
            <family val="2"/>
          </rPr>
          <t xml:space="preserve">
List of phase-relevant milestones (based on the scope of tasks for which you are / were responsible).</t>
        </r>
      </text>
    </comment>
    <comment ref="A27" authorId="0" shapeId="0" xr:uid="{00000000-0006-0000-2800-000014000000}">
      <text>
        <r>
          <rPr>
            <b/>
            <sz val="9"/>
            <rFont val="Arial"/>
            <family val="2"/>
          </rPr>
          <t xml:space="preserve">PM-ZERT:
</t>
        </r>
        <r>
          <rPr>
            <sz val="9"/>
            <rFont val="Arial"/>
            <family val="2"/>
          </rPr>
          <t>Number of people that were present in the core team of the project</t>
        </r>
      </text>
    </comment>
    <comment ref="A28" authorId="0" shapeId="0" xr:uid="{00000000-0006-0000-2800-000015000000}">
      <text>
        <r>
          <rPr>
            <b/>
            <sz val="9"/>
            <rFont val="Arial"/>
            <family val="2"/>
          </rPr>
          <t xml:space="preserve">PM-ZERT:
</t>
        </r>
        <r>
          <rPr>
            <sz val="9"/>
            <rFont val="Arial"/>
            <family val="2"/>
          </rPr>
          <t>What project organization was decisive for the project</t>
        </r>
      </text>
    </comment>
    <comment ref="A29" authorId="0" shapeId="0" xr:uid="{00000000-0006-0000-2800-000016000000}">
      <text>
        <r>
          <rPr>
            <b/>
            <sz val="9"/>
            <rFont val="Arial"/>
            <family val="2"/>
          </rPr>
          <t xml:space="preserve">PM-ZERT:
</t>
        </r>
        <r>
          <rPr>
            <sz val="9"/>
            <rFont val="Arial"/>
            <family val="2"/>
          </rPr>
          <t>total effort (based on the scope of tasks for which you are / were responsible) in man days (MD)</t>
        </r>
      </text>
    </comment>
    <comment ref="A30" authorId="0" shapeId="0" xr:uid="{00000000-0006-0000-2800-000017000000}">
      <text>
        <r>
          <rPr>
            <b/>
            <sz val="9"/>
            <rFont val="Arial"/>
            <family val="2"/>
          </rPr>
          <t xml:space="preserve">PM-ZERT: 
</t>
        </r>
        <r>
          <rPr>
            <sz val="9"/>
            <rFont val="Arial"/>
            <family val="2"/>
          </rPr>
          <t>How much of the internal effort was worked out with own employees in man days (based on the scope of tasks for which you are / were responsible).</t>
        </r>
      </text>
    </comment>
    <comment ref="C30" authorId="2" shapeId="0" xr:uid="{00000000-0006-0000-2800-000018000000}">
      <text>
        <r>
          <rPr>
            <b/>
            <sz val="9"/>
            <rFont val="Arial"/>
            <family val="2"/>
          </rPr>
          <t>PM-ZERT:</t>
        </r>
        <r>
          <rPr>
            <sz val="9"/>
            <rFont val="Arial"/>
            <family val="2"/>
          </rPr>
          <t xml:space="preserve">
Performances of all external supporters in man days (= MD) 
(based on the scope of tasks for which you are / were responsible).</t>
        </r>
      </text>
    </comment>
    <comment ref="A31" authorId="0" shapeId="0" xr:uid="{00000000-0006-0000-2800-000019000000}">
      <text>
        <r>
          <rPr>
            <b/>
            <sz val="9"/>
            <rFont val="Arial"/>
            <family val="2"/>
          </rPr>
          <t xml:space="preserve">PM-ZERT:
</t>
        </r>
        <r>
          <rPr>
            <sz val="9"/>
            <rFont val="Arial"/>
            <family val="2"/>
          </rPr>
          <t>Total budget (based on the scope of tasks for which you are / were responsible).:
(Display options)
&lt;€ 50,000
&lt;100.000 €
&lt;€ 250,000
&lt;€ 500,000
&lt;€ 1 million
&lt;€ 5 million
&lt;€ 10 million
&lt;50 € million
&lt;€ 100 million
&gt; € 100 million
or correct total budget</t>
        </r>
      </text>
    </comment>
    <comment ref="C31" authorId="0" shapeId="0" xr:uid="{00000000-0006-0000-2800-00001A000000}">
      <text>
        <r>
          <rPr>
            <b/>
            <sz val="9"/>
            <rFont val="Arial"/>
            <family val="2"/>
          </rPr>
          <t>PM-ZERT:</t>
        </r>
        <r>
          <rPr>
            <sz val="9"/>
            <rFont val="Arial"/>
            <family val="2"/>
          </rPr>
          <t xml:space="preserve">
Which amount of total effort has been spent on PM (based on the scope of tasks for which you are / were responsible)?
Figures in % are possible.</t>
        </r>
      </text>
    </comment>
    <comment ref="A32" authorId="0" shapeId="0" xr:uid="{00000000-0006-0000-2800-00001B000000}">
      <text>
        <r>
          <rPr>
            <b/>
            <sz val="9"/>
            <rFont val="Arial"/>
            <family val="2"/>
          </rPr>
          <t xml:space="preserve">PM-ZERT:
</t>
        </r>
        <r>
          <rPr>
            <sz val="9"/>
            <rFont val="Arial"/>
            <family val="2"/>
          </rPr>
          <t>What changes (scope, staff) had to be dealt with in the project / subproject (based on the scope of tasks for which you are / were responsible)?</t>
        </r>
      </text>
    </comment>
    <comment ref="A36" authorId="1" shapeId="0" xr:uid="{00000000-0006-0000-2800-00001C000000}">
      <text>
        <r>
          <rPr>
            <b/>
            <sz val="9"/>
            <rFont val="Tahoma"/>
            <family val="2"/>
          </rPr>
          <t>PM-ZERT:</t>
        </r>
        <r>
          <rPr>
            <sz val="9"/>
            <rFont val="Tahoma"/>
            <family val="2"/>
          </rPr>
          <t xml:space="preserve">
Here, for example, information can be given concerning interfaces, overall objectives, risks, etc. to the "parent structure", if they are / were of importance for the subproject / work package.</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Wulff Seiler</author>
    <author>Walter</author>
    <author>WE</author>
  </authors>
  <commentList>
    <comment ref="A2" authorId="0" shapeId="0" xr:uid="{00000000-0006-0000-2900-000001000000}">
      <text>
        <r>
          <rPr>
            <b/>
            <sz val="9"/>
            <rFont val="Arial"/>
            <family val="2"/>
          </rPr>
          <t xml:space="preserve">PM-ZERT:
</t>
        </r>
        <r>
          <rPr>
            <sz val="9"/>
            <rFont val="Arial"/>
            <family val="2"/>
          </rPr>
          <t xml:space="preserve">Name of the project
</t>
        </r>
      </text>
    </comment>
    <comment ref="C2" authorId="0" shapeId="0" xr:uid="{00000000-0006-0000-2900-000002000000}">
      <text>
        <r>
          <rPr>
            <b/>
            <sz val="9"/>
            <rFont val="Arial"/>
            <family val="2"/>
          </rPr>
          <t xml:space="preserve">PM-ZERT:
</t>
        </r>
        <r>
          <rPr>
            <sz val="9"/>
            <rFont val="Arial"/>
            <family val="2"/>
          </rPr>
          <t xml:space="preserve">Identification in the companies system
</t>
        </r>
      </text>
    </comment>
    <comment ref="A3" authorId="0" shapeId="0" xr:uid="{00000000-0006-0000-2900-000003000000}">
      <text>
        <r>
          <rPr>
            <b/>
            <sz val="9"/>
            <rFont val="Arial"/>
            <family val="2"/>
          </rPr>
          <t xml:space="preserve">PM-ZERT:
</t>
        </r>
        <r>
          <rPr>
            <sz val="9"/>
            <rFont val="Arial"/>
            <family val="2"/>
          </rPr>
          <t>Name of the project owner and his role in the organisation</t>
        </r>
      </text>
    </comment>
    <comment ref="D3" authorId="1" shapeId="0" xr:uid="{00000000-0006-0000-2900-000004000000}">
      <text>
        <r>
          <rPr>
            <b/>
            <sz val="9"/>
            <rFont val="Tahoma"/>
            <family val="2"/>
          </rPr>
          <t xml:space="preserve">PM-ZERT:
</t>
        </r>
        <r>
          <rPr>
            <sz val="9"/>
            <rFont val="Tahoma"/>
            <family val="2"/>
          </rPr>
          <t xml:space="preserve">Please delete the </t>
        </r>
        <r>
          <rPr>
            <sz val="9"/>
            <rFont val="Wingdings"/>
            <family val="2"/>
            <charset val="2"/>
          </rPr>
          <t>x</t>
        </r>
        <r>
          <rPr>
            <sz val="9"/>
            <rFont val="Tahoma"/>
            <family val="2"/>
          </rPr>
          <t>, if not the internal owner is meant.</t>
        </r>
      </text>
    </comment>
    <comment ref="B4" authorId="1" shapeId="0" xr:uid="{00000000-0006-0000-2900-000005000000}">
      <text>
        <r>
          <rPr>
            <b/>
            <sz val="9"/>
            <rFont val="Tahoma"/>
            <family val="2"/>
          </rPr>
          <t xml:space="preserve">PM-ZERT:
</t>
        </r>
        <r>
          <rPr>
            <sz val="9"/>
            <rFont val="Tahoma"/>
            <family val="2"/>
          </rPr>
          <t xml:space="preserve">Please delete the </t>
        </r>
        <r>
          <rPr>
            <sz val="9"/>
            <rFont val="Wingdings"/>
            <family val="2"/>
            <charset val="2"/>
          </rPr>
          <t>x</t>
        </r>
        <r>
          <rPr>
            <sz val="9"/>
            <rFont val="Tahoma"/>
            <family val="2"/>
          </rPr>
          <t>, if you are not the project manager.</t>
        </r>
      </text>
    </comment>
    <comment ref="C4" authorId="1" shapeId="0" xr:uid="{00000000-0006-0000-2900-000006000000}">
      <text>
        <r>
          <rPr>
            <b/>
            <sz val="9"/>
            <rFont val="Tahoma"/>
            <family val="2"/>
          </rPr>
          <t xml:space="preserve">PM-ZERT:
</t>
        </r>
        <r>
          <rPr>
            <sz val="9"/>
            <rFont val="Tahoma"/>
            <family val="2"/>
          </rPr>
          <t xml:space="preserve">Please delete the </t>
        </r>
        <r>
          <rPr>
            <sz val="9"/>
            <rFont val="Wingdings"/>
            <family val="2"/>
            <charset val="2"/>
          </rPr>
          <t>x</t>
        </r>
        <r>
          <rPr>
            <sz val="9"/>
            <rFont val="Tahoma"/>
            <family val="2"/>
          </rPr>
          <t>, if you are not the subproject manager.</t>
        </r>
      </text>
    </comment>
    <comment ref="D4" authorId="1" shapeId="0" xr:uid="{00000000-0006-0000-2900-000007000000}">
      <text>
        <r>
          <rPr>
            <b/>
            <sz val="9"/>
            <rFont val="Tahoma"/>
            <family val="2"/>
          </rPr>
          <t xml:space="preserve">PM-ZERT:
</t>
        </r>
        <r>
          <rPr>
            <sz val="9"/>
            <rFont val="Tahoma"/>
            <family val="2"/>
          </rPr>
          <t xml:space="preserve">Please delete the </t>
        </r>
        <r>
          <rPr>
            <sz val="9"/>
            <rFont val="Wingdings"/>
            <family val="2"/>
            <charset val="2"/>
          </rPr>
          <t>x</t>
        </r>
        <r>
          <rPr>
            <sz val="9"/>
            <rFont val="Tahoma"/>
            <family val="2"/>
          </rPr>
          <t>, if you are "more" than a team member.</t>
        </r>
      </text>
    </comment>
    <comment ref="A5" authorId="0" shapeId="0" xr:uid="{00000000-0006-0000-2900-000008000000}">
      <text>
        <r>
          <rPr>
            <b/>
            <sz val="9"/>
            <rFont val="Arial"/>
            <family val="2"/>
          </rPr>
          <t xml:space="preserve">PM-ZERT:
</t>
        </r>
        <r>
          <rPr>
            <sz val="9"/>
            <rFont val="Arial"/>
            <family val="2"/>
          </rPr>
          <t>Which dimensions in the "Objectives Triangle" you were responsible for?</t>
        </r>
      </text>
    </comment>
    <comment ref="B5" authorId="1" shapeId="0" xr:uid="{00000000-0006-0000-2900-000009000000}">
      <text>
        <r>
          <rPr>
            <b/>
            <sz val="9"/>
            <rFont val="Tahoma"/>
            <family val="2"/>
          </rPr>
          <t xml:space="preserve">PM-ZERT:
</t>
        </r>
        <r>
          <rPr>
            <sz val="9"/>
            <rFont val="Tahoma"/>
            <family val="2"/>
          </rPr>
          <t xml:space="preserve">Please delete the </t>
        </r>
        <r>
          <rPr>
            <sz val="9"/>
            <rFont val="Wingdings"/>
            <family val="2"/>
            <charset val="2"/>
          </rPr>
          <t>x</t>
        </r>
        <r>
          <rPr>
            <sz val="9"/>
            <rFont val="Tahoma"/>
            <family val="2"/>
          </rPr>
          <t>, if you are not responsible for scope / deliverables.</t>
        </r>
      </text>
    </comment>
    <comment ref="C5" authorId="1" shapeId="0" xr:uid="{00000000-0006-0000-2900-00000A000000}">
      <text>
        <r>
          <rPr>
            <b/>
            <sz val="9"/>
            <rFont val="Tahoma"/>
            <family val="2"/>
          </rPr>
          <t xml:space="preserve">PM-ZERT:
</t>
        </r>
        <r>
          <rPr>
            <sz val="9"/>
            <rFont val="Tahoma"/>
            <family val="2"/>
          </rPr>
          <t xml:space="preserve">Please delete the </t>
        </r>
        <r>
          <rPr>
            <sz val="9"/>
            <rFont val="Wingdings"/>
            <family val="2"/>
            <charset val="2"/>
          </rPr>
          <t>x</t>
        </r>
        <r>
          <rPr>
            <sz val="9"/>
            <rFont val="Tahoma"/>
            <family val="2"/>
          </rPr>
          <t>, if you are not responsible for dates.</t>
        </r>
      </text>
    </comment>
    <comment ref="D5" authorId="1" shapeId="0" xr:uid="{00000000-0006-0000-2900-00000B000000}">
      <text>
        <r>
          <rPr>
            <b/>
            <sz val="9"/>
            <rFont val="Tahoma"/>
            <family val="2"/>
          </rPr>
          <t xml:space="preserve">PM-ZERT:
</t>
        </r>
        <r>
          <rPr>
            <sz val="9"/>
            <rFont val="Tahoma"/>
            <family val="2"/>
          </rPr>
          <t xml:space="preserve">Please delete the </t>
        </r>
        <r>
          <rPr>
            <sz val="9"/>
            <rFont val="Wingdings"/>
            <family val="2"/>
            <charset val="2"/>
          </rPr>
          <t>x</t>
        </r>
        <r>
          <rPr>
            <sz val="9"/>
            <rFont val="Tahoma"/>
            <family val="2"/>
          </rPr>
          <t>, if you are not responsible for costs.</t>
        </r>
      </text>
    </comment>
    <comment ref="A7" authorId="0" shapeId="0" xr:uid="{00000000-0006-0000-2900-00000C000000}">
      <text>
        <r>
          <rPr>
            <b/>
            <sz val="9"/>
            <rFont val="Arial"/>
            <family val="2"/>
          </rPr>
          <t xml:space="preserve">PM-ZERT:
</t>
        </r>
        <r>
          <rPr>
            <sz val="9"/>
            <rFont val="Arial"/>
            <family val="2"/>
          </rPr>
          <t>Short narrative description of the project (purpose, benefits)</t>
        </r>
      </text>
    </comment>
    <comment ref="A9" authorId="1" shapeId="0" xr:uid="{00000000-0006-0000-2900-00000D000000}">
      <text>
        <r>
          <rPr>
            <b/>
            <sz val="9"/>
            <rFont val="Tahoma"/>
            <family val="2"/>
          </rPr>
          <t>PM-ZERT:</t>
        </r>
        <r>
          <rPr>
            <sz val="9"/>
            <rFont val="Tahoma"/>
            <family val="2"/>
          </rPr>
          <t xml:space="preserve">
Description of the task scope, for which you are / were responsible.</t>
        </r>
      </text>
    </comment>
    <comment ref="A11" authorId="0" shapeId="0" xr:uid="{00000000-0006-0000-2900-00000E000000}">
      <text>
        <r>
          <rPr>
            <b/>
            <sz val="9"/>
            <rFont val="Arial"/>
            <family val="2"/>
          </rPr>
          <t xml:space="preserve">PM-Zert:
</t>
        </r>
        <r>
          <rPr>
            <sz val="9"/>
            <rFont val="Arial"/>
            <family val="2"/>
          </rPr>
          <t>Description of the objectives of the objectives triangle,  additional a social objective (based on the scope of tasks for which you are / were responsible).</t>
        </r>
      </text>
    </comment>
    <comment ref="A13" authorId="0" shapeId="0" xr:uid="{00000000-0006-0000-2900-00000F000000}">
      <text>
        <r>
          <rPr>
            <b/>
            <sz val="9"/>
            <rFont val="Arial"/>
            <family val="2"/>
          </rPr>
          <t xml:space="preserve">PM-ZERT:
</t>
        </r>
        <r>
          <rPr>
            <sz val="9"/>
            <rFont val="Arial"/>
            <family val="2"/>
          </rPr>
          <t>What deliverables to be delivered -  (based on the scope of tasks for which you are / were responsible).</t>
        </r>
      </text>
    </comment>
    <comment ref="A15" authorId="0" shapeId="0" xr:uid="{00000000-0006-0000-2900-000010000000}">
      <text>
        <r>
          <rPr>
            <b/>
            <sz val="9"/>
            <rFont val="Arial"/>
            <family val="2"/>
          </rPr>
          <t xml:space="preserve">PM-ZERT:
</t>
        </r>
        <r>
          <rPr>
            <sz val="9"/>
            <rFont val="Arial"/>
            <family val="2"/>
          </rPr>
          <t>start date MM.YY
(based on the scope of tasks for which you are / were responsible).</t>
        </r>
      </text>
    </comment>
    <comment ref="C15" authorId="0" shapeId="0" xr:uid="{00000000-0006-0000-2900-000011000000}">
      <text>
        <r>
          <rPr>
            <b/>
            <sz val="9"/>
            <rFont val="Arial"/>
            <family val="2"/>
          </rPr>
          <t xml:space="preserve">PM-ZERT:
</t>
        </r>
        <r>
          <rPr>
            <sz val="9"/>
            <rFont val="Arial"/>
            <family val="2"/>
          </rPr>
          <t>end date MM.YY
(based on the scope of tasks for which you are / were responsible).</t>
        </r>
      </text>
    </comment>
    <comment ref="A16" authorId="0" shapeId="0" xr:uid="{00000000-0006-0000-2900-000012000000}">
      <text>
        <r>
          <rPr>
            <b/>
            <sz val="9"/>
            <rFont val="Arial"/>
            <family val="2"/>
          </rPr>
          <t xml:space="preserve">PM-ZERT:
</t>
        </r>
        <r>
          <rPr>
            <sz val="9"/>
            <rFont val="Arial"/>
            <family val="2"/>
          </rPr>
          <t>List of project-related phases
(based on the scope of tasks for which you are / were responsible).</t>
        </r>
      </text>
    </comment>
    <comment ref="C16" authorId="1" shapeId="0" xr:uid="{00000000-0006-0000-2900-000013000000}">
      <text>
        <r>
          <rPr>
            <b/>
            <sz val="9"/>
            <rFont val="Tahoma"/>
            <family val="2"/>
          </rPr>
          <t>PM-ZERT:</t>
        </r>
        <r>
          <rPr>
            <sz val="9"/>
            <rFont val="Tahoma"/>
            <family val="2"/>
          </rPr>
          <t xml:space="preserve">
List of phase-relevant milestones (based on the scope of tasks for which you are / were responsible).</t>
        </r>
      </text>
    </comment>
    <comment ref="A27" authorId="0" shapeId="0" xr:uid="{00000000-0006-0000-2900-000014000000}">
      <text>
        <r>
          <rPr>
            <b/>
            <sz val="9"/>
            <rFont val="Arial"/>
            <family val="2"/>
          </rPr>
          <t xml:space="preserve">PM-ZERT:
</t>
        </r>
        <r>
          <rPr>
            <sz val="9"/>
            <rFont val="Arial"/>
            <family val="2"/>
          </rPr>
          <t>Number of people that were present in the core team of the project</t>
        </r>
      </text>
    </comment>
    <comment ref="A28" authorId="0" shapeId="0" xr:uid="{00000000-0006-0000-2900-000015000000}">
      <text>
        <r>
          <rPr>
            <b/>
            <sz val="9"/>
            <rFont val="Arial"/>
            <family val="2"/>
          </rPr>
          <t xml:space="preserve">PM-ZERT:
</t>
        </r>
        <r>
          <rPr>
            <sz val="9"/>
            <rFont val="Arial"/>
            <family val="2"/>
          </rPr>
          <t>What project organization was decisive for the project</t>
        </r>
      </text>
    </comment>
    <comment ref="A29" authorId="0" shapeId="0" xr:uid="{00000000-0006-0000-2900-000016000000}">
      <text>
        <r>
          <rPr>
            <b/>
            <sz val="9"/>
            <rFont val="Arial"/>
            <family val="2"/>
          </rPr>
          <t xml:space="preserve">PM-ZERT:
</t>
        </r>
        <r>
          <rPr>
            <sz val="9"/>
            <rFont val="Arial"/>
            <family val="2"/>
          </rPr>
          <t>total effort (based on the scope of tasks for which you are / were responsible) in man days (MD)</t>
        </r>
      </text>
    </comment>
    <comment ref="A30" authorId="0" shapeId="0" xr:uid="{00000000-0006-0000-2900-000017000000}">
      <text>
        <r>
          <rPr>
            <b/>
            <sz val="9"/>
            <rFont val="Arial"/>
            <family val="2"/>
          </rPr>
          <t xml:space="preserve">PM-ZERT: 
</t>
        </r>
        <r>
          <rPr>
            <sz val="9"/>
            <rFont val="Arial"/>
            <family val="2"/>
          </rPr>
          <t>How much of the internal effort was worked out with own employees in man days (based on the scope of tasks for which you are / were responsible).</t>
        </r>
      </text>
    </comment>
    <comment ref="C30" authorId="2" shapeId="0" xr:uid="{00000000-0006-0000-2900-000018000000}">
      <text>
        <r>
          <rPr>
            <b/>
            <sz val="9"/>
            <rFont val="Arial"/>
            <family val="2"/>
          </rPr>
          <t>PM-ZERT:</t>
        </r>
        <r>
          <rPr>
            <sz val="9"/>
            <rFont val="Arial"/>
            <family val="2"/>
          </rPr>
          <t xml:space="preserve">
Performances of all external supporters in man days (= MD) 
(based on the scope of tasks for which you are / were responsible).</t>
        </r>
      </text>
    </comment>
    <comment ref="A31" authorId="0" shapeId="0" xr:uid="{00000000-0006-0000-2900-000019000000}">
      <text>
        <r>
          <rPr>
            <b/>
            <sz val="9"/>
            <rFont val="Arial"/>
            <family val="2"/>
          </rPr>
          <t xml:space="preserve">PM-ZERT:
</t>
        </r>
        <r>
          <rPr>
            <sz val="9"/>
            <rFont val="Arial"/>
            <family val="2"/>
          </rPr>
          <t>Total budget (based on the scope of tasks for which you are / were responsible).:
(Display options)
&lt;€ 50,000
&lt;100.000 €
&lt;€ 250,000
&lt;€ 500,000
&lt;€ 1 million
&lt;€ 5 million
&lt;€ 10 million
&lt;50 € million
&lt;€ 100 million
&gt; € 100 million
or correct total budget</t>
        </r>
      </text>
    </comment>
    <comment ref="C31" authorId="0" shapeId="0" xr:uid="{00000000-0006-0000-2900-00001A000000}">
      <text>
        <r>
          <rPr>
            <b/>
            <sz val="9"/>
            <rFont val="Arial"/>
            <family val="2"/>
          </rPr>
          <t>PM-ZERT:</t>
        </r>
        <r>
          <rPr>
            <sz val="9"/>
            <rFont val="Arial"/>
            <family val="2"/>
          </rPr>
          <t xml:space="preserve">
Which amount of total effort has been spent on PM (based on the scope of tasks for which you are / were responsible)?
Figures in % are possible.</t>
        </r>
      </text>
    </comment>
    <comment ref="A32" authorId="0" shapeId="0" xr:uid="{00000000-0006-0000-2900-00001B000000}">
      <text>
        <r>
          <rPr>
            <b/>
            <sz val="9"/>
            <rFont val="Arial"/>
            <family val="2"/>
          </rPr>
          <t xml:space="preserve">PM-ZERT:
</t>
        </r>
        <r>
          <rPr>
            <sz val="9"/>
            <rFont val="Arial"/>
            <family val="2"/>
          </rPr>
          <t>What changes (scope, staff) had to be dealt with in the project / subproject (based on the scope of tasks for which you are / were responsible)?</t>
        </r>
      </text>
    </comment>
    <comment ref="A36" authorId="1" shapeId="0" xr:uid="{00000000-0006-0000-2900-00001C000000}">
      <text>
        <r>
          <rPr>
            <b/>
            <sz val="9"/>
            <rFont val="Tahoma"/>
            <family val="2"/>
          </rPr>
          <t>PM-ZERT:</t>
        </r>
        <r>
          <rPr>
            <sz val="9"/>
            <rFont val="Tahoma"/>
            <family val="2"/>
          </rPr>
          <t xml:space="preserve">
Here, for example, information can be given concerning interfaces, overall objectives, risks, etc. to the "parent structure", if they are / were of importance for the subproject / work package.</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Wulff Seiler</author>
    <author>Walter</author>
    <author>WE</author>
  </authors>
  <commentList>
    <comment ref="A2" authorId="0" shapeId="0" xr:uid="{00000000-0006-0000-2A00-000001000000}">
      <text>
        <r>
          <rPr>
            <b/>
            <sz val="9"/>
            <rFont val="Arial"/>
            <family val="2"/>
          </rPr>
          <t xml:space="preserve">PM-ZERT:
</t>
        </r>
        <r>
          <rPr>
            <sz val="9"/>
            <rFont val="Arial"/>
            <family val="2"/>
          </rPr>
          <t xml:space="preserve">Name of the project
</t>
        </r>
      </text>
    </comment>
    <comment ref="C2" authorId="0" shapeId="0" xr:uid="{00000000-0006-0000-2A00-000002000000}">
      <text>
        <r>
          <rPr>
            <b/>
            <sz val="9"/>
            <rFont val="Arial"/>
            <family val="2"/>
          </rPr>
          <t xml:space="preserve">PM-ZERT:
</t>
        </r>
        <r>
          <rPr>
            <sz val="9"/>
            <rFont val="Arial"/>
            <family val="2"/>
          </rPr>
          <t xml:space="preserve">Identification in the companies system
</t>
        </r>
      </text>
    </comment>
    <comment ref="A3" authorId="0" shapeId="0" xr:uid="{00000000-0006-0000-2A00-000003000000}">
      <text>
        <r>
          <rPr>
            <b/>
            <sz val="9"/>
            <rFont val="Arial"/>
            <family val="2"/>
          </rPr>
          <t xml:space="preserve">PM-ZERT:
</t>
        </r>
        <r>
          <rPr>
            <sz val="9"/>
            <rFont val="Arial"/>
            <family val="2"/>
          </rPr>
          <t>Name of the project owner and his role in the organisation</t>
        </r>
      </text>
    </comment>
    <comment ref="D3" authorId="1" shapeId="0" xr:uid="{00000000-0006-0000-2A00-000004000000}">
      <text>
        <r>
          <rPr>
            <b/>
            <sz val="9"/>
            <rFont val="Tahoma"/>
            <family val="2"/>
          </rPr>
          <t xml:space="preserve">PM-ZERT:
</t>
        </r>
        <r>
          <rPr>
            <sz val="9"/>
            <rFont val="Tahoma"/>
            <family val="2"/>
          </rPr>
          <t xml:space="preserve">Please delete the </t>
        </r>
        <r>
          <rPr>
            <sz val="9"/>
            <rFont val="Wingdings"/>
            <family val="2"/>
            <charset val="2"/>
          </rPr>
          <t>x</t>
        </r>
        <r>
          <rPr>
            <sz val="9"/>
            <rFont val="Tahoma"/>
            <family val="2"/>
          </rPr>
          <t>, if not the internal owner is meant.</t>
        </r>
      </text>
    </comment>
    <comment ref="B4" authorId="1" shapeId="0" xr:uid="{00000000-0006-0000-2A00-000005000000}">
      <text>
        <r>
          <rPr>
            <b/>
            <sz val="9"/>
            <rFont val="Tahoma"/>
            <family val="2"/>
          </rPr>
          <t xml:space="preserve">PM-ZERT:
</t>
        </r>
        <r>
          <rPr>
            <sz val="9"/>
            <rFont val="Tahoma"/>
            <family val="2"/>
          </rPr>
          <t xml:space="preserve">Please delete the </t>
        </r>
        <r>
          <rPr>
            <sz val="9"/>
            <rFont val="Wingdings"/>
            <family val="2"/>
            <charset val="2"/>
          </rPr>
          <t>x</t>
        </r>
        <r>
          <rPr>
            <sz val="9"/>
            <rFont val="Tahoma"/>
            <family val="2"/>
          </rPr>
          <t>, if you are not the project manager.</t>
        </r>
      </text>
    </comment>
    <comment ref="C4" authorId="1" shapeId="0" xr:uid="{00000000-0006-0000-2A00-000006000000}">
      <text>
        <r>
          <rPr>
            <b/>
            <sz val="9"/>
            <rFont val="Tahoma"/>
            <family val="2"/>
          </rPr>
          <t xml:space="preserve">PM-ZERT:
</t>
        </r>
        <r>
          <rPr>
            <sz val="9"/>
            <rFont val="Tahoma"/>
            <family val="2"/>
          </rPr>
          <t xml:space="preserve">Please delete the </t>
        </r>
        <r>
          <rPr>
            <sz val="9"/>
            <rFont val="Wingdings"/>
            <family val="2"/>
            <charset val="2"/>
          </rPr>
          <t>x</t>
        </r>
        <r>
          <rPr>
            <sz val="9"/>
            <rFont val="Tahoma"/>
            <family val="2"/>
          </rPr>
          <t>, if you are not the subproject manager.</t>
        </r>
      </text>
    </comment>
    <comment ref="D4" authorId="1" shapeId="0" xr:uid="{00000000-0006-0000-2A00-000007000000}">
      <text>
        <r>
          <rPr>
            <b/>
            <sz val="9"/>
            <rFont val="Tahoma"/>
            <family val="2"/>
          </rPr>
          <t xml:space="preserve">PM-ZERT:
</t>
        </r>
        <r>
          <rPr>
            <sz val="9"/>
            <rFont val="Tahoma"/>
            <family val="2"/>
          </rPr>
          <t xml:space="preserve">Please delete the </t>
        </r>
        <r>
          <rPr>
            <sz val="9"/>
            <rFont val="Wingdings"/>
            <family val="2"/>
            <charset val="2"/>
          </rPr>
          <t>x</t>
        </r>
        <r>
          <rPr>
            <sz val="9"/>
            <rFont val="Tahoma"/>
            <family val="2"/>
          </rPr>
          <t>, if you are "more" than a team member.</t>
        </r>
      </text>
    </comment>
    <comment ref="A5" authorId="0" shapeId="0" xr:uid="{00000000-0006-0000-2A00-000008000000}">
      <text>
        <r>
          <rPr>
            <b/>
            <sz val="9"/>
            <rFont val="Arial"/>
            <family val="2"/>
          </rPr>
          <t xml:space="preserve">PM-ZERT:
</t>
        </r>
        <r>
          <rPr>
            <sz val="9"/>
            <rFont val="Arial"/>
            <family val="2"/>
          </rPr>
          <t>Which dimensions in the "Objectives Triangle" you were responsible for?</t>
        </r>
      </text>
    </comment>
    <comment ref="B5" authorId="1" shapeId="0" xr:uid="{00000000-0006-0000-2A00-000009000000}">
      <text>
        <r>
          <rPr>
            <b/>
            <sz val="9"/>
            <rFont val="Tahoma"/>
            <family val="2"/>
          </rPr>
          <t xml:space="preserve">PM-ZERT:
</t>
        </r>
        <r>
          <rPr>
            <sz val="9"/>
            <rFont val="Tahoma"/>
            <family val="2"/>
          </rPr>
          <t xml:space="preserve">Please delete the </t>
        </r>
        <r>
          <rPr>
            <sz val="9"/>
            <rFont val="Wingdings"/>
            <family val="2"/>
            <charset val="2"/>
          </rPr>
          <t>x</t>
        </r>
        <r>
          <rPr>
            <sz val="9"/>
            <rFont val="Tahoma"/>
            <family val="2"/>
          </rPr>
          <t>, if you are not responsible for scope / deliverables.</t>
        </r>
      </text>
    </comment>
    <comment ref="C5" authorId="1" shapeId="0" xr:uid="{00000000-0006-0000-2A00-00000A000000}">
      <text>
        <r>
          <rPr>
            <b/>
            <sz val="9"/>
            <rFont val="Tahoma"/>
            <family val="2"/>
          </rPr>
          <t xml:space="preserve">PM-ZERT:
</t>
        </r>
        <r>
          <rPr>
            <sz val="9"/>
            <rFont val="Tahoma"/>
            <family val="2"/>
          </rPr>
          <t xml:space="preserve">Please delete the </t>
        </r>
        <r>
          <rPr>
            <sz val="9"/>
            <rFont val="Wingdings"/>
            <family val="2"/>
            <charset val="2"/>
          </rPr>
          <t>x</t>
        </r>
        <r>
          <rPr>
            <sz val="9"/>
            <rFont val="Tahoma"/>
            <family val="2"/>
          </rPr>
          <t>, if you are not responsible for dates.</t>
        </r>
      </text>
    </comment>
    <comment ref="D5" authorId="1" shapeId="0" xr:uid="{00000000-0006-0000-2A00-00000B000000}">
      <text>
        <r>
          <rPr>
            <b/>
            <sz val="9"/>
            <rFont val="Tahoma"/>
            <family val="2"/>
          </rPr>
          <t xml:space="preserve">PM-ZERT:
</t>
        </r>
        <r>
          <rPr>
            <sz val="9"/>
            <rFont val="Tahoma"/>
            <family val="2"/>
          </rPr>
          <t xml:space="preserve">Please delete the </t>
        </r>
        <r>
          <rPr>
            <sz val="9"/>
            <rFont val="Wingdings"/>
            <family val="2"/>
            <charset val="2"/>
          </rPr>
          <t>x</t>
        </r>
        <r>
          <rPr>
            <sz val="9"/>
            <rFont val="Tahoma"/>
            <family val="2"/>
          </rPr>
          <t>, if you are not responsible for costs.</t>
        </r>
      </text>
    </comment>
    <comment ref="A7" authorId="0" shapeId="0" xr:uid="{00000000-0006-0000-2A00-00000C000000}">
      <text>
        <r>
          <rPr>
            <b/>
            <sz val="9"/>
            <rFont val="Arial"/>
            <family val="2"/>
          </rPr>
          <t xml:space="preserve">PM-ZERT:
</t>
        </r>
        <r>
          <rPr>
            <sz val="9"/>
            <rFont val="Arial"/>
            <family val="2"/>
          </rPr>
          <t>Short narrative description of the project (purpose, benefits)</t>
        </r>
      </text>
    </comment>
    <comment ref="A9" authorId="1" shapeId="0" xr:uid="{00000000-0006-0000-2A00-00000D000000}">
      <text>
        <r>
          <rPr>
            <b/>
            <sz val="9"/>
            <rFont val="Tahoma"/>
            <family val="2"/>
          </rPr>
          <t>PM-ZERT:</t>
        </r>
        <r>
          <rPr>
            <sz val="9"/>
            <rFont val="Tahoma"/>
            <family val="2"/>
          </rPr>
          <t xml:space="preserve">
Description of the task scope, for which you are / were responsible.</t>
        </r>
      </text>
    </comment>
    <comment ref="A11" authorId="0" shapeId="0" xr:uid="{00000000-0006-0000-2A00-00000E000000}">
      <text>
        <r>
          <rPr>
            <b/>
            <sz val="9"/>
            <rFont val="Arial"/>
            <family val="2"/>
          </rPr>
          <t xml:space="preserve">PM-Zert:
</t>
        </r>
        <r>
          <rPr>
            <sz val="9"/>
            <rFont val="Arial"/>
            <family val="2"/>
          </rPr>
          <t>Description of the objectives of the objectives triangle,  additional a social objective (based on the scope of tasks for which you are / were responsible).</t>
        </r>
      </text>
    </comment>
    <comment ref="A13" authorId="0" shapeId="0" xr:uid="{00000000-0006-0000-2A00-00000F000000}">
      <text>
        <r>
          <rPr>
            <b/>
            <sz val="9"/>
            <rFont val="Arial"/>
            <family val="2"/>
          </rPr>
          <t xml:space="preserve">PM-ZERT:
</t>
        </r>
        <r>
          <rPr>
            <sz val="9"/>
            <rFont val="Arial"/>
            <family val="2"/>
          </rPr>
          <t>What deliverables to be delivered -  (based on the scope of tasks for which you are / were responsible).</t>
        </r>
      </text>
    </comment>
    <comment ref="A15" authorId="0" shapeId="0" xr:uid="{00000000-0006-0000-2A00-000010000000}">
      <text>
        <r>
          <rPr>
            <b/>
            <sz val="9"/>
            <rFont val="Arial"/>
            <family val="2"/>
          </rPr>
          <t xml:space="preserve">PM-ZERT:
</t>
        </r>
        <r>
          <rPr>
            <sz val="9"/>
            <rFont val="Arial"/>
            <family val="2"/>
          </rPr>
          <t>start date MM.YY
(based on the scope of tasks for which you are / were responsible).</t>
        </r>
      </text>
    </comment>
    <comment ref="C15" authorId="0" shapeId="0" xr:uid="{00000000-0006-0000-2A00-000011000000}">
      <text>
        <r>
          <rPr>
            <b/>
            <sz val="9"/>
            <rFont val="Arial"/>
            <family val="2"/>
          </rPr>
          <t xml:space="preserve">PM-ZERT:
</t>
        </r>
        <r>
          <rPr>
            <sz val="9"/>
            <rFont val="Arial"/>
            <family val="2"/>
          </rPr>
          <t>end date MM.YY
(based on the scope of tasks for which you are / were responsible).</t>
        </r>
      </text>
    </comment>
    <comment ref="A16" authorId="0" shapeId="0" xr:uid="{00000000-0006-0000-2A00-000012000000}">
      <text>
        <r>
          <rPr>
            <b/>
            <sz val="9"/>
            <rFont val="Arial"/>
            <family val="2"/>
          </rPr>
          <t xml:space="preserve">PM-ZERT:
</t>
        </r>
        <r>
          <rPr>
            <sz val="9"/>
            <rFont val="Arial"/>
            <family val="2"/>
          </rPr>
          <t>List of project-related phases
(based on the scope of tasks for which you are / were responsible).</t>
        </r>
      </text>
    </comment>
    <comment ref="C16" authorId="1" shapeId="0" xr:uid="{00000000-0006-0000-2A00-000013000000}">
      <text>
        <r>
          <rPr>
            <b/>
            <sz val="9"/>
            <rFont val="Tahoma"/>
            <family val="2"/>
          </rPr>
          <t>PM-ZERT:</t>
        </r>
        <r>
          <rPr>
            <sz val="9"/>
            <rFont val="Tahoma"/>
            <family val="2"/>
          </rPr>
          <t xml:space="preserve">
List of phase-relevant milestones (based on the scope of tasks for which you are / were responsible).</t>
        </r>
      </text>
    </comment>
    <comment ref="A27" authorId="0" shapeId="0" xr:uid="{00000000-0006-0000-2A00-000014000000}">
      <text>
        <r>
          <rPr>
            <b/>
            <sz val="9"/>
            <rFont val="Arial"/>
            <family val="2"/>
          </rPr>
          <t xml:space="preserve">PM-ZERT:
</t>
        </r>
        <r>
          <rPr>
            <sz val="9"/>
            <rFont val="Arial"/>
            <family val="2"/>
          </rPr>
          <t>Number of people that were present in the core team of the project</t>
        </r>
      </text>
    </comment>
    <comment ref="A28" authorId="0" shapeId="0" xr:uid="{00000000-0006-0000-2A00-000015000000}">
      <text>
        <r>
          <rPr>
            <b/>
            <sz val="9"/>
            <rFont val="Arial"/>
            <family val="2"/>
          </rPr>
          <t xml:space="preserve">PM-ZERT:
</t>
        </r>
        <r>
          <rPr>
            <sz val="9"/>
            <rFont val="Arial"/>
            <family val="2"/>
          </rPr>
          <t>What project organization was decisive for the project</t>
        </r>
      </text>
    </comment>
    <comment ref="A29" authorId="0" shapeId="0" xr:uid="{00000000-0006-0000-2A00-000016000000}">
      <text>
        <r>
          <rPr>
            <b/>
            <sz val="9"/>
            <rFont val="Arial"/>
            <family val="2"/>
          </rPr>
          <t xml:space="preserve">PM-ZERT:
</t>
        </r>
        <r>
          <rPr>
            <sz val="9"/>
            <rFont val="Arial"/>
            <family val="2"/>
          </rPr>
          <t>total effort (based on the scope of tasks for which you are / were responsible) in man days (MD)</t>
        </r>
      </text>
    </comment>
    <comment ref="A30" authorId="0" shapeId="0" xr:uid="{00000000-0006-0000-2A00-000017000000}">
      <text>
        <r>
          <rPr>
            <b/>
            <sz val="9"/>
            <rFont val="Arial"/>
            <family val="2"/>
          </rPr>
          <t xml:space="preserve">PM-ZERT: 
</t>
        </r>
        <r>
          <rPr>
            <sz val="9"/>
            <rFont val="Arial"/>
            <family val="2"/>
          </rPr>
          <t>How much of the internal effort was worked out with own employees in man days (based on the scope of tasks for which you are / were responsible).</t>
        </r>
      </text>
    </comment>
    <comment ref="C30" authorId="2" shapeId="0" xr:uid="{00000000-0006-0000-2A00-000018000000}">
      <text>
        <r>
          <rPr>
            <b/>
            <sz val="9"/>
            <rFont val="Arial"/>
            <family val="2"/>
          </rPr>
          <t>PM-ZERT:</t>
        </r>
        <r>
          <rPr>
            <sz val="9"/>
            <rFont val="Arial"/>
            <family val="2"/>
          </rPr>
          <t xml:space="preserve">
Performances of all external supporters in man days (= MD) 
(based on the scope of tasks for which you are / were responsible).</t>
        </r>
      </text>
    </comment>
    <comment ref="A31" authorId="0" shapeId="0" xr:uid="{00000000-0006-0000-2A00-000019000000}">
      <text>
        <r>
          <rPr>
            <b/>
            <sz val="9"/>
            <rFont val="Arial"/>
            <family val="2"/>
          </rPr>
          <t xml:space="preserve">PM-ZERT:
</t>
        </r>
        <r>
          <rPr>
            <sz val="9"/>
            <rFont val="Arial"/>
            <family val="2"/>
          </rPr>
          <t>Total budget (based on the scope of tasks for which you are / were responsible).:
(Display options)
&lt;€ 50,000
&lt;100.000 €
&lt;€ 250,000
&lt;€ 500,000
&lt;€ 1 million
&lt;€ 5 million
&lt;€ 10 million
&lt;50 € million
&lt;€ 100 million
&gt; € 100 million
or correct total budget</t>
        </r>
      </text>
    </comment>
    <comment ref="C31" authorId="0" shapeId="0" xr:uid="{00000000-0006-0000-2A00-00001A000000}">
      <text>
        <r>
          <rPr>
            <b/>
            <sz val="9"/>
            <rFont val="Arial"/>
            <family val="2"/>
          </rPr>
          <t>PM-ZERT:</t>
        </r>
        <r>
          <rPr>
            <sz val="9"/>
            <rFont val="Arial"/>
            <family val="2"/>
          </rPr>
          <t xml:space="preserve">
Which amount of total effort has been spent on PM (based on the scope of tasks for which you are / were responsible)?
Figures in % are possible.</t>
        </r>
      </text>
    </comment>
    <comment ref="A32" authorId="0" shapeId="0" xr:uid="{00000000-0006-0000-2A00-00001B000000}">
      <text>
        <r>
          <rPr>
            <b/>
            <sz val="9"/>
            <rFont val="Arial"/>
            <family val="2"/>
          </rPr>
          <t xml:space="preserve">PM-ZERT:
</t>
        </r>
        <r>
          <rPr>
            <sz val="9"/>
            <rFont val="Arial"/>
            <family val="2"/>
          </rPr>
          <t>What changes (scope, staff) had to be dealt with in the project / subproject (based on the scope of tasks for which you are / were responsible)?</t>
        </r>
      </text>
    </comment>
    <comment ref="A36" authorId="1" shapeId="0" xr:uid="{00000000-0006-0000-2A00-00001C000000}">
      <text>
        <r>
          <rPr>
            <b/>
            <sz val="9"/>
            <rFont val="Tahoma"/>
            <family val="2"/>
          </rPr>
          <t>PM-ZERT:</t>
        </r>
        <r>
          <rPr>
            <sz val="9"/>
            <rFont val="Tahoma"/>
            <family val="2"/>
          </rPr>
          <t xml:space="preserve">
Here, for example, information can be given concerning interfaces, overall objectives, risks, etc. to the "parent structure", if they are / were of importance for the subproject / work package.</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Wulff Seiler</author>
    <author>Hannes</author>
  </authors>
  <commentList>
    <comment ref="D8" authorId="0" shapeId="0" xr:uid="{4D9D609B-5DA6-4F03-8513-ABC460F5548F}">
      <text>
        <r>
          <rPr>
            <b/>
            <sz val="9"/>
            <rFont val="Arial"/>
            <family val="2"/>
          </rPr>
          <t>EN:</t>
        </r>
        <r>
          <rPr>
            <sz val="9"/>
            <rFont val="Arial"/>
            <family val="2"/>
          </rPr>
          <t xml:space="preserve"> 
Company internal activity ID
</t>
        </r>
        <r>
          <rPr>
            <b/>
            <sz val="9"/>
            <rFont val="Arial"/>
            <family val="2"/>
          </rPr>
          <t>DE:</t>
        </r>
        <r>
          <rPr>
            <sz val="9"/>
            <rFont val="Arial"/>
            <family val="2"/>
          </rPr>
          <t xml:space="preserve"> 
Firmen-interne Vorgangs- oder Projekt Nummer
</t>
        </r>
      </text>
    </comment>
    <comment ref="B22" authorId="0" shapeId="0" xr:uid="{7927BD0D-C87E-45E0-BEDD-78FC8F7563AD}">
      <text>
        <r>
          <rPr>
            <b/>
            <sz val="9"/>
            <rFont val="Arial"/>
            <family val="2"/>
          </rPr>
          <t xml:space="preserve">EN:
</t>
        </r>
        <r>
          <rPr>
            <sz val="9"/>
            <rFont val="Arial"/>
            <family val="2"/>
          </rPr>
          <t xml:space="preserve">Short narrative description of the activity  (purpose, benefits)
</t>
        </r>
        <r>
          <rPr>
            <b/>
            <sz val="9"/>
            <rFont val="Arial"/>
            <family val="2"/>
          </rPr>
          <t>DE:</t>
        </r>
        <r>
          <rPr>
            <sz val="9"/>
            <rFont val="Arial"/>
            <family val="2"/>
          </rPr>
          <t xml:space="preserve">
Kurze Beschreibung des Vorhabens  (Zweck, Nutzen)</t>
        </r>
      </text>
    </comment>
    <comment ref="C30" authorId="1" shapeId="0" xr:uid="{0ECFB72A-8A3B-4A81-ADC0-CFE9D61BC1B5}">
      <text>
        <r>
          <rPr>
            <b/>
            <sz val="9"/>
            <rFont val="Tahoma"/>
            <family val="2"/>
          </rPr>
          <t>EN:</t>
        </r>
        <r>
          <rPr>
            <sz val="9"/>
            <rFont val="Tahoma"/>
            <family val="2"/>
          </rPr>
          <t xml:space="preserve">
automatically pre-filled with start date of your involvement. Change this date if the project started before you joined.
</t>
        </r>
        <r>
          <rPr>
            <b/>
            <sz val="9"/>
            <rFont val="Tahoma"/>
            <family val="2"/>
          </rPr>
          <t xml:space="preserve">DE:
</t>
        </r>
        <r>
          <rPr>
            <sz val="9"/>
            <rFont val="Tahoma"/>
            <family val="2"/>
          </rPr>
          <t>Wird automatisch mit dem Startdatum der PM Tätigkeit befüllt. Bitte entsprechend anpassen, falls Sie ein bestehendes Projekt übernommen haben.</t>
        </r>
      </text>
    </comment>
    <comment ref="E30" authorId="1" shapeId="0" xr:uid="{000D17B6-47F1-4053-B750-67D207AA618F}">
      <text>
        <r>
          <rPr>
            <b/>
            <sz val="9"/>
            <rFont val="Tahoma"/>
            <family val="2"/>
          </rPr>
          <t>EN:</t>
        </r>
        <r>
          <rPr>
            <sz val="9"/>
            <rFont val="Tahoma"/>
            <family val="2"/>
          </rPr>
          <t xml:space="preserve">
automatically pre-filled with end date of your involvement. Change this date if the project ended after you joined.
</t>
        </r>
        <r>
          <rPr>
            <b/>
            <sz val="9"/>
            <rFont val="Tahoma"/>
            <family val="2"/>
          </rPr>
          <t>DE:</t>
        </r>
        <r>
          <rPr>
            <sz val="9"/>
            <rFont val="Tahoma"/>
            <family val="2"/>
          </rPr>
          <t xml:space="preserve">
Wird automatisch mit dem Enddatum der PM Tätigkeit befüllt. Bitte entsprechend anpassen, falls Sie das Projekt vor Ende verlassen haben.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Wulff Seiler</author>
    <author>Hannes</author>
  </authors>
  <commentList>
    <comment ref="D8" authorId="0" shapeId="0" xr:uid="{E41DE0D3-FC6F-48B1-996D-D065C9B6C44D}">
      <text>
        <r>
          <rPr>
            <b/>
            <sz val="9"/>
            <rFont val="Arial"/>
            <family val="2"/>
          </rPr>
          <t>EN:</t>
        </r>
        <r>
          <rPr>
            <sz val="9"/>
            <rFont val="Arial"/>
            <family val="2"/>
          </rPr>
          <t xml:space="preserve"> 
Company internal activity ID
</t>
        </r>
        <r>
          <rPr>
            <b/>
            <sz val="9"/>
            <rFont val="Arial"/>
            <family val="2"/>
          </rPr>
          <t>DE:</t>
        </r>
        <r>
          <rPr>
            <sz val="9"/>
            <rFont val="Arial"/>
            <family val="2"/>
          </rPr>
          <t xml:space="preserve"> 
Firmen-interne Vorgangs- oder Projekt Nummer
</t>
        </r>
      </text>
    </comment>
    <comment ref="B22" authorId="0" shapeId="0" xr:uid="{6B84C79E-C59A-48D3-B9AD-931DD7072BCC}">
      <text>
        <r>
          <rPr>
            <b/>
            <sz val="9"/>
            <rFont val="Arial"/>
            <family val="2"/>
          </rPr>
          <t xml:space="preserve">EN:
</t>
        </r>
        <r>
          <rPr>
            <sz val="9"/>
            <rFont val="Arial"/>
            <family val="2"/>
          </rPr>
          <t xml:space="preserve">Short narrative description of the activity  (purpose, benefits)
</t>
        </r>
        <r>
          <rPr>
            <b/>
            <sz val="9"/>
            <rFont val="Arial"/>
            <family val="2"/>
          </rPr>
          <t>DE:</t>
        </r>
        <r>
          <rPr>
            <sz val="9"/>
            <rFont val="Arial"/>
            <family val="2"/>
          </rPr>
          <t xml:space="preserve">
Kurze Beschreibung des Vorhabens  (Zweck, Nutzen)</t>
        </r>
      </text>
    </comment>
    <comment ref="C30" authorId="1" shapeId="0" xr:uid="{972CFD58-39D1-4772-8E8C-E8176D19EBF4}">
      <text>
        <r>
          <rPr>
            <b/>
            <sz val="9"/>
            <rFont val="Tahoma"/>
            <family val="2"/>
          </rPr>
          <t>EN:</t>
        </r>
        <r>
          <rPr>
            <sz val="9"/>
            <rFont val="Tahoma"/>
            <family val="2"/>
          </rPr>
          <t xml:space="preserve">
automatically pre-filled with start date of your involvement. Change this date if the project started before you joined.
</t>
        </r>
        <r>
          <rPr>
            <b/>
            <sz val="9"/>
            <rFont val="Tahoma"/>
            <family val="2"/>
          </rPr>
          <t xml:space="preserve">DE:
</t>
        </r>
        <r>
          <rPr>
            <sz val="9"/>
            <rFont val="Tahoma"/>
            <family val="2"/>
          </rPr>
          <t>Wird automatisch mit dem Startdatum der PM Tätigkeit befüllt. Bitte entsprechend anpassen, falls Sie ein bestehendes Projekt übernommen haben.</t>
        </r>
      </text>
    </comment>
    <comment ref="E30" authorId="1" shapeId="0" xr:uid="{CC0819EF-00D5-4C8F-8AB5-839F82644371}">
      <text>
        <r>
          <rPr>
            <b/>
            <sz val="9"/>
            <rFont val="Tahoma"/>
            <family val="2"/>
          </rPr>
          <t>EN:</t>
        </r>
        <r>
          <rPr>
            <sz val="9"/>
            <rFont val="Tahoma"/>
            <family val="2"/>
          </rPr>
          <t xml:space="preserve">
automatically pre-filled with end date of your involvement. Change this date if the project ended after you joined.
</t>
        </r>
        <r>
          <rPr>
            <b/>
            <sz val="9"/>
            <rFont val="Tahoma"/>
            <family val="2"/>
          </rPr>
          <t>DE:</t>
        </r>
        <r>
          <rPr>
            <sz val="9"/>
            <rFont val="Tahoma"/>
            <family val="2"/>
          </rPr>
          <t xml:space="preserve">
Wird automatisch mit dem Enddatum der PM Tätigkeit befüllt. Bitte entsprechend anpassen, falls Sie das Projekt vor Ende verlassen haben.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
    <author>Hannes Griebel</author>
    <author>Hannes S. Griebel</author>
  </authors>
  <commentList>
    <comment ref="AH2" authorId="0" shapeId="0" xr:uid="{00000000-0006-0000-2B00-000003000000}">
      <text>
        <r>
          <rPr>
            <b/>
            <sz val="9"/>
            <rFont val="Arial"/>
            <family val="2"/>
          </rPr>
          <t xml:space="preserve">EN:
</t>
        </r>
        <r>
          <rPr>
            <sz val="9"/>
            <rFont val="Arial"/>
            <family val="2"/>
          </rPr>
          <t xml:space="preserve">Calculated PM validity
</t>
        </r>
        <r>
          <rPr>
            <b/>
            <sz val="9"/>
            <rFont val="Arial"/>
            <family val="2"/>
          </rPr>
          <t xml:space="preserve">
DE:</t>
        </r>
        <r>
          <rPr>
            <sz val="9"/>
            <rFont val="Arial"/>
            <family val="2"/>
          </rPr>
          <t xml:space="preserve">
Errechnete Projektgültigkeit</t>
        </r>
      </text>
    </comment>
    <comment ref="B4" authorId="0" shapeId="0" xr:uid="{00000000-0006-0000-2B00-000001000000}">
      <text>
        <r>
          <rPr>
            <b/>
            <sz val="9"/>
            <rFont val="Arial"/>
            <family val="2"/>
          </rPr>
          <t>EN:</t>
        </r>
        <r>
          <rPr>
            <sz val="9"/>
            <rFont val="Arial"/>
            <family val="2"/>
          </rPr>
          <t xml:space="preserve">
E = Initial certification
H = upgrade
R = Re-Certification
</t>
        </r>
        <r>
          <rPr>
            <b/>
            <sz val="9"/>
            <rFont val="Arial"/>
            <family val="2"/>
          </rPr>
          <t xml:space="preserve">
DE:</t>
        </r>
        <r>
          <rPr>
            <sz val="9"/>
            <rFont val="Arial"/>
            <family val="2"/>
          </rPr>
          <t xml:space="preserve">
E = Erst-Zertifizierung
H = Upgrade
R = Rezertifizierung</t>
        </r>
      </text>
    </comment>
    <comment ref="I6" authorId="1" shapeId="0" xr:uid="{B4CAFEE0-4656-4AE1-9E83-093F88189BA5}">
      <text>
        <r>
          <rPr>
            <b/>
            <sz val="9"/>
            <rFont val="Tahoma"/>
            <family val="2"/>
          </rPr>
          <t xml:space="preserve">EN: 
</t>
        </r>
        <r>
          <rPr>
            <sz val="9"/>
            <rFont val="Tahoma"/>
            <family val="2"/>
          </rPr>
          <t xml:space="preserve">May be different from project involvement (PM activity).
</t>
        </r>
        <r>
          <rPr>
            <b/>
            <sz val="9"/>
            <rFont val="Tahoma"/>
            <family val="2"/>
          </rPr>
          <t xml:space="preserve">DE: 
</t>
        </r>
        <r>
          <rPr>
            <sz val="9"/>
            <rFont val="Tahoma"/>
            <family val="2"/>
          </rPr>
          <t>Kann ggf. von PM-Tätigkeit abweichen</t>
        </r>
      </text>
    </comment>
    <comment ref="AA6" authorId="1" shapeId="0" xr:uid="{9BA6506F-22CD-42C4-8D0A-EE1A1A17E8D3}">
      <text>
        <r>
          <rPr>
            <b/>
            <sz val="9"/>
            <rFont val="Tahoma"/>
            <family val="2"/>
          </rPr>
          <t xml:space="preserve">EN:
</t>
        </r>
        <r>
          <rPr>
            <sz val="9"/>
            <rFont val="Tahoma"/>
            <family val="2"/>
          </rPr>
          <t xml:space="preserve">Co-A for documentation only (does not count, Lead A is responsible for final classification.
</t>
        </r>
        <r>
          <rPr>
            <b/>
            <sz val="9"/>
            <rFont val="Tahoma"/>
            <family val="2"/>
          </rPr>
          <t xml:space="preserve">DE:
</t>
        </r>
        <r>
          <rPr>
            <sz val="9"/>
            <rFont val="Tahoma"/>
            <family val="2"/>
          </rPr>
          <t xml:space="preserve">Co-A nur für Dokumentationszwecke. Lead-A Klassifizierung gilt wertend.
</t>
        </r>
      </text>
    </comment>
    <comment ref="AD6" authorId="0" shapeId="0" xr:uid="{00000000-0006-0000-2B00-000006000000}">
      <text>
        <r>
          <rPr>
            <b/>
            <sz val="8"/>
            <rFont val="Tahoma"/>
            <family val="2"/>
          </rPr>
          <t xml:space="preserve">EN:
</t>
        </r>
        <r>
          <rPr>
            <sz val="8"/>
            <rFont val="Tahoma"/>
            <family val="2"/>
          </rPr>
          <t>Mean value across changed cells</t>
        </r>
        <r>
          <rPr>
            <b/>
            <sz val="8"/>
            <rFont val="Tahoma"/>
            <family val="2"/>
          </rPr>
          <t xml:space="preserve">
DE:</t>
        </r>
        <r>
          <rPr>
            <sz val="8"/>
            <rFont val="Tahoma"/>
            <family val="2"/>
          </rPr>
          <t xml:space="preserve">
Mittelwert der geänderten Zellen</t>
        </r>
      </text>
    </comment>
    <comment ref="B28" authorId="0" shapeId="0" xr:uid="{00000000-0006-0000-2B00-000007000000}">
      <text>
        <r>
          <rPr>
            <b/>
            <sz val="9"/>
            <rFont val="Arial"/>
            <family val="2"/>
          </rPr>
          <t xml:space="preserve"> PM-ZERT :</t>
        </r>
        <r>
          <rPr>
            <sz val="9"/>
            <rFont val="Arial"/>
            <family val="2"/>
          </rPr>
          <t xml:space="preserve">
earliest date entry (overall start)</t>
        </r>
      </text>
    </comment>
    <comment ref="D28" authorId="0" shapeId="0" xr:uid="{00000000-0006-0000-2B00-000008000000}">
      <text>
        <r>
          <rPr>
            <b/>
            <sz val="9"/>
            <rFont val="Arial"/>
            <family val="2"/>
          </rPr>
          <t xml:space="preserve"> PM-ZERT :</t>
        </r>
        <r>
          <rPr>
            <sz val="9"/>
            <rFont val="Arial"/>
            <family val="2"/>
          </rPr>
          <t xml:space="preserve">
latest date entry (overall end)</t>
        </r>
      </text>
    </comment>
    <comment ref="AC28" authorId="2" shapeId="0" xr:uid="{00000000-0006-0000-2B00-000009000000}">
      <text>
        <r>
          <rPr>
            <b/>
            <sz val="9"/>
            <rFont val="Tahoma"/>
            <family val="2"/>
          </rPr>
          <t>EN:</t>
        </r>
        <r>
          <rPr>
            <sz val="9"/>
            <rFont val="Tahoma"/>
            <family val="2"/>
          </rPr>
          <t xml:space="preserve">
Thi field will change to "manually edited" if any of the percentage values in the schedule view to the right were adjusted manually.
</t>
        </r>
        <r>
          <rPr>
            <b/>
            <sz val="9"/>
            <rFont val="Tahoma"/>
            <family val="2"/>
          </rPr>
          <t xml:space="preserve">
DE:</t>
        </r>
        <r>
          <rPr>
            <sz val="9"/>
            <rFont val="Tahoma"/>
            <family val="2"/>
          </rPr>
          <t xml:space="preserve">
Dieses zeigt an, ob die Auslastungswerte manuell angepasst wurden.</t>
        </r>
      </text>
    </comment>
    <comment ref="AF28" authorId="0" shapeId="0" xr:uid="{00000000-0006-0000-2B00-00000A000000}">
      <text>
        <r>
          <rPr>
            <b/>
            <sz val="9"/>
            <rFont val="Arial"/>
            <family val="2"/>
          </rPr>
          <t xml:space="preserve"> EN :</t>
        </r>
        <r>
          <rPr>
            <sz val="9"/>
            <rFont val="Arial"/>
            <family val="2"/>
          </rPr>
          <t xml:space="preserve">
Total avarage workload, in  percent FTE
</t>
        </r>
        <r>
          <rPr>
            <b/>
            <sz val="9"/>
            <rFont val="Arial"/>
            <family val="2"/>
          </rPr>
          <t xml:space="preserve">
DE:
</t>
        </r>
        <r>
          <rPr>
            <sz val="9"/>
            <rFont val="Arial"/>
            <family val="2"/>
          </rPr>
          <t>Durchschnittliche Auslastung in VZÄ %</t>
        </r>
      </text>
    </comment>
    <comment ref="AF29" authorId="0" shapeId="0" xr:uid="{00000000-0006-0000-2B00-00000B000000}">
      <text>
        <r>
          <rPr>
            <b/>
            <sz val="9"/>
            <rFont val="Arial"/>
            <family val="2"/>
          </rPr>
          <t>EN:</t>
        </r>
        <r>
          <rPr>
            <sz val="9"/>
            <rFont val="Arial"/>
            <family val="2"/>
          </rPr>
          <t xml:space="preserve">
Total overall PM worload
</t>
        </r>
        <r>
          <rPr>
            <b/>
            <sz val="9"/>
            <rFont val="Arial"/>
            <family val="2"/>
          </rPr>
          <t>DE:</t>
        </r>
        <r>
          <rPr>
            <sz val="9"/>
            <rFont val="Arial"/>
            <family val="2"/>
          </rPr>
          <t xml:space="preserve">
Gesamt PM Aufwand</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WE</author>
    <author>Walter</author>
  </authors>
  <commentList>
    <comment ref="C4" authorId="0" shapeId="0" xr:uid="{00000000-0006-0000-2C00-000001000000}">
      <text>
        <r>
          <rPr>
            <b/>
            <sz val="9"/>
            <rFont val="Arial"/>
            <family val="2"/>
          </rPr>
          <t>PM-ZERT:</t>
        </r>
        <r>
          <rPr>
            <sz val="9"/>
            <rFont val="Arial"/>
            <family val="2"/>
          </rPr>
          <t xml:space="preserve">
Enter your name here.</t>
        </r>
      </text>
    </comment>
    <comment ref="F5" authorId="0" shapeId="0" xr:uid="{00000000-0006-0000-2C00-000002000000}">
      <text>
        <r>
          <rPr>
            <b/>
            <sz val="9"/>
            <rFont val="Arial"/>
            <family val="2"/>
          </rPr>
          <t>PM-ZERT:</t>
        </r>
        <r>
          <rPr>
            <sz val="9"/>
            <rFont val="Arial"/>
            <family val="2"/>
          </rPr>
          <t xml:space="preserve">
Enter the expected date of your certification here.
In case of recertification enter the expiring date of your certificate.</t>
        </r>
      </text>
    </comment>
    <comment ref="A7" authorId="0" shapeId="0" xr:uid="{00000000-0006-0000-2C00-000003000000}">
      <text>
        <r>
          <rPr>
            <b/>
            <sz val="9"/>
            <rFont val="Arial"/>
            <family val="2"/>
          </rPr>
          <t>PM-ZERT:</t>
        </r>
        <r>
          <rPr>
            <sz val="9"/>
            <rFont val="Arial"/>
            <family val="2"/>
          </rPr>
          <t xml:space="preserve">
By clicking on the registered number will take you to the edit page of your project.
The number refers to the project number in the project description.</t>
        </r>
      </text>
    </comment>
    <comment ref="C7" authorId="0" shapeId="0" xr:uid="{00000000-0006-0000-2C00-000004000000}">
      <text>
        <r>
          <rPr>
            <b/>
            <sz val="9"/>
            <rFont val="Arial"/>
            <family val="2"/>
          </rPr>
          <t>PM-ZERT:</t>
        </r>
        <r>
          <rPr>
            <sz val="9"/>
            <rFont val="Arial"/>
            <family val="2"/>
          </rPr>
          <t xml:space="preserve">
project duration in total with or without your involvement.</t>
        </r>
      </text>
    </comment>
    <comment ref="E7" authorId="0" shapeId="0" xr:uid="{00000000-0006-0000-2C00-000005000000}">
      <text>
        <r>
          <rPr>
            <b/>
            <sz val="9"/>
            <rFont val="Arial"/>
            <family val="2"/>
          </rPr>
          <t>PM-ZERT:</t>
        </r>
        <r>
          <rPr>
            <sz val="9"/>
            <rFont val="Arial"/>
            <family val="2"/>
          </rPr>
          <t xml:space="preserve">
Brief description / details of your role applied to the project.
If multiple roles are perceived within a project, they must be individually listed in one row for each.
Crucial for admission in the certification process is the activity in the desired level.</t>
        </r>
      </text>
    </comment>
    <comment ref="F7" authorId="0" shapeId="0" xr:uid="{00000000-0006-0000-2C00-000006000000}">
      <text>
        <r>
          <rPr>
            <b/>
            <sz val="9"/>
            <rFont val="Arial"/>
            <family val="2"/>
          </rPr>
          <t>PM-ZERT:</t>
        </r>
        <r>
          <rPr>
            <sz val="9"/>
            <rFont val="Arial"/>
            <family val="2"/>
          </rPr>
          <t xml:space="preserve">
Duration of your involvement within the project in the indicated role</t>
        </r>
      </text>
    </comment>
    <comment ref="H7" authorId="0" shapeId="0" xr:uid="{00000000-0006-0000-2C00-000007000000}">
      <text>
        <r>
          <rPr>
            <b/>
            <sz val="9"/>
            <rFont val="Arial"/>
            <family val="2"/>
          </rPr>
          <t>PM-ZERT:</t>
        </r>
        <r>
          <rPr>
            <sz val="9"/>
            <rFont val="Arial"/>
            <family val="2"/>
          </rPr>
          <t xml:space="preserve">
Enter your average involvement to those in col F and G named deployment in projects.</t>
        </r>
      </text>
    </comment>
    <comment ref="C8" authorId="0" shapeId="0" xr:uid="{00000000-0006-0000-2C00-000008000000}">
      <text>
        <r>
          <rPr>
            <b/>
            <sz val="9"/>
            <rFont val="Arial"/>
            <family val="2"/>
          </rPr>
          <t>PM-ZERT:</t>
        </r>
        <r>
          <rPr>
            <sz val="9"/>
            <rFont val="Arial"/>
            <family val="2"/>
          </rPr>
          <t xml:space="preserve">
Enter the beginning of the project in the format: month and year.</t>
        </r>
      </text>
    </comment>
    <comment ref="D8" authorId="0" shapeId="0" xr:uid="{00000000-0006-0000-2C00-000009000000}">
      <text>
        <r>
          <rPr>
            <b/>
            <sz val="9"/>
            <rFont val="Arial"/>
            <family val="2"/>
          </rPr>
          <t>PM-ZERT:</t>
        </r>
        <r>
          <rPr>
            <sz val="9"/>
            <rFont val="Arial"/>
            <family val="2"/>
          </rPr>
          <t xml:space="preserve">
Enter the end of the project in the format: month and year.</t>
        </r>
      </text>
    </comment>
    <comment ref="F8" authorId="0" shapeId="0" xr:uid="{00000000-0006-0000-2C00-00000A000000}">
      <text>
        <r>
          <rPr>
            <b/>
            <sz val="9"/>
            <rFont val="Arial"/>
            <family val="2"/>
          </rPr>
          <t>PM-ZERT:</t>
        </r>
        <r>
          <rPr>
            <sz val="9"/>
            <rFont val="Arial"/>
            <family val="2"/>
          </rPr>
          <t xml:space="preserve">
Beginning of activity in the specified role is entered by entering the month and year.
This cell is RED, if its value &lt; value in column C.</t>
        </r>
      </text>
    </comment>
    <comment ref="G8" authorId="0" shapeId="0" xr:uid="{00000000-0006-0000-2C00-00000B000000}">
      <text>
        <r>
          <rPr>
            <b/>
            <sz val="9"/>
            <rFont val="Arial"/>
            <family val="2"/>
          </rPr>
          <t>PM-ZERT:</t>
        </r>
        <r>
          <rPr>
            <sz val="9"/>
            <rFont val="Arial"/>
            <family val="2"/>
          </rPr>
          <t xml:space="preserve">
End of activity in the specified role is entered by entering the month and year.
This cell is RED, if its value &gt; value in column D.</t>
        </r>
      </text>
    </comment>
    <comment ref="J8" authorId="1" shapeId="0" xr:uid="{00000000-0006-0000-2C00-00000C000000}">
      <text>
        <r>
          <rPr>
            <b/>
            <sz val="9"/>
            <rFont val="Arial"/>
            <family val="2"/>
          </rPr>
          <t>PM-ZERT:</t>
        </r>
        <r>
          <rPr>
            <sz val="9"/>
            <rFont val="Arial"/>
            <family val="2"/>
          </rPr>
          <t xml:space="preserve">
Is calculated from the difference in columns F and G using the information given in C and D as well as of the certification date.</t>
        </r>
      </text>
    </comment>
    <comment ref="K8" authorId="1" shapeId="0" xr:uid="{00000000-0006-0000-2C00-00000D000000}">
      <text>
        <r>
          <rPr>
            <b/>
            <sz val="9"/>
            <rFont val="Arial"/>
            <family val="2"/>
          </rPr>
          <t>PM-ZERT:</t>
        </r>
        <r>
          <rPr>
            <sz val="9"/>
            <rFont val="Arial"/>
            <family val="2"/>
          </rPr>
          <t xml:space="preserve">
Is calculated from the values ​​in columns I and H. This is the Full Time Equivalent (FTE).</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
  </authors>
  <commentList>
    <comment ref="H1" authorId="0" shapeId="0" xr:uid="{00000000-0006-0000-2D00-000001000000}">
      <text>
        <r>
          <rPr>
            <b/>
            <sz val="8"/>
            <rFont val="Tahoma"/>
            <family val="2"/>
          </rPr>
          <t xml:space="preserve"> Seiler:</t>
        </r>
        <r>
          <rPr>
            <sz val="8"/>
            <rFont val="Tahoma"/>
            <family val="2"/>
          </rPr>
          <t xml:space="preserve">
E = Erstzertifizierung
H = Höherzertifizierung
R = Re-Zertifizierung
</t>
        </r>
      </text>
    </comment>
    <comment ref="L1" authorId="0" shapeId="0" xr:uid="{00000000-0006-0000-2D00-000002000000}">
      <text>
        <r>
          <rPr>
            <b/>
            <sz val="8"/>
            <rFont val="Tahoma"/>
            <family val="2"/>
          </rPr>
          <t xml:space="preserve"> Seiler:</t>
        </r>
        <r>
          <rPr>
            <sz val="8"/>
            <rFont val="Tahoma"/>
            <family val="2"/>
          </rPr>
          <t xml:space="preserve">
Date of certification (MM.JJJJ)
important for the calculation of the duration</t>
        </r>
      </text>
    </comment>
    <comment ref="B25" authorId="0" shapeId="0" xr:uid="{00000000-0006-0000-2D00-000003000000}">
      <text>
        <r>
          <rPr>
            <b/>
            <sz val="8"/>
            <rFont val="Tahoma"/>
            <family val="2"/>
          </rPr>
          <t>Seiler :</t>
        </r>
        <r>
          <rPr>
            <sz val="8"/>
            <rFont val="Tahoma"/>
            <family val="2"/>
          </rPr>
          <t xml:space="preserve">
earliest start of all filled-in projects</t>
        </r>
      </text>
    </comment>
    <comment ref="D25" authorId="0" shapeId="0" xr:uid="{00000000-0006-0000-2D00-000004000000}">
      <text>
        <r>
          <rPr>
            <b/>
            <sz val="8"/>
            <rFont val="Tahoma"/>
            <family val="2"/>
          </rPr>
          <t>Seiler :</t>
        </r>
        <r>
          <rPr>
            <sz val="8"/>
            <rFont val="Tahoma"/>
            <family val="2"/>
          </rPr>
          <t xml:space="preserve">
latest ende of all filled-in projects</t>
        </r>
      </text>
    </comment>
    <comment ref="H25" authorId="0" shapeId="0" xr:uid="{00000000-0006-0000-2D00-000005000000}">
      <text>
        <r>
          <rPr>
            <b/>
            <sz val="8"/>
            <rFont val="Tahoma"/>
            <family val="2"/>
          </rPr>
          <t>Seiler :</t>
        </r>
        <r>
          <rPr>
            <sz val="8"/>
            <rFont val="Tahoma"/>
            <family val="2"/>
          </rPr>
          <t xml:space="preserve">
this cell changes to "changed", in case of changed percentage figures in the schedule.</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chewbacca</author>
  </authors>
  <commentList>
    <comment ref="J7" authorId="0" shapeId="0" xr:uid="{5B0291B0-1DBE-41D1-B85D-C42D8954FF7B}">
      <text>
        <r>
          <rPr>
            <b/>
            <sz val="9"/>
            <rFont val="Tahoma"/>
            <family val="2"/>
          </rPr>
          <t xml:space="preserve">EN:
</t>
        </r>
        <r>
          <rPr>
            <sz val="9"/>
            <rFont val="Tahoma"/>
            <family val="2"/>
          </rPr>
          <t xml:space="preserve">Select pre-defined exam configurstion or select "custom" to manually enter KCI list in column N.
</t>
        </r>
        <r>
          <rPr>
            <b/>
            <sz val="9"/>
            <rFont val="Tahoma"/>
            <family val="2"/>
          </rPr>
          <t xml:space="preserve">
DE:</t>
        </r>
        <r>
          <rPr>
            <sz val="9"/>
            <rFont val="Tahoma"/>
            <family val="2"/>
          </rPr>
          <t xml:space="preserve">
Wählen Sie eine vorkonfigurierte Prüfungsvariante aus, oder wählen Sie "Custom", um die KCI Liste in Spalte N manuell anzugeben.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Alexander von Glasow</author>
  </authors>
  <commentList>
    <comment ref="H10" authorId="0" shapeId="0" xr:uid="{F0DB3654-CEFC-459E-A094-ED68CBEF58FC}">
      <text>
        <r>
          <rPr>
            <b/>
            <sz val="8"/>
            <rFont val="Segoe UI"/>
            <family val="2"/>
          </rPr>
          <t>DE
max. 8h pro Tag
EN
max. 8 hours per day</t>
        </r>
      </text>
    </comment>
    <comment ref="C78" authorId="0" shapeId="0" xr:uid="{45271DE4-6F3B-4A87-8A42-39762B66ADB6}">
      <text>
        <r>
          <rPr>
            <b/>
            <sz val="8"/>
            <rFont val="Segoe UI"/>
            <family val="2"/>
          </rPr>
          <t xml:space="preserve">DE:
</t>
        </r>
        <r>
          <rPr>
            <sz val="8"/>
            <rFont val="Segoe UI"/>
            <family val="2"/>
          </rPr>
          <t>Kann anonymisiert werden (Vorname ist ausreichend)</t>
        </r>
        <r>
          <rPr>
            <b/>
            <sz val="8"/>
            <rFont val="Segoe UI"/>
            <family val="2"/>
          </rPr>
          <t xml:space="preserve">
EN:
</t>
        </r>
        <r>
          <rPr>
            <sz val="8"/>
            <rFont val="Segoe UI"/>
            <family val="2"/>
          </rPr>
          <t>May be anonymised by only giving the mentee's first name.</t>
        </r>
      </text>
    </comment>
    <comment ref="D78" authorId="0" shapeId="0" xr:uid="{4F98A983-DDA6-401B-B953-634CFE6EC1A0}">
      <text>
        <r>
          <rPr>
            <b/>
            <sz val="8"/>
            <rFont val="Segoe UI"/>
            <family val="2"/>
          </rPr>
          <t xml:space="preserve">to keep anonymity the last letters of the department can be ignored (i.e. e.g. ATV MC ...) </t>
        </r>
      </text>
    </comment>
    <comment ref="H78" authorId="0" shapeId="0" xr:uid="{E660396C-A839-462D-A844-D54938B0BD55}">
      <text>
        <r>
          <rPr>
            <b/>
            <sz val="8"/>
            <rFont val="Segoe UI"/>
            <family val="2"/>
          </rPr>
          <t xml:space="preserve">DE
</t>
        </r>
        <r>
          <rPr>
            <sz val="8"/>
            <rFont val="Segoe UI"/>
            <family val="2"/>
          </rPr>
          <t>Kumulierte Gesamtdauer aller Sitzungen</t>
        </r>
        <r>
          <rPr>
            <b/>
            <sz val="8"/>
            <rFont val="Segoe UI"/>
            <family val="2"/>
          </rPr>
          <t xml:space="preserve">
EN
</t>
        </r>
        <r>
          <rPr>
            <sz val="8"/>
            <rFont val="Segoe UI"/>
            <family val="2"/>
          </rPr>
          <t>Cumulated duration of the respective mentoring sessions</t>
        </r>
        <r>
          <rPr>
            <b/>
            <sz val="8"/>
            <rFont val="Segoe UI"/>
            <family val="2"/>
          </rPr>
          <t xml:space="preserve">
</t>
        </r>
      </text>
    </comment>
    <comment ref="G101" authorId="0" shapeId="0" xr:uid="{EAA5CC6F-97B8-4336-92A8-139E4189C95F}">
      <text>
        <r>
          <rPr>
            <b/>
            <sz val="8"/>
            <rFont val="Segoe UI"/>
            <family val="2"/>
          </rPr>
          <t>DE
Datum, auf das die Stunden bei der Überprüfung der jährlichen 35-Stunden-Regel angerechnet werden
EN
Date to which the hours are credited when checking the annual 35h rule</t>
        </r>
      </text>
    </comment>
    <comment ref="L101" authorId="0" shapeId="0" xr:uid="{34837B19-D1F9-4FF2-9C15-5C4F9194A206}">
      <text>
        <r>
          <rPr>
            <b/>
            <sz val="8"/>
            <rFont val="Segoe UI"/>
            <family val="2"/>
          </rPr>
          <t>6 hours are credited per 100 pages</t>
        </r>
      </text>
    </comment>
    <comment ref="F111" authorId="0" shapeId="0" xr:uid="{1D14A55F-F259-4FB1-BD5A-B4E81ABA0A12}">
      <text>
        <r>
          <rPr>
            <b/>
            <sz val="8"/>
            <rFont val="Segoe UI"/>
            <family val="2"/>
          </rPr>
          <t>DE
Start Datum des Abonnements
EN
Start date of subscription</t>
        </r>
      </text>
    </comment>
    <comment ref="G111" authorId="0" shapeId="0" xr:uid="{38E2C6A0-44FE-4FD3-9632-539DA7DD6AB1}">
      <text>
        <r>
          <rPr>
            <b/>
            <sz val="8"/>
            <rFont val="Segoe UI"/>
            <family val="2"/>
          </rPr>
          <t xml:space="preserve">DE
End-Datum des Abonnements.
Bei aktuell laufenden Abonnements frei lassen.
EN
End-date of subscription.
Leave blank if ongoing.
</t>
        </r>
      </text>
    </comment>
    <comment ref="L111" authorId="0" shapeId="0" xr:uid="{DB821DA8-859F-4EBA-AE34-3DC6347F5DDA}">
      <text>
        <r>
          <rPr>
            <b/>
            <sz val="8"/>
            <rFont val="Segoe UI"/>
            <family val="2"/>
          </rPr>
          <t xml:space="preserve">6 hours are credited per subscription / year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Hannes Griebel</author>
  </authors>
  <commentList>
    <comment ref="Q11" authorId="0" shapeId="0" xr:uid="{9EDA721B-1A11-4693-92D6-663B3D91C197}">
      <text>
        <r>
          <rPr>
            <b/>
            <sz val="9"/>
            <rFont val="Tahoma"/>
            <family val="2"/>
          </rPr>
          <t xml:space="preserve">EN:
</t>
        </r>
        <r>
          <rPr>
            <sz val="9"/>
            <rFont val="Tahoma"/>
            <family val="2"/>
          </rPr>
          <t>Manual override of calculated result requires justification in comment section!</t>
        </r>
        <r>
          <rPr>
            <b/>
            <sz val="9"/>
            <rFont val="Tahoma"/>
            <family val="2"/>
          </rPr>
          <t xml:space="preserve">
DE:
</t>
        </r>
        <r>
          <rPr>
            <sz val="9"/>
            <rFont val="Tahoma"/>
            <family val="2"/>
          </rPr>
          <t xml:space="preserve">Manuelle Eingabe des Ergebnisses erfordert Rechtfertigung in der Kommentar-Spalte!
</t>
        </r>
      </text>
    </comment>
    <comment ref="S11" authorId="0" shapeId="0" xr:uid="{9028A30E-4535-41CC-8A94-54167283F47B}">
      <text>
        <r>
          <rPr>
            <b/>
            <sz val="9"/>
            <rFont val="Tahoma"/>
            <family val="2"/>
          </rPr>
          <t xml:space="preserve">EN:
</t>
        </r>
        <r>
          <rPr>
            <sz val="9"/>
            <rFont val="Tahoma"/>
            <family val="2"/>
          </rPr>
          <t xml:space="preserve">Indicate if this agile variant of this KCI was tested in any of the exam elements.
</t>
        </r>
        <r>
          <rPr>
            <b/>
            <sz val="9"/>
            <rFont val="Tahoma"/>
            <family val="2"/>
          </rPr>
          <t xml:space="preserve">
DE:
</t>
        </r>
        <r>
          <rPr>
            <sz val="9"/>
            <rFont val="Tahoma"/>
            <family val="2"/>
          </rPr>
          <t xml:space="preserve">Geben Sie an, ob das betreffende KCI in einer agilen Variante abgefragt wurde.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Dr. Florian Dörrenberg</author>
  </authors>
  <commentList>
    <comment ref="B4" authorId="0" shapeId="0" xr:uid="{E5E3F013-E5EE-462A-9B15-B74CB285E44F}">
      <text>
        <r>
          <rPr>
            <b/>
            <sz val="9"/>
            <color rgb="FF000000"/>
            <rFont val="Tahoma"/>
            <family val="2"/>
          </rPr>
          <t>Dr. Florian Dörrenberg:</t>
        </r>
        <r>
          <rPr>
            <sz val="9"/>
            <color rgb="FF000000"/>
            <rFont val="Tahoma"/>
            <family val="2"/>
          </rPr>
          <t xml:space="preserve">
</t>
        </r>
        <r>
          <rPr>
            <sz val="9"/>
            <color rgb="FF000000"/>
            <rFont val="Tahoma"/>
            <family val="2"/>
          </rPr>
          <t xml:space="preserve">Grau = Pflicht
</t>
        </r>
        <r>
          <rPr>
            <sz val="9"/>
            <color rgb="FF000000"/>
            <rFont val="Tahoma"/>
            <family val="2"/>
          </rPr>
          <t>Grün = Wahl</t>
        </r>
      </text>
    </comment>
    <comment ref="F4" authorId="0" shapeId="0" xr:uid="{99DF171A-A518-4D6F-B400-BC30DBD6A8B0}">
      <text>
        <r>
          <rPr>
            <b/>
            <sz val="9"/>
            <color rgb="FF000000"/>
            <rFont val="Tahoma"/>
            <family val="2"/>
          </rPr>
          <t>Dr. Florian Dörrenberg:</t>
        </r>
        <r>
          <rPr>
            <sz val="9"/>
            <color rgb="FF000000"/>
            <rFont val="Tahoma"/>
            <family val="2"/>
          </rPr>
          <t xml:space="preserve">
</t>
        </r>
        <r>
          <rPr>
            <sz val="9"/>
            <color rgb="FF000000"/>
            <rFont val="Tahoma"/>
            <family val="2"/>
          </rPr>
          <t xml:space="preserve">1 = KCI erfüllt, </t>
        </r>
        <r>
          <rPr>
            <b/>
            <sz val="9"/>
            <color rgb="FF000000"/>
            <rFont val="Tahoma"/>
            <family val="2"/>
          </rPr>
          <t>Evidence</t>
        </r>
        <r>
          <rPr>
            <sz val="9"/>
            <color rgb="FF000000"/>
            <rFont val="Tahoma"/>
            <family val="2"/>
          </rPr>
          <t xml:space="preserve"> nachgewiesen
</t>
        </r>
        <r>
          <rPr>
            <sz val="9"/>
            <color rgb="FF000000"/>
            <rFont val="Tahoma"/>
            <family val="2"/>
          </rPr>
          <t xml:space="preserve">0 = KCI NICHT erfüllt, </t>
        </r>
        <r>
          <rPr>
            <b/>
            <sz val="9"/>
            <color rgb="FF000000"/>
            <rFont val="Tahoma"/>
            <family val="2"/>
          </rPr>
          <t>Evidence</t>
        </r>
        <r>
          <rPr>
            <sz val="9"/>
            <color rgb="FF000000"/>
            <rFont val="Tahoma"/>
            <family val="2"/>
          </rPr>
          <t xml:space="preserve"> NICHT nachgewiesen</t>
        </r>
      </text>
    </comment>
    <comment ref="G4" authorId="0" shapeId="0" xr:uid="{F9F4AFFA-C09F-4688-BC97-1D22E0318BB0}">
      <text>
        <r>
          <rPr>
            <b/>
            <sz val="9"/>
            <color rgb="FF000000"/>
            <rFont val="Tahoma"/>
            <family val="2"/>
          </rPr>
          <t>Dr. Florian Dörrenberg:</t>
        </r>
        <r>
          <rPr>
            <sz val="9"/>
            <color rgb="FF000000"/>
            <rFont val="Tahoma"/>
            <family val="2"/>
          </rPr>
          <t xml:space="preserve">
</t>
        </r>
        <r>
          <rPr>
            <sz val="9"/>
            <color rgb="FF000000"/>
            <rFont val="Tahoma"/>
            <family val="2"/>
          </rPr>
          <t>Hier ggf.Notizen für Interview hinterlegen</t>
        </r>
      </text>
    </comment>
    <comment ref="O4" authorId="0" shapeId="0" xr:uid="{DEA05EFC-D640-4AC3-8E41-3B73141ACA28}">
      <text>
        <r>
          <rPr>
            <b/>
            <sz val="9"/>
            <rFont val="Tahoma"/>
            <family val="2"/>
          </rPr>
          <t>Dr. Florian Dörrenberg:</t>
        </r>
        <r>
          <rPr>
            <sz val="9"/>
            <rFont val="Tahoma"/>
            <family val="2"/>
          </rPr>
          <t xml:space="preserve">
Notizen aus Coaching zur eigenen "Kalibrierung" der Toolverwendung</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Dr. Florian Dörrenberg</author>
  </authors>
  <commentList>
    <comment ref="B4" authorId="0" shapeId="0" xr:uid="{58A55DD2-9B46-4004-9FFA-961238C77E35}">
      <text>
        <r>
          <rPr>
            <b/>
            <sz val="9"/>
            <color rgb="FF000000"/>
            <rFont val="Tahoma"/>
            <family val="2"/>
          </rPr>
          <t>Dr. Florian Dörrenberg:</t>
        </r>
        <r>
          <rPr>
            <sz val="9"/>
            <color rgb="FF000000"/>
            <rFont val="Tahoma"/>
            <family val="2"/>
          </rPr>
          <t xml:space="preserve">
</t>
        </r>
        <r>
          <rPr>
            <sz val="9"/>
            <color rgb="FF000000"/>
            <rFont val="Tahoma"/>
            <family val="2"/>
          </rPr>
          <t xml:space="preserve">Grau = Pflicht
</t>
        </r>
        <r>
          <rPr>
            <sz val="9"/>
            <color rgb="FF000000"/>
            <rFont val="Tahoma"/>
            <family val="2"/>
          </rPr>
          <t>Grün = Wahl</t>
        </r>
      </text>
    </comment>
    <comment ref="O4" authorId="0" shapeId="0" xr:uid="{00000000-0006-0000-0000-000004000000}">
      <text>
        <r>
          <rPr>
            <b/>
            <sz val="9"/>
            <color rgb="FF000000"/>
            <rFont val="Tahoma"/>
            <family val="2"/>
          </rPr>
          <t>Dr. Florian Dörrenberg:</t>
        </r>
        <r>
          <rPr>
            <sz val="9"/>
            <color rgb="FF000000"/>
            <rFont val="Tahoma"/>
            <family val="2"/>
          </rPr>
          <t xml:space="preserve">
</t>
        </r>
        <r>
          <rPr>
            <sz val="9"/>
            <color rgb="FF000000"/>
            <rFont val="Tahoma"/>
            <family val="2"/>
          </rPr>
          <t>Notizen aus Coaching zur eigenen "Kalibrierung" der Toolverwendung</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Dr. Florian Dörrenberg</author>
  </authors>
  <commentList>
    <comment ref="B4" authorId="0" shapeId="0" xr:uid="{E58302E1-A332-4E8D-9726-75860ACC30CA}">
      <text>
        <r>
          <rPr>
            <b/>
            <sz val="9"/>
            <color rgb="FF000000"/>
            <rFont val="Tahoma"/>
            <family val="2"/>
          </rPr>
          <t>Dr. Florian Dörrenberg:</t>
        </r>
        <r>
          <rPr>
            <sz val="9"/>
            <color rgb="FF000000"/>
            <rFont val="Tahoma"/>
            <family val="2"/>
          </rPr>
          <t xml:space="preserve">
</t>
        </r>
        <r>
          <rPr>
            <sz val="9"/>
            <color rgb="FF000000"/>
            <rFont val="Tahoma"/>
            <family val="2"/>
          </rPr>
          <t xml:space="preserve">Grau = Pflicht
</t>
        </r>
        <r>
          <rPr>
            <sz val="9"/>
            <color rgb="FF000000"/>
            <rFont val="Tahoma"/>
            <family val="2"/>
          </rPr>
          <t>Grün = Wahl</t>
        </r>
      </text>
    </comment>
    <comment ref="O4" authorId="0" shapeId="0" xr:uid="{ED67E0E0-0B9E-4818-A3ED-DFADD6F6BEE4}">
      <text>
        <r>
          <rPr>
            <b/>
            <sz val="9"/>
            <color rgb="FF000000"/>
            <rFont val="Tahoma"/>
            <family val="2"/>
          </rPr>
          <t>Dr. Florian Dörrenberg:</t>
        </r>
        <r>
          <rPr>
            <sz val="9"/>
            <color rgb="FF000000"/>
            <rFont val="Tahoma"/>
            <family val="2"/>
          </rPr>
          <t xml:space="preserve">
</t>
        </r>
        <r>
          <rPr>
            <sz val="9"/>
            <color rgb="FF000000"/>
            <rFont val="Tahoma"/>
            <family val="2"/>
          </rPr>
          <t>Notizen aus Coaching zur eigenen "Kalibrierung" der Toolverwendung</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Hannes Griebel</author>
  </authors>
  <commentList>
    <comment ref="F3" authorId="0" shapeId="0" xr:uid="{33C89ED5-CC1D-4272-8977-D493E17FA729}">
      <text>
        <r>
          <rPr>
            <b/>
            <sz val="9"/>
            <rFont val="Tahoma"/>
            <family val="2"/>
          </rPr>
          <t>Hannes Griebel:</t>
        </r>
        <r>
          <rPr>
            <sz val="9"/>
            <rFont val="Tahoma"/>
            <family val="2"/>
          </rPr>
          <t xml:space="preserve">
Interface marker. Do not change cell content or assignment</t>
        </r>
      </text>
    </comment>
    <comment ref="K3" authorId="0" shapeId="0" xr:uid="{4E182537-AFBA-40B5-B755-95BEEA9A061B}">
      <text>
        <r>
          <rPr>
            <b/>
            <sz val="9"/>
            <rFont val="Tahoma"/>
            <family val="2"/>
          </rPr>
          <t>Hannes Griebel:</t>
        </r>
        <r>
          <rPr>
            <sz val="9"/>
            <rFont val="Tahoma"/>
            <family val="2"/>
          </rPr>
          <t xml:space="preserve">
Interface marker. Do not change cell content or assignment</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Susannes</author>
  </authors>
  <commentList>
    <comment ref="A22" authorId="0" shapeId="0" xr:uid="{00000000-0006-0000-3100-000001000000}">
      <text>
        <r>
          <rPr>
            <b/>
            <sz val="8"/>
            <rFont val="Tahoma"/>
            <family val="2"/>
          </rPr>
          <t>PM-ZERT:</t>
        </r>
        <r>
          <rPr>
            <sz val="8"/>
            <rFont val="Tahoma"/>
            <family val="2"/>
          </rPr>
          <t xml:space="preserve">
Hier erhalten Sie eine kurze Erklärung zu diesem Feld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Alexander von Glasow</author>
    <author>chewbacca</author>
  </authors>
  <commentList>
    <comment ref="H10" authorId="0" shapeId="0" xr:uid="{D6B6AC99-08BC-4165-BE98-ABF29C673C31}">
      <text>
        <r>
          <rPr>
            <b/>
            <sz val="8"/>
            <rFont val="Segoe UI"/>
            <family val="2"/>
          </rPr>
          <t>DE:
max 8 Stunden am Tag
EN:
max. 8 hours per day</t>
        </r>
      </text>
    </comment>
    <comment ref="L10" authorId="0" shapeId="0" xr:uid="{26ED679C-FB0A-43DE-B7E5-CAFFF9B6613A}">
      <text>
        <r>
          <rPr>
            <b/>
            <sz val="8"/>
            <rFont val="Segoe UI"/>
            <family val="2"/>
          </rPr>
          <t>Deutsch:
Anerkunnungsfähig plus Vorbereitungszeit (4x Vortrasgdauer)
English:
Duration is includes preparation time (4x duration of presentation)</t>
        </r>
      </text>
    </comment>
    <comment ref="L23" authorId="0" shapeId="0" xr:uid="{C78F8D8D-9FE0-4DC0-B381-66090648C4A8}">
      <text>
        <r>
          <rPr>
            <b/>
            <sz val="8"/>
            <rFont val="Segoe UI"/>
            <family val="2"/>
          </rPr>
          <t xml:space="preserve">English: 
​If training </t>
        </r>
        <r>
          <rPr>
            <b/>
            <u/>
            <sz val="8"/>
            <rFont val="Segoe UI"/>
            <family val="2"/>
          </rPr>
          <t>&lt;</t>
        </r>
        <r>
          <rPr>
            <b/>
            <sz val="8"/>
            <rFont val="Segoe UI"/>
            <family val="2"/>
          </rPr>
          <t xml:space="preserve"> 1 day: 4x duration of training
If training &gt;1 day: 3x duration of training
German:
Wenn Ausbildung &lt; 1 Tag: 4x Dauer der Ausbildung
Wenn Training &gt;1 Tag: 3x Dauer der Ausbildung</t>
        </r>
      </text>
    </comment>
    <comment ref="C36" authorId="1" shapeId="0" xr:uid="{CD3551CB-BA2C-45E2-8DCE-F478B65C4F50}">
      <text>
        <r>
          <rPr>
            <b/>
            <sz val="9"/>
            <rFont val="Tahoma"/>
            <family val="2"/>
          </rPr>
          <t xml:space="preserve">DE:
</t>
        </r>
        <r>
          <rPr>
            <sz val="9"/>
            <rFont val="Tahoma"/>
            <family val="2"/>
          </rPr>
          <t>Kann anonymisiert werden (Vorname ist ausreichend)</t>
        </r>
        <r>
          <rPr>
            <b/>
            <sz val="9"/>
            <rFont val="Tahoma"/>
            <family val="2"/>
          </rPr>
          <t xml:space="preserve">
EN:
</t>
        </r>
        <r>
          <rPr>
            <sz val="9"/>
            <rFont val="Tahoma"/>
            <family val="2"/>
          </rPr>
          <t>May be anonymised by only giving the mentee's first name.</t>
        </r>
      </text>
    </comment>
    <comment ref="L36" authorId="0" shapeId="0" xr:uid="{EA2A90E2-22DF-4E17-850B-32C1C8349389}">
      <text>
        <r>
          <rPr>
            <b/>
            <sz val="8"/>
            <rFont val="Segoe UI"/>
            <family val="2"/>
          </rPr>
          <t xml:space="preserve">Deutsch:
Mentoren bekommen das 4-fache der Mentoring-Dauer gutgeschrieben. 
​English:
Mentors get 4x the mentoring duration credited. </t>
        </r>
      </text>
    </comment>
    <comment ref="L49" authorId="0" shapeId="0" xr:uid="{52FE2F6A-3463-422A-AE62-567851E14752}">
      <text>
        <r>
          <rPr>
            <b/>
            <sz val="8"/>
            <rFont val="Segoe UI"/>
            <family val="2"/>
          </rPr>
          <t>Deutsch: 
2 Stunden pro Seite
English:
2 hours per page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Hannes Griebel</author>
    <author>Alexander von Glasow</author>
    <author>Hannes</author>
  </authors>
  <commentList>
    <comment ref="C7" authorId="0" shapeId="0" xr:uid="{B0B3D26F-E39B-4528-9660-40B215215CBB}">
      <text>
        <r>
          <rPr>
            <b/>
            <sz val="9"/>
            <rFont val="Tahoma"/>
            <family val="2"/>
          </rPr>
          <t>ENl:</t>
        </r>
        <r>
          <rPr>
            <sz val="9"/>
            <rFont val="Tahoma"/>
            <family val="2"/>
          </rPr>
          <t xml:space="preserve">
Make on entry per PM role. If your role changes throughout the project (e.g., from SubPM to PM, provide one entry and one project brief for each.
</t>
        </r>
        <r>
          <rPr>
            <b/>
            <sz val="9"/>
            <rFont val="Tahoma"/>
            <family val="2"/>
          </rPr>
          <t>DE:</t>
        </r>
        <r>
          <rPr>
            <sz val="9"/>
            <rFont val="Tahoma"/>
            <family val="2"/>
          </rPr>
          <t xml:space="preserve">
Machen Sie einen Eintrag pro Rolle. Sollte sich Ihre Rolle im Laufe des Projekts verändert haben (z.B. vom Teilprojektleiter zom Projektleiter), füllen Sie für jede Rolle einen eigenen Eintrag und Steckbrief aus.</t>
        </r>
      </text>
    </comment>
    <comment ref="G7" authorId="0" shapeId="0" xr:uid="{C0B84230-4B85-4BD5-AE97-8DD99B3F3282}">
      <text>
        <r>
          <rPr>
            <b/>
            <sz val="9"/>
            <rFont val="Tahoma"/>
            <family val="2"/>
          </rPr>
          <t>EN:</t>
        </r>
        <r>
          <rPr>
            <sz val="9"/>
            <rFont val="Tahoma"/>
            <family val="2"/>
          </rPr>
          <t xml:space="preserve">
Evaluation period starts with earliest eligible date and ends with the certification date.
</t>
        </r>
        <r>
          <rPr>
            <b/>
            <sz val="9"/>
            <rFont val="Tahoma"/>
            <family val="2"/>
          </rPr>
          <t>DE:</t>
        </r>
        <r>
          <rPr>
            <sz val="9"/>
            <rFont val="Tahoma"/>
            <family val="2"/>
          </rPr>
          <t xml:space="preserve">
Der Betrachtungszeitraum startet mit dem frühesten Datum für die Anerkennung von Erfahrung, und endet mit dem Zertifizierungsdatum.</t>
        </r>
      </text>
    </comment>
    <comment ref="J7" authorId="0" shapeId="0" xr:uid="{16DCB645-214E-4000-89A7-FB5AF5CF8653}">
      <text>
        <r>
          <rPr>
            <b/>
            <sz val="9"/>
            <rFont val="Tahoma"/>
            <family val="2"/>
          </rPr>
          <t>EN:</t>
        </r>
        <r>
          <rPr>
            <sz val="9"/>
            <rFont val="Tahoma"/>
            <family val="2"/>
          </rPr>
          <t xml:space="preserve">
Indicate whether this project is part of your ESR. Not relevant for re-certification
</t>
        </r>
        <r>
          <rPr>
            <b/>
            <sz val="9"/>
            <rFont val="Tahoma"/>
            <family val="2"/>
          </rPr>
          <t>DE:</t>
        </r>
        <r>
          <rPr>
            <sz val="9"/>
            <rFont val="Tahoma"/>
            <family val="2"/>
          </rPr>
          <t xml:space="preserve">
Geben Sie an, ob Sie dieses Projekt im ESR beschreiben. Nicht relevant für Re-Zertifizierung</t>
        </r>
      </text>
    </comment>
    <comment ref="K7" authorId="0" shapeId="0" xr:uid="{4FF85DBD-8915-4977-90B7-F55DEA292B55}">
      <text>
        <r>
          <rPr>
            <b/>
            <sz val="9"/>
            <rFont val="Tahoma"/>
            <family val="2"/>
          </rPr>
          <t xml:space="preserve">EN:
</t>
        </r>
        <r>
          <rPr>
            <sz val="9"/>
            <rFont val="Tahoma"/>
            <family val="2"/>
          </rPr>
          <t>An additional Project List (PL) tab will open and needs to be filled if Portfolio or Program has been selected.</t>
        </r>
        <r>
          <rPr>
            <b/>
            <sz val="9"/>
            <rFont val="Tahoma"/>
            <family val="2"/>
          </rPr>
          <t xml:space="preserve">
DE:
</t>
        </r>
        <r>
          <rPr>
            <sz val="9"/>
            <rFont val="Tahoma"/>
            <family val="2"/>
          </rPr>
          <t>Eine zusätzliche Registerkarte Projektliste (PL) wird geöffnet und muss ausgefüllt werden, wenn Portfolio oder Programm ausgewählt wurde.</t>
        </r>
      </text>
    </comment>
    <comment ref="E8" authorId="1" shapeId="0" xr:uid="{00000000-0006-0000-0500-000002000000}">
      <text>
        <r>
          <rPr>
            <b/>
            <sz val="8"/>
            <rFont val="Segoe UI"/>
            <family val="2"/>
          </rPr>
          <t xml:space="preserve">start of your PM involvement in project
Beginn Ihrer PM Tätigkeit im Projekt
</t>
        </r>
      </text>
    </comment>
    <comment ref="F8" authorId="2" shapeId="0" xr:uid="{00000000-0006-0000-0500-000003000000}">
      <text>
        <r>
          <rPr>
            <sz val="9"/>
            <rFont val="Tahoma"/>
            <family val="2"/>
          </rPr>
          <t>end date of your PM involvement in project
Ende Ihrer PM Tätigkeit im Projekt</t>
        </r>
      </text>
    </comment>
    <comment ref="M8" authorId="1" shapeId="0" xr:uid="{00000000-0006-0000-0500-000006000000}">
      <text>
        <r>
          <rPr>
            <b/>
            <sz val="8"/>
            <rFont val="Segoe UI"/>
            <family val="2"/>
          </rPr>
          <t xml:space="preserve">only times since the issuing date of your (re)certificaton will be counted, i.e. all months before "Date of Certification" on cover page will be ignored.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Wulff Seiler</author>
    <author>Hannes</author>
  </authors>
  <commentList>
    <comment ref="D8" authorId="0" shapeId="0" xr:uid="{00000000-0006-0000-0600-000002000000}">
      <text>
        <r>
          <rPr>
            <b/>
            <sz val="9"/>
            <rFont val="Arial"/>
            <family val="2"/>
          </rPr>
          <t>EN:</t>
        </r>
        <r>
          <rPr>
            <sz val="9"/>
            <rFont val="Arial"/>
            <family val="2"/>
          </rPr>
          <t xml:space="preserve"> 
Company internal activity ID
</t>
        </r>
        <r>
          <rPr>
            <b/>
            <sz val="9"/>
            <rFont val="Arial"/>
            <family val="2"/>
          </rPr>
          <t>DE:</t>
        </r>
        <r>
          <rPr>
            <sz val="9"/>
            <rFont val="Arial"/>
            <family val="2"/>
          </rPr>
          <t xml:space="preserve"> 
Firmen-interne Vorgangs- oder Projekt Nummer
</t>
        </r>
      </text>
    </comment>
    <comment ref="B22" authorId="0" shapeId="0" xr:uid="{00000000-0006-0000-0600-00000A000000}">
      <text>
        <r>
          <rPr>
            <b/>
            <sz val="9"/>
            <rFont val="Arial"/>
            <family val="2"/>
          </rPr>
          <t xml:space="preserve">EN:
</t>
        </r>
        <r>
          <rPr>
            <sz val="9"/>
            <rFont val="Arial"/>
            <family val="2"/>
          </rPr>
          <t xml:space="preserve">Short narrative description of the activity  (purpose, benefits)
</t>
        </r>
        <r>
          <rPr>
            <b/>
            <sz val="9"/>
            <rFont val="Arial"/>
            <family val="2"/>
          </rPr>
          <t>DE:</t>
        </r>
        <r>
          <rPr>
            <sz val="9"/>
            <rFont val="Arial"/>
            <family val="2"/>
          </rPr>
          <t xml:space="preserve">
Kurze Beschreibung des Vorhabens  (Zweck, Nutzen)</t>
        </r>
      </text>
    </comment>
    <comment ref="C30" authorId="1" shapeId="0" xr:uid="{00000000-0006-0000-0600-00000F000000}">
      <text>
        <r>
          <rPr>
            <b/>
            <sz val="9"/>
            <rFont val="Tahoma"/>
            <family val="2"/>
          </rPr>
          <t>EN:</t>
        </r>
        <r>
          <rPr>
            <sz val="9"/>
            <rFont val="Tahoma"/>
            <family val="2"/>
          </rPr>
          <t xml:space="preserve">
automatically pre-filled with start date of your involvement. Change this date if the project started before you joined.
</t>
        </r>
        <r>
          <rPr>
            <b/>
            <sz val="9"/>
            <rFont val="Tahoma"/>
            <family val="2"/>
          </rPr>
          <t xml:space="preserve">DE:
</t>
        </r>
        <r>
          <rPr>
            <sz val="9"/>
            <rFont val="Tahoma"/>
            <family val="2"/>
          </rPr>
          <t>Wird automatisch mit dem Startdatum der PM Tätigkeit befüllt. Bitte entsprechend anpassen, falls Sie ein bestehendes Projekt übernommen haben.</t>
        </r>
      </text>
    </comment>
    <comment ref="E30" authorId="1" shapeId="0" xr:uid="{00000000-0006-0000-0600-000011000000}">
      <text>
        <r>
          <rPr>
            <b/>
            <sz val="9"/>
            <rFont val="Tahoma"/>
            <family val="2"/>
          </rPr>
          <t>EN:</t>
        </r>
        <r>
          <rPr>
            <sz val="9"/>
            <rFont val="Tahoma"/>
            <family val="2"/>
          </rPr>
          <t xml:space="preserve">
automatically pre-filled with end date of your involvement. Change this date if the project ended after you joined.
</t>
        </r>
        <r>
          <rPr>
            <b/>
            <sz val="9"/>
            <rFont val="Tahoma"/>
            <family val="2"/>
          </rPr>
          <t>DE:</t>
        </r>
        <r>
          <rPr>
            <sz val="9"/>
            <rFont val="Tahoma"/>
            <family val="2"/>
          </rPr>
          <t xml:space="preserve">
Wird automatisch mit dem Enddatum der PM Tätigkeit befüllt. Bitte entsprechend anpassen, falls Sie das Projekt vor Ende verlassen haben.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Wulff Seiler</author>
    <author>Hannes</author>
  </authors>
  <commentList>
    <comment ref="D8" authorId="0" shapeId="0" xr:uid="{402C0821-49D6-48CE-B069-AB91D53F1406}">
      <text>
        <r>
          <rPr>
            <b/>
            <sz val="9"/>
            <rFont val="Arial"/>
            <family val="2"/>
          </rPr>
          <t>EN:</t>
        </r>
        <r>
          <rPr>
            <sz val="9"/>
            <rFont val="Arial"/>
            <family val="2"/>
          </rPr>
          <t xml:space="preserve"> 
Company internal activity ID
</t>
        </r>
        <r>
          <rPr>
            <b/>
            <sz val="9"/>
            <rFont val="Arial"/>
            <family val="2"/>
          </rPr>
          <t>DE:</t>
        </r>
        <r>
          <rPr>
            <sz val="9"/>
            <rFont val="Arial"/>
            <family val="2"/>
          </rPr>
          <t xml:space="preserve"> 
Firmen-interne Vorgangs- oder Projekt Nummer
</t>
        </r>
      </text>
    </comment>
    <comment ref="B22" authorId="0" shapeId="0" xr:uid="{343EF50F-943A-41BA-8D8B-6E430762C988}">
      <text>
        <r>
          <rPr>
            <b/>
            <sz val="9"/>
            <rFont val="Arial"/>
            <family val="2"/>
          </rPr>
          <t xml:space="preserve">EN:
</t>
        </r>
        <r>
          <rPr>
            <sz val="9"/>
            <rFont val="Arial"/>
            <family val="2"/>
          </rPr>
          <t xml:space="preserve">Short narrative description of the activity  (purpose, benefits)
</t>
        </r>
        <r>
          <rPr>
            <b/>
            <sz val="9"/>
            <rFont val="Arial"/>
            <family val="2"/>
          </rPr>
          <t>DE:</t>
        </r>
        <r>
          <rPr>
            <sz val="9"/>
            <rFont val="Arial"/>
            <family val="2"/>
          </rPr>
          <t xml:space="preserve">
Kurze Beschreibung des Vorhabens  (Zweck, Nutzen)</t>
        </r>
      </text>
    </comment>
    <comment ref="C30" authorId="1" shapeId="0" xr:uid="{34EC4EB2-D7A6-439E-968C-B272EDBC299A}">
      <text>
        <r>
          <rPr>
            <b/>
            <sz val="9"/>
            <rFont val="Tahoma"/>
            <family val="2"/>
          </rPr>
          <t>EN:</t>
        </r>
        <r>
          <rPr>
            <sz val="9"/>
            <rFont val="Tahoma"/>
            <family val="2"/>
          </rPr>
          <t xml:space="preserve">
automatically pre-filled with start date of your involvement. Change this date if the project started before you joined.
</t>
        </r>
        <r>
          <rPr>
            <b/>
            <sz val="9"/>
            <rFont val="Tahoma"/>
            <family val="2"/>
          </rPr>
          <t xml:space="preserve">DE:
</t>
        </r>
        <r>
          <rPr>
            <sz val="9"/>
            <rFont val="Tahoma"/>
            <family val="2"/>
          </rPr>
          <t>Wird automatisch mit dem Startdatum der PM Tätigkeit befüllt. Bitte entsprechend anpassen, falls Sie ein bestehendes Projekt übernommen haben.</t>
        </r>
      </text>
    </comment>
    <comment ref="E30" authorId="1" shapeId="0" xr:uid="{8EF060DC-5609-4C6D-B2A4-7E234EF487B0}">
      <text>
        <r>
          <rPr>
            <b/>
            <sz val="9"/>
            <rFont val="Tahoma"/>
            <family val="2"/>
          </rPr>
          <t>EN:</t>
        </r>
        <r>
          <rPr>
            <sz val="9"/>
            <rFont val="Tahoma"/>
            <family val="2"/>
          </rPr>
          <t xml:space="preserve">
automatically pre-filled with end date of your involvement. Change this date if the project ended after you joined.
</t>
        </r>
        <r>
          <rPr>
            <b/>
            <sz val="9"/>
            <rFont val="Tahoma"/>
            <family val="2"/>
          </rPr>
          <t>DE:</t>
        </r>
        <r>
          <rPr>
            <sz val="9"/>
            <rFont val="Tahoma"/>
            <family val="2"/>
          </rPr>
          <t xml:space="preserve">
Wird automatisch mit dem Enddatum der PM Tätigkeit befüllt. Bitte entsprechend anpassen, falls Sie das Projekt vor Ende verlassen haben.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Wulff Seiler</author>
    <author>Hannes</author>
  </authors>
  <commentList>
    <comment ref="D8" authorId="0" shapeId="0" xr:uid="{4EDF0721-9CB3-468B-9A17-817BAF922D50}">
      <text>
        <r>
          <rPr>
            <b/>
            <sz val="9"/>
            <rFont val="Arial"/>
            <family val="2"/>
          </rPr>
          <t>EN:</t>
        </r>
        <r>
          <rPr>
            <sz val="9"/>
            <rFont val="Arial"/>
            <family val="2"/>
          </rPr>
          <t xml:space="preserve"> 
Company internal activity ID
</t>
        </r>
        <r>
          <rPr>
            <b/>
            <sz val="9"/>
            <rFont val="Arial"/>
            <family val="2"/>
          </rPr>
          <t>DE:</t>
        </r>
        <r>
          <rPr>
            <sz val="9"/>
            <rFont val="Arial"/>
            <family val="2"/>
          </rPr>
          <t xml:space="preserve"> 
Firmen-interne Vorgangs- oder Projekt Nummer
</t>
        </r>
      </text>
    </comment>
    <comment ref="B22" authorId="0" shapeId="0" xr:uid="{A6A62B6A-FD5D-44EB-AB92-019CADB06EA8}">
      <text>
        <r>
          <rPr>
            <b/>
            <sz val="9"/>
            <rFont val="Arial"/>
            <family val="2"/>
          </rPr>
          <t xml:space="preserve">EN:
</t>
        </r>
        <r>
          <rPr>
            <sz val="9"/>
            <rFont val="Arial"/>
            <family val="2"/>
          </rPr>
          <t xml:space="preserve">Short narrative description of the activity  (purpose, benefits)
</t>
        </r>
        <r>
          <rPr>
            <b/>
            <sz val="9"/>
            <rFont val="Arial"/>
            <family val="2"/>
          </rPr>
          <t>DE:</t>
        </r>
        <r>
          <rPr>
            <sz val="9"/>
            <rFont val="Arial"/>
            <family val="2"/>
          </rPr>
          <t xml:space="preserve">
Kurze Beschreibung des Vorhabens  (Zweck, Nutzen)</t>
        </r>
      </text>
    </comment>
    <comment ref="C30" authorId="1" shapeId="0" xr:uid="{3FBB3D77-05C5-48B3-A8FC-638C75DFECE1}">
      <text>
        <r>
          <rPr>
            <b/>
            <sz val="9"/>
            <rFont val="Tahoma"/>
            <family val="2"/>
          </rPr>
          <t>EN:</t>
        </r>
        <r>
          <rPr>
            <sz val="9"/>
            <rFont val="Tahoma"/>
            <family val="2"/>
          </rPr>
          <t xml:space="preserve">
automatically pre-filled with start date of your involvement. Change this date if the project started before you joined.
</t>
        </r>
        <r>
          <rPr>
            <b/>
            <sz val="9"/>
            <rFont val="Tahoma"/>
            <family val="2"/>
          </rPr>
          <t xml:space="preserve">DE:
</t>
        </r>
        <r>
          <rPr>
            <sz val="9"/>
            <rFont val="Tahoma"/>
            <family val="2"/>
          </rPr>
          <t>Wird automatisch mit dem Startdatum der PM Tätigkeit befüllt. Bitte entsprechend anpassen, falls Sie ein bestehendes Projekt übernommen haben.</t>
        </r>
      </text>
    </comment>
    <comment ref="E30" authorId="1" shapeId="0" xr:uid="{3273BF5B-0EC1-4B21-82E5-B079F32322AC}">
      <text>
        <r>
          <rPr>
            <b/>
            <sz val="9"/>
            <rFont val="Tahoma"/>
            <family val="2"/>
          </rPr>
          <t>EN:</t>
        </r>
        <r>
          <rPr>
            <sz val="9"/>
            <rFont val="Tahoma"/>
            <family val="2"/>
          </rPr>
          <t xml:space="preserve">
automatically pre-filled with end date of your involvement. Change this date if the project ended after you joined.
</t>
        </r>
        <r>
          <rPr>
            <b/>
            <sz val="9"/>
            <rFont val="Tahoma"/>
            <family val="2"/>
          </rPr>
          <t>DE:</t>
        </r>
        <r>
          <rPr>
            <sz val="9"/>
            <rFont val="Tahoma"/>
            <family val="2"/>
          </rPr>
          <t xml:space="preserve">
Wird automatisch mit dem Enddatum der PM Tätigkeit befüllt. Bitte entsprechend anpassen, falls Sie das Projekt vor Ende verlassen haben.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Wulff Seiler</author>
    <author>Hannes</author>
  </authors>
  <commentList>
    <comment ref="D8" authorId="0" shapeId="0" xr:uid="{E324A1D2-0D95-4294-81DF-D5C31B1824EA}">
      <text>
        <r>
          <rPr>
            <b/>
            <sz val="9"/>
            <rFont val="Arial"/>
            <family val="2"/>
          </rPr>
          <t>EN:</t>
        </r>
        <r>
          <rPr>
            <sz val="9"/>
            <rFont val="Arial"/>
            <family val="2"/>
          </rPr>
          <t xml:space="preserve"> 
Company internal activity ID
</t>
        </r>
        <r>
          <rPr>
            <b/>
            <sz val="9"/>
            <rFont val="Arial"/>
            <family val="2"/>
          </rPr>
          <t>DE:</t>
        </r>
        <r>
          <rPr>
            <sz val="9"/>
            <rFont val="Arial"/>
            <family val="2"/>
          </rPr>
          <t xml:space="preserve"> 
Firmen-interne Vorgangs- oder Projekt Nummer
</t>
        </r>
      </text>
    </comment>
    <comment ref="B22" authorId="0" shapeId="0" xr:uid="{B2403801-5769-4BAC-B9B2-9EDD60E0A653}">
      <text>
        <r>
          <rPr>
            <b/>
            <sz val="9"/>
            <rFont val="Arial"/>
            <family val="2"/>
          </rPr>
          <t xml:space="preserve">EN:
</t>
        </r>
        <r>
          <rPr>
            <sz val="9"/>
            <rFont val="Arial"/>
            <family val="2"/>
          </rPr>
          <t xml:space="preserve">Short narrative description of the activity  (purpose, benefits)
</t>
        </r>
        <r>
          <rPr>
            <b/>
            <sz val="9"/>
            <rFont val="Arial"/>
            <family val="2"/>
          </rPr>
          <t>DE:</t>
        </r>
        <r>
          <rPr>
            <sz val="9"/>
            <rFont val="Arial"/>
            <family val="2"/>
          </rPr>
          <t xml:space="preserve">
Kurze Beschreibung des Vorhabens  (Zweck, Nutzen)</t>
        </r>
      </text>
    </comment>
    <comment ref="C30" authorId="1" shapeId="0" xr:uid="{A26AFBDA-2889-44FB-907E-CEA9FD0C4737}">
      <text>
        <r>
          <rPr>
            <b/>
            <sz val="9"/>
            <rFont val="Tahoma"/>
            <family val="2"/>
          </rPr>
          <t>EN:</t>
        </r>
        <r>
          <rPr>
            <sz val="9"/>
            <rFont val="Tahoma"/>
            <family val="2"/>
          </rPr>
          <t xml:space="preserve">
automatically pre-filled with start date of your involvement. Change this date if the project started before you joined.
</t>
        </r>
        <r>
          <rPr>
            <b/>
            <sz val="9"/>
            <rFont val="Tahoma"/>
            <family val="2"/>
          </rPr>
          <t xml:space="preserve">DE:
</t>
        </r>
        <r>
          <rPr>
            <sz val="9"/>
            <rFont val="Tahoma"/>
            <family val="2"/>
          </rPr>
          <t>Wird automatisch mit dem Startdatum der PM Tätigkeit befüllt. Bitte entsprechend anpassen, falls Sie ein bestehendes Projekt übernommen haben.</t>
        </r>
      </text>
    </comment>
    <comment ref="E30" authorId="1" shapeId="0" xr:uid="{51296A43-BEA0-40FA-BBD9-620417A76B47}">
      <text>
        <r>
          <rPr>
            <b/>
            <sz val="9"/>
            <rFont val="Tahoma"/>
            <family val="2"/>
          </rPr>
          <t>EN:</t>
        </r>
        <r>
          <rPr>
            <sz val="9"/>
            <rFont val="Tahoma"/>
            <family val="2"/>
          </rPr>
          <t xml:space="preserve">
automatically pre-filled with end date of your involvement. Change this date if the project ended after you joined.
</t>
        </r>
        <r>
          <rPr>
            <b/>
            <sz val="9"/>
            <rFont val="Tahoma"/>
            <family val="2"/>
          </rPr>
          <t>DE:</t>
        </r>
        <r>
          <rPr>
            <sz val="9"/>
            <rFont val="Tahoma"/>
            <family val="2"/>
          </rPr>
          <t xml:space="preserve">
Wird automatisch mit dem Enddatum der PM Tätigkeit befüllt. Bitte entsprechend anpassen, falls Sie das Projekt vor Ende verlassen haben.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<sst xmlns="http://schemas.openxmlformats.org/spreadsheetml/2006/main" count="9389" uniqueCount="4217">
  <si>
    <t>Project Name</t>
  </si>
  <si>
    <t>Start Date</t>
  </si>
  <si>
    <t>End Date</t>
  </si>
  <si>
    <t>Duration [months]</t>
  </si>
  <si>
    <t>Statistics</t>
  </si>
  <si>
    <t>Achievement Rate</t>
  </si>
  <si>
    <t>Actuals</t>
  </si>
  <si>
    <t>B</t>
  </si>
  <si>
    <t>Role</t>
  </si>
  <si>
    <t>Avg. time spent in resp. Role</t>
  </si>
  <si>
    <t>Date</t>
  </si>
  <si>
    <t>Signature</t>
  </si>
  <si>
    <t>Applicant</t>
  </si>
  <si>
    <t>Role Check</t>
  </si>
  <si>
    <t>D</t>
  </si>
  <si>
    <t>Credited hours</t>
  </si>
  <si>
    <t>Duration [months]2</t>
  </si>
  <si>
    <t>weighted Duration [months]</t>
  </si>
  <si>
    <t>M1</t>
  </si>
  <si>
    <t>M2</t>
  </si>
  <si>
    <t>M3</t>
  </si>
  <si>
    <t>M4</t>
  </si>
  <si>
    <t>M5</t>
  </si>
  <si>
    <t>M6</t>
  </si>
  <si>
    <t>M7</t>
  </si>
  <si>
    <t>M8</t>
  </si>
  <si>
    <t>M9</t>
  </si>
  <si>
    <t>M10</t>
  </si>
  <si>
    <t>M11</t>
  </si>
  <si>
    <t>M12</t>
  </si>
  <si>
    <t>M13</t>
  </si>
  <si>
    <t>M14</t>
  </si>
  <si>
    <t>M15</t>
  </si>
  <si>
    <t>M16</t>
  </si>
  <si>
    <t>M17</t>
  </si>
  <si>
    <t>M18</t>
  </si>
  <si>
    <t>M19</t>
  </si>
  <si>
    <t>M20</t>
  </si>
  <si>
    <t>M21</t>
  </si>
  <si>
    <t>M22</t>
  </si>
  <si>
    <t>M23</t>
  </si>
  <si>
    <t>M24</t>
  </si>
  <si>
    <t>M25</t>
  </si>
  <si>
    <t>M26</t>
  </si>
  <si>
    <t>M27</t>
  </si>
  <si>
    <t>M28</t>
  </si>
  <si>
    <t>M29</t>
  </si>
  <si>
    <t>M30</t>
  </si>
  <si>
    <t>M31</t>
  </si>
  <si>
    <t>M32</t>
  </si>
  <si>
    <t>M33</t>
  </si>
  <si>
    <t>M34</t>
  </si>
  <si>
    <t>M35</t>
  </si>
  <si>
    <t>M36</t>
  </si>
  <si>
    <t>M37</t>
  </si>
  <si>
    <t>M38</t>
  </si>
  <si>
    <t>M39</t>
  </si>
  <si>
    <t>M40</t>
  </si>
  <si>
    <t>M41</t>
  </si>
  <si>
    <t>M42</t>
  </si>
  <si>
    <t>M43</t>
  </si>
  <si>
    <t>M44</t>
  </si>
  <si>
    <t>M45</t>
  </si>
  <si>
    <t>M46</t>
  </si>
  <si>
    <t>M47</t>
  </si>
  <si>
    <t>M48</t>
  </si>
  <si>
    <t>M49</t>
  </si>
  <si>
    <t>M50</t>
  </si>
  <si>
    <t>M51</t>
  </si>
  <si>
    <t>M52</t>
  </si>
  <si>
    <t>M53</t>
  </si>
  <si>
    <t>M54</t>
  </si>
  <si>
    <t>M55</t>
  </si>
  <si>
    <t>M56</t>
  </si>
  <si>
    <t>M57</t>
  </si>
  <si>
    <t>M58</t>
  </si>
  <si>
    <t>M59</t>
  </si>
  <si>
    <t>M60</t>
  </si>
  <si>
    <t>M61</t>
  </si>
  <si>
    <t>M62</t>
  </si>
  <si>
    <t>M63</t>
  </si>
  <si>
    <t>M64</t>
  </si>
  <si>
    <t>M65</t>
  </si>
  <si>
    <t>M66</t>
  </si>
  <si>
    <t>Family Name</t>
  </si>
  <si>
    <t>Given Name</t>
  </si>
  <si>
    <t>Date [DD/MM/YYY]</t>
  </si>
  <si>
    <t>Lead-Assessor Name</t>
  </si>
  <si>
    <t>Co-Assessor Name</t>
  </si>
  <si>
    <t>Evidence of professional development in project management</t>
  </si>
  <si>
    <t>Please fill yellow cells only.</t>
  </si>
  <si>
    <t>Comment sections are optional.</t>
  </si>
  <si>
    <t>Please use this sheet to enter your name and date.</t>
  </si>
  <si>
    <t>Please ensure any dates entered are correctly identified as calendar dates. Excel uses the date entries to calculate validity.</t>
  </si>
  <si>
    <t>Please only use this excel workbook to submit your evidence with.</t>
  </si>
  <si>
    <t>Other file formats, such as PDF, cannot be accepted.</t>
  </si>
  <si>
    <t>Please refer to file "Accreditations for IPMA GOI Recertifications" for details.</t>
  </si>
  <si>
    <t>Blue cells with a red marks contain further instructions.</t>
  </si>
  <si>
    <t>Blue cells shall not be filled by candidates. They contain examples, automatically generated results or are used by assessors.</t>
  </si>
  <si>
    <t>These sheets record professional development evidence required for the re-certification of Infineon PJMs certified under the IPMA GO Infineon scheme.</t>
  </si>
  <si>
    <t>Evaluation sheets are automatically populated with data from the GO sheets entered for Projects, Learning and Teaching.</t>
  </si>
  <si>
    <t xml:space="preserve">Hours calculated by these sheets may differ from hours credited by Infineon. This is normal and part of the evaluation process, as the GO Infineon hours are matched to the PMZERT form. </t>
  </si>
  <si>
    <t>However, please note that it is up to the Assessors to individually acknowledge accepted entries.</t>
  </si>
  <si>
    <t>The evaluation sheets are also used by assessors evaluating the records provided and will therefore be edited by assessors</t>
  </si>
  <si>
    <t>Orange cells are automatically populated with data entered into the Infineon evidence records for Projects, Learning and Teaching according to the keys agreed under the GOI scheme for ICB3/ICR3.</t>
  </si>
  <si>
    <t>© PM-ZERT</t>
  </si>
  <si>
    <t>Sum [month]</t>
  </si>
  <si>
    <t>weighted</t>
  </si>
  <si>
    <t>absolute</t>
  </si>
  <si>
    <t>till
MM/YYYY</t>
  </si>
  <si>
    <t>from
MM/YYYY</t>
  </si>
  <si>
    <t>Active in role [month]</t>
  </si>
  <si>
    <t>involvement
[%]</t>
  </si>
  <si>
    <t>active in role</t>
  </si>
  <si>
    <t>performed role 
(activity description)</t>
  </si>
  <si>
    <t>project duration</t>
  </si>
  <si>
    <t>project name</t>
  </si>
  <si>
    <t xml:space="preserve">No. </t>
  </si>
  <si>
    <t>planned certification date (MM/JJJJ)</t>
  </si>
  <si>
    <t>C</t>
  </si>
  <si>
    <t>Level:</t>
  </si>
  <si>
    <t xml:space="preserve">family name, first name:   </t>
  </si>
  <si>
    <t>Recertification</t>
  </si>
  <si>
    <t>Recertification:</t>
  </si>
  <si>
    <t>percentage per month &gt; 120%</t>
  </si>
  <si>
    <t>=</t>
  </si>
  <si>
    <t>percentage per month &gt; 80% and &lt;= 120%</t>
  </si>
  <si>
    <t>other cells will be filled automatically</t>
  </si>
  <si>
    <t>percentage per month &lt;= 80%</t>
  </si>
  <si>
    <t>yellow marked cells can be filled</t>
  </si>
  <si>
    <t>in month</t>
  </si>
  <si>
    <t>in percentage</t>
  </si>
  <si>
    <t>GO Project Class</t>
  </si>
  <si>
    <t>Level A</t>
  </si>
  <si>
    <t>Level B</t>
  </si>
  <si>
    <t>Level C</t>
  </si>
  <si>
    <t>Level D</t>
  </si>
  <si>
    <t>status</t>
  </si>
  <si>
    <t>rel. duration in %</t>
  </si>
  <si>
    <t>number of months</t>
  </si>
  <si>
    <t>(a) geänderter
pers. Einsatz %</t>
  </si>
  <si>
    <t>pers. assignment %</t>
  </si>
  <si>
    <t>notices</t>
  </si>
  <si>
    <t xml:space="preserve"> classification
Level A-D</t>
  </si>
  <si>
    <t xml:space="preserve"> end
MM.JJJJ</t>
  </si>
  <si>
    <t>start
MM.JJJJ</t>
  </si>
  <si>
    <t>projects</t>
  </si>
  <si>
    <t>certification</t>
  </si>
  <si>
    <t xml:space="preserve"> Level:</t>
  </si>
  <si>
    <t>name:</t>
  </si>
  <si>
    <t>date of</t>
  </si>
  <si>
    <t xml:space="preserve"> request:</t>
  </si>
  <si>
    <t>remarks:</t>
  </si>
  <si>
    <t>significant expected interferences/disturbances/risks:</t>
  </si>
  <si>
    <t>therefrom PM [€]:</t>
  </si>
  <si>
    <t>total budget [€]:</t>
  </si>
  <si>
    <t>external performances [MD]:</t>
  </si>
  <si>
    <t>internal effort [MD]:</t>
  </si>
  <si>
    <t>total effort [MD]:</t>
  </si>
  <si>
    <t>project organization:</t>
  </si>
  <si>
    <t>extended team (number):</t>
  </si>
  <si>
    <t>core team (number):</t>
  </si>
  <si>
    <t>milestones of project / subpr.:</t>
  </si>
  <si>
    <t>phases of project / subpr.:</t>
  </si>
  <si>
    <t>end of project / subpr.:</t>
  </si>
  <si>
    <t>start of project / subpr.:</t>
  </si>
  <si>
    <t>deliverables of project / subproject:</t>
  </si>
  <si>
    <t>objectives of project / subproject:</t>
  </si>
  <si>
    <t>short description of the subproject: (in case):</t>
  </si>
  <si>
    <t>short description of the overall project:</t>
  </si>
  <si>
    <t>Project selected for PER (activate box with "x" only in the "Yes" case):</t>
  </si>
  <si>
    <r>
      <t xml:space="preserve">costs        </t>
    </r>
    <r>
      <rPr>
        <sz val="11"/>
        <color theme="1"/>
        <rFont val="Wingdings"/>
        <family val="2"/>
        <charset val="2"/>
      </rPr>
      <t>x</t>
    </r>
  </si>
  <si>
    <r>
      <t xml:space="preserve">dates      </t>
    </r>
    <r>
      <rPr>
        <sz val="11"/>
        <color theme="1"/>
        <rFont val="Wingdings"/>
        <family val="2"/>
        <charset val="2"/>
      </rPr>
      <t xml:space="preserve"> x</t>
    </r>
    <r>
      <rPr>
        <sz val="11"/>
        <color theme="1"/>
        <rFont val="Arial"/>
        <family val="2"/>
      </rPr>
      <t xml:space="preserve">          </t>
    </r>
  </si>
  <si>
    <r>
      <t xml:space="preserve">scope / deliverables </t>
    </r>
    <r>
      <rPr>
        <sz val="11"/>
        <color theme="1"/>
        <rFont val="Wingdings"/>
        <family val="2"/>
        <charset val="2"/>
      </rPr>
      <t>x</t>
    </r>
    <r>
      <rPr>
        <sz val="11"/>
        <color theme="1"/>
        <rFont val="Arial"/>
        <family val="2"/>
      </rPr>
      <t xml:space="preserve">     </t>
    </r>
  </si>
  <si>
    <t>responsible for:</t>
  </si>
  <si>
    <r>
      <t xml:space="preserve">Team
Member    </t>
    </r>
    <r>
      <rPr>
        <sz val="11"/>
        <color theme="1"/>
        <rFont val="Wingdings"/>
        <family val="2"/>
        <charset val="2"/>
      </rPr>
      <t>x</t>
    </r>
  </si>
  <si>
    <r>
      <t>Subproject
Leader</t>
    </r>
    <r>
      <rPr>
        <sz val="11"/>
        <color theme="1"/>
        <rFont val="Wingdings"/>
        <family val="2"/>
        <charset val="2"/>
      </rPr>
      <t xml:space="preserve">  x</t>
    </r>
  </si>
  <si>
    <r>
      <t xml:space="preserve">Project
Manager                   </t>
    </r>
    <r>
      <rPr>
        <sz val="11"/>
        <color theme="1"/>
        <rFont val="Wingdings"/>
        <family val="2"/>
        <charset val="2"/>
      </rPr>
      <t>x</t>
    </r>
  </si>
  <si>
    <t>Role in Project</t>
  </si>
  <si>
    <r>
      <t xml:space="preserve">internal     </t>
    </r>
    <r>
      <rPr>
        <sz val="12"/>
        <color theme="1"/>
        <rFont val="Wingdings"/>
        <family val="2"/>
        <charset val="2"/>
      </rPr>
      <t>x</t>
    </r>
  </si>
  <si>
    <t>client/ordering party:</t>
  </si>
  <si>
    <t>project number</t>
  </si>
  <si>
    <t>Management Summary</t>
  </si>
  <si>
    <t>max. value per month = 120%</t>
  </si>
  <si>
    <t>Instructions</t>
  </si>
  <si>
    <t>The project list is a multi-part document to create a meaningful quantitative and qualitative evidence of your own activities in project management.</t>
  </si>
  <si>
    <t>According to the different requirements of each IPMA Level for each level there is a separate project-/program-/portfolio-list F05CEe, F05BEe and F05AEe.</t>
  </si>
  <si>
    <t>This document is available as Excel workbook set up so that when completing offers extensive support to users and unnecessary multiple entries are avoided.</t>
  </si>
  <si>
    <t>Part 1: worksheet "project list"</t>
  </si>
  <si>
    <t>Start with this worksheet by entering the month and year of your cerrification date in the following format: mm/yyy.
Then fill out the other yellow fields.
You may follow the check list below.</t>
  </si>
  <si>
    <t>All statements in the following table are also as a comment integrated in the  spread sheet. "Projects List".  Fields marked with a small red triangle contain a brief statement. Move the mouse over the field.</t>
  </si>
  <si>
    <t>Check List</t>
  </si>
  <si>
    <t>Item</t>
  </si>
  <si>
    <t>Position</t>
  </si>
  <si>
    <t>Action</t>
  </si>
  <si>
    <t>row 2</t>
  </si>
  <si>
    <t>If this is your recertification, check the box.</t>
  </si>
  <si>
    <t>row 4</t>
  </si>
  <si>
    <t>Enter your name.</t>
  </si>
  <si>
    <t>row 5</t>
  </si>
  <si>
    <t>Enter the expected date of your certification here. This field must contain a valid date before projects can be entered</t>
  </si>
  <si>
    <t>col A</t>
  </si>
  <si>
    <t>By clicking on the registered number will take you to the edit page of your project.</t>
  </si>
  <si>
    <t>col B</t>
  </si>
  <si>
    <t>self-explanatory</t>
  </si>
  <si>
    <t>col C/D, F/G</t>
  </si>
  <si>
    <t>Here is differentiated between your personal activities and the duration of the project.
Beginning and end of activity in the specified role is entered by entering the month and year.</t>
  </si>
  <si>
    <t>col E</t>
  </si>
  <si>
    <t>Brief description / details of your role applied to the project.
If multiple roles are perceived within a project, they must be individually listed in one row for each.
Crucial for admission in the certification process is the activity in the desired level.</t>
  </si>
  <si>
    <t>col H</t>
  </si>
  <si>
    <t>Enter your average assignment to those in col F and G named deployment in projects.
For your information, your activities in projects are calculated automatically and entered as an appropriate time bar into the worksheet "schedule" of this document.</t>
  </si>
  <si>
    <t>col I</t>
  </si>
  <si>
    <t>Enter the project class according the classification in Infineon (IFX).
Valid Infineon Project Classes are  „E“ to „A“. 
Infineon class "E" projects are accepted as IPMA Level C projects due to their internal strategic value. See also Infineon internal presentation of project classification criterias.</t>
  </si>
  <si>
    <t>col J</t>
  </si>
  <si>
    <t>Is calculated from the difference in columns F and G using the information given in C and D as well as of the certification date.</t>
  </si>
  <si>
    <t>col K</t>
  </si>
  <si>
    <t>Is calculated from the values ​​in columns I and H. This is the Full Time Equivalent (FTE).
Definition: FTE expresses the value that a full-time worker (full-time → 100% employment rate) in a comparable time yields (day, week, month, year))</t>
  </si>
  <si>
    <t>Part 2: worksheet  "schedule"</t>
  </si>
  <si>
    <t>All projects entered into the worksheet "project list" are automatically displayed in a bar chart. Here, the assignment entered in col H of the worksheet "project list" is included.</t>
  </si>
  <si>
    <t>The overall workload on concurrent projects is added at the bottom of the graph.</t>
  </si>
  <si>
    <t>Note: An overall workload &gt;120% will not be accepted!</t>
  </si>
  <si>
    <t>The overall workload has to fulfil the requirements of the "Guidelines  for certification candidates"   Z01.</t>
  </si>
  <si>
    <t>Part 3: worksheet 1 to 20</t>
  </si>
  <si>
    <t>One such worksheet  must be completed for each project entered into the "project list" worksheet.</t>
  </si>
  <si>
    <t>Data filled in the Management Summary always refer to your own sub-project or project.</t>
  </si>
  <si>
    <t>If the own subproject / project is part of an overall project or program or other projects or subprojects are essential interfaces for the own project, this relation should be described under the heading "remarks".</t>
  </si>
  <si>
    <t>Accepted IFX Project Classes:</t>
  </si>
  <si>
    <t>E</t>
  </si>
  <si>
    <t>Duration &gt;= 6 Months, personal efforts &gt;= 50 Pdays, Team size &gt;= 2 and finacial impact up to 5 MioEUR and/or strategically important</t>
  </si>
  <si>
    <t>A</t>
  </si>
  <si>
    <t>none</t>
  </si>
  <si>
    <t>No.</t>
  </si>
  <si>
    <t>VOID</t>
  </si>
  <si>
    <t>Learning</t>
  </si>
  <si>
    <t>YEAR</t>
  </si>
  <si>
    <t>Notice</t>
  </si>
  <si>
    <t>MAX HOURS PER YEAR</t>
  </si>
  <si>
    <t>Credited HPY</t>
  </si>
  <si>
    <t>HPY till now</t>
  </si>
  <si>
    <t>Credited for this item</t>
  </si>
  <si>
    <t>No Limit</t>
  </si>
  <si>
    <t xml:space="preserve">Hour limit exceeded for </t>
  </si>
  <si>
    <t>ERROR MESSAGES</t>
  </si>
  <si>
    <t>End date before start date!</t>
  </si>
  <si>
    <t>Total h till now</t>
  </si>
  <si>
    <t>MAX HOURS PER PERIOD</t>
  </si>
  <si>
    <t>READ HOURS</t>
  </si>
  <si>
    <t>Credited Total h</t>
  </si>
  <si>
    <t>Teaching</t>
  </si>
  <si>
    <t>Drop Down Choices</t>
  </si>
  <si>
    <t>Notices</t>
  </si>
  <si>
    <t>Teamwork</t>
  </si>
  <si>
    <t>Self Assessment</t>
  </si>
  <si>
    <t>Strategy</t>
  </si>
  <si>
    <t>Governance, structures and processes</t>
  </si>
  <si>
    <t>Compliance, standards and regulations</t>
  </si>
  <si>
    <t>Power and interest</t>
  </si>
  <si>
    <t>Culture and values</t>
  </si>
  <si>
    <t>Self-reflection and self-management</t>
  </si>
  <si>
    <t>Personal integrity and reliability</t>
  </si>
  <si>
    <t>Personal communication</t>
  </si>
  <si>
    <t>Relations and engagement</t>
  </si>
  <si>
    <t>Leadership</t>
  </si>
  <si>
    <t>Conflict and crisis</t>
  </si>
  <si>
    <t>Resourcefulness</t>
  </si>
  <si>
    <t>Negotiation</t>
  </si>
  <si>
    <t>Results orientation</t>
  </si>
  <si>
    <t>Project design</t>
  </si>
  <si>
    <t>Requirements and objectives</t>
  </si>
  <si>
    <t>Scope</t>
  </si>
  <si>
    <t>Time</t>
  </si>
  <si>
    <t>Quality</t>
  </si>
  <si>
    <t>Finance</t>
  </si>
  <si>
    <t>Resources</t>
  </si>
  <si>
    <t>Procurement</t>
  </si>
  <si>
    <t>Plan and control</t>
  </si>
  <si>
    <t>Risk and opportunity</t>
  </si>
  <si>
    <t>Stakeholders</t>
  </si>
  <si>
    <t>Change and transformation</t>
  </si>
  <si>
    <t>Competence Elements (CE)*</t>
  </si>
  <si>
    <t>Perspective (4.3)</t>
  </si>
  <si>
    <t>People (4.4)</t>
  </si>
  <si>
    <t>Practice (4.5)</t>
  </si>
  <si>
    <t>Title</t>
  </si>
  <si>
    <t>NO</t>
  </si>
  <si>
    <t>Place</t>
  </si>
  <si>
    <t>Notes:</t>
  </si>
  <si>
    <t>cells marked yellow can be filled</t>
  </si>
  <si>
    <t>Lead Assessor</t>
  </si>
  <si>
    <t>Lead Assessor:</t>
  </si>
  <si>
    <t>Co Assessor:</t>
  </si>
  <si>
    <t>Location:</t>
  </si>
  <si>
    <t>Total CBA experience (months)</t>
  </si>
  <si>
    <t>Candidate Name:</t>
  </si>
  <si>
    <t>#</t>
  </si>
  <si>
    <t>Complexity Indicators and Sub-indicators</t>
  </si>
  <si>
    <t>Criteria for a rating of:</t>
  </si>
  <si>
    <t>Very low 
(1)</t>
  </si>
  <si>
    <t>Low 
(2)</t>
  </si>
  <si>
    <t>High 
(3)</t>
  </si>
  <si>
    <t>Very high (4)</t>
  </si>
  <si>
    <t>Notes, comments, evidence (optional)</t>
  </si>
  <si>
    <t>Average of detail ratings entered:</t>
  </si>
  <si>
    <t>Total</t>
  </si>
  <si>
    <t>Summary Ratings (rounded)</t>
  </si>
  <si>
    <t>Indicator</t>
  </si>
  <si>
    <t xml:space="preserve">Overall rating   </t>
  </si>
  <si>
    <t>Ratings and Comments</t>
  </si>
  <si>
    <t>Management Complexity Ratings for Project 4:</t>
  </si>
  <si>
    <t>Required to pass</t>
  </si>
  <si>
    <t>Overall result</t>
  </si>
  <si>
    <t>Practice competence elements satisfied</t>
  </si>
  <si>
    <t>Personal competence elements satisfied</t>
  </si>
  <si>
    <t>Perspective competence elements satisfied</t>
  </si>
  <si>
    <t>Summary</t>
  </si>
  <si>
    <t>Implement change or transformation management strategy</t>
  </si>
  <si>
    <t>Develop change or transformation strategy</t>
  </si>
  <si>
    <t>Identify change requirements and transformation opportunities</t>
  </si>
  <si>
    <t>Assess the adaptability to change of the organization(s)</t>
  </si>
  <si>
    <t>4.5.13</t>
  </si>
  <si>
    <t>Organize and maintain networks and alliances</t>
  </si>
  <si>
    <t>Engage with users, partners, and suppliers to gain their cooperation and commitment</t>
  </si>
  <si>
    <t>Engage with the executive, sponsors, and higher management to gain commitment and to manage interests and expectations</t>
  </si>
  <si>
    <t>Develop and maintain a stakeholder strategy and communication plan</t>
  </si>
  <si>
    <t>Identify stakeholders, and analyze their interests and influence</t>
  </si>
  <si>
    <t>4.5.12</t>
  </si>
  <si>
    <t>Evaluate and monitor risks, opportunities, and implemented responses</t>
  </si>
  <si>
    <t>Select strategies and implement response plans to address risks and opportunities</t>
  </si>
  <si>
    <t>Assess the probability and impact of risks and opportunities</t>
  </si>
  <si>
    <t>Identify risks and opportunities</t>
  </si>
  <si>
    <t>Develop and implement a risk management framework</t>
  </si>
  <si>
    <t>4.5.11</t>
  </si>
  <si>
    <t>Close and evaluate a phase or the project</t>
  </si>
  <si>
    <t>Assess, get agreement on, and implement project changes</t>
  </si>
  <si>
    <t>Report on project progress</t>
  </si>
  <si>
    <t>Control project performance against the project plan and take any necessary corrective actions</t>
  </si>
  <si>
    <t>Initiate and manage the transition to a new project phase</t>
  </si>
  <si>
    <t>Start the project, and develop and get agreement on the project management plan</t>
  </si>
  <si>
    <t>4.5.10</t>
  </si>
  <si>
    <t>Supervise the execution of contracts, address issues, and seek redress where necessary</t>
  </si>
  <si>
    <t>Contribute to the negotiation and agreement of contractual terms and conditions that meet project objectives</t>
  </si>
  <si>
    <t>Contribute to the evaluation and selection of suppliers and partners</t>
  </si>
  <si>
    <t>Agree on procurement needs, options, and processes</t>
  </si>
  <si>
    <t>4.5.9</t>
  </si>
  <si>
    <t>Evaluate resource usage and take any necessary corrective actions</t>
  </si>
  <si>
    <t>Allocate and distribute resources according to defined need</t>
  </si>
  <si>
    <t>Identify the potential sources of resources, and negotiate their acquisition</t>
  </si>
  <si>
    <t>Define the quality and quantity of resources required</t>
  </si>
  <si>
    <t>Develop a strategic resource plan to deliver the project</t>
  </si>
  <si>
    <t>4.5.8</t>
  </si>
  <si>
    <t>Monitor project financials in order to identify and correct deviations from the project plan</t>
  </si>
  <si>
    <t>Develop, establish, and maintain a financial management and reporting system for the project</t>
  </si>
  <si>
    <t>Secure project funding</t>
  </si>
  <si>
    <t>Establish the project budget</t>
  </si>
  <si>
    <t>Estimate project costs</t>
  </si>
  <si>
    <t>4.5.7</t>
  </si>
  <si>
    <t>Ensure quality throughout the project</t>
  </si>
  <si>
    <t>Plan and organize the validation of project outcomes</t>
  </si>
  <si>
    <t>Verify the achievement of project quality objectives and recommend any necessary corrective and/or preventive actions</t>
  </si>
  <si>
    <t>Review the project and its deliverables to ensure that they continue to meet the requirements of the quality management plan</t>
  </si>
  <si>
    <t>Develop, monitor the implementation of, and maintain a quality management plan for the project</t>
  </si>
  <si>
    <t>4.5.6</t>
  </si>
  <si>
    <t>Implement, monitor, and maintain the organization of the project</t>
  </si>
  <si>
    <t>Establish infrastructure, processes, and systems for information flow</t>
  </si>
  <si>
    <t>Define the structure, roles, and responsibilities within the project</t>
  </si>
  <si>
    <t>Assess and determine the needs of stakeholders relating to information and documentation</t>
  </si>
  <si>
    <t>Organization and information</t>
  </si>
  <si>
    <t>4.5.5</t>
  </si>
  <si>
    <t>Monitor progress against the schedule and make any necessary adjustments</t>
  </si>
  <si>
    <t>Sequence project activities and create a schedule</t>
  </si>
  <si>
    <t>Decide on schedule and phasing approach</t>
  </si>
  <si>
    <t>Determine the work effort and duration of activities</t>
  </si>
  <si>
    <t>Define the activities required to deliver the project</t>
  </si>
  <si>
    <t>4.5.4</t>
  </si>
  <si>
    <t>Establish and maintain scope configuration</t>
  </si>
  <si>
    <t>Define the work packages of the project</t>
  </si>
  <si>
    <t>Structure the project scope</t>
  </si>
  <si>
    <t>Define the project deliverables</t>
  </si>
  <si>
    <t>4.5.3</t>
  </si>
  <si>
    <t>Prioritize and decide on requirements and acceptance criteria</t>
  </si>
  <si>
    <t>Identify and analyze project stakeholder needs and requirements</t>
  </si>
  <si>
    <t>Define and develop the project goal hierarchy</t>
  </si>
  <si>
    <t>4.5.2</t>
  </si>
  <si>
    <t>Design the project execution architecture</t>
  </si>
  <si>
    <t>Select and review the overall project management approach</t>
  </si>
  <si>
    <t>Determine complexity and its consequences for the approach</t>
  </si>
  <si>
    <t>Review, apply, and exchange lessons learned from and with other projects</t>
  </si>
  <si>
    <t>Acknowledge, prioritize, and review success criteria</t>
  </si>
  <si>
    <t>4.5.1</t>
  </si>
  <si>
    <t>Practice Competence Elements</t>
  </si>
  <si>
    <t>Deliver results and get acceptance</t>
  </si>
  <si>
    <t>Promote and 'sell' the project and its processes and outcomes</t>
  </si>
  <si>
    <t>Create and maintain a healthy, safe, and productive working environment</t>
  </si>
  <si>
    <t>Balance needs and means to optimize outcomes and success</t>
  </si>
  <si>
    <t>Evaluate all decisions and actions against their impact on project success and the objectives of the organization</t>
  </si>
  <si>
    <t>4.4.10</t>
  </si>
  <si>
    <t>Detect and exploit additional selling and acquisition possibilities</t>
  </si>
  <si>
    <t>Reach negotiated agreements with other parties that are in line with one's own objectives</t>
  </si>
  <si>
    <t>Define a negotiation strategy in line with one's own objectives that is acceptable to all parties involved</t>
  </si>
  <si>
    <t>Develop and evaluate options and alternatives with the potential to meet the needs of all parties</t>
  </si>
  <si>
    <t>Identify and analyze the interests of all parties involved in the negotiation</t>
  </si>
  <si>
    <t>4.4.9</t>
  </si>
  <si>
    <t>Promote a holistic view of the project and its context to improve decision-making</t>
  </si>
  <si>
    <t>Promote and apply creative techniques to find alternatives and solutions</t>
  </si>
  <si>
    <t>Apply analytic techniques to analyzing situations and financial and organizational data and trends</t>
  </si>
  <si>
    <t>Apply conceptual thinking to define situations and strategies</t>
  </si>
  <si>
    <t>Stimulate and support an open and creative environment</t>
  </si>
  <si>
    <t>4.4.8</t>
  </si>
  <si>
    <t>Identify and share learning from conflicts and crises in order to improve future practice</t>
  </si>
  <si>
    <t>Mediate and resolve conflicts and crises and/or their impact</t>
  </si>
  <si>
    <t>Analyze the causes and consequences of conflicts and crises and select appropriate response(s)</t>
  </si>
  <si>
    <t>Anticipate and possibly prevent conflicts and crises</t>
  </si>
  <si>
    <t>4.4.7</t>
  </si>
  <si>
    <t>Recognize errors to facilitate learning from mistakes</t>
  </si>
  <si>
    <t>Empower teams by delegating tasks and responsibilities</t>
  </si>
  <si>
    <t>Support, facilitate, and review the development of the team and its members</t>
  </si>
  <si>
    <t>Promote cooperation and networking between team members</t>
  </si>
  <si>
    <t>Select and build the team</t>
  </si>
  <si>
    <t>4.4.6</t>
  </si>
  <si>
    <t>Make, enforce, and review decisions</t>
  </si>
  <si>
    <t>Exert appropriate power and influence over others to achieve project goals</t>
  </si>
  <si>
    <t>Provide direction, coaching, and mentoring to guide and improve the work of individuals and teams</t>
  </si>
  <si>
    <t>Take ownership and show commitment</t>
  </si>
  <si>
    <t>Initiate actions and proactively offer help and advice</t>
  </si>
  <si>
    <t>4.4.5</t>
  </si>
  <si>
    <t>Share one's own vision and goals in order to gain the engagement and commitment of others</t>
  </si>
  <si>
    <t>Show confidence and respect by encouraging others to share their opinions or concerns</t>
  </si>
  <si>
    <t>Demonstrate empathy through listening, understanding, and support</t>
  </si>
  <si>
    <t>Build, facilitate, and contribute to social networks</t>
  </si>
  <si>
    <t>Initiate and develop personal and professional relations</t>
  </si>
  <si>
    <t>4.4.4</t>
  </si>
  <si>
    <t>Employ humor and sense of perspective when appropriate</t>
  </si>
  <si>
    <t>Communicate effectively with virtual teams</t>
  </si>
  <si>
    <t>Choose communication styles and channels to meet the needs of the audience, situation, and management level</t>
  </si>
  <si>
    <t>Facilitate and promote open communication</t>
  </si>
  <si>
    <t>Provide clear and structured information to others and verify their understanding</t>
  </si>
  <si>
    <t>4.4.3</t>
  </si>
  <si>
    <t>Complete tasks thoroughly in order to build confidence with others</t>
  </si>
  <si>
    <t>Act, take decisions, and communicate in a consistent way</t>
  </si>
  <si>
    <t>Take responsibility for one's own decisions and actions</t>
  </si>
  <si>
    <t>Promote the sustainability of outputs and outcomes</t>
  </si>
  <si>
    <t>Acknowledge and apply ethical values to all decisions and actions</t>
  </si>
  <si>
    <t>4.4.2</t>
  </si>
  <si>
    <t>Take responsibility for personal learning and development</t>
  </si>
  <si>
    <t>Organize personal work depending on the situation and one's own resources</t>
  </si>
  <si>
    <t>Identify, and reflect on, personal motivations to set personal goals and keep focus</t>
  </si>
  <si>
    <t>Build self-confidence on the basis of personal strengths and weaknesses</t>
  </si>
  <si>
    <t>Identify, and reflect on, the ways in which one's own values and experiences affect the work</t>
  </si>
  <si>
    <t>4.4.1</t>
  </si>
  <si>
    <t>Assess the informal culture and values of the organization and their implications for the project</t>
  </si>
  <si>
    <t>Align the project with the formal culture and values of the organization</t>
  </si>
  <si>
    <t>Assess the culture and values of society and their implications for the project</t>
  </si>
  <si>
    <t>4.3.5</t>
  </si>
  <si>
    <t>Assess the personalities and working styles of others and employ them to the benefit of the project</t>
  </si>
  <si>
    <t>Assess the informal influence of individuals and groups and its potential impact on the project</t>
  </si>
  <si>
    <t>Assess the personal ambitions and interests of others and the potential impact of these on the project</t>
  </si>
  <si>
    <t>4.3.4</t>
  </si>
  <si>
    <t>Assess, benchmark, and improve the organization's project management competence</t>
  </si>
  <si>
    <t>Assess, use, and develop professional standards and tools for the project</t>
  </si>
  <si>
    <t>Identify, and ensure that the project complies with, relevant sustainability principles and objectives</t>
  </si>
  <si>
    <t>Identify, and ensure that the project complies with, all relevant codes of conduct and professional regulation</t>
  </si>
  <si>
    <t>Identify, and ensure that the project complies with, all relevant health, safety, security, and environmental regulations (HSSE)</t>
  </si>
  <si>
    <t>Identify, and ensure that the project complies with, all relevant legislation</t>
  </si>
  <si>
    <t>4.3.3</t>
  </si>
  <si>
    <t>Align the project with the organization's finance and control processes and functions</t>
  </si>
  <si>
    <t>Align the project with the organization's human resource processes and functions</t>
  </si>
  <si>
    <t>Align the project with the organization's decision making, reporting structures, and quality requirements</t>
  </si>
  <si>
    <t>Align the project with the project supporting function</t>
  </si>
  <si>
    <t>Know the principles of project management and the way they are implemented</t>
  </si>
  <si>
    <t>4.3.2</t>
  </si>
  <si>
    <t>Determine, assess, and review key performance indicators</t>
  </si>
  <si>
    <t>Determine, assess, and review critical success factors</t>
  </si>
  <si>
    <t>Develop and ensure the ongoing validity of the business/organizational justification</t>
  </si>
  <si>
    <t>Identify and exploit opportunities to influence organizational strategy</t>
  </si>
  <si>
    <t>Align with organizational mission and vision</t>
  </si>
  <si>
    <t>4.3.1</t>
  </si>
  <si>
    <t>Perspective Competence Elements</t>
  </si>
  <si>
    <t>Final Result</t>
  </si>
  <si>
    <t>Assr. Result</t>
  </si>
  <si>
    <t>Calc. Result</t>
  </si>
  <si>
    <t>Inter-view</t>
  </si>
  <si>
    <t>Exam</t>
  </si>
  <si>
    <t>Co-Assessor:</t>
  </si>
  <si>
    <t>Case Study Sim</t>
  </si>
  <si>
    <t>Report</t>
  </si>
  <si>
    <t>Sheet control section</t>
  </si>
  <si>
    <t>Status:</t>
  </si>
  <si>
    <t>assessor section complete:</t>
  </si>
  <si>
    <t>Standard</t>
  </si>
  <si>
    <t>Project Eval Period (years)</t>
  </si>
  <si>
    <t>Granted</t>
  </si>
  <si>
    <t>Denied</t>
  </si>
  <si>
    <t>months</t>
  </si>
  <si>
    <t>Not appliccable</t>
  </si>
  <si>
    <t>To be evaluated</t>
  </si>
  <si>
    <t>max. per month = 120%</t>
  </si>
  <si>
    <t>every month counts in full (round up)</t>
  </si>
  <si>
    <t>Interview answers</t>
  </si>
  <si>
    <t>Report Evaluation</t>
  </si>
  <si>
    <t>KCIs passed:</t>
  </si>
  <si>
    <t>Pass mark:</t>
  </si>
  <si>
    <t>Report:</t>
  </si>
  <si>
    <t>Exam Scoring</t>
  </si>
  <si>
    <t>CE Result</t>
  </si>
  <si>
    <t>KCI in the exam:</t>
  </si>
  <si>
    <t>Result</t>
  </si>
  <si>
    <t>Variant:</t>
  </si>
  <si>
    <t>Who</t>
  </si>
  <si>
    <t>Change</t>
  </si>
  <si>
    <t>Sheet</t>
  </si>
  <si>
    <t>Range</t>
  </si>
  <si>
    <t>Restricted action</t>
  </si>
  <si>
    <t>HG</t>
  </si>
  <si>
    <t>All</t>
  </si>
  <si>
    <t>Version</t>
  </si>
  <si>
    <t>Revision</t>
  </si>
  <si>
    <t>.1</t>
  </si>
  <si>
    <t>.2</t>
  </si>
  <si>
    <t>Know the principles of programme management and the way they are implemented</t>
  </si>
  <si>
    <t>.3</t>
  </si>
  <si>
    <t>Know the principles of project protfolio management and the way they are implemented</t>
  </si>
  <si>
    <t>.4</t>
  </si>
  <si>
    <t>.5</t>
  </si>
  <si>
    <t>.6</t>
  </si>
  <si>
    <t>.7</t>
  </si>
  <si>
    <t>Req. Bloom Lev.</t>
  </si>
  <si>
    <t>Summary of Individual Certification Steps</t>
  </si>
  <si>
    <t>Case study simulation workshop</t>
  </si>
  <si>
    <t>Written Exam:</t>
  </si>
  <si>
    <t>Case Study Sim Evaluation</t>
  </si>
  <si>
    <t>KCIs passed</t>
  </si>
  <si>
    <t>CS Status:</t>
  </si>
  <si>
    <t>Report Status:</t>
  </si>
  <si>
    <t>CS Scenario:</t>
  </si>
  <si>
    <t>Case study scenario tested:</t>
  </si>
  <si>
    <t>Written exam variant tested:</t>
  </si>
  <si>
    <t>References</t>
  </si>
  <si>
    <t>Extensive scope for responsibility and decision-making, e.g. through power of attorney or signature regulations</t>
  </si>
  <si>
    <t>Project manager represents the project and thus also the company towards external stakeholders</t>
  </si>
  <si>
    <t>Negotiation of requirements and functional specifications; scope for design arises mainly from change processes</t>
  </si>
  <si>
    <t xml:space="preserve">little autonomy/leeway for the PL in terms of decisions and representation of the project to the outside world </t>
  </si>
  <si>
    <t>The project manager's scope of decision-making and responsibility; extent of delegation to the project team; representation of the project vis-à-vis the entire social environment.</t>
  </si>
  <si>
    <t>Autonomy and responsibility</t>
  </si>
  <si>
    <t xml:space="preserve">Novelty of the project object and/or of processes in connection with large project volume requires planning of qualification, but also intensive risk management </t>
  </si>
  <si>
    <t>Novelty of the project object and/or preparatory qualification measures conditioned by processes</t>
  </si>
  <si>
    <t>some measures required as a result of the novelty in individual areas</t>
  </si>
  <si>
    <t>no need for action due to minor novelty, e.g. repeat projects</t>
  </si>
  <si>
    <t>technical novelty of the project and its impact on resource selection and training during the project; dealing with novel approaches and results</t>
  </si>
  <si>
    <t xml:space="preserve"> innovation</t>
  </si>
  <si>
    <t>Indicators related to management and leadership</t>
  </si>
  <si>
    <t>few team members have already worked with PL, PL has experience in Mgt of teams less than 1J, few governance requirements are defined, the project team has very few PM skills</t>
  </si>
  <si>
    <t>many team members have already worked with PL, PL has experience in Mgt of teams over 1-2 J, some governance requirements are clearly defined, the project team has some PM skills</t>
  </si>
  <si>
    <t>very many team members have already worked with PL, PL has experience in Mgt of teams over 3 J, governance requirements are partly defined, the project team has PM Skills</t>
  </si>
  <si>
    <t>almost all team members have already worked with PL, PL has experience in the management of teams over 5 J, governance requirements are clearly defined, the project team has high PM Skills</t>
  </si>
  <si>
    <t>Scope of leadership, team building and control measures</t>
  </si>
  <si>
    <t xml:space="preserve">Leadership and teamwork </t>
  </si>
  <si>
    <t>Effects resulting from locally distributed teams or large teams from different companies and cultures require extensive leadership measures.</t>
  </si>
  <si>
    <t>Impacts due to locally distributed teams, multiple languages or heterogeneous cultures require leadership measures in individual cases</t>
  </si>
  <si>
    <t>little impact to be expected</t>
  </si>
  <si>
    <t>no effects to be expected (project at one location, one language, homogeneous project group)</t>
  </si>
  <si>
    <t>Influence of socio-cultural differences in the project team, especially in distributed or cross-company teams</t>
  </si>
  <si>
    <t>Socio-cultural influences</t>
  </si>
  <si>
    <t>Strong influences of the parent organization on strategic level; decisions by negotiations with the parent organization, project has strong effects on processes of the parent organization, project is new for companies</t>
  </si>
  <si>
    <t xml:space="preserve">many operative 
Interfaces have an effect on the project; reports and decisions make up a considerable part of the work, project has effects on processes of the parent organization, few similar projects have already been carried out in the company </t>
  </si>
  <si>
    <t xml:space="preserve">strong differentiation of the project from the parent organisation, decisions are made essentially in the parent organisation, many similar projects have already been carried out in the company </t>
  </si>
  <si>
    <t>Scope of networking via project interfaces with the structures, reporting and decision-making paths of the parent organisation</t>
  </si>
  <si>
    <t>Permanent organization</t>
  </si>
  <si>
    <t>Indicators related to the context</t>
  </si>
  <si>
    <t>Project has significant impact on the company and its success; strong impact of laws and regulations</t>
  </si>
  <si>
    <t>Many components (?) of different kind</t>
  </si>
  <si>
    <t>Stakeholder interests influence the project Limited influences from the corporate strategy</t>
  </si>
  <si>
    <t>few strategic influences; project is purely operationally oriented</t>
  </si>
  <si>
    <t>Influence of the corporate strategy, effects of the project on the company, stakeholder interests;
Laws and regulations</t>
  </si>
  <si>
    <t xml:space="preserve">Strategy, Stakeholders </t>
  </si>
  <si>
    <t>Extensive risk potential including high strategic risks; application of valid management options; reporting in accordance with CONTRAGUE</t>
  </si>
  <si>
    <t>several risks with a limited amount of damage; possibility of exploiting opportunities to relieve the project</t>
  </si>
  <si>
    <t>several risks and opportunities; stable risk system; management of a risk budget</t>
  </si>
  <si>
    <t>few risks at a manageable level, no opportunity management</t>
  </si>
  <si>
    <t xml:space="preserve">Assessment of opportunities and risks in the project; determination and control of the risk system; derivation of valid measures; determination and use of opportunities; application of tools for controlling the risk budget </t>
  </si>
  <si>
    <t>Opportunities and risks</t>
  </si>
  <si>
    <t>Procurement of essential financial resources, internal and external financing by various donors; management of essential subcontractors</t>
  </si>
  <si>
    <t>Budget and resource procurement in competition with other projects; essential procurement processes</t>
  </si>
  <si>
    <t>Budget determination and negotiation; negotiation of the required resources, partly external resource procurement</t>
  </si>
  <si>
    <t>Budget determination without negotiation, simple cost monitoring; resources available, minor resource conflicts; minor procurement processes</t>
  </si>
  <si>
    <t>Acquisition and provision of the necessary budgets and their management; number of donors; availability and quality of the necessary (human and other) resources; resource management and procurement processes</t>
  </si>
  <si>
    <t>Resources and Finances</t>
  </si>
  <si>
    <t>Indicators related to technical capabilities</t>
  </si>
  <si>
    <t>very complex tasks, extensive factual environment; requires the use of extensive processes and tools, strict reporting requirements</t>
  </si>
  <si>
    <t>extensive system of tasks and assumptions; many factual factors; partial use of new tools and processes, reporting requirements</t>
  </si>
  <si>
    <t>several tasks, supplemented by assumptions; use of known processes and tools, some reporting requirements</t>
  </si>
  <si>
    <t>known tasks and boundary conditions; few standard/reporting procedures</t>
  </si>
  <si>
    <t>Scope of tasks, assumptions and boundary conditions and their dependencies, processes, tools and methods used, team and communication structures used</t>
  </si>
  <si>
    <t>Tasks and Processes</t>
  </si>
  <si>
    <t>many, sometimes competing goals,
strategic and political goals, hidden goals, utilization goals</t>
  </si>
  <si>
    <t>several targets 
differential
of a kind, 
partly unclearly defined</t>
  </si>
  <si>
    <t>few targets, 
well formulated, few conflicting goals</t>
  </si>
  <si>
    <t xml:space="preserve">very few clear
Goals, all 
quantitatively 
is specified, 
operable </t>
  </si>
  <si>
    <t>Number and diversity of individual goals, taking into account the goals and expectations of the relevant stakeholders, different target categories: Process goals, usage goals (business case), operationalizability, transparency and dependencies</t>
  </si>
  <si>
    <t>Objectives and results</t>
  </si>
  <si>
    <t>ESR Indicator</t>
  </si>
  <si>
    <t>Adapted from PMZERT</t>
  </si>
  <si>
    <t>clear interfaces to the parent organisation, e.g. via management committee; reporting and decision-making processes limited and clearly defined Project has little impact on processes of the parent organisation, similar projects have already been carried out in the company</t>
  </si>
  <si>
    <t>IPMA MALAYSIA</t>
  </si>
  <si>
    <t>OTHER</t>
  </si>
  <si>
    <t>Certification Type</t>
  </si>
  <si>
    <t>Re-Cert</t>
  </si>
  <si>
    <t xml:space="preserve"> </t>
  </si>
  <si>
    <t>OWN LEARNING</t>
  </si>
  <si>
    <t>Conference Name / Title</t>
  </si>
  <si>
    <t>Organizer</t>
  </si>
  <si>
    <t>Location</t>
  </si>
  <si>
    <t>Duration [hrs]</t>
  </si>
  <si>
    <t>Reference to ICB Elements</t>
  </si>
  <si>
    <t>Credited Duration [hrs]</t>
  </si>
  <si>
    <t>Training Name</t>
  </si>
  <si>
    <t>Mentor's Organization</t>
  </si>
  <si>
    <t>Reading Literature / Publications</t>
  </si>
  <si>
    <t>Title / Topic</t>
  </si>
  <si>
    <t>Publisher</t>
  </si>
  <si>
    <t>Publication Date</t>
  </si>
  <si>
    <t>Reading Subscribed PJM Journals</t>
  </si>
  <si>
    <t>Remote Training &amp; Learning</t>
  </si>
  <si>
    <t>Provider</t>
  </si>
  <si>
    <t>Link</t>
  </si>
  <si>
    <t>Optional Comments</t>
  </si>
  <si>
    <t>Duration</t>
  </si>
  <si>
    <t>https://www.linkedin.com/learning/project-management-foundations-communication-3/communication-skills-benefit-projects</t>
  </si>
  <si>
    <t>Linked In Learning</t>
  </si>
  <si>
    <t>With increasing project team size, providing the right information to all relevant people becomes a challenging aspect. Based on the stakeholder analysis one should derive which kind of information must be communicated in which way to the respective people.</t>
  </si>
  <si>
    <t>Communication Plan</t>
  </si>
  <si>
    <t>1:01 hrs</t>
  </si>
  <si>
    <t>Problems in projects are almost always blamed on bad communication. Project Managers spend most of their time communicating as a successful project depends on a good communication.</t>
  </si>
  <si>
    <t>Introduction</t>
  </si>
  <si>
    <t xml:space="preserve">Project Management Foundations: Communication </t>
  </si>
  <si>
    <t>Summary and review</t>
  </si>
  <si>
    <t>List Entry</t>
  </si>
  <si>
    <t>Section / Chapter / Time / Slides</t>
  </si>
  <si>
    <t>ICB Elements</t>
  </si>
  <si>
    <t>EXAMPLE ENTRY</t>
  </si>
  <si>
    <t>Please provide a summary and review for all sessions you have attended / studied following the example entry given below!</t>
  </si>
  <si>
    <t>Attending remote training sessions and online content</t>
  </si>
  <si>
    <t>Number of Pages</t>
  </si>
  <si>
    <t>minimum 20 words per entry, 
minimum 1 entry per title / topic</t>
  </si>
  <si>
    <t>ICB-Element</t>
  </si>
  <si>
    <t>(2)  (Self-) Study of PJM literature</t>
  </si>
  <si>
    <r>
      <t>Writing Publications</t>
    </r>
    <r>
      <rPr>
        <sz val="11"/>
        <color theme="1"/>
        <rFont val="Calibri"/>
        <family val="2"/>
        <scheme val="minor"/>
      </rPr>
      <t xml:space="preserve"> (external)</t>
    </r>
  </si>
  <si>
    <t>Mentee</t>
  </si>
  <si>
    <t>Being a Mentor</t>
  </si>
  <si>
    <t>Target Group</t>
  </si>
  <si>
    <t>Event Name / Title of Presentation</t>
  </si>
  <si>
    <r>
      <t>Giving Presentations</t>
    </r>
    <r>
      <rPr>
        <sz val="11"/>
        <color theme="1"/>
        <rFont val="Calibri"/>
        <family val="2"/>
        <scheme val="minor"/>
      </rPr>
      <t xml:space="preserve"> (both internal or external)</t>
    </r>
  </si>
  <si>
    <t>TEACHING OTHERS</t>
  </si>
  <si>
    <t>Relevant ICB Elements:</t>
  </si>
  <si>
    <t>Organisation</t>
  </si>
  <si>
    <t>Subject</t>
  </si>
  <si>
    <t>Attending Trainings</t>
  </si>
  <si>
    <t>Co Assessor</t>
  </si>
  <si>
    <t>(1)  Training received. Such as courses, seminars and being a mentee</t>
  </si>
  <si>
    <t>Evaluation result (hrs)</t>
  </si>
  <si>
    <t>Candidate claim (hrs)</t>
  </si>
  <si>
    <t>Co-Assessor</t>
  </si>
  <si>
    <t>Lead-Assessor</t>
  </si>
  <si>
    <t>Training Evaluation</t>
  </si>
  <si>
    <t>(1b)  Remote Training &amp; Learning</t>
  </si>
  <si>
    <t>Reading Literature and Publications</t>
  </si>
  <si>
    <t>Relevant ICB elements</t>
  </si>
  <si>
    <t>Organiser</t>
  </si>
  <si>
    <t>Nr.</t>
  </si>
  <si>
    <t>(3)  Participation in conferences, symposia etc.</t>
  </si>
  <si>
    <t>5)  Own Publications</t>
  </si>
  <si>
    <t>20h</t>
  </si>
  <si>
    <t>91% - 100%</t>
  </si>
  <si>
    <t>16h</t>
  </si>
  <si>
    <t>81% - 90%</t>
  </si>
  <si>
    <t>12h</t>
  </si>
  <si>
    <t>71% - 80%</t>
  </si>
  <si>
    <t>8h</t>
  </si>
  <si>
    <t>61% - 70%</t>
  </si>
  <si>
    <t>4h</t>
  </si>
  <si>
    <t>51% - 60%</t>
  </si>
  <si>
    <t>See separate sheet for project evidence</t>
  </si>
  <si>
    <t>required</t>
  </si>
  <si>
    <t>(5) Own Publications (pages)</t>
  </si>
  <si>
    <t>(4) Lecturing (h)</t>
  </si>
  <si>
    <t>(2) Literature (pages)</t>
  </si>
  <si>
    <t>Accepted submissions (hrs)</t>
  </si>
  <si>
    <t>Evaluation of Online CPD Reviews</t>
  </si>
  <si>
    <t>(1)+(1b)+(3)  Training seminars, conferences and symposia (h)</t>
  </si>
  <si>
    <t>Standard Management Complexity Ratings</t>
  </si>
  <si>
    <t>Source:</t>
  </si>
  <si>
    <t>Form control values (do not change cell assignments)</t>
  </si>
  <si>
    <t>Number of issues read</t>
  </si>
  <si>
    <t>Re-cert period calculations</t>
  </si>
  <si>
    <t>Recert year 1</t>
  </si>
  <si>
    <t>Recert year 2</t>
  </si>
  <si>
    <t>Recert year 3</t>
  </si>
  <si>
    <t>Recert year 4</t>
  </si>
  <si>
    <t>Recert year 5</t>
  </si>
  <si>
    <t>Start date</t>
  </si>
  <si>
    <t>End date</t>
  </si>
  <si>
    <t>Year 1</t>
  </si>
  <si>
    <t>Year 2</t>
  </si>
  <si>
    <t>Year 3</t>
  </si>
  <si>
    <t>Year 4</t>
  </si>
  <si>
    <t>Year 5</t>
  </si>
  <si>
    <t>Recert Monitor</t>
  </si>
  <si>
    <t>Reading Date</t>
  </si>
  <si>
    <t>Annual totals</t>
  </si>
  <si>
    <t>Release Date</t>
  </si>
  <si>
    <t>Re-Cert Grace Period active</t>
  </si>
  <si>
    <t>Cumul. duration [hrs]</t>
  </si>
  <si>
    <t>Cumul. credited hours:</t>
  </si>
  <si>
    <t>V00</t>
  </si>
  <si>
    <t xml:space="preserve">Initial DRAFT release for pilot rounds. </t>
  </si>
  <si>
    <t>Experimental Release</t>
  </si>
  <si>
    <t xml:space="preserve">Application for IPMA Level: </t>
  </si>
  <si>
    <t>PMRC CHINA</t>
  </si>
  <si>
    <t>IPMA INDIA</t>
  </si>
  <si>
    <t>Level</t>
  </si>
  <si>
    <t>Total Exp</t>
  </si>
  <si>
    <t>Level Exp</t>
  </si>
  <si>
    <t>Ext Period</t>
  </si>
  <si>
    <t>Std Period</t>
  </si>
  <si>
    <t>Std</t>
  </si>
  <si>
    <t>Ext</t>
  </si>
  <si>
    <t>Chosen lvl-based values</t>
  </si>
  <si>
    <t>eval</t>
  </si>
  <si>
    <t>Total exp</t>
  </si>
  <si>
    <t>Level exp</t>
  </si>
  <si>
    <t>CPM</t>
  </si>
  <si>
    <t>TPM</t>
  </si>
  <si>
    <t>NONE</t>
  </si>
  <si>
    <t>Level A mode</t>
  </si>
  <si>
    <t>Preformat sheet for pre-defined exam paper variants</t>
  </si>
  <si>
    <t>OCDP Spain</t>
  </si>
  <si>
    <t>IPMA Brazil</t>
  </si>
  <si>
    <t>applicant section complete:</t>
  </si>
  <si>
    <t>Level D mode</t>
  </si>
  <si>
    <t>D1</t>
  </si>
  <si>
    <t>Level D scoring</t>
  </si>
  <si>
    <t>Results</t>
  </si>
  <si>
    <t>Overall</t>
  </si>
  <si>
    <t>CE</t>
  </si>
  <si>
    <t>Individual pass mark</t>
  </si>
  <si>
    <t>M67</t>
  </si>
  <si>
    <t>M68</t>
  </si>
  <si>
    <t>M69</t>
  </si>
  <si>
    <t>M70</t>
  </si>
  <si>
    <t>M71</t>
  </si>
  <si>
    <t>M72</t>
  </si>
  <si>
    <t>M73</t>
  </si>
  <si>
    <t>M74</t>
  </si>
  <si>
    <t>M75</t>
  </si>
  <si>
    <t>M76</t>
  </si>
  <si>
    <t>M77</t>
  </si>
  <si>
    <t>M78</t>
  </si>
  <si>
    <t>M79</t>
  </si>
  <si>
    <t>M80</t>
  </si>
  <si>
    <t>M81</t>
  </si>
  <si>
    <t>M82</t>
  </si>
  <si>
    <t>M83</t>
  </si>
  <si>
    <t>M84</t>
  </si>
  <si>
    <t>M85</t>
  </si>
  <si>
    <t>M86</t>
  </si>
  <si>
    <t>M87</t>
  </si>
  <si>
    <t>M88</t>
  </si>
  <si>
    <t>M89</t>
  </si>
  <si>
    <t>M90</t>
  </si>
  <si>
    <t>M91</t>
  </si>
  <si>
    <t>M92</t>
  </si>
  <si>
    <t>M93</t>
  </si>
  <si>
    <t>M94</t>
  </si>
  <si>
    <t>M95</t>
  </si>
  <si>
    <t>M96</t>
  </si>
  <si>
    <t>M97</t>
  </si>
  <si>
    <t>M98</t>
  </si>
  <si>
    <t>M99</t>
  </si>
  <si>
    <t>M100</t>
  </si>
  <si>
    <t>M101</t>
  </si>
  <si>
    <t>M102</t>
  </si>
  <si>
    <t>M103</t>
  </si>
  <si>
    <t>M104</t>
  </si>
  <si>
    <t>M105</t>
  </si>
  <si>
    <t>M106</t>
  </si>
  <si>
    <t>M107</t>
  </si>
  <si>
    <t>M108</t>
  </si>
  <si>
    <t>M109</t>
  </si>
  <si>
    <t>M110</t>
  </si>
  <si>
    <t>M111</t>
  </si>
  <si>
    <t>M112</t>
  </si>
  <si>
    <t>M113</t>
  </si>
  <si>
    <t>M114</t>
  </si>
  <si>
    <t>M115</t>
  </si>
  <si>
    <t>M116</t>
  </si>
  <si>
    <t>M117</t>
  </si>
  <si>
    <t>M118</t>
  </si>
  <si>
    <t>M119</t>
  </si>
  <si>
    <t>M120</t>
  </si>
  <si>
    <t>M121</t>
  </si>
  <si>
    <t>M122</t>
  </si>
  <si>
    <t>M123</t>
  </si>
  <si>
    <t>M124</t>
  </si>
  <si>
    <t>M125</t>
  </si>
  <si>
    <t>M126</t>
  </si>
  <si>
    <t>M127</t>
  </si>
  <si>
    <t>M128</t>
  </si>
  <si>
    <t>M129</t>
  </si>
  <si>
    <t>M130</t>
  </si>
  <si>
    <t>M131</t>
  </si>
  <si>
    <t>M132</t>
  </si>
  <si>
    <t>M133</t>
  </si>
  <si>
    <t>M134</t>
  </si>
  <si>
    <t>M135</t>
  </si>
  <si>
    <t>M136</t>
  </si>
  <si>
    <t>M137</t>
  </si>
  <si>
    <t>M138</t>
  </si>
  <si>
    <t>M139</t>
  </si>
  <si>
    <t>M140</t>
  </si>
  <si>
    <t>M141</t>
  </si>
  <si>
    <t>M142</t>
  </si>
  <si>
    <t>M143</t>
  </si>
  <si>
    <t>M144</t>
  </si>
  <si>
    <t>M145</t>
  </si>
  <si>
    <t>M146</t>
  </si>
  <si>
    <t>M147</t>
  </si>
  <si>
    <t>M148</t>
  </si>
  <si>
    <t>M149</t>
  </si>
  <si>
    <t>M150</t>
  </si>
  <si>
    <t>M151</t>
  </si>
  <si>
    <t>M152</t>
  </si>
  <si>
    <t>M153</t>
  </si>
  <si>
    <t>M154</t>
  </si>
  <si>
    <t>M155</t>
  </si>
  <si>
    <t>M156</t>
  </si>
  <si>
    <t>M157</t>
  </si>
  <si>
    <t>M158</t>
  </si>
  <si>
    <t>M159</t>
  </si>
  <si>
    <t>M160</t>
  </si>
  <si>
    <t>M161</t>
  </si>
  <si>
    <t>M162</t>
  </si>
  <si>
    <t>M163</t>
  </si>
  <si>
    <t>M164</t>
  </si>
  <si>
    <t>M165</t>
  </si>
  <si>
    <t>M166</t>
  </si>
  <si>
    <t>M167</t>
  </si>
  <si>
    <t>M168</t>
  </si>
  <si>
    <t>M169</t>
  </si>
  <si>
    <t>M170</t>
  </si>
  <si>
    <t>M171</t>
  </si>
  <si>
    <t>M172</t>
  </si>
  <si>
    <t>M173</t>
  </si>
  <si>
    <t>M174</t>
  </si>
  <si>
    <t>M175</t>
  </si>
  <si>
    <t>M176</t>
  </si>
  <si>
    <t>M177</t>
  </si>
  <si>
    <t>M178</t>
  </si>
  <si>
    <t>M179</t>
  </si>
  <si>
    <t>M180</t>
  </si>
  <si>
    <t>M181</t>
  </si>
  <si>
    <t>M182</t>
  </si>
  <si>
    <t>M183</t>
  </si>
  <si>
    <t>M184</t>
  </si>
  <si>
    <t>M185</t>
  </si>
  <si>
    <t>M186</t>
  </si>
  <si>
    <t>M187</t>
  </si>
  <si>
    <t>M188</t>
  </si>
  <si>
    <t>M189</t>
  </si>
  <si>
    <t>M190</t>
  </si>
  <si>
    <t>M191</t>
  </si>
  <si>
    <t>M192</t>
  </si>
  <si>
    <t>M193</t>
  </si>
  <si>
    <t>M194</t>
  </si>
  <si>
    <t>M195</t>
  </si>
  <si>
    <t>M196</t>
  </si>
  <si>
    <t>M197</t>
  </si>
  <si>
    <t>M198</t>
  </si>
  <si>
    <t>M199</t>
  </si>
  <si>
    <t>M200</t>
  </si>
  <si>
    <t>M201</t>
  </si>
  <si>
    <t>M202</t>
  </si>
  <si>
    <t>M203</t>
  </si>
  <si>
    <t>M204</t>
  </si>
  <si>
    <t>M205</t>
  </si>
  <si>
    <t>M206</t>
  </si>
  <si>
    <t>M207</t>
  </si>
  <si>
    <t>M208</t>
  </si>
  <si>
    <t>M209</t>
  </si>
  <si>
    <t>M210</t>
  </si>
  <si>
    <t>M211</t>
  </si>
  <si>
    <t>M212</t>
  </si>
  <si>
    <t>M213</t>
  </si>
  <si>
    <t>M214</t>
  </si>
  <si>
    <t>M215</t>
  </si>
  <si>
    <t>M216</t>
  </si>
  <si>
    <t>M217</t>
  </si>
  <si>
    <t>M218</t>
  </si>
  <si>
    <t>M219</t>
  </si>
  <si>
    <t>M220</t>
  </si>
  <si>
    <t>M221</t>
  </si>
  <si>
    <t>M222</t>
  </si>
  <si>
    <t>M223</t>
  </si>
  <si>
    <t>M224</t>
  </si>
  <si>
    <t>M225</t>
  </si>
  <si>
    <t>M226</t>
  </si>
  <si>
    <t>M227</t>
  </si>
  <si>
    <t>M228</t>
  </si>
  <si>
    <t>M229</t>
  </si>
  <si>
    <t>M230</t>
  </si>
  <si>
    <t>M231</t>
  </si>
  <si>
    <t>M232</t>
  </si>
  <si>
    <t>M233</t>
  </si>
  <si>
    <t>M234</t>
  </si>
  <si>
    <t>M235</t>
  </si>
  <si>
    <t>M236</t>
  </si>
  <si>
    <t>M237</t>
  </si>
  <si>
    <t>M238</t>
  </si>
  <si>
    <t>M239</t>
  </si>
  <si>
    <t>M240</t>
  </si>
  <si>
    <t>M241</t>
  </si>
  <si>
    <t>M242</t>
  </si>
  <si>
    <t>M243</t>
  </si>
  <si>
    <t>M244</t>
  </si>
  <si>
    <t>M245</t>
  </si>
  <si>
    <t>M246</t>
  </si>
  <si>
    <t>M247</t>
  </si>
  <si>
    <t>M248</t>
  </si>
  <si>
    <t>M249</t>
  </si>
  <si>
    <t>M250</t>
  </si>
  <si>
    <t>M251</t>
  </si>
  <si>
    <t xml:space="preserve">Name: </t>
  </si>
  <si>
    <t>Language</t>
  </si>
  <si>
    <t>Deutsch</t>
  </si>
  <si>
    <t>English</t>
  </si>
  <si>
    <t>1. Consent to share your referees' contact details is a necessary condition for admission to the certification.</t>
  </si>
  <si>
    <t>2. Violation of this condition is a violation of applicable General Data Protection Regulation (GDPR) and may lead to disqualification from the certification procedure.</t>
  </si>
  <si>
    <t xml:space="preserve">Company Name: </t>
  </si>
  <si>
    <t xml:space="preserve">Contact Address: </t>
  </si>
  <si>
    <t xml:space="preserve">Contact Telephone: </t>
  </si>
  <si>
    <t xml:space="preserve">Contact E-Mail: </t>
  </si>
  <si>
    <t>Displayed String</t>
  </si>
  <si>
    <t>Selected language</t>
  </si>
  <si>
    <t>ENGLISH</t>
  </si>
  <si>
    <t>GERMAN</t>
  </si>
  <si>
    <t xml:space="preserve">Vorname: </t>
  </si>
  <si>
    <t xml:space="preserve">Geburtsdatum: </t>
  </si>
  <si>
    <t xml:space="preserve">Art der Anmeldung: </t>
  </si>
  <si>
    <t xml:space="preserve">Surname: </t>
  </si>
  <si>
    <t xml:space="preserve">Date of Birth: </t>
  </si>
  <si>
    <t xml:space="preserve">Type of Application: </t>
  </si>
  <si>
    <t xml:space="preserve">Date of Application: </t>
  </si>
  <si>
    <t xml:space="preserve">Certification Date: </t>
  </si>
  <si>
    <t xml:space="preserve">Project Experience Start Date: </t>
  </si>
  <si>
    <t xml:space="preserve">Next Re-Certification Due Date: </t>
  </si>
  <si>
    <t xml:space="preserve">Datum der Zertifizierung: </t>
  </si>
  <si>
    <t xml:space="preserve">Frühestes Datum für PM-Erfahrung: </t>
  </si>
  <si>
    <t xml:space="preserve">Nächstes Re-Zertifizierungsdatum: </t>
  </si>
  <si>
    <t>PLEASE COMPLETE COVER SHEET FIRST!</t>
  </si>
  <si>
    <t xml:space="preserve">CERTIFICATE EXPIRED. RE-CERT GRACE PERIOD ENDS </t>
  </si>
  <si>
    <t>PLEASE ENTER APPLICATION DATE BEFORE SUBMISSION!</t>
  </si>
  <si>
    <t>Cover Sheet</t>
  </si>
  <si>
    <t>DECKBLATT BITTE VOLLSTÄNDIG AUSFÜLLEN!</t>
  </si>
  <si>
    <t xml:space="preserve">ZERTIFIKAT ABGELAUFEN. RE-ZERT ZEITRAUM LÄUFT AB AM </t>
  </si>
  <si>
    <t>ZERTIFIKAT ABGELAUFEN. BITTE KONTAKTIEREN SIE DIE PM-ZERT.</t>
  </si>
  <si>
    <t>CERTIFICATE EXPIRED. PLEASE CONTACT CERTIFICATION BODY.</t>
  </si>
  <si>
    <t>BITTE GEBEN SIE VOR ABGABE EIN ZERTIFIZIEUNGSDATUM AN!</t>
  </si>
  <si>
    <t xml:space="preserve">Antrag auf Level: </t>
  </si>
  <si>
    <t xml:space="preserve">Language / Sprache: </t>
  </si>
  <si>
    <t xml:space="preserve">Application Domain: </t>
  </si>
  <si>
    <t xml:space="preserve">Antrag auf Domäne: </t>
  </si>
  <si>
    <t>Certification Domain</t>
  </si>
  <si>
    <t>PJM</t>
  </si>
  <si>
    <t>Selected Domain</t>
  </si>
  <si>
    <t>Projekt</t>
  </si>
  <si>
    <t>Programm</t>
  </si>
  <si>
    <t>Portfolio</t>
  </si>
  <si>
    <t>Project</t>
  </si>
  <si>
    <t>Programme</t>
  </si>
  <si>
    <t>Statistik</t>
  </si>
  <si>
    <t>Erreichte Werte</t>
  </si>
  <si>
    <t>Angaben</t>
  </si>
  <si>
    <t xml:space="preserve">Certification evidence provided: </t>
  </si>
  <si>
    <t xml:space="preserve">Worked in a PM role (min </t>
  </si>
  <si>
    <t xml:space="preserve"> months):</t>
  </si>
  <si>
    <t xml:space="preserve">Recognized for certification: </t>
  </si>
  <si>
    <t>Total collected CPD hours for re-certification period:</t>
  </si>
  <si>
    <t>Angegebene Erfahrung:</t>
  </si>
  <si>
    <t>Abgelaufene Zeit bis Re-Zert:</t>
  </si>
  <si>
    <t xml:space="preserve">Aktiv als PM (min. </t>
  </si>
  <si>
    <t xml:space="preserve"> Monate):</t>
  </si>
  <si>
    <t>Angabe für Zertifizierung:</t>
  </si>
  <si>
    <t>Gesamt-Weiterbildung für Re-Zert Periode:</t>
  </si>
  <si>
    <t>Elapsed time until re-certification:</t>
  </si>
  <si>
    <t xml:space="preserve"> of min </t>
  </si>
  <si>
    <t xml:space="preserve"> months </t>
  </si>
  <si>
    <t xml:space="preserve"> of 60 months</t>
  </si>
  <si>
    <t xml:space="preserve"> von min.</t>
  </si>
  <si>
    <t xml:space="preserve"> Monaten</t>
  </si>
  <si>
    <t xml:space="preserve"> von 60 Monaten</t>
  </si>
  <si>
    <t xml:space="preserve"> months active PM duty</t>
  </si>
  <si>
    <t xml:space="preserve"> of 175 hrs</t>
  </si>
  <si>
    <t xml:space="preserve"> von </t>
  </si>
  <si>
    <t xml:space="preserve"> of </t>
  </si>
  <si>
    <t xml:space="preserve"> von 175 Std.</t>
  </si>
  <si>
    <t xml:space="preserve"> Monate aktiv als PM</t>
  </si>
  <si>
    <t>Annual breakdown (CPD hours resulting from PM included in totals)</t>
  </si>
  <si>
    <t xml:space="preserve">Collected CPD hours for year </t>
  </si>
  <si>
    <t>of 35 hrs</t>
  </si>
  <si>
    <t>Weiterbildung pro Jahr (inkl. Anrechnung für PM)</t>
  </si>
  <si>
    <t xml:space="preserve">Weiterbildung für Jahr </t>
  </si>
  <si>
    <t>Initial Certification</t>
  </si>
  <si>
    <t>Re-Certification</t>
  </si>
  <si>
    <t>Extension of evaluation period:</t>
  </si>
  <si>
    <t>for official use by certification body and assessors only</t>
  </si>
  <si>
    <t>Ort:</t>
  </si>
  <si>
    <t>Recognised PM experience (months):</t>
  </si>
  <si>
    <t>Anerkannte PM Erfahrung (Monate):</t>
  </si>
  <si>
    <t>Bemerkungen:</t>
  </si>
  <si>
    <t>Remarks:</t>
  </si>
  <si>
    <t xml:space="preserve">Certificate valid through: </t>
  </si>
  <si>
    <t xml:space="preserve">Zertifikat gültig bis: </t>
  </si>
  <si>
    <t>CERT_VALIDITY_DATE</t>
  </si>
  <si>
    <t>Recertification Due Date:</t>
  </si>
  <si>
    <t>PM Category</t>
  </si>
  <si>
    <t>*Please refer to ICB 4 Individual Competence Baseline and ICR 4 Public, IPMA Certification Regulation Public Version for further detail. Both files can be downloaded from the IPMA website.</t>
  </si>
  <si>
    <t>PGM</t>
  </si>
  <si>
    <t>PFM</t>
  </si>
  <si>
    <t>ESR-1</t>
  </si>
  <si>
    <t>ESR</t>
  </si>
  <si>
    <t>Included PM effort [person-days]:</t>
  </si>
  <si>
    <t>General notes:</t>
  </si>
  <si>
    <t>General Information &amp; Narrative</t>
  </si>
  <si>
    <t>Header</t>
  </si>
  <si>
    <t>Client/ordering party:</t>
  </si>
  <si>
    <t>Responsibility for scope / deliverables:</t>
  </si>
  <si>
    <t>Responsibility for scheduling:</t>
  </si>
  <si>
    <t>Responsibility for budget:</t>
  </si>
  <si>
    <t>Project responsibility drop down</t>
  </si>
  <si>
    <t>X</t>
  </si>
  <si>
    <t>-</t>
  </si>
  <si>
    <t>Project Type drop down</t>
  </si>
  <si>
    <t>Project MCR</t>
  </si>
  <si>
    <t xml:space="preserve">R&amp;D </t>
  </si>
  <si>
    <t>Organisational</t>
  </si>
  <si>
    <t>Investment</t>
  </si>
  <si>
    <t>F&amp;E</t>
  </si>
  <si>
    <t>Project / Programme Type</t>
  </si>
  <si>
    <t>Projekt- / Programm Typ</t>
  </si>
  <si>
    <t>Organizational Type</t>
  </si>
  <si>
    <t>Art der Projektorganisation</t>
  </si>
  <si>
    <t>Functional</t>
  </si>
  <si>
    <t>Strong Matrix</t>
  </si>
  <si>
    <t>Weak Matrix</t>
  </si>
  <si>
    <t>Balanced Matrix</t>
  </si>
  <si>
    <t>Projectized</t>
  </si>
  <si>
    <t>Composite</t>
  </si>
  <si>
    <t>Stabslinie</t>
  </si>
  <si>
    <t>Starke Matrix</t>
  </si>
  <si>
    <t>Schwache Matrix</t>
  </si>
  <si>
    <t>Ausgewogene Matrix</t>
  </si>
  <si>
    <t>Autonom</t>
  </si>
  <si>
    <t>Gemischt</t>
  </si>
  <si>
    <t>PO drop down</t>
  </si>
  <si>
    <t>Interner Kunde</t>
  </si>
  <si>
    <t>Externer Kunde</t>
  </si>
  <si>
    <t>Internal client</t>
  </si>
  <si>
    <t>External client</t>
  </si>
  <si>
    <t>Client Selector</t>
  </si>
  <si>
    <t>Governance &amp; Own Role</t>
  </si>
  <si>
    <t>Value</t>
  </si>
  <si>
    <t>Notes on complexity:</t>
  </si>
  <si>
    <t>Total effort [person-days]:</t>
  </si>
  <si>
    <t>External effort [person-days]:</t>
  </si>
  <si>
    <t>Internal effort [person-days]:</t>
  </si>
  <si>
    <t>Total budget [€]:</t>
  </si>
  <si>
    <t>Applicant MCR</t>
  </si>
  <si>
    <t>Assessor MCR</t>
  </si>
  <si>
    <t>Control section for scoring</t>
  </si>
  <si>
    <t>Control section for project brief and MCR selectors</t>
  </si>
  <si>
    <t>Scoring Drop Down</t>
  </si>
  <si>
    <t>Assr. Override</t>
  </si>
  <si>
    <t>Applicant:</t>
  </si>
  <si>
    <t xml:space="preserve"> Cert Type:</t>
  </si>
  <si>
    <t>SCM</t>
  </si>
  <si>
    <t>PDO</t>
  </si>
  <si>
    <t>Upgrade Certification</t>
  </si>
  <si>
    <t>Upgrade</t>
  </si>
  <si>
    <t>PM activity start
MM.YYYY</t>
  </si>
  <si>
    <t>Total Team size claimed</t>
  </si>
  <si>
    <t>Total effort claimed [PD]</t>
  </si>
  <si>
    <t>Avg. effort per team member [PD]</t>
  </si>
  <si>
    <t>Avg. effort per team member / month [PD]</t>
  </si>
  <si>
    <t>End of your involvement:</t>
  </si>
  <si>
    <t>Duration of PM activity [months]</t>
  </si>
  <si>
    <t>Assumed FTE PD per year:</t>
  </si>
  <si>
    <t>Max. % PM experience with PD budget</t>
  </si>
  <si>
    <t>Difference btw claimed / available PM exp</t>
  </si>
  <si>
    <t>Monthly totals</t>
  </si>
  <si>
    <t>Ziele und Ergebnisse</t>
  </si>
  <si>
    <t>Aufgaben und Prozesse</t>
  </si>
  <si>
    <t>Indikatoren bezogen auf die technischen Fähigkeiten</t>
  </si>
  <si>
    <t>Ressourcen und Finanzen</t>
  </si>
  <si>
    <t>Chancen und Risiken</t>
  </si>
  <si>
    <t xml:space="preserve">Strategie, Stakeholder </t>
  </si>
  <si>
    <t>Indikatoren bezogen auf den Kontext</t>
  </si>
  <si>
    <t>Stammorganisation</t>
  </si>
  <si>
    <t>Sozio-Kulturelle Einflüsse</t>
  </si>
  <si>
    <t xml:space="preserve">Führung und Teamwork </t>
  </si>
  <si>
    <t>Indikatoren bezogen auf Management und Führung</t>
  </si>
  <si>
    <t xml:space="preserve"> Innovation</t>
  </si>
  <si>
    <t>Autonomie und Verantwortung</t>
  </si>
  <si>
    <t>Anzahl und Unterschiedlichkeit der Einzelziele unter Berücksichtigung der Ziele und Erwartungen der relevanten Stakeholder, unterschiedliche Zielkategorien: Prozessziele, Nutzungsziele (Business Case), Operationalisierbarkeit, Transparenz und Abhängigkeiten</t>
  </si>
  <si>
    <t>sehr wenige klare Ziele, alle quantitativ angegeben, operabel</t>
  </si>
  <si>
    <t>wenige Ziele, gut formuliert, wenig Zielkonflikte</t>
  </si>
  <si>
    <t>mehrere Ziele unterschiedlicher Art, teilweise unklar definiert</t>
  </si>
  <si>
    <t>viele, teilweise konkurrierende  Ziele, strategische und politische Ziele, versteckte Ziele, Nutzungsziele</t>
  </si>
  <si>
    <t>Umfang der Aufgaben, Annahmen und Randbedingungen und deren Abhängigkeiten, eingesetzte Prozesse, Tools und Methoden, eingesetzte Team- und Kommunikationsstrukturen</t>
  </si>
  <si>
    <t>bekannte Aufgabenstellung und Randbedingungen; wenige Standard-/Reportingverfahren</t>
  </si>
  <si>
    <t>mehrere Aufgaben, ergänzt durch Annahmen; Einsatz bekannter Prozesse und Tools, einige Reporting-Vorgaben</t>
  </si>
  <si>
    <t>umfangreiches System von Aufgaben und Annahmen; viele Sachfaktoren; teilweise Einsatz neuartiger Tools und Prozesse, Reporting-Vorgaben</t>
  </si>
  <si>
    <t>sehr komplexe Aufgabenstellung, umfangreiches sachliches Umfeld; erfordert den Einsatz umfangreicher Prozess- und Toolwelt, strenge Reporting-Vorgaben</t>
  </si>
  <si>
    <t>Akquisition und Bereitstellung der erforderlichen Budgets sowie deren Management; Anzahl der Geldgeber; Verfügbarkeit und Qualität der notwendigen (personellen und sonstigen) Ressourcen; Ressourcen-Management und Beschaffungsprozesse</t>
  </si>
  <si>
    <t>Budget-Ermittlung ohne Verhandlung, einfache Kostenüberwachung; Ressourcen verfügbar, geringe Ressourcenkonflikte; geringfügige Beschaffungsvorgänge</t>
  </si>
  <si>
    <t>Budget-Ermittlung und  -Verhandlung; Verhandlung der benötigten Ressourcen, teilweise externe Ressourcen-Beschaffung</t>
  </si>
  <si>
    <t>Budget- und Ressourcenbeschaffung im Wettbewerb mit anderen Projekten; wesentliche Beschaffungsvorgänge</t>
  </si>
  <si>
    <t>Beschaffung wesentlicher Finanzmittel, Finanzierung durch unterschiedliche Geldgeber intern und extern; Steuerung wesentlicher Unterauftragnehmer</t>
  </si>
  <si>
    <t xml:space="preserve">Bewertung der Chancen und Risiken im Projekt; Ermittlung und Steuerung des Risikosystems; Ableitung von validen Maßnahmen; Ermittlung und Nutzung von Chancen; Anwendung von Tools zur Steuerung des Risiko-Budgets </t>
  </si>
  <si>
    <t>wenige Risiken in überschaubarer Höhe, kein Chancen-Management</t>
  </si>
  <si>
    <t>mehrere Risiken und Chancen; stabiles Risiko-System; Management eines Risiko-Budgets</t>
  </si>
  <si>
    <t>mehrere Risiken mit begrenzter Schadenshöhe; Möglichkeit der Chancen-Nutzung zur Entlastung des Projektes</t>
  </si>
  <si>
    <t>Umfangreiches Risiko-Potential inklusive hoher strategischer Risiken; Anwendung valider Steuerungsmöglichkeiten; Meldung nach KONTRAG</t>
  </si>
  <si>
    <t>Einfluss der Unternehmens-Strategie, Auswirkungen des Projektes auf das Unternehmen, Stakeholder-Interessen;
Gesetze und Regularien</t>
  </si>
  <si>
    <t>wenige strategische Einflüsse; Projekt ist rein operativ ausgerichtet</t>
  </si>
  <si>
    <t>Stakeholder-Interessen  beeinflussen das Projekt begrenzte Einflüsse aus der Unternehmens-Strategie</t>
  </si>
  <si>
    <t>Viele Komponenten (?) unterschiedlicher Art</t>
  </si>
  <si>
    <t>Projekt hat erheblichen Einfluss auf das Unternehmen und seinen Erfolg; starke Auswirkungen von Gesetzen und Regularien</t>
  </si>
  <si>
    <t>Umfang der Vernetzung über Schnittstellen des Projektes mit den Strukturen, Berichtswesen und Entscheidungswegen der Stammorganisation</t>
  </si>
  <si>
    <t xml:space="preserve">starke Abgrenzung des Projektes von der Stammorganisation, Entscheidungen fallen wesentlich in der Stammorganisation, viele ähnliche Projekte wurden bereits im Unternehmen durchgeführt </t>
  </si>
  <si>
    <t>klare Schnittstellen zur Stammorganisation z.B. über Leitungsgremium; Berichtswesen und Entscheidungswege begrenzt und klar definiert Projekt hat geringe Auswirkungen auf Prozesse der Stammorganisation,  ähnliche Projekte wurden bereits im Unternehmen durchgeführt</t>
  </si>
  <si>
    <t>viele operative Schnittstellen wirken auf  das Projekt ein; Berichte und Entscheidungen machen erheblichen Arbeitsanteil aus, Projekt hat  Auswirkungen auf Prozesse der Stammorganisation, wenige ähnliche Projekte wurden bereits im Unternehmen durchgeführt</t>
  </si>
  <si>
    <t>Starke Einflüsse der Stammorganisation auf strategischer Ebene; Entscheidungen durch Verhandlungen mit der Stammorganisation, Projekt hat starke Auswirkungen auf Prozesse der Stammorganisation , Projekt ist neuartig für Unternehmen</t>
  </si>
  <si>
    <t>Einfluss der sozio-kulturellen Unterschiede im Projektteam, insbesondere bei verteilten oder Firmen-übergreifenden Teams</t>
  </si>
  <si>
    <t>keine Auswirkungen zu erwarten (Projekt an einem Standort, eine Sprache, homogene Projektgruppe)</t>
  </si>
  <si>
    <t>wenig Auswirkungen zu erwarten</t>
  </si>
  <si>
    <t>Auswirkungen infolge lokal verteilter Teams, mehreren Sprachen oder heterogenen Kulturkreisen erfordern in Einzelfällen Führungsmaßnahmen</t>
  </si>
  <si>
    <t>Auswirkungen infolge lokal verteilter Teams oder großer Teams aus unterschiedlichen Unternehmen und Kulturkreisen erfordern umfangreiche Führungsmaßnahmen</t>
  </si>
  <si>
    <t>Umfang der Führungs-, Teambildungs und-Steuerungsmaßnahmen</t>
  </si>
  <si>
    <t>fast alle Teammitglieder haben bereits mit PL gearbeitet, PL hat Erfahrung im Mgt von Teams über 5 J, Governance Vorgaben sind klar definiert, das Projektteam hat hohe PM Skills</t>
  </si>
  <si>
    <t>sehr viele Teammitglieder haben bereits mit PL gearbeitet, PL hat Erfahrung im Mgt von Teams über 3 J, governance Vorgaben sind teilweise definiert, das Projektteam hat  PM Skills</t>
  </si>
  <si>
    <t>viele Teammitglieder haben bereits mit PL gearbeitet, PL hat Erfahrung im Mgt von Teams über 1-2 J, einige Governance Vorgaben sind klar definiert, das Projektteam hat einige PM Skills</t>
  </si>
  <si>
    <t>wenige Teammitglieder haben bereits mit PL gearbeitet, PL hat Erfahrung im Mgt von Teams weniger 1J, wenige Governance Vorgaben sind definiert, das Projektteam hat sehr wenig PM Skills</t>
  </si>
  <si>
    <t>technische Neuartigkeit des Projektes und seine Auswirkungen auf Ressourcenauswahl und Aus- und Weiterbildung während des Projektes; Umgang mit neuartigen Ansätzen und Ergebnissen</t>
  </si>
  <si>
    <t>kein Handlungsbedarf infolge geringer Neuartigkeit, z.B. Wiederholprojekte</t>
  </si>
  <si>
    <t>einige Maßnahmen erforderlich infolge der Neuartigkeit in einzelnen Bereichen</t>
  </si>
  <si>
    <t>Neuartigkeit des Projektgegenstandes und/oder von Prozessen bedingt vorbereitende Qualifizerungsmaßnahmen</t>
  </si>
  <si>
    <t xml:space="preserve">Neuartigkeit des Projektgegenstandes und/oder von Prozessen in Verbindung mit großem Projektvolumen bedingt Planung der Qualifizierung, aber auch intensives Risiko-Management </t>
  </si>
  <si>
    <t xml:space="preserve">wenig Autonomie/Gestaltungsspielräume des PL bzgl. Entscheidungen und Vertretung des Projektes nach aussen </t>
  </si>
  <si>
    <t>Verhandlung Lasten- und Pflichtenheft; Gesaltungs-spielräume ergeben sich hauptsächlich durch Änderungsprozesse</t>
  </si>
  <si>
    <t>Projektleiter vertritt das Projekt und damit auch das Unternehmen auch gegenüber externen Stakeholdern</t>
  </si>
  <si>
    <t>umfangreiche Verantwortungs- und Entscheidungsspielräume, z.B. durch Vollmachts- oder Unterschriftenregelung</t>
  </si>
  <si>
    <t>Control Values</t>
  </si>
  <si>
    <t>Projektbewertungszeitraum (Jahre)</t>
  </si>
  <si>
    <t>Extended</t>
  </si>
  <si>
    <t>Erweitert</t>
  </si>
  <si>
    <t>Monate</t>
  </si>
  <si>
    <t>Gewährt</t>
  </si>
  <si>
    <t>Abgelehnt</t>
  </si>
  <si>
    <t>Nicht zutreffend</t>
  </si>
  <si>
    <t>Zu bewerten</t>
  </si>
  <si>
    <t xml:space="preserve">Name des Unternehmens: </t>
  </si>
  <si>
    <t xml:space="preserve">Kontaktadresse: </t>
  </si>
  <si>
    <t>Telefonische Kontaktaufnahme:</t>
  </si>
  <si>
    <t>E-Mail Kontakt:</t>
  </si>
  <si>
    <t>Ort</t>
  </si>
  <si>
    <t>Datum</t>
  </si>
  <si>
    <t>Unterschrift</t>
  </si>
  <si>
    <t>Anmerkungen:</t>
  </si>
  <si>
    <t>1. Die Zustimmung zur Weitergabe der Kontaktdaten Ihrer Referenzpersonen ist eine notwendige Bedingung für die Zulassung zur Zertifizierung.</t>
  </si>
  <si>
    <t>2. Ein Verstoß gegen diese Bedingung ist ein Verstoß gegen die geltende Datenschutzgrundverordnung (DSGVO) und kann zum Ausschluss vom Zertifizierungsverfahren führen.</t>
  </si>
  <si>
    <t>Projektdesign</t>
  </si>
  <si>
    <t>Anforderungen und Ziele</t>
  </si>
  <si>
    <t>Risiken und Chancen</t>
  </si>
  <si>
    <t>Stakeholder</t>
  </si>
  <si>
    <t>Organisation und Information</t>
  </si>
  <si>
    <t>Ressourcen</t>
  </si>
  <si>
    <t>Planung und Steuerung</t>
  </si>
  <si>
    <t>Qualität</t>
  </si>
  <si>
    <t>*Weitere Einzelheiten finden Sie in der ICB 4 Individual Competence Baseline und ICR 4 Public, IPMA Certification Regulation Public Version. Beide Dateien können von der IPMA-Website heruntergeladen werden.</t>
  </si>
  <si>
    <t>Selbsteinschätzung</t>
  </si>
  <si>
    <t>Kompetenzelemente (CE)*</t>
  </si>
  <si>
    <t>Bewertung</t>
  </si>
  <si>
    <t>Strategie</t>
  </si>
  <si>
    <t>Governance, Strukturen und Prozesse</t>
  </si>
  <si>
    <t>Compliance, Standards und Regularien</t>
  </si>
  <si>
    <t>Macht und Interessen</t>
  </si>
  <si>
    <t>Kultur und Werte</t>
  </si>
  <si>
    <t>Selbstreflexion und Selbstmanagement</t>
  </si>
  <si>
    <t>Persönliche Integrität und Verlässlichkeit</t>
  </si>
  <si>
    <t>Persönliche Kommunikation</t>
  </si>
  <si>
    <t>Beziehungen und Engagement</t>
  </si>
  <si>
    <t>Führung</t>
  </si>
  <si>
    <t>Teamarbeit</t>
  </si>
  <si>
    <t>Konflikte und Krisen</t>
  </si>
  <si>
    <t>Vielseitigkeit</t>
  </si>
  <si>
    <t>Verhandlungen</t>
  </si>
  <si>
    <t>Ergebnisorientierung</t>
  </si>
  <si>
    <t>Beschaffung</t>
  </si>
  <si>
    <t>Change und Transformation</t>
  </si>
  <si>
    <t>Project Management Work Load</t>
  </si>
  <si>
    <t>Projektmanagement Arbeitsaufwand</t>
  </si>
  <si>
    <t>Projektname</t>
  </si>
  <si>
    <t>Kopfzeile</t>
  </si>
  <si>
    <t>Verantwortung für die Terminplanung:</t>
  </si>
  <si>
    <t>Verantwortung für das Budget:</t>
  </si>
  <si>
    <t>Allgemeine Informationen und Beschreibung</t>
  </si>
  <si>
    <t>Verantwortung für den Umfang/die Ergebnisse:</t>
  </si>
  <si>
    <t>Ende Ihrer Beteiligung:</t>
  </si>
  <si>
    <t>Wert</t>
  </si>
  <si>
    <t>Gesamtaufwand [Personentage]:</t>
  </si>
  <si>
    <t>Interner Arbeitsaufwand [Personentage]:</t>
  </si>
  <si>
    <t>Externer Arbeitsaufwand [Personentage]:</t>
  </si>
  <si>
    <t>Enthaltener PM-Aufwand [Personentage]:</t>
  </si>
  <si>
    <t>Gesamtbudget [€]:</t>
  </si>
  <si>
    <t>Anmerkungen zur Komplexität:</t>
  </si>
  <si>
    <t xml:space="preserve">Anmerkungen </t>
  </si>
  <si>
    <t>Allgemeine Anmerkungen:</t>
  </si>
  <si>
    <t>Kontrollbereich für Projektauftrag und MCR-Selektoren</t>
  </si>
  <si>
    <t>Kundenauswahl</t>
  </si>
  <si>
    <t>Projektverantwortung Dropdown</t>
  </si>
  <si>
    <t>Projekttyp Dropdown</t>
  </si>
  <si>
    <t>PO Dropdown</t>
  </si>
  <si>
    <t>Kontrollabschnitt für die Punktevergabe</t>
  </si>
  <si>
    <t>Bewertung Drop Down</t>
  </si>
  <si>
    <t>Startdatum</t>
  </si>
  <si>
    <t>Endtermin</t>
  </si>
  <si>
    <t>Rolle</t>
  </si>
  <si>
    <t>ESR-Indikator</t>
  </si>
  <si>
    <t>Very low (1)</t>
  </si>
  <si>
    <t>Low (2)</t>
  </si>
  <si>
    <t>High (3)</t>
  </si>
  <si>
    <t>sehr komplex   (4)</t>
  </si>
  <si>
    <t>komplex   (3)</t>
  </si>
  <si>
    <t>begrenzt komplex   (2)</t>
  </si>
  <si>
    <t>wenig komplex   (1)</t>
  </si>
  <si>
    <t>Bewertungen und Kommentare</t>
  </si>
  <si>
    <t>Komplexitätsindikatoren und Teilindikatoren</t>
  </si>
  <si>
    <t>Bewerber/in</t>
  </si>
  <si>
    <t>Anmerkungen, Kommentare, Nachweise (fakultativ)</t>
  </si>
  <si>
    <t>Durchschnitt der eingegebenen Detailbewertungen:</t>
  </si>
  <si>
    <t xml:space="preserve">Gesamtbewertung   </t>
  </si>
  <si>
    <t>Indikator</t>
  </si>
  <si>
    <t>Zusammenfassende Bewertungen (gerundet)</t>
  </si>
  <si>
    <t>Entscheidungs- und Verantwortungsspielraum des Projektleiters; Umfang der Delegation in das Projektteam; Vertretung des Projektes gegenüber dem gesamten sozialen Umfeld</t>
  </si>
  <si>
    <t>Governance &amp; eigene Rolle</t>
  </si>
  <si>
    <t>Zu bewertende Kriterien:</t>
  </si>
  <si>
    <t xml:space="preserve">very few clear Goals, all quantitatively is specified, operable </t>
  </si>
  <si>
    <t>Anmerkungen</t>
  </si>
  <si>
    <t xml:space="preserve">Salutation, Name and Surname: </t>
  </si>
  <si>
    <t xml:space="preserve">Anrede, Vorname und Nachname: </t>
  </si>
  <si>
    <t>Project Management</t>
  </si>
  <si>
    <t>Projektmanagement</t>
  </si>
  <si>
    <t>Handover sheet for VBA and sheet formula functions for PM  activities in projects</t>
  </si>
  <si>
    <t>PM Domain</t>
  </si>
  <si>
    <t>PM Domäne</t>
  </si>
  <si>
    <t>certification date</t>
  </si>
  <si>
    <t xml:space="preserve">Max. workload: </t>
  </si>
  <si>
    <t>Project Evaluation</t>
  </si>
  <si>
    <t>Exam Evaluation</t>
  </si>
  <si>
    <t>Scoring</t>
  </si>
  <si>
    <t>Overview</t>
  </si>
  <si>
    <t>Cumulated net months in leading PM Role:</t>
  </si>
  <si>
    <t>Kumulierte Nettomonate in führender PM-Rolle:</t>
  </si>
  <si>
    <t>36 Monate im Durchschnitt über 6 Jahre in führender PM-Rolle:</t>
  </si>
  <si>
    <t>30 months avarage over 5 years in leading PM role:</t>
  </si>
  <si>
    <t>36 months avarage over 6 years in leading PM role:</t>
  </si>
  <si>
    <t>60 months avarage over 8 years in leading PM role:</t>
  </si>
  <si>
    <t>60 Monate im Durchschnitt über 8 Jahre in führender PM-Rolle:</t>
  </si>
  <si>
    <t>30 Monate im Durchschnitt über 5 Jahre in führender PM-Rolle:</t>
  </si>
  <si>
    <t>60 months avarage over 12 years in a Director role:</t>
  </si>
  <si>
    <t>60 Monate im Durchschnitt über 12 Jahre in Direktoren-Rolle:</t>
  </si>
  <si>
    <t>No assessment information available</t>
  </si>
  <si>
    <t>New Evaluation</t>
  </si>
  <si>
    <t xml:space="preserve">, with competence shown in </t>
  </si>
  <si>
    <t>Keine Bewertung vorhanden</t>
  </si>
  <si>
    <t>Neue Bewertung</t>
  </si>
  <si>
    <t xml:space="preserve">, mit anerkannter Kompetenz in </t>
  </si>
  <si>
    <t>PM Role</t>
  </si>
  <si>
    <t>WARNING! MAX.WORKLOAD EXCEEDED!</t>
  </si>
  <si>
    <t>ACHTUNG! MAX. AUSLASTUNG ÜBERSCHRITTEN!</t>
  </si>
  <si>
    <t xml:space="preserve">Max. Auslastung: </t>
  </si>
  <si>
    <t>IPMA Competence Elements</t>
  </si>
  <si>
    <t>IPMA Key Competence Indicators (CE's linked from above)</t>
  </si>
  <si>
    <t>REF IPMA</t>
  </si>
  <si>
    <t>REF D</t>
  </si>
  <si>
    <t>4.3.1.1</t>
  </si>
  <si>
    <t>Das Projekt mit der Mission und der Vision der Organisation in Einklang bringen</t>
  </si>
  <si>
    <t>PJM EN</t>
  </si>
  <si>
    <t>PGM EN</t>
  </si>
  <si>
    <t>PFM EN</t>
  </si>
  <si>
    <t>PJM DE</t>
  </si>
  <si>
    <t>PGM DE</t>
  </si>
  <si>
    <t>PFM DE</t>
  </si>
  <si>
    <t>Das Programm mit der Mission und der Vision der Organisation in Einklang bringen</t>
  </si>
  <si>
    <t>Das Portfolio mit der Mission und der Vision der Organisation in Einklang bringen</t>
  </si>
  <si>
    <t>4.3.1.2</t>
  </si>
  <si>
    <t>Chancen identifizieren und ausschöpfen, die Strategie der Organisation zu beeinflussen</t>
  </si>
  <si>
    <t>PM activity end 
MM.YYYY</t>
  </si>
  <si>
    <t>Required PD effort for PM experience claimed</t>
  </si>
  <si>
    <t>Zert. Typ:</t>
  </si>
  <si>
    <t>Projekte</t>
  </si>
  <si>
    <t>Beginn der PM-Aktivität
MM.JJJJ</t>
  </si>
  <si>
    <t>Ende der PM-Aktivität
MM.JJJJ</t>
  </si>
  <si>
    <t>PM-Rolle</t>
  </si>
  <si>
    <t>Kommentare</t>
  </si>
  <si>
    <t>pers. Zuordnung %</t>
  </si>
  <si>
    <t>Dauer der PM-Tätigkeit [Monate]</t>
  </si>
  <si>
    <t>rel. Dauer in %</t>
  </si>
  <si>
    <t>Status</t>
  </si>
  <si>
    <t>Zertifizierungsdatum</t>
  </si>
  <si>
    <t>Die anderen Zellen werden automatisch ausgefüllt.</t>
  </si>
  <si>
    <t>Prozentsatz pro Monat &lt;= 80%</t>
  </si>
  <si>
    <t>Prozentsatz pro Monat &gt; 80% und &lt;= 120%</t>
  </si>
  <si>
    <t>Prozentsatz pro Monat &gt; 120%</t>
  </si>
  <si>
    <t>max. Wert pro Monat = 120%</t>
  </si>
  <si>
    <t>Kunde/AuftraggeberIn:</t>
  </si>
  <si>
    <t>Variante:</t>
  </si>
  <si>
    <t>KCI in der Prüfung:</t>
  </si>
  <si>
    <t>KCIs bestanden:</t>
  </si>
  <si>
    <t>KCI erforderlich zum Bestehen:</t>
  </si>
  <si>
    <t>KCI required to pass:</t>
  </si>
  <si>
    <t>Vorformatierter Bogen für vordefinierte Prüfungsvarianten</t>
  </si>
  <si>
    <t>Prüfung</t>
  </si>
  <si>
    <t>CE Ergebnis</t>
  </si>
  <si>
    <t>Perspective Kompetenz Elemente</t>
  </si>
  <si>
    <t>Practice Kompetenz Elements</t>
  </si>
  <si>
    <t>Rechtfertigung für das Projekt entwickeln und sicherstellen, dass die betriebswirtschaftlichen und / oder organisationalen Gründe, die zum Projekt geführt haben, weiterhin bestehen</t>
  </si>
  <si>
    <t>Rechtfertigung für das Programm entwickeln und sicherstellen, dass
die betriebswirtschaftlichen und / oder organisationalen Gründe,
die zum Programm geführt haben, weiterhin bestehen</t>
  </si>
  <si>
    <t>Rechtfertigung für das Portfolio entwickeln und sicherstellen, dass die betriebswirtschaftlichen und / oder organisationalen Gründe, die zum Portfolio geführt haben, weiterhin bestehen</t>
  </si>
  <si>
    <t>Kritische Erfolgsfaktoren (KEF) bestimmen, beurteilen und überprüfen</t>
  </si>
  <si>
    <t>Key Performance Indikatoren (KPI) bestimmen, beurteilen und überprüfen</t>
  </si>
  <si>
    <t>Das Projekt mit den Supportfunktionen in Einklang bringen</t>
  </si>
  <si>
    <t xml:space="preserve">Das Programm mit den Supportfunktionen in Einklang bringen </t>
  </si>
  <si>
    <t>Das Projekt mit den Entscheidungs- und Berichterstattungsstrukturen sowie den Qualitätsanforderungen der Organisation in Einklang bringen</t>
  </si>
  <si>
    <t>Das Programm mit den Entscheidungs- und Berichterstattungsstrukturen sowie den Qualitätsanforderungen der Organisation(en) in Einklang bringen</t>
  </si>
  <si>
    <t>Das Portfolio mit den Finanz- und Controlling-Prozessen und Funktionen in Einklang bringen</t>
  </si>
  <si>
    <t>Das Projekt mit den Prozessen und Funktionen des HR (Personalwesens) in Einklang bringen</t>
  </si>
  <si>
    <t>Das Programm mit den Prozessen und Funktionen des HR  (Personalwesen) in Einklang bringen</t>
  </si>
  <si>
    <t>Das Projekt mit den Finanz- und Controlling-Prozessen in Einklang bringen</t>
  </si>
  <si>
    <t>Das Programm mit den Finanz- und Controlling-Prozessen in Einklang bringen</t>
  </si>
  <si>
    <t>Die für das Programm und dessen Komponenten gültigen Rechtsvorschriften identifizieren und einhalten</t>
  </si>
  <si>
    <t>Die für das Portfolio gültigen Rechtsvorschriften identifizieren und einhalten</t>
  </si>
  <si>
    <t>Alle für das Projekt relevanten Vorschriften für Sicherheit, Gesundheit, und Umweltschutz (SGU) identifizieren und einhalten</t>
  </si>
  <si>
    <t>Alle für das Programm und dessen Komponenten relevanten Vorschriften für Sicherheit, Gesundheit und Umweltschutz (SGU) identifizieren und einhalten</t>
  </si>
  <si>
    <t>Alle für das Portfolio und seine Komponenten relevanten Vorschriften für Sicherheit, Gesundheit und Umweltschutz (SGU) identifizieren und einhalten</t>
  </si>
  <si>
    <t>Alle für das Projekt relevanten Verhaltensregeln und Berufsvorschriften identifizieren und einhalten</t>
  </si>
  <si>
    <t>Alle für das Programm und dessen Komponenten relevanten Verhaltensregeln und Berufsvorschriften identifizieren und einhalten</t>
  </si>
  <si>
    <t>Alle für das Portfolio relevanten Verhaltensregeln und Berufsvorschriften identifizieren und einhalten</t>
  </si>
  <si>
    <t>Für das Projekt relevante Prinzipien und Ziele der Nachhaltigkeit identifizieren und einhalten</t>
  </si>
  <si>
    <t>Für das Programm relevante Prinzipien und Ziele der Nachhaltigkeit identifizieren und einhalten</t>
  </si>
  <si>
    <t>Für das Portfolio relevante Prinzipien und Ziele der Nachhaltigkeit identifizieren und einhalten</t>
  </si>
  <si>
    <t>Für das Projekt relevante fachliche Standards und Tools beurteilen, nutzen und weiterentwickeln</t>
  </si>
  <si>
    <t>Für das Programm und dessen Komponenten relevante berufliche Standards und Tools beurteilen, nutzen und weiter entwickeln</t>
  </si>
  <si>
    <t>Für das Portfolio relevante professionelle Standards und Tools beurteilen, nutzen und weiterentwickeln</t>
  </si>
  <si>
    <t>Die Projektmanagementkompetenz der Organisation beurteilen, vergleichen und verbessern</t>
  </si>
  <si>
    <t>Die Programmmanagementkompetenz der Organisation beurteilen, vergleichen und verbessern</t>
  </si>
  <si>
    <t>Die Portfoliomanagementkompetenz der Organisation beurteilen, vergleichen und verbessern</t>
  </si>
  <si>
    <t>Persönliche Ambitionen und Interessen Dritter und deren potenzielle Auswirkungen auf das Projekt beurteilen sowie diese Kenntnisse zum Nutzen des Projekts einsetzen</t>
  </si>
  <si>
    <t>Persönliche Ambitionen und Interessen Dritter und deren potenzielle Auswirkungen auf das Programm und seiner Komponenten beurteilen sowie diese Kenntnisse zum Nutzen des Programms verwenden</t>
  </si>
  <si>
    <t>Persönliche Ambitionen und Interessen Dritter und deren potenzielle Auswirkungen auf das Portfolio und seiner Komponenten beurteilen sowie diese Kenntnisse zum Nutzen des Portfolios verwenden</t>
  </si>
  <si>
    <t>Informellen Einfluss von Einzelpersonen und Personengruppen und deren potenzielle Auswirkungen auf das Projekt beurteilen sowie diese Kenntnisse zum Nutzen des Projekts verwenden</t>
  </si>
  <si>
    <t>Informeller Einfluss von Einzelpersonen und Personengruppen und deren potenzielle Auswirkungen auf das Programm und dessen Komponenten beurteilen sowie diese Kenntnisse zum Nutzen des Programms verwenden</t>
  </si>
  <si>
    <t>Informellen Einfluss von Einzelpersonen und Personengruppen und deren potenzielle Auswirkungen auf das Portfolio und seine Komponenten beurteilen sowie diese Kenntnisse zum Nutzen des Portfolios verwenden</t>
  </si>
  <si>
    <t>Persönlichkeiten und Arbeitsstile Dritter beurteilen und zum Nutzen des Projekts einsetzen</t>
  </si>
  <si>
    <t>Persönlichkeiten und Arbeitsstile Dritter beurteilen und zum Nutzen des Programms einsetzen</t>
  </si>
  <si>
    <t>Persönlichkeiten und Arbeitsstile Dritter beurteilen und zum Nutzen des Portfolios einsetzen</t>
  </si>
  <si>
    <t>Kultur und Werte der Gesellschaft und deren Auswirkungen auf das Projekt beurteilen</t>
  </si>
  <si>
    <t>Kultur und Werte der Gesellschaft und deren Auswirkungen auf das Programm und seine Komponenten beurteilen</t>
  </si>
  <si>
    <t>Kultur und Werte der Gesellschaft und deren Auswirkungen auf das Portfolio und dessen Komponenten beurteilen</t>
  </si>
  <si>
    <t>Das Projekt mit der formellen Kultur und den Werten der Organisation in Einklang bringen</t>
  </si>
  <si>
    <t>Das Programm und dessen Komponenten mit der formellen Kultur und den Werten der Organisation(en) in Einklang bringen</t>
  </si>
  <si>
    <t>Das Portfolio und dessen Komponenten mit der formellen Kultur und den Werten der Organisation in Einklang bringen</t>
  </si>
  <si>
    <t>Die informelle Kultur und Werte der Organisation und deren Auswirkungen auf das Projekt beurteilen</t>
  </si>
  <si>
    <t>Die informelle Kultur und Werte der Organisation und deren Auswirkung auf das Programm und dessen Komponenten beurteilen</t>
  </si>
  <si>
    <t>Die informelle Kultur und Werte der Organisation und deren Auswirkungen auf das Portfolio und dessen Komponenten beurteilen</t>
  </si>
  <si>
    <t>Einfluss der eigenen Werte und persönlichen Erfahrungen auf die Arbeit identifizieren und reflektieren</t>
  </si>
  <si>
    <t>Selbstvertrauen auf der Basis von persönlichen Stärken und Schwächen aufbauen</t>
  </si>
  <si>
    <t>Persönliche Motivationen identifizieren und reflektieren, um persönliche Ziele zu setzen und darauf zu fokussieren</t>
  </si>
  <si>
    <t>Eigene Arbeit abhängig von der Situation und den eigenen Ressourcen organisieren</t>
  </si>
  <si>
    <t>Verantwortung für das persönliche Lernen und die persönliche Weiterentwicklung übernehmen</t>
  </si>
  <si>
    <t>Ethische Werte bei allen Entscheidungen und Handlungen anerkennen und anwenden</t>
  </si>
  <si>
    <t>Nachhaltigkeit von Leistungen und Ergebnissen fördern</t>
  </si>
  <si>
    <t>Verantwortung für die eigenen Entscheidungen und Handlungen übernehmen</t>
  </si>
  <si>
    <t>Widerspruchsfrei handeln, Entscheidungen treffen und kommunizieren</t>
  </si>
  <si>
    <t>Aufgaben sorgfältig erfüllen, um Vertrauen bei anderen zu schaffen</t>
  </si>
  <si>
    <t>Eindeutige und strukturierte Informationen an andere weitergeben und deren gleiches Verständnis sicherstellen</t>
  </si>
  <si>
    <t>Offene Kommunikation ermöglichen und fördern</t>
  </si>
  <si>
    <t>Kommunikationsarten und -kanäle auswählen, um die Bedürfnisse der Zielgruppe, der Situation und der Führungsebene zu erfüllen</t>
  </si>
  <si>
    <t>Mit virtuellen Teams effektiv kommunizieren</t>
  </si>
  <si>
    <t>Humor und Perspektivenwechsel angemessen verwenden</t>
  </si>
  <si>
    <t>Persönliche und berufliche Beziehungen aufbauen und pflegen</t>
  </si>
  <si>
    <t>Soziale Netzwerke aufbauen, moderieren und an ihnen teilnehmen</t>
  </si>
  <si>
    <t>Durch Zuhören, Verständnis und Unterstützung Empathie zeigen</t>
  </si>
  <si>
    <t>Vertrauen und Respekt zeigen, indem andere ermutigt werden, ihre Meinungen und Bedenken zu äußern</t>
  </si>
  <si>
    <t>Eigene Visionen und Ziele kommunizieren, um Engagement und Commitment Dritter zu erreichen</t>
  </si>
  <si>
    <t>Initiative ergreifen und proaktiv mit Rat und Tat zur Seite stehen</t>
  </si>
  <si>
    <t>Ownership übernehmen und Commitment zeigen</t>
  </si>
  <si>
    <t>Durch Vorgeben der Richtung, durch Coaching und Mentoring die Arbeit von Einzelpersonen und Teams leiten und verbessern</t>
  </si>
  <si>
    <t>Macht und Einfluss angemessen auf Dritte ausüben, um die Ziele zu erreichen</t>
  </si>
  <si>
    <t>Entscheidungen treffen, durchsetzen und überprüfen</t>
  </si>
  <si>
    <t>Das Team zusammenstellen und entwickeln</t>
  </si>
  <si>
    <t>Zusammenarbeit und Netzwerken zwischen Teammitgliedern fördern</t>
  </si>
  <si>
    <t>Die Entwicklung des Teams und der Teammitglieder ermöglichen, unterstützen und überprüfen</t>
  </si>
  <si>
    <t>Teams durch das Delegieren von Aufgaben und Verantwortlichkeiten stärken</t>
  </si>
  <si>
    <t>Fehler erkennen, um das Lernen aus Fehlern zu ermöglichen</t>
  </si>
  <si>
    <t>Konflikte und Krisen antizipieren und, wenn möglich, verhindern</t>
  </si>
  <si>
    <t>Ursachen und Auswirkungen von Konflikten und Krisen analysieren und angemessene Reaktionen auswählen</t>
  </si>
  <si>
    <t>Konflikte und Krisen und / oder deren Auswirkungen lösen bzw in ihnen vermitteln</t>
  </si>
  <si>
    <t>Lernergebnisse aus Konflikten und Krisen identifizieren und weitergehen, um die zukünftige Arbeit zu verbessern</t>
  </si>
  <si>
    <t>Ein offenes und kreatives Umfeld schaffen und unterstützen</t>
  </si>
  <si>
    <t>Konzeptionelles Denken anwenden, um Situationen zu analysieren und Lösungsstrategien zu definieren</t>
  </si>
  <si>
    <t>Analytische Techniken anwenden, um Situationen, Informationen und Trends zu analysieren</t>
  </si>
  <si>
    <t>Kreative Techniken fördern und anwenden, um Alternativen und Lösungen zu finden</t>
  </si>
  <si>
    <t>Ganzheitliche Sicht auf das Projekt und seinen Kontext fördern, um den Entscheidungsprozess zu verbessern</t>
  </si>
  <si>
    <t>Ganzheitliche Sicht auf das Programm und seinen Kontext fördern, um den Entscheidungsprozess zu verbessern</t>
  </si>
  <si>
    <t>Ganzheitliche Sicht auf das Portfolio und seinen Kontext fördern, um den Entscheidungsprozess zu verbessern</t>
  </si>
  <si>
    <t>Interessen aller Parteien, die an den Verhandlungen beteiligt sind, identifizieren und analysieren</t>
  </si>
  <si>
    <t>Optionen und Alternativen entwickeln und evaluieren, die das Potenzial haben, die Bedürfnisse aller Beteiligten zu erfüllen</t>
  </si>
  <si>
    <t>Verhandlungsstrategie definieren, die mit den eigenen Zielen übereinstimmt und für alle beteiligten Parteien akzeptabel ist</t>
  </si>
  <si>
    <t>Einigungen mit anderen Parteien erzielen, die mit den eigenen Zielen übereinstimmen</t>
  </si>
  <si>
    <t>Zusätzliche Verkaufs- und Akquisitionsmöglichkeiten entdecken und ausschöpfen</t>
  </si>
  <si>
    <t>Alle Entscheidungen und Handlungen hinsichtlich ihrer Auswirkung auf den Projekterfolg und die Ziele der Organisation evaluieren</t>
  </si>
  <si>
    <t>Alle Entscheidungen und Handlungen hinsichtlich ihrer Auswirkung auf den Programmerfolg und die Ziele der Organisation evaluieren</t>
  </si>
  <si>
    <t>Alle Entscheidungen und Handlungen hinsichtlich ihrer Auswirkung auf den Portfolioerfolg und die Ziele der Organisation evaluieren</t>
  </si>
  <si>
    <t>Bedürfnisse und Mittel aufeinander abstimmen, um Ergebnisse und Erfolge zu optimieren</t>
  </si>
  <si>
    <t>Gesunde, sichere und produktive Arbeitsumgebung schaffen und diese aufrecht erhalten</t>
  </si>
  <si>
    <t>Das Projekt, seine Prozesse und Ergebnisse promoten und diese ‚verkaufen‘</t>
  </si>
  <si>
    <t>Das Portfolio, seine Prozesse und Ergebnisse promoten und sie „verkaufen“</t>
  </si>
  <si>
    <t>Das Programm, seine Prozesse und Ergebnisse promoten und diese „verkaufen“</t>
  </si>
  <si>
    <t>Ergebnisse liefern und Akzeptanz erhalten</t>
  </si>
  <si>
    <t>Erfolgskriterien anerkennen, priorisieren und überprüfen</t>
  </si>
  <si>
    <t>Lessons Learned aus und mit anderen Projekten überprüfen, anwenden und austauschen</t>
  </si>
  <si>
    <t>Lessons Learned aus und mit anderen Programmen und deren Komponenten überprüfen, anwenden und austauschen</t>
  </si>
  <si>
    <t>Lessons Learned aus und mit anderen Portfolios und deren Komponenten überprüfen, anwenden und austauschen</t>
  </si>
  <si>
    <t>Projektkomplexität und ihre Konsequenzen für den Projektmanagementansatz bestimmen</t>
  </si>
  <si>
    <t>Programmkomplexität und ihre Konsequenzen für den Programmmanagementansatz bestimmen</t>
  </si>
  <si>
    <t>Generellen Projektmanagementansatz auswählen und anpassen</t>
  </si>
  <si>
    <t>Programmvision erstellen</t>
  </si>
  <si>
    <t>Konzept für die Projektdurchführung entwerfen, überwachen und anpassen</t>
  </si>
  <si>
    <t>Veränderungsstrategie entwickeln und anpassen</t>
  </si>
  <si>
    <t>Hierarchie der Projektziele definieren und entwickeln</t>
  </si>
  <si>
    <t>Hierarchie der Programmziele definieren und entwickeln</t>
  </si>
  <si>
    <t>Hierarchie der Organisationsziele definieren und entwickeln</t>
  </si>
  <si>
    <t>Bedürfnisse und Anforderungen der Projekt-Stakeholder identifizieren und analysieren</t>
  </si>
  <si>
    <t>Programmnutzen identifizieren und, wenn möglich, quantifizieren</t>
  </si>
  <si>
    <t>Anforderungen und Abnahmekriterien priorisieren und darüber entscheiden</t>
  </si>
  <si>
    <t>Strategie der Nutzenrealisierung entwickeln</t>
  </si>
  <si>
    <t>Lieferobjekte definieren</t>
  </si>
  <si>
    <t>Leistungsumfang des Programms definieren</t>
  </si>
  <si>
    <t>Leistungsumfang des Portfolios etablieren und aufrechterhalten</t>
  </si>
  <si>
    <t>Leistungsumfang strukturieren</t>
  </si>
  <si>
    <t>Leistungsumfang des Programms strukturieren</t>
  </si>
  <si>
    <t>Konfiguration des Leistungsumfangs der Programme und Projekte überwachen und steuern</t>
  </si>
  <si>
    <t>Arbeitspakete definieren</t>
  </si>
  <si>
    <t>Leistungsumfang der Komponenten managen</t>
  </si>
  <si>
    <t>Konfiguration des Leistungsumfangs erstellen und aufrechterhalten</t>
  </si>
  <si>
    <t>Aktivitäten definieren, die nötig sind, um das Projekt (ab)liefern zu können</t>
  </si>
  <si>
    <t>Abfolge der Programmkomponenten erstellen und einen Masterplan entwickeln</t>
  </si>
  <si>
    <t>Entscheidungszyklus für das Portfolio einführen</t>
  </si>
  <si>
    <t>Arbeitsaufwand und Dauer von Aktivitäten festlegen</t>
  </si>
  <si>
    <t>Konsistenz der Tranchen sicherstellen</t>
  </si>
  <si>
    <t>Vorgehensweise für Termine und Phasen, ggf. Sprints festlegen</t>
  </si>
  <si>
    <t>Übergang zwischen den Tranchen managen</t>
  </si>
  <si>
    <t>Abfolge der Projektaktivitäten bestimmen und einen Ablauf- und Terminplan erstellen</t>
  </si>
  <si>
    <t>Fortschritt anhand des Terminplans überwachen und notwendige Anpassungen vornehmen</t>
  </si>
  <si>
    <t>Bedürfnisse der Stakeholder bezüglich Information und Dokumentation beurteilen und bestimmen</t>
  </si>
  <si>
    <t>Governance-Rahmen und Regeln für das Programm entwerfen und einführen</t>
  </si>
  <si>
    <t>Struktur, Rollen und Verantwortlichkeiten im Projekt definieren</t>
  </si>
  <si>
    <t>Struktur, Rollen und Verantwortlichkeiten im Programm definieren</t>
  </si>
  <si>
    <t>Struktur, Rollen und Verantwortlichkeiten im Portfolio und seinen Komponenten definieren</t>
  </si>
  <si>
    <t>Infrastruktur, Prozesse und Informationssysteme aufbauen</t>
  </si>
  <si>
    <t>Organisation des Projekts implementieren, überwachen und anpassen</t>
  </si>
  <si>
    <t>Organisation des Programms implementieren, überwachen und anpassen</t>
  </si>
  <si>
    <t>Organisation des Portfolios und seiner Komponenten implementieren, überwachen und anpassen</t>
  </si>
  <si>
    <t>Rate the level of your agreement with the following statement:
   The candidate has provided clear and convincing evidence of their Skills and Abilities in the 
   indicated KCI from a project of sufficient complexity for the level applied for.</t>
  </si>
  <si>
    <t>Bewerten Sie, inwieweit Sie der folgenden Aussage zustimmen:
   Der Kandidat hat einen klaren und überzeugenden Nachweis seiner Fähigkeiten und Fertigkeiten in dem 
   angegebenen KCI anhand eines Projekts nachgewiesen, das für das angestrebte Level ausreichend komplex ist.</t>
  </si>
  <si>
    <t xml:space="preserve">       </t>
  </si>
  <si>
    <t>Perspective Kompetenz Elemente erfüllt</t>
  </si>
  <si>
    <t>Personal Kompetenz Elemente erfüllt</t>
  </si>
  <si>
    <t>Practice Kompetenz Elemente erfüllt</t>
  </si>
  <si>
    <t>Endergebnis</t>
  </si>
  <si>
    <t>Interview-Antworten</t>
  </si>
  <si>
    <t>Note bestanden:</t>
  </si>
  <si>
    <t>Status des Berichts:</t>
  </si>
  <si>
    <t>Bewertung Level D</t>
  </si>
  <si>
    <t>Zusammenfassung</t>
  </si>
  <si>
    <t>Gesamtergebnis</t>
  </si>
  <si>
    <t>Zum Bestehen erforderlich</t>
  </si>
  <si>
    <t>Qualitätsmanagementplan für das Projekt entwickeln, die Implementierung überwachen und gegebenenfalls überarbeiten</t>
  </si>
  <si>
    <t>Qualität im Verlauf des Programms sicherstellen</t>
  </si>
  <si>
    <t>Qualität im Portfolio und dessen Komponenten sicherstellen</t>
  </si>
  <si>
    <t>Projekt mit seinen Lieferobjekten überprüfen, um sicherzustellen, dass sie die Anforderungen des Qualitätsmanagementplans weiterhin erfüllen</t>
  </si>
  <si>
    <t>Qualitätssicherung im Programm organisieren</t>
  </si>
  <si>
    <t>Erreichung der Qualitätsziele des Projekts verifizieren und erforderliche korrektive und/oder präventive Maßnahmen empfehlen</t>
  </si>
  <si>
    <t>Validierung von Projektergebnissen planen und organisieren</t>
  </si>
  <si>
    <t>Qualität im Verlauf des Projekts sicherstellen</t>
  </si>
  <si>
    <t>Projektkosten abschätzen</t>
  </si>
  <si>
    <t>Finanzierungsmöglichkeiten analysieren und Finanzierungsstrategie festlegen</t>
  </si>
  <si>
    <t>Portfoliobudget festlegen und erstellen</t>
  </si>
  <si>
    <t>Projektbudget erstellen</t>
  </si>
  <si>
    <t>Programmbudget erstellen</t>
  </si>
  <si>
    <t>Finanzmanagement- und Berichtssystem für das Portfolio und dessen Komponenten entwickeln, einrichten und aufrechterhalten</t>
  </si>
  <si>
    <t>Projektfinanzierung sichern</t>
  </si>
  <si>
    <t>Rahmenbedingungen für das Finanzierungs- und Kostenmanagement entwickeln, etablieren und lenken</t>
  </si>
  <si>
    <t>Finanzmanagement- und Berichtssystem für das Projekt entwickeln, einrichten und aufrechterhalten</t>
  </si>
  <si>
    <t>Finanzen auf der Basis der Bedürfnisse der Komponenten und unter Berücksichtigung der vertraglichen Bedingungen mit den Finanzgebern verteilen</t>
  </si>
  <si>
    <t>Finanzen überwachen, um Abweichungen vom Projektplan zu identifizieren und zu korrigieren</t>
  </si>
  <si>
    <t>Berichte für Finanzierungsorganisationen bereitstellen</t>
  </si>
  <si>
    <t>Strategische Ressourcenplanung entwickeln, um die Projektergebnisse liefern zu können</t>
  </si>
  <si>
    <t>Strategische Ressourcenplanung entwickeln, um die Programmergebnisse liefern zu können</t>
  </si>
  <si>
    <t>Strategische Ressourcenplanung entwickeln, um Komponenten des Portfolios (Programme und / oder Projekte) liefern zu können</t>
  </si>
  <si>
    <t>Qualität und Menge der benötigten Ressourcen definieren</t>
  </si>
  <si>
    <t>Menge der benötigten und verfügbaren Ressourcen identifizieren, um das Portfolio und seine Komponenten zu führen</t>
  </si>
  <si>
    <t>Potenzielle Ressourcenquellen identifizieren und ihre Beschaffung verhandeln</t>
  </si>
  <si>
    <t>Fähigkeiten der für die Komponenten des Portfolios benötigten Ressourcen ermitteln</t>
  </si>
  <si>
    <t>Ressourcen gemäß dem festgelegten Bedarf zuweisen und verteilen</t>
  </si>
  <si>
    <t>Ressourcenverbrauch evaluieren und erforderliche Korrekturmaßnahmen ergreifen</t>
  </si>
  <si>
    <t>Beschaffungsbedarf, Optionen und Prozesse vereinbaren</t>
  </si>
  <si>
    <t>Beschaffungssystem für das Programm aufrecht erhalten und lenken</t>
  </si>
  <si>
    <t>Beschaffungssystem für das Portfolio aufrechterhalten und lenken</t>
  </si>
  <si>
    <t>Zur Evaluation und Auswahl von Lieferanten und Partnern beitragen</t>
  </si>
  <si>
    <t>Partnerschaften entwickeln</t>
  </si>
  <si>
    <t>Zu Verhandlungen und Vereinbarungen von Vertragsbestimmungen beitragen, um diese in Einklang mit den Projektzielen zu bringen</t>
  </si>
  <si>
    <t>Partnerschaften beenden</t>
  </si>
  <si>
    <t>Vertragsausführung überwachen, Probleme ansprechen und, falls notwendig, Entschädigungen verlangen</t>
  </si>
  <si>
    <t>Projekt starten, Projektmanagement-Plan entwickeln und Zustimmung einholen</t>
  </si>
  <si>
    <t>Das Programm etablieren</t>
  </si>
  <si>
    <t>Das Portfoliosystem einrichten</t>
  </si>
  <si>
    <t>Übergang in eine neue Projektphase einleiten und managen</t>
  </si>
  <si>
    <t>Schnittstellen und Synergien zwischen Komponenten managen</t>
  </si>
  <si>
    <t>Portfoliozyklus einrichten und aufrechterhalten</t>
  </si>
  <si>
    <t>Projektleistung mit dem Projektplan abgleichen und Korrekturmaßnahmen treffen</t>
  </si>
  <si>
    <t>Status der Komponenten messen und evaluieren sowie deren Fortschritt beeinflussen</t>
  </si>
  <si>
    <t>Über das Portfolio Bericht erstatten</t>
  </si>
  <si>
    <t>Bericht über den Projektfortschritt erstatten</t>
  </si>
  <si>
    <t>Den Komponentenmanagern die Richtung vorgeben</t>
  </si>
  <si>
    <t>Projektänderungen beurteilen, Zustimmung für diese einholen und sie implementieren</t>
  </si>
  <si>
    <t>Das Programm abschließen</t>
  </si>
  <si>
    <t>Eine Phase oder das Projekt abschließen und evaluieren</t>
  </si>
  <si>
    <t>Chancen- und Risikomanagementstruktur entwickeln und implementieren</t>
  </si>
  <si>
    <t>Risikomanagementstruktur entwickeln und implementieren</t>
  </si>
  <si>
    <t>Chancen und Risiken identifizieren</t>
  </si>
  <si>
    <t>Wahrscheinlichkeit und Auswirkungen von Chancen und Risiken analysieren</t>
  </si>
  <si>
    <t>Strategien auswählen und Maßnahmen implementieren, um Chancen und Risiken zu adressieren</t>
  </si>
  <si>
    <t>Chancen, Risiken und implementierte Maßnahmen evaluieren und überwachen</t>
  </si>
  <si>
    <t>Stakeholder identifizieren und ihre Interessen sowie ihren Einfluss analysieren</t>
  </si>
  <si>
    <t>Stakeholderstrategie und einen Kommunikationsplan entwickeln und aufrechterhalten</t>
  </si>
  <si>
    <t>Geschäftsführung, Auftraggeber und höheres Management einbinden, um Commitment zu erreichen und um Interessen und Erwartungen zu managen</t>
  </si>
  <si>
    <t>Stakeholderstrategie und Kommunikationsplan entwickeln und aufrechterhalten</t>
  </si>
  <si>
    <t>Entwicklung und Pflege einer Strategie und eines Kommunikationsplans für Stakeholder</t>
  </si>
  <si>
    <t>Benutzer, Partner und Lieferanten und andere Stakeholder einbinden, um deren Kooperation und Commitment zu erreichen</t>
  </si>
  <si>
    <t>Beteiligung von Anwendern, Partnern, Lieferanten und anderen Stakeholdern, um ihre Zusammenarbeit und ihr Engagement zu gewinnen</t>
  </si>
  <si>
    <t>Nutzer, Partner und Lieferanten einbinden, um ihre Kooperation und Commitment zu erreichen</t>
  </si>
  <si>
    <t>Netzwerke und Allianzen aufbauen, aufrechterhalten und beenden</t>
  </si>
  <si>
    <t>Adaptionsfähigkeit der Organisation(en) zu Veränderung beurteilen</t>
  </si>
  <si>
    <t>Anpassungsfähigkeit der Organisation(en) zu Veränderung beurteilen</t>
  </si>
  <si>
    <t>Auswirkungen von Veränderung (Change) auf das Portfolio beurteilen und einschätzen</t>
  </si>
  <si>
    <t>Veränderungsanforderungen und Transformationschancen identifizieren</t>
  </si>
  <si>
    <t>Veränderungs- oder Transformationsstrategie für das Portfolio und seine Komponenten entwickeln</t>
  </si>
  <si>
    <t>Veränderungs- oder Transformationsstrategie für das Projekt entwickeln</t>
  </si>
  <si>
    <t>Veränderungs- oder Transformationsstrategie für das Programm entwickeln</t>
  </si>
  <si>
    <t>Den Changeprozess aufrechterhalten</t>
  </si>
  <si>
    <t>Veränderungs- oder Transformationsmanagement implementieren</t>
  </si>
  <si>
    <t>in Prozent</t>
  </si>
  <si>
    <t>in Monaten</t>
  </si>
  <si>
    <t>CBA-Erfahrung insgesamt (Monate)</t>
  </si>
  <si>
    <t>Komplex. Bewerber</t>
  </si>
  <si>
    <t>Komplex. Assessor</t>
  </si>
  <si>
    <t>angeg. Teamgröße insgesamt</t>
  </si>
  <si>
    <t>Erf. PT-Aufwand für angeg. PM-Erfahrung</t>
  </si>
  <si>
    <t>Total budget claimed [EUR]</t>
  </si>
  <si>
    <t>Durchschn. Aufwand pro Teammitglied [PT]</t>
  </si>
  <si>
    <t>Durchschn. Aufwand pro Teammitglied / Monat [PT]</t>
  </si>
  <si>
    <t>Angenommene VZÄ PT pro Jahr:</t>
  </si>
  <si>
    <t>People Competence Elements</t>
  </si>
  <si>
    <t>People Kompetenz Elemente</t>
  </si>
  <si>
    <t>WS-Status:</t>
  </si>
  <si>
    <t>WS-Szenario:</t>
  </si>
  <si>
    <t>People competence elements satisfied</t>
  </si>
  <si>
    <t>People Kompetenz Elemente erfüllt</t>
  </si>
  <si>
    <t>Schriftliche Prüfungsvariante:</t>
  </si>
  <si>
    <t>Workshop-Szenario:</t>
  </si>
  <si>
    <t>Die für das Projekt und dessen Komponenten gültigen Rechtsvorschriften identifizieren und einhalten</t>
  </si>
  <si>
    <t>Promote a holistic view of the portfolio and its context to improve decision-making</t>
  </si>
  <si>
    <t>Promote a holistic view of the programme and its context to improve decision-making</t>
  </si>
  <si>
    <t>Promote and 'sell' the programme and its processes and outcomes</t>
  </si>
  <si>
    <t>Promote and 'sell' the portfolio and its processes and outcomes</t>
  </si>
  <si>
    <t>Evaluate all decisions and actions against their impact on projgramme success and the objectives of the organization</t>
  </si>
  <si>
    <t>Evaluate all decisions and actions against their impact on portfolio success and the objectives of the organization</t>
  </si>
  <si>
    <t>Implement, monitor, and maintain the organization of the programme</t>
  </si>
  <si>
    <t>4.3.1.3</t>
  </si>
  <si>
    <t>4.3.1.4</t>
  </si>
  <si>
    <t>4.3.1.5</t>
  </si>
  <si>
    <t>K.2</t>
  </si>
  <si>
    <t>4.3.2.1</t>
  </si>
  <si>
    <t>4.3.2.4</t>
  </si>
  <si>
    <t>4.3.2.5</t>
  </si>
  <si>
    <t>Das Portfolio mit den Prozessen und Funktionen des HR in Einklang bringen</t>
  </si>
  <si>
    <t>4.3.2.6</t>
  </si>
  <si>
    <t>4.3.2.7</t>
  </si>
  <si>
    <t>4.3.3.1</t>
  </si>
  <si>
    <t>4.3.3.2</t>
  </si>
  <si>
    <t>4.3.3.3</t>
  </si>
  <si>
    <t>4.3.3.4</t>
  </si>
  <si>
    <t>4.3.3.5</t>
  </si>
  <si>
    <t>4.3.3.6</t>
  </si>
  <si>
    <t>4.3.4.1</t>
  </si>
  <si>
    <t>4.3.4.2</t>
  </si>
  <si>
    <t>4.3.4.3</t>
  </si>
  <si>
    <t>4.3.5.1</t>
  </si>
  <si>
    <t>4.3.5.2</t>
  </si>
  <si>
    <t>4.3.5.3</t>
  </si>
  <si>
    <t>4.4.1.1</t>
  </si>
  <si>
    <t>4.4.1.2</t>
  </si>
  <si>
    <t>4.4.1.3</t>
  </si>
  <si>
    <t>4.4.1.4</t>
  </si>
  <si>
    <t>4.4.1.5</t>
  </si>
  <si>
    <t>4.4.2.1</t>
  </si>
  <si>
    <t>4.4.2.2</t>
  </si>
  <si>
    <t>4.4.2.3</t>
  </si>
  <si>
    <t>4.4.2.4</t>
  </si>
  <si>
    <t>4.4.2.5</t>
  </si>
  <si>
    <t>4.4.3.1</t>
  </si>
  <si>
    <t>4.4.3.2</t>
  </si>
  <si>
    <t>4.4.3.3</t>
  </si>
  <si>
    <t>4.4.3.4</t>
  </si>
  <si>
    <t>4.4.3.5</t>
  </si>
  <si>
    <t>4.4.4.1</t>
  </si>
  <si>
    <t>4.4.4.2</t>
  </si>
  <si>
    <t>4.4.4.3</t>
  </si>
  <si>
    <t>4.4.4.4</t>
  </si>
  <si>
    <t>4.4.4.5</t>
  </si>
  <si>
    <t>4.4.5.1</t>
  </si>
  <si>
    <t>4.4.5.2</t>
  </si>
  <si>
    <t>4.4.5.3</t>
  </si>
  <si>
    <t>4.4.5.4</t>
  </si>
  <si>
    <t>4.4.5.5</t>
  </si>
  <si>
    <t>4.4.6.1</t>
  </si>
  <si>
    <t>4.4.6.2</t>
  </si>
  <si>
    <t>4.4.6.3</t>
  </si>
  <si>
    <t>4.4.6.4</t>
  </si>
  <si>
    <t>4.4.6.5</t>
  </si>
  <si>
    <t>4.4.7.1</t>
  </si>
  <si>
    <t>4.4.7.2</t>
  </si>
  <si>
    <t>4.4.7.3</t>
  </si>
  <si>
    <t>4.4.7.4</t>
  </si>
  <si>
    <t>4.4.8.1</t>
  </si>
  <si>
    <t>4.4.8.2</t>
  </si>
  <si>
    <t>4.4.8.3</t>
  </si>
  <si>
    <t>4.4.8.4</t>
  </si>
  <si>
    <t>4.4.8.5</t>
  </si>
  <si>
    <t>4.4.9.1</t>
  </si>
  <si>
    <t>4.4.9.2</t>
  </si>
  <si>
    <t>4.4.9.3</t>
  </si>
  <si>
    <t>4.4.9.4</t>
  </si>
  <si>
    <t>4.4.9.5</t>
  </si>
  <si>
    <t>4.4.10.1</t>
  </si>
  <si>
    <t>4.4.10.2</t>
  </si>
  <si>
    <t>4.4.10.3</t>
  </si>
  <si>
    <t>4.4.10.4</t>
  </si>
  <si>
    <t>4.4.10.5</t>
  </si>
  <si>
    <t>T.1</t>
  </si>
  <si>
    <t>S.10</t>
  </si>
  <si>
    <t>S.10.1</t>
  </si>
  <si>
    <t>S.10.2</t>
  </si>
  <si>
    <t>S.10.3</t>
  </si>
  <si>
    <t>S.10.4</t>
  </si>
  <si>
    <t>S.10.5</t>
  </si>
  <si>
    <t>S.9</t>
  </si>
  <si>
    <t>S.9.1</t>
  </si>
  <si>
    <t>S.9.2</t>
  </si>
  <si>
    <t>S.9.3</t>
  </si>
  <si>
    <t>S.9.4</t>
  </si>
  <si>
    <t>S.9.5</t>
  </si>
  <si>
    <t>S.8</t>
  </si>
  <si>
    <t>S.8.1</t>
  </si>
  <si>
    <t>S.8.2</t>
  </si>
  <si>
    <t>S.8.3</t>
  </si>
  <si>
    <t>S.8.4</t>
  </si>
  <si>
    <t>S.8.5</t>
  </si>
  <si>
    <t>S.7</t>
  </si>
  <si>
    <t>S.7.1</t>
  </si>
  <si>
    <t>S.7.2</t>
  </si>
  <si>
    <t>S.7.3</t>
  </si>
  <si>
    <t>S.7.4</t>
  </si>
  <si>
    <t>S.6</t>
  </si>
  <si>
    <t>S.6.1</t>
  </si>
  <si>
    <t>S.6.2</t>
  </si>
  <si>
    <t>S.6.3</t>
  </si>
  <si>
    <t>S.6.4</t>
  </si>
  <si>
    <t>S.6.5</t>
  </si>
  <si>
    <t>S.5</t>
  </si>
  <si>
    <t>S.5.1</t>
  </si>
  <si>
    <t>S.5.2</t>
  </si>
  <si>
    <t>S.5.3</t>
  </si>
  <si>
    <t>S.5.4</t>
  </si>
  <si>
    <t>S.5.5</t>
  </si>
  <si>
    <t>S.4</t>
  </si>
  <si>
    <t>S.4.1</t>
  </si>
  <si>
    <t>S.4.2</t>
  </si>
  <si>
    <t>S.4.3</t>
  </si>
  <si>
    <t>S.4.4</t>
  </si>
  <si>
    <t>S.4.5</t>
  </si>
  <si>
    <t>S.3</t>
  </si>
  <si>
    <t>S.3.1</t>
  </si>
  <si>
    <t>S.3.2</t>
  </si>
  <si>
    <t>S.3.3</t>
  </si>
  <si>
    <t>S.3.4</t>
  </si>
  <si>
    <t>S.3.5</t>
  </si>
  <si>
    <t>S.2</t>
  </si>
  <si>
    <t>S.2.1</t>
  </si>
  <si>
    <t>S.2.2</t>
  </si>
  <si>
    <t>S.2.3</t>
  </si>
  <si>
    <t>S.2.4</t>
  </si>
  <si>
    <t>S.2.5</t>
  </si>
  <si>
    <t>S.1</t>
  </si>
  <si>
    <t>S.1.1</t>
  </si>
  <si>
    <t>S.1.2</t>
  </si>
  <si>
    <t>S.1.3</t>
  </si>
  <si>
    <t>S.1.4</t>
  </si>
  <si>
    <t>S.1.5</t>
  </si>
  <si>
    <t>K.1</t>
  </si>
  <si>
    <t>K.1.1</t>
  </si>
  <si>
    <t>K.1.2</t>
  </si>
  <si>
    <t>K.1.3</t>
  </si>
  <si>
    <t>K.1.4</t>
  </si>
  <si>
    <t>K.1.5</t>
  </si>
  <si>
    <t>K.2.1</t>
  </si>
  <si>
    <t>K.2.2</t>
  </si>
  <si>
    <t>K.2.3</t>
  </si>
  <si>
    <t>K.2.4</t>
  </si>
  <si>
    <t>K.2.5</t>
  </si>
  <si>
    <t>K.3</t>
  </si>
  <si>
    <t>K.3.1</t>
  </si>
  <si>
    <t>K.3.2</t>
  </si>
  <si>
    <t>K.3.3</t>
  </si>
  <si>
    <t>K.3.4</t>
  </si>
  <si>
    <t>K.3.5</t>
  </si>
  <si>
    <t>K.3.6</t>
  </si>
  <si>
    <t>K.4</t>
  </si>
  <si>
    <t>K.4.1</t>
  </si>
  <si>
    <t>K.4.2</t>
  </si>
  <si>
    <t>K.4.3</t>
  </si>
  <si>
    <t>K.5</t>
  </si>
  <si>
    <t>K.5.1</t>
  </si>
  <si>
    <t>K.5.2</t>
  </si>
  <si>
    <t>K.5.3</t>
  </si>
  <si>
    <t>4.5.1.1</t>
  </si>
  <si>
    <t>4.5.1.2</t>
  </si>
  <si>
    <t>4.5.1.3</t>
  </si>
  <si>
    <t>4.5.1.4</t>
  </si>
  <si>
    <t>T.1.1</t>
  </si>
  <si>
    <t>T.1.2</t>
  </si>
  <si>
    <t>T.1.3</t>
  </si>
  <si>
    <t>T.1.4</t>
  </si>
  <si>
    <t>4.5.1.5</t>
  </si>
  <si>
    <t>T.1.5</t>
  </si>
  <si>
    <t>4.5.1.6</t>
  </si>
  <si>
    <t>T.1.6</t>
  </si>
  <si>
    <t>T.1.7</t>
  </si>
  <si>
    <t>4.5.1.7</t>
  </si>
  <si>
    <t>Konzept für die Programmdurchführung entwerfen, überwachen und anpassen</t>
  </si>
  <si>
    <t>4.5.1.8</t>
  </si>
  <si>
    <t>T.1.8</t>
  </si>
  <si>
    <t>Lieferstrategie für das Programm entwerfen</t>
  </si>
  <si>
    <t>4.5.2.1</t>
  </si>
  <si>
    <t>T.2</t>
  </si>
  <si>
    <t>T.2.1</t>
  </si>
  <si>
    <t>4.5.2.2</t>
  </si>
  <si>
    <t>4.5.2.3</t>
  </si>
  <si>
    <t>T.2.2</t>
  </si>
  <si>
    <t>T.2.3</t>
  </si>
  <si>
    <t>4.5.2.4</t>
  </si>
  <si>
    <t>T.2.4</t>
  </si>
  <si>
    <t>Programmkomponenten mit ihren Ergebnissen und Schnittstellen definiere</t>
  </si>
  <si>
    <t>4.5.2.5</t>
  </si>
  <si>
    <t>T.2.5</t>
  </si>
  <si>
    <t>Nutzenrealisierung sicherstellen</t>
  </si>
  <si>
    <t>T.3</t>
  </si>
  <si>
    <t>4.5.3.1</t>
  </si>
  <si>
    <t>T.3.1</t>
  </si>
  <si>
    <t>4.5.3.2</t>
  </si>
  <si>
    <t>4.5.3.3</t>
  </si>
  <si>
    <t>4.5.3.4</t>
  </si>
  <si>
    <t>T.3.2</t>
  </si>
  <si>
    <t>T.3.3</t>
  </si>
  <si>
    <t>T.3.4</t>
  </si>
  <si>
    <t>T.4</t>
  </si>
  <si>
    <t>4.5.4.1</t>
  </si>
  <si>
    <t>T.4.1</t>
  </si>
  <si>
    <t>4.5.4.2</t>
  </si>
  <si>
    <t>4.5.4.3</t>
  </si>
  <si>
    <t>4.5.4.4</t>
  </si>
  <si>
    <t>4.5.4.5</t>
  </si>
  <si>
    <t>T.4.2</t>
  </si>
  <si>
    <t>T.4.3</t>
  </si>
  <si>
    <t>T.4.4</t>
  </si>
  <si>
    <t>T.4.5</t>
  </si>
  <si>
    <t>T.5</t>
  </si>
  <si>
    <t>4.5.5.1</t>
  </si>
  <si>
    <t>T.5.1</t>
  </si>
  <si>
    <t>4.5.5.2</t>
  </si>
  <si>
    <t>4.5.5.3</t>
  </si>
  <si>
    <t>4.5.5.4</t>
  </si>
  <si>
    <t>T.5.2</t>
  </si>
  <si>
    <t>T.5.3</t>
  </si>
  <si>
    <t>T.5.4</t>
  </si>
  <si>
    <t>T.6</t>
  </si>
  <si>
    <t>4.5.6.1</t>
  </si>
  <si>
    <t>T.6.1</t>
  </si>
  <si>
    <t>4.5.6.2</t>
  </si>
  <si>
    <t>4.5.6.3</t>
  </si>
  <si>
    <t>4.5.6.4</t>
  </si>
  <si>
    <t>T.6.2</t>
  </si>
  <si>
    <t>T.6.3</t>
  </si>
  <si>
    <t>T.6.4</t>
  </si>
  <si>
    <t>T.6.5</t>
  </si>
  <si>
    <t>4.5.6.5</t>
  </si>
  <si>
    <t>T.7</t>
  </si>
  <si>
    <t>4.5.7.1</t>
  </si>
  <si>
    <t>T.7.1</t>
  </si>
  <si>
    <t>4.5.7.2</t>
  </si>
  <si>
    <t>4.5.7.3</t>
  </si>
  <si>
    <t>4.5.7.4</t>
  </si>
  <si>
    <t>4.5.7.5</t>
  </si>
  <si>
    <t>T.7.2</t>
  </si>
  <si>
    <t>T.7.3</t>
  </si>
  <si>
    <t>T.7.4</t>
  </si>
  <si>
    <t>T.7.5</t>
  </si>
  <si>
    <t>T.8</t>
  </si>
  <si>
    <t>4.5.8.1</t>
  </si>
  <si>
    <t>4.5.8.2</t>
  </si>
  <si>
    <t>4.5.8.3</t>
  </si>
  <si>
    <t>4.5.8.4</t>
  </si>
  <si>
    <t>4.5.8.5</t>
  </si>
  <si>
    <t>T.8.1</t>
  </si>
  <si>
    <t>T.8.2</t>
  </si>
  <si>
    <t>T.8.3</t>
  </si>
  <si>
    <t>T.8.4</t>
  </si>
  <si>
    <t>T.8.5</t>
  </si>
  <si>
    <t>T.9</t>
  </si>
  <si>
    <t>T.9.1</t>
  </si>
  <si>
    <t>T.9.2</t>
  </si>
  <si>
    <t>T.9.3</t>
  </si>
  <si>
    <t>T.9.4</t>
  </si>
  <si>
    <t>4.5.9.1</t>
  </si>
  <si>
    <t>4.5.9.2</t>
  </si>
  <si>
    <t>4.5.9.3</t>
  </si>
  <si>
    <t>4.5.9.4</t>
  </si>
  <si>
    <t>T.10</t>
  </si>
  <si>
    <t>T.10.1</t>
  </si>
  <si>
    <t>4.5.10.1</t>
  </si>
  <si>
    <t>4.5.10.2</t>
  </si>
  <si>
    <t>4.5.10.3</t>
  </si>
  <si>
    <t>4.5.10.4</t>
  </si>
  <si>
    <t>4.5.10.5</t>
  </si>
  <si>
    <t>4.5.10.6</t>
  </si>
  <si>
    <t>T.10.2</t>
  </si>
  <si>
    <t>T.10.3</t>
  </si>
  <si>
    <t>T.10.4</t>
  </si>
  <si>
    <t>T.10.5</t>
  </si>
  <si>
    <t>T.10.6</t>
  </si>
  <si>
    <t>T.11</t>
  </si>
  <si>
    <t>4.5.11.1</t>
  </si>
  <si>
    <t>T.11.1</t>
  </si>
  <si>
    <t>4.5.11.2</t>
  </si>
  <si>
    <t>4.5.11.3</t>
  </si>
  <si>
    <t>4.5.11.4</t>
  </si>
  <si>
    <t>4.5.11.5</t>
  </si>
  <si>
    <t>T.11.2</t>
  </si>
  <si>
    <t>T.11.3</t>
  </si>
  <si>
    <t>T.11.4</t>
  </si>
  <si>
    <t>T.11.5</t>
  </si>
  <si>
    <t>T.12</t>
  </si>
  <si>
    <t>4.5.12.1</t>
  </si>
  <si>
    <t>T.12.1</t>
  </si>
  <si>
    <t>4.5.12.2</t>
  </si>
  <si>
    <t>4.5.12.3</t>
  </si>
  <si>
    <t>4.5.12.4</t>
  </si>
  <si>
    <t>4.5.12.5</t>
  </si>
  <si>
    <t>T.12.2</t>
  </si>
  <si>
    <t>T.12.3</t>
  </si>
  <si>
    <t>T.12.4</t>
  </si>
  <si>
    <t>T.12.5</t>
  </si>
  <si>
    <t>T.13</t>
  </si>
  <si>
    <t>4.5.13.1</t>
  </si>
  <si>
    <t>T.13.1</t>
  </si>
  <si>
    <t>4.5.13.2</t>
  </si>
  <si>
    <t>4.5.13.3</t>
  </si>
  <si>
    <t>4.5.13.4</t>
  </si>
  <si>
    <t>T.13.2</t>
  </si>
  <si>
    <t>T.13.3</t>
  </si>
  <si>
    <t>T.13.4</t>
  </si>
  <si>
    <t>T.14</t>
  </si>
  <si>
    <t>4.5.14</t>
  </si>
  <si>
    <t>4.5.14.1</t>
  </si>
  <si>
    <t>T.14.1</t>
  </si>
  <si>
    <t>Komponenteneigenschaften analysieren</t>
  </si>
  <si>
    <t>Programme, Projekte oder Ideen identifizieren, die in das Portfolio aufgenommen werden könnten</t>
  </si>
  <si>
    <t>Komponenten anhand der Programmprioritäten priorisieren</t>
  </si>
  <si>
    <t>Zukünftige Programmleistung analysieren und prognostizieren</t>
  </si>
  <si>
    <t>Programme und Projekte anhand der Portfolioprioritäten priorisieren</t>
  </si>
  <si>
    <t>Programmentscheidungen vorbereiten und herbeiführen</t>
  </si>
  <si>
    <t>Überblick über die Leistungen der Komponenten sicherstellen</t>
  </si>
  <si>
    <t>Zukünftige Portfolioleistung analysieren und prognostizieren</t>
  </si>
  <si>
    <t>Portfolioentscheidungen vorbereiten und herbeiführen</t>
  </si>
  <si>
    <t>T.14.2</t>
  </si>
  <si>
    <t>T.14.3</t>
  </si>
  <si>
    <t>T.14.4</t>
  </si>
  <si>
    <t>T.14.5</t>
  </si>
  <si>
    <t>T.14.6</t>
  </si>
  <si>
    <t>4.5.14.2</t>
  </si>
  <si>
    <t>4.5.14.3</t>
  </si>
  <si>
    <t>4.5.14.4</t>
  </si>
  <si>
    <t>4.5.14.5</t>
  </si>
  <si>
    <t>4.5.14.6</t>
  </si>
  <si>
    <t>Prüfungsbewertung</t>
  </si>
  <si>
    <t>Ergebnis</t>
  </si>
  <si>
    <t>Zusammenfassung der einzelnen Zertifizierungsschritte</t>
  </si>
  <si>
    <t>Bericht:</t>
  </si>
  <si>
    <t>Schriftliche Prüfung:</t>
  </si>
  <si>
    <t>FS- Simulationsworkshop</t>
  </si>
  <si>
    <t>KCIs bestanden</t>
  </si>
  <si>
    <t>Die Grundlagen des Portfoliomanagements und deren Einführung kennen und anwenden</t>
  </si>
  <si>
    <t>Die Grundlagen des Projektmanagements und deren Einführung kennen und anwenden</t>
  </si>
  <si>
    <t xml:space="preserve">Die Grundlagen des Programmmanagements und deren Einführung 
 kennen und anwenden </t>
  </si>
  <si>
    <t>4.3.2.2</t>
  </si>
  <si>
    <t>4.3.2.3</t>
  </si>
  <si>
    <t>K.2.6</t>
  </si>
  <si>
    <t>K.2.7</t>
  </si>
  <si>
    <t>Die Grundlagen des Projekt- und Programmmanagements und deren Einführung kennen und anwenden</t>
  </si>
  <si>
    <t>Das Portfolio mit den Entscheidungs- und Berichterstattungs- strukturen sowie den Qualitätsanforderungen der Organisation in Einklang bringen</t>
  </si>
  <si>
    <t>Die Grundlagen des Portfoliomanagements und deren Einführung kennen</t>
  </si>
  <si>
    <t>Die Grundlagen des Programmmanagements und deren Einführung kennen</t>
  </si>
  <si>
    <t>Know the principles of programme management and the way they are implemented and apply</t>
  </si>
  <si>
    <t>Know and apply the principles of project management and the way they are implemented</t>
  </si>
  <si>
    <t>Align the programme with the project supporting function</t>
  </si>
  <si>
    <t>Align the programme with the organization's decision-making, reporting structures, and quality requirements</t>
  </si>
  <si>
    <t>Align the programme with human resource processes and functions</t>
  </si>
  <si>
    <t>Align the programme with finance and control processes and functions</t>
  </si>
  <si>
    <t>Identify, and ensure that the programme and each component within it complies with all relevant legislation</t>
  </si>
  <si>
    <t>Identify, and ensure that the programme and each component complies with all relevant health, safety, security, and environmental regulations (HSSE)</t>
  </si>
  <si>
    <t>Identify, and ensure that the programme and each component within it complies with all relevant codes of conduct and professional regulation</t>
  </si>
  <si>
    <t>Identify, and ensure that the programme complies with relevant sustainability principles and objectives</t>
  </si>
  <si>
    <t>Assess, use, and develop professional standards and tools for the programme</t>
  </si>
  <si>
    <t>Assess, benchmark, and improve the organization's programme management competence</t>
  </si>
  <si>
    <t>Assess the personal ambitions and interests of others and the potential impact of these on the programme</t>
  </si>
  <si>
    <t>Assess the informal influence of individuals and groups and its potential impact on the programme</t>
  </si>
  <si>
    <t>Assess the personalities and working styles of others and employ them to the benefit of the programme</t>
  </si>
  <si>
    <t>Assess the culture and values of society and their implications for the programme</t>
  </si>
  <si>
    <t>Align the programme with the formal culture and corporate values of the coordinating organizations</t>
  </si>
  <si>
    <t xml:space="preserve">Assess the implications of informal culture and values of the coordinating </t>
  </si>
  <si>
    <t>Identify and reflect on, the ways in which one's own values and experiences affect the work</t>
  </si>
  <si>
    <t>Identify and reflect on personal motivations to set personal goals and keep focus</t>
  </si>
  <si>
    <t>Organize personal work depending on the situation and own resources</t>
  </si>
  <si>
    <t>Bestehensgrenze:</t>
  </si>
  <si>
    <t>Universal language</t>
  </si>
  <si>
    <t>Bestanden</t>
  </si>
  <si>
    <t>Not yet passed</t>
  </si>
  <si>
    <t>Noch nicht best.</t>
  </si>
  <si>
    <t>Enter exam paper variant name and number of KCIs</t>
  </si>
  <si>
    <t>Bitte geben Sie die Prüfungsvariante und Anzahl der enth. KCI an.</t>
  </si>
  <si>
    <t xml:space="preserve">Overall result: </t>
  </si>
  <si>
    <t xml:space="preserve">Gesamt Ergebnis: </t>
  </si>
  <si>
    <t>geänderter
pers. Einsatz %</t>
  </si>
  <si>
    <t>modified pers. assignment %</t>
  </si>
  <si>
    <t xml:space="preserve">Report Evaluation Feedback for </t>
  </si>
  <si>
    <t xml:space="preserve">Report Feedback für </t>
  </si>
  <si>
    <t>PM ZERT</t>
  </si>
  <si>
    <t xml:space="preserve">by </t>
  </si>
  <si>
    <t xml:space="preserve">von </t>
  </si>
  <si>
    <t>Feedback Remark</t>
  </si>
  <si>
    <t>Score</t>
  </si>
  <si>
    <t>Feedback Kommentar</t>
  </si>
  <si>
    <t>Level BAS mode</t>
  </si>
  <si>
    <t>Bewertung für Basis Zertifikat</t>
  </si>
  <si>
    <t>Scoring for Basic Certificate</t>
  </si>
  <si>
    <t>Level D Scoring &amp; BAS Scoring</t>
  </si>
  <si>
    <t>Not applicable</t>
  </si>
  <si>
    <t>Nicht relevant</t>
  </si>
  <si>
    <t>Scoring for all Certification Elements</t>
  </si>
  <si>
    <t>Bewertung aller Zertifizierungselemente</t>
  </si>
  <si>
    <t>Individuelle Bestehensgrenze</t>
  </si>
  <si>
    <t>BAS-1</t>
  </si>
  <si>
    <t>BAS-2</t>
  </si>
  <si>
    <t>Max. mögl. PM-Erfahrung mit angeg. PT-Budget [%]</t>
  </si>
  <si>
    <t>Diff. zwischen angegeb. und verfügb. PM-Erfahrung</t>
  </si>
  <si>
    <t>angeg. Gesamt- aufwand [PT]</t>
  </si>
  <si>
    <t>Agile Drop Down</t>
  </si>
  <si>
    <t>Agile</t>
  </si>
  <si>
    <t>Agile Anteil</t>
  </si>
  <si>
    <t>Agile Share</t>
  </si>
  <si>
    <t>Summary of Achievements</t>
  </si>
  <si>
    <t>Zusammenfassung der erreichten Leistungen</t>
  </si>
  <si>
    <t>Pass</t>
  </si>
  <si>
    <t>Re-cert credit (hours)</t>
  </si>
  <si>
    <t>Anrechenbar auf Re-Zert (Stunden)</t>
  </si>
  <si>
    <t>manually edited</t>
  </si>
  <si>
    <t>manuell angepasst</t>
  </si>
  <si>
    <t>Continuous Professional Development: Learning</t>
  </si>
  <si>
    <t>Professionelle Weiterbildung: Lernen</t>
  </si>
  <si>
    <t>Remote Learning Review</t>
  </si>
  <si>
    <t>Review of Remote / Online / Self Study Courses</t>
  </si>
  <si>
    <t>Beschreibung von Fern- / Online- / Selbststudiumskursen</t>
  </si>
  <si>
    <t>Literature Review Review</t>
  </si>
  <si>
    <t>Literature Review</t>
  </si>
  <si>
    <t>Literaturkonspekt</t>
  </si>
  <si>
    <t>Continuous Professional Development: Teaching Others</t>
  </si>
  <si>
    <t>Professionelle Weiterbildung: Lehren und Anderen Erfahrung vermitteln</t>
  </si>
  <si>
    <t>Zert-Runde</t>
  </si>
  <si>
    <t>Level / Zertifikant:</t>
  </si>
  <si>
    <t>KCI Nr.</t>
  </si>
  <si>
    <t>Bloomstufe
  C         B</t>
  </si>
  <si>
    <t>KCI</t>
  </si>
  <si>
    <t>Meine
Bewertung</t>
  </si>
  <si>
    <t>Begründung für den Kandidaten</t>
  </si>
  <si>
    <t>Eigene Kommentare
 (freies Format)</t>
  </si>
  <si>
    <t>Inhalt</t>
  </si>
  <si>
    <t>Anzahl Wahlelemente</t>
  </si>
  <si>
    <t>Anzahl Plichtelemente</t>
  </si>
  <si>
    <t>Zwischen-summe</t>
  </si>
  <si>
    <t>Meine Kommentare zu den Kriterien</t>
  </si>
  <si>
    <t>2</t>
  </si>
  <si>
    <t>4</t>
  </si>
  <si>
    <t>• Spiegelt die Mission und die Vision der Organisation wider
• Bringt die Projektziele mit der Strategie in Einklang (Top-down)
• Kontrolliert, ob die Ziele und der Nutzen des Projekts mit der Strategie übereinstimmen
• Entwickelt und führt Messgrößen zur strategischen Angleichung
ein, z. B. kritische Erfolgsfaktoren, Leistungsindikatoren
• Überprüft, ob das Projekt der Organisation Nutzen bringt</t>
  </si>
  <si>
    <t>3</t>
  </si>
  <si>
    <t>• Kennt den Prozess der Strategiefindung
• Identifiziert neue Chancen und Risiken, die die Strategie verändern könnten
• Motiviert Dritte, die Strategie der Organisation zu hinterfragen
• Identifiziert strategische Verbesserungen
• Beeinflusst den Strategieentwicklungsprozess durch Vorschläge zur Veränderung der Strategie</t>
  </si>
  <si>
    <t>• Reflektiert und definiert die betriebswirtschaftlichen und / oder organisationalen Gründe, die zum Projekt geführt haben
• Identifiziert die benötigten Ziele, um den geplanten Nutzen zu erzielen
• Validiert und „verkauft“ die betriebswirtschaftlichen und / oder organisationalen Gründe, die zum Projekt geführt haben, gegenüber dem Projektauftraggeber und den weiteren Stakeholdern
• Beurteilt die Rechtfertigung des Projekts in einem höheren Kontext neu und validiert diese
• Definiert, überwacht und steuert die Projektkonfiguration (die integrale Vollständigkeit sowie die Funktionsweise der Projektorganisation)
• Wendet Nutzenrealisierungsmanagement an, um zu prüfen, ob die Projektkonfiguration zu den gewünschten Ergebnissen führt
• Analysiert, ob das Projekt aufgrund von Redundanz oder obsoleter strategischer Bedeutung und veränderter Konfiguration vorzeitig beendet werden muss</t>
  </si>
  <si>
    <t>• Entwickelt und / oder leitet eine Reihe kritischer Erfolgsfaktoren (KEF) für die strategischen Ziele ab
• Nutzt formelle KEF für die strategische Angleichung, ermittelt aber auch ihren informellen Kontext
• Bezieht die MitarbeiterInnen bei der Entwicklung der KEF und unter Berücksichtigung der Strategie der Organisation mit ein
• Verwendet die KEF für die strategische Ausrichtung des Projekts oder für Teile des Projekts
• Verwendet die KEF für das Stakeholdermanagement
• Verwendet die KEF für die Entwicklung von Anreizen und Anerkennungen sowie der Motivationskultur
• Beurteilt die Realisierung der KEF in einem höheren strategischen Kontext neu</t>
  </si>
  <si>
    <t>• Entwickelt und / oder leitet einen KPI oder eine Reihe von KPI für jeden kritischen Erfolgsfaktor ab
• Entscheidet bei der Entwicklung von KPI über den Einsatz von Früh-, Spät- und Echtzeitindikatoren
• Verwendet KPI für das Management der strategischen Leistung
• Verwendet KPI zur Einflussnahme auf Stakeholder
• Verwendet KPI für die Entwicklung persönlicher Entwicklungspläne
• Verwendet KPI für die Entwicklung eines Anreiz- / Anerkennungssystems
• Beurteilt die Projektkonfiguration durch den Einsatz von KPI und die Durchführung von Nutzenrealisierungsmanagement neu</t>
  </si>
  <si>
    <t>4.3.2.1.</t>
  </si>
  <si>
    <t>Die Grundlagen des Projektmanagements und deren Einführung kennen</t>
  </si>
  <si>
    <t xml:space="preserve">•Erkennt ein Projekt in der Praxis und verfügt über Kenntnisse der Projektmanagement-Grundlagen
•Erklärt die Eigenschaften einer funktionalen, projekt- und matrixorientierten Organisation und erkennt diese in der Praxis 
•Erklärt das Konzept des Management by Projects und setzt es in der Praxis um 
•Erkennt das Konzept des Management by Projects in einer Organisation und führt dieses ein 
•Erkennt und erklärt den aktuellen Reifegrad einer Organisation </t>
  </si>
  <si>
    <t>4.3.2.2.</t>
  </si>
  <si>
    <t>• Erklärt die Merkmale eines Programms wie beispielsweise Ziele, Inputs, Outputs, Ergebnis und Nutzen
• Erklärt das Konzept des Programmmanagements (Abhängigkeiten zwischen im Programm enthaltenen Projekten, Organisationsstrukturen des Programms, vertikale und horizontale Kommunikation)</t>
  </si>
  <si>
    <t>4.3.2.3.</t>
  </si>
  <si>
    <t>• Erklärt die Merkmale eines Portfolios wie kritische Erfolgsfaktoren (KEF) und Leistungsindikatoren (KPI)
• Kennt das Konzept des Portfoliomanagements (Organisationsstrukturen und -prozesse)
• Kommuniziert erfolgreich innerhalb eines Portfolios, um ein Projekt erfolgreich zu managen</t>
  </si>
  <si>
    <t>4.3.2.4.</t>
  </si>
  <si>
    <t>• Kennt die MitarbeiterInnen, Prozesse und Dienstleistungen der Supportfunktionen in der Stammorganisation
• Nutzt die Supportfunktionen der Stammorganisation für das Projekt, um für das Projekt effizienten Support zu erhalten
• Baut gute Beziehungen zu den für das Projekt Support bietenden Personen auf und pflegt diese
• Harmonisiert die Standards des Berichtswesens der Stammorganisation mit dem Projekt und
den Supportfunktionen und nutzt dafür bestimmte Tools und Methoden</t>
  </si>
  <si>
    <t>4.3.2.5.</t>
  </si>
  <si>
    <t xml:space="preserve">• Identifiziert die Standardabläufe der Organisation und die Regeln der Entscheidungsfindung für alle Fälle, die über die eigenen Kompetenzen und Verantwortlichkeiten hinausgehen Stimmt die Kommunikation im Projekt mit den Bedürfnissen der Stammorganisation ab 
• Wendet die Standards des Berichtswesens der Stammorganisation im Projekt an und nutzt die dafür vorgesehenen Tools und Methoden 
• Wendet die Qualitätssicherungsstandards der Stammorganisation beim Aufbau des Berichtswesens an </t>
  </si>
  <si>
    <t>4.3.2.6.</t>
  </si>
  <si>
    <t>Das Projekt mit den Prozessen und Funktionen des HR (Personalwesens) in Einklang bringen.</t>
  </si>
  <si>
    <t>• Nutzt HR für die Rekrutierung von Personal mit den benötigten Kompetenzen
• Geht bewusst mit der Abgrenzung zwischen der temporären Organisation und dem HR um
• Baut gute Beziehungen zum HR auf und pflegt diese
• Nutzt die Prozesse des HR, um Schulung und individuelle Entwicklung zu ermöglichen</t>
  </si>
  <si>
    <t>4.3.2.7.</t>
  </si>
  <si>
    <t>• Kennt die Prozesse der Finanz- und Controllingfunktionen
• Setzt verpflichtende und / oder optionale Instrumente der Finanzen und des Controllings situationsgerecht ein
• Überwacht und steuert den effektiven und effizienten Einsatz von Regeln, Richtlinien, Prozessen und Werkzeugen zum Vorteil des Projekts
• Kommuniziert und berichtet den Finanzstatus und Trends klar und objektiv</t>
  </si>
  <si>
    <t>4.3.3.1.</t>
  </si>
  <si>
    <t>Die für das Projekt gültigen Rechtsvorschriften identifizieren und einhalten</t>
  </si>
  <si>
    <t>• Erkennt den rechtlichen Kontext und dessen Anwendungen an
• Filtert und wendet die relevanten Rechtsvorschriften an
• Identifiziert rechtliche Risiken für das Projekt und holt bei Bedarf die Meinung von Experten ein
• Erkennt Aufsichts- und Regulierungsbehörden als Stakeholder an und managt diese entsprechend
• Stimmt die Beschaffungswege mit den Vorschriften ab</t>
  </si>
  <si>
    <t>Gesetze? Bilaterale (vertragliche) Vereinbarungen/Regelungen zählen nicht.</t>
  </si>
  <si>
    <t>4.3.3.2.</t>
  </si>
  <si>
    <t>• Identifiziert die relevanten SGU-Vorschriften für das Projekt
• Definiert den SGU-Kontext für das Projekt
• Identifiziert Risiken, die durch die Implementierung der SGU-Maßnahmen für das Projekt entstehen
• Schafft eine sichere und gesunde Umgebung für das Projektteam
• Wendet die relevanten SGU-Vorschriften zur Sicherstellung der Nachhaltigkeit des Projekts an</t>
  </si>
  <si>
    <t>4.3.3.3.</t>
  </si>
  <si>
    <t>• Kennt die jeweiligen geschäftlichen Verhaltensregeln
• Kennt die fachlichen Vorschriften der jeweiligen Branche
• Identifiziert Ethikgrundsätze und handelt dementsprechend
• Identifiziert und wendet auch handelsübliches, nicht kodifiziertes Recht an
• Stimmt die Praktiken der Auftragsvergabe mit den geschäftlichen Verhaltenskodizes ab
• Verhindert präventiv Verstöße gegen die Verhaltensregeln, insbesondere durch die Mitglieder des Projektteams</t>
  </si>
  <si>
    <t>4.3.3.4.</t>
  </si>
  <si>
    <t>• Identifiziert die sozialen und ökologischen Auswirkungen des Projekts
• Definiert und kommuniziert die Nachhaltigkeitsziele für das Projekt und seine Ergebnisse
• Stimmt die Projektziele mit der Nachhaltigkeitsstrategie der Organisation ab
• Stellt im Projekt ein Gleichgewicht zwischen den Anforderungen der Gesellschaft, der Umwelt und der Wirtschaft her
• Fördert die Entwicklung und Verbreitung umweltfreundlicher Technologien</t>
  </si>
  <si>
    <t>4.3.3.5.</t>
  </si>
  <si>
    <t xml:space="preserve">• Identifiziert und verwendet die relevanten beruflichen und fachlichen Standards und Tools Identifiziert die Besonderheiten eines Standards und / oder Tools und managt die Risiken, die aus deren Anwendung im Projekt entstehen 
• Identifiziert und nutzt good practice für das Management eines Projekts 
• Entwickelt und führt spezifische Standards für das Management des Projektteams ein </t>
  </si>
  <si>
    <t>4.3.3.6.</t>
  </si>
  <si>
    <t>• Identifiziert und bewertet relevante organisationale Kompetenzmängel im Management von Projekten
• Identifiziert und bestimmt relevante Benchmarks für die erkannten Kompetenzmängel
• Identifiziert die Benchmarking-Bezugsbasis und die Good Practices
• Misst und vergleicht die aktuelle Leistung mit der Good Practice
• Identifiziert Maßnahmen für die erforderlichen Verbesserungen
• Setzt die identifizierten Maßnahmen um und bewertet den entstandenen Nutzen
• Verbreitet das neu erworbene Know-how in der gesamten Organisation</t>
  </si>
  <si>
    <t>4.3.4.1.</t>
  </si>
  <si>
    <t>• Erkennt und beurteilt die persönlichen Ambitionen und Interessen relevanter Einzelpersonen oder Personengruppen
• Erkennt und beurteilt die Unterschiede zwischen persönlichen und organisationalen Interessen und Zielen</t>
  </si>
  <si>
    <t>4.3.4.2.</t>
  </si>
  <si>
    <t>• Erkennt und schätzt den Einfluss, die Macht und den Wirkungsbereich bestimmter Personen in verschiedenen Umgebungen ein
• Erkennt Gruppenzugehörigkeiten und Beziehungen zum Projekt</t>
  </si>
  <si>
    <t>4.3.4.3.</t>
  </si>
  <si>
    <t>• Identifiziert und erkennt die Unterschiede zwischen Verhaltensweise und Persönlichkeit 
• Identifiziert und erkennt die Unterschiede zwischen kulturellen Aspekten und Persönlichkeit</t>
  </si>
  <si>
    <t>• Kennt und berücksichtigt die kulturellen Werte, Normen und Anforderungen einer Gesellschaft
• Kennt, berücksichtigt und versteht die Auswirkungen kultureller Werte, Normen und Anforderungen auf das Projekt
• Arbeitet gemäß der kulturellen Anforderungen und Werte der Gesellschaft, ohne dabei die eigenen Werte aufs Spiel zu setzen</t>
  </si>
  <si>
    <t>• Erkennt und respektiert die formellen Normen und Anforderungen der Organisation
• Kennt die Werte und die Mission der Organisation und wendet sie entsprechend an
• Kennt die Qualitätspolitik der Organisation und wendet sie entsprechend an
• Erkennt die Auswirkungen der formellen Normen, Anforderungen, Werte, Mission und Qualitätspolitik der Organisation auf das Projekt
• Handelt nachhaltig durch Ausübung der sozialen Verantwortung der Organisation</t>
  </si>
  <si>
    <t>• Erkennt, analysiert und respektiert die informelle Kultur und die Werte der Organisation 
• Identifiziert die Auswirkungen der informellen Kultur und der Werte der Organisation auf das Projekt und arbeitet im Einklang mit den informellen Werten und Normen der Organisation</t>
  </si>
  <si>
    <t>Selbstreflexion und -management</t>
  </si>
  <si>
    <t>• Reflektiert die eigenen Werte
• Nutzt die eigenen Werte und Ideale in Entscheidungsprozessen
• Kommuniziert die eigenen Prinzipien und persönlichen Bedürfnisse
• Formuliert und diskutiert die eigene Erfahrung
• Relativiert die eigene Erfahrung im jeweils relevanten Kontext
• Nutzt die eigene Erfahrung, um Hypothesen über Menschen und Situationen aufzustellen</t>
  </si>
  <si>
    <t>1</t>
  </si>
  <si>
    <t>• Identifiziert die eigenen Stärken, Talente, Grenzen und Schwächen
• Setzt die eigenen Stärken, Talente und Leidenschaften wirksam ein
• Identifiziert Möglichkeiten zur Überwindung persönlicher Schwächen und Einschränkungen
• Erhält auch in Stresssituationen die Kommunikation aufrecht
• Akzeptiert Rückschläge, ohne dabei das Selbstvertrauen zu verlieren</t>
  </si>
  <si>
    <t>• Zeigt Kenntnis der eigenen Motivation
• Setzt persönliche und berufliche Ziele und Prioritäten
• Wählt Aktivitäten aus, die zu den persönlichen Zielen beitragen
• Benennt persönliche Ablenkungsmuster
• Reflektiert sich selber regelmäßig, um den Fokus auf die Ziele aufrecht zu erhalten
• Liefert persönliche Commitments rechtzeitig
• Konzentriert sich trotz Ablenkungen oder Unterbrechungen auf die Aufgaben
• Gibt sich selbst die Richtung vor oder sucht in unsicheren Situationen nach Klärung</t>
  </si>
  <si>
    <t>• Plant und erfasst die eigene Arbeitszeit
• Priorisiert konkurrierende Anforderungen
• Sagt „nein“, wenn es der Situation angemessen ist
• Setzt Ressourcen ein, um die Lieferergebnisse zu maximieren
• Passt die sprachliche Ausdrucksweise der Situation an
• Entwickelt für die Situation angemessene Taktiken</t>
  </si>
  <si>
    <t>• Nutzt Fehler und schlechte Ergebnisse als Impuls für Lernaktivitäten
• Nutzt Feedback als Chance für die persönliche Entwicklung
• Sucht Beratung
• Misst die eigene Leistung
• Fokussiert sich auf die ständige Verbesserung der eigenen Arbeit und eigenen Kompetenzen</t>
  </si>
  <si>
    <t>Persönliche Integegrität und Verlässlichkeit</t>
  </si>
  <si>
    <t>• Kennt und reflektiert die eigenen Werte
• Nutzt eigene Werte und Ideale, um Entscheidungen zu gestalten
• Kommuniziert die eigenen Prinzipien</t>
  </si>
  <si>
    <t>• Thematisiert Nachhaltigkeitsaspekte bei Lösungen proaktiv
• Berücksichtigt und bezieht langfristige Ergebnisse in die Lösung mit ein</t>
  </si>
  <si>
    <t>• Übernimmt die volle Verantwortung für die eigenen Entscheidungen und Handlungen
• Übernimmt sowohl für positive als auch für negative Ergebnisse die Verantwortung
• Trifft Entscheidungen und hält Vereinbarungen ein
• Arbeitet an persönlichen Defiziten, die dem Erfolg im Weg stehen</t>
  </si>
  <si>
    <t>• Zeigt Übereinstimmung von Worten und Taten
• Verwendet ähnliche Ansätze zur Lösung ähnlicher Probleme
• Passt das persönliche Verhalten dem Kontext der Situation an</t>
  </si>
  <si>
    <t>• Erledigt Arbeitsaufträge sorgfältig und gründlich
• Erwirbt sich Vertrauen durch das termingerechte Abliefern vollständiger und genauer Arbeit</t>
  </si>
  <si>
    <t>5</t>
  </si>
  <si>
    <t>• Strukturiert Informationen abhängig von der Zielgruppe und der Situation logisch
• Verwendet in der Kommunikation passende Bilder, Geschichten, Metaphern o. ä.
• Verwendet eine leicht verständliche Sprache
• Setzt öffentliche Reden und Präsentationen sinnvoll ein
• Führt Coachings und Schulungen durch
• Leitet und moderiert Besprechungen
• Nutzt Visualisierung, Körpersprache und Intonation, um Botschaften zu unterstützen und zu betonen</t>
  </si>
  <si>
    <t>• Schafft eine offene und respektvolle Atmosphäre
• Hört aktiv und geduldig zu, bestätigt, was gehört wurde, wiederholt das Gehörte in eigenen Worten und stellt sicher, dass es richtig verstanden wird
• Unterbricht nicht und fängt nicht zu sprechen an, während andere reden
• Ist offen und zeigt ernsthaftes Interesse an neuen Ideen
• Bestätigt, dass die Botschaft / Information verstanden wurde oder bittet, wenn nötig, um Klärung, Beispiele und / oder Details
• Stellt klar, wann, wo und wie Ideen, Emotionen und Meinungen willkommen sind
• Stellt klar, wie mit Ideen und Meinungen umgegangen wird</t>
  </si>
  <si>
    <t>• Wählt geeignete Kommunikationsarten und -kanäle abhängig von der Zielgruppe aus
• Kommuniziert entsprechend
• Überwacht und steuert die Kommunikation
• Verändert die Kommunikationsarten und -kanäle, abhängig von der jeweiligen Situation</t>
  </si>
  <si>
    <t>6</t>
  </si>
  <si>
    <t>• Nutzt moderne Kommunikationstechnologie wie beispielweise Webinare, Telekonferenzen, Chats oder Cloud-Computing
• Definiert eindeutige Kommunikationsprozesse und -verfahren und erhält diese aufrecht
• Fördert den Zusammenhalt und die Teambildung</t>
  </si>
  <si>
    <t>• Wechselt den Blickwinkel in der Kommunikation 
• Reduziert Spannungen durch den Einsatz von Humor</t>
  </si>
  <si>
    <t>• Sucht aktiv nach Möglichkeiten und Situationen, um neue Kontakte zu knüpfen
• Zeigt Interesse daran, neue Menschen kennenzulernen
• Setzt Humor kulturspezifisch ein, um das Eis zu brechen
• Ist präsent, verfügbar und offen für Dialoge
• Bleibt aktiv in Kontakt, baut eine Routine für gegenseitige Treffen auf
• Hält andere auf dem Laufenden</t>
  </si>
  <si>
    <t xml:space="preserve"> • Nimmt an sozialen Netzwerken teil und leistet eigene Beiträge
• Schafft und moderiert soziale Netzwerke
• Organisiert Ereignisse für das Networking
• Unterstützt Networking</t>
  </si>
  <si>
    <t>• Hört aktiv zu
• Gibt anderen das Gefühl, gehört zu werden
• Stellt klärende Fragen
• Bezieht sich auf die Probleme anderer und bietet Hilfe an
• Macht sich mit den Werten und Standards anderer vertraut
• Reagiert angemessen und zeitnah</t>
  </si>
  <si>
    <t>• Verlässt sich auch auf mündliche Zusagen
• Weist den Teammitgliedern Aufgaben auf der Basis von Vertrauen zu
• Erwartet von anderen, dass sie entsprechend der gemein-
samen Werte und Vereinbarungen handeln
• Delegiert Arbeit, ohne jeden einzelnen Schritt zu überwachen und zu kontrollieren
• Fragt andere nach ihren Ideen, Wünschen und Sorgen
• Erkennt und respektiert Unterschiede zwischen Menschen
• Begrüßt die Bedeutung der beruflichen und persönlichen Vielfalt</t>
  </si>
  <si>
    <t>WIE?</t>
  </si>
  <si>
    <t xml:space="preserve">• Denkt positiv und verhält sich entsprechend
• Kommuniziert Vision, Ziele und Ergebnisse klar und eindeutig
• Lädt zur Diskussion und Kritik an Vision, den Zielen und Ergebnissen ein
• Beteiligt andere an Planung und an Entscheidungsprozessen
• Fordert Commitment ein
• Nimmt Beiträge der einzelnen Personen ernst
• Sorgt für ein gemeinsames Commitment aller, um den Erfolg sicher zu stellen
 </t>
  </si>
  <si>
    <t>• Schlägt Handlungen vor oder führt diese aus
• Bietet unaufgefordert Hilfe oder Ratschläge an
• Denkt und handelt zukunftsorientiert, d. h. denkt einen Schritt voraus
• Wägt Initiative und Risiko ab</t>
  </si>
  <si>
    <t>• Lebt Verantwortung und Engagement in Verhalten, Ausdrucksweise und Haltung vor
• Spricht positiv über das Projekt
• Zieht andere mit und erzeugt Enthusiasmus für das Projekt
• Legt Messgrößen und Leistungsindikatoren fest
• Sucht nach Möglichkeiten zur Verbesserung der Projektprozesse
• Fördert Lernen</t>
  </si>
  <si>
    <t>• Bietet Orientierung für Personen und Teams an
• Coacht und bietet Mentoring für Teammitglieder an, um deren Kompetenzen weiterzuentwickeln
• Entwickelt Vision und Werte und führt gemäß diesen Prinzipien
• Stimmt die individuellen Ziele mit den gemeinsamen Zielen ab und beschreibt, wie diese erreicht werden können</t>
  </si>
  <si>
    <t>• Setzt unterschiedliche Arten von Einfluss und Macht ein
• Setzt Einfluss und / oder Macht rechtzeitig ein
• Wird von den Stakeholdern als LeiterIn des Projekts oder Teams wahrgenommen</t>
  </si>
  <si>
    <t>• Geht angemessen mit Unsicherheit um
• Fordert rechtzeitig und auf angemessene Weise zur Meinungsäußerung und Diskussion auf, bevor Entscheidungen getroffen werden
• Erklärt die Gründe für Entscheidungen
• Beeinflusst Entscheidungen von Stakeholdern durch das Anbieten von Analysen und Interpretationen
• Kommuniziert Entscheidung und Absicht klar
• Überprüft und verändert Entscheidungen aufgrund neuer Fakten
• Reflektiert frühere Situationen, um die Entscheidungsprozesse zu verbessern</t>
  </si>
  <si>
    <t>• Berücksichtigt individuelle Kompetenzen, Stärken, Schwächen und Motivation bei der Entscheidung über Aufnahme ins Team, Rollen und Aufgaben im Team
• Verdeutlicht Ziele und schafft eine gemeinsame Vision
• Legt Teamziele, Agenda und Fertigstellungskriterien fest
• Verhandelt gemeinsame Normen und Regeln für das Team
• Motiviert die Einzelnen und schafft ein Teambewusstsein</t>
  </si>
  <si>
    <t>• Schafft Gelegenheiten für Diskussionen unter den Teammitgliedern
• Fragt nach Meinungen, Vorschlägen und Bedenken der Teammitglieder, um die Leistung zu verbessern
• Teilt Erfolge mit dem / n Team(s)
• Fördert die Zusammenarbeit mit Menschen innerhalb und außerhalb des Teams
• Ergreift angemessene Maßnahmen, wenn die Zusammenarbeit im Team gefährdet ist
• Verwendet Tools für die Zusammenarbeit</t>
  </si>
  <si>
    <t>• Fördert kontinuierliches Lernen und das Teilen von Wissen
• Nutzt Techniken zur Förderung der Entwicklung des Teams und der Teammitglieder
• Bietet Möglichkeiten für Seminare und Workshops an (inner- und außerbetrieblich)
• Plant und fördert Veranstaltungen zu „Lessons Learned“
• Stellt den Teammitgliedern Zeit und Gelegenheit zur Selbstverwirklichung zur Verfügung
• Fördert kontinuierliches Lernen und das Teilen von Wissen
• Nutzt Techniken zur Förderung der Entwicklung des Teams und der Teammitglieder
• Bietet Möglichkeiten für Seminare und Workshops an (inner- und außerbetrieblich)
• Plant und fördert Veranstaltungen zu „Lessons Learned“
• Stellt den Teammitgliedern Zeit und Gelegenheit zur Selbstverwirklichung zur Verfügung</t>
  </si>
  <si>
    <t>Weiterbildung zählt hier nicht, es geht um TEAMentwicklung</t>
  </si>
  <si>
    <t xml:space="preserve">• 	Delegiert Aufgaben, wenn und wo dies angemessen ist 
• 	Empowert Einzelpersonen und Teams durch Delegieren von Verantwortung 
•	 Erläutert Leistungskriterien und -erwartungen 
• 	Stellt Berichtsstrukturen auf Teamebene bereit 
• 	Führt Feedback-Runden auf individueller und Teamebene durch </t>
  </si>
  <si>
    <t xml:space="preserve">• Vermeidet, soweit möglich, negative Auswirkungen von Fehlern auf den Projekterfolg
• Ist sich bewusst, dass Fehler passieren und akzeptiert, dass Menschen Fehler machen
• Geht mit Fehlern und deren Verursachern konstruktiv um
• Analysiert und diskutiert Fehler, um Verbesserungspotenziale in den Prozessen zu ermitteln
• Hilft den Teammitgliedern, aus ihren Fehlern zu lernen
 </t>
  </si>
  <si>
    <t>• Analysiert potenziell stressige Situationen
• Lässt konfliktäre Charaktere und Interessen in verschiedenen Aufgabenbereichen und / oder Teams arbeiten
• Delegiert konfliktanfällige Themen an die dafür geeigneten Personen
• Führt vorbeugende Maßnahmen ein
• Führt stressreduzierende Maßnahmen durch
• Reflektiert stressige Situationen im Team</t>
  </si>
  <si>
    <t>• Ordnet die jeweilige Situation einer Konfliktphase zu
• Analysiert die Ursachen für einen Konflikt oder eine Krise
• Analysiert potenzielle Auswirkungen eines Konflikts oder einer Krise
• Wählt aus verschiedenen Ansätzen für die Bewältigung von Konflikten oder Krisen aus</t>
  </si>
  <si>
    <t>• Spricht Themen offen an
• Schafft eine Atmosphäre für konstruktive Auseinandersetzungen
• Wählt aus und wendet die richtige Methode zur Bewältigung des Konflikts oder der Krise an
• Ergreift, wenn angemessen, Disziplinarmaßnahmen oder rechtliche Schritte</t>
  </si>
  <si>
    <t>• Stellt das Teamumfeld wieder her
• Motiviert das Team, den eigenen Anteil am Konflikt zu erkennen und daraus zu lernen
• Motiviert das Team, die eigene Rolle am Konflikt zu erkennen und daraus zu lernen
• Nutzt Konflikte in einer positiven Art, um sich weiterzuentwickeln
• Stärkt den Zusammenhalt im Team und die Stabilität gegenüber potenziellen zukünftigen Konflikten und Krisen</t>
  </si>
  <si>
    <t>• Ermutigt Menschen, ihr Wissen weiterzugeben und ihre Meinung zu äußern
• Fördert und unterstützt Kreativität, wenn angemessen
• Nutzt und fördert originelle und einfallsreiche Wege zur Überwindung von Hindernissen
• Holt Meinungen von Anderen ein und zeigt den Willen, ihre Ideen zu berücksichtigen und / oder zu übernehmen
• Berücksichtigt die Sichtweisen von Anderen</t>
  </si>
  <si>
    <t>• Nutzt und fördert konzeptionelles Denken
• Ist sich bewusst, dass Probleme oft mehrere Ursachen und Lösungen, mehrere Auswirkungen haben
• Wendet systemisches Denken an</t>
  </si>
  <si>
    <t>• Wendet unterschiedliche Analysetechniken an
• Analysiert Probleme, um Ursachen und mögliche Lösungen zu finden
• Analysiert komplexe Daten und extrahiert daraus relevante Informationen
• Berichtet und präsentiert Schlussfolgerungen, Zusammenfassungen und Trends von Daten klar und verständlich</t>
  </si>
  <si>
    <t>Welche Techniken konkret?</t>
  </si>
  <si>
    <t>• Nutzt Kreativitätstechniken
• Wendet divergierende Techniken an
• Wendet konvergierende Techniken an
• Bezieht unterschiedliche Sichtweisen und Kompetenzen mit ein
• Identifiziert Abhängigkeiten</t>
  </si>
  <si>
    <t>• Zeigt ganzheitliches Denken und kann Zusammenhänge, das „big picture“, erklären
• Nutzt unterschiedliche Perspektiven, um die aktuelle Situation zu analysieren und mit ihr umzugehen
• Stellt Verbindungen zwischen dem Projekt und seinem größeren Zusammenhang her</t>
  </si>
  <si>
    <t>• Kennt und reflektiert die eigenen Interessen, Bedürfnisse und Zwänge
• Sammelt und dokumentiert relevante harte und weiche Fakten zu den Interessen, Bedürfnissen und Erwartungen aller beteiligten Parteien
• Analysiert und dokumentiert verfügbare Informationen, um die eigenen Prioritäten sowie wahrscheinliche Prioritäten anderer beteiligter Parteien zu identifizieren</t>
  </si>
  <si>
    <t>• Identifiziert Kompromisse, Optionen und alternative Lösungen auf Basis der Analyse der Interessen, Bedürfnisse und Prioritäten aller beteiligter Parteien
• Schlägt die richtige Option zum richtigen Zeitpunkt in der richtigen Art und Weise vor</t>
  </si>
  <si>
    <t>• Identifiziert mögliche Verhandlungsstrategien, um das gewünschte Projektergebnis zu erzielen
• Identifiziert Nebenstrategien und alternative Optionen, um „Was wäre wenn“-Szenarien anzugehen
• Entscheidet sich für eine Verhandlungsstrategie und erklärt, warum diese gewählt wurde
• Analysiert und wählt Verhandlungstechniken und -taktiken, um die gewünschte Verhandlungsstrategie zu unterstützen
• Identifiziert die Schlüsselparteien, die an den Verhandlungen teilnehmen und artikuliert deren Mandat deutlich</t>
  </si>
  <si>
    <t>• Setzt in Verhandlungen Techniken und Taktiken ein, die den jeweiligen Umständen angemessen sind, um das gewünschte Ergebnis zu erzielen
• Verhandelt, um eine nachhaltige Einigung zu erreichen
• Beweist Geduld und Engagement, um eine nachhaltige Einigung zu erreichen
• Wählt die beste gemeinsame Alternativoption (BATNA) aus, wenn das Erreichen einer nachhaltigen Einigung nicht möglich ist
• Dokumentiert die Verhandlungsergebnisse</t>
  </si>
  <si>
    <t xml:space="preserve">• Sucht nach Möglichkeiten, um die vereinbarten Ergebnisse früher, besser und / oder günstiger zu liefern
• Wägt Alternativen zur aktuellen Situation und den Vereinbarungen ab
• Berücksichtigt den Einfluss von Alternativen auf die aktuellen Beziehungen
 </t>
  </si>
  <si>
    <t>• Betrachtet die Ziele und vereinbarten Ergebnisse des Projekts als federführend für alle Aktivitäten
• Formuliert eigene Ziele auf Basis der Projektziele und -ergebnisse
• Leitet die Strategie des Projekts von den Zielen ab
• Beurteilt alle Entscheidungen und Handlungen hinsichtlich ihres Einflusses auf den Projekterfolg</t>
  </si>
  <si>
    <t>Bedürfnisse und Mittel auf einander abstimmen, um Ergebnisse und Erfolge zu optimieren</t>
  </si>
  <si>
    <t>• Beurteilt und priorisiert die unterschiedlichen Bedürfnisse
• Erklärt, warum bestimmte Aktionen höher priorisiert werden
• Nutzt die Ergebnisorientierung als Mittel, um „nein“ zu sagen und zu erklären warum</t>
  </si>
  <si>
    <t>• Schirmt das Team vor ungewünschten Störungen ab
• Schafft gesunde, sichere und stabile Arbeitsbedingungen
• Definiert klar abgegrenzte und umsetzbare Arbeitspakete
• Stellt die erforderlichen Ressourcen und die erforderliche Infrastruktur zur Verfügung</t>
  </si>
  <si>
    <t>Das Projekt, seine Prozesse und Ergebnisse unterstützen und diese ‚verkaufen‘</t>
  </si>
  <si>
    <t>• Verteidigt und wirbt für die Ziele, Herangehensweise, Prozesse und vereinbarten Ergebnisse
• Sucht nach Möglichkeiten und Orten, das Projekt zu promoten
• Lädt andere ein, sich am Marketing für das Projekt zu beteiligen</t>
  </si>
  <si>
    <t xml:space="preserve">• Differenziert die Konzepte von Effizienz, Effektivität und Produktivität
• Plant und gewährleistet Effizienz, Effektivität und Produktivität
• Setzt Dinge um
• Fokussiert sich auf und realisiert kontinuierliche Verbesserungen
• Denkt in Lösungen, nicht in Problemen
• Überwindet Widerstände
• Erkennt Grenzen beim Erreichen der Ergebnisse und geht diese Defizite an
 </t>
  </si>
  <si>
    <t>4.5.1.1.</t>
  </si>
  <si>
    <t>• Identifiziert, klassifiziert, evaluiert und priorisiert die Einflüsse aus jeder der fünf Kontext-Kompetenzen, die für das Projekt erfolgsrelevant sind
• Erkennt und beurteilt sowohl formelle als auch informelle Einflusselemente
• Bewertet und priorisiert Erfolgskriterien aus jeder der fünf Kontext-Kompetenzen
• Erkennt und beurteilt sowohl formelle als auch informelle Erfolgskriterien
• Kennt und nutzt relevante Erfolgsfaktoren
• Beurteilt die Relevanz der Erfolgskriterien regelmäßig neu</t>
  </si>
  <si>
    <t>4.5.1.2.</t>
  </si>
  <si>
    <t>• Würdigt und sammelt Lessons Learned aus früheren Projekten
• Nutzt relevante Lessons Learned
• Kennt und nutzt Forschung und Benchmarking-Methoden für die Verbesserung der Projektleistung
• Identifiziert Lessons Learned aus dem Projekt und gibt diese an die Organisation weiter</t>
  </si>
  <si>
    <t>4.5.1.3.</t>
  </si>
  <si>
    <t>• Identifiziert den Komplexitätslevel des Projekts
• Erkennt Komplexitätstreiber
• Identifiziert und definiert den Einfluss bestimmter Prozesse, Rahmenbedingungen oder Ergebnisse auf die Komplexität
• Identifiziert und definiert den Einfluss bestimmter externer und interner Parameter auf die Komplexität
• Beurteilt und nutzt Maßnahmen zur Reduzierung der Komplexität</t>
  </si>
  <si>
    <t>4.5.1.4.</t>
  </si>
  <si>
    <t>• Bewertet und beurteilt verschiedene mögliche Projektmanagementansätze
• Wählt den Ansatz mit der größten Erfolgschance aus
• Erklärt und begründet den gewählten Ansatz und seine Beziehung zum Projekterfolg
• Erklärt die wesentlichen Auswirkungen des gewählten Ansatzes auf die Projektorganisation
• Erklärt die wesentlichen Auswirkungen des gewählten Ansatzes auf die Stammorganisation
• Evaluiert den gewählten Ansatz basierend auf kontextuellen und internen Entwicklungen in regelmäßigen Abständen neu
• Nimmt notwendige Änderungen am Ansatz vor und erklärt, warum diese durchgeführt wurden</t>
  </si>
  <si>
    <t>4.5.1.5.</t>
  </si>
  <si>
    <t>• Erstellt ein Konzept für die Projektdurchführung mit zugehörigen Ergebnissen
• Legt die Geschäftsregeln und die Steuerungsphilosophie fest
• Überwacht das Projekt anhand des Konzepts
• Aktualisiert das Konzept auf Grundlage von Veränderungen</t>
  </si>
  <si>
    <t>4.5.2.1.</t>
  </si>
  <si>
    <t>• Stellt eine Beziehung zwischen den Zielen der Organisation und des Projekts her
• Stellt eine Beziehung zwischen den strategischen und operativen Zielen des Projekts her
• Definiert eine Zielhierarchie für das Projekt
• Erklärt die Relevanz und den Inhalt der Zielhierarchie</t>
  </si>
  <si>
    <t>4.5.2.2.</t>
  </si>
  <si>
    <t>• Kennt den Unterschied zwischen Bedürfnissen, Erwartungen und Anforderungen
• Identifiziert und dokumentiert die Bedürfnisse und Anforderungen der Stakeholder
• Baut Strukturen auf, um Arbeitsergebnisse zu den Anforderungen zurückverfolgen zu können
• Analysiert die Bedürfnisse und Anforderungen der Stakeholder</t>
  </si>
  <si>
    <t>4.5.2.3.</t>
  </si>
  <si>
    <t>• Priorisiert die Bedürfnisse und Anforderungen der Stakeholder
• Dokumentiert und vereinbart die Bedürfnisse und Anforderungen der Stakeholder
• Unterstützt und überwacht die Übersetzung der Anforderungen in Abnahmekriterien</t>
  </si>
  <si>
    <t>Leistungsumfang und Lieferobjekte</t>
  </si>
  <si>
    <t>4.5.3.1.</t>
  </si>
  <si>
    <t>• Definiert die Lieferobjekte
• Kennt und erklärt den Unterschied zwischen Zielen und Lieferobjekten
• Ordnet die Ziele den dazugehörigen Lieferobjekten zu
• Kennt und wendet die Zielhierarchie und ihren Zweck an</t>
  </si>
  <si>
    <t>4.5.3.2.</t>
  </si>
  <si>
    <t>• Kennt und erklärt den Zweck und Nutzen einer Struktur für den Leistungsumfang
• Kennt und wendet die Gliederungsprinzipien für das Erstellen des PSP an
• Erklärt die Unterschiede zwischen verschiedenen Gliederungsprinzipien des PSP
• Erklärt die Merkmale der Projektgrenzen
• Argumentiert, warum und wann ein bestimmtes Vorgehensmodell, z. B. agiles Vorgehen, für das Projekt gewählt wurde</t>
  </si>
  <si>
    <t>4.5.3.3.</t>
  </si>
  <si>
    <t>• Definiert Arbeitspakete und Pakete in Planung
• Erklärt den Zweck und den Nutzen gut definierter Arbeitspakete
• Nennt und erklärt Möglichkeiten, ein Arbeitspaket zu definieren</t>
  </si>
  <si>
    <t>4.5.3.4.</t>
  </si>
  <si>
    <t>• Managt die Konfiguration des Leistungsumfangs
• Definiert Rollen und weist diesen Verantwortlichkeiten für das Konfigurationsmanagement des Leistungsumfangs zu
• Stellt einen Zusammenhang zwischen der Konfiguration des Leistungsumfangs und dem Gesamtprojekt (sequenziell oder iterativ) her
• Vergleicht den Fortschritt und den Earned Value (Fortschrittswert) mit den Planungswerten</t>
  </si>
  <si>
    <t>Ablauf 
und Termine</t>
  </si>
  <si>
    <t>4.5.4.1.</t>
  </si>
  <si>
    <t>• Definiert die Aktivitäten für die Realisierung der Projektergebnisse
• Leitet Vorgänge aus den PSP-Arbeitspaketen ab</t>
  </si>
  <si>
    <t>4.5.4.2.</t>
  </si>
  <si>
    <t>• Bestimmt den Arbeitsaufwand und die Dauer von Aktivitäten
• Identifiziert die zur Durchführung einer Aktivität benötigten Arten von Ressourcen
• Identifiziert und entscheidet zwischen verschiedenen Ressourcenoptionen</t>
  </si>
  <si>
    <t>4.5.4.3.</t>
  </si>
  <si>
    <t>• Kennt unterschiedliche Planungstechniken
• Wählt die passenden Planungstechniken aus
• Legt entsprechende Phasen oder Sprints fest
• Kennt die Auswirkungen von Unsicherheit auf die Planung und weiß, was zu tun ist, um die Auswirkungen zu minimieren</t>
  </si>
  <si>
    <t>4.5.4.4.</t>
  </si>
  <si>
    <t>• Legt die zeitliche Abfolge der Projektaktivitäten fest
• Bestimmt die Abhängigkeiten und wechselseitigen Beziehungen
• Berechnet den kritischen Pfad
• Gleicht die Ressourcenauslastung mit dem Ressourcenbedarf des Projektplans ab</t>
  </si>
  <si>
    <t>4.5.4.5.</t>
  </si>
  <si>
    <t>• Weiß, wann und wie unterschiedliche Systeme der Terminsteuerung eingesetzt werden
• Passt die Planung als Reaktion auf verschiedene Arten von Störungen an
• Vergleicht den Fortschritt und den Earned Value (Fertigstellungswert) mit den Planwerten</t>
  </si>
  <si>
    <t>Organisation, Information und Dokumentation</t>
  </si>
  <si>
    <t>4.5.5.1.</t>
  </si>
  <si>
    <t>• Beurteilt und dokumentiert den Informations- und Dokumentationsbedarf des Projekts
• Führt unterschiedliche formelle und informelle Kommunikationsarten ein
• Legt auf Basis der Bedürfnisse der Organisation die Merkmale des Projekts fest</t>
  </si>
  <si>
    <t>4.5.5.2.</t>
  </si>
  <si>
    <t>• Erklärt die grundsätzlichen Möglichkeiten, eine temporäre Organisation zu strukturieren
• Entwickelt ein Governance-System
• Definiert die Verantwortlichkeiten der Schlüsselpersonen im Projekt
• Identifiziert Beziehungen und Schnittstellen zu den Corporate Governance Regeln
• Identifiziert und dokumentiert die Unterschiede zwischen den Linien- und Projektbefugnissen</t>
  </si>
  <si>
    <t>4.5.5.3.</t>
  </si>
  <si>
    <t>• Erklärt Zweck und Inhalt von Informationsprozessen
• Verteilt interne Informationen mit Hilfe verschiedener Methoden
• Stellt sicher, dass redundante Informationen begrenzt und / oder vermieden werden
• Erklärt die Vorteile verschiedener Arten von Meetings
• Erklärt, was eine Kommunikationsinfrastruktur umfasst
• Führt Planungs- und Steuerungsmechanismen ein, z. B. Dokumentation wichtiger Entscheidungen</t>
  </si>
  <si>
    <t>4.5.5.4.</t>
  </si>
  <si>
    <t>• Führt neue Organisationsstrukturen ein
• Überwacht die Organisation einschließlich der beteiligten Rollen
• Passt bei Bedarf die Organisation einschließlich der beteiligten Rollen an</t>
  </si>
  <si>
    <t>4.5.6.1.</t>
  </si>
  <si>
    <t>• Entwickelt und überwacht einen Qualitätsplan
• Benennt verschiedene Arten von Qualitätszielen
• Führt Maßnahmen zur Erreichung der definierten Qualitätsziele ein
• Definiert und führt Qualitätsmaßnahmen ein
• Erläutert und benennt die verschiedenen Tools / Techniken zum Erreichen der Qualitätsziele
• Erläutert und benennt Verfahren zum Erreichen der Qualitätsziele
• Erläutert, wie die Qualitätsmanagementaktivitäten mit den
allgemeinen Projekttätigkeiten in Einklang zu bringen sind</t>
  </si>
  <si>
    <t>4.5.6.2.</t>
  </si>
  <si>
    <t>• Erläutert die verschiedenen Methoden zur Überprüfung der Projektergebnisse und -prozesse
• Benennt die wesentlichen Faktoren für einen wirksamen und effizienten Projektreview
• Legt fest, wie die Qualitätsziele des Projekts kommuniziert werden
• Nennt verschiedene Gründe für die Durchführung eines Projektaudits
• Führt ein Qualitätsaudit durch
• Analysiert die Ergebnisse des Qualitätsaudits und formuliert Maßnahmen oder Change Requests
• Stellt mindestens ein Beispiel für eine Korrekturmaßnahme vor</t>
  </si>
  <si>
    <t>4.5.6.3.</t>
  </si>
  <si>
    <t>Erreichung der Qualitätsziele des Projekts verifizieren und erforderliche korrektive und / oder präventive Maßnahmen empfehlen</t>
  </si>
  <si>
    <t>• Beschreibt das Ergebnis eines geplanten und durchgeführten Nachweisverfahrens
• Erläutert Inhalt und Ergebnis einer Fehler-Ursachen-Analyse auf Basis entdeckter Mängel
• Erläutert den Ablauf und die Ziele von Begutachtungsverfahren
• Erbringt Nachweise und empfiehlt Korrekturmaßnahmen
• Beschreibt die Inhalte und Schritte bei der Kommunikation von bevorzugten und empfohlenen korrektiven Maßnahmen und Change Requests</t>
  </si>
  <si>
    <t>4.5.6.4.</t>
  </si>
  <si>
    <t>• Erläutert den Unterschied zwischen Verifizierung und Validierung
• Dokumentiert die verschiedenen Typen der für die Qualitätsvalidierung geeigneten Qualitätsziele
• Führt eine Validierung der Projektergebnisse durch
• Holt die Abnahmebedingungen beim Kunden ein</t>
  </si>
  <si>
    <t>4.5.6.5.</t>
  </si>
  <si>
    <t>• Beurteilt, adaptiert und integriert die von Organisationen verwendeten Qualitätsstandards
• Führt Qualitätsprozesse im Projekt ein
• Führt regelmäßige Beurteilungen der eingeführten Prozesse durch und optimiert diese bei Bedarf
• Führt Qualitätsbewusstsein im Projekt ein, damit alle Beteiligten wissen, welche Qualität gefordert ist
• Führt regelmäßige Beurteilungen des Qualitätsbewusstseins durch und trifft bei Bedarf korrektive Maßnahmen</t>
  </si>
  <si>
    <t>Kosten und Finanzierung</t>
  </si>
  <si>
    <t>4.5.7.1.</t>
  </si>
  <si>
    <t>• Erstellt Kostenstrukturen und identifiziert Kostenkategorien
• Wählt die geeignete Kostenkalkulationsmethode aus
• Legt die Kostenziele anhand relevanter Standards und / oder interner Richtlinien fest</t>
  </si>
  <si>
    <t>4.5.7.2.</t>
  </si>
  <si>
    <t>• Stellt Budgetpläne auf
• Entwickelt Budgetszenarien auf der Grundlage kostenrelevanter Positionen
• Plant Budgetpositionen für Unvorhergesehenes ein
• Beurteilt das Budget unter Berücksichtigung der Termine und Finanzierung und nimmt Anpassungen vor
• Legt das endgültige Budget fest</t>
  </si>
  <si>
    <t>4.5.7.3.</t>
  </si>
  <si>
    <t>• Erarbeitet die Finanzierungsstrategie für das Projekt
• Identifiziert potenzielle Finanzierungsquellen
• Befolgt die Genehmigungsprozesse der Organisation
• Kooperiert, pflegt engen Kontakt und verhandelt mit potenziellen Kapital- und Fördermittelgebern, um die Finanzierung sicher zu stellen</t>
  </si>
  <si>
    <t>4.5.7.4.</t>
  </si>
  <si>
    <t>• Definiert Prozesse und die Governance für das Finanzmanagement
• Definiert finanzielle Leistungsindikatoren für das Projekt
• Setzt die Projektkostenstruktur in Bezug zur Kostenstruktur der Organisation
• Entwickelt geeignete Berichte passend zur Organisation und Governance des Projekts</t>
  </si>
  <si>
    <t>4.5.7.5.</t>
  </si>
  <si>
    <t>• Erarbeitet und evaluiert Kostenberichte
• Analysiert und interpretiert die finanzielle Situation
• Verwendet Finanz-Kennzahlen zur Überwachung und Steuerung des Projekts
• Prognostiziert Projektergebnisse auf der Grundlage der Finanz-Kennzahlen
• Weist auf Kostenüberziehung hin und schlägt Maßnahmen für alle Arten von Kostenüberziehungen (Minderungspläne) vor, die nicht durch das Budget für Unvorhergesehenes abgedeckt sind, in Übereinstimmung mit Organisation und Governance des Projekts</t>
  </si>
  <si>
    <t>4.5.8.1.</t>
  </si>
  <si>
    <t>• Ermittelt auf der Grundlage der Ressourcenplanung die für das Projekt erforderlichen Ressourcen
• Legt die Bezugsbasis für bestehende und beantragte Ressourcen fest
• Überprüft und analysiert die Ressourcenkapazität der Organisation und ermittelt Trends
• Koordiniert dies mit der jeweiligen Organisation oder den Portfoliomanagement-Prozessen</t>
  </si>
  <si>
    <t>4.5.8.2.</t>
  </si>
  <si>
    <t>• Beschreibt die für das Projekt benötigten Ressourcen
• Erstellt auf der Grundlage einer ausführlichen Projektplanung eine Ressourcenplanung
• Definiert Menge und Qualität der benötigten Ressourcen</t>
  </si>
  <si>
    <t>4.5.8.3.</t>
  </si>
  <si>
    <t>• Trifft Make-or-Buy-Entscheidungen
• Schafft und evaluiert Beschaffungsalternativen
• Definiert eine Beschaffungsstrategie
• Setzt sich mit Ressourcenanbietern in Verbindung
• Verhandelt die Verfügbarkeit von Ressourcen</t>
  </si>
  <si>
    <t>4.5.8.4.</t>
  </si>
  <si>
    <t>• Setzt die Ressourcen mit der Projektstruktur in Beziehung
• Erstellt Ablauf- und Terminpläne (bzw. Aufgabenlisten) für Ressourcen
• Vermittelt bei ressourcenbezogenen Konflikten</t>
  </si>
  <si>
    <t>4.5.8.5.</t>
  </si>
  <si>
    <t>• Definiert eine systematische Vorgehensweise, um den Ressourcenverbrauch zu bewerten
• Ermöglicht die Förderung von Kompetenzen / Fertigkeiten
• Weist mit den entsprechenden Teammitgliedern und ihrem Linienmanagement auf eine Kompetenzknappheit</t>
  </si>
  <si>
    <t>4.5.9.1.</t>
  </si>
  <si>
    <t>• Begründet auf der Grundlage des Bedarfs die Beschaffung
• Konzipiert, produziert oder erfasst die benötigten Informationen als Input für die Experten im Bereich Beschaffung
• Erstellt auf der Grundlage des Bedarfs Ausschreibungsunterlagen und Auswahlkriterien
• Unterstützt Beschaffungsvorbereitungsprozesse und -abläufe</t>
  </si>
  <si>
    <t>Positiv: "Lastenheft an die Einkaufsabteilung gegeben"</t>
  </si>
  <si>
    <t>4.5.9.2.</t>
  </si>
  <si>
    <t>• Initiiert eine Angebotsanforderung (Ausschreibung), falls erforderlich in Zusammenarbeit mit der Beschaffungsabteilung (Einkaufsabteilung)
• Stellt die einzelnen Schritte des Lieferantenauswahlprozesses dar
• Definiert und erläutert die Inhalte von Ausschreibungsunterlagen
• Definiert und wendet die Auswahlkriterien an
• Bringt die formellen Beschaffungsrichtlinien (internationale, nationale und branchenspezifische Bestimmungen) miteinander in Einklang
• Beurteilt die Besonderheiten der Beschaffung und empfiehlt Partnerschaftsmodelle</t>
  </si>
  <si>
    <t>4.5.9.3.</t>
  </si>
  <si>
    <t>• Definiert ein Verhandlungsmandat und legt die zu verhandelnden Ziele fest
• Unterscheidet zwischen verschiedenen Vertragsformen und ihren Auswirkungen auf das Projekt
• Kennt die Vertragsbestimmungen und reflektiert ihre Auswirkungen auf das Projekt
• Handelt einen Vertrag durch die Festlegung von Preis, Verfügbarkeit, Kundenanpassungsmöglichkeiten und Beschaffungsterminen aus</t>
  </si>
  <si>
    <t>4.5.9.4.</t>
  </si>
  <si>
    <t>• Führt Maßnahmen zum Managen der Vertragserfüllung ein
• Identifiziert Abweichungen zum Vertrag
• Begegnet Vertragsverletzungen mit der Einleitung korrektiver Maßnahmen
• Zieht bei schwierigen (Nach-)Verhandlungen rechtliche, logistische und / oder Beschaffungsfunktionen der Organisation hinzu
• Geht mit vertragsbezogenen Streitigkeiten und Nachforderungen des Lieferanten um
• Schließt und beendet die vereinbarte Geschäftsbeziehung, wenn entweder das Projekt gefährdet ist, oder wenn alle vertraglichen Verpflichtungen erfüllt wurden</t>
  </si>
  <si>
    <t>Positiv: "Unterstützung angeboten, Telefonate", Kein Druck ausüben</t>
  </si>
  <si>
    <t>4.5.10.1.</t>
  </si>
  <si>
    <t>• Organisiert den Prozess des Projektstarts
• Holt alle erforderlichen Informationen von Stakeholdern und Experten ein
• Analysiert, bewertet und priorisiert Informationen
• Organisiert und moderiert einen Projektstart-Workshop
• Bereitet den Projektauftrag bzw. den Projektmanagement-Plan vor und holt die Zustimmung ein
• Plant und kommuniziert den Projektmanagement-Aufwand
• Initiiert und managt den Übergang in eine neue Projektphase</t>
  </si>
  <si>
    <t>4.5.10.2.</t>
  </si>
  <si>
    <t>• Organisiert das Management des Projektumsetzungsprozesses
• Definiert die Ziele und Lieferobjekte der nachfolgenden Phase(n)
• Managt den Übergang der Projektphasen
• Organisiert und moderiert ein Kickoff-Meeting</t>
  </si>
  <si>
    <t>4.5.10.3.</t>
  </si>
  <si>
    <t>Projektleistung mit dem Projektmanagementplan abgleichen und Korrekturmaßnahmen treffen</t>
  </si>
  <si>
    <t>• Legt das Leistungscontrolling fest
• Beschreibt die für das Leistungscontrolling anzuwendenden Hilfsmittel und Methoden
• Misst Fortschritt und Leistung</t>
  </si>
  <si>
    <t>4.5.10.4.</t>
  </si>
  <si>
    <t>• Erstellt eine Berichtsstruktur
• Erstellt einen Fortschrittsbericht
• Erstellt einen Prognosebericht
• Erstellt Phasenübergangsberichte</t>
  </si>
  <si>
    <t>4.5.10.5.</t>
  </si>
  <si>
    <t>• Organisiert einen Prozess zur Steuerung der Änderungen
• Erstellt einen Change Request und dokumentiert dies im Change Log
• Implementiert den genehmigten geänderten Leistungsumfang</t>
  </si>
  <si>
    <t>4.5.10.6.</t>
  </si>
  <si>
    <t>• Organisiert den Prozess des Phasen- oder des Projektabschlusses
• Organisiert und moderiert einen Projektphasen- oder Projektabschluss-Workshop
• Moderiert die Projektevaluierung
• Erstellt einen Lessons Learned Bericht über die Projektphase oder das Projekt</t>
  </si>
  <si>
    <t>Chancen 
und Risiken</t>
  </si>
  <si>
    <t>4.5.11.1.</t>
  </si>
  <si>
    <t>• Zieht potentielle Chancen- und Risikomanagementmodelle zu Rate
• Entwickelt eine Chancen- und Risikomanagementstruktur in Übereinstimmung mit den Organisationsrichtlinien und / oder internationalen Standards
• Gewährleistet die konsequente Anwendung der Chancen- und Risikomanagementstruktur</t>
  </si>
  <si>
    <t>4.5.11.2.</t>
  </si>
  <si>
    <t>• Kennt und nutzt verschiedene Quellen zur Identifikation potenzieller Chancen und Risiken
• Identifiziert Chancen und Risiken
• Dokumentiert Chancen und Risiken in einem Register</t>
  </si>
  <si>
    <t>4.5.11.3.</t>
  </si>
  <si>
    <t>Wahrscheinlichkeit, Auswirkungen und Nähe von Chancen und Risiken</t>
  </si>
  <si>
    <t>• Bewertet Chancen und Risiken qualitativ
• Bewertet Chancen und Risiken quantitativ
• Erstellt und interpretiert einen Entscheidungsbaum für Chancen und Risiken</t>
  </si>
  <si>
    <t>4.5.11.4.</t>
  </si>
  <si>
    <t>• Erklärt verschiedene Hilfsmittel und Methoden für die Einführung einer gewählten, übergreifenden Strategie für den Prozess des Chancen- und Risikomanagements
• Evaluiert Maßnahmen für Chancen und Risiken
• Evaluiert alternative Hilfsmittel und Methoden für die Umsetzung der Maßnahmen
• Nimmt für die Einführung der Maßnahmen Einfluss auf den Ressourcenplan und die erforderlichen Kompetenzen
• Führt einen Maßnahmenplan für Chancen und Risiken ein und kommuniziert diesen</t>
  </si>
  <si>
    <t>WIE wird dabei vorgegangen?</t>
  </si>
  <si>
    <t>4.5.11.5.</t>
  </si>
  <si>
    <t>• Überwacht und steuert die Einführung und Umsetzung eines Aktionsplans für Chancen und Risiken
• Kommuniziert die Chancen und Risiken sowie die Angemessenheit der gewählten Maßnahmen</t>
  </si>
  <si>
    <t>4.5.12.1.</t>
  </si>
  <si>
    <t>• Identifiziert die wichtigsten Stakeholderkategorien
• Identifiziert und benennt die verschiedenen Interessen der Stakeholder
• Identifiziert und bewertet den Einfluss der Stakeholder
• Identifiziert die relevanten Änderungen im oder um das Projekt
• Analysiert die Konsequenzen von Änderungen für das Projekt
• Ergreift Maßnahmen, um die Stakeholder zu beeinflussen</t>
  </si>
  <si>
    <t>4.5.12.2.</t>
  </si>
  <si>
    <t>• Beschreibt die Bedeutung einer Stakeholderstrategie
• Erstellt einen Kommunikationsplan
• Passt den Kommunikationsplan und / oder die -strategie an die sich ändernden Umständen an
• Erklärt die Gründe für eine Änderung des Kommunikationsplans
• Identifiziert und evaluiert die Chancen möglicher Bündnisse und Partnerschaften
• Identifiziert und evaluiert potenzielle Unterstützer</t>
  </si>
  <si>
    <t>4.5.12.3.</t>
  </si>
  <si>
    <t>• Bindet das Management und / oder Auftraggeber ein
• Managt die Erwartungen der Geschäftsführung, des höheren Managements und / oder des / der Auftraggeber(s)
• Setzt Geschäftsführung und / oder Projektträger als Botschafter ein</t>
  </si>
  <si>
    <t>4.5.12.4.</t>
  </si>
  <si>
    <t xml:space="preserve">
• Bindet Anwender bzw. Benutzer mit ein und fordert deren Commitment für das Projekt ein
• Fordert das Commitment von Lieferanten für das Projekt ein
• Kooperiert mit Partnern, um das optimale Ergebnis für die Organisation zu erzielen</t>
  </si>
  <si>
    <t>4.5.12.5.</t>
  </si>
  <si>
    <t>Netzwerke und Allianzen aufbauen, aufrecht erhalten und beenden</t>
  </si>
  <si>
    <t>• Verhandelt und dokumentiert die Kooperationsvereinbarungen
• Entwickelt einen Kooperationsplan und führt diesen ein
• Entwickelt und evaluiert Maßnahmen für den Erfolg
• Hält getroffene Maßnahmen aufrecht
• Beendet alle formellen Vereinbarungen</t>
  </si>
  <si>
    <t>• Analysiert die Anpassungsfähigkeit an notwendige Veränderungen auf der Basis von vorherigen erfolgreichen bzw. erfolglosen Veränderungen in der Organisation
• Beurteilt mögliche Bereiche des Widerstands gegen die Veränderung
• Erkennt und beeinflusst Umstände, die die Anpassungsfähigkeit verbessern können
• Ergreift Maßnahmen, wenn der erforderliche oder erwartete Change (Veränderung) oder Transformation (Umgestaltung) außerhalb der Fähigkeiten der Organisation(en) liegt</t>
  </si>
  <si>
    <t>• Identifiziert von der Veränderung betroffene Personen und Personengruppen
• Stellt Gruppeninteressen dar
• Identifiziert regelmäßig die Veränderungsanforderungen und Transformationschancen
• Passt sich an sich verändernde Interessen und Situationen an</t>
  </si>
  <si>
    <t>• Identifiziert gesellschaftliche, organisatorische und persönliche Veränderungs- oder Transformationsstrategien und erkennt beispielsweise Innovatoren, „Early Adopters“, die Mehrheit und Zauderer
• Arbeitet mit anderen zusammen, um Strategien zu überprüfen
• Dokumentiert Strategien und erstellt einen umfassenden Veränderungsplan
• Entwickelt, falls erforderlich, einen Schritt-für-Schritt-Ansatz
• Passt regelmäßig den Veränderungs- oder Transformationsplan an, um Lessons Learned und Änderungen im Projektumfeld oder in der Gesellschaft einzuarbeiten
• Passt regelmäßig die Strategie an, wenn die Veränderung erfolgreich war und Nutzen erzielt wurde</t>
  </si>
  <si>
    <t>• Entwickelt einen stimmigen Interventionsplan
• Führt ausgewählte Interventionen durch
• Leitet oder organisiert Workshops und Trainings
• Beschäftigt sich mit Widerständen gegen Veränderung
• Organisiert und führt Interventionen durch und nutzt dazu geeignete Medien
• Wendet Verstärkungstechniken an, um sicherzustellen, dass das neue Verhalten nachhaltig ist</t>
  </si>
  <si>
    <t>Summe bestandener KCIs</t>
  </si>
  <si>
    <t>Summe bestandener CEs</t>
  </si>
  <si>
    <t>Bearbeitete KCIs</t>
  </si>
  <si>
    <t>Summe bearbeiteter CEs</t>
  </si>
  <si>
    <t>Mindestanzahl zu bearbeitender CE gemäß Z01</t>
  </si>
  <si>
    <t>Pflichtelemente</t>
  </si>
  <si>
    <t>Anzahl bearbeiteter Pflichtelemente</t>
  </si>
  <si>
    <t>Bestehensgrenze gem. Z01 bei C</t>
  </si>
  <si>
    <t>Wahlelemente</t>
  </si>
  <si>
    <t>Anzahl bearbeiteter Wahlelemente</t>
  </si>
  <si>
    <t>Bestehensgrenze gem. Z01 bei B</t>
  </si>
  <si>
    <t>Standardbegründungen</t>
  </si>
  <si>
    <t>Erklärende Texte für die GS</t>
  </si>
  <si>
    <t>Es wurden nicht alle erforderlichen KCIs bearbeitet.</t>
  </si>
  <si>
    <t>Formal: CE/KCI nicht bearbeitet</t>
  </si>
  <si>
    <t>Es ist nicht bei allen Darstellungen ersichtlich, welchen konkreten Beitrag der Zertifikant entsprechend seiner Rolle als Projektmanager aktiv geleistet hat.</t>
  </si>
  <si>
    <t>Formal: Bloomstufe nicht erreicht</t>
  </si>
  <si>
    <t>Die Beschreibung der Bedienung / Funktionalitäten einer PM-Software (z.B. MS-Project) genügt nicht als Evidenz.</t>
  </si>
  <si>
    <t>Inhalt: Thema noch nicht richtig getroffen</t>
  </si>
  <si>
    <t>Die bloße Wiedergabe der Regelungen eines (internen) PM-Prozesses bzw. allgemeingültiger Regelungen reicht nicht aus, um den geforderten konkreten PROJEKTbezug sicher zu stellen.</t>
  </si>
  <si>
    <t>Inhalt: fehlerhafte Darstellung</t>
  </si>
  <si>
    <t>Es werden nicht immer die konkret im KCI formulierten Fokussierungen für die Formulierung der Antwort berücksichtigt; teilweise wird das Thema nicht getroffen.</t>
  </si>
  <si>
    <t>Inhalt: Inhalt des KCI nicht hinreichend genug bearbeitet</t>
  </si>
  <si>
    <t>Einzelne KCIs werden SEHR knapp behandelt. Eine (allgemeingültige) Darstellung in nur wenigen Zeilen vermag nicht die erforderliche Aussagekraft hinsichtlich Evidenz und eigenem aktiven Beitrag als PL auf zu bringen.</t>
  </si>
  <si>
    <t>Inhalt: Beschreibung passt zu jedem Projekt (zu allgemein)</t>
  </si>
  <si>
    <t>Es ist nicht vorgesehen, einzelne KCIs in einer Antwort zusammen zu fassen.</t>
  </si>
  <si>
    <t>Inhalt: Das KCI nur zum Teil bearbeitet ("und")</t>
  </si>
  <si>
    <t>Der Report weist große Lücken auf, streckenweise wurden KCIs bzw. komplette CEs übersprungen.</t>
  </si>
  <si>
    <t>Evidenz: fehlender Projektbezug</t>
  </si>
  <si>
    <t>Es wurden teilweise nur genau so viele KCIs bearbeitet, wie zum Bestehen eines CEs notwendig sind. Sollte nun ein KCI nicht bestanden werden ist somit das gesamte CE nicht bestanden</t>
  </si>
  <si>
    <t>Evidenz: Bezug zum eigenen Handeln fehlt</t>
  </si>
  <si>
    <r>
      <t xml:space="preserve">Formvorschriften gemäß Dokument Z10 wurden (teilweise) nicht beachtet (z. B. Dateiname, Lesezeichen, Selbsterklärung </t>
    </r>
    <r>
      <rPr>
        <b/>
        <sz val="10"/>
        <rFont val="Helvetica Neue"/>
        <family val="2"/>
      </rPr>
      <t>am Ende</t>
    </r>
    <r>
      <rPr>
        <sz val="10"/>
        <rFont val="Helvetica Neue"/>
        <family val="2"/>
      </rPr>
      <t xml:space="preserve"> des Dokuments, Versionierung, Umfang der Ausarbeitung).</t>
    </r>
  </si>
  <si>
    <t>Evidenz: zu diesem KCI keine Evidenz zu erkennen</t>
  </si>
  <si>
    <t>Die Darstellungen in Kapitel 1 können nicht als "Management Summary" anerkannt werden.</t>
  </si>
  <si>
    <t>Drop down lists</t>
  </si>
  <si>
    <t>CEs passed:</t>
  </si>
  <si>
    <t>CEs bestanden:</t>
  </si>
  <si>
    <t>Preparation for pilot round</t>
  </si>
  <si>
    <t>Scoring, Report-Scoring, Exam Evaluation</t>
  </si>
  <si>
    <t>Release for Level CB pilot</t>
  </si>
  <si>
    <t xml:space="preserve">Datum der Anmeldung: </t>
  </si>
  <si>
    <t>Titel:</t>
  </si>
  <si>
    <t xml:space="preserve">Job Title: </t>
  </si>
  <si>
    <t xml:space="preserve">Evaluation Period for PM Experience*: </t>
  </si>
  <si>
    <t xml:space="preserve">Betrachtungszeitraum für PM Erfahrung*: </t>
  </si>
  <si>
    <t>Date and Location</t>
  </si>
  <si>
    <t>Target Audience</t>
  </si>
  <si>
    <t>Activity</t>
  </si>
  <si>
    <t>Re-Cert Evaluation</t>
  </si>
  <si>
    <t>Name</t>
  </si>
  <si>
    <t>Vorname</t>
  </si>
  <si>
    <t>Besuchte Trainings</t>
  </si>
  <si>
    <t>Beeing a Mentee</t>
  </si>
  <si>
    <t>Mentee sein</t>
  </si>
  <si>
    <t>Thema</t>
  </si>
  <si>
    <t>Dauer (Std.)</t>
  </si>
  <si>
    <t>Kand. Angabe (Std.)</t>
  </si>
  <si>
    <t>Evaluierungs Ergebnis (Std.)</t>
  </si>
  <si>
    <t>Relevante ICB Elemente</t>
  </si>
  <si>
    <t>Mentor's Name</t>
  </si>
  <si>
    <t>Mentor's Organisation</t>
  </si>
  <si>
    <t>Name des Mentors</t>
  </si>
  <si>
    <t>Organisation des Mentors</t>
  </si>
  <si>
    <t>Auswertung von Online Trainings</t>
  </si>
  <si>
    <t>(1b)  Online Training, Kurse und Seminare</t>
  </si>
  <si>
    <t>Zusammenfassung und Review</t>
  </si>
  <si>
    <t>Kapitel / Zeit / Folien</t>
  </si>
  <si>
    <t>Titel / Thema</t>
  </si>
  <si>
    <t>Anbieter</t>
  </si>
  <si>
    <t>Dauer</t>
  </si>
  <si>
    <t xml:space="preserve">Link </t>
  </si>
  <si>
    <t>(2)  Selbststudium von PM Literatur</t>
  </si>
  <si>
    <t>Section / Pages</t>
  </si>
  <si>
    <t>Abschnitt / Seitenzahl</t>
  </si>
  <si>
    <t>Zusammenfassung und Literaturkonspekt</t>
  </si>
  <si>
    <t>Seitananzahl</t>
  </si>
  <si>
    <t>Verlag</t>
  </si>
  <si>
    <t xml:space="preserve">Title </t>
  </si>
  <si>
    <t xml:space="preserve">Titel </t>
  </si>
  <si>
    <t>Lesen von Literatur und Veröffentlichungen</t>
  </si>
  <si>
    <t>Lesen von abonierten PM Zeitschriften</t>
  </si>
  <si>
    <t>Subscription start Date</t>
  </si>
  <si>
    <t>Datum des Abonnements</t>
  </si>
  <si>
    <t>(3)  Teilnahme an Konferenzen, Sumposien, etc.</t>
  </si>
  <si>
    <t>Titel</t>
  </si>
  <si>
    <t>Veranstalter</t>
  </si>
  <si>
    <t>Ort und Datum</t>
  </si>
  <si>
    <t>Zielgruppe</t>
  </si>
  <si>
    <t>Aktivität</t>
  </si>
  <si>
    <t>Als Lehrer und Vortragender</t>
  </si>
  <si>
    <t>Als Trainer</t>
  </si>
  <si>
    <t>Als Mentor</t>
  </si>
  <si>
    <t>As a Lecturer and Presenter</t>
  </si>
  <si>
    <t>As a Mentor</t>
  </si>
  <si>
    <t>As a Trainer or Coach</t>
  </si>
  <si>
    <t>Name des Mentees</t>
  </si>
  <si>
    <t>Arbeitgeber / Organisation des Mentees</t>
  </si>
  <si>
    <t>Mentee's Employer / Organisation</t>
  </si>
  <si>
    <t>(5)  Eigene Veröffentlichungen</t>
  </si>
  <si>
    <t>Verlag / Magazin</t>
  </si>
  <si>
    <t>Seiten Anzahl</t>
  </si>
  <si>
    <t>Total Number of CPD Hours</t>
  </si>
  <si>
    <t>Anerkannte Angaben (Std.)</t>
  </si>
  <si>
    <t xml:space="preserve">Weiterbildungs- stunden Gesamt </t>
  </si>
  <si>
    <t>(1)+(1b)+(3)  Trainingskurse, Seminare, Konferenzen, etc. (Std.)</t>
  </si>
  <si>
    <t>(2) Literatur (Seiten)</t>
  </si>
  <si>
    <t>(5) Eigene Veröffentlichungen (Seiten)</t>
  </si>
  <si>
    <t>Gesamt</t>
  </si>
  <si>
    <t>Erforderlich</t>
  </si>
  <si>
    <t>Siehe Projektliste für PM Erfahrungsnachweis</t>
  </si>
  <si>
    <t>Arbeitszeit in einer PJM, PJO, PPFM, PGM, PO, SM Rolle, pro Jahr</t>
  </si>
  <si>
    <t>Working time spent in the role as PJM, PJO, PPFM, PGM, PO, SM per year</t>
  </si>
  <si>
    <t>PM time counting towards CPD hours per year for recertification</t>
  </si>
  <si>
    <t>Für Weiterbildung in der Rezertifizierung anrechenbare PM Zeit pro Jahr</t>
  </si>
  <si>
    <t>Re-Cert Section</t>
  </si>
  <si>
    <t>Attending Conferences (both internal or external)</t>
  </si>
  <si>
    <t>Konferenz-Name / Titel</t>
  </si>
  <si>
    <t>Start Datum</t>
  </si>
  <si>
    <t>End Datum</t>
  </si>
  <si>
    <t>ICB Element Referenz</t>
  </si>
  <si>
    <t>Anerkennungsfähige Dauer (Std.)</t>
  </si>
  <si>
    <t>Hinweise</t>
  </si>
  <si>
    <t>Attending Trainings (both internal or external)</t>
  </si>
  <si>
    <t>Teilnahme an Trainings (intern und extern)</t>
  </si>
  <si>
    <t>Name des Trainings</t>
  </si>
  <si>
    <t>Teilnahme an Konferenzen (intern und extern)</t>
  </si>
  <si>
    <t>Being Mentored / Coached</t>
  </si>
  <si>
    <t>Einen Mentor / Coach haben</t>
  </si>
  <si>
    <t>Bücher und Veröffentlichungen Lesen</t>
  </si>
  <si>
    <t>Veröffentlichungsdatum</t>
  </si>
  <si>
    <t>Lese-Datum</t>
  </si>
  <si>
    <t>Seitenanzahl</t>
  </si>
  <si>
    <t>Bitte schreiben Sie zu jedem Eintrag einen kurzen Literaturkonspekt im Blatt "Literature Review".</t>
  </si>
  <si>
    <t>Proof / Brief Summary</t>
  </si>
  <si>
    <t>Nachweis / Kurzzusammenfassung</t>
  </si>
  <si>
    <t>Herausgeber</t>
  </si>
  <si>
    <t>Anz. Gelesener Ausgaben</t>
  </si>
  <si>
    <t>Prrof / Invoice</t>
  </si>
  <si>
    <t>Nachweis / Rechnung</t>
  </si>
  <si>
    <t>Please provide reviews for all literature in tab "Literature Review".</t>
  </si>
  <si>
    <t>Please provide brief description in tab "Literature Review" for all journals that are not IPMA issued.</t>
  </si>
  <si>
    <t>Kumul. Gesamt-Zeit (Std.)</t>
  </si>
  <si>
    <t>Online Kurse &amp; Fernstudium</t>
  </si>
  <si>
    <t>Verlag / Urheber</t>
  </si>
  <si>
    <t>Eigenes Studium</t>
  </si>
  <si>
    <t>Bitte schreiben Sie eine Kurzzusammenfassung im Blatt "Literature Review" für alle Zeitschriften, die nicht von IPMA herausgegeben werden.</t>
  </si>
  <si>
    <t>Bitte schreiben Sie für jedes Modul im Blatt "Remote Learning Review" eine Kurzzusammenfassung.</t>
  </si>
  <si>
    <t>Please provide reviews for all remote learning modules in tab "Remote Learning Review".</t>
  </si>
  <si>
    <t>Anrechenbare Gesamt-Zeit</t>
  </si>
  <si>
    <t>Teilnahme an Fernstudium, Online Kursen, Online Seminaren</t>
  </si>
  <si>
    <t>Listen Eintrag</t>
  </si>
  <si>
    <t>ICB Elemente</t>
  </si>
  <si>
    <t>Zusammenfassung und persönliche Einschätzung</t>
  </si>
  <si>
    <t>mindestens 20 Worte pro Eintrag, 
mindestens 1 Eintrag pro Titel / Thema</t>
  </si>
  <si>
    <t>Optionale Kommentare</t>
  </si>
  <si>
    <t>Beispiel Eintrag</t>
  </si>
  <si>
    <t>Section / Chapter / Time / Slides / Pages</t>
  </si>
  <si>
    <t>Abschnitt / Kapitel / Zeit / Folie / Seiten</t>
  </si>
  <si>
    <t>(Self-) Study of PJM literature</t>
  </si>
  <si>
    <t>Selbststudium von PM Literatur</t>
  </si>
  <si>
    <t>Bitte schreiben Sie pro Literaturstelle / Buch / Kapitel eine Kurzzusammenfassung (Literaturkonspekt).</t>
  </si>
  <si>
    <t>Please provide a summary and review for all books / chapters you have read following the example entry given below.</t>
  </si>
  <si>
    <t>(4) Vorlesungen und Vorträge (Strd.)</t>
  </si>
  <si>
    <t>Checks</t>
  </si>
  <si>
    <t xml:space="preserve">Max. Stunden überschritten für </t>
  </si>
  <si>
    <t>End-Datum vor Start Datum!</t>
  </si>
  <si>
    <t>Eintrag unvollständig</t>
  </si>
  <si>
    <t>Entry incomplete</t>
  </si>
  <si>
    <t>re-cert period!</t>
  </si>
  <si>
    <t>Re-Zert Periode!</t>
  </si>
  <si>
    <t>Universal terms  used across several sheets</t>
  </si>
  <si>
    <t>WISSEN VERMITTELN</t>
  </si>
  <si>
    <t>Giving Trainings (both internal or external)</t>
  </si>
  <si>
    <t>Präsentieren (intern und extern)</t>
  </si>
  <si>
    <t>Trainings geben (intern und extern)</t>
  </si>
  <si>
    <t>Eigene Veröffentlichungen (externe)</t>
  </si>
  <si>
    <t>Veranstaltung / Titel der Präsentation</t>
  </si>
  <si>
    <t>Mentor sein</t>
  </si>
  <si>
    <t>Mentee's Name</t>
  </si>
  <si>
    <t>Organisation des Mentees</t>
  </si>
  <si>
    <t>Mentee's Organization</t>
  </si>
  <si>
    <t>The following persons have agreed to confirm that I work in the field of project management, and that the claims made in my certification record are true to the best of their knowledge.</t>
  </si>
  <si>
    <t>Domäne</t>
  </si>
  <si>
    <t>Nur Felder in dieser Färbung beschreiben</t>
  </si>
  <si>
    <t>Bereich</t>
  </si>
  <si>
    <t>Fakten, Beurteilung</t>
  </si>
  <si>
    <t>Korrektur Interview</t>
  </si>
  <si>
    <t>Domänen-bezogene Erfahrung des Zertifikat-inhabers</t>
  </si>
  <si>
    <t>Nachweis von mindestens 30 Monaten praktischer Erfahrung während der letzten 5 Jahre</t>
  </si>
  <si>
    <t>./.</t>
  </si>
  <si>
    <t>1.</t>
  </si>
  <si>
    <t>Praxis</t>
  </si>
  <si>
    <t>Komplexität</t>
  </si>
  <si>
    <t>1.1</t>
  </si>
  <si>
    <t>Führung (Leadership)</t>
  </si>
  <si>
    <t>Management</t>
  </si>
  <si>
    <t>1.2</t>
  </si>
  <si>
    <t>&lt;-</t>
  </si>
  <si>
    <t>Nachweise über mindestens 35 Stunden Weiterbildung pro Jahr (insgesamt 175 Stunden) seit der letzten (Re-) Zertifizierung</t>
  </si>
  <si>
    <t>PM-Tätigkeit (Monate) gesamt</t>
  </si>
  <si>
    <t>2.</t>
  </si>
  <si>
    <t>Weiterbildung</t>
  </si>
  <si>
    <t>2.1</t>
  </si>
  <si>
    <t>2.2</t>
  </si>
  <si>
    <t>2.4</t>
  </si>
  <si>
    <t>Weiterbildung Gesamt</t>
  </si>
  <si>
    <t>4.</t>
  </si>
  <si>
    <t>Einbeziehung IPMA Assessor *)</t>
  </si>
  <si>
    <t>4.1</t>
  </si>
  <si>
    <t>Zertifizierungsstelle Ausland (Adresse, Tel.)</t>
  </si>
  <si>
    <t>4.2</t>
  </si>
  <si>
    <t>Assessor Ausland (Name)</t>
  </si>
  <si>
    <t>Anerkannter Anteil als Weiterbildung pro Jahr [h]</t>
  </si>
  <si>
    <t>4.3</t>
  </si>
  <si>
    <t>Prüfung Ausland (Datum, Referenzdokument)</t>
  </si>
  <si>
    <t>&lt;60%</t>
  </si>
  <si>
    <t>&lt;70%</t>
  </si>
  <si>
    <t>Ergebnisse</t>
  </si>
  <si>
    <t>Abgeschlossen: Rezertifizierung empfohlen</t>
  </si>
  <si>
    <t>&lt;80%</t>
  </si>
  <si>
    <t>Abgeschlossen: Einladung zum Interview</t>
  </si>
  <si>
    <t>&lt;90%</t>
  </si>
  <si>
    <t>Umfang ca. Seiten:</t>
  </si>
  <si>
    <t>Höherzertifizierung empfohlen (Level C-&gt;B)</t>
  </si>
  <si>
    <t>Begründung
(Hier nur Gründe anführen bei einer Ablehnung der Zertifikats-erneuerung - hier KEINE Notizen!)</t>
  </si>
  <si>
    <t>Notizen</t>
  </si>
  <si>
    <t>Interview wegen nicht ausreichender PM-Praxis</t>
  </si>
  <si>
    <t>Interview wegen nicht ausreichender Weiterbildung</t>
  </si>
  <si>
    <t>Stichpunktartig protokollierte Antwort</t>
  </si>
  <si>
    <t>Bestanden/nicht bestanden (1/0)</t>
  </si>
  <si>
    <t>Zert. Ja:</t>
  </si>
  <si>
    <t>Zert. Nein:</t>
  </si>
  <si>
    <t>Bildung</t>
  </si>
  <si>
    <t>CE and KCI Selector</t>
  </si>
  <si>
    <t>Formulierte Frage</t>
  </si>
  <si>
    <t>Ergebnis-Berechnung</t>
  </si>
  <si>
    <t>Anrechnung der Praxis auf die Weiterbildung
aus "Projekteliste"</t>
  </si>
  <si>
    <t>V01</t>
  </si>
  <si>
    <t>Implementation of PM-ZERT and pilot feedback</t>
  </si>
  <si>
    <t>Reason for action</t>
  </si>
  <si>
    <t>Release for acceptance testing</t>
  </si>
  <si>
    <t>Implementation of Re-Cert feedbackm</t>
  </si>
  <si>
    <t>Addition of F04*, tie in with cover sheet</t>
  </si>
  <si>
    <t>Agreed change to re-cert procedure</t>
  </si>
  <si>
    <t>Ja</t>
  </si>
  <si>
    <t>Nein</t>
  </si>
  <si>
    <t>Yes</t>
  </si>
  <si>
    <t>No</t>
  </si>
  <si>
    <t>Erstbewertung</t>
  </si>
  <si>
    <t>Interview</t>
  </si>
  <si>
    <t>Kandidat:</t>
  </si>
  <si>
    <t>Candidate:</t>
  </si>
  <si>
    <t>Bloomstufe
  B         A</t>
  </si>
  <si>
    <t>• Reflektiert die Mission und die Vision der Organisation
• Richtet das Portfolio an Mission, Vision und Strategie aus durch Einsatz eines spezifischen Managementsystems (Top-Down-Ansatz und vordefinierte Ziele)
• Kontrolliert, ob die Ziele und der Nutzen des Programms) mit der Mission, der Vision und der Strategie übereinstimmen
• Entwickelt und führt Messgrößen zur strategischen Angleichung
ein
• Überprüft, ob das Portfolio der Organisation Nutzen bringt</t>
  </si>
  <si>
    <t>Chancen identifizieren und ausschöpfen, die die Strategie der Organisation beeinflussen</t>
  </si>
  <si>
    <t>• Kennt den Strategieentwicklungsprozess
• Identifiziert neue Chancen und Risiken, die die Strategie verändern könnten
• Motiviert Dritte, die Strategie der Organisation durch Einführung eines interaktiven Steuerungsmanagementsystems zu hinterfragen
• Identifiziert strategische Verbesserungen und kommuniziert diese an die Führungskräfte in der Organisation
• Beeinflusst den Strategieentwicklungsprozess durch Vorschläge zur Veränderung der Strategie</t>
  </si>
  <si>
    <t>Rechtfertigung für das Programm entwickeln und sicherstellen, dass die betriebswirtschaftlichen und/oder organisationalen
Gründe, die zum Programm geführt haben, weiterhin bestehen</t>
  </si>
  <si>
    <t>• Entwickelt die betriebswirtschaftlichen und / oder organisationalen Gründe, die zum Programm geführt haben
• Identifiziert die Ziele des Programms, um den geplanten Nutzen zu erzielen
• Verkauft die betriebswirtschaftliche und / oder organisationale Begründung, die zum Programm geführt haben, gegenüber den Sponsoren und/oder Ownern des Programms
• Beurteilt die Begründung für das Programm neu und validiert diese, um die dauerhafte Ausrichtung an der Organisationsstrategie sicherzustellen
• Definiert und  managt die Programmkonfiguration 
• Wendet Nutzenrealisierungsmanagement an, um zu prüfen, ob die Programmtkonfiguration zu den gewünschten Ergebnissen führt
• Analysiert, um festzustellen, ob das Programm aufgrund von Redundanz oder überholter strategischer Bedeutung zu beendet ist und ändert die Konfiguration</t>
  </si>
  <si>
    <t>• Entwickelt und / oder leitet eine Reihe kritischer Erfolgsfaktoren (KEF) für das Programm ab, ausgehend von den strategischen Ziele der organisation
• Nutzt formelle KEF für die strategische Angleichung
• Erkennt den informellen Kontext der KEF an
• Zieht Kollegen hinzu, um die organisationsstrategie beim Erarbeiten der KEF zu hinterfragen 
• Verwendet die KEF zur Bestimmung der strategischen Ausrichtung einer Komponente des Programms 
• Bezieht sich auf die KEF des Programms im Umgang mit den Stakeholdern und deren Erwartungen
• Verwendet die KEF für die Entwicklung von Anreizen und Anerkennungen um eine motivierte Kultur zu schaffen
• Beurteilt die Realisierung der KEF in einem höheren strategischen Kontext</t>
  </si>
  <si>
    <t>Key Performance Indicators (KPI) bestimmen, beurteilen und überprüfen</t>
  </si>
  <si>
    <t>• Entwickelt und / oder leitet eine Reihe von KPI oder eine Reihe von KPI für jeden kritischen Erfolgsfaktor ab
• Entscheidet bei der Entwicklung von KPI über den Einsatz von Früh-, Spät- und Echtzeitindikatoren
• Verwendet KPI für das Management der strategischen Leistung
• Verwendet KPI zur Einflussnahme auf Stakeholder
• Verwendet KPI für die Entwicklung persönlicher Entwicklungspläne
• Verwendet KPI für die Entwicklung eines Anreiz- / Anerkennungssystems
• Beurteilt die Projektkonfiguration neu durch den Einsatz von KPI und die Durchführung von Nutzenrealisierungsmanagement neu</t>
  </si>
  <si>
    <t>Die für das Programm gültigen Rechtsvorschriften identifizieren und einhalten</t>
  </si>
  <si>
    <t>• Kennt den rechtlichen Kontext und dessen Anwendungen
• Identifiziert und wendet die relevanten Rechtsvorschriften oder Vorschriften an
• Identifiziert rechtliche Risiken für das Geschäft und holt die Meinung von Experten ein
• Erkennt Aufsichts- und Regulierungsbehörden als Stakeholder an und managt diese entsprechend
• Kontrolliert, ob die Beschaffungswege des Programms im Einklang mit den Vorschriften sind
• Überprüft und überwacht, ob sich die Programmorganisation an den gesetzlichen Rahmen hält und nimmt notwendige Anpassungen vor</t>
  </si>
  <si>
    <t>Alle für das Programm und seine Komponenten relevanten Vorschriften für Sicherheit, Gesundheit und Umweltschutz
(SGU) identifizieren und einhalten</t>
  </si>
  <si>
    <t>• Überwacht, ob  die SGU-Vorschriften umgesetzt werden
• Überprüft, obSGU-Kontext in den Projekt- und Programmzielen berücksichtigt wurden
• Kontrolliert die Risiken, die sich aus der Implementierung der SGU-Maßnahmen auf das Programm ergeben
• Schafft eine sichere und gesunde Umgebung für die Programmorganisation
• Wendet SGU-Vorschriften zur Sicherstellung der Nachhaltigkeit des Programms an
• Stellt sicher, dass die Programmorganisation die SGU-Vorgaben einhält</t>
  </si>
  <si>
    <t>Alle für das Programm relevanten Verhaltensregeln und Berufsvorschriften identifizieren und einhalten</t>
  </si>
  <si>
    <t>• Identifiziert das Vertragsrecht und faire Handelspraktiken
• Identifiziert verschiedene Beschaffungsmethoden und zugehörige Richtlinien
• Identifiziert und reflektiert ethische Grundsätze, definiert geeignete Verhaltenskodizez innerhalb der Programmorganisation und führt sie ein
• Erhält die berufliche Integrität aufrecht, indem die Anwendung des Verhaltenskodex in der gesammten Organisation sichergestellt wird
• Überwacht und bearbeitet Verstöße gegen die Verhaltenskodizes innerhalb der Programmorganisation</t>
  </si>
  <si>
    <t>• Identifiziert die sozialen und ökologischen Auswirkungen des Programms
• Definiert und kommuniziert die Nachhaltigkeitsziele für das Programm und seine Ergebnisse
• Stimmt die Programmziele mit der Nachhaltigkeitsstrategie der Organisation ab
• Stellt im Programm ein Gleichgewicht zwischen den Anforderungen der Gesellschaft, der Umwelt und der Ökonomie (Menschen, Planet, Profit) her
• Fördert die Entwicklung und Verbreitung umweltfreundlicher Technologien</t>
  </si>
  <si>
    <t>Für das Programm relevante professionelle Standards und Tools beurteilen, nutzen und weiterentwickeln</t>
  </si>
  <si>
    <t>• Identifiziert und legt die relevanten beruflichen und fachlichen Standards fest, die im Programm und seinen Komponenten angewendet werden sollen
• Managt die Risiken, die sich aus der Anwendung der Standards im gesamten Programm ergeben
• Führt ein Benchmarking der aktuellen Praktiken   Programmmanagements mit bewährten Verfahren durch
• Beteiligt sich an externen Beurteilungen der Praktiken und des Reifegrads des Programmmanagements der Organisation
• Identifiziert Schritte für weitere Verbesserungen
• Initiiert die Entwicklung individueller Standards
• Verbreitet das beu erworbene Know-how in der gesamten Organisation
• Überprüft, ob Verbesserungen / Entwicklungen in der Programmorganisation angewandt werden</t>
  </si>
  <si>
    <t>• Identifiziert und beurteilt die relevanten fehlerhaften Bereiche der Organisationskompetenz im Projekt-, Programm- und Programmmanagement
• Setzt relkevante Benchmarks für die magelhaften Bereiche
• Identifiziert die Benchmarking-Bezugsbasis und Good Practces
• Führt Benchmarks gegen Good Practices durch
• Identifiziert und integriert Maßnahmen für die erforderlichen Verbesserungen
• Überwacht und kontrolliuert die Umsetzung der identifizierten Maßnahmen um und bewertet den entstandenen Nutzen
• Überprüft, ob die erkannten Verbesserungen in der gesamten Organisation angewandt werden</t>
  </si>
  <si>
    <t>Informellen Einfluss von Einzelpersonen und Personengruppen und deren potenzielle Auswirkungen auf das Programm und seine Komponenten beurteilen sowie diese Kenntnisse zum Nutzen des Programms verwenden</t>
  </si>
  <si>
    <t>Kultur und Werte der Gesellschaft und deren Auswirkungen auf das Programm und dessen Komponenten beurteilen</t>
  </si>
  <si>
    <t>• Kennt und berücksichtigt die kulturellen Werte, Normen und Anforderungen einer Gesellschaft
• Kennt, berücksichtigt und versteht die Auswirkungen kultureller Werte, Normen und Anforderungen auf das Programm
• Arbeitet gemäß der kulturellen Anforderungen und Werte der Gesellschaft, ohne dabei die eigenen Werte aufs Spiel zu setzen</t>
  </si>
  <si>
    <t>Das Programm und dessen Komponenten mit der formellen Kultur und den Werten der Organisation in Einklang bringen</t>
  </si>
  <si>
    <t>• Erkennt und respektiert die formellen Normen und Anforderungen der Organisation
• Erkennt und respektiert die Werte und die Mission der Organisation 
• Arbeitet entsprechend der Qualitätspolitik der Organisation und wendet sie entsprechend an
• Erkennt die Auswirkungen der formellen Normen, Anforderungen, Werte, Mission und Qualitätspolitik des Programms
• Handelt nachhaltig durch Ausübung der sozialen Verantwortung der Organisation</t>
  </si>
  <si>
    <t>Die informelle Kultur und Werte der Organisation und deren Auswirkungen auf das Programm und dessen Komponenten beurteilen</t>
  </si>
  <si>
    <t>• Erkennt, analysiert und respektiert die informelle Kultur und die Werte der Organisation 
• Erkennt und respektiert die Auswirkungen der informellen Kultur und der Werte der Organisation und das Programm
• Arbeitet in Übereinstimmung mit den informellen Werten und Normen der Organisation</t>
  </si>
  <si>
    <t>• Lebt Verantwortung und Engagement in Verhalten, Ausdrucksweise und Haltung vor
• Spricht positiv über das Programm
• Zieht andere an und erzeugt Enthusiasmus für das Programm
• Legt Messgrößen und Leistungsindikatoren fest
• Sucht nach Möglichkeiten zur Verbesserung der Programmprozesse
• Fördert Lernen</t>
  </si>
  <si>
    <t>• Bietet Beratung für Personen und Teams an
• Coacht und bietet Mentoring für Teammitglieder an, um deren Kompetenzen weiterzuentwickeln
• Entwickelt Vision und Werte und führt gemäß diesen Prinzipien
• Stimmt die individuellen Ziele mit den gemeinsamen Zielen ab und beschreibt, wie diese erreicht werden können</t>
  </si>
  <si>
    <t xml:space="preserve">• Fördert kontinuierliches Lernen und das Teilen von Wissen
• Nutzt Techniken zur Förderung der Entwicklung des Teams und der Teammitglieder
• Bietet Möglichkeiten für Seminare und Workshops an (inner- und außerbetrieblich)
• Plant und fördert Veranstaltungen zu „Lessons Learned“
• Stellt den Teammitgliedern Zeit und Gelegenheit zur Selbstverwirklichung zur Verfügung
</t>
  </si>
  <si>
    <t>• Identifiziert mögliche Verhandlungsstrategien, um das gewünschte Ergebnis zu erzielen
• Identifiziert Nebenstrategien und alternative Optionen, um „Was wäre wenn“-Szenarien anzugehen
• Entscheidet sich für eine Verhandlungsstrategie und erklärt, warum diese gewählt wurde
• Analysiert und wählt Verhandlungstechniken und -taktiken, um die gewünschte Verhandlungsstrategie zu unterstützen
• Identifiziert die Schlüsselparteien, die an den Verhandlungen teilnehmen und artikuliert deren Mandat deutlich</t>
  </si>
  <si>
    <t>• Betrachtet die Ziele und vereinbarten Ergebnisse des Programms als federführend für alle Aktivitäten
• Formuliert eigene Ziele auf Basis der Ziele und Ergebnisse
• Leitet die Strategie des Programms von den Zielen ab
• Beurteilt alle Entscheidungen und Handlungen hinsichtlich ihres Einflusses auf den Programmerfolg</t>
  </si>
  <si>
    <t>• Bewertet und priorisiert die unterschiedlichen Bedürfnisse
• Erklärt, warum bestimmte Aktionen höher priorisiert werden
• Nutzt die Ergebnisorientierung als Mittel, um „nein“ zu sagen und zu erklären warum</t>
  </si>
  <si>
    <t>Das Programm, seine Prozesse und Ergebnisse promoten und sie „verkaufen“</t>
  </si>
  <si>
    <t>• Verteidigt und wirbt für die Ziele, Herangehensweise, Prozesse und vereinbarten Ergebnisse
• Sucht nach Möglichkeiten und Orten, das Programm zu promoten
• Lädt andere ein, sich am Marketing für das Programm zu beteiligen</t>
  </si>
  <si>
    <t>Programmdesign</t>
  </si>
  <si>
    <t>• Identifiziert, klassifiziert, evaluiert und priorisiert die Einflüsse aus jeder der fünf Kontext-Kompetenzen, die für das Projekt erfolgsrelevant sind
• Erkennt und beurteilt sowohl formelle als auch informelle Einflusselemente
• Evaluiert und priorisiert Erfolgskriterien aus jeder der fünf Kontext-Kompetenzen
• Erkennt und beurteilt sowohl formelle als auch informelle Erfolgskriterien
• Kennt und nutzt relevante Erfolgsfaktoren
• Beurteilt die Relevanz der Erfolgskriterien regelmäßig neu</t>
  </si>
  <si>
    <t>• Stellt eine Beziehung zwischen den Zielen der Organisation und des Projekts her
• Stellt eine Beziehung zwischen den strategischen und operativen Zielen des Projekts her
• Erreicht das Commitmentfür diese Gruppen von Zielen
• Identifiziert die wichtigsten Prioritäten für die Zieleauswahl basierend auf den Zielen der Organisation</t>
  </si>
  <si>
    <t>• Beurteilt und managt die Konfiguration des Leistungsumfangs der Komponenten
• Definiert Rollen und weist Verantwortlichkeiten für das Konfigurationsmanagement des Leistungsumfangs zu
• Nimmt, wenn nötig, Anpassungen am Leistungsumfang von Projekten oder Programmen vor, um die Effektivität zu gewährleisten</t>
  </si>
  <si>
    <t>• Beurteilt und dokumentiert den Informations- und Dokumentationsbedarf des Programms und seiner Komponenten
• Etabliert unterschiedliche Arten der Kommunikation, einschließlich formeller und informeller
•Bestimmt die Merkmale des Programms und seiner Komponenten, welche die Bedürfnisse der Organisation beeinflussen</t>
  </si>
  <si>
    <t>• Erklärt die grundsätzlichen Möglichkeiten, eine dauerhafte (Programm-) Organisation zu strukturieren
• Erklärt, wie die dauerhafte (Programm-) Organisation mit der temporären Organisation (Projekte und Programme) interagiert
• Konzipiert und entwickelt einen Governance-Rahmen und -Strukturen
• Definiert die Verantwortlichkeiten der Schlüsselpersonen im Programm und in all seinen Komponenten
• Identifiziert Beziehungen und Schnittstellen zu den Corporate Governance Regelungen
• Identifiziert und dokumentiert die Unterschiede der Befugnisse der  Linienorganisation und denen des Programms, sowie den Komponenten</t>
  </si>
  <si>
    <t>• Erklärt Zweck und Inhalt von Informationsprozessen
• Kommuniziert intrne Informationen
• Stellt sicher, dass redundante Informationen begrenzt und / oder verhindert werden
• Erklärt den Nutzen unterschiedlicher Arten von Meetings
• Erklärt, was eine Kommunikationsinfrastruktur umfasst
• Führt Planungs- und Control-Mechanismen ein, z. B. Dokumentation der wichtigsten Entscheidungen</t>
  </si>
  <si>
    <t>Organisation des Programms und seiner Komponenten implementieren, überwachen und anpassen</t>
  </si>
  <si>
    <t>• Führt neue Organisationsstrukturen zum effizienten Management von Ressourcen ein
• Überwacht die Organisation einschließlich der beteiligten Rollen
• Passt bei Bedarf die Organisation einschließlich der beteiligten Rollen an</t>
  </si>
  <si>
    <t>• Erfasst und koordiniert die Verfügbarkeit von Personal und die Nutzung von Informationen
• Beurteilt die Stärken und Schwächen des Personals und integriert diese in die Mitarbeiterentwicklungspläne der Organisation
• Ermittelt und untersucht Ressourcenlücken und -konflikte</t>
  </si>
  <si>
    <t>keine Taxonomie vor-handen</t>
  </si>
  <si>
    <t>• Erfasst und koordiniert Fähigkeiten und Erfahrungen
• Entwickelt Pläne und führt ein zur Lösung der ermittelten Ressourcenengpässe und zum Schließen der Lücken bei den Fähigkeiten</t>
  </si>
  <si>
    <t>• Definiert einen Zeitplan und eine Struktur für die Berichterstattung
• Gibt in regelmäßigen Abständen allgemeine Fortschrittsberichte heraus
• Gibt in regelmäßigen Abständen allgemeine Prognoseberichte heraus</t>
  </si>
  <si>
    <t>• Identifiziert mehrere mögliche Risikomanagementmodelle
• Entwickelt eine Risikomanagementstruktur in Übereinstimmung mit den Organisationsrichtlinien und / oder internationalen Standards
• Gewährleistet die konsequente Anwendung der Risikomanagementstruktur</t>
  </si>
  <si>
    <t>• Beschreibt die Bedeutung einer Stakeholderstrategie
• Erstellt einen Kommunikationsplan
• Erklärt das Warum, Was, Wann, Wie, Wer sowie den erforderlichen Detailierungsgrad des Kommunikationsplans für einen bestimmten Stakeholder bzw. eine bestimmte Stakeholdergruppe
• Passt den Kommunikationsplan und / oder die -strategie an die sich ändernden Umständen an
• Erklärt die Gründe für eine Änderung des Kommunikationsplans
• Identifiziert und evaluiert die Chancen möglicher Bündnisse und Partnerschaften
• Identifiziert und evaluiert potenzielle Unterstützer</t>
  </si>
  <si>
    <t xml:space="preserve">
• Bindet Anwender ein und fordert deren Commitment für das Programm und dessen relevanten Komponenten
• Fordert das Commitment von Lieferanten für das Programm und dessen relevante Komponenten ein
• Kooperiert mit Partnern, um das optimale Ergebnis für die Organisation zu erzielen</t>
  </si>
  <si>
    <t>• Verhandelt und dokumentiert die Kooperationsvereinbarungen
• Entwickelt einen Kooperationsplan und führt diesen ein
• Entwickelt und evaluiert Erfolgsmaßstäbe
• Erhält wichtige Partnerschaftsvereinbarungen aufrecht
• Beendet alle formellen Vereinbarungen</t>
  </si>
  <si>
    <t xml:space="preserve">• Analysiert die Anpassungsfähigkeit an notwendige Veränderungenauf der Basis von vorherigen erfolgreichen bzw. erfolglosen Veränderungen in der Organisation
• Beurteilt mögliche Bereiche des Widerstands gegen die Veränderung
• Erkennt und beeinflusst Umstände, die die Anpassungsfähigkeit verbessern können
</t>
  </si>
  <si>
    <t xml:space="preserve">• Identifiziert Transformationsstrategien
• Arbeitet mit anderen zusammen, um Strategien zu validieren
• Dokumentiert Strategien 
</t>
  </si>
  <si>
    <t>Projektselektion und Programmbalance</t>
  </si>
  <si>
    <t>4.5.14.1.</t>
  </si>
  <si>
    <t>Projekte oder Ideen identifizieren, die in das Programm aufgenommen werden könnten</t>
  </si>
  <si>
    <t xml:space="preserve">•  Führt eine Erhebung durch, um alle Ideen zu identifizieren und zu erfassen, vorgeschlagene, geplante, aktive oder inaktive Projekte und Programme in der Organisation
• Erfasst und dokumentiert Probleme und deren Status
• Führt Bestandsaufnahmen durch und überprüft diese mit geeigneten Personen/Teams
</t>
  </si>
  <si>
    <t>• Erfasst Informationen zu Komponentenschnittstellen, auftretenden Risiken, Ressourcen- und Kostenanforderungen, sowie Geschäftsnutzen und die jeweiligen Zeitpläne
• Zeichnet Abhängigkeiten zwischen Projekten und Programmen auf
• Identifiziert obligatorische Projekte und Programme und markiert diese für die Aufnahme ins Programm
• Führt eine Vergleichsanalyse durch, um die bestgeeignetsten Projekte und Programme für eine Finanzierung durch die Organisation zu bestimmen
• Stellt sicher, dass Projekte und Programme anhand einer Vergleichsanalyse priorisiert sind
• Analysier Projekte und Programme, die ähnlichen geschäftlichen Nutzen und ähnliche Ergebnisse liefern, um Doppelungen zu eliminieren und Synergien zu nutzen
• Gruppiert verwandte Projekte in einem Programm, um sicherzustellen, dass Nutzeneffekte erzielt werden</t>
  </si>
  <si>
    <t>4.5.14.3.</t>
  </si>
  <si>
    <t>Projekte anhand der Programmprioritäten priorisieren</t>
  </si>
  <si>
    <t>•  Identifiziert, dokumentiert und überprüft Methoden und Kriterien, um sich ändernden organisationalen Prioritäten für die Priorisierung von Programmen und Projekten Rechnung zu tragen
• Stellt eine Einigung mit führenden Stakeholdern hinsichtlich der &gt;&gt;Priorisierungskriterien für das Programm sicher
• Unterstützt den Review- und Priorisierungsprozess durch Entscheider
• Unterstützt die Resourcen-, Finanzmittelbeschaffungs-, sowie sie Auswahlprozesse
• Priorisiert die Programme und Projekte auf Basis ihrer Ausrichtung und ihrem Nutzenbeitrag zu den strategischen organisationalen Zielen</t>
  </si>
  <si>
    <t>4.5.14.4.</t>
  </si>
  <si>
    <t>Überblick über die Leistungen der Komponenten sicherstellen</t>
  </si>
  <si>
    <t>•  Stimmt das Programm anhand geeigneter Überprüfungspunkte im Programm-Prüfzyklus ab
• Erfasst und überprüft qualitative und quantitative Daten, um die Projekt- und Programmleistung gegenüber den entsprechenden Plänen zu bestimmen
• Überwacht das Programm, um sicherzustellen, dass die Programme und Projekte ihre wesentlichen Ziele erfüllen und den Nutzen bringen
• Identifiziert und makiert Projekte und Programme für eine weitergehende Untersuchung, wenn diese die geplante Leistung nicht erfüllen
• Identifiziert und empfiehlt Änderungen an Komponenten im Programm</t>
  </si>
  <si>
    <t>4.5.14.5.</t>
  </si>
  <si>
    <t>4.5.14.6.</t>
  </si>
  <si>
    <t>Bestehensgrenze gem. Z01 bei A</t>
  </si>
  <si>
    <t>• Reflektiert die Mission und die Vision der Organisation
• Richtet das Portfolio an Mission, Vision und Strategie aus durch Einsatz eines spezifischen Managementsystems (Top-Down-Ansatz und vordefinierte Ziele)
• Kontrolliert, ob die Ziele und der Nutzen des Portfolios und seiner Komponenten (Projekte und Programme) mit der Mission, der Vision und der Strategie übereinstimmen
• Entwickelt und führt Messgrößen zur strategischen Angleichung
ein
• Überprüft, ob das Portfolio der Organisation Nutzen bringt</t>
  </si>
  <si>
    <t>Rechtfertigung für das Portfolio entwickeln und sicherstellen, dass die betriebswirtschaftlichen und/oder organisationalen
Gründe, die zum Portfolio geführt haben, weiterhin bestehen</t>
  </si>
  <si>
    <t>• Entwickelt die betriebswirtschaftlichen und / oder organisationalen Gründe, die zum Portfolio geführt haben
• Identifiziert die Ziele des Portfolios, um den geplanten Nutzen zu erzielen
• Verkauft die betriebswirtschaftliche und / oder organisationale Begründung, die zum Portfolio geführt haben, gegenüber den Sponsoren und/oder Ownern des Portfolios
• Beurteilt die Begründung für das Portfolio neu und validiert diese, um die dauerhafte Ausrichtung an der Organisationsstrategie sicherzustellen
• Definiert und  managt die Portfoliokonfiguration 
• Wendet Nutzenrealisierungsmanagement an, um zu prüfen, ob die Portfoliotkonfiguration zu den gewünschten Ergebnissen führt
• Analysiert, um festzustellen, ob das Portfolio aufgrund von Redundanz oder überholter strategischer Bedeutung zu beendet ist und ändert die Konfiguration</t>
  </si>
  <si>
    <t>• Entwickelt und / oder leitet eine Reihe kritischer Erfolgsfaktoren (KEF) für das Portfolio ab, ausgehend von den strategischen Ziele der organisation
• Nutzt formelle KEF für die strategische Angleichung
• Erkennt den informellen Kontext der KEF an
• Zieht Kollegen hinzu, um die organisationsstrategie beim Erarbeiten der KEF zu hinterfragen 
• Verwendet die KEF zur Bestimmung der strategischen Ausrichtung einer Komponente des Portfolios 
• Bezieht sich auf die KEF des Portfolios im Umgang mit den Stakeholdern und deren Erwartungen
• Verwendet die KEF für die Entwicklung von Anreizen und Anerkennungen um eine motivierte Kultur zu schaffen
• Beurteilt die Realisierung der KEF in einem höheren strategischen Kontext</t>
  </si>
  <si>
    <t xml:space="preserve">• Definiert ein Portfolio und kennt die Prinzipien des Portfoliomanagements
• Definiert die Merkmale eines Portfolios wie Auswahl und Priorisierungskriterien, kritische Erfolgsfaktoren (KEF) und Leistungsindikatoren (KPI)
• Managt Schnittstellen verschiedener projekte und Programme innerhalb eines Portfolios, um das Portfolio abzugleichen
• Managt und hält eine klare Kommunikation innerhalb des Portfolios aufrecht
•Managt die Kommunikationswege zwischen dem Portfolio und den Entscheidungsgremien, sowie den Ausschüssen der Organisation </t>
  </si>
  <si>
    <t>• Erklärt die wichtigsten Konzepte des Projektmanagements
• Erklärt die wichtigsten Konzepte des Programmmanagements
• Erklärt das Konzept des Managements by Projects und setzt es praktisch um
• Erkennt und führt das Management by Projects and Programs als entscheidenden Teil der Portfolioorganisation ein
• Erkennt und erklärt den aktuellen Reifegrad einer Organisation hinsichtlich des Portfoliomanagements</t>
  </si>
  <si>
    <t>Das Portfolio mit den Entscheidungs- und Berichterstattungsstrukturen sowie den Qualitätsanforderungen der Organisation in Einklang bringen</t>
  </si>
  <si>
    <t xml:space="preserve">• Identifiziert die Standardabläufe der Organisation und die Regeln der Entscheidungsfindung für alle Fälle, die über die eigenen Kompetenzen und Verantwortlichkeiten hinausgehen
• Richtet die Kommunikation eines Portfolios gemäß den Regeln zur Berichterstattung in der Stammorganisation aus
• Wendet die Standards des Berichtswesens der Stammorganisation im Portfolio 
• Wendet die Qualitätssicherungsstandards der Stammorganisation an
• Überwacht und steuert die &lt;Kommunikation innerhalb eines Portfolios und zwischen dem Portfolio und der Organisation </t>
  </si>
  <si>
    <t>• Nutzt HR für die Rekrutierung von Personal mit den benötigten Kompetenzen
• Geht bewusst mit der Abgrenzung zwischen der temporären Organisation und dem HR um
• Baut gute Beziehungen zum HR auf und pflegt diese
• Nutzt die Prozesse des HR für Schulung und individuelle Kompetenzentwicklung
• Erklärt die Merkmale des Ressourcenmanagements und deren Wert für das Portfoliomanagement</t>
  </si>
  <si>
    <t>• Kennt die Prozesse der Finanzabteilung und des Controllings
• Unterscheidet zwischen den verpflichtenden und optionalen Instrumenten der Finanzabteilung und des Controllings
• Überwacht und steuert den effektiven und effizienten Einsatz von Regeln, Richtlinien, Prozessen und Werkzeugen in Projekten zum Nutzen des Portfolios
• Kommuniziert und berichtet den Finanzstatus und Trends klar und objektiv</t>
  </si>
  <si>
    <t>• Kennt den rechtlichen Kontext und dessen Anwendungen
• Identifiziert und wendet die relevanten Rechtsvorschriften oder Vorschriften an
• Identifiziert rechtliche Risiken für das Geschäft und holt die Meinung von Experten ein
• Erkennt Aufsichts- und Regulierungsbehörden als Stakeholder an und managt diese entsprechend
• Kontrolliert, ob die Beschaffungswege des Portfolios im Einklang mit den Vorschriften sind
• Überprüft und überwacht, ob sich die Portfolioorganisation an den gesetzlichen Rahmen hält und nimmt notwendige Anpassungen vor</t>
  </si>
  <si>
    <t>Alle für das Portfolio und seine Komponenten relevanten Vorschriften für Sicherheit, Gesundheit und Umweltschutz
(SGU) identifizieren und einhalten</t>
  </si>
  <si>
    <t>• Überwacht, ob  die SGU-Vorschriften umgesetzt werden
• Überprüft, obSGU-Kontext in den Projekt- und Programmzielen berücksichtigt wurden
• Kontrolliert die Risiken, die sich aus der Implementierung der SGU-Maßnahmen auf das Portfolio ergeben
• Schafft eine sichere und gesunde Umgebung für die Portfolioorganisation
• Wendet SGU-Vorschriften zur Sicherstellung der Nachhaltigkeit des Portfolios an
• Stellt sicher, dass die Portfolioorganisation die SGU-Vorgaben einhält</t>
  </si>
  <si>
    <t>• Identifiziert das Vertragsrecht und faire Handelspraktiken
• Identifiziert verschiedene Beschaffungsmethoden und zugehörige Richtlinien
• Identifiziert und reflektiert ethische Grundsätze, definiert geeignete Verhaltenskodizez innerhalb der Portfolioorganisation und führt sie ein
• Erhält die berufliche Integrität aufrecht, indem die Anwendung des Verhaltenskodex in der gesammten Organisation sichergestellt wird
• Überwacht und bearbeitet Verstöße gegen die Verhaltenskodizes innerhalb der Portfolioorganisation</t>
  </si>
  <si>
    <t>• Identifiziert die sozialen und ökologischen Auswirkungen des Portfolios
• Definiert und kommuniziert die Nachhaltigkeitsziele für das Portfolio und seine Ergebnisse
• Stimmt die Portfolioziele mit der Nachhaltigkeitsstrategie der Organisation ab
• Stellt im Portfolio ein Gleichgewicht zwischen den Anforderungen der Gesellschaft, der Umwelt und der Ökonomie (Menschen, Planet, Profit) her
• Fördert die Entwicklung und Verbreitung umweltfreundlicher Technologien</t>
  </si>
  <si>
    <t>• Identifiziert und legt die relevanten beruflichen und fachlichen Standards fest, die im Portfolio und seinen Komponenten angewendet werden sollen
• Managt die Risiken, die sich aus der Anwendung der Standards im gesamten Portfolio ergeben
• Führt ein Benchmarking der aktuellen Praktiken   Portfoliomanagements mit bewährten Verfahren durch
• Beteiligt sich an externen Beurteilungen der Praktiken und des Reifegrads des Portfoliomanagements der Organisation
• Identifiziert Schritte für weitere Verbesserungen
• Initiiert die Entwicklung individueller Standards
• Verbreitet das beu erworbene Know-how in der gesamten Organisation
• Überprüft, ob Verbesserungen / Entwicklungen in der Portfolioorganisation angewandt werden</t>
  </si>
  <si>
    <t>• Identifiziert und beurteilt die relevanten fehlerhaften Bereiche der Organisationskompetenz im Projekt-, Programm- und Portfoliomanagement
• Setzt relkevante Benchmarks für die magelhaften Bereiche
• Identifiziert die Benchmarking-Bezugsbasis und Good Practces
• Führt Benchmarks gegen Good Practices durch
• Identifiziert und integriert Maßnahmen für die erforderlichen Verbesserungen
• Überwacht und kontrolliuert die Umsetzung der identifizierten Maßnahmen um und bewertet den entstandenen Nutzen
• Überprüft, ob die erkannten Verbesserungen in der gesamten Organisation angewandt werden</t>
  </si>
  <si>
    <t>• Kennt und berücksichtigt die kulturellen Werte, Normen und Anforderungen einer Gesellschaft
• Kennt, berücksichtigt und versteht die Auswirkungen kultureller Werte, Normen und Anforderungen auf das Portfolio
• Arbeitet gemäß der kulturellen Anforderungen und Werte der Gesellschaft, ohne dabei die eigenen Werte aufs Spiel zu setzen</t>
  </si>
  <si>
    <t>• Erkennt und respektiert die formellen Normen und Anforderungen der Organisation
• Erkennt und respektiert die Werte und die Mission der Organisation 
• Arbeitet entsprechend der Qualitätspolitik der Organisation und wendet sie entsprechend an
• Erkennt die Auswirkungen der formellen Normen, Anforderungen, Werte, Mission und Qualitätspolitik des Portfolios
• Handelt nachhaltig durch Ausübung der sozialen Verantwortung der Organisation</t>
  </si>
  <si>
    <t>• Erkennt, analysiert und respektiert die informelle Kultur und die Werte der Organisation 
• Erkennt und respektiert die Auswirkungen der informellen Kultur und der Werte der Organisation und das Portfolio
• Arbeitet in Übereinstimmung mit den informellen Werten und Normen der Organisation</t>
  </si>
  <si>
    <t>• Lebt Verantwortung und Engagement in Verhalten, Ausdrucksweise und Haltung vor
• Spricht positiv über das Portfolio
• Zieht andere an und erzeugt Enthusiasmus für das Portfolio
• Legt Messgrößen und Leistungsindikatoren fest
• Sucht nach Möglichkeiten zur Verbesserung der Portfolioprozesse
• Fördert Lernen</t>
  </si>
  <si>
    <t>• Betrachtet die Ziele und vereinbarten Ergebnisse des Portfolios als federführend für alle Aktivitäten
• Formuliert eigene Ziele auf Basis der Ziele und Ergebnisse
• Leitet die Strategie des Portfolios von den Zielen ab
• Beurteilt alle Entscheidungen und Handlungen hinsichtlich ihres Einflusses auf den Portfolioerfolg</t>
  </si>
  <si>
    <t>• Verteidigt und wirbt für die Ziele, Herangehensweise, Prozesse und vereinbarten Ergebnisse
• Sucht nach Möglichkeiten und Orten, das Portfolio zu promoten
• Lädt andere ein, sich am Marketing für das Portfolio zu beteiligen</t>
  </si>
  <si>
    <t>Portfoliodesign</t>
  </si>
  <si>
    <t>• Würdigt und sammelt Lessons Learned aus früheren Portfolio-Zyklen
• Nutzt relevante Lessons Learned
• Kennt und nutzt Forschung und Benchmarking-Methoden für die Verbesserung der Projektleistung
• Identifiziert Lessons Learned aus dem Projekt und gibt diese an die Organisation weiter</t>
  </si>
  <si>
    <t>Leistungsumfang des Portfolios</t>
  </si>
  <si>
    <t>• Identifiziert und hält den Leistungsumfang des Portfolios aufrecht
• Beurteilt und managt die Schnittstellen mit anderen Portfolios
• Passt den Leistungsumfang an, wenn nötig, um effektiv zu bleiben</t>
  </si>
  <si>
    <t>• Bestimmt den Entscheidungszyklus des Portfolios und wendet ihn an
• Verbindet das Portfoliomanagement mit den regelmäßigen Besprechungen
• Identifiziert die wichtigsten Entscheidungspunkte für Kompnenten
• Identifiziert und managt Abhängigkeiten zwischen allen Komponenten</t>
  </si>
  <si>
    <t>• Beurteilt und dokumentiert den Informations- und Dokumentationsbedarf des Portfolios und seiner Komponenten
• Etabliert unterschiedliche Arten der Kommunikation, einschließlich formeller und informeller
•Bestimmt die Merkmale des Portfolios und seiner Komponenten, welche die Bedürfnisse der Organisation beeinflussen</t>
  </si>
  <si>
    <t>• Erklärt die grundsätzlichen Möglichkeiten, eine dauerhafte (Portfolio-) Organisation zu strukturieren
• Erklärt, wie die dauerhafte (Portfolio-) Organisation mit der temporären Organisation (Projekte und Programme) interagiert
• Konzipiert und entwickelt einen Governance-Rahmen und -Strukturen
• Definiert die Verantwortlichkeiten der Schlüsselpersonen im Portfolio und in all seinen Komponenten
• Identifiziert Beziehungen und Schnittstellen zu den Corporate Governance Regelungen
• Identifiziert und dokumentiert die Unterschiede der Befugnisse der  Linienorganisation und denen des Portfolios, sowie den Komponenten</t>
  </si>
  <si>
    <t>• Beurteilt, adaptiert und integriert die von Organisationen verwendeten Qualitätsstandards
• Führt Qualitätsprozesse im Portfolio und dessen Komponenten ein
• Führt regelmäßige Beurteilungen der eingeführten Prozesse durch und optimiert diese bei Bedarf
• Führt Qualitätsbewusstsein in das Portfolio und dessen Komponenten ein, damit alle Beteiligten wissen, welche Qualität gefordert ist
• Führt regelmäßige Bewertungendes Qualitätsbewusstseins durch und trifft bei Bedarf korrektive Maßnahmen</t>
  </si>
  <si>
    <t>• Erstellt das Portfoliobudget für den entsprechenden Zeitrahmen, z.B. einjährig, halhjährig
• Entwickelt Budgetszenarien auf der Grundlage der aktuellen und zukünftigen Komponenten
• Überwacht den Ertrag der Budgetausgaben</t>
  </si>
  <si>
    <t>• Definiert und pflegt die Portfolio-Governance  für das Finanzmanagement
• Bricht finanzielle Leistungsindikatoren für die unteren Ebenen herunter
•Integriertdie finanziellen Leistungsindikatoren in die Strukturen und Prozesse der Stammorganisation
• Entwickelt entsprechende Standards für Berichterstattung, Überwachung und Entscheidungsfindung</t>
  </si>
  <si>
    <t>Strategische Ressourcenplanung entwickeln, um Komponenten des Portfolios (Programme und/oderProjekte) liefern zu können</t>
  </si>
  <si>
    <t>• Ermittelt die für das Programm und Projekt erforderlichen Ressourcenanforderungen auf der Grundlage der Ressourcenplanung
• Legt die Bezugsbasis für bestehende und beantragte Ressourcen fest
• Überprüft und analysiert die Ressourcenkapazität der Organisation und ermittelt Trends
• Entwickelt eine Portfolio-Ressourcenstrategie, um Komponenten-Ressourcenpläne zu informieren
• Koordiniert dies mit den Portfoliomanagement-Prozessen</t>
  </si>
  <si>
    <t>• Definiert und erhält die Governance der Beschaffung im Portfolio aufrecht
• Überprüft die Beschaffungswege im Portfolio auf Kompatibilität mit den internen und externen Vorschriften
• Beurteilt die Besonderheiten der beschafften Güter und Dienstleistungen und empfiehlt Partnerschaftsmodelle, z.B. Joint Venture, langfristige Partnerschaften</t>
  </si>
  <si>
    <t>• Analysiert den Ansatz zur Erstellung des Portfolios (Bottom-Up, Top-Down, Kombination
• Identifiziert die (möglichen) Kompnenten (Projekte und Programme)
• Identifiziert und entwickelt die Portfolio-Infrastruktur
• Entwickelt den Plan zur Kontrolle des Portfolios</t>
  </si>
  <si>
    <t>Portfoliozyklus einrichten und</t>
  </si>
  <si>
    <t>• Organisiert Management und Controlling des Portfolioprozesses
• Definiert die Leistung für den / die folgenden Zyklu / Zyklen
• Managt den Zyklus des Portfoliocontrollings</t>
  </si>
  <si>
    <t xml:space="preserve">
• Bindet Anwender ein und fordert deren Commitment für das Portfolio und dessen relevanten Komponenten
• Fordert das Commitment von Lieferanten für das Portfolio und dessen relevante Komponenten ein
• Kooperiert mit Partnern, um das optimale Ergebnis für die Organisation zu erzielen</t>
  </si>
  <si>
    <t>• Überwacht den Widerstand gegen Veränderung und thematisiert diesen
• Führt ausgewählte Interventionen durch
•Leite und organisiert Workshops und Trainings
•Passt regelmäßig den Veränderungs- oder Transformationsplan an, um gewonnene Erkenntnisse und Veränderungen im Portfolio einzuführen</t>
  </si>
  <si>
    <t>Projektselektion und Portfoliobalance</t>
  </si>
  <si>
    <t>• Erfasst Informationen zu Komponentenschnittstellen, auftretenden Risiken, Ressourcen- und Kostenanforderungen, sowie Geschäftsnutzen und die jeweiligen Zeitpläne
• Zeichnet Abhängigkeiten zwischen Projekten und Programmen auf
• Identifiziert obligatorische Projekte und Programme und markiert diese für die Aufnahme ins Portfolio
• Führt eine Vergleichsanalyse durch, um die bestgeeignetsten Projekte und Programme für eine Finanzierung durch die Organisation zu bestimmen
• Stellt sicher, dass Projekte und Programme anhand einer Vergleichsanalyse priorisiert sind
• Analysier Projekte und Programme, die ähnlichen geschäftlichen Nutzen und ähnliche Ergebnisse liefern, um Doppelungen zu eliminieren und Synergien zu nutzen
• Gruppiert verwandte Projekte in einem Programm, um sicherzustellen, dass Nutzeneffekte erzielt werden</t>
  </si>
  <si>
    <t>•  Identifiziert, dokumentiert und überprüft Methoden und Kriterien, um sich ändernden organisationalen Prioritäten für die Priorisierung von Programmen und Projekten Rechnung zu tragen
• Stellt eine Einigung mit führenden Stakeholdern hinsichtlich der &gt;&gt;Priorisierungskriterien für das Portfolio sicher
• Unterstützt den Review- und Priorisierungsprozess durch Entscheider
• Unterstützt die Resourcen-, Finanzmittelbeschaffungs-, sowie sie Auswahlprozesse
• Priorisiert die Programme und Projekte auf Basis ihrer Ausrichtung und ihrem Nutzenbeitrag zu den strategischen organisationalen Zielen</t>
  </si>
  <si>
    <t>•  Stimmt das Portfolio anhand geeigneter Überprüfungspunkte im Portfolio-Prüfzyklus ab
• Erfasst und überprüft qualitative und quantitative Daten, um die Projekt- und Programmleistung gegenüber den entsprechenden Plänen zu bestimmen
• Überwacht das portfolio, um sicherzustellen, dass die Programme und Projekte ihre wesentlichen Ziele erfüllen und den Nutzen bringen
• Identifiziert und makiert Projekte und Programme für eine weitergehende Untersuchung, wenn diese die geplante Leistung nicht erfüllen
• Identifiziert und empfiehlt Änderungen an Komponenten im Portfolio</t>
  </si>
  <si>
    <t>Zukünftige Portfolioleistung analysieren und prognostizieren</t>
  </si>
  <si>
    <t>•  Überprüft und verbessert Projekt-Identifikations- und Genehmigungsprozesse
• Beurteilt den Wert des portfolios und den Beitrag zu strategischen Prioritäten durch Überwachung und Messung der Leistungsindikatoren
• Identifiziert gewonnene Erkenntnisse und ordnet diese den Prozessen der Projektauswahl-, -priorisierung und des Portfolioausgleichs zu</t>
  </si>
  <si>
    <t>Portfolioentscheidungen vorbereiten und herbeiführen</t>
  </si>
  <si>
    <t>•  Identifiziert und dokumentiert den idealen Mix aus Projekten und Programmen für das Portfolio
• Wählt basierend auf dem genehmigten Auswahlansatz mögliche Programme und Projekte für deren Aufnahme in das Portfolio aus
• Bereitet Empfehlungen für die Auswahl von Profjekten und Programmen für deren Genehmigung vor
• Teilt den Stakeholdern die Ergebnisse der Auswahl von Projekten und Programmen mit</t>
  </si>
  <si>
    <t>Bewertung PJM Report</t>
  </si>
  <si>
    <t>Bewertung PGM Report</t>
  </si>
  <si>
    <t>Bewertung PFM Report</t>
  </si>
  <si>
    <t>4.5.13.3.</t>
  </si>
  <si>
    <t>• Identifiziert, welche Komponenten des Programms gestoppt und welche fortgesetzt werden sollen
• Weist den verantwortlichen Parteien fortlaufende Aufgaben zu
• Schließt Aufträge ab und / oder überträgt diese an die jeweiligen Parteien
• Schließt das Programm administrativ ab</t>
  </si>
  <si>
    <t>• Triff sich regelmäßig mit den Komponentenmanagern
• Erhält effektive Beziehungenzu den Komponentenmanagern aufrecht
• Orientiert die Komponentenmanager bei Bedarf neu
• Stellt den Kompnentenmanagern regelmäßig Leistungsbewertungen zur Verfügung
• Richtet Eskalationsrichtlinien für eventuelle Probleme ein und erhält diese aufrecht</t>
  </si>
  <si>
    <t>• Definiert einen Messansatz und Ziele in einem Control-Plan
• Erstellt Berichtsmedien und -zeitpläne
• Evaluiert den Komponentenfortschritt
• Nutz die eingerichtete Organisation, um Komponenten zu beschleunigen, zu verlangsamen, inhaltlich neu auszurichten, inhaltlich zu reduzieren, zu starten oder zu stoppen</t>
  </si>
  <si>
    <t>• Identifiziert Schnittstellen zwischen den Komponenten z.B. technische, einsatzmittelorientierte, nutzenbezogene
• Zeichnet Abhängigkeiten zwischen Komponenten auf
• Koordiniert die Komponenten für eine maximale Wirkung
• Richtet einen stufenweisen Ansatz ein und managt diesen
• Weist Ressourcen entsprechend den Prioritäten zu</t>
  </si>
  <si>
    <t>•  Analysiert den Ansatz zur Erstellung des Programms (Bottom-Up, Top-Down, Kombination)
• Identifiziert die möglichen Komponenten des Programms
• Identifiziert und entwickelt die Programm-Infrastruktur
• Entwickelt den Plan zur Programmkontrolle
• Legt den Programmnamen fest</t>
  </si>
  <si>
    <t>• Beendet sämtliche formellen vertraglichen Vereinbarungen
• Identifiziert Möglichkeiten einer zukünftigen Zusammenarbeit</t>
  </si>
  <si>
    <t>• Ermittelt und evaluiert Gelegenheiten zur Bildung von Allianzen und Partnerschaften
• Ermittelt und evaluiert potentielle Mitarbeiter
• Ermittelt den möglichen Nutzen für das Programm und die Mitarbeiter
• Knüpft Beziehungen zu Partnern</t>
  </si>
  <si>
    <t>Definiert und erhält die Governance der Beschaffung im Programm aufrecht
• Überprüft die Beschaffungswege im Programmund richtet sie an den internen und externen Vorschriften aus
• Integriert die Beschaffungspläne in das Programm und empfiehlt mögliche Synergiestrategien
• Beurteilt die Besonderheiten der beschafften Güter und Dienstleistungen und empfiehlt Partnerschaftsmodelle, z.B. Joint Venture, langfristige Partnerschaften</t>
  </si>
  <si>
    <t>• Definiert eine systematische Vorgehensweise, um den Ressourcenverbrauch zu bewerten
• Ermöglicht die Förderung von Kompetenzen / Fertigkeiten
• Weist mit den entsprechenden Teammitgliedern und ihrem Linienmanagement bzw. den Lieferanten auf eine Kompetenzknappheit hin</t>
  </si>
  <si>
    <t>• Führt eine Ressourcenplanung ein
• Weist Ressourcen zu
• Evaluiert Effizienz und Mehrwert der Ressourcen
• Vermittelt in ressourcenbezogenen Konflikten</t>
  </si>
  <si>
    <t>• Beschreibt die für das Programm benötigten Ressourcen
• Erstellt eine Ressourcenplanung
• Definiert Menge und Qualität der benötigten Ressourcen
• Definiert die Verantwortlichkeit für die Kompetenzentwicklung vrhandener Ressourcen oder die Beschaffung neuer Ressourcen</t>
  </si>
  <si>
    <t>• Ermittelt auf der Grundlage der Ressourcenplanung die für das Programm erforderlichen Ressourcen
• Definiert die Verantwortlichkeiten für das Ressourcenmanagement
• Legt die Bezugsbasis für bestehende und beantragte Ressourcen fest
• Überprüft und analysiert die Ressourcenkapazität der Organisation und ermittelt Trends</t>
  </si>
  <si>
    <t>• Stimmt die Programmberichte mit dem Rest der Organisation ab
• Verwendet die internen Berichte des Programms zur Ausarbeitung des Gesamtberichts
• Liefert regelmäßige Finanzberichte</t>
  </si>
  <si>
    <t>• Legt die Verteilungsstrategie der finanziellen Mittel des Programms fest
• Verteilt die benötigten finanziellen Mittel über das Programm
• Schätzt die zukünftigen Bedarfe des Programms ein
• Empfiehlt den höheren Instanzen Maßnahmen für alle Arten von Kostenüberschreitungen, die nicht mit finanziellen Mitteln für Unvorhergesehenes gedeckt werden können</t>
  </si>
  <si>
    <t>• Definiert und koordiniert die Programm-Govrnance für das Management der Finanzen
• Entwickelt eine Struktur für das Managen der Finanzen
• Inegriert die Finanzdaten in die Prozesse des Rechnungswesens und des Controllings der Organisation
• Leitet die finanziellen Leistungsindikatoren an die untergeordneten Ebenen weiter</t>
  </si>
  <si>
    <t>• Erstellt das Programmbudget
• Überwacht die Budgetausgaben im Hinblick auf den Programmnutzen
• Überarbeitet bei Bedarf das Programmbudget</t>
  </si>
  <si>
    <t>Programmbudget festlegen</t>
  </si>
  <si>
    <t>• Identifiziert Finanzierungsstrategien für das Programm
• Legt die Rechenschaftspflichten für die Fördermittel des Programms fest
• Überarbeitet und optimiert regelmäßig die Finanzierungsstrategie</t>
  </si>
  <si>
    <t>• Verwndet das Konzept der Qualitätssicherung
• Misst die Leistung des Programms im Hinblick auf KEF und KPI
• Trifft Maßnahmen zur Verbesserung der Leistung der Qualität des Programms</t>
  </si>
  <si>
    <t xml:space="preserve">Qualitätssicherung im Programm organisieren </t>
  </si>
  <si>
    <t>• Beurteilt, adaptiert und integriert die von Organisationen verwendeten Qualitätsstandards
• Führt Qualitätsprozesse im Programm ein
• Führt regelmäßige Beurteilungen der eingeführten Prozesse durch und optimiert diese bei Bedarf
• Führt Qualitätsbewusstsein im Programm ein, damit alle Beteiligten wissen, welche Qualität gefordert ist</t>
  </si>
  <si>
    <t>• Erfasst Lessons Learned aus den früheren Tranchen
• Richtet sich am Kräftefeld der aktuellen Stakeholder aus
• Passt den Fahrplan (Roadmap) an, um Änderungen zu berücksichtigen
• Holt das Commitment für den angepassten Fahrplan (Roadmap) ein
• Organisiert die neue Tranche und implementiert diese</t>
  </si>
  <si>
    <t>• Kennt die Beziehungen zwischen Kompnenten und ihren jeweiligen Ergebnissen
• Managt die gegenseitigen Beziehungen zwischen Komponenten und ihrer Verbindung zu Aktivitäten des Programms
• Beurteilt das Tempo der Umsetzung von Komponenten und beeinflusst dieses, um das benötigte Ergebnis zu erzielen und den Nutzen realisieren</t>
  </si>
  <si>
    <t>• Legt die zeitliche Abfolge der Komponenten mittels Tranchen in eines Fahrplans (Roadmap) fest
• Bestimmt die Abhängigkeiten und wechselseitigen Beziehungen zwischen den tranchen
• Passt den Fahrplan (Roadmap) allfälligen Änderungen an.</t>
  </si>
  <si>
    <t>• Managt die Konfiguration des Leistungsumfangs
• Definiert Rollen und weist diesen Verantwortlichkeiten für das Konfigurationsmanagement des Leistungsumfangs
• Stellt einen Zusammenhang zwischen der Konfiguration des Leistungsumfangs und dem Programm (sequenziell oder iterativ) her
• Vergleicht den Fortschritt und den Earned Value (Fortschrittswert) mit den Planungswerten</t>
  </si>
  <si>
    <t>• Legt den Leistungsumfang der Komponenten fest
• Stellt sicher, dass der Leistungsumfang der Komponenten den Leistungsumfang des Programms abdeckt
Beurteilt den Einfluss von Änderungen des Leistungsumfangs auf die Komponenten
• Implementiert Veränderungengemäß der Governance-Struktur</t>
  </si>
  <si>
    <t>• Definiert den Leistungsumfang der Komponenten
• Stellt sicher, dass der leistungsumfang der Komponenten den Leistungsumfang des Programms abdeckt
• Erklärt die Struktur des Leistungsumfangs des Programms
• Nimmt, wenn nötig, Anpassungen an der Struktur des Leistungsumfangs des Programms vor, um die Effektivität zu gewährleisten.</t>
  </si>
  <si>
    <t>• Definiert die Programmergebnisse
• Kennt und erklärt den Unterschied zwischen Zielen, Nutzen und Lieferobjekten
• Verhandelt und stellt klar, was die Stakeholder erhalten werden und was nicht und zu welchem Zeitpunkt
• Gleicht zwischen den Wünschen der Stakeholder und der Programmleistung aus</t>
  </si>
  <si>
    <t>• Entwickelt einen Messansatz
• Führt die Nutzenmessung durch oderr organisiert diese
• Überwacht die Nutzenrealisierung
• Berichtet die Ergebnisse an wichtige Stakeholder
• Passt die Strategie der Nutzenrealisierung an, um neue bzw. geänderte Projektergebnisse oder zusätzlichen Programmnutzen zu realisieren</t>
  </si>
  <si>
    <t>4.5.2.5.</t>
  </si>
  <si>
    <t>• Definiert bestimmte Komponenten des Programms
• Identifiziert Schnittstellen zwischen den Ergebnissen
• Identifiziert Schnittstellen zwischen den Kompnenten
• Führt Messgrößen für den Erfolg ein</t>
  </si>
  <si>
    <t>Programmkomponenten mit ihren Ergebnissen und Schnittstellen definieren</t>
  </si>
  <si>
    <t>4.5.2.4.</t>
  </si>
  <si>
    <t>• Beurteilt Programmkomponenten nach dem zu realisierenden Nutzen
• Definiert Programmkomponenten, die die Voraussetzung für die Nutzrealisierung sind
• Übergibt die Nutzenrealisierung an Komponenten innerhalb der Organisation(en)
• Nutzt einen Top-Down- oder Bottom-Up-Ansatz, um die Strategie der &gt;Nutzenrealisierung zu entwickeln
• Kommuniziert die entwickelte Strategie der Nutzenrealisierung vorzugsweise mithilfe grafischer Darstellungen
• Kommuniziert auf Grundlage der stufen- oder schrittweisen Durchführung, wann Nutzen zu erwarten ist und warum</t>
  </si>
  <si>
    <t>• Identifiziert den Programmnutzen
• Stellt die Beziehung zwischen den Zielen der Organisation und dem Programmnutzen her
• Qualifiziert den Programmnutzen
• Kommuniziert den Nutzen an die Stakeholder
•Evaluiert den Nutzen
• Erstellt einen Nutzenplan
• Identifiziert einen Nutzeneigner oder begründet, warum dieser nicht erforderlich ist.</t>
  </si>
  <si>
    <t>• Stellt eine Beziehung zwischen den Zielen der Organisation und des Programms her
• Definiert eine Ziel- und Nutzenhierarchie für das Programm, vorzugsweise als grafische Darstellung 
• Erklärt die Relevanz und den Inhalt der Ziel- und Nutzenhierarchie
• Passt die Ziel- und Nutzenhierarchie regelmäßig an</t>
  </si>
  <si>
    <t>Nutzen und Ziele</t>
  </si>
  <si>
    <t>• Erstellt eine Lieferstrategie für das Programm
• Identifiziert wichtige Termine von Ergebnissen und Nutzen
• Entwirft einen stufen- oder stückweisenkommunizierfähigen Ansatz
• Stellt die Lieferstrategie des Programms zu Risiken und Chancen in Bezug, und passt die Lieferstrategie entsrechend an</t>
  </si>
  <si>
    <t>4.5.1.8.</t>
  </si>
  <si>
    <t>• Erstellt ein Konzept für die Programmdurchführung mit zugehörigen Ergebnissen
• Definiert einen High-Level-Plan, einschließlich möglicher Komponenten und berücksichtigt dabei bereits laufende Komponenten
• Legt die Geschäftsregeln und die Steuerungsphilosophie fest
• Überwacht das Programm anhand des Konzepts
• Analysiert das Konzept auf Grundlage von Änderungen am Programm</t>
  </si>
  <si>
    <t>4.5.1.7.</t>
  </si>
  <si>
    <t>• Bewertet und beurteilt verschiedene mögliche Ansätze
• Wählt den Ansatz für das Programm mit der größten Erfolgschance aus
• Passt den gewählten Ansatz an die aktuellen Bedürfnisse an
• Erklärt und begründet den gewählten Ansatz sowie dessen Beziehung zum Programmerfolg
• Erklärt die wesentlichen Auswirkungen des Ansatzes auf die Organisation des Programms
• Erklärt die wesentlichen Auswirkungen des gewählten Ansatzes auf die betroffenen Stakeholder
• Evaluiert den gewählten Ansatz basierend auf kontextuellen und internen Entwicklungen in regelmäßigen Abständen neu
• Nimmt notwendige Änderungen am Ansatz vor und erklärt, warum diese durchgeführt wurden
• Sorgt für einen ausgeglichenen Ansatz</t>
  </si>
  <si>
    <t>Generellen Programmmanagement Ansatz auswählen und anpassen</t>
  </si>
  <si>
    <t>4.5.1.6.</t>
  </si>
  <si>
    <t>• Kennt den Unterschied zwischen Veränderung, Übergang und Transformation
• Führt eine Veränderungsdiagnose durch, um Veränderung und Auswirkung zu beurteilen
• Definiert eine geeignete Veränderungsstrategie
• Definiert Möglichkeiten, um die Effektivität der Veränderungsstrategie zu beurteilen
• Definiert und führt effektive Anpassungen der Veränderungsstrategie durch</t>
  </si>
  <si>
    <t>• Kennt die Bedeutung einer Programmvision
• Überträgt die Vision der Stakeholder und andere externe Erfolgs-faktoren in eine schlüssige Programmvision
• Organisiert eine Programmvision, auf die sich interne und externe Stakeholder beziehen können
• 'Verkauft' das Programm gut</t>
  </si>
  <si>
    <t>• Identifiziert den Komplexitätslevel des Programms
• Erkennt Komplexitätstreiber
• Identifiziert und definiert den Einfluss des Programms, von bestimmten Prozessen, Rahmenbedingungen oder Ergebnisse auf die Komplexität
• Identifiziert und definiert den Einfluss des Programms, von bestimmten externen und internen Parametern auf die Komplexität
• Beurteilt und nutzt Maßnahmen zur Reduzierung der Komplexität</t>
  </si>
  <si>
    <t>• Würdigt und sammelt Lessons Learned (unter Verwendung verschiedener Werkzeuge und Techniken) aus früheren Programmen und Projekten
• Würdigt und sammelt Lessons Learned aus dem beruflichen Umfeld
• Nutzt relevante Lessons Learned
• Kennt und nutzt verschiedene Tools und Techniken für die Weitergabe von Lessons Learned
• Kennt und nutzt Forschung und Benchmarking-Methoden für die Verbesserung des Programms
• Identifiziert Lessons Learned aus dem Programm und gibt diese an die Organisation weiter</t>
  </si>
  <si>
    <t>• Identifiziert Werte, klassifiziert, evaluiert und priorisiert die Einflüsse aus jeder der fünf Kontext-Kompetenzen, die für das Programm erfolgsrelevant sind
• Erkennt und beurteilt sowohl formelle als auch informelle Einflusselemente
• Bewertet und priorisiert Erfolgskriterien aus jeder der fünf Kontext-Kompetenzen
• Erkennt und beurteilt sowohl formelle als auch informelle Erfolgskriterien
• Kennt und nutzt relevante Erfolgsfaktoren
• Beurteilt die Relevanz der Erfolgskriterien regelmäßig neu</t>
  </si>
  <si>
    <t xml:space="preserve">Erfolgskriterien anerkennen, priorisieren </t>
  </si>
  <si>
    <t>• Kennt die Prozesse der Finanzabteilung und des Controllings
• Unterscheidet verpflichtende und optionale Instrumente dert Finanzabteilung und des Controllings
• Überwacht und steuert den effektiven und effizienten Einsatz von Regeln, Richtlinien, Prozessen und Werkzeugen zum Vorteil des Programms
• Kommuniziert und berichtet den Finanzstatus und Trends klar und objektiv</t>
  </si>
  <si>
    <t>Das Programm mit den Prozessen und Funktionen des HR (Personalwesen) in Einklang bringen</t>
  </si>
  <si>
    <t>• Identifiziert die Abläufe der koordinierenden Organisation(en) und die Regeln der Entscheidungsfindung für alle Fälle, die über die eigenen Kompetenzen und Verantwortlichkeiten hinausgehen
• Stimmt die Kommunikation in Projekten mit den Bedürfnissen der koordinierenden Organisation(en) ab (Art der Information und deren Detaillierung, an wen und wie oft) 
• Wendet die Standards des Berichtswesens der koordinierenden Organisation(en) im Programm an und nutzt die dafür vorgesehenen Tools und Methoden 
• Wendet die Qualitätssicherungsstandards der koordinierenden Organisation beim Aufbau des Berichtswesens an für die höheren Ebenen der koordinierenden Organisation an</t>
  </si>
  <si>
    <t>Das Programm mit den Entscheidungsund Berichterstattungsstrukturen sowie den Qualitätsanforderungen der Organisation(en) in Einklang bringen</t>
  </si>
  <si>
    <t>• Kennt die MitarbeiterInnen, Prozesse und Dienstleistungen der Supportfunktionen in der/den Stammorganisation(en)
• Nutzt die Supportfunktionen der Stammorganisation(en), um für das Programm effizienten Support zu erhalten 
• Kennt die Grenzen der Supportfunktionen und die daraus resultierenden Konsequenzen für das Programm
• Baut gute Beziehungen zu den für das Programm Support bietenden Personen auf und pflegt diese
• Wendet Supportprozesse an, die von der/den koordinierenden Organisation(en) zur Verfügung gestellt werden</t>
  </si>
  <si>
    <t>Das Programm mit den Supportfunktionen in Einklang bringen</t>
  </si>
  <si>
    <t>• Definiert und erkennt ein Portfolio und verfügt über grundlegende Kenntnisse des Portfoliomanagements
• Kennt die Merkmale eines Portfolios wie kritische Erfolgsfaktoren (KEF) und Leistungsindikatoren (KPI)
• Kennt das Konzept des Portfoliomanagements (Organisations-strukturen und -prozesse)
• Kennt die Risiken eines fehlenden Portfoliomanagement-Systems und mindert diese
• Managt Informationsströme und Entscheidungen, selbst wenn ein Programm Teil verschiedener Portfolios einer oder mehrerer Organisationen ist
• Lenkt die Kommunikation im entsprechenden Portfolio, um das Programm erfolgreich zu managen</t>
  </si>
  <si>
    <t xml:space="preserve">Die Grundlagen des Portfoliomanagements und deren Einführung kennen </t>
  </si>
  <si>
    <t>• Definiert und erkennt ein Projekt in der Praxis und verfügt über profunde Kenntnisse der Projektmanagement-Grundlagen
• Erklärt die Merkmale einer funktionalen, projekt- und matrixorientierten Organisation und erkennt diese in der Praxis
• Erklärt das Konzept des ;Management by Projects und setzt es in der Praxis um
• Erkennt und führt das Konzept des Management by Projects in einer Organisation ein
• Identifiziert und erklärt den aktuellen Reifegrad einer Organisation</t>
  </si>
  <si>
    <t>• Definiert ein Programm und verfügt über profunde Kenntnisse des Programmmanagements. Erklärt die Merkmale eines Programms wie beispielsweise Ziele, Inputs, Outputs, Ergebnis und Nutzen und identifiziert die Abhängigkeiten vom entsprechenden Portfolio
• Unterscheidet verschiedene Möglichkeitender Organisation der Governance eines Programms und diskutiert die Auswirkungen dieser Möglichkeiten.
•Erklärt das Konzept des Programmmanagement (Abhängigkeiten zwischen im Programm enthaltenen Projekten, Organisationsstrukturen des Programm, vertikale und horizontale Kommunikation)
• Identifiziert ein entsprechendes Portfoliound besitzt grundlegende Kenntnisse über die Prozesse des Portfoliomanagements
• Kennt die Variablen für die Abstimmung mit einem Portfolio wie kritische Erfolgsfaktoren (KEF) und Key Performance Indicators (KPI)
• Lenkt die Kommunikation im entsprechenden Portfolio, um das Programm erfolgreich zu managen.</t>
  </si>
  <si>
    <t>Programm Design</t>
  </si>
  <si>
    <t>Portfolio Design</t>
  </si>
  <si>
    <t>Review, apply, and exchange lessons learned from and with other programmes and components</t>
  </si>
  <si>
    <t>Create a programme vision</t>
  </si>
  <si>
    <t>Select and tailor the overall programme management 
approach</t>
  </si>
  <si>
    <t>Design the programme execution architecture</t>
  </si>
  <si>
    <t>Design a programme delivery strategy</t>
  </si>
  <si>
    <t>Create and adapt a change strategy</t>
  </si>
  <si>
    <t>Benefits and objectives</t>
  </si>
  <si>
    <t>Programme design</t>
  </si>
  <si>
    <t>English KCI / CE</t>
  </si>
  <si>
    <t>German for KCI / CE</t>
  </si>
  <si>
    <t>Define and develop the goals and benefits hierarchy</t>
  </si>
  <si>
    <t>Identify and, if possible, quantify the programme 
benefits</t>
  </si>
  <si>
    <t>Develop the benefits realisation strategy</t>
  </si>
  <si>
    <t>Define components, their outcomes and their interfaces</t>
  </si>
  <si>
    <t>Monitor benefit achievement</t>
  </si>
  <si>
    <t>Define the programme scope</t>
  </si>
  <si>
    <t>Define the scope structure of the programme</t>
  </si>
  <si>
    <t>Manage the scope of the components</t>
  </si>
  <si>
    <t>Sequence programme components and create 
a tranched roadmap</t>
  </si>
  <si>
    <t>Manage the consistency of the tranches</t>
  </si>
  <si>
    <t>Manage the transitions of tranches</t>
  </si>
  <si>
    <t>Design and implement programme governance 
framework and rules</t>
  </si>
  <si>
    <t>Define the structure, roles and responsibilities 
within the programme</t>
  </si>
  <si>
    <t>Establish infrastructure, processes and systems 
for information flows</t>
  </si>
  <si>
    <t>Ablauf und Termine</t>
  </si>
  <si>
    <t>Ensure quality throughout the programme</t>
  </si>
  <si>
    <t>Organise quality assurance of the programme</t>
  </si>
  <si>
    <t>Determine the programme funding and financing 
strategy</t>
  </si>
  <si>
    <t>Determine and establish the programme budget</t>
  </si>
  <si>
    <t>Develop, establish and govern a funding and financial 
management framework</t>
  </si>
  <si>
    <t xml:space="preserve">Distribute programme funds based on the needs 
of components and funding conditions </t>
  </si>
  <si>
    <t xml:space="preserve">Provide reports to funding and financing bodies </t>
  </si>
  <si>
    <t>Develop strategic resource plan to deliver 
the programme</t>
  </si>
  <si>
    <t>Develop a strategic resource plan to deliver the programme</t>
  </si>
  <si>
    <t>Develop partnerships</t>
  </si>
  <si>
    <t>End partnerships</t>
  </si>
  <si>
    <t xml:space="preserve"> Establish the programme</t>
  </si>
  <si>
    <t>Manage the interfaces and synergies between 
components</t>
  </si>
  <si>
    <t>Measure, evaluate the status of components, 
and influence their progress</t>
  </si>
  <si>
    <t xml:space="preserve"> Provide direction to the component managers</t>
  </si>
  <si>
    <t>Finalise the programme</t>
  </si>
  <si>
    <t>Develop and maintain a stakeholder strategy 
and communication plan</t>
  </si>
  <si>
    <t>Select and Balance</t>
  </si>
  <si>
    <t>Analyse the characteristics of components</t>
  </si>
  <si>
    <t>Prioritise components based on the programme’s 
priorities</t>
  </si>
  <si>
    <t>Analyse and predict the future performance of the 
programme</t>
  </si>
  <si>
    <t>Prepare and facilitate programme decisions</t>
  </si>
  <si>
    <t>Identify programmes or projects or ideas that could be included in the portfolio</t>
  </si>
  <si>
    <t>Analyse the characteristics of programmes and projects</t>
  </si>
  <si>
    <t>Prioritise programmes and projects based on the 
organisation’s priorities</t>
  </si>
  <si>
    <t>Programme and project delivery oversight</t>
  </si>
  <si>
    <t>Analyse and predict the future performance of 
a portfolio</t>
  </si>
  <si>
    <t>Prepare and facilitate portfolio decisions</t>
  </si>
  <si>
    <t>Review, apply, and exchange lessons learned from and with other portfolios</t>
  </si>
  <si>
    <t>Define and develop the organisational goals hierarchy</t>
  </si>
  <si>
    <t>Know the principles of portfolio management and 
the way they are implemented and apply</t>
  </si>
  <si>
    <t>Know and apply the principles of project and 
programme management and the way they are 
implemented</t>
  </si>
  <si>
    <t>Align the portfolio with the organisation’s reporting and decision-making structures and quality management processes</t>
  </si>
  <si>
    <t>Align the portfolio with human resource processes 
and functions</t>
  </si>
  <si>
    <t>Align the portfolio with finance and control processes 
and functions</t>
  </si>
  <si>
    <t>Establish and maintain the scope of the portfolio</t>
  </si>
  <si>
    <t>Control scope configuration of projects and programmes</t>
  </si>
  <si>
    <t>Establishes the portfolio decision-making cycle</t>
  </si>
  <si>
    <t>Assess and determine the needs of stakeholders  relating to information and documentation</t>
  </si>
  <si>
    <t>Define the structure, roles and responsibilities within the portfolio and component projects and programmes</t>
  </si>
  <si>
    <t>Establish infrastructure, processes and systems for information flow</t>
  </si>
  <si>
    <t>Implement, monitor and maintain the organisation of the portfolio and component projects and programmes</t>
  </si>
  <si>
    <t>Ensure quality throughout portfolio component projects and programmes</t>
  </si>
  <si>
    <t>Determine and establish the portfolio budget</t>
  </si>
  <si>
    <t>Develop, establish and govern a financial performance and reporting system for the portfolio</t>
  </si>
  <si>
    <t>Develop strategic resource plan to deliver portfolio component projects and programmes</t>
  </si>
  <si>
    <t>Identify the quantity of required and available resources for running portfolio component projects and programmes</t>
  </si>
  <si>
    <t>Identify the skills of the required resources for running portfolio component projects and programmes</t>
  </si>
  <si>
    <t>Maintain and govern the procurement system for the portfolio</t>
  </si>
  <si>
    <t>Establish the portfolio system</t>
  </si>
  <si>
    <t>Establish and maintain the portfolio cycle</t>
  </si>
  <si>
    <t>Report on the portfolio</t>
  </si>
  <si>
    <t>Assess and review the impacts of changes affecting the portfolio</t>
  </si>
  <si>
    <t>Develop change or transformation strategy 
for the portfolio</t>
  </si>
  <si>
    <t>Sustain the change process</t>
  </si>
  <si>
    <t>Bearbeitete Report Pflichtelemente</t>
  </si>
  <si>
    <t>Bearbeitet Report Wahlelemente</t>
  </si>
  <si>
    <t>B, A</t>
  </si>
  <si>
    <t>Bestehensgrenze gem. Z01 bei B, A</t>
  </si>
  <si>
    <t>PE</t>
  </si>
  <si>
    <t>WE</t>
  </si>
  <si>
    <t>Mandatory Report CEs addressed</t>
  </si>
  <si>
    <t>Rep</t>
  </si>
  <si>
    <t>PassM</t>
  </si>
  <si>
    <t>Implementation of PGM/PFM report evaluation</t>
  </si>
  <si>
    <t>Update of PGM/PFM evaluation</t>
  </si>
  <si>
    <t>Scoring shets</t>
  </si>
  <si>
    <t>Scoring sheets</t>
  </si>
  <si>
    <t>Implementation of changes issued by the OR project</t>
  </si>
  <si>
    <t>QA RID identified and fixed</t>
  </si>
  <si>
    <t>Verlängerung des Bewertungszeitr.:</t>
  </si>
  <si>
    <t>Stattgegeben</t>
  </si>
  <si>
    <t>Noch zu bestimmen</t>
  </si>
  <si>
    <t>Programme / Project / Portfilo</t>
  </si>
  <si>
    <t>Programm / Projekt / Portfolio</t>
  </si>
  <si>
    <t>Remarks</t>
  </si>
  <si>
    <t>Own role:</t>
  </si>
  <si>
    <t>Eigene Rolle:</t>
  </si>
  <si>
    <t>Renarks:</t>
  </si>
  <si>
    <t>Brief description of your own role, responsibility and activities; to whom do you report?</t>
  </si>
  <si>
    <t>Kurze Beschreibung Ihrer eigenen Rolle, Verantwortung und Aktivitäten; wem sind Sie unterstellt?</t>
  </si>
  <si>
    <t>Brief description of the scope and the objectives for which you are responsible:</t>
  </si>
  <si>
    <t>Kurze Beschreibung des Umfangs und der Ziele, für die Sie verantwortlich sind:</t>
  </si>
  <si>
    <t>Phasen:</t>
  </si>
  <si>
    <t>Ende des Vorhabens:</t>
  </si>
  <si>
    <t>Milestones:</t>
  </si>
  <si>
    <t>Meilensteine:</t>
  </si>
  <si>
    <t>Number of team members reporting directly to you:</t>
  </si>
  <si>
    <t>Anzahl der Ihnen direkt unterstellten Teammitglieder:</t>
  </si>
  <si>
    <t>PM Organizational Type</t>
  </si>
  <si>
    <t>OWN EXPERIENCE</t>
  </si>
  <si>
    <t>EIGENE ERFAHRUNG</t>
  </si>
  <si>
    <t>Leitende/r Assessor/in</t>
  </si>
  <si>
    <t>Domain</t>
  </si>
  <si>
    <t>Duration as per brief [months]</t>
  </si>
  <si>
    <t>PM effort as per brief [PD]</t>
  </si>
  <si>
    <t>Activity Inspector</t>
  </si>
  <si>
    <t>PM-Inspektor</t>
  </si>
  <si>
    <t>PM-Aufwand gemäß Auftrag / Steckbr. [PT]</t>
  </si>
  <si>
    <t>Laufzeit gemäß Auftrag/ Steckbr. [Monate]</t>
  </si>
  <si>
    <t>geplant</t>
  </si>
  <si>
    <t>realisiert</t>
  </si>
  <si>
    <t xml:space="preserve">Total </t>
  </si>
  <si>
    <t>Column1</t>
  </si>
  <si>
    <t>Column2</t>
  </si>
  <si>
    <t>Column3</t>
  </si>
  <si>
    <t>Column4</t>
  </si>
  <si>
    <t>Column5</t>
  </si>
  <si>
    <t>Column6</t>
  </si>
  <si>
    <t>Column7</t>
  </si>
  <si>
    <t>Column8</t>
  </si>
  <si>
    <t>Column9</t>
  </si>
  <si>
    <t>Column10</t>
  </si>
  <si>
    <t>Column11</t>
  </si>
  <si>
    <t>Column22</t>
  </si>
  <si>
    <t>Experience</t>
  </si>
  <si>
    <t>actual</t>
  </si>
  <si>
    <t>plan</t>
  </si>
  <si>
    <t xml:space="preserve">Programme / Portfolio Management </t>
  </si>
  <si>
    <t xml:space="preserve">Programm / Portfolio Verwaltung </t>
  </si>
  <si>
    <t>Project Lists</t>
  </si>
  <si>
    <t>Requires PL</t>
  </si>
  <si>
    <t>Project List for experience entry</t>
  </si>
  <si>
    <t>Projektliste für Eintrag</t>
  </si>
  <si>
    <t>PL required</t>
  </si>
  <si>
    <t>Verion voided</t>
  </si>
  <si>
    <t xml:space="preserve">Scoring sheets, cover sheet, </t>
  </si>
  <si>
    <t>QA RID identified and fixed, integration of swiss PL template for PFM/PGM</t>
  </si>
  <si>
    <t>Identify, and ensure that the portfolio complies with, all relevant legislation</t>
  </si>
  <si>
    <t>Identify, and ensure that the portfolio complies with, all relevant health, safety, security, and environmental regulations (HSSE)</t>
  </si>
  <si>
    <t>Identify, and ensure that the portfolio complies with, all relevant codes of conduct and professional regulation</t>
  </si>
  <si>
    <t>Identify, and ensure that the portfolio complies with, relevant sustainability principles and objectives</t>
  </si>
  <si>
    <t>Assess, use, and develop professional standards and tools for the portfolio</t>
  </si>
  <si>
    <t>Assess, benchmark, and improve the organization's portfolio management competence</t>
  </si>
  <si>
    <t>Assess the personal ambitions and interests of others and the potential impact of these on the portfolio</t>
  </si>
  <si>
    <t>Assess the informal influence of individuals and groups and its potential impact on the portfolio</t>
  </si>
  <si>
    <t>Assess the personalities and working styles of others and employ them to the benefit of the portfolio</t>
  </si>
  <si>
    <t>Assess the culture and values of society and their implications for the portfolio</t>
  </si>
  <si>
    <t>Align the portfolio with the formal culture and values of the organization</t>
  </si>
  <si>
    <t>Assess the informal culture and values of the organization and their implications for the portfolio</t>
  </si>
  <si>
    <t>Update of PGM KCI names to align with ICB4 wording</t>
  </si>
  <si>
    <t>Dictionary</t>
  </si>
  <si>
    <t>Alignment with ICB4 wording</t>
  </si>
  <si>
    <t>Auswahl aktualisieren!</t>
  </si>
  <si>
    <t>Update selection!</t>
  </si>
  <si>
    <t>classification
Level A-D
Lead-A</t>
  </si>
  <si>
    <t>Klassifizierung
Level A-D
Lead A</t>
  </si>
  <si>
    <t>classification
Level A-D
Co-A</t>
  </si>
  <si>
    <t>Klassifizierung
Level A-D
Co-A</t>
  </si>
  <si>
    <t>remarks</t>
  </si>
  <si>
    <t>Added PM-Zert competence levels to self-assessment, included CoA project classification column to project evaluation</t>
  </si>
  <si>
    <t>Self Assessment, Dictionary, Project Evaluation</t>
  </si>
  <si>
    <t>Implementation of minor CR (not tracked)</t>
  </si>
  <si>
    <t>Rechnungsanschrift</t>
  </si>
  <si>
    <t>Billing address</t>
  </si>
  <si>
    <t>use the address I registered with</t>
  </si>
  <si>
    <t>Gleiche Anschrift wie in der Anmeldung</t>
  </si>
  <si>
    <t>Level BAS-D upgrade mode</t>
  </si>
  <si>
    <t>Billing Address</t>
  </si>
  <si>
    <t>Alternate Billing Address</t>
  </si>
  <si>
    <t>Abweichende Liefer/Leistungsadresse (falls erforderlich)</t>
  </si>
  <si>
    <t>Billing Address Sheet</t>
  </si>
  <si>
    <t>Afghanistan</t>
  </si>
  <si>
    <t>Albania</t>
  </si>
  <si>
    <t>Algeria</t>
  </si>
  <si>
    <t>Andorra</t>
  </si>
  <si>
    <t>Angola</t>
  </si>
  <si>
    <t>Antigua and Barbuda</t>
  </si>
  <si>
    <t>Argentina</t>
  </si>
  <si>
    <t>Armenia</t>
  </si>
  <si>
    <t>Australia</t>
  </si>
  <si>
    <t>Austria</t>
  </si>
  <si>
    <t>Azerbaijan</t>
  </si>
  <si>
    <t>Bahamas</t>
  </si>
  <si>
    <t>Bahrain</t>
  </si>
  <si>
    <t>Bangladesh</t>
  </si>
  <si>
    <t>Barbados</t>
  </si>
  <si>
    <t>Belarus</t>
  </si>
  <si>
    <t>Belgium</t>
  </si>
  <si>
    <t>Belize</t>
  </si>
  <si>
    <t>Benin</t>
  </si>
  <si>
    <t>Bhutan</t>
  </si>
  <si>
    <t>Bolivia</t>
  </si>
  <si>
    <t>Bosnia and Herzegovina</t>
  </si>
  <si>
    <t>Botswana</t>
  </si>
  <si>
    <t>Brazil</t>
  </si>
  <si>
    <t>Brunei</t>
  </si>
  <si>
    <t>Bulgaria</t>
  </si>
  <si>
    <t>Burkina Faso</t>
  </si>
  <si>
    <t>Burundi</t>
  </si>
  <si>
    <t>Côte d'Ivoire</t>
  </si>
  <si>
    <t>Cabo Verde</t>
  </si>
  <si>
    <t>Cambodia</t>
  </si>
  <si>
    <t>Cameroon</t>
  </si>
  <si>
    <t>Canada</t>
  </si>
  <si>
    <t>Central African Republic</t>
  </si>
  <si>
    <t>Chad</t>
  </si>
  <si>
    <t>Chile</t>
  </si>
  <si>
    <t>China</t>
  </si>
  <si>
    <t>Colombia</t>
  </si>
  <si>
    <t>Comoros</t>
  </si>
  <si>
    <t>Congo (Congo-Brazzaville)</t>
  </si>
  <si>
    <t>Costa Rica</t>
  </si>
  <si>
    <t>Croatia</t>
  </si>
  <si>
    <t>Cuba</t>
  </si>
  <si>
    <t>Cyprus</t>
  </si>
  <si>
    <t>Czechia (Czech Republic)</t>
  </si>
  <si>
    <t>Democratic Republic of the Congo</t>
  </si>
  <si>
    <t>Denmark</t>
  </si>
  <si>
    <t>Djibouti</t>
  </si>
  <si>
    <t>Dominica</t>
  </si>
  <si>
    <t>Dominican Republic</t>
  </si>
  <si>
    <t>Ecuador</t>
  </si>
  <si>
    <t>Egypt</t>
  </si>
  <si>
    <t>El Salvador</t>
  </si>
  <si>
    <t>Equatorial Guinea</t>
  </si>
  <si>
    <t>Eritrea</t>
  </si>
  <si>
    <t>Estonia</t>
  </si>
  <si>
    <t>Eswatini (fmr. "Swaziland")</t>
  </si>
  <si>
    <t>Ethiopia</t>
  </si>
  <si>
    <t>Fiji</t>
  </si>
  <si>
    <t>Finland</t>
  </si>
  <si>
    <t>France</t>
  </si>
  <si>
    <t>Gabon</t>
  </si>
  <si>
    <t>Gambia</t>
  </si>
  <si>
    <t>Georgia</t>
  </si>
  <si>
    <t>Germany</t>
  </si>
  <si>
    <t>Ghana</t>
  </si>
  <si>
    <t>Greece</t>
  </si>
  <si>
    <t>Grenada</t>
  </si>
  <si>
    <t>Guatemala</t>
  </si>
  <si>
    <t>Guinea</t>
  </si>
  <si>
    <t>Guinea-Bissau</t>
  </si>
  <si>
    <t>Guyana</t>
  </si>
  <si>
    <t>Haiti</t>
  </si>
  <si>
    <t>Holy See</t>
  </si>
  <si>
    <t>Honduras</t>
  </si>
  <si>
    <t>Hungary</t>
  </si>
  <si>
    <t>Iceland</t>
  </si>
  <si>
    <t>India</t>
  </si>
  <si>
    <t>Indonesia</t>
  </si>
  <si>
    <t>Iran</t>
  </si>
  <si>
    <t>Iraq</t>
  </si>
  <si>
    <t>Ireland</t>
  </si>
  <si>
    <t>Israel</t>
  </si>
  <si>
    <t>Italy</t>
  </si>
  <si>
    <t>Jamaica</t>
  </si>
  <si>
    <t>Japan</t>
  </si>
  <si>
    <t>Jordan</t>
  </si>
  <si>
    <t>Kazakhstan</t>
  </si>
  <si>
    <t>Kenya</t>
  </si>
  <si>
    <t>Kiribati</t>
  </si>
  <si>
    <t>Kuwait</t>
  </si>
  <si>
    <t>Kyrgyzstan</t>
  </si>
  <si>
    <t>Laos</t>
  </si>
  <si>
    <t>Latvia</t>
  </si>
  <si>
    <t>Lebanon</t>
  </si>
  <si>
    <t>Lesotho</t>
  </si>
  <si>
    <t>Liberia</t>
  </si>
  <si>
    <t>Libya</t>
  </si>
  <si>
    <t>Liechtenstein</t>
  </si>
  <si>
    <t>Lithuania</t>
  </si>
  <si>
    <t>Luxembourg</t>
  </si>
  <si>
    <t>Madagascar</t>
  </si>
  <si>
    <t>Malawi</t>
  </si>
  <si>
    <t>Malaysia</t>
  </si>
  <si>
    <t>Maldives</t>
  </si>
  <si>
    <t>Mali</t>
  </si>
  <si>
    <t>Malta</t>
  </si>
  <si>
    <t>Marshall Islands</t>
  </si>
  <si>
    <t>Mauritania</t>
  </si>
  <si>
    <t>Mauritius</t>
  </si>
  <si>
    <t>Mexico</t>
  </si>
  <si>
    <t>Micronesia</t>
  </si>
  <si>
    <t>Moldova</t>
  </si>
  <si>
    <t>Monaco</t>
  </si>
  <si>
    <t>Mongolia</t>
  </si>
  <si>
    <t>Montenegro</t>
  </si>
  <si>
    <t>Morocco</t>
  </si>
  <si>
    <t>Mozambique</t>
  </si>
  <si>
    <t>Myanmar (formerly Burma)</t>
  </si>
  <si>
    <t>Namibia</t>
  </si>
  <si>
    <t>Nauru</t>
  </si>
  <si>
    <t>Nepal</t>
  </si>
  <si>
    <t>Netherlands</t>
  </si>
  <si>
    <t>New Zealand</t>
  </si>
  <si>
    <t>Nicaragua</t>
  </si>
  <si>
    <t>Niger</t>
  </si>
  <si>
    <t>Nigeria</t>
  </si>
  <si>
    <t>North Korea</t>
  </si>
  <si>
    <t>North Macedonia</t>
  </si>
  <si>
    <t>Norway</t>
  </si>
  <si>
    <t>Oman</t>
  </si>
  <si>
    <t>Pakistan</t>
  </si>
  <si>
    <t>Palau</t>
  </si>
  <si>
    <t>Palestine State</t>
  </si>
  <si>
    <t>Panama</t>
  </si>
  <si>
    <t>Papua New Guinea</t>
  </si>
  <si>
    <t>Paraguay</t>
  </si>
  <si>
    <t>Peru</t>
  </si>
  <si>
    <t>Philippines</t>
  </si>
  <si>
    <t>Poland</t>
  </si>
  <si>
    <t>Portugal</t>
  </si>
  <si>
    <t>Qatar</t>
  </si>
  <si>
    <t>Romania</t>
  </si>
  <si>
    <t>Russia</t>
  </si>
  <si>
    <t>Rwanda</t>
  </si>
  <si>
    <t>Saint Kitts and Nevis</t>
  </si>
  <si>
    <t>Saint Lucia</t>
  </si>
  <si>
    <t>Saint Vincent and the Grenadines</t>
  </si>
  <si>
    <t>Samoa</t>
  </si>
  <si>
    <t>San Marino</t>
  </si>
  <si>
    <t>Sao Tome and Principe</t>
  </si>
  <si>
    <t>Saudi Arabia</t>
  </si>
  <si>
    <t>Senegal</t>
  </si>
  <si>
    <t>Serbia</t>
  </si>
  <si>
    <t>Seychelles</t>
  </si>
  <si>
    <t>Sierra Leone</t>
  </si>
  <si>
    <t>Singapore</t>
  </si>
  <si>
    <t>Slovakia</t>
  </si>
  <si>
    <t>Slovenia</t>
  </si>
  <si>
    <t>Solomon Islands</t>
  </si>
  <si>
    <t>Somalia</t>
  </si>
  <si>
    <t>South Africa</t>
  </si>
  <si>
    <t>South Korea</t>
  </si>
  <si>
    <t>South Sudan</t>
  </si>
  <si>
    <t>Spain</t>
  </si>
  <si>
    <t>Sri Lanka</t>
  </si>
  <si>
    <t>Sudan</t>
  </si>
  <si>
    <t>Suriname</t>
  </si>
  <si>
    <t>Sweden</t>
  </si>
  <si>
    <t>Switzerland</t>
  </si>
  <si>
    <t>Syria</t>
  </si>
  <si>
    <t>Tajikistan</t>
  </si>
  <si>
    <t>Tanzania</t>
  </si>
  <si>
    <t>Thailand</t>
  </si>
  <si>
    <t>Timor-Leste</t>
  </si>
  <si>
    <t>Togo</t>
  </si>
  <si>
    <t>Tonga</t>
  </si>
  <si>
    <t>Trinidad and Tobago</t>
  </si>
  <si>
    <t>Tunisia</t>
  </si>
  <si>
    <t>Turkey</t>
  </si>
  <si>
    <t>Turkmenistan</t>
  </si>
  <si>
    <t>Tuvalu</t>
  </si>
  <si>
    <t>Uganda</t>
  </si>
  <si>
    <t>Ukraine</t>
  </si>
  <si>
    <t>United Arab Emirates</t>
  </si>
  <si>
    <t>United Kingdom</t>
  </si>
  <si>
    <t>United States of America</t>
  </si>
  <si>
    <t>Uruguay</t>
  </si>
  <si>
    <t>Uzbekistan</t>
  </si>
  <si>
    <t>Vanuatu</t>
  </si>
  <si>
    <t>Venezuela</t>
  </si>
  <si>
    <t>Vietnam</t>
  </si>
  <si>
    <t>Yemen</t>
  </si>
  <si>
    <t>Zambia</t>
  </si>
  <si>
    <t>Zimbabwe</t>
  </si>
  <si>
    <t>Albanien</t>
  </si>
  <si>
    <t>Algerien</t>
  </si>
  <si>
    <t>Antigua und Barbuda</t>
  </si>
  <si>
    <t>Argentinien</t>
  </si>
  <si>
    <t>Armenien</t>
  </si>
  <si>
    <t>Australien</t>
  </si>
  <si>
    <t>Österreich</t>
  </si>
  <si>
    <t>Aserbaidschan</t>
  </si>
  <si>
    <t>Bangladesch</t>
  </si>
  <si>
    <t>Weißrussland</t>
  </si>
  <si>
    <t>Belgien</t>
  </si>
  <si>
    <t>Bolivien</t>
  </si>
  <si>
    <t>Bosnien und Herzegowina</t>
  </si>
  <si>
    <t>Brasilien</t>
  </si>
  <si>
    <t>Bulgarien</t>
  </si>
  <si>
    <t>Kambodscha</t>
  </si>
  <si>
    <t>Kamerun</t>
  </si>
  <si>
    <t>Kanada</t>
  </si>
  <si>
    <t>Zentralafrikanische Republik</t>
  </si>
  <si>
    <t>Tschad</t>
  </si>
  <si>
    <t>Kolumbien</t>
  </si>
  <si>
    <t>Komoren</t>
  </si>
  <si>
    <t>Kongo (Kongo-Brazzaville)</t>
  </si>
  <si>
    <t>Kroatien</t>
  </si>
  <si>
    <t>Kuba</t>
  </si>
  <si>
    <t>Zypern</t>
  </si>
  <si>
    <t>Tschechien (Tschechische Republik)</t>
  </si>
  <si>
    <t>Demokratische Republik Kongo</t>
  </si>
  <si>
    <t>Dänemark</t>
  </si>
  <si>
    <t>Dschibuti</t>
  </si>
  <si>
    <t>Dominikanische Republik</t>
  </si>
  <si>
    <t>Ägypten</t>
  </si>
  <si>
    <t>Äquatorialguinea</t>
  </si>
  <si>
    <t>Estland</t>
  </si>
  <si>
    <t>Eswatini (früher "Swasiland")</t>
  </si>
  <si>
    <t>Äthiopien</t>
  </si>
  <si>
    <t>Fidschi</t>
  </si>
  <si>
    <t>Finnland</t>
  </si>
  <si>
    <t>Frankreich</t>
  </si>
  <si>
    <t>Gabun</t>
  </si>
  <si>
    <t>Georgien</t>
  </si>
  <si>
    <t>Deutschland</t>
  </si>
  <si>
    <t>Griechenland</t>
  </si>
  <si>
    <t>Heiliger Stuhl</t>
  </si>
  <si>
    <t>Ungarn</t>
  </si>
  <si>
    <t>Island</t>
  </si>
  <si>
    <t>Indien</t>
  </si>
  <si>
    <t>Indonesien</t>
  </si>
  <si>
    <t>Irak</t>
  </si>
  <si>
    <t>Irland</t>
  </si>
  <si>
    <t>Italien</t>
  </si>
  <si>
    <t>Jamaika</t>
  </si>
  <si>
    <t>Jordanien</t>
  </si>
  <si>
    <t>Kasachstan</t>
  </si>
  <si>
    <t>Kenia</t>
  </si>
  <si>
    <t>Kirgisistan</t>
  </si>
  <si>
    <t>Lettland</t>
  </si>
  <si>
    <t>Libanon</t>
  </si>
  <si>
    <t>Libyen</t>
  </si>
  <si>
    <t>Litauen</t>
  </si>
  <si>
    <t>Luxemburg</t>
  </si>
  <si>
    <t>Madagaskar</t>
  </si>
  <si>
    <t>Malediven</t>
  </si>
  <si>
    <t>Marshallinseln</t>
  </si>
  <si>
    <t>Mauretanien</t>
  </si>
  <si>
    <t>Mexiko</t>
  </si>
  <si>
    <t>Mikronesien</t>
  </si>
  <si>
    <t>Moldawien</t>
  </si>
  <si>
    <t>Mongolei</t>
  </si>
  <si>
    <t>Marokko</t>
  </si>
  <si>
    <t>Mosambik</t>
  </si>
  <si>
    <t>Myanmar (ehemals Birma)</t>
  </si>
  <si>
    <t>Niederlande</t>
  </si>
  <si>
    <t>neuseeland</t>
  </si>
  <si>
    <t>Nordkorea</t>
  </si>
  <si>
    <t>Nord-Mazedonien</t>
  </si>
  <si>
    <t>Norwegen</t>
  </si>
  <si>
    <t>Palästina Staat</t>
  </si>
  <si>
    <t>Papua-Neuguinea</t>
  </si>
  <si>
    <t>Philippinen</t>
  </si>
  <si>
    <t>Polen</t>
  </si>
  <si>
    <t>Katar</t>
  </si>
  <si>
    <t>Rumänien</t>
  </si>
  <si>
    <t>Russland</t>
  </si>
  <si>
    <t>Ruanda</t>
  </si>
  <si>
    <t>St. Kitts und Nevis</t>
  </si>
  <si>
    <t>St. Lucia</t>
  </si>
  <si>
    <t>St. Vincent und die Grenadinen</t>
  </si>
  <si>
    <t>Sao Tome und Principe</t>
  </si>
  <si>
    <t>Saudi-Arabien</t>
  </si>
  <si>
    <t>Serbien</t>
  </si>
  <si>
    <t>Seychellen</t>
  </si>
  <si>
    <t>Singapur</t>
  </si>
  <si>
    <t>Slowakei</t>
  </si>
  <si>
    <t>Slowenien</t>
  </si>
  <si>
    <t>Salomonen</t>
  </si>
  <si>
    <t>Süd-Afrika</t>
  </si>
  <si>
    <t>Südkorea</t>
  </si>
  <si>
    <t>Südsudan</t>
  </si>
  <si>
    <t>Spanien</t>
  </si>
  <si>
    <t>Surinam</t>
  </si>
  <si>
    <t>Schweden</t>
  </si>
  <si>
    <t>Schweiz</t>
  </si>
  <si>
    <t>Syrien</t>
  </si>
  <si>
    <t>Tadschikistan</t>
  </si>
  <si>
    <t>Tansania</t>
  </si>
  <si>
    <t>Trinidad und Tobago</t>
  </si>
  <si>
    <t>Tunesien</t>
  </si>
  <si>
    <t>Türkei</t>
  </si>
  <si>
    <t>Vereinigte Arabische Emirate</t>
  </si>
  <si>
    <t>Vereinigtes Königreich</t>
  </si>
  <si>
    <t>Vereinigte Staaten von Amerika</t>
  </si>
  <si>
    <t>Usbekistan</t>
  </si>
  <si>
    <t>Jemen</t>
  </si>
  <si>
    <t>Sambia</t>
  </si>
  <si>
    <t>Simbabwe</t>
  </si>
  <si>
    <t>Country List (note: the list is alphabetical and names do not correspond to their riect translation)</t>
  </si>
  <si>
    <t>Company:</t>
  </si>
  <si>
    <t>Department:</t>
  </si>
  <si>
    <t>Street:</t>
  </si>
  <si>
    <t>House number:</t>
  </si>
  <si>
    <t>Postcode:</t>
  </si>
  <si>
    <t>City:</t>
  </si>
  <si>
    <t>Country:</t>
  </si>
  <si>
    <t>Order number (if available):</t>
  </si>
  <si>
    <t>GPM membership number (if available):</t>
  </si>
  <si>
    <t>Firma:</t>
  </si>
  <si>
    <t>Abteilung:</t>
  </si>
  <si>
    <t>Straße:</t>
  </si>
  <si>
    <t>Hausnummer:</t>
  </si>
  <si>
    <t>PLZ:</t>
  </si>
  <si>
    <t>Land:</t>
  </si>
  <si>
    <t>Bestellnummer (falls vorhanden):</t>
  </si>
  <si>
    <t>GPM-Mitgliedsnummer (falls vorhanden):</t>
  </si>
  <si>
    <t>Different delivery/service address (if required)</t>
  </si>
  <si>
    <t>Please note: 
It is mandatory to enter the correct and complete billing address.  
Invoice corrections incur an additional administrative fee, as per published fee schedule.
Your company's invoice request must be submitted when uploading the documents.</t>
  </si>
  <si>
    <t>*</t>
  </si>
  <si>
    <t>Bitte beachten: 
Es ist zwingend erforderlich die korrekte und vollständige Rechungsanschrift anzugeben.  
Für Rechnungskorrekturen wird eine Gebühr lt. Gebührenliste fällig.
Die Rechnungsanforderung Ihrer Firma ist beim Upload der Dokumente mit einzureichen.</t>
  </si>
  <si>
    <t>Please complete all fields marked with an asteriks*!</t>
  </si>
  <si>
    <t>Billing Address Sheet complete</t>
  </si>
  <si>
    <t>Sheet complete</t>
  </si>
  <si>
    <t>Alternate complete:</t>
  </si>
  <si>
    <t>Primary complete:</t>
  </si>
  <si>
    <t>Bitte alle Felder ausfüllen, die mit Stern * gekennzeichnet sind!</t>
  </si>
  <si>
    <t>Different billing address (different from your registration address)</t>
  </si>
  <si>
    <t>Abweichende Rechnungsanschrift (abweichend von der Adresse, mit der Sie angemeldet sind)</t>
  </si>
  <si>
    <t>Abweichende Anschrift</t>
  </si>
  <si>
    <t>Scoring for Level D (upgrade from Basic Certificate)</t>
  </si>
  <si>
    <t>Bewertung Level D (Upgrade von Basis Zertifikat)</t>
  </si>
  <si>
    <t>Error state</t>
  </si>
  <si>
    <t>use a different address</t>
  </si>
  <si>
    <t>2 new sheets "Billing Address" and "Laval BAS-D Scoring", modification of cover sheet to accommodate changes, functional logic, Dictionary to include additional language</t>
  </si>
  <si>
    <t>2 new sheets "Billing Address" and "Laval BAS-D Scoring", cover sheet, dictionary to include additional language, BAS scoring to update CE mapping</t>
  </si>
  <si>
    <t>UB4</t>
  </si>
  <si>
    <t>UB4E</t>
  </si>
  <si>
    <t>Sheet control values</t>
  </si>
  <si>
    <t>pass indicator</t>
  </si>
  <si>
    <t>I already hold a valid IPMA certificate with the following details (mandatory for re-certification and upgrades):</t>
  </si>
  <si>
    <t>Ich bin im Besitz eines gültigen IPMA Zertifikats mit den folgenden Daten (verpflichtend bei Re-Zert und Höherzertifizierungen):</t>
  </si>
  <si>
    <t>Zertifikat Nr.:</t>
  </si>
  <si>
    <t>Certificate number:</t>
  </si>
  <si>
    <t>Certificated IPMA Level:</t>
  </si>
  <si>
    <t>Zertifizierter IPMA Level:</t>
  </si>
  <si>
    <t>Valid through:</t>
  </si>
  <si>
    <t>Gültig bis:</t>
  </si>
  <si>
    <t>Certificated IPMA domain:</t>
  </si>
  <si>
    <t>BAS</t>
  </si>
  <si>
    <t xml:space="preserve">Existing Certificate and References for </t>
  </si>
  <si>
    <t xml:space="preserve">Vorhandenes Zertifikat und Referenzen für </t>
  </si>
  <si>
    <t>Existing IPMA Certificate (re-cert and upgrades only)</t>
  </si>
  <si>
    <t>Previous rules</t>
  </si>
  <si>
    <t>Current rules</t>
  </si>
  <si>
    <t>Neue Regeln</t>
  </si>
  <si>
    <t>Alte Regeln</t>
  </si>
  <si>
    <t>Zert. Stelle bestätigt Pfad</t>
  </si>
  <si>
    <t>Path error state</t>
  </si>
  <si>
    <t>Caution: Path</t>
  </si>
  <si>
    <t>Achtung: Pfad</t>
  </si>
  <si>
    <t>EVALUATION INVALID</t>
  </si>
  <si>
    <t>BEWERTUNG UNGÜLTIG</t>
  </si>
  <si>
    <t>Cert. body to confirm path</t>
  </si>
  <si>
    <t>Stufe</t>
  </si>
  <si>
    <t>Domain error</t>
  </si>
  <si>
    <t>Level error</t>
  </si>
  <si>
    <t>Prior certificate req</t>
  </si>
  <si>
    <t>Certificate incomp</t>
  </si>
  <si>
    <t>Date error</t>
  </si>
  <si>
    <t>Implementation of alternate billing address, BAS-to-D upgrade path with alternate CE mapping, fixed error on coversheet for remaining certificate validity duration for Level D recert</t>
  </si>
  <si>
    <t>Zertifizierte IPMA Domäne:</t>
  </si>
  <si>
    <t>Notice: Please complete certificate information before submision.</t>
  </si>
  <si>
    <t>Hinweis: Bitte Zertifikatsinformationen vor Abgabe vollständig angeben.</t>
  </si>
  <si>
    <t>Error: Certificate expired.</t>
  </si>
  <si>
    <t>Error: Certificates can only be renewed or upgraded within the same domain.</t>
  </si>
  <si>
    <t>Fehler: Zertifikat abgelaufen.</t>
  </si>
  <si>
    <t>Anleitung</t>
  </si>
  <si>
    <t>Vorgehen</t>
  </si>
  <si>
    <t>Allgemeine Hinweise</t>
  </si>
  <si>
    <t>Die F01 ist ein Leistungsnachweis für die von der IPMA geforderte Erfahrung und Prüfungsleistung in Ihrem Zertifizierungsverfahren.</t>
  </si>
  <si>
    <t>Falls Sie eine andere Rechnungsanschrift als die in der Anmeldung angegebenen Adresse wünschen, wählen Sie oben Rechts bei "Rechnungsanschrift" (Zelle L5) die Option "Abweichende Anschrift" aus.</t>
  </si>
  <si>
    <t>Falls Sie eine andere Rechnungsanschrift ausgewählt haben, erscheint ein neues Arbeitsblatt "Billing Address". Füllen Sie dieses bitte vollständig aus.</t>
  </si>
  <si>
    <t>Schritt</t>
  </si>
  <si>
    <t>Arbeitsblatt</t>
  </si>
  <si>
    <t>Anweisung</t>
  </si>
  <si>
    <t>Allgemeine Angaben</t>
  </si>
  <si>
    <t>Referenzen</t>
  </si>
  <si>
    <t>Vorhandenes Zertifikat</t>
  </si>
  <si>
    <t>optional</t>
  </si>
  <si>
    <t>falls ausgewählt</t>
  </si>
  <si>
    <t>ja</t>
  </si>
  <si>
    <t>Machen Sie ggf. Angaben zu Ihrem vorhandenen Zertifikat (falls Sie bereits eins haben).</t>
  </si>
  <si>
    <t>Sichtbar</t>
  </si>
  <si>
    <t>Machen Sie Angaben zu jedem IPMA CE, wie Sie sich selbst anhand der 3 Kompetenzstufen einschätzen.</t>
  </si>
  <si>
    <t>falls erforderlich</t>
  </si>
  <si>
    <t>Erfahrung im Projektmanagement</t>
  </si>
  <si>
    <t>Dokumentations-Funktion</t>
  </si>
  <si>
    <t>Level C-A, Re-Zert</t>
  </si>
  <si>
    <t>[1] - [17]</t>
  </si>
  <si>
    <t>Projektsteckbrief</t>
  </si>
  <si>
    <t>[P1-MCR] - [P17-MCR]</t>
  </si>
  <si>
    <t>Komplexitätseinschätzung</t>
  </si>
  <si>
    <t>Für jedes Portfolio, oder Programm, welches Sie in die Projekteliste eingetragen haben, erscheint ein Arbeitsblatt mit einer Liste von Komponentenprojekten, welches vollständig ausgefüllt werden muss.</t>
  </si>
  <si>
    <t>Level B-A, Re-Zert</t>
  </si>
  <si>
    <t xml:space="preserve">Für jedes Projekt, Portfolio, oder Programm, welches Sie in die Projekteliste eingetragen haben, erscheint ein Steckbrief, welcher vollständig ausgefüllt werden muss. </t>
  </si>
  <si>
    <t>Erhaltene Weiterbildung</t>
  </si>
  <si>
    <t>Re-Zert</t>
  </si>
  <si>
    <t>Zusammenfassung von Fernstudiums-Kursen</t>
  </si>
  <si>
    <t>Literaturkospekte</t>
  </si>
  <si>
    <t>Geben Sie Kurz-Zusammenfassungen von Büchern, Kapiteln, und Magazinen an, welche Sie gelesen haben. Stellen Sie einen Bezug zu den relevanten CE und KCI her.</t>
  </si>
  <si>
    <t>Geben Sie Kurz-Zusammenfassungen von Kursen an, welche Sie nicht persönlich, sondern online besucht haben. Stellen Sie einen Bezug zu den relevanten CE und KCI her.</t>
  </si>
  <si>
    <t>Gegebene Weiterbildung</t>
  </si>
  <si>
    <t>Since the IPMA requirements for your experience and exam performance depend on the selected level, domain and certification path, this information is necessary to configure the F01 correctly.</t>
  </si>
  <si>
    <t>The completed F01 is only valid in connection with your application to the certification body. It must be uploaded or submitted in accordance with the applicable process guidelines.</t>
  </si>
  <si>
    <t>General information</t>
  </si>
  <si>
    <t>Procedure</t>
  </si>
  <si>
    <t>Step</t>
  </si>
  <si>
    <t>Worksheet</t>
  </si>
  <si>
    <t>Visible</t>
  </si>
  <si>
    <t>Documentation function</t>
  </si>
  <si>
    <t>Required</t>
  </si>
  <si>
    <t>Instruction</t>
  </si>
  <si>
    <t>immer</t>
  </si>
  <si>
    <t>[PL1] - [PL17]</t>
  </si>
  <si>
    <t>If applicable, provide details of your existing certificate (if you already have one).</t>
  </si>
  <si>
    <t>For each IPMA CE, provide information on how you rate yourself according to the 3 competence levels.</t>
  </si>
  <si>
    <t xml:space="preserve">For each project, portfolio or program that you have entered in the project list, a profile will appear, which must be completed in full. </t>
  </si>
  <si>
    <t>For each portfolio or program that you have entered in the project list, a worksheet with a list of component projects will appear, which must be completed in full.</t>
  </si>
  <si>
    <t>If you have selected a different billing address, a new worksheet "Billing Address" will appear. Please complete this worksheet.</t>
  </si>
  <si>
    <t>Provide brief summaries of books, chapters, and magazines you have read. Provide references to the relevant CE and KCI.</t>
  </si>
  <si>
    <t>Provide brief summaries of courses that you have attended online rather than in person. Make reference to the relevant CE and KCIs.</t>
  </si>
  <si>
    <t>yes</t>
  </si>
  <si>
    <t>if selected</t>
  </si>
  <si>
    <t>Level C-A, re-certification</t>
  </si>
  <si>
    <t>Level C-A, re-cert</t>
  </si>
  <si>
    <t>Level B-A, re-cert</t>
  </si>
  <si>
    <t>Re-cert</t>
  </si>
  <si>
    <t>Your references</t>
  </si>
  <si>
    <t>Existing certificate</t>
  </si>
  <si>
    <t>Self-assessment</t>
  </si>
  <si>
    <t>Experience in project management</t>
  </si>
  <si>
    <t>Project profile</t>
  </si>
  <si>
    <t>Complexity assessment</t>
  </si>
  <si>
    <t>Training received</t>
  </si>
  <si>
    <t>Summary of distance learning courses</t>
  </si>
  <si>
    <t>Literature aspects</t>
  </si>
  <si>
    <t>Given further education</t>
  </si>
  <si>
    <t>always</t>
  </si>
  <si>
    <t>as required</t>
  </si>
  <si>
    <t>The F01 is a record of the experience and examination performance required by IPMA in your certification process.</t>
  </si>
  <si>
    <t>Enter the details of your reference persons. Caution: you must have their consent to pass on their contact details.</t>
  </si>
  <si>
    <t>for re-cert and upgrades</t>
  </si>
  <si>
    <t>für Re-Zert und Höherzert.</t>
  </si>
  <si>
    <t>Addition of instructions for candidates, removal of blocking feature for incomplete billing address (warning only)</t>
  </si>
  <si>
    <t>Instructions-Anleitung</t>
  </si>
  <si>
    <t>Change request</t>
  </si>
  <si>
    <t>Da die IPMA Anforderungen an Ihre Erfahrung und Prüfungsleistungen von dem ausgewählten Level, der ausgewählten Domäne, und dem ausgewählten Zertifizierungspfad abhängen, sind diese Informationen notwendig, um die F01 richtig zu konfigurieren.</t>
  </si>
  <si>
    <t>If you require a different billing address than the one specified in your registration, select the option "Different address" at the top right under "Billing address" (cell L5).</t>
  </si>
  <si>
    <t>Select Level</t>
  </si>
  <si>
    <t>Level auswählen</t>
  </si>
  <si>
    <t>Hinweise an Kandidaten:</t>
  </si>
  <si>
    <t>Notice to candidates:</t>
  </si>
  <si>
    <t>None</t>
  </si>
  <si>
    <t>Keine</t>
  </si>
  <si>
    <t>Die folgenden Personen haben sich bereit erklärt, zu bestätigen, dass ich im Bereich Projektmanagement tätig bin und die Angaben in meinen Unterlagen nach deren bestem Wissen und Gewissen der Wahrheit entsprechen.</t>
  </si>
  <si>
    <t>Please rate your own skill for each CE against the 3 categories below. Mark the most appropriate level with an "X" (only one level per Competence Element (CE)).</t>
  </si>
  <si>
    <t>Wissen vorhanden</t>
  </si>
  <si>
    <t>Fertigkeiten vorhanden</t>
  </si>
  <si>
    <t>Fähigkeiten vorhanden</t>
  </si>
  <si>
    <t>verstehen</t>
  </si>
  <si>
    <t>handeln</t>
  </si>
  <si>
    <t>gestalten</t>
  </si>
  <si>
    <t>Knowledge available</t>
  </si>
  <si>
    <t>understand</t>
  </si>
  <si>
    <t>Skills available</t>
  </si>
  <si>
    <t>act</t>
  </si>
  <si>
    <t>Abilities available</t>
  </si>
  <si>
    <t>design and create</t>
  </si>
  <si>
    <t>Bitte bewerten Sie Ihre eigenen Fähigkeiten für jedes CE anhand der folgenden 3 Kategorien. Kreuzen Sie das am besten zutreffende Level mit einem "X" an (nur eine Stufe pro Kompetenzelement (CE)).</t>
  </si>
  <si>
    <t>Sub-PM</t>
  </si>
  <si>
    <t>Ende in PM Rolle</t>
  </si>
  <si>
    <t>Start in PM Rolle</t>
  </si>
  <si>
    <t>Start Date in PM Role</t>
  </si>
  <si>
    <t>End Date in PM Role</t>
  </si>
  <si>
    <t>Note: 
The total duration of your PM experience ends with the certification date indicated on the cover sheet. PM experience end-dates occuring after the certification date may be entered, but the time after the certification date will not be credited towards the required prior experience.</t>
  </si>
  <si>
    <t>Hinweis: 
Die Gesamtdauer Ihrer PM-Erfahrung endet mit dem auf dem Deckblatt angegebenen Zertifizierungsdatum. PM-Erfahrungen, die nach dem Zertifizierungsdatum enden, können eingetragen werden, aber die Zeit nach dem Zertifizierungsdatum wird nicht auf die erforderliche Vorerfahrung angerechnet.</t>
  </si>
  <si>
    <t>Comp. Lvl.</t>
  </si>
  <si>
    <t>Komp. Stufe</t>
  </si>
  <si>
    <t>berechn. Ergebnis</t>
  </si>
  <si>
    <t>Ass. manuell</t>
  </si>
  <si>
    <t>End- ergebnis</t>
  </si>
  <si>
    <t>Interview Fragen</t>
  </si>
  <si>
    <t>Anmerkungen 
(nur für Dokumentation in der F01)</t>
  </si>
  <si>
    <t>WS</t>
  </si>
  <si>
    <t>Case Study</t>
  </si>
  <si>
    <t>Begründung für Report Bewertung 
(erscheint in der Kandidaten-Rückmeldung)</t>
  </si>
  <si>
    <t>Justification for Report Evaluation
(appears in the candidate feedback report)</t>
  </si>
  <si>
    <t>Remarks 
(documentation in F01 only)</t>
  </si>
  <si>
    <t>Competence Levels</t>
  </si>
  <si>
    <t xml:space="preserve">C </t>
  </si>
  <si>
    <t>Leistungsumfang</t>
  </si>
  <si>
    <t>Kosten &amp; Finanzierung</t>
  </si>
  <si>
    <t xml:space="preserve">Kommentare </t>
  </si>
  <si>
    <t>Remarks related to written tests and report</t>
  </si>
  <si>
    <t>N/A</t>
  </si>
  <si>
    <t xml:space="preserve">Grundlagen des Projektmanagements: Kommunikation </t>
  </si>
  <si>
    <t>1:01 Stunden</t>
  </si>
  <si>
    <t>Einführung</t>
  </si>
  <si>
    <t>Kommunikationsplan</t>
  </si>
  <si>
    <t>Probleme in Projekten werden fast immer auf schlechte Kommunikation zurückgeführt. Projektmanager verbringen den größten Teil ihrer Zeit mit Kommunikation, da ein erfolgreiches Projekt von einer guten Kommunikation abhängt.</t>
  </si>
  <si>
    <t>Mit zunehmender Größe des Projektteams wird die Bereitstellung der richtigen Informationen für alle relevanten Personen zu einer Herausforderung. Auf der Grundlage der Stakeholder-Analyse sollte man ableiten, welche Art von Informationen auf welche Weise an die jeweiligen Personen weitergegeben werden müssen.</t>
  </si>
  <si>
    <t>GPM Membership</t>
  </si>
  <si>
    <t>GPM Mitgliedschaft</t>
  </si>
  <si>
    <t>Mitgliedsnummer:</t>
  </si>
  <si>
    <t>Membership number:</t>
  </si>
  <si>
    <t>Competence L</t>
  </si>
  <si>
    <t>Handover</t>
  </si>
  <si>
    <t>TEST</t>
  </si>
  <si>
    <t>*Level C-A and Re-cert only. To apply for an extended project evaluation period, you need to formally advise PM-ZERT of any extenuating circumstances.</t>
  </si>
  <si>
    <t>*nur Level C-A und Re-Zert. Um eine Verlängerung des Betrachtungszeitraums zu beantragen, müssen Sie die PM-ZERT über alle mildernden Umstände informieren.</t>
  </si>
  <si>
    <t xml:space="preserve">How to safely activate macros </t>
  </si>
  <si>
    <t>Makros sicher aktivieren</t>
  </si>
  <si>
    <t>Klicken Sie in der oberen Menüleiste auf „Datei“ und dann ganz unten auf „Optionen“.</t>
  </si>
  <si>
    <t>In den Optionen wählen Sie ganz unten „Trust Center“ aus. Dann klicken Sie auf „Einstellungen für das Trust Center“.</t>
  </si>
  <si>
    <t>Schließen Sie das Fenster, indem Sie unten auf „OK“ klicken.</t>
  </si>
  <si>
    <t>Laden Sie die Datei erneut, und aktivieren Sie die Makros im gelben Banner oder im Po-up Fenster.</t>
  </si>
  <si>
    <t>Click on "File" in the menu bar and then on "Options" at the bottom.</t>
  </si>
  <si>
    <t>Select "Trust Center" at the bottom and click on "Trust Center settings".</t>
  </si>
  <si>
    <t>Close the window by clicking "OK" at the bottom.</t>
  </si>
  <si>
    <t>Open the file again and activate the macros in the yellow banner or in the pop-up window.</t>
  </si>
  <si>
    <t>Incorporation of change requests and errors observed during pilot phase</t>
  </si>
  <si>
    <t>as per report</t>
  </si>
  <si>
    <t>Change request / error handling</t>
  </si>
  <si>
    <t>Update of competence levels after guideline revision</t>
  </si>
  <si>
    <t>Competence levels</t>
  </si>
  <si>
    <t>FPM</t>
  </si>
  <si>
    <t>Update of competence levels after guideline revision, implementation of additional PM roles</t>
  </si>
  <si>
    <t>Only assessor name and dat required for re-cert</t>
  </si>
  <si>
    <t>Unnecessary workload for recert</t>
  </si>
  <si>
    <t>Fixed bug in Level D PM recert experience credits, fixed comment bubbles in recert sheets</t>
  </si>
  <si>
    <t>Cover Sheet, recert sheets</t>
  </si>
  <si>
    <t>bug fix</t>
  </si>
  <si>
    <t>Date:</t>
  </si>
  <si>
    <t>Datum:</t>
  </si>
  <si>
    <t>Process Stage:</t>
  </si>
  <si>
    <t>Prozessschritt:</t>
  </si>
  <si>
    <t>Certification Number:</t>
  </si>
  <si>
    <t>Zert. Nummer:</t>
  </si>
  <si>
    <t>Admission</t>
  </si>
  <si>
    <t>Admission 2</t>
  </si>
  <si>
    <t>Admission 3 (with permission)</t>
  </si>
  <si>
    <t>Report Eval</t>
  </si>
  <si>
    <t>Report Eval 2</t>
  </si>
  <si>
    <t>Report Eval 3 (with permission)</t>
  </si>
  <si>
    <t>Exam Eval</t>
  </si>
  <si>
    <t>Exam Eval 2</t>
  </si>
  <si>
    <t>Exam Eval 3 (with permission)</t>
  </si>
  <si>
    <t>CSW Eval</t>
  </si>
  <si>
    <t>CSW Eval 2</t>
  </si>
  <si>
    <t>CSW Eval 3 (with permission)</t>
  </si>
  <si>
    <t>Interview 2</t>
  </si>
  <si>
    <t>Interview 3 (with permission)</t>
  </si>
  <si>
    <t>Zulassung</t>
  </si>
  <si>
    <t>Zulassung 2</t>
  </si>
  <si>
    <t>CSW-Bewertung</t>
  </si>
  <si>
    <t>Interview 3 (mit Erlaubnis)</t>
  </si>
  <si>
    <t>Zulassung 3 (mit Erlaubnis)</t>
  </si>
  <si>
    <t>Report Bewertung</t>
  </si>
  <si>
    <t>Report Bewertung 2</t>
  </si>
  <si>
    <t>Report Bewertung 3 (mit Erlaubnis)</t>
  </si>
  <si>
    <t>Prüfungsbewertung 2</t>
  </si>
  <si>
    <t>Prüfungsbewertung 3 (mit Erlaubnis)</t>
  </si>
  <si>
    <t>CSW-Bewertung 2</t>
  </si>
  <si>
    <t>CSW-Bewertung 3 (mit Erlaubnis)</t>
  </si>
  <si>
    <t>Assessment Record</t>
  </si>
  <si>
    <t>Auswertungshistorie</t>
  </si>
  <si>
    <t>Last List Entry</t>
  </si>
  <si>
    <t>Lead assessor entry differs from last list entry</t>
  </si>
  <si>
    <t xml:space="preserve"> von 35 Std.</t>
  </si>
  <si>
    <t>nur für die Zertifizierungsstelle und Assessoren</t>
  </si>
  <si>
    <t>Aktueller Status</t>
  </si>
  <si>
    <t>Current Status</t>
  </si>
  <si>
    <t>Result:</t>
  </si>
  <si>
    <t>Ergebnis:</t>
  </si>
  <si>
    <t>OK</t>
  </si>
  <si>
    <t>NOK</t>
  </si>
  <si>
    <t>CEs passed</t>
  </si>
  <si>
    <t>CEs bestanden</t>
  </si>
  <si>
    <r>
      <t>Innterfaces for automatic data extraction.</t>
    </r>
    <r>
      <rPr>
        <b/>
        <sz val="11"/>
        <color rgb="FFFF0000"/>
        <rFont val="Calibri"/>
        <family val="2"/>
        <scheme val="minor"/>
      </rPr>
      <t>*DO NOT MODIFY SHEET AND CELL ASSIGNMENTS*</t>
    </r>
  </si>
  <si>
    <t>Case Study Simulation Workshop available</t>
  </si>
  <si>
    <t>Certification Path</t>
  </si>
  <si>
    <t>Zertifizierungs-Pfad</t>
  </si>
  <si>
    <t>Cert Path</t>
  </si>
  <si>
    <t>CSW</t>
  </si>
  <si>
    <t>X-INT</t>
  </si>
  <si>
    <t>CSW (Workshop)</t>
  </si>
  <si>
    <t>Bestandene CE</t>
  </si>
  <si>
    <t>Passed CE</t>
  </si>
  <si>
    <t>Interview Evaluation</t>
  </si>
  <si>
    <t>Interview Auswertung</t>
  </si>
  <si>
    <t>questions passed</t>
  </si>
  <si>
    <t>questions asked</t>
  </si>
  <si>
    <t>gestellte Fragen</t>
  </si>
  <si>
    <t>bestandene Fragen</t>
  </si>
  <si>
    <t>Interview questions</t>
  </si>
  <si>
    <t>Suggested Cert Path</t>
  </si>
  <si>
    <t>Claimed workload</t>
  </si>
  <si>
    <t>Angegebene Auslastung</t>
  </si>
  <si>
    <t>Ressourcen, für die Sie direkt verantwortlich sind</t>
  </si>
  <si>
    <t>Resources under your direct control</t>
  </si>
  <si>
    <t>Total budget you are responsible for [€]:</t>
  </si>
  <si>
    <t>Gesamtbudget unter Ihrer Verantwortung [€]:</t>
  </si>
  <si>
    <t>Phases:</t>
  </si>
  <si>
    <t>Req.
Compet.
Level</t>
  </si>
  <si>
    <t>Erf.
Kompet.
Stufe</t>
  </si>
  <si>
    <t xml:space="preserve">Brief for Management Experience </t>
  </si>
  <si>
    <t xml:space="preserve">Steckbrief für Management Erfahrung </t>
  </si>
  <si>
    <t xml:space="preserve">Name </t>
  </si>
  <si>
    <t xml:space="preserve">Nummer </t>
  </si>
  <si>
    <t>Information on significant deviations from the plan and/or critical management situations:</t>
  </si>
  <si>
    <t>Informationen über erhebliche Planabweichungen und/oder kritische Managementsituationen:</t>
  </si>
  <si>
    <t>Assoc. workload [%]</t>
  </si>
  <si>
    <t>Anteil an Auslastung [%]</t>
  </si>
  <si>
    <t>PM Workload</t>
  </si>
  <si>
    <t>PM Auslastung</t>
  </si>
  <si>
    <t>Programme / Project / Portfilo Name</t>
  </si>
  <si>
    <t>Programm / Projekt / Portfolio Name</t>
  </si>
  <si>
    <t>Beginn des Vorhabens:</t>
  </si>
  <si>
    <t>Start of the activity:</t>
  </si>
  <si>
    <t>End of the activity (if any):</t>
  </si>
  <si>
    <t>Activity Briefs</t>
  </si>
  <si>
    <t>Planning</t>
  </si>
  <si>
    <t>Planung</t>
  </si>
  <si>
    <t xml:space="preserve">Scheduling: </t>
  </si>
  <si>
    <t>Zeitplanung:</t>
  </si>
  <si>
    <t>Priorisierung:</t>
  </si>
  <si>
    <t>Short description of KPIs and deliverables:</t>
  </si>
  <si>
    <t>Kurze Beschreibung der KPI, Ergebnisse und Liefergegenstände:</t>
  </si>
  <si>
    <t>Prioritisation:</t>
  </si>
  <si>
    <t>Number</t>
  </si>
  <si>
    <t>Sub-Project</t>
  </si>
  <si>
    <t>Teilprojekt</t>
  </si>
  <si>
    <t>Category / PM Domain</t>
  </si>
  <si>
    <t>Kategorie / PM Domäne</t>
  </si>
  <si>
    <t xml:space="preserve">Bewertung der Managementkomplexität für Erfahrung </t>
  </si>
  <si>
    <t>Management Complexity Ratings for Experience Entry</t>
  </si>
  <si>
    <t>Category / Domain</t>
  </si>
  <si>
    <t>Kategorie / Domäne</t>
  </si>
  <si>
    <t>Candidate forms in this collection (note: only relevant forms will be shown)</t>
  </si>
  <si>
    <t>Kandidaten-Formulare in dieser Arbeitsmappe (Hinweis: nur relevante Arbeitsblätter werden angezeigt)</t>
  </si>
  <si>
    <t>COV</t>
  </si>
  <si>
    <t>ADR</t>
  </si>
  <si>
    <t>REF</t>
  </si>
  <si>
    <t>SAS</t>
  </si>
  <si>
    <t>EXP</t>
  </si>
  <si>
    <t>[1-17]</t>
  </si>
  <si>
    <t>PL[1-17]</t>
  </si>
  <si>
    <t>MCR[1-17]</t>
  </si>
  <si>
    <t>Existing IPMA certificates and references</t>
  </si>
  <si>
    <t>PM Experience</t>
  </si>
  <si>
    <t>Management briefs for PM experience</t>
  </si>
  <si>
    <t>Project lists for experience gained in Programmes and Portfolios</t>
  </si>
  <si>
    <t>Management Complexity Rating for PM experience</t>
  </si>
  <si>
    <t>Deckblatt</t>
  </si>
  <si>
    <t>Abweichende Rechnungs- und Lieferadresse</t>
  </si>
  <si>
    <t>Vorhandene IPMA-Zertifikate und Referenzen</t>
  </si>
  <si>
    <t>Selbstbewertung</t>
  </si>
  <si>
    <t>PM-Erfahrung</t>
  </si>
  <si>
    <t>Management-Steckriefe für PM-Erfahrung</t>
  </si>
  <si>
    <t>Projektlisten für Erfahrungen in Programmen und Portfolios</t>
  </si>
  <si>
    <t>Komplexitätsbewertung für PM-Erfahrung</t>
  </si>
  <si>
    <t>Gelb markierte Zellen können ausgefüllt werden.</t>
  </si>
  <si>
    <t>Bewerber/-in:</t>
  </si>
  <si>
    <t>Name and tab colour</t>
  </si>
  <si>
    <t>Name und Farbe</t>
  </si>
  <si>
    <t>Description</t>
  </si>
  <si>
    <t>Beschreibung</t>
  </si>
  <si>
    <t>[COV]</t>
  </si>
  <si>
    <r>
      <t>[REF]</t>
    </r>
    <r>
      <rPr>
        <vertAlign val="superscript"/>
        <sz val="12"/>
        <color theme="1"/>
        <rFont val="Calibri Light"/>
        <family val="2"/>
        <scheme val="major"/>
      </rPr>
      <t>1,2</t>
    </r>
  </si>
  <si>
    <t>[REF]</t>
  </si>
  <si>
    <t>[SAS]</t>
  </si>
  <si>
    <t>[EXP]</t>
  </si>
  <si>
    <t>For each PM role you wish to get experience credits for, enter a sub-project, project, portfolio, or program. Start and end dates refer to the role indicated in column H.</t>
  </si>
  <si>
    <t>Tragen Sie jede PM-Rolle, für die Sie Management-Erfahrung angerechnet haben möchten, ein entsprechendes Teilprojekt, Projekt, Portfolio, oder Programm in die Liste ein. Start- und Enddatum bezieht sich auf die in Spalte H angegebene Rolle.</t>
  </si>
  <si>
    <t>Für jedes Teilprojekt, Projekt, Portfolio, oder Programm, welches Sie in die Projekteliste eingetragen haben, erscheint ein Arbeitsblatt zur Komplexitätseinschätzung, welches vollständig ausgefüllt werden muss.</t>
  </si>
  <si>
    <t>For each sub-project, project, portfolio or program that you entered in the project list, a management complexity assessment worksheet appears, which must be completed in full.</t>
  </si>
  <si>
    <t>Please complete "Billing Address" sheet (Form ADR)!</t>
  </si>
  <si>
    <t>Bitte abweichende Adressangaben vollständig ausfüllen (Formblatt ADR)!</t>
  </si>
  <si>
    <t>RCL</t>
  </si>
  <si>
    <t>RCT</t>
  </si>
  <si>
    <t>[RCL]</t>
  </si>
  <si>
    <t>[RCT]</t>
  </si>
  <si>
    <t>Suggested filename (pure)</t>
  </si>
  <si>
    <t>Suggested filename (valid)</t>
  </si>
  <si>
    <t>DOB String</t>
  </si>
  <si>
    <t>Raw</t>
  </si>
  <si>
    <t>Checked</t>
  </si>
  <si>
    <t>File name invalid!</t>
  </si>
  <si>
    <t>Dateiname ungültig!</t>
  </si>
  <si>
    <t>File saved as</t>
  </si>
  <si>
    <t>Datei gespeichert unter</t>
  </si>
  <si>
    <t>Deckblatt bitte vollständig ausfüllen!</t>
  </si>
  <si>
    <t>Please complete cover sheet first!</t>
  </si>
  <si>
    <t>Message boxes and dialogs</t>
  </si>
  <si>
    <t>Choose a path to save this file</t>
  </si>
  <si>
    <t>Wáhlen Sie einen Pfad für die Datei aus</t>
  </si>
  <si>
    <t>Initial path</t>
  </si>
  <si>
    <t>Create file name and save</t>
  </si>
  <si>
    <t>Erzeugter Dateiname für Ihren Leistungsnachweis</t>
  </si>
  <si>
    <t>Filename for your Certification Record</t>
  </si>
  <si>
    <t>V02</t>
  </si>
  <si>
    <t>Experimental version. Not for release</t>
  </si>
  <si>
    <t>1. Notes in English: need to be in German
2. All examples need to be in the correct language
3. Lit rev for magazines needs to reflect correct number of issues
4. Add end-date to remote learning table
5. Fix typo in management brief: missing d:  
6. Clarify in Experience sheet that entries are role based.
7. Change Total project budget to budget that the candidate has had  responsibility for.
8. add overview of pass mark and results to header of scoring sheet
change WS message in x-int mode</t>
  </si>
  <si>
    <t>Coversheet, experience, re-cert (all)</t>
  </si>
  <si>
    <t>1. add number of questions asked to header of scoring sheet
2. fix error in KCI passed message in written test
3. fix error in scoring sheet summary title (KCI / CE reference text)
4. add PGM/PFM CE to self assessment
5. add claimed workload to project inspector
6. add KPI to deliverable field in management briefs (ask for KPIs and deliverables)
7. Experience: add category for sub-projects to selector
8. workload chart in experience displays English title when German language is selected: fix language to match application selection.
9. Shorten candidate form names (sheet tab names) to make them display better on laptop screens
a.	only sheets visible to candidates affected. 
b.	Three letter codes used
c.	TOC added to instructions
d.	No change for assessor sheets
e.	Remark: takes care of complaint about English tab names 
10. allow automatic filename generation for candidates to encourage filename convention</t>
  </si>
  <si>
    <t>Released for pre-pilot testing</t>
  </si>
  <si>
    <t>Achtung: Die eingebetten Makros in dieser Datei sind mit einem dgitalen Zertifikat signiert. 
Jegliche Manipulation oder Rückentwicklung dieser Arbeitsmappe wird als Betrugsversuch gewertet und kann zur Disqualifikation und zu weiteren rechtlichen Schritten führen!</t>
  </si>
  <si>
    <t>Caution: The macros embedded in this file are signed with a digital certificate. 
Any tampering or reverse engineering of this workbook will be treated as attempted fraud and may lead to disqualification and legal action!</t>
  </si>
  <si>
    <t>Select "Macro settings" in the left-hand navigation and either check the box "Disable all macros with notifications", or "Disable VBA macros except digitally signed macros".</t>
  </si>
  <si>
    <t>Klicken Sie links auf „Makroeinstellungen“ und setzen Sie den Punkt bei „Alle Makros mit Benachrichtigung deaktivieren“ or "Alle Makros ausser digital signierte Makros deaktivieren".</t>
  </si>
  <si>
    <t>Kopieren order korrigieren Sie den Dateinamen.
NUR FÜR WINDOWS PC:
Clicken Sie auf OK um einen Dialog zum Speichern zu öffnen.</t>
  </si>
  <si>
    <t>Copy or modify the filename. 
FOR WINDOWS PC ONLY: 
Hit OK to open a file save dialog and pick a location to save it to.</t>
  </si>
  <si>
    <t>1. Code-signing certificate for macros implemented
2. Implementation of portfolio specific entries in management briefs (P-forms)
3. Implementation of assessor evaluation record on cover sheet</t>
  </si>
  <si>
    <t>Path Variant (initial, re, or upgrade)</t>
  </si>
  <si>
    <t>Cert date entry validity limit for data validation</t>
  </si>
  <si>
    <t>Anrechenbare Dauer (im Betrachtungszeitr.) [Monate]</t>
  </si>
  <si>
    <t>Creditable duration (within eval. period) [months]</t>
  </si>
  <si>
    <t>Workbook incomplete or compromised</t>
  </si>
  <si>
    <t>Current worksheets in workbook</t>
  </si>
  <si>
    <t>Changes</t>
  </si>
  <si>
    <t>PL1</t>
  </si>
  <si>
    <t>P1-MCR</t>
  </si>
  <si>
    <t>PL2</t>
  </si>
  <si>
    <t>P2-MCR</t>
  </si>
  <si>
    <t>PL3</t>
  </si>
  <si>
    <t>P3-MCR</t>
  </si>
  <si>
    <t>PL4</t>
  </si>
  <si>
    <t>P4-MCR</t>
  </si>
  <si>
    <t>PL5</t>
  </si>
  <si>
    <t>P5-MCR</t>
  </si>
  <si>
    <t>PL6</t>
  </si>
  <si>
    <t>P6-MCR</t>
  </si>
  <si>
    <t>7</t>
  </si>
  <si>
    <t>PL7</t>
  </si>
  <si>
    <t>P7-MCR</t>
  </si>
  <si>
    <t>8</t>
  </si>
  <si>
    <t>PL8</t>
  </si>
  <si>
    <t>P8-MCR</t>
  </si>
  <si>
    <t>9</t>
  </si>
  <si>
    <t>PL9</t>
  </si>
  <si>
    <t>P9-MCR</t>
  </si>
  <si>
    <t>10</t>
  </si>
  <si>
    <t>PL10</t>
  </si>
  <si>
    <t>P10-MCR</t>
  </si>
  <si>
    <t>11</t>
  </si>
  <si>
    <t>PL11</t>
  </si>
  <si>
    <t>P11-MCR</t>
  </si>
  <si>
    <t>12</t>
  </si>
  <si>
    <t>PL12</t>
  </si>
  <si>
    <t>P12-MCR</t>
  </si>
  <si>
    <t>13</t>
  </si>
  <si>
    <t>PL13</t>
  </si>
  <si>
    <t>P13-MCR</t>
  </si>
  <si>
    <t>14</t>
  </si>
  <si>
    <t>PL14</t>
  </si>
  <si>
    <t>P14-MCR</t>
  </si>
  <si>
    <t>15</t>
  </si>
  <si>
    <t>PL15</t>
  </si>
  <si>
    <t>P15-MCR</t>
  </si>
  <si>
    <t>16</t>
  </si>
  <si>
    <t>PL16</t>
  </si>
  <si>
    <t>P16-MCR</t>
  </si>
  <si>
    <t>18</t>
  </si>
  <si>
    <t>19</t>
  </si>
  <si>
    <t>20</t>
  </si>
  <si>
    <t>17</t>
  </si>
  <si>
    <t>PL17</t>
  </si>
  <si>
    <t>P17-MCR</t>
  </si>
  <si>
    <t>(7b) Project List</t>
  </si>
  <si>
    <t>(7c) Project Schedule</t>
  </si>
  <si>
    <t>(8) Exam Evaluation</t>
  </si>
  <si>
    <t>Level D Scoring</t>
  </si>
  <si>
    <t>Level BAS-D Scoring</t>
  </si>
  <si>
    <t>BAS Scoring</t>
  </si>
  <si>
    <t>PJM-Report-Scoring</t>
  </si>
  <si>
    <t>PGM-Report-Scoring</t>
  </si>
  <si>
    <t>PFM-Report-Scoring</t>
  </si>
  <si>
    <t>Interfaces</t>
  </si>
  <si>
    <t>Evaluation Sheet Instructions</t>
  </si>
  <si>
    <t>instruction</t>
  </si>
  <si>
    <t>Control List</t>
  </si>
  <si>
    <t>INTEGR_CHECK</t>
  </si>
  <si>
    <t>List entry changed</t>
  </si>
  <si>
    <t>Sheet Exists Check</t>
  </si>
  <si>
    <t>Total Changes</t>
  </si>
  <si>
    <t>ARBEITSMAPPE BESCHÄDIGT ODER MANIPULIERT. DATEI UNGÜLTIG!</t>
  </si>
  <si>
    <t>WORKBOOK DAMAGED OR MANIPULATED. FILE INVALID!</t>
  </si>
  <si>
    <t>1. F01 Fixed Re-cert error in formula when recert project ends before re-cert evaluation starts
2. F01: corrected late applications after certificate expiry date leading to error message.
3. F01: Warning in case sheets were deleted
4. Fixed text formatting errors.</t>
  </si>
  <si>
    <t>Certificate</t>
  </si>
  <si>
    <t>Zertifikat</t>
  </si>
  <si>
    <t>(1)  Besuchte Trainings. Z.B. Kurse, Seminare, oder als Mentee</t>
  </si>
  <si>
    <t>(2)  Lecturing and mentoring</t>
  </si>
  <si>
    <t>(2)  Lehren und Mentor sein</t>
  </si>
  <si>
    <t>Professional Development Summary</t>
  </si>
  <si>
    <t>Zusammenfassung der Weiterbildung</t>
  </si>
  <si>
    <t>RCL Eval</t>
  </si>
  <si>
    <t>RCT Eval</t>
  </si>
  <si>
    <t>P-Dev Eval</t>
  </si>
  <si>
    <t>EXP Eval</t>
  </si>
  <si>
    <t>F04 Eval</t>
  </si>
  <si>
    <t>F04 Int</t>
  </si>
  <si>
    <t>MRO &amp; ENGINEERING</t>
  </si>
  <si>
    <t>Export from F01</t>
  </si>
  <si>
    <t>Import to F01</t>
  </si>
  <si>
    <t>Cert round</t>
  </si>
  <si>
    <t>Next up</t>
  </si>
  <si>
    <t>First step</t>
  </si>
  <si>
    <t xml:space="preserve">1. Implemented new re-cert rules
2. Implemented auto-complete for assessor evaluation record table
3. Implemented Interface sheet for future auto-complete functions
4. Re-cert cell link bug fix
5. Addition of German language screenshots to Instruction sheet
6. Increased total number of training entries for re-cert after merging table with online training </t>
  </si>
  <si>
    <t>Die ausgefüllte F01 gilt nur im Zusammenhang mit Ihrem Antrag an die Zertifizierungsstelle. Sie muss im Portal entsprechend der geltenden Prozessrichtlinien hochgeladen bzw. abgegeben werden.</t>
  </si>
  <si>
    <t>Die individuelle Konfiguration der F01 entsprechend Ihrer Auswahl erfolgt per Makros. Es ist daher erforderlich, dass Makros aktiviert sind. Die Makros sind digital signiert und die Integrität der Arbeitsmappe ist geschützt. Folgen Sie den Schritten auf der rechten Seite um Makros ohne Sicherheitsriiko zuzulassen.</t>
  </si>
  <si>
    <t>The individual configuration of the F01 according to your selection is done via macros. It is therefore necessary for macros to be activated. The macros are digitally signed and the integrity of the file is protected. Follow the steps to the right to safely authorize macros with notifciation.</t>
  </si>
  <si>
    <t>Mentoring Thema</t>
  </si>
  <si>
    <t>Mentoring Topic</t>
  </si>
  <si>
    <t>Lesen abonnierter PM Magazine</t>
  </si>
  <si>
    <t>Erstzertifizierung</t>
  </si>
  <si>
    <t>Höherzertifizierung</t>
  </si>
  <si>
    <t>Rezertifizierung</t>
  </si>
  <si>
    <t>Vorhandenes IPMA Zertifikat (nur bei Rezertifizierung und Höherzertifizierung erforderlich)</t>
  </si>
  <si>
    <t>Fehler: Höher- und Rezertifizierung nur in der gleichen Domäne möglich</t>
  </si>
  <si>
    <t>Error: Certificate of the following level required:</t>
  </si>
  <si>
    <t>Fehler: Zertifikat des folgenden Levels erforderlich:</t>
  </si>
  <si>
    <t>Bearb. PE:</t>
  </si>
  <si>
    <t>Bearb. WE:</t>
  </si>
  <si>
    <t>Mand. CE addressed:</t>
  </si>
  <si>
    <t>Opt. CE addressed:</t>
  </si>
  <si>
    <t>Präsentationsdokument</t>
  </si>
  <si>
    <t>Trainingsunterlagen</t>
  </si>
  <si>
    <t>Presentation slides</t>
  </si>
  <si>
    <t>Training documents</t>
  </si>
  <si>
    <t>Referenced ICB elements</t>
  </si>
  <si>
    <t>Referenzierte ICB Elemente</t>
  </si>
  <si>
    <t>Nachweis der Teilnahme</t>
  </si>
  <si>
    <t>Certificate / Proof</t>
  </si>
  <si>
    <t>Date (German notation)</t>
  </si>
  <si>
    <t>Evidence of participation:</t>
  </si>
  <si>
    <t>Evidence of Participation</t>
  </si>
  <si>
    <t>Erfahrung ausreichend für</t>
  </si>
  <si>
    <t>Experience sufficient for</t>
  </si>
  <si>
    <t>Re Certification</t>
  </si>
  <si>
    <t>Exp Req in months</t>
  </si>
  <si>
    <t>Strategic</t>
  </si>
  <si>
    <t>AS</t>
  </si>
  <si>
    <t>davon strategisch</t>
  </si>
  <si>
    <t>of which are strategic</t>
  </si>
  <si>
    <t>Re-cert req</t>
  </si>
  <si>
    <t>Caution: deleting or manipulating worksheets will invalidate the file!</t>
  </si>
  <si>
    <t>Achtung: Wenn Sie Arbeitsblätter löschen oder manipulieren, wird die Datei ungültig!</t>
  </si>
  <si>
    <t>REP PE</t>
  </si>
  <si>
    <t>PE FOR ROM</t>
  </si>
  <si>
    <t>SET SHADE</t>
  </si>
  <si>
    <t>1. Bug fix re date conversion error in native Excel function
2. Bug fix: incorrect project brief and MCR display for Level D recert
3. Change in Re-cert evidence title and columns as desired by PMZERT</t>
  </si>
  <si>
    <t>1. Adaptation of Re-cert PM experience pass criteria
2. display of selected PE/WE in top righthand corner for easier visibility
3. dynamic shading of report PE KCI according to level and domain</t>
  </si>
  <si>
    <t>scoring
F04 
PJM/PGM/PFM scoring</t>
  </si>
  <si>
    <t>RCL/RCT EVAL
COV</t>
  </si>
  <si>
    <t>Internal testing version</t>
  </si>
  <si>
    <t>Released for pre-pilot testing and pilot testing</t>
  </si>
  <si>
    <t>Fixed a date conversion errorresulting  from a faulty EXCEL function</t>
  </si>
  <si>
    <t>Dateinamen erzeugen und speichern</t>
  </si>
  <si>
    <t>Report Auswertung</t>
  </si>
  <si>
    <t>Workshop Auswertung</t>
  </si>
  <si>
    <t>1. fixed typo in filename button
2. fixed formatting issue in project report evaluation display on scoring sheet
2. changed to new assessor key</t>
  </si>
  <si>
    <t>all</t>
  </si>
  <si>
    <t>EXP. EXP_Eval_P-Dev_Eval, COV</t>
  </si>
  <si>
    <t>Change requests and bug fixes following pilot round, released for pre-pilot testing and pilot testing</t>
  </si>
  <si>
    <t>R09</t>
  </si>
  <si>
    <t xml:space="preserve">1. Re-cert: exended evaluation period by 3 years upon request
2. Re-cert eval form: fixed incorrect cell references for project duration and accepted CPD
3. Replaced XLOOKUP on COV to allow compatibility with Excel 2016
4. Automated version numbering and date on COV tied to Changes record
</t>
  </si>
  <si>
    <t>R10</t>
  </si>
  <si>
    <t>Fix calculation error in formula for project related CPD experience credits</t>
  </si>
  <si>
    <t>Bug fix</t>
  </si>
  <si>
    <t>R11</t>
  </si>
  <si>
    <t>workbook</t>
  </si>
  <si>
    <t>configuration error</t>
  </si>
  <si>
    <t>Fixed configuration error that shwoed re-cert sheets in new (unedited) sheets,</t>
  </si>
  <si>
    <t>R12</t>
  </si>
  <si>
    <t>Fixed error in PFM and PGM report evaluation to align with latest Z01</t>
  </si>
  <si>
    <t>Bug-fix and update</t>
  </si>
  <si>
    <t>Scoring, PGM, and PFM report scoring</t>
  </si>
  <si>
    <r>
      <rPr>
        <b/>
        <sz val="11"/>
        <color theme="1"/>
        <rFont val="Calibri"/>
        <family val="2"/>
        <scheme val="minor"/>
      </rPr>
      <t>Allowed Roles:</t>
    </r>
    <r>
      <rPr>
        <sz val="11"/>
        <color theme="1"/>
        <rFont val="Calibri"/>
        <family val="2"/>
        <scheme val="minor"/>
      </rPr>
      <t xml:space="preserve">
PJM: Project Manager
PGM: Programme Manager
PFM: Project Portfolio Manager
CPM: Commercial Project Manager
TPM: Technical Project Manager
Sub-PM: Subproject Manager
WPM: Workpackage Manager
TEAM: Team member
PDO: Product Owner
PMO: Project Management Office
FPM: Functional / Specialist Projekt Manager
SCO: SCRUM Master</t>
    </r>
  </si>
  <si>
    <r>
      <rPr>
        <b/>
        <sz val="11"/>
        <color theme="1"/>
        <rFont val="Calibri"/>
        <family val="2"/>
        <scheme val="minor"/>
      </rPr>
      <t xml:space="preserve">Erlaubte Rollen: </t>
    </r>
    <r>
      <rPr>
        <sz val="11"/>
        <color theme="1"/>
        <rFont val="Calibri"/>
        <family val="2"/>
        <scheme val="minor"/>
      </rPr>
      <t xml:space="preserve">
PJM: Projektmanager
PGM: Programm-Manager
PFM: Projektportfolio-Manager
CPM: Kaufmännischer Projektmanager
TPM: Technischer Projektmanager
Sub-PM: Teilprojektleiter
WPM: Arbeitspaketverantwortlicher
TEAM: Teammitglied
PDO: Product Owner
PMO: Project Management Office
FPM: Fachlicher Projekt Manager
SCO: SCRUM-Master</t>
    </r>
  </si>
  <si>
    <t>R13</t>
  </si>
  <si>
    <t>Fixed formatting error in F04 Int
Changed re-cert cov indicator to round down
Added WPM and TEAM roles to EXP
Added ref to ICB Ref to instructions</t>
  </si>
  <si>
    <t>F04 Int, COV, EXP</t>
  </si>
  <si>
    <t>Bug fix and formatting change</t>
  </si>
  <si>
    <t>R14</t>
  </si>
  <si>
    <t>Investition</t>
  </si>
  <si>
    <t>Budget (labour) you are responsible for [€]:</t>
  </si>
  <si>
    <t>Budget (non-labour) you are responsible for [€]:</t>
  </si>
  <si>
    <t>Budget (Sachmittel) unter Ihrer Verantwortung [€]:</t>
  </si>
  <si>
    <t>Budget (Aufwand) unter Ihrer Verantwortung [€]:</t>
  </si>
  <si>
    <t>Overall labour budget per PD [EUR]</t>
  </si>
  <si>
    <t>Budget (Aufwand) pro PT [EUR]</t>
  </si>
  <si>
    <t>angeg. Budgetmittel (Aufwand) [EUR]</t>
  </si>
  <si>
    <t>angeg. Budgetmittel (Sachmittel) [EUR]</t>
  </si>
  <si>
    <t>labour budget claimed [EUR]</t>
  </si>
  <si>
    <t>non-labour budget claimed [EUR]</t>
  </si>
  <si>
    <t>angeg. Gesamt- budget [EUR]</t>
  </si>
  <si>
    <t>R15</t>
  </si>
  <si>
    <t>project briefs, exp eval</t>
  </si>
  <si>
    <t>Added line item for non-labour costs to project briefs and exp eval, update to integr check to remove legacy code no longer supported by MS</t>
  </si>
  <si>
    <t>Cov, Dictionary, scoring, exp, exp eval, all sheets with logos</t>
  </si>
  <si>
    <t>update</t>
  </si>
  <si>
    <t>formatting change, revision not released</t>
  </si>
  <si>
    <t>Formal: Ein Pflicht CE mit seinen KCI wurde nicht bearbeitet</t>
  </si>
  <si>
    <t>Formal: Die Kompetenzstufe lt. Reportvorgabe wurde nicht erreicht. Bitte überprüfen Sie anhand der Kompetenzstufe Ihre Ausführungen des KCI.</t>
  </si>
  <si>
    <t>Formal: The text does not match the scope of a mandatory CE or KCI.</t>
  </si>
  <si>
    <t>Formal: The text does not reflect the specified minimum competence level. Please check your explanations of the KCI based on the competence level.</t>
  </si>
  <si>
    <t>Content: The description does not meet the scope required for the KCI. Please review the KCI and address any missing parts.</t>
  </si>
  <si>
    <t>Inhalt: Das Thema bzw. die inhaltliche Anforderung an das KCI wurde nicht vollständig erfüllt. Bitte überprüfen Sie welchen Part der Anforderung an dem KCI Sie nicht bearbeitet haben.</t>
  </si>
  <si>
    <t>Content: Your description is too general and does not sufficiently relate to the project. They could apply to any project. Please make reference to your project and related evidence.</t>
  </si>
  <si>
    <t xml:space="preserve">Inhalt: Ihre Ausführungen haben keinen Bezug zum Projekt. Diese wurden allgemein, für jedes Projekt gültig, formuliert. Bitte stellen Sie in Ihren Ausführungen einen Bezug zum vorliegenden Projekt und entsprechenden Nachweisen her. </t>
  </si>
  <si>
    <t>Evidence: Lack of project related evidence. Please provide evidence, e.g. by means of graphs, tables and other project documents, that clearly relates to this KCI. You may reference evidence provided in the appendix to your document.</t>
  </si>
  <si>
    <t>Evidence: Missing reference to your own action and decisions. It is unclear what responsibility you had. Please describe your own role in the context of the KCI.</t>
  </si>
  <si>
    <t>Evidenz: Fehlender Projektbezug, keine Evidenz erkennbar. Bitte weisen Sie z.B. anhand von Grafiken, Tabellen, und weitere Projektdokumente Nachweise als Anhang zu Ihren getätigten Ausführungen nach.</t>
  </si>
  <si>
    <t>Evidenz: Bezug zum eigenen Handeln fehlt. Es ist nicht erkennbar welche Verantwortung Sie in den von Ihnen gemachten Ausführungen hatten. Bitte Beschreiben Sie Ihre Rolle.</t>
  </si>
  <si>
    <t>Fixed typo in German version of PM experience
New PM-ZERT Logo
Changed message to candidates in feedback report as per new guiodelines
Updated Feedback report to accommodate new feedback
Report Feedback sheets are now marked Rep Feedback [i]
Changed format of REMARKS field on COV</t>
  </si>
  <si>
    <t>R16</t>
  </si>
  <si>
    <t>Removed incorrect logo on scoring sheet</t>
  </si>
  <si>
    <t>update and release</t>
  </si>
  <si>
    <t>REZ</t>
  </si>
  <si>
    <t>ADM</t>
  </si>
  <si>
    <t>REP</t>
  </si>
  <si>
    <t>WTP</t>
  </si>
  <si>
    <t>INT</t>
  </si>
  <si>
    <t>Calculating Current Status</t>
  </si>
  <si>
    <t>R17</t>
  </si>
  <si>
    <t>04.03.02.01</t>
  </si>
  <si>
    <t>04.03.02.02</t>
  </si>
  <si>
    <t>04.03.02.03</t>
  </si>
  <si>
    <t>04.03.02.04</t>
  </si>
  <si>
    <t>04.03.02.05</t>
  </si>
  <si>
    <t>04.03.03.01</t>
  </si>
  <si>
    <t>04.03.03.02</t>
  </si>
  <si>
    <t>04.03.03.03</t>
  </si>
  <si>
    <t>04.03.03.04</t>
  </si>
  <si>
    <t>04.03.03.05</t>
  </si>
  <si>
    <t>04.03.03.06</t>
  </si>
  <si>
    <t>04.03.05.01</t>
  </si>
  <si>
    <t>04.03.05.02</t>
  </si>
  <si>
    <t>04.03.05.03</t>
  </si>
  <si>
    <t>04.04.09.01</t>
  </si>
  <si>
    <t>04.04.09.02</t>
  </si>
  <si>
    <t>04.04.09.03</t>
  </si>
  <si>
    <t>04.04.09.04</t>
  </si>
  <si>
    <t>04.05.06.01</t>
  </si>
  <si>
    <t>04.05.06.02</t>
  </si>
  <si>
    <t>04.05.06.03</t>
  </si>
  <si>
    <t>04.05.06.04</t>
  </si>
  <si>
    <t>04.05.06.05</t>
  </si>
  <si>
    <t>04.05.13.01</t>
  </si>
  <si>
    <t>04.05.13.02</t>
  </si>
  <si>
    <t>04.05.13.03</t>
  </si>
  <si>
    <t>04.04.09.05</t>
  </si>
  <si>
    <t>04.05.09.01</t>
  </si>
  <si>
    <t>04.05.09.02</t>
  </si>
  <si>
    <t>04.05.09.04</t>
  </si>
  <si>
    <t>04.05.13.04</t>
  </si>
  <si>
    <t>Custom</t>
  </si>
  <si>
    <t>04.03.02.07</t>
  </si>
  <si>
    <t>04.05.14.01</t>
  </si>
  <si>
    <t>04.05.14.02</t>
  </si>
  <si>
    <t>04.05.14.03</t>
  </si>
  <si>
    <t>04.05.14.04</t>
  </si>
  <si>
    <t>04.05.14.05</t>
  </si>
  <si>
    <t>04.05.01.01</t>
  </si>
  <si>
    <t>04.05.01.02</t>
  </si>
  <si>
    <t>04.05.01.03</t>
  </si>
  <si>
    <t>04.05.01.04</t>
  </si>
  <si>
    <t>04.05.01.05</t>
  </si>
  <si>
    <t>04.05.01.06</t>
  </si>
  <si>
    <t>04.05.01.07</t>
  </si>
  <si>
    <t>04.03.02.06</t>
  </si>
  <si>
    <t>04.03.04.01</t>
  </si>
  <si>
    <t>04.03.04.02</t>
  </si>
  <si>
    <t>04.03.04.03</t>
  </si>
  <si>
    <t>04.05.09.03</t>
  </si>
  <si>
    <t>04.05.11.01</t>
  </si>
  <si>
    <t>04.05.11.02</t>
  </si>
  <si>
    <t>04.05.11.03</t>
  </si>
  <si>
    <t>04.05.11.04</t>
  </si>
  <si>
    <t>04.05.11.05</t>
  </si>
  <si>
    <t>C-PJM GC-V01 VAR-1</t>
  </si>
  <si>
    <t>C-PJM GC-V01 VAR-2</t>
  </si>
  <si>
    <t>C-PJM GC-V01 VAR-3</t>
  </si>
  <si>
    <t>04.03.01.01</t>
  </si>
  <si>
    <t>04.03.01.02</t>
  </si>
  <si>
    <t>04.03.01.03</t>
  </si>
  <si>
    <t>04.03.01.04</t>
  </si>
  <si>
    <t>04.03.01.05</t>
  </si>
  <si>
    <t>04.05.02.01</t>
  </si>
  <si>
    <t>04.05.02.02</t>
  </si>
  <si>
    <t>04.05.02.03</t>
  </si>
  <si>
    <t>B-PJM GC-V01 ALL VAR</t>
  </si>
  <si>
    <t>Candidate Report Card</t>
  </si>
  <si>
    <t>Leistungsübersicht</t>
  </si>
  <si>
    <t>multiple</t>
  </si>
  <si>
    <r>
      <rPr>
        <b/>
        <sz val="12"/>
        <color indexed="8"/>
        <rFont val="Calibri"/>
        <family val="2"/>
        <scheme val="minor"/>
      </rPr>
      <t>First reference (Level C, B, and A only)</t>
    </r>
    <r>
      <rPr>
        <b/>
        <sz val="11"/>
        <color theme="1"/>
        <rFont val="Calibri"/>
        <family val="2"/>
        <scheme val="minor"/>
      </rPr>
      <t xml:space="preserve">: </t>
    </r>
  </si>
  <si>
    <r>
      <rPr>
        <b/>
        <sz val="11"/>
        <color theme="1"/>
        <rFont val="Calibri"/>
        <family val="2"/>
        <scheme val="minor"/>
      </rPr>
      <t xml:space="preserve">Erste Referenzperson (nur Level C, B, und A): </t>
    </r>
    <r>
      <rPr>
        <sz val="11"/>
        <color theme="1"/>
        <rFont val="Calibri"/>
        <family val="2"/>
        <scheme val="minor"/>
      </rPr>
      <t xml:space="preserve"> </t>
    </r>
  </si>
  <si>
    <r>
      <rPr>
        <b/>
        <sz val="12"/>
        <color indexed="8"/>
        <rFont val="Calibri"/>
        <family val="2"/>
        <scheme val="minor"/>
      </rPr>
      <t>Second reference (Level C, B, and A only)</t>
    </r>
    <r>
      <rPr>
        <b/>
        <sz val="11"/>
        <color theme="1"/>
        <rFont val="Calibri"/>
        <family val="2"/>
        <scheme val="minor"/>
      </rPr>
      <t xml:space="preserve">: </t>
    </r>
  </si>
  <si>
    <r>
      <rPr>
        <b/>
        <sz val="11"/>
        <color theme="1"/>
        <rFont val="Calibri"/>
        <family val="2"/>
        <scheme val="minor"/>
      </rPr>
      <t xml:space="preserve">Zweite Referenzperson (nur Level C, B, und A): </t>
    </r>
    <r>
      <rPr>
        <sz val="11"/>
        <color theme="1"/>
        <rFont val="Calibri"/>
        <family val="2"/>
        <scheme val="minor"/>
      </rPr>
      <t xml:space="preserve"> </t>
    </r>
  </si>
  <si>
    <t>Custom Exam Configuration</t>
  </si>
  <si>
    <t>Freie Prüfungskonfiguration</t>
  </si>
  <si>
    <t>Report LA</t>
  </si>
  <si>
    <t>Report Co-A</t>
  </si>
  <si>
    <t>Schriftliche Prüfung</t>
  </si>
  <si>
    <t xml:space="preserve">Case Study / Role Play Workshop (CSW) </t>
  </si>
  <si>
    <t>Interview (INT &amp; X-INT)</t>
  </si>
  <si>
    <t>Von der Geschäftsstelle aus der Datenbank zu befüllen</t>
  </si>
  <si>
    <t>Nachname</t>
  </si>
  <si>
    <t>Geb. Datum</t>
  </si>
  <si>
    <t>Sprache</t>
  </si>
  <si>
    <t>Zert. Art</t>
  </si>
  <si>
    <t>Pfad</t>
  </si>
  <si>
    <t>Level Antrag</t>
  </si>
  <si>
    <t>Domäne Antrag</t>
  </si>
  <si>
    <t>PM Erf. Gesamt</t>
  </si>
  <si>
    <t>PM Erf.
( C)</t>
  </si>
  <si>
    <t>PM Erf.
(B)</t>
  </si>
  <si>
    <t>PM Erf.
(A)</t>
  </si>
  <si>
    <t>Versuch</t>
  </si>
  <si>
    <t>Assessor</t>
  </si>
  <si>
    <t>F01 Transfer</t>
  </si>
  <si>
    <t/>
  </si>
  <si>
    <t>F02 Interface</t>
  </si>
  <si>
    <t>Admission (CA)</t>
  </si>
  <si>
    <t>Admission 2 (CA)</t>
  </si>
  <si>
    <t>Admission 3 (CA) (with permission)</t>
  </si>
  <si>
    <t>Zulassung (CA)</t>
  </si>
  <si>
    <t>Zulassung 2 (CA)</t>
  </si>
  <si>
    <t>Zulassung 3 (CA) (mit Erlaubnis)</t>
  </si>
  <si>
    <t>Report Eval (CA)</t>
  </si>
  <si>
    <t>Report Eval 2 (CA)</t>
  </si>
  <si>
    <t>Report Eval 3 (CA) (with permission)</t>
  </si>
  <si>
    <t>Report Bewertung (CA)</t>
  </si>
  <si>
    <t>Report Bewertung 2 (CA)</t>
  </si>
  <si>
    <t>Report Bewertung 3 (CA) (mit Erlaubnis)</t>
  </si>
  <si>
    <t>ADMC</t>
  </si>
  <si>
    <t>REPC</t>
  </si>
  <si>
    <t>Process Steps Level B</t>
  </si>
  <si>
    <t>Process Steps Level C</t>
  </si>
  <si>
    <t>Process Steps Level A</t>
  </si>
  <si>
    <t>Process Steps Level D</t>
  </si>
  <si>
    <t>Currently Available Process Steps</t>
  </si>
  <si>
    <t>Category</t>
  </si>
  <si>
    <t>Attempt</t>
  </si>
  <si>
    <t>ALL CERT VARIANTS</t>
  </si>
  <si>
    <t>CBA / MASTER</t>
  </si>
  <si>
    <t>WTP2</t>
  </si>
  <si>
    <t>D1 Exam Eval</t>
  </si>
  <si>
    <t>D1 Exam Eval 2</t>
  </si>
  <si>
    <t>D1 Exam Eval 3 (with permission)</t>
  </si>
  <si>
    <t>D1 Prüfungsbewertung</t>
  </si>
  <si>
    <t>D1 Prüfungsbewertung 2</t>
  </si>
  <si>
    <t>D1 Prüfungsbewertung 3 (mit Erlaubnis)</t>
  </si>
  <si>
    <t>D2 Exam Eval</t>
  </si>
  <si>
    <t>D2 Exam Eval 2</t>
  </si>
  <si>
    <t>D2 Exam Eval 3 (with permission)</t>
  </si>
  <si>
    <t>D2 Prüfungsbewertung</t>
  </si>
  <si>
    <t>D2 Prüfungsbewertung 2</t>
  </si>
  <si>
    <t>D2 Prüfungsbewertung 3 (mit Erlaubnis)</t>
  </si>
  <si>
    <t>D1 (changes to master only)</t>
  </si>
  <si>
    <t>D2 (changes to master only)</t>
  </si>
  <si>
    <t>Added candidate scoring report card
Added pre-configured written test marking sheets
Automated cert step list entry on COV
Added note that Ref not necessary at Level D
Added score above KCI table on scoring card
Wrap text in comment box on COV
Provided exam result interface for F02 transfer
Added interface section for automatic result sync with F02</t>
  </si>
  <si>
    <t>Manually select GC Variant, or deselect all for PM-ZERT</t>
  </si>
  <si>
    <t>GOI-PJM</t>
  </si>
  <si>
    <t>SE-GPMC</t>
  </si>
  <si>
    <t>GC-Variant</t>
  </si>
  <si>
    <t>Certification-Prefix</t>
  </si>
  <si>
    <t>PMAC Canada</t>
  </si>
  <si>
    <t>PMAS Singapore</t>
  </si>
  <si>
    <t>IPMA USA</t>
  </si>
  <si>
    <t>PMA Austria</t>
  </si>
  <si>
    <t>CB</t>
  </si>
  <si>
    <t>Suggested filename prefix</t>
  </si>
  <si>
    <t>F01 Import Interface</t>
  </si>
  <si>
    <t>Functions</t>
  </si>
  <si>
    <t>Scoring drop-down selector</t>
  </si>
  <si>
    <t>Scoring Regime (GC / PMZERT)</t>
  </si>
  <si>
    <t>D2 oder Report</t>
  </si>
  <si>
    <t>D2 or Report</t>
  </si>
  <si>
    <t>SE-GPMC Level D+ scoring</t>
  </si>
  <si>
    <t>Bewertung SE-GPMC Level D+</t>
  </si>
  <si>
    <t>Pass marg &gt;</t>
  </si>
  <si>
    <t>Calc.Pass Result</t>
  </si>
  <si>
    <t xml:space="preserve">Pass threschold = </t>
  </si>
  <si>
    <t xml:space="preserve">GC Pass </t>
  </si>
  <si>
    <t>Optional Report CEs addressed</t>
  </si>
  <si>
    <t>Report KCIs addressed</t>
  </si>
  <si>
    <t>KCIs addressed:</t>
  </si>
  <si>
    <t>Bearbeitet Report KCI</t>
  </si>
  <si>
    <t>Bearb. KCI:</t>
  </si>
  <si>
    <t>Min</t>
  </si>
  <si>
    <t>Passed</t>
  </si>
  <si>
    <t>Req</t>
  </si>
  <si>
    <t>Rep KCI</t>
  </si>
  <si>
    <t>GC Rep Eval</t>
  </si>
  <si>
    <t>Mind. KCI:</t>
  </si>
  <si>
    <t>Mand Min KCI:</t>
  </si>
  <si>
    <t>Overall Passed</t>
  </si>
  <si>
    <t>PMO mode</t>
  </si>
  <si>
    <t>PMO Project Cluster</t>
  </si>
  <si>
    <t>PMO Projekt Cluster</t>
  </si>
  <si>
    <t>Art der PM Organisation</t>
  </si>
  <si>
    <t>Type</t>
  </si>
  <si>
    <t>Typ</t>
  </si>
  <si>
    <t>Other (see remarks)</t>
  </si>
  <si>
    <t>Sonstige (s. Anm.)</t>
  </si>
  <si>
    <t>Resourcen</t>
  </si>
  <si>
    <t>Number of team members according to organizational chart (including yourself):</t>
  </si>
  <si>
    <t>Anzahl der Mitglieder des Teams gemäß dem Organigramm (inkl. Sie selbst):</t>
  </si>
  <si>
    <t>Your start in this role:</t>
  </si>
  <si>
    <t>Ihr Beginn in dieser Rolle:</t>
  </si>
  <si>
    <t>Stretegic</t>
  </si>
  <si>
    <t>Strategisch</t>
  </si>
  <si>
    <t xml:space="preserve">Verfügbare PM-Kategories / -Domänen:
Teilprojekt
Projekt
Programm
Portfolio
</t>
  </si>
  <si>
    <t xml:space="preserve">Available PM Categories / Domains:
Sub-Project
Project
Programme
Portfolio
</t>
  </si>
  <si>
    <t>QNA</t>
  </si>
  <si>
    <t>Gespräch mit Kandidat</t>
  </si>
  <si>
    <t>Conversation with Candidate</t>
  </si>
  <si>
    <t>GPM membership claimed</t>
  </si>
  <si>
    <t>GPM Mitgliedschaft angegeben</t>
  </si>
  <si>
    <t>X Selector functions</t>
  </si>
  <si>
    <t>Enter your GPM membership number to receive your membership CPD credits.</t>
  </si>
  <si>
    <t>Geben Sie Ihre GPM Mitgliednummer an, um die hierfür anrechenbare Weiterbildungszeit gutgeschrieben zu bekommen.</t>
  </si>
  <si>
    <t>update and experimental release</t>
  </si>
  <si>
    <t>Multiple</t>
  </si>
  <si>
    <t>experimental for pilot and testing. Not for release</t>
  </si>
  <si>
    <t>Inclusion of PMO domain as per PM-ZERT requirements</t>
  </si>
  <si>
    <t>R19e</t>
  </si>
  <si>
    <t>R18g</t>
  </si>
  <si>
    <t>Only edit cells which have this fill colour</t>
  </si>
  <si>
    <t>Initial Evaluation</t>
  </si>
  <si>
    <t>Item no.</t>
  </si>
  <si>
    <t>Element</t>
  </si>
  <si>
    <t>Facts and Appraisal</t>
  </si>
  <si>
    <t>Assessment</t>
  </si>
  <si>
    <t>Interview balance</t>
  </si>
  <si>
    <t>Interview
wenn Interview bestanden, wird ein Wert eingetragen, so dass die Weiterbildung "bestanden" ist.</t>
  </si>
  <si>
    <t>Practice</t>
  </si>
  <si>
    <t>PM Activity (months) at certified level or higher</t>
  </si>
  <si>
    <t>PM-Tätigkeit (Monate) im genannten Level oder höher</t>
  </si>
  <si>
    <t>Interview
if the interview is assessed as passed, enter the interview balance value here.</t>
  </si>
  <si>
    <t>PM Aactivity (months), total across all levels</t>
  </si>
  <si>
    <t>Continued Professional Development (CPD)</t>
  </si>
  <si>
    <t>CPD credits for active PM duty (based on project management experience)</t>
  </si>
  <si>
    <t>Total CPD hours from P-Dev Eval</t>
  </si>
  <si>
    <t>Weiterbildung der letzten 5 Jahre
(Summe aus P-Dev Eval)</t>
  </si>
  <si>
    <t>Total CPD hours</t>
  </si>
  <si>
    <t>Consultation of a foreign IPMA assessor *)</t>
  </si>
  <si>
    <t>Foreign CB office (postal address and telephone number)</t>
  </si>
  <si>
    <t>Foreign IPMA Assessor (name)</t>
  </si>
  <si>
    <t>Foerign Assessment (date, reference document(s))</t>
  </si>
  <si>
    <t>Appraisal completed: recertification requirements met.</t>
  </si>
  <si>
    <t>Appraisal completed: interview invitation</t>
  </si>
  <si>
    <t>Upgrade recommended (C to B)</t>
  </si>
  <si>
    <t>approx. no. of pages:</t>
  </si>
  <si>
    <t>Inconclusive: request literature review (approx. no. of pages)</t>
  </si>
  <si>
    <t>Offen:Literaturbesprechung anfordern (ca. Seitenzahl)</t>
  </si>
  <si>
    <t>Justification
(reasons why renewal of existing certificate is rejected)</t>
  </si>
  <si>
    <t>IPMA Anforderungen an Re-Zertifizierung</t>
  </si>
  <si>
    <t>IPMA requirements for the renewal of an existing certificate</t>
  </si>
  <si>
    <t>Domain-specific experience</t>
  </si>
  <si>
    <t>Evidence of at least 30 months PM experience over the past 5 years</t>
  </si>
  <si>
    <t>Complexity</t>
  </si>
  <si>
    <t>Evidence of at least 35 hours CPD per 12 month period (175 hours overall) since the existing certificate was issued</t>
  </si>
  <si>
    <t>Anteil der Tätigkeit im Projektmanagement während der vorangegangenen Gültigkeitsdauer des Zertifikats bezogen auf eine Vollbeschäftigung in diesem Zeitraum</t>
  </si>
  <si>
    <t>Percentag of PM activities in relation to FT employment during the existing certificat's validity period</t>
  </si>
  <si>
    <t>CPD credits for active PM role [h]</t>
  </si>
  <si>
    <t>CE / KCI</t>
  </si>
  <si>
    <t>F04 Eval &amp; Interview</t>
  </si>
  <si>
    <t>Interview because of insufficient PM experience</t>
  </si>
  <si>
    <t>Interview because of insufficient CPD hours</t>
  </si>
  <si>
    <t>Question</t>
  </si>
  <si>
    <t>Answer (keywords)</t>
  </si>
  <si>
    <t>Passed / not passed (1/0)</t>
  </si>
  <si>
    <t>Re-cert Interview</t>
  </si>
  <si>
    <t>Re-Zert Interview</t>
  </si>
  <si>
    <t>Lead Assessor: verify entry</t>
  </si>
  <si>
    <t>Lead Assessor: gültige Angabe bestätigt</t>
  </si>
  <si>
    <t>GC Standard Management Complexity Ratings</t>
  </si>
  <si>
    <t>Pre-verified Management Complexity Ratings</t>
  </si>
  <si>
    <t>D+</t>
  </si>
  <si>
    <t>Total questions asked</t>
  </si>
  <si>
    <t>Questions asked:</t>
  </si>
  <si>
    <t>Questions passed:</t>
  </si>
  <si>
    <t>Minimum number of questions</t>
  </si>
  <si>
    <t>Carry-over from WT paper</t>
  </si>
  <si>
    <t>Interview Result</t>
  </si>
  <si>
    <t>Interview Eergebnis</t>
  </si>
  <si>
    <t>Notice:
SE-GPMC Level D+ requires interview to be conducted and passed to achieve overall pass mark (sheet D+ INT).</t>
  </si>
  <si>
    <t>GOI-PJM / SE-GPMC Bloom Levels</t>
  </si>
  <si>
    <t>Competence Levels PJM</t>
  </si>
  <si>
    <t>Q</t>
  </si>
  <si>
    <t>K.Stufe</t>
  </si>
  <si>
    <t>Bloom Lvl</t>
  </si>
  <si>
    <t>B.Stufe</t>
  </si>
  <si>
    <r>
      <rPr>
        <b/>
        <sz val="12"/>
        <color indexed="8"/>
        <rFont val="Calibri"/>
        <family val="2"/>
        <scheme val="minor"/>
      </rPr>
      <t>First reference (must be your line manager)</t>
    </r>
    <r>
      <rPr>
        <b/>
        <sz val="11"/>
        <color theme="1"/>
        <rFont val="Calibri"/>
        <family val="2"/>
        <scheme val="minor"/>
      </rPr>
      <t xml:space="preserve">: </t>
    </r>
  </si>
  <si>
    <r>
      <rPr>
        <b/>
        <sz val="11"/>
        <color theme="1"/>
        <rFont val="Calibri"/>
        <family val="2"/>
        <scheme val="minor"/>
      </rPr>
      <t xml:space="preserve">Erste Referenzperson (muus Ihr Linienvorgesetzter sein): </t>
    </r>
    <r>
      <rPr>
        <sz val="11"/>
        <color theme="1"/>
        <rFont val="Calibri"/>
        <family val="2"/>
        <scheme val="minor"/>
      </rPr>
      <t xml:space="preserve"> </t>
    </r>
  </si>
  <si>
    <t>By submitting my application, I confirm I have the consent of all my referees to share their contact details. By submitting my application, I also agree to all terms and conditions of the certification body I am applying with.</t>
  </si>
  <si>
    <t xml:space="preserve">Mit der Abgabe meiner Anmeldung bestätige ich, dass ich die Zustimmung aller meiner Referenzpersonen zur Weitergabe ihrer Kontaktdaten habe. Mit der Abgabe meiner Anmeldung bestätige ich auserdem, dass ich mit den Vertragsbedingungen der Zertifizierungsstelle einverstanden bin, </t>
  </si>
  <si>
    <t>IFX CLASS A MCR EVALUATION</t>
  </si>
  <si>
    <t xml:space="preserve">STANDARD GOI AGREED MCR </t>
  </si>
  <si>
    <t>IFX CLASS B MCR EVALUATION</t>
  </si>
  <si>
    <t>IFX CLASS C MCR EVALUATION</t>
  </si>
  <si>
    <t>IFX CLASS D MCR EVALUATION</t>
  </si>
  <si>
    <t>IFX CLASS E MCR EVALUATION</t>
  </si>
  <si>
    <t>SE-GPMC CLASS A MCR EVALUATION</t>
  </si>
  <si>
    <t>NO AGREED SE-GPMC MCR EVALUATION</t>
  </si>
  <si>
    <t>D+ (changes to master only)</t>
  </si>
  <si>
    <t xml:space="preserve">STANDARD SE AGREED MCR </t>
  </si>
  <si>
    <t xml:space="preserve"> Predefined GC Categories</t>
  </si>
  <si>
    <t>SE-PCA-MCR</t>
  </si>
  <si>
    <t>SE-PCB-MCR</t>
  </si>
  <si>
    <t>SE-PCC-MCR</t>
  </si>
  <si>
    <t>SE-PCD-MCR</t>
  </si>
  <si>
    <t>SE-PCE-MCR</t>
  </si>
  <si>
    <t>IF-PCA-MCR</t>
  </si>
  <si>
    <t>IF-PCB-MCR</t>
  </si>
  <si>
    <t>IF-PCC-MCR</t>
  </si>
  <si>
    <t>IF-PCD-MCR</t>
  </si>
  <si>
    <t>IF-PCE-MCR</t>
  </si>
  <si>
    <t>IFX</t>
  </si>
  <si>
    <t>SE</t>
  </si>
  <si>
    <t>Source</t>
  </si>
  <si>
    <t>SE-GPMC CLASS C MCR EVALUATION</t>
  </si>
  <si>
    <t>SE-GPMC CLASS B MCR EVALUATION</t>
  </si>
  <si>
    <t>CB Selection</t>
  </si>
  <si>
    <t>CB Available</t>
  </si>
  <si>
    <t>Pilot release for PMO pilot candidates. Locked for PMO and not for general circulation!</t>
  </si>
  <si>
    <t>Homologation</t>
  </si>
  <si>
    <t>Experience in a Relevant PM Role (one entry per role)</t>
  </si>
  <si>
    <t>Erfahrung in einer relevanten PM-Rolle (pro Rolle ein Listeneintrag)</t>
  </si>
  <si>
    <t>D+ Upgrade</t>
  </si>
  <si>
    <t>Macro Check:</t>
  </si>
  <si>
    <t>MACRO FUNCTIONS UNAVAILABLE!  (Recalculate to check again).</t>
  </si>
  <si>
    <t>MACRO FUNKTIONEN NICHT VERFÜGBAR!  (Neuberechnung für neue Überprüfung)</t>
  </si>
  <si>
    <t>R20</t>
  </si>
  <si>
    <t>Cert Desig Selector:</t>
  </si>
  <si>
    <t xml:space="preserve">Multiple / All Level C related </t>
  </si>
  <si>
    <t>Extension options available</t>
  </si>
  <si>
    <t xml:space="preserve">First Name: </t>
  </si>
  <si>
    <t xml:space="preserve">Nachname: </t>
  </si>
  <si>
    <t>The F01 only shows you the worksheets relevant to your individual selection and current processing status. During automatic reconfiguration, it is normal for the worksheets to flicker  briefly.
Please note: for the workbook to be configured properly and for all checks to be carried out correctly, it is necessary for all input fields to be properly populated. This includes entering your expected certification / re-certification date in the designated field. Only when all information required to properly configure your application form is present can the relevant tabs in this workbook be activated, allowing you to input the necessary details. Until all date is complete, the tabs will remain hidden and you will not be able to proceed with further data entry.</t>
  </si>
  <si>
    <t>Die F01 zeigt Ihnen lediglich die für Sie zum aktuellen Bearbeitungsstand relevanten Arbeitsblätter an. Bei der automatischen Neukonfiguration ist es normal, dass die Arbeitsblätter kurz flackern.
Bitte beachten Sie: Damit die Arbeitsmappe richtig konfiguriert werden kann und alle Überprüfungen korrekt durchgeführt werden können, müssen alle Eingabefelder korrekt ausgefüllt werden. Dazu gehört auch die Eingabe Ihres voraussichtlichen Zertifizierungs-/Rezertifizierungsdatums in dem dafür vorgesehenen Feld. Erst wenn alle für die ordnungsgemäße Konfiguration Ihres Antragsformulars erforderlichen Informationen vorhanden sind, können die entsprechenden Registerkarten in dieser Arbeitsmappe aktiviert werden, damit Sie die erforderlichen Angaben eingeben können. Solange nicht alle Daten vollständig sind, bleiben die Registerkarten ausgeblendet und Sie können nicht mit der weiteren Dateneingabe fortfahren.</t>
  </si>
  <si>
    <t>Inhibit PMO selection</t>
  </si>
  <si>
    <t>&gt;</t>
  </si>
  <si>
    <t>Release for pilot run with candidates (PMO de-activated).</t>
  </si>
  <si>
    <t>Bug fix in PMZERT re-zert (unable to include GPM credits)
Inclusion of candidate Q&amp;A rop down to allow Konf Gespr
Incorporation of GC functionality as separate pre-configured mode (not something a candidate can select)
Bug fix in D scoring not showing correct summary
Translation of re-cert evaluation into english for foreign IPMA assessors
removal of old PM-ZERT logos
Bug fix: incorrect project list referenced when selecting PMO</t>
  </si>
  <si>
    <t>CBA</t>
  </si>
  <si>
    <t>Level Specific Language EN</t>
  </si>
  <si>
    <t>Level Specific Language DE</t>
  </si>
  <si>
    <r>
      <rPr>
        <b/>
        <sz val="11"/>
        <color theme="1"/>
        <rFont val="Calibri"/>
        <family val="2"/>
        <scheme val="minor"/>
      </rPr>
      <t xml:space="preserve">Erlaubte Rollen: </t>
    </r>
    <r>
      <rPr>
        <sz val="11"/>
        <color theme="1"/>
        <rFont val="Calibri"/>
        <family val="2"/>
        <scheme val="minor"/>
      </rPr>
      <t xml:space="preserve">
PJM: Projektmanager
PGM: Programm-Manager
PFM: Projektportfolio-Manager
CPM: Kaufmännischer Projektmanager
TPM: Technischer Projektmanager
Sub-PM: Teilprojektleiter
WPM: Arbeitspaketverantwortlicher
PDO: Product Owner
PMO: Project Management Office
FPM: Fachlicher Projekt Manager
SCO: SCRUM-Master</t>
    </r>
  </si>
  <si>
    <r>
      <rPr>
        <b/>
        <sz val="11"/>
        <color theme="1"/>
        <rFont val="Calibri"/>
        <family val="2"/>
        <scheme val="minor"/>
      </rPr>
      <t>Allowed Roles:</t>
    </r>
    <r>
      <rPr>
        <sz val="11"/>
        <color theme="1"/>
        <rFont val="Calibri"/>
        <family val="2"/>
        <scheme val="minor"/>
      </rPr>
      <t xml:space="preserve">
PJM: Project Manager
PGM: Programme Manager
PFM: Project Portfolio Manager
CPM: Commercial Project Manager
TPM: Technical Project Manager
Sub-PM: Subproject Manager
WPM: Workpackage Manager
PDO: Product Owner
PMO: Project Management Office
FPM: Functional / Specialist Projekt Manager
SCO: SCRUM Master</t>
    </r>
  </si>
  <si>
    <t>Level D, D+ Overview, Scoring, COV, Interfaces, Instructions, Dictionary</t>
  </si>
  <si>
    <t>Allowed IFX Roles:
PJM: Project Manager
PGM: Programme Manager
PFM: Project Portfolio Manager
CPM: Commercial Project Manager
TPM: Technical Project Manager
Sub-PM: Subproject Manager
TEAM: Team member
PDO: Product Owner
FPM: Functional / Specialist Projekt Manager
SCO: SCRUM Master</t>
  </si>
  <si>
    <t>Allowed IFX Roles:
PJM: Project Manager
PGM: Programme Manager
PFM: Project Portfolio Manager
CPM: Commercial Project Manager
TPM: Technical Project Manager
Sub-PM: Subproject Manager
PDO: Product Owner
FPM: Functional / Specialist Projekt Manager
SCO: SCRUM Master</t>
  </si>
  <si>
    <t>Erlaubte IFX Rollen: 
PJM: Projektmanager
PGM: Programm-Manager
PFM: Projektportfolio-Manager
CPM: Kaufmännischer Projektmanager
TPM: Technischer Projektmanager
Sub-PM: Teilprojektleiter
TEAM: Teammitglied
PDO: Product Owner
FPM: Fachlicher Projekt Manager
SCO: SCRUM-Master</t>
  </si>
  <si>
    <t>Erlaubte IFX Rollen: 
PJM: Projektmanager
PGM: Programm-Manager
PFM: Projektportfolio-Manager
CPM: Kaufmännischer Projektmanager
TPM: Technischer Projektmanager
Sub-PM: Teilprojektleiter
PDO: Product Owner
FPM: Fachlicher Projekt Manager
SCO: SCRUM-Master</t>
  </si>
  <si>
    <t>D level bug fixes and Regression Test
GC regression test and bug fix
Macro check function implemented
Cert-round designator bug fixed
Cert-round designator drop-down added</t>
  </si>
  <si>
    <t>R21</t>
  </si>
  <si>
    <t>Release for general use</t>
  </si>
  <si>
    <t>Feedback notes</t>
  </si>
  <si>
    <t>Board-level presentation and feedback conversation required for SE-GPMC D+ certificate. To be conducted at CE Level satisfying Bloom's taxonomy for Level C. Target should be the completion of at least 4 questions. The conversation should last no more than 20 mins.</t>
  </si>
  <si>
    <t>IPMA ICB4</t>
  </si>
  <si>
    <t>Rep Feedback</t>
  </si>
  <si>
    <t xml:space="preserve">IPMA Certification </t>
  </si>
  <si>
    <t xml:space="preserve">IPMA Zertifizierung </t>
  </si>
  <si>
    <t>Inclusion of instructions re re-cert date entry
Bug fix: incorrect cell format for cert type on cover sheet
Adjustment of D+ process following pilot preparation review
Bug fix: incorrect project class designator
Bug fix: incorect footer on candidate report card (overview sheet) printout
Inclusion of DOB on candidate report card
Bug fix of Re-cert dictionary reference error
Removal of deprecated IFX roles
Adjustment of WS passmark following Z18 harmonisation
Creation of Report Evaluation Feedback sheet that works without a macro</t>
  </si>
  <si>
    <t>Level D, D+ Overview, Scoring, COV, Interfaces, Instructions, Dictionary, Rep Feedback</t>
  </si>
  <si>
    <t>R22</t>
  </si>
  <si>
    <t>Bug fix in Scoring for report evaluations under PFM and FG01 applications</t>
  </si>
  <si>
    <t>Release for circulation</t>
  </si>
  <si>
    <t>R23</t>
  </si>
  <si>
    <t>Adaptation to align with iSolutions after feedback following system launch on 15 December</t>
  </si>
  <si>
    <t>Instructions, RCL</t>
  </si>
  <si>
    <t>R24</t>
  </si>
  <si>
    <t>Today</t>
  </si>
  <si>
    <t>Machen Sie Angaben zu Ihren Referenzpersonen. Achtung: Sie benötigen das Einverständnis Ihrer Referenzpersonen zur Weitergabe deren Kontaktdaten.</t>
  </si>
  <si>
    <t>Drop doen</t>
  </si>
  <si>
    <t>Ergebnis: Wurden die für die Rezertifizierung erforderlichen Fähigkeiten und Fertigkeiten gezeigt?</t>
  </si>
  <si>
    <t xml:space="preserve">Result: are you satisfied the candidate demonstrated the skills and abilities required for the renewal of their certificate? </t>
  </si>
  <si>
    <t>for re-cert only</t>
  </si>
  <si>
    <t>nur Re-Zert</t>
  </si>
  <si>
    <t>Machen Sie Angeben zu allen Weiterbildungselementen, welche Sie gegeben haben. Z.B. Kurse und Vorträge, die Sie gehalten haben, oder Bücher, die Sie geschrieben haben. Bitte beachten Sie dabei die Angaben für Level D im Leitfaden IPMA® Level D Rezertifizierung und für Level CBA im Leitfaden IPMA® Level CBA Rezertifizierung.</t>
  </si>
  <si>
    <t>Machen Sie Angeben zu allen Weiterbildungselementen, welche Sie erhalten haben. Z.B. Kurse, die Sie besucht haben, oder Bücher, die Sie gelesen haben. Stellen Sie einen Bezug her zu relevanten CE/KCI, und beachten Sie dabi die Angaben für Level D im Leitfaden IPMA® Level D Rezertifizierung und für Level CBA im Leitfaden IPMA® Level CBA Rezertifizierung.</t>
  </si>
  <si>
    <t>Enter details for all CPD education elements that you have received. For example, courses you have attended, mentoring you received, or books you have read. Please make reference to applicable CE/KCI and refer to the information for Level D in the IPMA® Level D Recertification Guide and for Level CBA in the IPMA® Level CBA Recertification Guide..</t>
  </si>
  <si>
    <t>Give details of any continuing education elements you have given. E.g., courses and lectures you gave, mentoring of others, or books you wrote. Please refer to the information for Level D in the IPMA® Level D Recertification Guide and for Level CBA in the IPMA® Level CBA Recertification Guide.</t>
  </si>
  <si>
    <t>Re-certification only: CPD hours learning and studying</t>
  </si>
  <si>
    <t>Re-certification only: reviews for remote / distance learning</t>
  </si>
  <si>
    <t>Re-certification only: literature reviews</t>
  </si>
  <si>
    <t>Re-certification only: CPD hours teaching and lecturing</t>
  </si>
  <si>
    <t>Nur Rezertifizierung: Weiterbildung für Lehr- und Vortragstätigkeiten</t>
  </si>
  <si>
    <t>Nur Rezertifizierung: Weiterbildung für Lern- und Studientätigkeiten</t>
  </si>
  <si>
    <t>Nur Rezertifizierung: Zusammenfassungen von Fernstudium und Online-Kursen</t>
  </si>
  <si>
    <t>Nur Rezertifizierung: Literatur-Konspekte</t>
  </si>
  <si>
    <t>For company computers</t>
  </si>
  <si>
    <t>In addition to the steps mentiond for private computers, select "Optimize for Compatibility"</t>
  </si>
  <si>
    <t xml:space="preserve">Tips and Best Practices for Working with the Form
1. Date Format
•	The date format in the form is determined by your computer’s regional settings.
•	Action: Enter dates using the same format configured on your computer.
________________________________________
2. File Location
•	Save the file locally on your computer. Avoid shared drives, as they may trigger security restrictions and disable certain functions.
•	Keep the file path short: Long paths can cause errors. For best results, store the file in a simple location such as Desktop or Downloads.
________________________________________
3. Do Not Use a Web Browser
•	Opening or editing the file in a browser will not work because the online version of Microsoft Office does not support all required functions.
•	Action: Always download the file and open it locally in the desktop version of Microsoft Office.
________________________________________
4. Enable Macros
•	The form requires macros to function properly.
•	When prompted, select “Yes” to enable macros. The document is digitally signed, trusted, and safe.
________________________________________
If You Experience Compatibility or Security Issues After Upgrading to Windows 11
Try the following steps:
1.	Open the file in Excel.
2.	Go to File → Options  General.
3.	Under User Interface Options, select “Optimize for Compatibility”.
4.	Click OK, then close the file.
5.	Reopen the file and complete your details using the same date/time format as your computer settings.
This should activate the additional sheets (e.g., EXP, RCL, RCT) immediately.
</t>
  </si>
  <si>
    <t>Show evaluation for:</t>
  </si>
  <si>
    <t>Auswertung zeigen für:</t>
  </si>
  <si>
    <t>Exp. Calculation</t>
  </si>
  <si>
    <t>drop down</t>
  </si>
  <si>
    <t>LA</t>
  </si>
  <si>
    <t>CoA</t>
  </si>
  <si>
    <t>Remarks related to written tests</t>
  </si>
  <si>
    <t>Kommentare zur Schriftlichen Prüfung</t>
  </si>
  <si>
    <t>Kommentare zur Schriftlichen Prüfung oder zum Report</t>
  </si>
  <si>
    <t>Scoring
Dictionary
Instructions
COV
PLx
EXP Eval
F04Int
D Scoring
D+ Int</t>
  </si>
  <si>
    <t>PMZS adaptation and Release for circulation</t>
  </si>
  <si>
    <t>New feature: today's date and next evaluation step available as drop down in evaluatio list on COV for easier stylus operation
New Feature: Show CoA evaluation in Exp Eval sheet
Bug fix: PO role selectable on EXP sheet
Change: adaptation of process instructions on Instructions sheet to reflect PMZS updates
Change: re-arranged re-cert sheets for easier completion after PMZS download
Bug fix: PM domain selectable on PL sheet
Change: replacement of radio buttons on F04Int sheet with drop-down lists to prevent PMZS induced element corruption
Change: change sum total function on Scoring sheet to suppress ghost characters present in some PMZS downbloads
Change; D scoring headlines following D+ results
Change: D+ Int process guidelines and evaluation to remove INT from passmark eval
Bug fix: REF error in CE29 headlines
Bug fix: misleading scoring sheet shading in some configurations; conditional formatting fixed
New feature: grouped columns on Scoring for easier display adaptation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</si>
</sst>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_(&quot;£&quot;* #,##0.00_);_(&quot;£&quot;* \(#,##0.00\);_(&quot;£&quot;* &quot;-&quot;??_);_(@_)"/>
    <numFmt numFmtId="165" formatCode="0.0"/>
    <numFmt numFmtId="166" formatCode="mm/yyyy"/>
    <numFmt numFmtId="167" formatCode="[$-407]mmm/\ yy;@"/>
    <numFmt numFmtId="168" formatCode="[$-809]mmm\ yy;@"/>
    <numFmt numFmtId="169" formatCode="[$-C09]dd\-mmm\-yy;@"/>
    <numFmt numFmtId="170" formatCode="###"/>
    <numFmt numFmtId="171" formatCode="_-[$€-2]\ * #,##0_-;\-[$€-2]\ * #,##0_-;_-[$€-2]\ * &quot;-&quot;??_-;_-@_-"/>
    <numFmt numFmtId="172" formatCode="_-* #,##0_-;\-* #,##0_-;_-* &quot;-&quot;??_-;_-@_-"/>
    <numFmt numFmtId="173" formatCode="#,##0_ ;[Red]\-#,##0\ "/>
    <numFmt numFmtId="174" formatCode="mm\/yyyy"/>
    <numFmt numFmtId="175" formatCode="[$€-2]\ #,##0.00"/>
  </numFmts>
  <fonts count="231">
    <font>
      <sz val="11"/>
      <color theme="1"/>
      <name val="Calibri"/>
      <family val="2"/>
      <scheme val="minor"/>
    </font>
    <font>
      <sz val="10"/>
      <color theme="1"/>
      <name val="Arial"/>
      <family val="2"/>
    </font>
    <font>
      <sz val="12"/>
      <color theme="1"/>
      <name val="Calibri"/>
      <family val="2"/>
      <scheme val="minor"/>
    </font>
    <font>
      <b/>
      <sz val="8"/>
      <name val="Segoe UI"/>
      <family val="2"/>
    </font>
    <font>
      <sz val="11"/>
      <color rgb="FF3F3F76"/>
      <name val="Calibri"/>
      <family val="2"/>
      <scheme val="minor"/>
    </font>
    <font>
      <b/>
      <sz val="10"/>
      <color theme="1"/>
      <name val="Arial"/>
      <family val="2"/>
    </font>
    <font>
      <sz val="11"/>
      <color theme="1"/>
      <name val="Arial"/>
      <family val="2"/>
    </font>
    <font>
      <b/>
      <sz val="6"/>
      <color theme="1"/>
      <name val="Arial"/>
      <family val="2"/>
    </font>
    <font>
      <sz val="12"/>
      <color rgb="FFFF0000"/>
      <name val="Arial"/>
      <family val="2"/>
    </font>
    <font>
      <sz val="8"/>
      <color theme="1"/>
      <name val="Arial"/>
      <family val="2"/>
    </font>
    <font>
      <b/>
      <sz val="18"/>
      <color theme="1"/>
      <name val="Arial"/>
      <family val="2"/>
    </font>
    <font>
      <sz val="10"/>
      <color rgb="FFFF0000"/>
      <name val="Arial"/>
      <family val="2"/>
    </font>
    <font>
      <b/>
      <sz val="8"/>
      <name val="Tahoma"/>
      <family val="2"/>
    </font>
    <font>
      <sz val="8"/>
      <name val="Tahoma"/>
      <family val="2"/>
    </font>
    <font>
      <b/>
      <sz val="10"/>
      <name val="Arial"/>
      <family val="2"/>
    </font>
    <font>
      <b/>
      <sz val="11"/>
      <color theme="1"/>
      <name val="Arial"/>
      <family val="2"/>
    </font>
    <font>
      <b/>
      <sz val="14"/>
      <color rgb="FF3F3F76"/>
      <name val="Calibri"/>
      <family val="2"/>
      <scheme val="minor"/>
    </font>
    <font>
      <sz val="8"/>
      <name val="Arial"/>
      <family val="2"/>
    </font>
    <font>
      <b/>
      <sz val="11"/>
      <color rgb="FFC00000"/>
      <name val="Arial"/>
      <family val="2"/>
    </font>
    <font>
      <u/>
      <sz val="11"/>
      <color theme="10"/>
      <name val="Calibri"/>
      <family val="2"/>
    </font>
    <font>
      <u/>
      <sz val="11"/>
      <color theme="10"/>
      <name val="Arial"/>
      <family val="2"/>
    </font>
    <font>
      <b/>
      <sz val="10"/>
      <color rgb="FFC00000"/>
      <name val="Arial"/>
      <family val="2"/>
    </font>
    <font>
      <b/>
      <sz val="16"/>
      <color theme="1"/>
      <name val="Arial"/>
      <family val="2"/>
    </font>
    <font>
      <b/>
      <sz val="9"/>
      <name val="Arial"/>
      <family val="2"/>
    </font>
    <font>
      <sz val="9"/>
      <name val="Arial"/>
      <family val="2"/>
    </font>
    <font>
      <sz val="10"/>
      <name val="Arial"/>
      <family val="2"/>
    </font>
    <font>
      <sz val="10"/>
      <color indexed="55"/>
      <name val="Arial"/>
      <family val="2"/>
    </font>
    <font>
      <sz val="10"/>
      <color theme="0"/>
      <name val="Arial"/>
      <family val="2"/>
    </font>
    <font>
      <sz val="11"/>
      <color theme="1"/>
      <name val="Wingdings"/>
      <family val="2"/>
      <charset val="2"/>
    </font>
    <font>
      <sz val="12"/>
      <color theme="1"/>
      <name val="Wingdings"/>
      <family val="2"/>
      <charset val="2"/>
    </font>
    <font>
      <b/>
      <sz val="9"/>
      <name val="Tahoma"/>
      <family val="2"/>
    </font>
    <font>
      <sz val="9"/>
      <name val="Tahoma"/>
      <family val="2"/>
    </font>
    <font>
      <sz val="9"/>
      <name val="Wingdings"/>
      <family val="2"/>
      <charset val="2"/>
    </font>
    <font>
      <i/>
      <sz val="9"/>
      <color theme="1"/>
      <name val="Arial"/>
      <family val="2"/>
    </font>
    <font>
      <b/>
      <sz val="12"/>
      <color theme="1"/>
      <name val="Arial"/>
      <family val="2"/>
    </font>
    <font>
      <sz val="6"/>
      <color theme="1"/>
      <name val="Arial"/>
      <family val="2"/>
    </font>
    <font>
      <sz val="9"/>
      <color theme="1"/>
      <name val="Arial"/>
      <family val="2"/>
    </font>
    <font>
      <b/>
      <sz val="9"/>
      <color theme="1"/>
      <name val="Arial"/>
      <family val="2"/>
    </font>
    <font>
      <sz val="11"/>
      <color rgb="FF9C5700"/>
      <name val="Calibri"/>
      <family val="2"/>
      <scheme val="minor"/>
    </font>
    <font>
      <b/>
      <sz val="14"/>
      <color rgb="FF9C5700"/>
      <name val="Calibri"/>
      <family val="2"/>
      <scheme val="minor"/>
    </font>
    <font>
      <b/>
      <sz val="14"/>
      <name val="Arial"/>
      <family val="2"/>
    </font>
    <font>
      <sz val="12"/>
      <color rgb="FF9C0006"/>
      <name val="Calibri"/>
      <family val="2"/>
      <scheme val="minor"/>
    </font>
    <font>
      <u/>
      <sz val="12"/>
      <color theme="10"/>
      <name val="Calibri"/>
      <family val="2"/>
      <scheme val="minor"/>
    </font>
    <font>
      <b/>
      <sz val="16"/>
      <name val="Arial"/>
      <family val="2"/>
    </font>
    <font>
      <sz val="12"/>
      <name val="Palatino"/>
      <family val="1"/>
    </font>
    <font>
      <sz val="9"/>
      <color theme="1"/>
      <name val="Calibri"/>
      <family val="1"/>
      <scheme val="minor"/>
    </font>
    <font>
      <sz val="10"/>
      <color theme="1"/>
      <name val="Calibri"/>
      <family val="2"/>
    </font>
    <font>
      <b/>
      <sz val="11"/>
      <color indexed="18"/>
      <name val="Calibri"/>
      <family val="2"/>
      <scheme val="minor"/>
    </font>
    <font>
      <b/>
      <sz val="11"/>
      <color theme="1"/>
      <name val="Calibri"/>
      <family val="2"/>
      <scheme val="minor"/>
    </font>
    <font>
      <u/>
      <sz val="11"/>
      <color theme="10"/>
      <name val="Calibri"/>
      <family val="2"/>
      <scheme val="minor"/>
    </font>
    <font>
      <b/>
      <sz val="11"/>
      <color theme="0"/>
      <name val="Calibri"/>
      <family val="2"/>
      <scheme val="minor"/>
    </font>
    <font>
      <sz val="11"/>
      <name val="Calibri"/>
      <family val="2"/>
      <scheme val="minor"/>
    </font>
    <font>
      <b/>
      <sz val="11"/>
      <color rgb="FFC00000"/>
      <name val="Calibri"/>
      <family val="2"/>
      <scheme val="minor"/>
    </font>
    <font>
      <b/>
      <sz val="22"/>
      <color theme="5"/>
      <name val="Calibri"/>
      <family val="2"/>
      <scheme val="minor"/>
    </font>
    <font>
      <b/>
      <sz val="11"/>
      <name val="Calibri"/>
      <family val="2"/>
      <scheme val="minor"/>
    </font>
    <font>
      <sz val="8"/>
      <color rgb="FFC00000"/>
      <name val="Calibri"/>
      <family val="2"/>
      <scheme val="minor"/>
    </font>
    <font>
      <b/>
      <sz val="18"/>
      <color theme="1"/>
      <name val="Calibri"/>
      <family val="2"/>
      <scheme val="minor"/>
    </font>
    <font>
      <b/>
      <sz val="12"/>
      <color theme="0"/>
      <name val="Calibri"/>
      <family val="2"/>
      <scheme val="minor"/>
    </font>
    <font>
      <b/>
      <u/>
      <sz val="8"/>
      <name val="Segoe UI"/>
      <family val="2"/>
    </font>
    <font>
      <sz val="12"/>
      <color rgb="FF3F3F76"/>
      <name val="Calibri"/>
      <family val="2"/>
      <scheme val="minor"/>
    </font>
    <font>
      <sz val="12"/>
      <color theme="1"/>
      <name val="Arial"/>
      <family val="2"/>
    </font>
    <font>
      <b/>
      <i/>
      <sz val="11"/>
      <color theme="1"/>
      <name val="Arial"/>
      <family val="2"/>
    </font>
    <font>
      <sz val="11"/>
      <color theme="0" tint="-0.34995574816125979"/>
      <name val="Arial"/>
      <family val="2"/>
    </font>
    <font>
      <sz val="11"/>
      <color rgb="FFC00000"/>
      <name val="Calibri"/>
      <family val="2"/>
      <scheme val="minor"/>
    </font>
    <font>
      <sz val="11"/>
      <color theme="1"/>
      <name val="Calibri Light"/>
      <family val="2"/>
      <scheme val="major"/>
    </font>
    <font>
      <sz val="8"/>
      <color theme="1"/>
      <name val="Calibri Light"/>
      <family val="2"/>
      <scheme val="major"/>
    </font>
    <font>
      <b/>
      <sz val="16"/>
      <color theme="1"/>
      <name val="Calibri Light"/>
      <family val="2"/>
      <scheme val="major"/>
    </font>
    <font>
      <i/>
      <sz val="11"/>
      <color theme="1"/>
      <name val="Calibri Light"/>
      <family val="2"/>
      <scheme val="major"/>
    </font>
    <font>
      <b/>
      <sz val="12"/>
      <color theme="1"/>
      <name val="Calibri Light"/>
      <family val="2"/>
      <scheme val="major"/>
    </font>
    <font>
      <sz val="11"/>
      <color rgb="FF0070C0"/>
      <name val="Calibri Light"/>
      <family val="2"/>
      <scheme val="major"/>
    </font>
    <font>
      <b/>
      <sz val="16"/>
      <color theme="9" tint="-0.49995422223578601"/>
      <name val="Calibri Light"/>
      <family val="2"/>
      <scheme val="major"/>
    </font>
    <font>
      <b/>
      <sz val="14"/>
      <color rgb="FFC00000"/>
      <name val="Calibri Light"/>
      <family val="2"/>
      <scheme val="major"/>
    </font>
    <font>
      <sz val="12"/>
      <color theme="1"/>
      <name val="Calibri Light"/>
      <family val="2"/>
      <scheme val="major"/>
    </font>
    <font>
      <b/>
      <sz val="11"/>
      <color theme="1"/>
      <name val="Calibri Light"/>
      <family val="2"/>
      <scheme val="major"/>
    </font>
    <font>
      <sz val="11"/>
      <color theme="0" tint="-0.34995574816125979"/>
      <name val="Calibri Light"/>
      <family val="2"/>
      <scheme val="major"/>
    </font>
    <font>
      <sz val="9"/>
      <color theme="0" tint="-0.49995422223578601"/>
      <name val="Calibri Light"/>
      <family val="2"/>
      <scheme val="major"/>
    </font>
    <font>
      <sz val="9"/>
      <color theme="1"/>
      <name val="Calibri Light"/>
      <family val="2"/>
      <scheme val="major"/>
    </font>
    <font>
      <i/>
      <sz val="10"/>
      <color theme="1"/>
      <name val="Calibri Light"/>
      <family val="2"/>
      <scheme val="major"/>
    </font>
    <font>
      <sz val="10"/>
      <color theme="1"/>
      <name val="Calibri Light"/>
      <family val="2"/>
      <scheme val="major"/>
    </font>
    <font>
      <sz val="8"/>
      <color theme="0" tint="-0.49995422223578601"/>
      <name val="Calibri Light"/>
      <family val="2"/>
      <scheme val="major"/>
    </font>
    <font>
      <b/>
      <i/>
      <sz val="11"/>
      <color theme="1"/>
      <name val="Calibri Light"/>
      <family val="2"/>
      <scheme val="major"/>
    </font>
    <font>
      <b/>
      <sz val="14"/>
      <name val="Calibri Light"/>
      <family val="2"/>
      <scheme val="major"/>
    </font>
    <font>
      <sz val="8"/>
      <name val="Calibri Light"/>
      <family val="2"/>
      <scheme val="major"/>
    </font>
    <font>
      <sz val="14"/>
      <color theme="1"/>
      <name val="Calibri Light"/>
      <family val="2"/>
      <scheme val="major"/>
    </font>
    <font>
      <b/>
      <sz val="12"/>
      <name val="Calibri Light"/>
      <family val="2"/>
      <scheme val="major"/>
    </font>
    <font>
      <sz val="10"/>
      <color indexed="8"/>
      <name val="Calibri Light"/>
      <family val="2"/>
      <scheme val="major"/>
    </font>
    <font>
      <b/>
      <sz val="14"/>
      <color indexed="8"/>
      <name val="Calibri Light"/>
      <family val="2"/>
      <scheme val="major"/>
    </font>
    <font>
      <b/>
      <i/>
      <sz val="11"/>
      <color theme="1" tint="0.249977111117893"/>
      <name val="Calibri Light"/>
      <family val="2"/>
      <scheme val="major"/>
    </font>
    <font>
      <b/>
      <i/>
      <sz val="11"/>
      <name val="Calibri Light"/>
      <family val="2"/>
      <scheme val="major"/>
    </font>
    <font>
      <sz val="11"/>
      <color theme="1" tint="0.249977111117893"/>
      <name val="Calibri Light"/>
      <family val="2"/>
      <scheme val="major"/>
    </font>
    <font>
      <sz val="11"/>
      <name val="Calibri Light"/>
      <family val="2"/>
      <scheme val="major"/>
    </font>
    <font>
      <sz val="11"/>
      <color theme="0"/>
      <name val="Calibri Light"/>
      <family val="2"/>
      <scheme val="major"/>
    </font>
    <font>
      <b/>
      <sz val="14"/>
      <color theme="1"/>
      <name val="Calibri Light"/>
      <family val="2"/>
      <scheme val="major"/>
    </font>
    <font>
      <b/>
      <sz val="22"/>
      <color theme="9" tint="-0.24994659260841701"/>
      <name val="Calibri Light"/>
      <family val="2"/>
      <scheme val="major"/>
    </font>
    <font>
      <b/>
      <sz val="18"/>
      <color theme="1"/>
      <name val="Calibri Light"/>
      <family val="2"/>
      <scheme val="major"/>
    </font>
    <font>
      <b/>
      <sz val="16"/>
      <color theme="0"/>
      <name val="Calibri Light"/>
      <family val="2"/>
      <scheme val="major"/>
    </font>
    <font>
      <b/>
      <sz val="11"/>
      <color theme="0"/>
      <name val="Calibri Light"/>
      <family val="2"/>
      <scheme val="major"/>
    </font>
    <font>
      <b/>
      <sz val="11"/>
      <color rgb="FFFF0000"/>
      <name val="Calibri Light"/>
      <family val="2"/>
      <scheme val="major"/>
    </font>
    <font>
      <b/>
      <sz val="11"/>
      <name val="Calibri Light"/>
      <family val="2"/>
      <scheme val="major"/>
    </font>
    <font>
      <b/>
      <sz val="8"/>
      <color theme="1"/>
      <name val="Calibri Light"/>
      <family val="2"/>
      <scheme val="major"/>
    </font>
    <font>
      <b/>
      <sz val="10"/>
      <color theme="1"/>
      <name val="Calibri Light"/>
      <family val="2"/>
      <scheme val="major"/>
    </font>
    <font>
      <sz val="8"/>
      <color theme="0"/>
      <name val="Calibri Light"/>
      <family val="2"/>
      <scheme val="major"/>
    </font>
    <font>
      <sz val="10"/>
      <name val="Calibri Light"/>
      <family val="2"/>
      <scheme val="major"/>
    </font>
    <font>
      <b/>
      <sz val="10"/>
      <name val="Calibri Light"/>
      <family val="2"/>
      <scheme val="major"/>
    </font>
    <font>
      <sz val="10"/>
      <color theme="0"/>
      <name val="Calibri Light"/>
      <family val="2"/>
      <scheme val="major"/>
    </font>
    <font>
      <sz val="10"/>
      <color indexed="55"/>
      <name val="Calibri Light"/>
      <family val="2"/>
      <scheme val="major"/>
    </font>
    <font>
      <sz val="8"/>
      <color theme="0" tint="-0.34995574816125979"/>
      <name val="Calibri Light"/>
      <family val="2"/>
      <scheme val="major"/>
    </font>
    <font>
      <b/>
      <sz val="16"/>
      <name val="Calibri Light"/>
      <family val="2"/>
      <scheme val="major"/>
    </font>
    <font>
      <sz val="10"/>
      <color theme="2"/>
      <name val="Calibri Light"/>
      <family val="2"/>
      <scheme val="major"/>
    </font>
    <font>
      <sz val="10"/>
      <color rgb="FF000000"/>
      <name val="Calibri Light"/>
      <family val="2"/>
      <scheme val="major"/>
    </font>
    <font>
      <b/>
      <i/>
      <sz val="14"/>
      <color theme="3"/>
      <name val="Calibri Light"/>
      <family val="2"/>
      <scheme val="major"/>
    </font>
    <font>
      <b/>
      <sz val="9"/>
      <color theme="1"/>
      <name val="Calibri Light"/>
      <family val="2"/>
      <scheme val="major"/>
    </font>
    <font>
      <sz val="11"/>
      <color rgb="FF000000"/>
      <name val="Calibri Light"/>
      <family val="2"/>
      <scheme val="major"/>
    </font>
    <font>
      <sz val="11"/>
      <color theme="2"/>
      <name val="Calibri Light"/>
      <family val="2"/>
      <scheme val="major"/>
    </font>
    <font>
      <sz val="9"/>
      <color theme="0" tint="-0.34995574816125979"/>
      <name val="Calibri Light"/>
      <family val="2"/>
      <scheme val="major"/>
    </font>
    <font>
      <b/>
      <i/>
      <sz val="11"/>
      <color theme="3"/>
      <name val="Calibri Light"/>
      <family val="2"/>
      <scheme val="major"/>
    </font>
    <font>
      <b/>
      <sz val="9"/>
      <color theme="0" tint="-0.49995422223578601"/>
      <name val="Calibri Light"/>
      <family val="2"/>
      <scheme val="major"/>
    </font>
    <font>
      <b/>
      <sz val="28"/>
      <color theme="0"/>
      <name val="Calibri Light"/>
      <family val="2"/>
      <scheme val="major"/>
    </font>
    <font>
      <sz val="11"/>
      <color theme="0" tint="-0.49995422223578601"/>
      <name val="Calibri Light"/>
      <family val="2"/>
      <scheme val="major"/>
    </font>
    <font>
      <b/>
      <sz val="16"/>
      <color theme="4" tint="-0.24994659260841701"/>
      <name val="Calibri Light"/>
      <family val="2"/>
      <scheme val="major"/>
    </font>
    <font>
      <b/>
      <sz val="22"/>
      <color theme="1"/>
      <name val="Calibri Light"/>
      <family val="2"/>
      <scheme val="major"/>
    </font>
    <font>
      <b/>
      <i/>
      <sz val="11"/>
      <color theme="1"/>
      <name val="Calibri"/>
      <family val="2"/>
      <scheme val="minor"/>
    </font>
    <font>
      <b/>
      <i/>
      <sz val="12"/>
      <color theme="3"/>
      <name val="Calibri Light"/>
      <family val="2"/>
      <scheme val="major"/>
    </font>
    <font>
      <b/>
      <i/>
      <sz val="11"/>
      <color theme="3" tint="0.39997558519241921"/>
      <name val="Calibri Light"/>
      <family val="2"/>
      <scheme val="major"/>
    </font>
    <font>
      <b/>
      <i/>
      <sz val="14"/>
      <color rgb="FFFF0000"/>
      <name val="Calibri Light"/>
      <family val="2"/>
      <scheme val="major"/>
    </font>
    <font>
      <b/>
      <i/>
      <sz val="11"/>
      <color rgb="FFFF0000"/>
      <name val="Calibri Light"/>
      <family val="2"/>
      <scheme val="major"/>
    </font>
    <font>
      <b/>
      <sz val="14"/>
      <color rgb="FFFF0000"/>
      <name val="Calibri Light"/>
      <family val="2"/>
      <scheme val="major"/>
    </font>
    <font>
      <sz val="16"/>
      <name val="Calibri Light"/>
      <family val="2"/>
      <scheme val="major"/>
    </font>
    <font>
      <sz val="11"/>
      <color rgb="FFFF0000"/>
      <name val="Calibri"/>
      <family val="2"/>
      <scheme val="minor"/>
    </font>
    <font>
      <b/>
      <sz val="12"/>
      <color indexed="8"/>
      <name val="Calibri"/>
      <family val="2"/>
      <scheme val="minor"/>
    </font>
    <font>
      <sz val="10"/>
      <color theme="1"/>
      <name val="Calibri"/>
      <family val="2"/>
      <scheme val="minor"/>
    </font>
    <font>
      <u/>
      <sz val="11"/>
      <name val="Arial"/>
      <family val="2"/>
    </font>
    <font>
      <sz val="11"/>
      <color rgb="FFA50021"/>
      <name val="Calibri Light"/>
      <family val="2"/>
      <scheme val="major"/>
    </font>
    <font>
      <b/>
      <sz val="11"/>
      <color rgb="FFA50021"/>
      <name val="Calibri Light"/>
      <family val="2"/>
      <scheme val="major"/>
    </font>
    <font>
      <sz val="8"/>
      <color rgb="FFA50021"/>
      <name val="Calibri Light"/>
      <family val="2"/>
      <scheme val="major"/>
    </font>
    <font>
      <b/>
      <sz val="8"/>
      <name val="Calibri Light"/>
      <family val="2"/>
      <scheme val="major"/>
    </font>
    <font>
      <b/>
      <sz val="8"/>
      <color rgb="FFA50021"/>
      <name val="Calibri Light"/>
      <family val="2"/>
      <scheme val="major"/>
    </font>
    <font>
      <b/>
      <sz val="11"/>
      <color rgb="FFC00000"/>
      <name val="Calibri Light"/>
      <family val="2"/>
      <scheme val="major"/>
    </font>
    <font>
      <sz val="11"/>
      <color rgb="FFC00000"/>
      <name val="Calibri Light"/>
      <family val="2"/>
      <scheme val="major"/>
    </font>
    <font>
      <b/>
      <sz val="11"/>
      <color theme="2"/>
      <name val="Calibri Light"/>
      <family val="2"/>
      <scheme val="major"/>
    </font>
    <font>
      <b/>
      <sz val="12"/>
      <color theme="0"/>
      <name val="Calibri Light"/>
      <family val="2"/>
      <scheme val="major"/>
    </font>
    <font>
      <b/>
      <sz val="22"/>
      <color rgb="FF0070C0"/>
      <name val="Calibri Light"/>
      <family val="2"/>
      <scheme val="major"/>
    </font>
    <font>
      <sz val="8"/>
      <color rgb="FFC00000"/>
      <name val="Calibri Light"/>
      <family val="2"/>
      <scheme val="major"/>
    </font>
    <font>
      <sz val="11"/>
      <color theme="8" tint="0.39997558519241921"/>
      <name val="Calibri Light"/>
      <family val="2"/>
      <scheme val="major"/>
    </font>
    <font>
      <u/>
      <sz val="11"/>
      <color theme="10"/>
      <name val="Calibri Light"/>
      <family val="2"/>
      <scheme val="major"/>
    </font>
    <font>
      <b/>
      <sz val="12"/>
      <color rgb="FFC00000"/>
      <name val="Calibri Light"/>
      <family val="2"/>
      <scheme val="major"/>
    </font>
    <font>
      <sz val="10"/>
      <color indexed="8"/>
      <name val="Helvetica Neue"/>
      <family val="2"/>
    </font>
    <font>
      <b/>
      <sz val="12"/>
      <color indexed="8"/>
      <name val="Helvetica Neue"/>
      <family val="2"/>
    </font>
    <font>
      <b/>
      <sz val="16"/>
      <color rgb="FF0070C0"/>
      <name val="Helvetica Neue"/>
      <family val="2"/>
    </font>
    <font>
      <sz val="12"/>
      <color indexed="8"/>
      <name val="Helvetica Neue"/>
      <family val="2"/>
    </font>
    <font>
      <sz val="12"/>
      <color indexed="8"/>
      <name val="Arial"/>
      <family val="2"/>
    </font>
    <font>
      <b/>
      <sz val="14"/>
      <color indexed="8"/>
      <name val="Helvetica Neue"/>
      <family val="2"/>
    </font>
    <font>
      <sz val="11"/>
      <color indexed="8"/>
      <name val="Arial"/>
      <family val="2"/>
    </font>
    <font>
      <b/>
      <sz val="10"/>
      <color indexed="8"/>
      <name val="Helvetica Neue"/>
      <family val="2"/>
    </font>
    <font>
      <b/>
      <sz val="16"/>
      <color indexed="8"/>
      <name val="Helvetica Neue"/>
      <family val="2"/>
    </font>
    <font>
      <sz val="10"/>
      <color theme="1"/>
      <name val="Helvetica Neue"/>
      <family val="2"/>
    </font>
    <font>
      <sz val="10"/>
      <color rgb="FFFF0000"/>
      <name val="Helvetica Neue"/>
      <family val="2"/>
    </font>
    <font>
      <b/>
      <sz val="11"/>
      <color rgb="FF0070C0"/>
      <name val="Helvetica Neue"/>
      <family val="2"/>
    </font>
    <font>
      <sz val="10"/>
      <name val="Helvetica Neue"/>
      <family val="2"/>
    </font>
    <font>
      <b/>
      <sz val="10"/>
      <name val="Helvetica Neue"/>
      <family val="2"/>
    </font>
    <font>
      <b/>
      <sz val="9"/>
      <color rgb="FF000000"/>
      <name val="Tahoma"/>
      <family val="2"/>
    </font>
    <font>
      <sz val="9"/>
      <color rgb="FF000000"/>
      <name val="Tahoma"/>
      <family val="2"/>
    </font>
    <font>
      <sz val="11"/>
      <color theme="0"/>
      <name val="Arial"/>
      <family val="2"/>
    </font>
    <font>
      <sz val="8"/>
      <name val="Segoe UI"/>
      <family val="2"/>
    </font>
    <font>
      <b/>
      <sz val="12"/>
      <color theme="1"/>
      <name val="Calibri"/>
      <family val="2"/>
      <scheme val="minor"/>
    </font>
    <font>
      <b/>
      <sz val="22"/>
      <color rgb="FFFFA48F"/>
      <name val="Calibri"/>
      <family val="2"/>
      <scheme val="minor"/>
    </font>
    <font>
      <sz val="11"/>
      <color rgb="FFFFA48F"/>
      <name val="Calibri Light"/>
      <family val="2"/>
      <scheme val="major"/>
    </font>
    <font>
      <sz val="11"/>
      <name val="Arial"/>
      <family val="2"/>
    </font>
    <font>
      <b/>
      <sz val="10"/>
      <color theme="1"/>
      <name val="Calibri"/>
      <family val="2"/>
    </font>
    <font>
      <b/>
      <sz val="11"/>
      <name val="Arial"/>
      <family val="2"/>
    </font>
    <font>
      <i/>
      <sz val="10"/>
      <name val="Arial"/>
      <family val="2"/>
    </font>
    <font>
      <sz val="16"/>
      <color indexed="8"/>
      <name val="Helvetica Neue"/>
      <family val="2"/>
    </font>
    <font>
      <sz val="11"/>
      <color indexed="8"/>
      <name val="Calibri Light"/>
      <family val="2"/>
      <scheme val="major"/>
    </font>
    <font>
      <b/>
      <sz val="11"/>
      <color indexed="8"/>
      <name val="Calibri Light"/>
      <family val="2"/>
      <scheme val="major"/>
    </font>
    <font>
      <b/>
      <i/>
      <sz val="12"/>
      <color rgb="FFC00000"/>
      <name val="Calibri"/>
      <family val="2"/>
    </font>
    <font>
      <sz val="16"/>
      <color theme="4" tint="-0.24994659260841701"/>
      <name val="Courier New"/>
      <family val="3"/>
    </font>
    <font>
      <b/>
      <sz val="16"/>
      <color theme="4" tint="-0.24994659260841701"/>
      <name val="Courier New"/>
      <family val="3"/>
    </font>
    <font>
      <sz val="12"/>
      <color theme="4" tint="-0.24994659260841701"/>
      <name val="Courier New"/>
      <family val="3"/>
    </font>
    <font>
      <b/>
      <i/>
      <sz val="11"/>
      <color rgb="FFC00000"/>
      <name val="Calibri Light"/>
      <family val="2"/>
      <scheme val="major"/>
    </font>
    <font>
      <b/>
      <i/>
      <sz val="11"/>
      <color rgb="FFC00000"/>
      <name val="Calibri"/>
      <family val="2"/>
      <scheme val="minor"/>
    </font>
    <font>
      <b/>
      <sz val="12"/>
      <color rgb="FFFFFF00"/>
      <name val="Calibri Light"/>
      <family val="2"/>
      <scheme val="major"/>
    </font>
    <font>
      <i/>
      <sz val="12"/>
      <color theme="1"/>
      <name val="Calibri Light"/>
      <family val="2"/>
      <scheme val="major"/>
    </font>
    <font>
      <vertAlign val="superscript"/>
      <sz val="12"/>
      <color theme="1"/>
      <name val="Calibri Light"/>
      <family val="2"/>
      <scheme val="major"/>
    </font>
    <font>
      <i/>
      <sz val="8"/>
      <color theme="1"/>
      <name val="Calibri Light"/>
      <family val="2"/>
      <scheme val="major"/>
    </font>
    <font>
      <b/>
      <sz val="10"/>
      <color theme="8" tint="0.39997558519241921"/>
      <name val="Calibri Light"/>
      <family val="2"/>
      <scheme val="major"/>
    </font>
    <font>
      <sz val="11"/>
      <color theme="8" tint="-0.24994659260841701"/>
      <name val="Calibri Light"/>
      <family val="2"/>
      <scheme val="major"/>
    </font>
    <font>
      <b/>
      <sz val="11"/>
      <color rgb="FFFF0000"/>
      <name val="Calibri"/>
      <family val="2"/>
      <scheme val="minor"/>
    </font>
    <font>
      <b/>
      <sz val="14"/>
      <color theme="0"/>
      <name val="Calibri Light"/>
      <family val="2"/>
      <scheme val="major"/>
    </font>
    <font>
      <sz val="12"/>
      <color theme="0"/>
      <name val="Calibri Light"/>
      <family val="2"/>
      <scheme val="major"/>
    </font>
    <font>
      <b/>
      <i/>
      <sz val="12"/>
      <color theme="1"/>
      <name val="Calibri Light"/>
      <family val="2"/>
      <scheme val="major"/>
    </font>
    <font>
      <sz val="11"/>
      <color theme="8" tint="-0.24994659260841701"/>
      <name val="Calibri"/>
      <family val="2"/>
      <scheme val="minor"/>
    </font>
    <font>
      <sz val="10"/>
      <color theme="0" tint="-0.34995574816125979"/>
      <name val="Calibri Light"/>
      <family val="2"/>
      <scheme val="major"/>
    </font>
    <font>
      <sz val="10"/>
      <color rgb="FFFF0000"/>
      <name val="Calibri Light"/>
      <family val="2"/>
      <scheme val="major"/>
    </font>
    <font>
      <sz val="12"/>
      <color rgb="FFFF0000"/>
      <name val="Calibri Light"/>
      <family val="2"/>
      <scheme val="major"/>
    </font>
    <font>
      <sz val="11"/>
      <color rgb="FFFF0000"/>
      <name val="Calibri Light"/>
      <family val="2"/>
      <scheme val="major"/>
    </font>
    <font>
      <u/>
      <sz val="10"/>
      <color indexed="12"/>
      <name val="Arial"/>
      <family val="2"/>
    </font>
    <font>
      <sz val="10"/>
      <name val="Calibri"/>
      <family val="2"/>
      <scheme val="minor"/>
    </font>
    <font>
      <b/>
      <sz val="10"/>
      <name val="Calibri"/>
      <family val="2"/>
      <scheme val="minor"/>
    </font>
    <font>
      <i/>
      <sz val="10"/>
      <name val="Calibri"/>
      <family val="2"/>
      <scheme val="minor"/>
    </font>
    <font>
      <sz val="9"/>
      <name val="Calibri"/>
      <family val="2"/>
      <scheme val="minor"/>
    </font>
    <font>
      <sz val="1"/>
      <color theme="0"/>
      <name val="Calibri"/>
      <family val="2"/>
      <scheme val="minor"/>
    </font>
    <font>
      <b/>
      <sz val="9"/>
      <color theme="4"/>
      <name val="Calibri Light"/>
      <family val="2"/>
      <scheme val="major"/>
    </font>
    <font>
      <sz val="11"/>
      <color theme="4"/>
      <name val="Calibri Light"/>
      <family val="2"/>
      <scheme val="major"/>
    </font>
    <font>
      <b/>
      <sz val="9"/>
      <color theme="0"/>
      <name val="Calibri Light"/>
      <family val="2"/>
      <scheme val="major"/>
    </font>
    <font>
      <i/>
      <sz val="11"/>
      <color theme="1"/>
      <name val="Arial"/>
      <family val="2"/>
    </font>
    <font>
      <i/>
      <sz val="10"/>
      <color theme="8"/>
      <name val="Arial"/>
      <family val="2"/>
    </font>
    <font>
      <b/>
      <sz val="12"/>
      <name val="Arial"/>
      <family val="2"/>
    </font>
    <font>
      <sz val="12"/>
      <name val="Arial"/>
      <family val="2"/>
    </font>
    <font>
      <b/>
      <sz val="16"/>
      <name val="Californian FB"/>
      <family val="1"/>
    </font>
    <font>
      <b/>
      <i/>
      <sz val="12"/>
      <color theme="3"/>
      <name val="Californian FB"/>
      <family val="1"/>
    </font>
    <font>
      <sz val="11"/>
      <color theme="1"/>
      <name val="Californian FB"/>
      <family val="1"/>
    </font>
    <font>
      <b/>
      <i/>
      <sz val="11"/>
      <color theme="3" tint="0.39997558519241921"/>
      <name val="Californian FB"/>
      <family val="1"/>
    </font>
    <font>
      <b/>
      <sz val="14"/>
      <name val="Californian FB"/>
      <family val="1"/>
    </font>
    <font>
      <sz val="14"/>
      <color theme="1"/>
      <name val="Californian FB"/>
      <family val="1"/>
    </font>
    <font>
      <b/>
      <i/>
      <sz val="14"/>
      <color rgb="FFFF0000"/>
      <name val="Californian FB"/>
      <family val="1"/>
    </font>
    <font>
      <b/>
      <i/>
      <sz val="11"/>
      <color rgb="FFFF0000"/>
      <name val="Californian FB"/>
      <family val="1"/>
    </font>
    <font>
      <sz val="10"/>
      <color theme="1"/>
      <name val="Californian FB"/>
      <family val="1"/>
    </font>
    <font>
      <b/>
      <sz val="10"/>
      <color theme="1"/>
      <name val="Californian FB"/>
      <family val="1"/>
    </font>
    <font>
      <b/>
      <sz val="12"/>
      <color theme="1"/>
      <name val="Californian FB"/>
      <family val="1"/>
    </font>
    <font>
      <sz val="9"/>
      <color theme="1"/>
      <name val="Californian FB"/>
      <family val="1"/>
    </font>
    <font>
      <b/>
      <i/>
      <sz val="10"/>
      <color rgb="FFC00000"/>
      <name val="Calibri Light"/>
      <family val="2"/>
      <scheme val="major"/>
    </font>
    <font>
      <sz val="9"/>
      <color rgb="FFFF0000"/>
      <name val="Calibri Light"/>
      <family val="2"/>
      <scheme val="major"/>
    </font>
    <font>
      <sz val="11"/>
      <color theme="1"/>
      <name val="Calibri Light"/>
      <family val="2"/>
    </font>
    <font>
      <i/>
      <sz val="11"/>
      <color theme="1"/>
      <name val="Calibri Light"/>
      <family val="2"/>
    </font>
    <font>
      <b/>
      <sz val="14"/>
      <color theme="1"/>
      <name val="Calibri Light"/>
      <family val="2"/>
    </font>
    <font>
      <b/>
      <sz val="14"/>
      <color theme="1"/>
      <name val="Calibri"/>
      <family val="2"/>
      <scheme val="minor"/>
    </font>
    <font>
      <b/>
      <sz val="11"/>
      <color theme="8" tint="0.39997558519241921"/>
      <name val="Calibri Light"/>
      <family val="2"/>
      <scheme val="major"/>
    </font>
    <font>
      <b/>
      <sz val="11"/>
      <color rgb="FF000000"/>
      <name val="Calibri Light"/>
      <family val="2"/>
      <scheme val="major"/>
    </font>
    <font>
      <sz val="14"/>
      <name val="Calibri Light"/>
      <family val="2"/>
      <scheme val="major"/>
    </font>
    <font>
      <b/>
      <sz val="10"/>
      <color theme="0"/>
      <name val="Calibri Light"/>
      <family val="2"/>
      <scheme val="major"/>
    </font>
    <font>
      <sz val="11"/>
      <color theme="1"/>
      <name val="Calibri"/>
      <family val="2"/>
      <scheme val="minor"/>
    </font>
  </fonts>
  <fills count="74">
    <fill>
      <patternFill patternType="none"/>
    </fill>
    <fill>
      <patternFill patternType="gray125"/>
    </fill>
    <fill>
      <patternFill patternType="solid">
        <fgColor rgb="FFFFCC99"/>
        <bgColor indexed="64"/>
      </patternFill>
    </fill>
    <fill>
      <patternFill patternType="solid">
        <fgColor rgb="FFFFEB9C"/>
        <bgColor indexed="64"/>
      </patternFill>
    </fill>
    <fill>
      <patternFill patternType="solid">
        <fgColor theme="4" tint="0.79995117038483843"/>
        <bgColor indexed="64"/>
      </patternFill>
    </fill>
    <fill>
      <patternFill patternType="solid">
        <fgColor rgb="FFFFC7CE"/>
        <bgColor indexed="64"/>
      </patternFill>
    </fill>
    <fill>
      <patternFill patternType="solid">
        <fgColor theme="8" tint="0.59996337778862885"/>
        <bgColor indexed="64"/>
      </patternFill>
    </fill>
    <fill>
      <patternFill patternType="solid">
        <fgColor rgb="FFFFFF00"/>
        <bgColor indexed="64"/>
      </patternFill>
    </fill>
    <fill>
      <patternFill patternType="solid">
        <fgColor rgb="FFFF0000"/>
        <bgColor indexed="64"/>
      </patternFill>
    </fill>
    <fill>
      <patternFill patternType="solid">
        <fgColor indexed="42"/>
        <bgColor indexed="64"/>
      </patternFill>
    </fill>
    <fill>
      <patternFill patternType="solid">
        <fgColor rgb="FFCCFFCC"/>
        <bgColor indexed="64"/>
      </patternFill>
    </fill>
    <fill>
      <patternFill patternType="solid">
        <fgColor indexed="43"/>
        <bgColor indexed="64"/>
      </patternFill>
    </fill>
    <fill>
      <patternFill patternType="solid">
        <fgColor rgb="FFFAFFCF"/>
        <bgColor indexed="64"/>
      </patternFill>
    </fill>
    <fill>
      <patternFill patternType="solid">
        <fgColor theme="3" tint="0.79995117038483843"/>
        <bgColor indexed="64"/>
      </patternFill>
    </fill>
    <fill>
      <patternFill patternType="solid">
        <fgColor theme="3" tint="0.59996337778862885"/>
        <bgColor indexed="64"/>
      </patternFill>
    </fill>
    <fill>
      <patternFill patternType="solid">
        <fgColor theme="0"/>
        <bgColor indexed="64"/>
      </patternFill>
    </fill>
    <fill>
      <patternFill patternType="solid">
        <fgColor theme="7" tint="0.79995117038483843"/>
        <bgColor indexed="64"/>
      </patternFill>
    </fill>
    <fill>
      <patternFill patternType="solid">
        <fgColor theme="5" tint="0.59996337778862885"/>
        <bgColor indexed="64"/>
      </patternFill>
    </fill>
    <fill>
      <patternFill patternType="solid">
        <fgColor rgb="FFFFFFCC"/>
        <bgColor indexed="64"/>
      </patternFill>
    </fill>
    <fill>
      <patternFill patternType="solid">
        <fgColor rgb="FFCCECFF"/>
        <bgColor indexed="64"/>
      </patternFill>
    </fill>
    <fill>
      <patternFill patternType="solid">
        <fgColor theme="0" tint="-4.9958800012207406E-2"/>
        <bgColor indexed="64"/>
      </patternFill>
    </fill>
    <fill>
      <patternFill patternType="solid">
        <fgColor rgb="FFF0E6E2"/>
        <bgColor indexed="64"/>
      </patternFill>
    </fill>
    <fill>
      <patternFill patternType="solid">
        <fgColor theme="5"/>
        <bgColor indexed="64"/>
      </patternFill>
    </fill>
    <fill>
      <patternFill patternType="solid">
        <fgColor theme="5"/>
        <bgColor indexed="64"/>
      </patternFill>
    </fill>
    <fill>
      <patternFill patternType="solid">
        <fgColor theme="4" tint="0.39997558519241921"/>
        <bgColor indexed="64"/>
      </patternFill>
    </fill>
    <fill>
      <patternFill patternType="solid">
        <fgColor theme="9"/>
        <bgColor indexed="64"/>
      </patternFill>
    </fill>
    <fill>
      <patternFill patternType="solid">
        <fgColor theme="9" tint="0.79995117038483843"/>
        <bgColor indexed="64"/>
      </patternFill>
    </fill>
    <fill>
      <patternFill patternType="solid">
        <fgColor theme="9" tint="0.59996337778862885"/>
        <bgColor indexed="64"/>
      </patternFill>
    </fill>
    <fill>
      <patternFill patternType="solid">
        <fgColor theme="9" tint="0.79995117038483843"/>
        <bgColor indexed="64"/>
      </patternFill>
    </fill>
    <fill>
      <patternFill patternType="solid">
        <fgColor theme="9"/>
        <bgColor indexed="64"/>
      </patternFill>
    </fill>
    <fill>
      <patternFill patternType="solid">
        <fgColor theme="7"/>
        <bgColor indexed="64"/>
      </patternFill>
    </fill>
    <fill>
      <patternFill patternType="solid">
        <fgColor theme="4"/>
        <bgColor indexed="64"/>
      </patternFill>
    </fill>
    <fill>
      <patternFill patternType="solid">
        <fgColor theme="1" tint="0.34998626667073579"/>
        <bgColor indexed="64"/>
      </patternFill>
    </fill>
    <fill>
      <patternFill patternType="solid">
        <fgColor theme="6"/>
        <bgColor indexed="64"/>
      </patternFill>
    </fill>
    <fill>
      <patternFill patternType="solid">
        <fgColor rgb="FFFEFBE6"/>
        <bgColor indexed="64"/>
      </patternFill>
    </fill>
    <fill>
      <patternFill patternType="solid">
        <fgColor theme="4" tint="0.59996337778862885"/>
        <bgColor indexed="64"/>
      </patternFill>
    </fill>
    <fill>
      <patternFill patternType="solid">
        <fgColor theme="9" tint="0.39997558519241921"/>
        <bgColor indexed="64"/>
      </patternFill>
    </fill>
    <fill>
      <patternFill patternType="solid">
        <fgColor theme="0" tint="-0.24994659260841701"/>
        <bgColor indexed="64"/>
      </patternFill>
    </fill>
    <fill>
      <patternFill patternType="solid">
        <fgColor theme="2" tint="-9.9948118533890809E-2"/>
        <bgColor indexed="64"/>
      </patternFill>
    </fill>
    <fill>
      <patternFill patternType="solid">
        <fgColor rgb="FFCCCCFF"/>
        <bgColor indexed="64"/>
      </patternFill>
    </fill>
    <fill>
      <patternFill patternType="solid">
        <fgColor theme="8" tint="0.79995117038483843"/>
        <bgColor indexed="64"/>
      </patternFill>
    </fill>
    <fill>
      <patternFill patternType="solid">
        <fgColor theme="4"/>
        <bgColor indexed="64"/>
      </patternFill>
    </fill>
    <fill>
      <patternFill patternType="solid">
        <fgColor theme="0" tint="-4.9958800012207406E-2"/>
        <bgColor indexed="64"/>
      </patternFill>
    </fill>
    <fill>
      <patternFill patternType="solid">
        <fgColor indexed="17"/>
        <bgColor indexed="64"/>
      </patternFill>
    </fill>
    <fill>
      <patternFill patternType="solid">
        <fgColor indexed="21"/>
        <bgColor indexed="64"/>
      </patternFill>
    </fill>
    <fill>
      <patternFill patternType="solid">
        <fgColor indexed="9"/>
        <bgColor indexed="64"/>
      </patternFill>
    </fill>
    <fill>
      <patternFill patternType="solid">
        <fgColor theme="6" tint="0.79995117038483843"/>
        <bgColor indexed="64"/>
      </patternFill>
    </fill>
    <fill>
      <patternFill patternType="solid">
        <fgColor theme="5"/>
        <bgColor indexed="64"/>
      </patternFill>
    </fill>
    <fill>
      <patternFill patternType="solid">
        <fgColor indexed="24"/>
        <bgColor indexed="64"/>
      </patternFill>
    </fill>
    <fill>
      <patternFill patternType="solid">
        <fgColor theme="8" tint="0.39997558519241921"/>
        <bgColor indexed="64"/>
      </patternFill>
    </fill>
    <fill>
      <patternFill patternType="solid">
        <fgColor theme="2" tint="0.79995117038483843"/>
        <bgColor indexed="64"/>
      </patternFill>
    </fill>
    <fill>
      <patternFill patternType="solid">
        <fgColor theme="0" tint="-0.14996795556505021"/>
        <bgColor indexed="64"/>
      </patternFill>
    </fill>
    <fill>
      <patternFill patternType="solid">
        <fgColor indexed="23"/>
        <bgColor indexed="64"/>
      </patternFill>
    </fill>
    <fill>
      <patternFill patternType="solid">
        <fgColor theme="7" tint="0.39997558519241921"/>
        <bgColor indexed="64"/>
      </patternFill>
    </fill>
    <fill>
      <patternFill patternType="solid">
        <fgColor indexed="13"/>
        <bgColor indexed="64"/>
      </patternFill>
    </fill>
    <fill>
      <patternFill patternType="solid">
        <fgColor indexed="14"/>
        <bgColor indexed="64"/>
      </patternFill>
    </fill>
    <fill>
      <patternFill patternType="solid">
        <fgColor indexed="18"/>
        <bgColor indexed="64"/>
      </patternFill>
    </fill>
    <fill>
      <patternFill patternType="solid">
        <fgColor rgb="FFBFE0F7"/>
        <bgColor indexed="64"/>
      </patternFill>
    </fill>
    <fill>
      <patternFill patternType="solid">
        <fgColor theme="1"/>
        <bgColor indexed="64"/>
      </patternFill>
    </fill>
    <fill>
      <patternFill patternType="solid">
        <fgColor rgb="FFFFC000"/>
        <bgColor indexed="64"/>
      </patternFill>
    </fill>
    <fill>
      <patternFill patternType="solid">
        <fgColor theme="7" tint="0.59996337778862885"/>
        <bgColor indexed="64"/>
      </patternFill>
    </fill>
    <fill>
      <patternFill patternType="solid">
        <fgColor rgb="FF70AD47"/>
        <bgColor indexed="64"/>
      </patternFill>
    </fill>
    <fill>
      <patternFill patternType="solid">
        <fgColor rgb="FF548235"/>
        <bgColor indexed="64"/>
      </patternFill>
    </fill>
    <fill>
      <patternFill patternType="solid">
        <fgColor rgb="FF5B9BD5"/>
        <bgColor indexed="64"/>
      </patternFill>
    </fill>
    <fill>
      <patternFill patternType="solid">
        <fgColor rgb="FFED7D31"/>
        <bgColor indexed="64"/>
      </patternFill>
    </fill>
    <fill>
      <patternFill patternType="solid">
        <fgColor rgb="FF5B9BD5"/>
        <bgColor indexed="64"/>
      </patternFill>
    </fill>
    <fill>
      <patternFill patternType="solid">
        <fgColor rgb="FFC5D9F1"/>
        <bgColor indexed="64"/>
      </patternFill>
    </fill>
    <fill>
      <patternFill patternType="solid">
        <fgColor rgb="FFEEF3F8"/>
        <bgColor indexed="64"/>
      </patternFill>
    </fill>
    <fill>
      <patternFill patternType="solid">
        <fgColor theme="5" tint="0.79995117038483843"/>
        <bgColor indexed="64"/>
      </patternFill>
    </fill>
    <fill>
      <patternFill patternType="solid">
        <fgColor rgb="FFFFFFFF"/>
        <bgColor indexed="64"/>
      </patternFill>
    </fill>
    <fill>
      <patternFill patternType="solid">
        <fgColor theme="0"/>
        <bgColor indexed="64"/>
      </patternFill>
    </fill>
    <fill>
      <patternFill patternType="solid">
        <fgColor indexed="11"/>
        <bgColor indexed="64"/>
      </patternFill>
    </fill>
    <fill>
      <patternFill patternType="solid">
        <fgColor theme="8"/>
        <bgColor indexed="64"/>
      </patternFill>
    </fill>
    <fill>
      <patternFill patternType="solid">
        <fgColor indexed="15"/>
        <bgColor indexed="64"/>
      </patternFill>
    </fill>
  </fills>
  <borders count="334">
    <border>
      <left/>
      <right/>
      <top/>
      <bottom/>
      <diagonal/>
    </border>
    <border>
      <left style="thin">
        <color rgb="FF7F7F7F"/>
      </left>
      <right style="thin">
        <color rgb="FF7F7F7F"/>
      </right>
      <top style="thin">
        <color rgb="FF7F7F7F"/>
      </top>
      <bottom style="thin">
        <color rgb="FF7F7F7F"/>
      </bottom>
      <diagonal/>
    </border>
    <border>
      <left style="thin">
        <color auto="1"/>
      </left>
      <right style="thin">
        <color auto="1"/>
      </right>
      <top/>
      <bottom style="medium">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bottom style="thin">
        <color auto="1"/>
      </bottom>
      <diagonal/>
    </border>
    <border>
      <left/>
      <right/>
      <top style="medium">
        <color indexed="23"/>
      </top>
      <bottom style="thin">
        <color auto="1"/>
      </bottom>
      <diagonal/>
    </border>
    <border>
      <left style="thin">
        <color auto="1"/>
      </left>
      <right style="thin">
        <color auto="1"/>
      </right>
      <top style="thin">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style="thin">
        <color auto="1"/>
      </top>
      <bottom style="medium">
        <color auto="1"/>
      </bottom>
      <diagonal/>
    </border>
    <border>
      <left style="thin">
        <color auto="1"/>
      </left>
      <right/>
      <top/>
      <bottom/>
      <diagonal/>
    </border>
    <border>
      <left/>
      <right/>
      <top style="thin">
        <color theme="4" tint="0.39997558519241921"/>
      </top>
      <bottom style="thin">
        <color theme="4" tint="0.39997558519241921"/>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medium">
        <color auto="1"/>
      </bottom>
      <diagonal/>
    </border>
    <border>
      <left/>
      <right style="thin">
        <color auto="1"/>
      </right>
      <top/>
      <bottom style="thin">
        <color auto="1"/>
      </bottom>
      <diagonal/>
    </border>
    <border>
      <left/>
      <right/>
      <top style="thin">
        <color auto="1"/>
      </top>
      <bottom/>
      <diagonal/>
    </border>
    <border>
      <left style="thin">
        <color theme="0"/>
      </left>
      <right style="thin">
        <color theme="0"/>
      </right>
      <top style="thin">
        <color theme="0"/>
      </top>
      <bottom style="thin">
        <color theme="0"/>
      </bottom>
      <diagonal/>
    </border>
    <border>
      <left style="thin">
        <color theme="9" tint="0.39997558519241921"/>
      </left>
      <right/>
      <top style="thin">
        <color theme="9" tint="0.39997558519241921"/>
      </top>
      <bottom style="thin">
        <color theme="9" tint="0.39997558519241921"/>
      </bottom>
      <diagonal/>
    </border>
    <border>
      <left/>
      <right style="thin">
        <color theme="9" tint="0.39994506668294322"/>
      </right>
      <top/>
      <bottom/>
      <diagonal/>
    </border>
    <border>
      <left/>
      <right style="thin">
        <color auto="1"/>
      </right>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right style="hair">
        <color auto="1"/>
      </right>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thin">
        <color auto="1"/>
      </left>
      <right style="hair">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thin">
        <color auto="1"/>
      </right>
      <top style="thin">
        <color auto="1"/>
      </top>
      <bottom style="hair">
        <color auto="1"/>
      </bottom>
      <diagonal/>
    </border>
    <border>
      <left/>
      <right/>
      <top/>
      <bottom style="hair">
        <color auto="1"/>
      </bottom>
      <diagonal/>
    </border>
    <border>
      <left style="hair">
        <color auto="1"/>
      </left>
      <right style="hair">
        <color auto="1"/>
      </right>
      <top/>
      <bottom/>
      <diagonal/>
    </border>
    <border>
      <left/>
      <right style="hair">
        <color auto="1"/>
      </right>
      <top/>
      <bottom/>
      <diagonal/>
    </border>
    <border>
      <left/>
      <right/>
      <top style="hair">
        <color auto="1"/>
      </top>
      <bottom style="hair">
        <color auto="1"/>
      </bottom>
      <diagonal/>
    </border>
    <border>
      <left/>
      <right/>
      <top style="hair">
        <color auto="1"/>
      </top>
      <bottom/>
      <diagonal/>
    </border>
    <border>
      <left style="hair">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top/>
      <bottom style="thick">
        <color rgb="FF66CCFF"/>
      </bottom>
      <diagonal/>
    </border>
    <border>
      <left/>
      <right/>
      <top/>
      <bottom style="medium">
        <color rgb="FF66CCFF"/>
      </bottom>
      <diagonal/>
    </border>
    <border>
      <left style="dashed">
        <color rgb="FF0070C0"/>
      </left>
      <right/>
      <top style="dashed">
        <color rgb="FF0070C0"/>
      </top>
      <bottom/>
      <diagonal/>
    </border>
    <border>
      <left/>
      <right/>
      <top style="dashed">
        <color rgb="FF0070C0"/>
      </top>
      <bottom/>
      <diagonal/>
    </border>
    <border>
      <left/>
      <right style="dashed">
        <color rgb="FF0070C0"/>
      </right>
      <top style="dashed">
        <color rgb="FF0070C0"/>
      </top>
      <bottom/>
      <diagonal/>
    </border>
    <border>
      <left style="dashed">
        <color rgb="FF0070C0"/>
      </left>
      <right/>
      <top/>
      <bottom/>
      <diagonal/>
    </border>
    <border>
      <left/>
      <right style="dashed">
        <color rgb="FF0070C0"/>
      </right>
      <top/>
      <bottom/>
      <diagonal/>
    </border>
    <border>
      <left style="dashed">
        <color rgb="FF0070C0"/>
      </left>
      <right/>
      <top/>
      <bottom style="dashed">
        <color rgb="FF0070C0"/>
      </bottom>
      <diagonal/>
    </border>
    <border>
      <left/>
      <right/>
      <top/>
      <bottom style="dashed">
        <color rgb="FF0070C0"/>
      </bottom>
      <diagonal/>
    </border>
    <border>
      <left/>
      <right style="dashed">
        <color rgb="FF0070C0"/>
      </right>
      <top/>
      <bottom style="dashed">
        <color rgb="FF0070C0"/>
      </bottom>
      <diagonal/>
    </border>
    <border>
      <left style="thin">
        <color auto="1"/>
      </left>
      <right style="dashed">
        <color theme="0" tint="-0.49995422223578601"/>
      </right>
      <top style="thin">
        <color auto="1"/>
      </top>
      <bottom style="dashed">
        <color theme="0" tint="-0.49995422223578601"/>
      </bottom>
      <diagonal/>
    </border>
    <border>
      <left style="dashed">
        <color theme="0" tint="-0.49995422223578601"/>
      </left>
      <right style="dashed">
        <color theme="0" tint="-0.49995422223578601"/>
      </right>
      <top style="thin">
        <color auto="1"/>
      </top>
      <bottom style="dashed">
        <color theme="0" tint="-0.49995422223578601"/>
      </bottom>
      <diagonal/>
    </border>
    <border>
      <left style="thin">
        <color auto="1"/>
      </left>
      <right style="dashed">
        <color theme="0" tint="-0.49995422223578601"/>
      </right>
      <top style="dashed">
        <color theme="0" tint="-0.49995422223578601"/>
      </top>
      <bottom style="dashed">
        <color theme="0" tint="-0.49995422223578601"/>
      </bottom>
      <diagonal/>
    </border>
    <border>
      <left style="dashed">
        <color theme="0" tint="-0.49995422223578601"/>
      </left>
      <right style="dashed">
        <color theme="0" tint="-0.49995422223578601"/>
      </right>
      <top style="dashed">
        <color theme="0" tint="-0.49995422223578601"/>
      </top>
      <bottom style="dashed">
        <color theme="0" tint="-0.49995422223578601"/>
      </bottom>
      <diagonal/>
    </border>
    <border>
      <left style="dashed">
        <color theme="0" tint="-0.49995422223578601"/>
      </left>
      <right style="thin">
        <color auto="1"/>
      </right>
      <top style="thin">
        <color auto="1"/>
      </top>
      <bottom style="dashed">
        <color theme="0" tint="-0.49995422223578601"/>
      </bottom>
      <diagonal/>
    </border>
    <border>
      <left style="thin">
        <color auto="1"/>
      </left>
      <right style="dashed">
        <color theme="0" tint="-0.49995422223578601"/>
      </right>
      <top style="dashed">
        <color theme="0" tint="-0.49995422223578601"/>
      </top>
      <bottom style="thin">
        <color auto="1"/>
      </bottom>
      <diagonal/>
    </border>
    <border>
      <left style="dashed">
        <color theme="0" tint="-0.49995422223578601"/>
      </left>
      <right style="thin">
        <color auto="1"/>
      </right>
      <top style="dashed">
        <color theme="0" tint="-0.49995422223578601"/>
      </top>
      <bottom style="thin">
        <color auto="1"/>
      </bottom>
      <diagonal/>
    </border>
    <border>
      <left style="dashed">
        <color theme="0" tint="-0.49995422223578601"/>
      </left>
      <right style="thin">
        <color auto="1"/>
      </right>
      <top style="dashed">
        <color theme="0" tint="-0.49995422223578601"/>
      </top>
      <bottom style="dashed">
        <color theme="0" tint="-0.49995422223578601"/>
      </bottom>
      <diagonal/>
    </border>
    <border>
      <left style="dashed">
        <color theme="0" tint="-0.49995422223578601"/>
      </left>
      <right style="dashed">
        <color theme="0" tint="-0.49995422223578601"/>
      </right>
      <top style="dashed">
        <color theme="0" tint="-0.49995422223578601"/>
      </top>
      <bottom style="thin">
        <color auto="1"/>
      </bottom>
      <diagonal/>
    </border>
    <border>
      <left style="thin">
        <color theme="2"/>
      </left>
      <right style="thin">
        <color theme="2"/>
      </right>
      <top style="thin">
        <color theme="2"/>
      </top>
      <bottom style="thin">
        <color theme="2"/>
      </bottom>
      <diagonal/>
    </border>
    <border>
      <left style="dashed">
        <color theme="0" tint="-0.34995574816125979"/>
      </left>
      <right style="dashed">
        <color theme="0" tint="-0.34995574816125979"/>
      </right>
      <top style="dashed">
        <color theme="0" tint="-0.34995574816125979"/>
      </top>
      <bottom style="dashed">
        <color theme="0" tint="-0.34995574816125979"/>
      </bottom>
      <diagonal/>
    </border>
    <border>
      <left style="dashed">
        <color theme="0" tint="-0.34995574816125979"/>
      </left>
      <right style="thin">
        <color auto="1"/>
      </right>
      <top style="dashed">
        <color theme="0" tint="-0.34995574816125979"/>
      </top>
      <bottom style="dashed">
        <color theme="0" tint="-0.34995574816125979"/>
      </bottom>
      <diagonal/>
    </border>
    <border>
      <left style="dashed">
        <color theme="0" tint="-0.34995574816125979"/>
      </left>
      <right style="dashed">
        <color theme="0" tint="-0.34995574816125979"/>
      </right>
      <top style="dashed">
        <color theme="0" tint="-0.34995574816125979"/>
      </top>
      <bottom style="thin">
        <color auto="1"/>
      </bottom>
      <diagonal/>
    </border>
    <border>
      <left style="dashed">
        <color theme="0" tint="-0.34995574816125979"/>
      </left>
      <right style="thin">
        <color auto="1"/>
      </right>
      <top style="dashed">
        <color theme="0" tint="-0.34995574816125979"/>
      </top>
      <bottom style="thin">
        <color auto="1"/>
      </bottom>
      <diagonal/>
    </border>
    <border>
      <left style="medium">
        <color auto="1"/>
      </left>
      <right/>
      <top/>
      <bottom style="thin">
        <color auto="1"/>
      </bottom>
      <diagonal/>
    </border>
    <border>
      <left style="thin">
        <color auto="1"/>
      </left>
      <right style="thin">
        <color auto="1"/>
      </right>
      <top style="thin">
        <color auto="1"/>
      </top>
      <bottom style="dashed">
        <color theme="0" tint="-0.34995574816125979"/>
      </bottom>
      <diagonal/>
    </border>
    <border>
      <left style="thin">
        <color auto="1"/>
      </left>
      <right style="thin">
        <color auto="1"/>
      </right>
      <top style="dashed">
        <color theme="0" tint="-0.34995574816125979"/>
      </top>
      <bottom style="dashed">
        <color theme="0" tint="-0.34995574816125979"/>
      </bottom>
      <diagonal/>
    </border>
    <border>
      <left style="thin">
        <color auto="1"/>
      </left>
      <right style="thin">
        <color auto="1"/>
      </right>
      <top style="dashed">
        <color theme="0" tint="-0.34995574816125979"/>
      </top>
      <bottom style="thin">
        <color auto="1"/>
      </bottom>
      <diagonal/>
    </border>
    <border>
      <left style="hair">
        <color auto="1"/>
      </left>
      <right style="dashed">
        <color theme="0" tint="-0.49995422223578601"/>
      </right>
      <top style="thin">
        <color auto="1"/>
      </top>
      <bottom style="dashed">
        <color theme="0" tint="-0.49995422223578601"/>
      </bottom>
      <diagonal/>
    </border>
    <border>
      <left style="dashed">
        <color theme="0" tint="-0.49995422223578601"/>
      </left>
      <right style="hair">
        <color auto="1"/>
      </right>
      <top style="thin">
        <color auto="1"/>
      </top>
      <bottom style="dashed">
        <color theme="0" tint="-0.49995422223578601"/>
      </bottom>
      <diagonal/>
    </border>
    <border>
      <left style="hair">
        <color auto="1"/>
      </left>
      <right style="dashed">
        <color theme="0" tint="-0.49995422223578601"/>
      </right>
      <top style="dashed">
        <color theme="0" tint="-0.49995422223578601"/>
      </top>
      <bottom style="dashed">
        <color theme="0" tint="-0.49995422223578601"/>
      </bottom>
      <diagonal/>
    </border>
    <border>
      <left style="dashed">
        <color theme="0" tint="-0.49995422223578601"/>
      </left>
      <right style="hair">
        <color auto="1"/>
      </right>
      <top style="dashed">
        <color theme="0" tint="-0.49995422223578601"/>
      </top>
      <bottom style="dashed">
        <color theme="0" tint="-0.49995422223578601"/>
      </bottom>
      <diagonal/>
    </border>
    <border>
      <left style="hair">
        <color auto="1"/>
      </left>
      <right style="dashed">
        <color theme="0" tint="-0.49995422223578601"/>
      </right>
      <top style="dashed">
        <color theme="0" tint="-0.49995422223578601"/>
      </top>
      <bottom style="thin">
        <color auto="1"/>
      </bottom>
      <diagonal/>
    </border>
    <border>
      <left style="dashed">
        <color theme="0" tint="-0.49995422223578601"/>
      </left>
      <right style="hair">
        <color auto="1"/>
      </right>
      <top style="dashed">
        <color theme="0" tint="-0.49995422223578601"/>
      </top>
      <bottom style="thin">
        <color auto="1"/>
      </bottom>
      <diagonal/>
    </border>
    <border>
      <left style="thin">
        <color auto="1"/>
      </left>
      <right style="dashed">
        <color theme="0" tint="-0.34995574816125979"/>
      </right>
      <top style="thin">
        <color auto="1"/>
      </top>
      <bottom style="dashed">
        <color theme="0" tint="-0.34995574816125979"/>
      </bottom>
      <diagonal/>
    </border>
    <border>
      <left style="dashed">
        <color theme="0" tint="-0.34995574816125979"/>
      </left>
      <right style="dashed">
        <color theme="0" tint="-0.34995574816125979"/>
      </right>
      <top style="thin">
        <color auto="1"/>
      </top>
      <bottom style="dashed">
        <color theme="0" tint="-0.34995574816125979"/>
      </bottom>
      <diagonal/>
    </border>
    <border>
      <left style="dashed">
        <color theme="0" tint="-0.34995574816125979"/>
      </left>
      <right style="thin">
        <color auto="1"/>
      </right>
      <top style="thin">
        <color auto="1"/>
      </top>
      <bottom style="dashed">
        <color theme="0" tint="-0.34995574816125979"/>
      </bottom>
      <diagonal/>
    </border>
    <border>
      <left style="thin">
        <color auto="1"/>
      </left>
      <right style="dashed">
        <color theme="0" tint="-0.34995574816125979"/>
      </right>
      <top/>
      <bottom style="dashed">
        <color theme="0" tint="-0.34995574816125979"/>
      </bottom>
      <diagonal/>
    </border>
    <border>
      <left style="thin">
        <color auto="1"/>
      </left>
      <right style="dashed">
        <color theme="0" tint="-0.34995574816125979"/>
      </right>
      <top/>
      <bottom style="thin">
        <color auto="1"/>
      </bottom>
      <diagonal/>
    </border>
    <border>
      <left style="hair">
        <color auto="1"/>
      </left>
      <right style="thin">
        <color auto="1"/>
      </right>
      <top style="hair">
        <color auto="1"/>
      </top>
      <bottom style="thin">
        <color auto="1"/>
      </bottom>
      <diagonal/>
    </border>
    <border>
      <left/>
      <right/>
      <top style="thin">
        <color auto="1"/>
      </top>
      <bottom style="thin">
        <color theme="2"/>
      </bottom>
      <diagonal/>
    </border>
    <border>
      <left/>
      <right style="thin">
        <color auto="1"/>
      </right>
      <top/>
      <bottom style="hair">
        <color auto="1"/>
      </bottom>
      <diagonal/>
    </border>
    <border>
      <left style="thin">
        <color auto="1"/>
      </left>
      <right style="thin">
        <color theme="4" tint="0.39997558519241921"/>
      </right>
      <top style="thin">
        <color theme="4" tint="0.39997558519241921"/>
      </top>
      <bottom style="thin">
        <color theme="4" tint="0.39997558519241921"/>
      </bottom>
      <diagonal/>
    </border>
    <border>
      <left style="thin">
        <color indexed="12"/>
      </left>
      <right style="thin">
        <color indexed="12"/>
      </right>
      <top style="thin">
        <color indexed="12"/>
      </top>
      <bottom style="thin">
        <color indexed="16"/>
      </bottom>
      <diagonal/>
    </border>
    <border>
      <left style="thin">
        <color indexed="12"/>
      </left>
      <right style="thin">
        <color indexed="12"/>
      </right>
      <top style="medium">
        <color auto="1"/>
      </top>
      <bottom style="thin">
        <color indexed="16"/>
      </bottom>
      <diagonal/>
    </border>
    <border>
      <left style="thin">
        <color indexed="12"/>
      </left>
      <right style="thin">
        <color indexed="12"/>
      </right>
      <top/>
      <bottom/>
      <diagonal/>
    </border>
    <border>
      <left style="thin">
        <color indexed="12"/>
      </left>
      <right style="thin">
        <color indexed="12"/>
      </right>
      <top style="thin">
        <color indexed="16"/>
      </top>
      <bottom style="thin">
        <color indexed="12"/>
      </bottom>
      <diagonal/>
    </border>
    <border>
      <left style="thin">
        <color indexed="12"/>
      </left>
      <right style="thin">
        <color indexed="12"/>
      </right>
      <top style="thin">
        <color indexed="12"/>
      </top>
      <bottom style="thin">
        <color indexed="12"/>
      </bottom>
      <diagonal/>
    </border>
    <border>
      <left style="thin">
        <color indexed="12"/>
      </left>
      <right style="thin">
        <color indexed="12"/>
      </right>
      <top style="thin">
        <color indexed="12"/>
      </top>
      <bottom style="thick">
        <color indexed="22"/>
      </bottom>
      <diagonal/>
    </border>
    <border>
      <left style="thin">
        <color indexed="10"/>
      </left>
      <right style="thin">
        <color indexed="11"/>
      </right>
      <top/>
      <bottom/>
      <diagonal/>
    </border>
    <border>
      <left style="thin">
        <color indexed="12"/>
      </left>
      <right style="thin">
        <color indexed="12"/>
      </right>
      <top style="thick">
        <color indexed="22"/>
      </top>
      <bottom style="thin">
        <color indexed="12"/>
      </bottom>
      <diagonal/>
    </border>
    <border>
      <left style="thin">
        <color indexed="12"/>
      </left>
      <right style="thin">
        <color indexed="12"/>
      </right>
      <top style="thin">
        <color indexed="12"/>
      </top>
      <bottom style="thick">
        <color indexed="8"/>
      </bottom>
      <diagonal/>
    </border>
    <border>
      <left style="thin">
        <color indexed="12"/>
      </left>
      <right style="thin">
        <color indexed="12"/>
      </right>
      <top style="thick">
        <color indexed="8"/>
      </top>
      <bottom style="thin">
        <color indexed="12"/>
      </bottom>
      <diagonal/>
    </border>
    <border>
      <left style="hair">
        <color theme="0" tint="-0.49995422223578601"/>
      </left>
      <right style="hair">
        <color theme="0" tint="-0.49995422223578601"/>
      </right>
      <top style="thin">
        <color auto="1"/>
      </top>
      <bottom style="hair">
        <color theme="0" tint="-0.49995422223578601"/>
      </bottom>
      <diagonal/>
    </border>
    <border>
      <left style="hair">
        <color theme="0" tint="-0.49995422223578601"/>
      </left>
      <right style="hair">
        <color theme="0" tint="-0.49995422223578601"/>
      </right>
      <top style="hair">
        <color theme="0" tint="-0.49995422223578601"/>
      </top>
      <bottom style="hair">
        <color theme="0" tint="-0.49995422223578601"/>
      </bottom>
      <diagonal/>
    </border>
    <border>
      <left style="hair">
        <color theme="0" tint="-0.49995422223578601"/>
      </left>
      <right style="hair">
        <color theme="0" tint="-0.49995422223578601"/>
      </right>
      <top style="hair">
        <color theme="0" tint="-0.49995422223578601"/>
      </top>
      <bottom style="thin">
        <color auto="1"/>
      </bottom>
      <diagonal/>
    </border>
    <border>
      <left style="thin">
        <color auto="1"/>
      </left>
      <right style="hair">
        <color theme="0" tint="-0.49995422223578601"/>
      </right>
      <top style="thin">
        <color auto="1"/>
      </top>
      <bottom style="thin">
        <color auto="1"/>
      </bottom>
      <diagonal/>
    </border>
    <border>
      <left style="thin">
        <color auto="1"/>
      </left>
      <right style="hair">
        <color theme="0" tint="-0.49995422223578601"/>
      </right>
      <top style="thin">
        <color auto="1"/>
      </top>
      <bottom style="hair">
        <color theme="0" tint="-0.49995422223578601"/>
      </bottom>
      <diagonal/>
    </border>
    <border>
      <left style="thin">
        <color auto="1"/>
      </left>
      <right style="hair">
        <color theme="0" tint="-0.49995422223578601"/>
      </right>
      <top style="hair">
        <color theme="0" tint="-0.49995422223578601"/>
      </top>
      <bottom style="hair">
        <color theme="0" tint="-0.49995422223578601"/>
      </bottom>
      <diagonal/>
    </border>
    <border>
      <left style="thin">
        <color auto="1"/>
      </left>
      <right style="hair">
        <color theme="0" tint="-0.49995422223578601"/>
      </right>
      <top style="hair">
        <color theme="0" tint="-0.49995422223578601"/>
      </top>
      <bottom style="thin">
        <color auto="1"/>
      </bottom>
      <diagonal/>
    </border>
    <border>
      <left style="thin">
        <color theme="4" tint="0.39997558519241921"/>
      </left>
      <right/>
      <top style="thin">
        <color theme="4" tint="0.39997558519241921"/>
      </top>
      <bottom style="thin">
        <color theme="4" tint="0.39997558519241921"/>
      </bottom>
      <diagonal/>
    </border>
    <border>
      <left style="thin">
        <color auto="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5" tint="0.39997558519241921"/>
      </left>
      <right/>
      <top style="thin">
        <color theme="5" tint="0.39997558519241921"/>
      </top>
      <bottom style="thin">
        <color theme="5" tint="0.39997558519241921"/>
      </bottom>
      <diagonal/>
    </border>
    <border>
      <left/>
      <right/>
      <top style="thin">
        <color theme="5" tint="0.39997558519241921"/>
      </top>
      <bottom style="thin">
        <color theme="5" tint="0.39997558519241921"/>
      </bottom>
      <diagonal/>
    </border>
    <border>
      <left style="thin">
        <color auto="1"/>
      </left>
      <right/>
      <top style="thin">
        <color theme="5" tint="0.39997558519241921"/>
      </top>
      <bottom style="thin">
        <color theme="5" tint="0.39997558519241921"/>
      </bottom>
      <diagonal/>
    </border>
    <border>
      <left/>
      <right style="thin">
        <color theme="5" tint="0.39997558519241921"/>
      </right>
      <top style="thin">
        <color theme="5" tint="0.39997558519241921"/>
      </top>
      <bottom style="thin">
        <color theme="5" tint="0.39997558519241921"/>
      </bottom>
      <diagonal/>
    </border>
    <border>
      <left style="hair">
        <color theme="0" tint="-0.49995422223578601"/>
      </left>
      <right style="thin">
        <color auto="1"/>
      </right>
      <top style="thin">
        <color auto="1"/>
      </top>
      <bottom style="hair">
        <color theme="0" tint="-0.49995422223578601"/>
      </bottom>
      <diagonal/>
    </border>
    <border>
      <left style="hair">
        <color theme="0" tint="-0.49995422223578601"/>
      </left>
      <right style="thin">
        <color auto="1"/>
      </right>
      <top style="hair">
        <color theme="0" tint="-0.49995422223578601"/>
      </top>
      <bottom style="hair">
        <color theme="0" tint="-0.49995422223578601"/>
      </bottom>
      <diagonal/>
    </border>
    <border>
      <left style="hair">
        <color theme="0" tint="-0.49995422223578601"/>
      </left>
      <right style="thin">
        <color auto="1"/>
      </right>
      <top style="hair">
        <color theme="0" tint="-0.49995422223578601"/>
      </top>
      <bottom style="thin">
        <color auto="1"/>
      </bottom>
      <diagonal/>
    </border>
    <border>
      <left style="thin">
        <color auto="1"/>
      </left>
      <right style="thin">
        <color auto="1"/>
      </right>
      <top style="thin">
        <color auto="1"/>
      </top>
      <bottom style="hair">
        <color theme="0" tint="-0.49995422223578601"/>
      </bottom>
      <diagonal/>
    </border>
    <border>
      <left style="thin">
        <color auto="1"/>
      </left>
      <right style="thin">
        <color auto="1"/>
      </right>
      <top style="hair">
        <color theme="0" tint="-0.49995422223578601"/>
      </top>
      <bottom style="hair">
        <color theme="0" tint="-0.49995422223578601"/>
      </bottom>
      <diagonal/>
    </border>
    <border>
      <left style="thin">
        <color auto="1"/>
      </left>
      <right style="thin">
        <color auto="1"/>
      </right>
      <top style="hair">
        <color theme="0" tint="-0.49995422223578601"/>
      </top>
      <bottom style="thin">
        <color auto="1"/>
      </bottom>
      <diagonal/>
    </border>
    <border>
      <left/>
      <right style="medium">
        <color auto="1"/>
      </right>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style="thin">
        <color auto="1"/>
      </right>
      <top style="medium">
        <color auto="1"/>
      </top>
      <bottom style="medium">
        <color auto="1"/>
      </bottom>
      <diagonal/>
    </border>
    <border>
      <left/>
      <right style="medium">
        <color auto="1"/>
      </right>
      <top style="medium">
        <color auto="1"/>
      </top>
      <bottom style="medium">
        <color auto="1"/>
      </bottom>
      <diagonal/>
    </border>
    <border>
      <left style="thin">
        <color indexed="12"/>
      </left>
      <right style="thin">
        <color indexed="12"/>
      </right>
      <top style="thin">
        <color indexed="12"/>
      </top>
      <bottom/>
      <diagonal/>
    </border>
    <border>
      <left style="thin">
        <color indexed="12"/>
      </left>
      <right style="thin">
        <color indexed="12"/>
      </right>
      <top/>
      <bottom style="thin">
        <color indexed="12"/>
      </bottom>
      <diagonal/>
    </border>
    <border>
      <left style="thin">
        <color indexed="12"/>
      </left>
      <right style="thin">
        <color indexed="12"/>
      </right>
      <top style="thick">
        <color indexed="22"/>
      </top>
      <bottom/>
      <diagonal/>
    </border>
    <border>
      <left style="thin">
        <color indexed="12"/>
      </left>
      <right style="thin">
        <color indexed="12"/>
      </right>
      <top style="hair">
        <color indexed="12"/>
      </top>
      <bottom style="thin">
        <color indexed="12"/>
      </bottom>
      <diagonal/>
    </border>
    <border>
      <left/>
      <right style="thin">
        <color indexed="12"/>
      </right>
      <top/>
      <bottom/>
      <diagonal/>
    </border>
    <border>
      <left style="thin">
        <color indexed="12"/>
      </left>
      <right style="thin">
        <color indexed="12"/>
      </right>
      <top style="thin">
        <color indexed="12"/>
      </top>
      <bottom style="thick">
        <color indexed="12"/>
      </bottom>
      <diagonal/>
    </border>
    <border>
      <left/>
      <right/>
      <top/>
      <bottom style="thick">
        <color theme="3"/>
      </bottom>
      <diagonal/>
    </border>
    <border>
      <left style="thin">
        <color indexed="12"/>
      </left>
      <right style="thin">
        <color indexed="12"/>
      </right>
      <top style="thick">
        <color indexed="12"/>
      </top>
      <bottom style="thin">
        <color indexed="12"/>
      </bottom>
      <diagonal/>
    </border>
    <border>
      <left style="thin">
        <color indexed="12"/>
      </left>
      <right style="thin">
        <color indexed="12"/>
      </right>
      <top/>
      <bottom style="thick">
        <color indexed="12"/>
      </bottom>
      <diagonal/>
    </border>
    <border>
      <left style="dotted">
        <color theme="0" tint="-0.49995422223578601"/>
      </left>
      <right style="dotted">
        <color theme="0" tint="-0.49995422223578601"/>
      </right>
      <top style="dotted">
        <color theme="0" tint="-0.49995422223578601"/>
      </top>
      <bottom style="dotted">
        <color theme="0" tint="-0.49995422223578601"/>
      </bottom>
      <diagonal/>
    </border>
    <border>
      <left style="dotted">
        <color theme="0" tint="-0.49995422223578601"/>
      </left>
      <right style="dotted">
        <color theme="0" tint="-0.49995422223578601"/>
      </right>
      <top style="dotted">
        <color theme="0" tint="-0.49995422223578601"/>
      </top>
      <bottom style="thin">
        <color auto="1"/>
      </bottom>
      <diagonal/>
    </border>
    <border>
      <left style="dotted">
        <color theme="0" tint="-0.49995422223578601"/>
      </left>
      <right style="thin">
        <color auto="1"/>
      </right>
      <top style="dotted">
        <color theme="0" tint="-0.49995422223578601"/>
      </top>
      <bottom style="thin">
        <color auto="1"/>
      </bottom>
      <diagonal/>
    </border>
    <border>
      <left style="thin">
        <color auto="1"/>
      </left>
      <right style="dotted">
        <color theme="0" tint="-0.49995422223578601"/>
      </right>
      <top style="dotted">
        <color theme="0" tint="-0.49995422223578601"/>
      </top>
      <bottom style="thin">
        <color auto="1"/>
      </bottom>
      <diagonal/>
    </border>
    <border>
      <left style="dotted">
        <color theme="0" tint="-0.49995422223578601"/>
      </left>
      <right style="thin">
        <color auto="1"/>
      </right>
      <top style="dotted">
        <color theme="0" tint="-0.49995422223578601"/>
      </top>
      <bottom style="dotted">
        <color theme="0" tint="-0.49995422223578601"/>
      </bottom>
      <diagonal/>
    </border>
    <border>
      <left style="thin">
        <color auto="1"/>
      </left>
      <right style="dotted">
        <color theme="0" tint="-0.49995422223578601"/>
      </right>
      <top style="dotted">
        <color theme="0" tint="-0.49995422223578601"/>
      </top>
      <bottom style="dotted">
        <color theme="0" tint="-0.49995422223578601"/>
      </bottom>
      <diagonal/>
    </border>
    <border>
      <left/>
      <right style="thin">
        <color indexed="11"/>
      </right>
      <top/>
      <bottom/>
      <diagonal/>
    </border>
    <border>
      <left style="dotted">
        <color theme="0" tint="-0.49995422223578601"/>
      </left>
      <right style="dotted">
        <color theme="0" tint="-0.49995422223578601"/>
      </right>
      <top style="thin">
        <color auto="1"/>
      </top>
      <bottom style="dotted">
        <color theme="0" tint="-0.49995422223578601"/>
      </bottom>
      <diagonal/>
    </border>
    <border>
      <left style="thin">
        <color auto="1"/>
      </left>
      <right style="dotted">
        <color theme="0" tint="-0.49995422223578601"/>
      </right>
      <top style="thin">
        <color auto="1"/>
      </top>
      <bottom style="dotted">
        <color theme="0" tint="-0.49995422223578601"/>
      </bottom>
      <diagonal/>
    </border>
    <border>
      <left style="dotted">
        <color theme="0" tint="-0.49995422223578601"/>
      </left>
      <right style="thin">
        <color auto="1"/>
      </right>
      <top style="thin">
        <color auto="1"/>
      </top>
      <bottom style="dotted">
        <color theme="0" tint="-0.49995422223578601"/>
      </bottom>
      <diagonal/>
    </border>
    <border>
      <left style="dotted">
        <color theme="0" tint="-0.49995422223578601"/>
      </left>
      <right style="dotted">
        <color theme="0" tint="-0.49995422223578601"/>
      </right>
      <top/>
      <bottom style="dotted">
        <color theme="0" tint="-0.49995422223578601"/>
      </bottom>
      <diagonal/>
    </border>
    <border>
      <left style="dotted">
        <color theme="0" tint="-0.49995422223578601"/>
      </left>
      <right style="thin">
        <color auto="1"/>
      </right>
      <top/>
      <bottom style="dotted">
        <color theme="0" tint="-0.49995422223578601"/>
      </bottom>
      <diagonal/>
    </border>
    <border>
      <left style="thin">
        <color indexed="12"/>
      </left>
      <right style="thin">
        <color indexed="12"/>
      </right>
      <top style="hair">
        <color indexed="12"/>
      </top>
      <bottom/>
      <diagonal/>
    </border>
    <border>
      <left style="thin">
        <color auto="1"/>
      </left>
      <right style="dotted">
        <color theme="0" tint="-0.49995422223578601"/>
      </right>
      <top style="thin">
        <color auto="1"/>
      </top>
      <bottom style="thin">
        <color auto="1"/>
      </bottom>
      <diagonal/>
    </border>
    <border>
      <left style="dotted">
        <color theme="0" tint="-0.49995422223578601"/>
      </left>
      <right style="dotted">
        <color theme="0" tint="-0.49995422223578601"/>
      </right>
      <top style="thin">
        <color auto="1"/>
      </top>
      <bottom style="thin">
        <color auto="1"/>
      </bottom>
      <diagonal/>
    </border>
    <border>
      <left style="dotted">
        <color theme="0" tint="-0.49995422223578601"/>
      </left>
      <right style="thin">
        <color auto="1"/>
      </right>
      <top style="thin">
        <color auto="1"/>
      </top>
      <bottom style="thin">
        <color auto="1"/>
      </bottom>
      <diagonal/>
    </border>
    <border>
      <left/>
      <right style="dotted">
        <color theme="0" tint="-0.49995422223578601"/>
      </right>
      <top/>
      <bottom/>
      <diagonal/>
    </border>
    <border>
      <left style="dotted">
        <color theme="0" tint="-0.49995422223578601"/>
      </left>
      <right/>
      <top/>
      <bottom/>
      <diagonal/>
    </border>
    <border>
      <left style="dotted">
        <color theme="0" tint="-0.49995422223578601"/>
      </left>
      <right style="dotted">
        <color theme="0" tint="-0.49995422223578601"/>
      </right>
      <top/>
      <bottom/>
      <diagonal/>
    </border>
    <border>
      <left style="dotted">
        <color theme="0" tint="-0.49995422223578601"/>
      </left>
      <right style="thin">
        <color auto="1"/>
      </right>
      <top/>
      <bottom/>
      <diagonal/>
    </border>
    <border>
      <left style="dotted">
        <color theme="0" tint="-0.49995422223578601"/>
      </left>
      <right style="dotted">
        <color theme="0" tint="-0.49995422223578601"/>
      </right>
      <top style="hair">
        <color auto="1"/>
      </top>
      <bottom style="dotted">
        <color theme="0" tint="-0.49995422223578601"/>
      </bottom>
      <diagonal/>
    </border>
    <border>
      <left style="hair">
        <color theme="9"/>
      </left>
      <right style="hair">
        <color theme="9"/>
      </right>
      <top style="hair">
        <color theme="9"/>
      </top>
      <bottom style="hair">
        <color theme="9"/>
      </bottom>
      <diagonal/>
    </border>
    <border>
      <left style="hair">
        <color theme="9"/>
      </left>
      <right style="hair">
        <color theme="9"/>
      </right>
      <top style="thin">
        <color auto="1"/>
      </top>
      <bottom style="thin">
        <color auto="1"/>
      </bottom>
      <diagonal/>
    </border>
    <border>
      <left style="hair">
        <color theme="9"/>
      </left>
      <right style="thin">
        <color auto="1"/>
      </right>
      <top style="thin">
        <color auto="1"/>
      </top>
      <bottom style="thin">
        <color auto="1"/>
      </bottom>
      <diagonal/>
    </border>
    <border>
      <left style="hair">
        <color theme="9"/>
      </left>
      <right style="hair">
        <color theme="9"/>
      </right>
      <top/>
      <bottom style="hair">
        <color theme="9"/>
      </bottom>
      <diagonal/>
    </border>
    <border>
      <left style="hair">
        <color theme="9"/>
      </left>
      <right/>
      <top style="hair">
        <color theme="9"/>
      </top>
      <bottom style="hair">
        <color theme="9"/>
      </bottom>
      <diagonal/>
    </border>
    <border>
      <left style="hair">
        <color theme="9"/>
      </left>
      <right style="hair">
        <color theme="9"/>
      </right>
      <top style="hair">
        <color theme="9"/>
      </top>
      <bottom style="thin">
        <color auto="1"/>
      </bottom>
      <diagonal/>
    </border>
    <border>
      <left style="hair">
        <color theme="9"/>
      </left>
      <right style="thin">
        <color auto="1"/>
      </right>
      <top style="hair">
        <color theme="9"/>
      </top>
      <bottom style="thin">
        <color auto="1"/>
      </bottom>
      <diagonal/>
    </border>
    <border>
      <left/>
      <right style="dotted">
        <color theme="9"/>
      </right>
      <top/>
      <bottom style="dotted">
        <color theme="9"/>
      </bottom>
      <diagonal/>
    </border>
    <border>
      <left style="dotted">
        <color theme="9"/>
      </left>
      <right/>
      <top/>
      <bottom style="dotted">
        <color theme="9"/>
      </bottom>
      <diagonal/>
    </border>
    <border>
      <left/>
      <right style="dotted">
        <color theme="9"/>
      </right>
      <top style="dotted">
        <color theme="9"/>
      </top>
      <bottom style="dotted">
        <color theme="9"/>
      </bottom>
      <diagonal/>
    </border>
    <border>
      <left style="dotted">
        <color theme="9"/>
      </left>
      <right/>
      <top style="dotted">
        <color theme="9"/>
      </top>
      <bottom style="dotted">
        <color theme="9"/>
      </bottom>
      <diagonal/>
    </border>
    <border>
      <left style="hair">
        <color theme="9"/>
      </left>
      <right style="hair">
        <color theme="9"/>
      </right>
      <top style="hair">
        <color theme="9"/>
      </top>
      <bottom/>
      <diagonal/>
    </border>
    <border>
      <left/>
      <right style="dotted">
        <color theme="9"/>
      </right>
      <top style="dotted">
        <color theme="9"/>
      </top>
      <bottom/>
      <diagonal/>
    </border>
    <border>
      <left style="dotted">
        <color theme="9"/>
      </left>
      <right/>
      <top style="dotted">
        <color theme="9"/>
      </top>
      <bottom/>
      <diagonal/>
    </border>
    <border>
      <left style="thin">
        <color theme="9"/>
      </left>
      <right style="dotted">
        <color theme="9"/>
      </right>
      <top style="thin">
        <color auto="1"/>
      </top>
      <bottom style="thin">
        <color auto="1"/>
      </bottom>
      <diagonal/>
    </border>
    <border>
      <left style="dotted">
        <color theme="9"/>
      </left>
      <right style="thin">
        <color theme="9"/>
      </right>
      <top style="thin">
        <color auto="1"/>
      </top>
      <bottom style="thin">
        <color auto="1"/>
      </bottom>
      <diagonal/>
    </border>
    <border>
      <left style="thin">
        <color indexed="9"/>
      </left>
      <right style="thin">
        <color indexed="9"/>
      </right>
      <top/>
      <bottom/>
      <diagonal/>
    </border>
    <border>
      <left style="thin">
        <color indexed="9"/>
      </left>
      <right style="thin">
        <color auto="1"/>
      </right>
      <top/>
      <bottom/>
      <diagonal/>
    </border>
    <border>
      <left style="thin">
        <color theme="0"/>
      </left>
      <right style="thin">
        <color auto="1"/>
      </right>
      <top style="thin">
        <color theme="0"/>
      </top>
      <bottom style="thin">
        <color theme="0"/>
      </bottom>
      <diagonal/>
    </border>
    <border>
      <left style="thin">
        <color theme="0"/>
      </left>
      <right style="thin">
        <color theme="0"/>
      </right>
      <top style="thin">
        <color theme="0"/>
      </top>
      <bottom style="thin">
        <color auto="1"/>
      </bottom>
      <diagonal/>
    </border>
    <border>
      <left style="thin">
        <color theme="0"/>
      </left>
      <right style="thin">
        <color auto="1"/>
      </right>
      <top style="thin">
        <color theme="0"/>
      </top>
      <bottom style="thin">
        <color auto="1"/>
      </bottom>
      <diagonal/>
    </border>
    <border>
      <left style="dashed">
        <color auto="1"/>
      </left>
      <right style="dotted">
        <color auto="1"/>
      </right>
      <top style="dashed">
        <color auto="1"/>
      </top>
      <bottom style="dashed">
        <color auto="1"/>
      </bottom>
      <diagonal/>
    </border>
    <border>
      <left/>
      <right/>
      <top/>
      <bottom style="thin">
        <color theme="2"/>
      </bottom>
      <diagonal/>
    </border>
    <border>
      <left/>
      <right style="thin">
        <color theme="0"/>
      </right>
      <top style="thin">
        <color auto="1"/>
      </top>
      <bottom style="thin">
        <color theme="0"/>
      </bottom>
      <diagonal/>
    </border>
    <border>
      <left style="thin">
        <color theme="0"/>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right/>
      <top style="dotted">
        <color theme="0" tint="-0.24991607409894101"/>
      </top>
      <bottom style="dotted">
        <color theme="0" tint="-0.24991607409894101"/>
      </bottom>
      <diagonal/>
    </border>
    <border>
      <left/>
      <right/>
      <top style="dotted">
        <color theme="0" tint="-0.24991607409894101"/>
      </top>
      <bottom/>
      <diagonal/>
    </border>
    <border>
      <left/>
      <right/>
      <top style="thin">
        <color auto="1"/>
      </top>
      <bottom style="dotted">
        <color theme="0" tint="-0.24991607409894101"/>
      </bottom>
      <diagonal/>
    </border>
    <border>
      <left style="thin">
        <color theme="4"/>
      </left>
      <right/>
      <top style="thin">
        <color theme="4"/>
      </top>
      <bottom style="thin">
        <color theme="4"/>
      </bottom>
      <diagonal/>
    </border>
    <border>
      <left style="thin">
        <color auto="1"/>
      </left>
      <right style="thin">
        <color theme="4"/>
      </right>
      <top style="thin">
        <color theme="4"/>
      </top>
      <bottom style="thin">
        <color theme="4"/>
      </bottom>
      <diagonal/>
    </border>
    <border>
      <left style="hair">
        <color auto="1"/>
      </left>
      <right/>
      <top/>
      <bottom style="hair">
        <color auto="1"/>
      </bottom>
      <diagonal/>
    </border>
    <border>
      <left style="thick">
        <color theme="9" tint="0.79995117038483843"/>
      </left>
      <right style="thick">
        <color theme="9" tint="0.79995117038483843"/>
      </right>
      <top style="thick">
        <color theme="9" tint="0.79995117038483843"/>
      </top>
      <bottom style="thick">
        <color theme="9" tint="0.79995117038483843"/>
      </bottom>
      <diagonal/>
    </border>
    <border>
      <left style="hair">
        <color theme="0" tint="-0.34995574816125979"/>
      </left>
      <right style="hair">
        <color theme="0" tint="-0.34995574816125979"/>
      </right>
      <top style="hair">
        <color theme="0" tint="-0.34995574816125979"/>
      </top>
      <bottom style="hair">
        <color theme="0" tint="-0.34995574816125979"/>
      </bottom>
      <diagonal/>
    </border>
    <border>
      <left style="dotted">
        <color theme="0" tint="-0.49995422223578601"/>
      </left>
      <right style="dotted">
        <color theme="0" tint="-0.49995422223578601"/>
      </right>
      <top style="dotted">
        <color theme="0" tint="-0.49995422223578601"/>
      </top>
      <bottom/>
      <diagonal/>
    </border>
    <border>
      <left/>
      <right style="thin">
        <color auto="1"/>
      </right>
      <top style="hair">
        <color auto="1"/>
      </top>
      <bottom/>
      <diagonal/>
    </border>
    <border>
      <left style="thin">
        <color auto="1"/>
      </left>
      <right/>
      <top style="hair">
        <color auto="1"/>
      </top>
      <bottom/>
      <diagonal/>
    </border>
    <border>
      <left style="dotted">
        <color theme="0" tint="-0.49995422223578601"/>
      </left>
      <right style="dotted">
        <color theme="0" tint="-0.49995422223578601"/>
      </right>
      <top/>
      <bottom style="thin">
        <color auto="1"/>
      </bottom>
      <diagonal/>
    </border>
    <border>
      <left style="thin">
        <color theme="0"/>
      </left>
      <right style="thin">
        <color theme="0"/>
      </right>
      <top style="thin">
        <color theme="0"/>
      </top>
      <bottom/>
      <diagonal/>
    </border>
    <border>
      <left style="thin">
        <color theme="0"/>
      </left>
      <right style="thin">
        <color auto="1"/>
      </right>
      <top style="thin">
        <color theme="0"/>
      </top>
      <bottom/>
      <diagonal/>
    </border>
    <border>
      <left/>
      <right/>
      <top/>
      <bottom style="dotted">
        <color theme="0" tint="-0.24991607409894101"/>
      </bottom>
      <diagonal/>
    </border>
    <border>
      <left/>
      <right/>
      <top style="thin">
        <color auto="1"/>
      </top>
      <bottom style="hair">
        <color auto="1"/>
      </bottom>
      <diagonal/>
    </border>
    <border>
      <left style="dashed">
        <color theme="0" tint="-0.49995422223578601"/>
      </left>
      <right style="dashed">
        <color theme="0" tint="-0.49995422223578601"/>
      </right>
      <top style="thin">
        <color auto="1"/>
      </top>
      <bottom style="thin">
        <color auto="1"/>
      </bottom>
      <diagonal/>
    </border>
    <border>
      <left/>
      <right/>
      <top style="thin">
        <color auto="1"/>
      </top>
      <bottom style="double">
        <color auto="1"/>
      </bottom>
      <diagonal/>
    </border>
    <border>
      <left style="thin">
        <color auto="1"/>
      </left>
      <right style="thin">
        <color auto="1"/>
      </right>
      <top style="thin">
        <color auto="1"/>
      </top>
      <bottom style="double">
        <color auto="1"/>
      </bottom>
      <diagonal/>
    </border>
    <border>
      <left style="hair">
        <color theme="0" tint="-0.49995422223578601"/>
      </left>
      <right style="thin">
        <color auto="1"/>
      </right>
      <top style="thin">
        <color auto="1"/>
      </top>
      <bottom style="thin">
        <color auto="1"/>
      </bottom>
      <diagonal/>
    </border>
    <border>
      <left style="thin">
        <color auto="1"/>
      </left>
      <right style="hair">
        <color theme="0" tint="-0.49995422223578601"/>
      </right>
      <top style="hair">
        <color theme="0" tint="-0.49995422223578601"/>
      </top>
      <bottom/>
      <diagonal/>
    </border>
    <border>
      <left style="hair">
        <color theme="0" tint="-0.49995422223578601"/>
      </left>
      <right style="thin">
        <color auto="1"/>
      </right>
      <top style="hair">
        <color theme="0" tint="-0.49995422223578601"/>
      </top>
      <bottom/>
      <diagonal/>
    </border>
    <border>
      <left style="thin">
        <color auto="1"/>
      </left>
      <right style="thin">
        <color auto="1"/>
      </right>
      <top style="hair">
        <color theme="0" tint="-0.49995422223578601"/>
      </top>
      <bottom/>
      <diagonal/>
    </border>
    <border>
      <left style="thin">
        <color theme="1"/>
      </left>
      <right style="hair">
        <color theme="0" tint="-0.49995422223578601"/>
      </right>
      <top style="thin">
        <color theme="1"/>
      </top>
      <bottom style="hair">
        <color theme="0" tint="-0.49995422223578601"/>
      </bottom>
      <diagonal/>
    </border>
    <border>
      <left style="hair">
        <color theme="0" tint="-0.49995422223578601"/>
      </left>
      <right style="hair">
        <color theme="0" tint="-0.49995422223578601"/>
      </right>
      <top style="thin">
        <color theme="1"/>
      </top>
      <bottom style="hair">
        <color theme="0" tint="-0.49995422223578601"/>
      </bottom>
      <diagonal/>
    </border>
    <border>
      <left style="hair">
        <color theme="0" tint="-0.49995422223578601"/>
      </left>
      <right style="thin">
        <color theme="1"/>
      </right>
      <top style="thin">
        <color theme="1"/>
      </top>
      <bottom style="hair">
        <color theme="0" tint="-0.49995422223578601"/>
      </bottom>
      <diagonal/>
    </border>
    <border>
      <left style="thin">
        <color theme="1"/>
      </left>
      <right style="hair">
        <color theme="0" tint="-0.49995422223578601"/>
      </right>
      <top style="hair">
        <color theme="0" tint="-0.49995422223578601"/>
      </top>
      <bottom style="hair">
        <color theme="0" tint="-0.49995422223578601"/>
      </bottom>
      <diagonal/>
    </border>
    <border>
      <left style="hair">
        <color theme="0" tint="-0.49995422223578601"/>
      </left>
      <right style="thin">
        <color theme="1"/>
      </right>
      <top style="hair">
        <color theme="0" tint="-0.49995422223578601"/>
      </top>
      <bottom style="hair">
        <color theme="0" tint="-0.49995422223578601"/>
      </bottom>
      <diagonal/>
    </border>
    <border>
      <left style="thin">
        <color theme="1"/>
      </left>
      <right style="hair">
        <color theme="0" tint="-0.49995422223578601"/>
      </right>
      <top style="hair">
        <color theme="0" tint="-0.49995422223578601"/>
      </top>
      <bottom style="thin">
        <color theme="1"/>
      </bottom>
      <diagonal/>
    </border>
    <border>
      <left style="hair">
        <color theme="0" tint="-0.49995422223578601"/>
      </left>
      <right style="hair">
        <color theme="0" tint="-0.49995422223578601"/>
      </right>
      <top style="hair">
        <color theme="0" tint="-0.49995422223578601"/>
      </top>
      <bottom style="thin">
        <color theme="1"/>
      </bottom>
      <diagonal/>
    </border>
    <border>
      <left style="hair">
        <color theme="0" tint="-0.49995422223578601"/>
      </left>
      <right style="thin">
        <color theme="1"/>
      </right>
      <top style="hair">
        <color theme="0" tint="-0.49995422223578601"/>
      </top>
      <bottom style="thin">
        <color theme="1"/>
      </bottom>
      <diagonal/>
    </border>
    <border>
      <left style="hair">
        <color auto="1"/>
      </left>
      <right/>
      <top style="thin">
        <color auto="1"/>
      </top>
      <bottom style="hair">
        <color auto="1"/>
      </bottom>
      <diagonal/>
    </border>
    <border>
      <left style="hair">
        <color auto="1"/>
      </left>
      <right/>
      <top style="hair">
        <color auto="1"/>
      </top>
      <bottom style="thin">
        <color auto="1"/>
      </bottom>
      <diagonal/>
    </border>
    <border>
      <left style="thin">
        <color auto="1"/>
      </left>
      <right style="thin">
        <color auto="1"/>
      </right>
      <top style="hair">
        <color auto="1"/>
      </top>
      <bottom style="hair">
        <color auto="1"/>
      </bottom>
      <diagonal/>
    </border>
    <border>
      <left style="thin">
        <color auto="1"/>
      </left>
      <right style="dashed">
        <color theme="0" tint="-0.49995422223578601"/>
      </right>
      <top style="thin">
        <color auto="1"/>
      </top>
      <bottom style="thin">
        <color auto="1"/>
      </bottom>
      <diagonal/>
    </border>
    <border>
      <left style="thin">
        <color auto="1"/>
      </left>
      <right style="thin">
        <color auto="1"/>
      </right>
      <top style="thin">
        <color auto="1"/>
      </top>
      <bottom style="thick">
        <color rgb="FF00B0F0"/>
      </bottom>
      <diagonal/>
    </border>
    <border>
      <left style="thin">
        <color auto="1"/>
      </left>
      <right style="hair">
        <color auto="1"/>
      </right>
      <top/>
      <bottom style="hair">
        <color auto="1"/>
      </bottom>
      <diagonal/>
    </border>
    <border>
      <left style="hair">
        <color auto="1"/>
      </left>
      <right style="thin">
        <color auto="1"/>
      </right>
      <top/>
      <bottom style="hair">
        <color auto="1"/>
      </bottom>
      <diagonal/>
    </border>
    <border>
      <left/>
      <right/>
      <top/>
      <bottom style="hair">
        <color theme="0" tint="-0.14993743705557422"/>
      </bottom>
      <diagonal/>
    </border>
    <border>
      <left/>
      <right style="hair">
        <color auto="1"/>
      </right>
      <top/>
      <bottom style="hair">
        <color theme="0" tint="-0.14993743705557422"/>
      </bottom>
      <diagonal/>
    </border>
    <border>
      <left/>
      <right/>
      <top style="hair">
        <color theme="0" tint="-0.14993743705557422"/>
      </top>
      <bottom/>
      <diagonal/>
    </border>
    <border>
      <left/>
      <right style="hair">
        <color auto="1"/>
      </right>
      <top style="hair">
        <color theme="0" tint="-0.14993743705557422"/>
      </top>
      <bottom style="hair">
        <color auto="1"/>
      </bottom>
      <diagonal/>
    </border>
    <border>
      <left style="thin">
        <color auto="1"/>
      </left>
      <right/>
      <top style="thin">
        <color theme="4"/>
      </top>
      <bottom style="thin">
        <color theme="4"/>
      </bottom>
      <diagonal/>
    </border>
    <border>
      <left style="hair">
        <color theme="0" tint="-0.24991607409894101"/>
      </left>
      <right style="thin">
        <color auto="1"/>
      </right>
      <top style="thin">
        <color auto="1"/>
      </top>
      <bottom style="hair">
        <color theme="0" tint="-0.24991607409894101"/>
      </bottom>
      <diagonal/>
    </border>
    <border>
      <left style="hair">
        <color theme="0" tint="-0.24991607409894101"/>
      </left>
      <right style="thin">
        <color auto="1"/>
      </right>
      <top style="hair">
        <color theme="0" tint="-0.24991607409894101"/>
      </top>
      <bottom style="hair">
        <color theme="0" tint="-0.24991607409894101"/>
      </bottom>
      <diagonal/>
    </border>
    <border>
      <left style="hair">
        <color theme="0" tint="-0.24991607409894101"/>
      </left>
      <right style="thin">
        <color auto="1"/>
      </right>
      <top style="hair">
        <color theme="0" tint="-0.24991607409894101"/>
      </top>
      <bottom style="thin">
        <color auto="1"/>
      </bottom>
      <diagonal/>
    </border>
    <border>
      <left style="thin">
        <color auto="1"/>
      </left>
      <right style="thin">
        <color theme="0"/>
      </right>
      <top style="thin">
        <color auto="1"/>
      </top>
      <bottom style="thin">
        <color auto="1"/>
      </bottom>
      <diagonal/>
    </border>
    <border>
      <left style="thin">
        <color theme="0"/>
      </left>
      <right style="thin">
        <color theme="0"/>
      </right>
      <top style="thin">
        <color auto="1"/>
      </top>
      <bottom style="thin">
        <color auto="1"/>
      </bottom>
      <diagonal/>
    </border>
    <border>
      <left style="thin">
        <color theme="0"/>
      </left>
      <right style="thin">
        <color auto="1"/>
      </right>
      <top style="thin">
        <color auto="1"/>
      </top>
      <bottom style="thin">
        <color auto="1"/>
      </bottom>
      <diagonal/>
    </border>
    <border>
      <left style="thin">
        <color auto="1"/>
      </left>
      <right style="thin">
        <color auto="1"/>
      </right>
      <top/>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theme="0" tint="-0.34995574816125979"/>
      </left>
      <right/>
      <top style="hair">
        <color theme="0" tint="-0.34995574816125979"/>
      </top>
      <bottom/>
      <diagonal/>
    </border>
    <border>
      <left/>
      <right/>
      <top style="hair">
        <color theme="0" tint="-0.34995574816125979"/>
      </top>
      <bottom/>
      <diagonal/>
    </border>
    <border>
      <left/>
      <right style="hair">
        <color theme="0" tint="-0.34995574816125979"/>
      </right>
      <top style="hair">
        <color theme="0" tint="-0.34995574816125979"/>
      </top>
      <bottom/>
      <diagonal/>
    </border>
    <border>
      <left style="hair">
        <color theme="0" tint="-0.34995574816125979"/>
      </left>
      <right/>
      <top/>
      <bottom/>
      <diagonal/>
    </border>
    <border>
      <left/>
      <right style="hair">
        <color theme="0" tint="-0.34995574816125979"/>
      </right>
      <top/>
      <bottom/>
      <diagonal/>
    </border>
    <border>
      <left style="hair">
        <color theme="0" tint="-0.34995574816125979"/>
      </left>
      <right/>
      <top/>
      <bottom style="hair">
        <color theme="0" tint="-0.34995574816125979"/>
      </bottom>
      <diagonal/>
    </border>
    <border>
      <left/>
      <right/>
      <top/>
      <bottom style="hair">
        <color theme="0" tint="-0.34995574816125979"/>
      </bottom>
      <diagonal/>
    </border>
    <border>
      <left/>
      <right style="hair">
        <color theme="0" tint="-0.34995574816125979"/>
      </right>
      <top/>
      <bottom style="hair">
        <color theme="0" tint="-0.34995574816125979"/>
      </bottom>
      <diagonal/>
    </border>
    <border>
      <left/>
      <right/>
      <top/>
      <bottom style="hair">
        <color theme="0" tint="-0.49995422223578601"/>
      </bottom>
      <diagonal/>
    </border>
    <border>
      <left/>
      <right style="thin">
        <color auto="1"/>
      </right>
      <top/>
      <bottom style="hair">
        <color theme="0" tint="-0.49995422223578601"/>
      </bottom>
      <diagonal/>
    </border>
    <border>
      <left style="dotted">
        <color theme="4"/>
      </left>
      <right/>
      <top style="dotted">
        <color theme="4"/>
      </top>
      <bottom style="dotted">
        <color theme="4"/>
      </bottom>
      <diagonal/>
    </border>
    <border>
      <left/>
      <right/>
      <top style="dotted">
        <color theme="4"/>
      </top>
      <bottom style="dotted">
        <color theme="4"/>
      </bottom>
      <diagonal/>
    </border>
    <border>
      <left/>
      <right style="dotted">
        <color theme="4"/>
      </right>
      <top style="dotted">
        <color theme="4"/>
      </top>
      <bottom style="dotted">
        <color theme="4"/>
      </bottom>
      <diagonal/>
    </border>
    <border>
      <left/>
      <right/>
      <top style="medium">
        <color rgb="FF66CCFF"/>
      </top>
      <bottom/>
      <diagonal/>
    </border>
    <border>
      <left style="dotted">
        <color theme="4"/>
      </left>
      <right/>
      <top style="dotted">
        <color theme="4"/>
      </top>
      <bottom/>
      <diagonal/>
    </border>
    <border>
      <left/>
      <right/>
      <top style="dotted">
        <color theme="4"/>
      </top>
      <bottom/>
      <diagonal/>
    </border>
    <border>
      <left/>
      <right style="dotted">
        <color theme="4"/>
      </right>
      <top style="dotted">
        <color theme="4"/>
      </top>
      <bottom/>
      <diagonal/>
    </border>
    <border>
      <left style="dotted">
        <color theme="4"/>
      </left>
      <right/>
      <top/>
      <bottom/>
      <diagonal/>
    </border>
    <border>
      <left/>
      <right style="dotted">
        <color theme="4"/>
      </right>
      <top/>
      <bottom/>
      <diagonal/>
    </border>
    <border>
      <left style="dotted">
        <color theme="4"/>
      </left>
      <right/>
      <top/>
      <bottom style="dotted">
        <color theme="4"/>
      </bottom>
      <diagonal/>
    </border>
    <border>
      <left/>
      <right/>
      <top/>
      <bottom style="dotted">
        <color theme="4"/>
      </bottom>
      <diagonal/>
    </border>
    <border>
      <left/>
      <right style="dotted">
        <color theme="4"/>
      </right>
      <top/>
      <bottom style="dotted">
        <color theme="4"/>
      </bottom>
      <diagonal/>
    </border>
    <border>
      <left style="dashed">
        <color auto="1"/>
      </left>
      <right/>
      <top style="dashed">
        <color auto="1"/>
      </top>
      <bottom style="dashed">
        <color auto="1"/>
      </bottom>
      <diagonal/>
    </border>
    <border>
      <left/>
      <right/>
      <top style="dashed">
        <color auto="1"/>
      </top>
      <bottom style="dashed">
        <color auto="1"/>
      </bottom>
      <diagonal/>
    </border>
    <border>
      <left/>
      <right style="dashed">
        <color auto="1"/>
      </right>
      <top style="dashed">
        <color auto="1"/>
      </top>
      <bottom style="dashed">
        <color auto="1"/>
      </bottom>
      <diagonal/>
    </border>
    <border>
      <left style="dashed">
        <color auto="1"/>
      </left>
      <right style="thin">
        <color auto="1"/>
      </right>
      <top style="dashed">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dashed">
        <color auto="1"/>
      </right>
      <top style="dashed">
        <color auto="1"/>
      </top>
      <bottom style="dashed">
        <color auto="1"/>
      </bottom>
      <diagonal/>
    </border>
    <border>
      <left style="dashed">
        <color auto="1"/>
      </left>
      <right/>
      <top style="hair">
        <color auto="1"/>
      </top>
      <bottom style="hair">
        <color auto="1"/>
      </bottom>
      <diagonal/>
    </border>
    <border>
      <left/>
      <right style="dashed">
        <color auto="1"/>
      </right>
      <top style="hair">
        <color auto="1"/>
      </top>
      <bottom style="hair">
        <color auto="1"/>
      </bottom>
      <diagonal/>
    </border>
    <border>
      <left style="dashed">
        <color auto="1"/>
      </left>
      <right/>
      <top style="dashed">
        <color auto="1"/>
      </top>
      <bottom/>
      <diagonal/>
    </border>
    <border>
      <left/>
      <right/>
      <top style="dashed">
        <color auto="1"/>
      </top>
      <bottom/>
      <diagonal/>
    </border>
    <border>
      <left/>
      <right style="dashed">
        <color auto="1"/>
      </right>
      <top style="dashed">
        <color auto="1"/>
      </top>
      <bottom/>
      <diagonal/>
    </border>
    <border>
      <left style="dashed">
        <color auto="1"/>
      </left>
      <right/>
      <top style="dashed">
        <color rgb="FF0070C0"/>
      </top>
      <bottom style="dashed">
        <color rgb="FF0070C0"/>
      </bottom>
      <diagonal/>
    </border>
    <border>
      <left/>
      <right/>
      <top style="dashed">
        <color rgb="FF0070C0"/>
      </top>
      <bottom style="dashed">
        <color rgb="FF0070C0"/>
      </bottom>
      <diagonal/>
    </border>
    <border>
      <left/>
      <right style="dashed">
        <color auto="1"/>
      </right>
      <top style="dashed">
        <color rgb="FF0070C0"/>
      </top>
      <bottom style="dashed">
        <color rgb="FF0070C0"/>
      </bottom>
      <diagonal/>
    </border>
    <border>
      <left style="dashed">
        <color auto="1"/>
      </left>
      <right/>
      <top/>
      <bottom/>
      <diagonal/>
    </border>
    <border>
      <left/>
      <right style="dashed">
        <color auto="1"/>
      </right>
      <top/>
      <bottom/>
      <diagonal/>
    </border>
    <border>
      <left style="dashed">
        <color auto="1"/>
      </left>
      <right/>
      <top style="dashed">
        <color rgb="FF0070C0"/>
      </top>
      <bottom style="dashed">
        <color auto="1"/>
      </bottom>
      <diagonal/>
    </border>
    <border>
      <left/>
      <right/>
      <top style="dashed">
        <color rgb="FF0070C0"/>
      </top>
      <bottom style="dashed">
        <color auto="1"/>
      </bottom>
      <diagonal/>
    </border>
    <border>
      <left/>
      <right style="dashed">
        <color auto="1"/>
      </right>
      <top style="dashed">
        <color rgb="FF0070C0"/>
      </top>
      <bottom style="dashed">
        <color auto="1"/>
      </bottom>
      <diagonal/>
    </border>
    <border>
      <left style="medium">
        <color rgb="FFC00000"/>
      </left>
      <right/>
      <top style="medium">
        <color rgb="FFC00000"/>
      </top>
      <bottom style="medium">
        <color rgb="FFC00000"/>
      </bottom>
      <diagonal/>
    </border>
    <border>
      <left/>
      <right style="medium">
        <color rgb="FFC00000"/>
      </right>
      <top style="medium">
        <color rgb="FFC00000"/>
      </top>
      <bottom style="medium">
        <color rgb="FFC00000"/>
      </bottom>
      <diagonal/>
    </border>
    <border>
      <left style="thin">
        <color auto="1"/>
      </left>
      <right/>
      <top style="hair">
        <color theme="0" tint="-0.49995422223578601"/>
      </top>
      <bottom style="hair">
        <color theme="0" tint="-0.49995422223578601"/>
      </bottom>
      <diagonal/>
    </border>
    <border>
      <left/>
      <right/>
      <top style="hair">
        <color theme="0" tint="-0.49995422223578601"/>
      </top>
      <bottom style="hair">
        <color theme="0" tint="-0.49995422223578601"/>
      </bottom>
      <diagonal/>
    </border>
    <border>
      <left/>
      <right style="thin">
        <color auto="1"/>
      </right>
      <top style="hair">
        <color theme="0" tint="-0.49995422223578601"/>
      </top>
      <bottom style="hair">
        <color theme="0" tint="-0.49995422223578601"/>
      </bottom>
      <diagonal/>
    </border>
    <border>
      <left style="thin">
        <color auto="1"/>
      </left>
      <right/>
      <top style="hair">
        <color theme="0" tint="-0.49995422223578601"/>
      </top>
      <bottom style="thin">
        <color auto="1"/>
      </bottom>
      <diagonal/>
    </border>
    <border>
      <left/>
      <right/>
      <top style="hair">
        <color theme="0" tint="-0.49995422223578601"/>
      </top>
      <bottom style="thin">
        <color auto="1"/>
      </bottom>
      <diagonal/>
    </border>
    <border>
      <left/>
      <right style="thin">
        <color auto="1"/>
      </right>
      <top style="hair">
        <color theme="0" tint="-0.49995422223578601"/>
      </top>
      <bottom style="thin">
        <color auto="1"/>
      </bottom>
      <diagonal/>
    </border>
    <border>
      <left style="thin">
        <color auto="1"/>
      </left>
      <right/>
      <top style="thin">
        <color auto="1"/>
      </top>
      <bottom style="hair">
        <color theme="0" tint="-0.49995422223578601"/>
      </bottom>
      <diagonal/>
    </border>
    <border>
      <left/>
      <right/>
      <top style="thin">
        <color auto="1"/>
      </top>
      <bottom style="hair">
        <color theme="0" tint="-0.49995422223578601"/>
      </bottom>
      <diagonal/>
    </border>
    <border>
      <left/>
      <right style="thin">
        <color auto="1"/>
      </right>
      <top style="thin">
        <color auto="1"/>
      </top>
      <bottom style="hair">
        <color theme="0" tint="-0.49995422223578601"/>
      </bottom>
      <diagonal/>
    </border>
    <border>
      <left/>
      <right style="thin">
        <color indexed="9"/>
      </right>
      <top/>
      <bottom/>
      <diagonal/>
    </border>
    <border>
      <left style="thin">
        <color auto="1"/>
      </left>
      <right style="thin">
        <color theme="0"/>
      </right>
      <top style="thin">
        <color theme="0"/>
      </top>
      <bottom style="thin">
        <color theme="0"/>
      </bottom>
      <diagonal/>
    </border>
    <border>
      <left style="thin">
        <color auto="1"/>
      </left>
      <right style="thin">
        <color theme="0"/>
      </right>
      <top style="thin">
        <color theme="0"/>
      </top>
      <bottom/>
      <diagonal/>
    </border>
    <border>
      <left style="thin">
        <color auto="1"/>
      </left>
      <right style="thin">
        <color theme="0"/>
      </right>
      <top style="thin">
        <color theme="0"/>
      </top>
      <bottom style="thin">
        <color auto="1"/>
      </bottom>
      <diagonal/>
    </border>
    <border>
      <left style="hair">
        <color theme="9"/>
      </left>
      <right style="hair">
        <color theme="9"/>
      </right>
      <top style="thin">
        <color auto="1"/>
      </top>
      <bottom style="hair">
        <color theme="9"/>
      </bottom>
      <diagonal/>
    </border>
    <border>
      <left/>
      <right style="hair">
        <color theme="9"/>
      </right>
      <top style="thin">
        <color auto="1"/>
      </top>
      <bottom style="thin">
        <color auto="1"/>
      </bottom>
      <diagonal/>
    </border>
    <border>
      <left style="thin">
        <color auto="1"/>
      </left>
      <right style="hair">
        <color theme="9"/>
      </right>
      <top style="thin">
        <color auto="1"/>
      </top>
      <bottom style="hair">
        <color theme="9"/>
      </bottom>
      <diagonal/>
    </border>
    <border>
      <left style="thin">
        <color auto="1"/>
      </left>
      <right style="hair">
        <color theme="9"/>
      </right>
      <top style="hair">
        <color theme="9"/>
      </top>
      <bottom style="thin">
        <color auto="1"/>
      </bottom>
      <diagonal/>
    </border>
    <border>
      <left style="hair">
        <color theme="9"/>
      </left>
      <right style="thin">
        <color auto="1"/>
      </right>
      <top style="thin">
        <color auto="1"/>
      </top>
      <bottom style="hair">
        <color theme="9"/>
      </bottom>
      <diagonal/>
    </border>
    <border>
      <left style="thin">
        <color auto="1"/>
      </left>
      <right style="hair">
        <color theme="0" tint="-0.24991607409894101"/>
      </right>
      <top style="hair">
        <color theme="0" tint="-0.24991607409894101"/>
      </top>
      <bottom style="thin">
        <color auto="1"/>
      </bottom>
      <diagonal/>
    </border>
    <border>
      <left style="hair">
        <color theme="0" tint="-0.24991607409894101"/>
      </left>
      <right style="hair">
        <color theme="0" tint="-0.24991607409894101"/>
      </right>
      <top style="hair">
        <color theme="0" tint="-0.24991607409894101"/>
      </top>
      <bottom style="thin">
        <color auto="1"/>
      </bottom>
      <diagonal/>
    </border>
    <border>
      <left style="thin">
        <color auto="1"/>
      </left>
      <right style="hair">
        <color theme="0" tint="-0.24991607409894101"/>
      </right>
      <top style="hair">
        <color theme="0" tint="-0.24991607409894101"/>
      </top>
      <bottom style="hair">
        <color theme="0" tint="-0.24991607409894101"/>
      </bottom>
      <diagonal/>
    </border>
    <border>
      <left style="hair">
        <color theme="0" tint="-0.24991607409894101"/>
      </left>
      <right style="hair">
        <color theme="0" tint="-0.24991607409894101"/>
      </right>
      <top style="hair">
        <color theme="0" tint="-0.24991607409894101"/>
      </top>
      <bottom style="hair">
        <color theme="0" tint="-0.24991607409894101"/>
      </bottom>
      <diagonal/>
    </border>
    <border>
      <left style="thin">
        <color auto="1"/>
      </left>
      <right style="hair">
        <color theme="0" tint="-0.24991607409894101"/>
      </right>
      <top style="thin">
        <color auto="1"/>
      </top>
      <bottom style="hair">
        <color theme="0" tint="-0.24991607409894101"/>
      </bottom>
      <diagonal/>
    </border>
    <border>
      <left style="hair">
        <color theme="0" tint="-0.24991607409894101"/>
      </left>
      <right style="hair">
        <color theme="0" tint="-0.24991607409894101"/>
      </right>
      <top style="thin">
        <color auto="1"/>
      </top>
      <bottom style="hair">
        <color theme="0" tint="-0.2499160740989410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hair">
        <color theme="0" tint="-0.49995422223578601"/>
      </left>
      <right/>
      <top style="hair">
        <color theme="0" tint="-0.49995422223578601"/>
      </top>
      <bottom style="hair">
        <color theme="0" tint="-0.49995422223578601"/>
      </bottom>
      <diagonal/>
    </border>
    <border>
      <left/>
      <right style="hair">
        <color theme="0" tint="-0.49995422223578601"/>
      </right>
      <top style="hair">
        <color theme="0" tint="-0.49995422223578601"/>
      </top>
      <bottom style="hair">
        <color theme="0" tint="-0.49995422223578601"/>
      </bottom>
      <diagonal/>
    </border>
    <border>
      <left style="medium">
        <color auto="1"/>
      </left>
      <right style="thin">
        <color auto="1"/>
      </right>
      <top style="medium">
        <color auto="1"/>
      </top>
      <bottom/>
      <diagonal/>
    </border>
    <border>
      <left style="thin">
        <color auto="1"/>
      </left>
      <right/>
      <top style="medium">
        <color auto="1"/>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thin">
        <color auto="1"/>
      </left>
      <right style="dashed">
        <color theme="0" tint="-0.34995574816125979"/>
      </right>
      <top style="dashed">
        <color theme="0" tint="-0.34995574816125979"/>
      </top>
      <bottom style="thin">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style="dotted">
        <color theme="0" tint="-0.49995422223578601"/>
      </right>
      <top/>
      <bottom style="dotted">
        <color theme="0" tint="-0.49995422223578601"/>
      </bottom>
      <diagonal/>
    </border>
    <border>
      <left style="thin">
        <color auto="1"/>
      </left>
      <right/>
      <top style="dashed">
        <color theme="0" tint="-0.49995422223578601"/>
      </top>
      <bottom style="thin">
        <color auto="1"/>
      </bottom>
      <diagonal/>
    </border>
    <border>
      <left/>
      <right/>
      <top style="dashed">
        <color theme="0" tint="-0.49995422223578601"/>
      </top>
      <bottom style="thin">
        <color auto="1"/>
      </bottom>
      <diagonal/>
    </border>
    <border>
      <left/>
      <right style="thin">
        <color auto="1"/>
      </right>
      <top style="dashed">
        <color theme="0" tint="-0.49995422223578601"/>
      </top>
      <bottom style="thin">
        <color auto="1"/>
      </bottom>
      <diagonal/>
    </border>
    <border>
      <left style="thin">
        <color auto="1"/>
      </left>
      <right/>
      <top style="thin">
        <color auto="1"/>
      </top>
      <bottom style="dashed">
        <color theme="0" tint="-0.49995422223578601"/>
      </bottom>
      <diagonal/>
    </border>
    <border>
      <left/>
      <right/>
      <top style="thin">
        <color auto="1"/>
      </top>
      <bottom style="dashed">
        <color theme="0" tint="-0.49995422223578601"/>
      </bottom>
      <diagonal/>
    </border>
    <border>
      <left/>
      <right style="thin">
        <color auto="1"/>
      </right>
      <top style="thin">
        <color auto="1"/>
      </top>
      <bottom style="dashed">
        <color theme="0" tint="-0.49995422223578601"/>
      </bottom>
      <diagonal/>
    </border>
    <border>
      <left style="thin">
        <color rgb="FF7F7F7F"/>
      </left>
      <right/>
      <top/>
      <bottom/>
      <diagonal/>
    </border>
  </borders>
  <cellStyleXfs count="34">
    <xf numFmtId="0" fontId="0" fillId="0" borderId="0"/>
    <xf numFmtId="9" fontId="230" fillId="0" borderId="0" applyFont="0" applyFill="0" applyBorder="0" applyAlignment="0" applyProtection="0"/>
    <xf numFmtId="164" fontId="230" fillId="0" borderId="0" applyFont="0" applyFill="0" applyBorder="0" applyAlignment="0" applyProtection="0"/>
    <xf numFmtId="43" fontId="230" fillId="0" borderId="0" applyFont="0" applyFill="0" applyBorder="0" applyAlignment="0" applyProtection="0"/>
    <xf numFmtId="0" fontId="4" fillId="2" borderId="1" applyNumberFormat="0" applyAlignment="0" applyProtection="0"/>
    <xf numFmtId="0" fontId="19" fillId="0" borderId="0" applyNumberFormat="0" applyFill="0" applyBorder="0" applyAlignment="0" applyProtection="0"/>
    <xf numFmtId="0" fontId="25" fillId="0" borderId="0"/>
    <xf numFmtId="0" fontId="38" fillId="3" borderId="0" applyNumberFormat="0" applyBorder="0" applyAlignment="0" applyProtection="0"/>
    <xf numFmtId="0" fontId="230" fillId="4" borderId="0" applyNumberFormat="0" applyBorder="0" applyAlignment="0" applyProtection="0"/>
    <xf numFmtId="0" fontId="2" fillId="0" borderId="0"/>
    <xf numFmtId="0" fontId="41" fillId="5" borderId="0" applyNumberFormat="0" applyBorder="0" applyAlignment="0" applyProtection="0"/>
    <xf numFmtId="0" fontId="42" fillId="0" borderId="0" applyNumberFormat="0" applyFill="0" applyBorder="0" applyAlignment="0" applyProtection="0"/>
    <xf numFmtId="0" fontId="43" fillId="0" borderId="0">
      <alignment vertical="center"/>
    </xf>
    <xf numFmtId="0" fontId="6" fillId="0" borderId="0">
      <alignment horizontal="left" vertical="center"/>
    </xf>
    <xf numFmtId="0" fontId="44" fillId="0" borderId="0"/>
    <xf numFmtId="0" fontId="45" fillId="0" borderId="0"/>
    <xf numFmtId="0" fontId="40" fillId="0" borderId="0">
      <alignment vertical="center"/>
    </xf>
    <xf numFmtId="0" fontId="1" fillId="0" borderId="0">
      <alignment horizontal="left" vertical="center"/>
    </xf>
    <xf numFmtId="0" fontId="5" fillId="0" borderId="0">
      <alignment horizontal="center" vertical="center"/>
    </xf>
    <xf numFmtId="0" fontId="2" fillId="0" borderId="0"/>
    <xf numFmtId="9" fontId="46" fillId="0" borderId="0" applyFont="0" applyFill="0" applyBorder="0" applyAlignment="0" applyProtection="0"/>
    <xf numFmtId="0" fontId="25" fillId="0" borderId="0"/>
    <xf numFmtId="0" fontId="49" fillId="0" borderId="0" applyNumberFormat="0" applyFill="0" applyBorder="0" applyAlignment="0" applyProtection="0"/>
    <xf numFmtId="0" fontId="146" fillId="0" borderId="0" applyNumberFormat="0" applyFill="0" applyBorder="0" applyProtection="0">
      <alignment vertical="top" wrapText="1"/>
    </xf>
    <xf numFmtId="0" fontId="25" fillId="0" borderId="0"/>
    <xf numFmtId="9" fontId="25" fillId="0" borderId="0" applyFont="0" applyFill="0" applyBorder="0" applyAlignment="0" applyProtection="0"/>
    <xf numFmtId="0" fontId="230" fillId="0" borderId="0"/>
    <xf numFmtId="0" fontId="146" fillId="0" borderId="0" applyNumberFormat="0" applyFill="0" applyBorder="0" applyProtection="0">
      <alignment vertical="top" wrapText="1"/>
    </xf>
    <xf numFmtId="0" fontId="25" fillId="0" borderId="0"/>
    <xf numFmtId="0" fontId="195" fillId="0" borderId="0" applyNumberFormat="0" applyFill="0" applyBorder="0" applyAlignment="0" applyProtection="0"/>
    <xf numFmtId="0" fontId="25" fillId="0" borderId="0"/>
    <xf numFmtId="0" fontId="25" fillId="0" borderId="0"/>
    <xf numFmtId="0" fontId="25" fillId="0" borderId="0"/>
    <xf numFmtId="0" fontId="2" fillId="0" borderId="0"/>
  </cellStyleXfs>
  <cellXfs count="2577">
    <xf numFmtId="0" fontId="0" fillId="0" borderId="0" xfId="0"/>
    <xf numFmtId="0" fontId="5" fillId="0" borderId="0" xfId="0" applyFont="1" applyAlignment="1">
      <alignment vertical="center"/>
    </xf>
    <xf numFmtId="0" fontId="6" fillId="0" borderId="0" xfId="0" applyFont="1"/>
    <xf numFmtId="0" fontId="7" fillId="0" borderId="0" xfId="0" applyFont="1" applyAlignment="1">
      <alignment vertical="center"/>
    </xf>
    <xf numFmtId="0" fontId="9" fillId="0" borderId="0" xfId="0" applyFont="1" applyAlignment="1">
      <alignment horizontal="left" vertical="top" wrapText="1"/>
    </xf>
    <xf numFmtId="0" fontId="8" fillId="6" borderId="2" xfId="0" applyFont="1" applyFill="1" applyBorder="1" applyAlignment="1" applyProtection="1">
      <alignment vertical="center" wrapText="1"/>
      <protection locked="0"/>
    </xf>
    <xf numFmtId="0" fontId="10" fillId="0" borderId="0" xfId="0" applyFont="1" applyAlignment="1">
      <alignment vertical="center"/>
    </xf>
    <xf numFmtId="0" fontId="1" fillId="0" borderId="0" xfId="0" applyFont="1" applyAlignment="1">
      <alignment vertical="center"/>
    </xf>
    <xf numFmtId="0" fontId="1" fillId="7" borderId="0" xfId="0" applyFont="1" applyFill="1" applyAlignment="1">
      <alignment vertical="center"/>
    </xf>
    <xf numFmtId="0" fontId="6" fillId="7" borderId="0" xfId="0" applyFont="1" applyFill="1"/>
    <xf numFmtId="0" fontId="1" fillId="0" borderId="0" xfId="0" applyFont="1" applyAlignment="1">
      <alignment horizontal="left"/>
    </xf>
    <xf numFmtId="0" fontId="11" fillId="0" borderId="0" xfId="0" applyFont="1" applyAlignment="1">
      <alignment vertical="center"/>
    </xf>
    <xf numFmtId="0" fontId="16" fillId="2" borderId="1" xfId="4" applyFont="1" applyAlignment="1" applyProtection="1">
      <alignment vertical="center" wrapText="1"/>
      <protection locked="0"/>
    </xf>
    <xf numFmtId="14" fontId="16" fillId="2" borderId="1" xfId="4" applyNumberFormat="1" applyFont="1" applyAlignment="1" applyProtection="1">
      <alignment horizontal="left" vertical="center" wrapText="1"/>
      <protection locked="0"/>
    </xf>
    <xf numFmtId="0" fontId="25" fillId="0" borderId="0" xfId="6"/>
    <xf numFmtId="0" fontId="25" fillId="0" borderId="0" xfId="6" applyAlignment="1">
      <alignment horizontal="center"/>
    </xf>
    <xf numFmtId="2" fontId="25" fillId="0" borderId="0" xfId="6" applyNumberFormat="1" applyAlignment="1">
      <alignment horizontal="center"/>
    </xf>
    <xf numFmtId="1" fontId="25" fillId="0" borderId="0" xfId="6" applyNumberFormat="1" applyAlignment="1">
      <alignment horizontal="center"/>
    </xf>
    <xf numFmtId="167" fontId="25" fillId="0" borderId="0" xfId="6" applyNumberFormat="1" applyAlignment="1">
      <alignment horizontal="center"/>
    </xf>
    <xf numFmtId="167" fontId="25" fillId="0" borderId="0" xfId="6" applyNumberFormat="1" applyAlignment="1" applyProtection="1">
      <alignment horizontal="center"/>
      <protection locked="0"/>
    </xf>
    <xf numFmtId="0" fontId="25" fillId="0" borderId="0" xfId="6" applyAlignment="1">
      <alignment horizontal="left"/>
    </xf>
    <xf numFmtId="0" fontId="25" fillId="8" borderId="0" xfId="6" applyFill="1"/>
    <xf numFmtId="0" fontId="25" fillId="7" borderId="0" xfId="6" applyFill="1"/>
    <xf numFmtId="1" fontId="25" fillId="9" borderId="0" xfId="6" applyNumberFormat="1" applyFill="1" applyAlignment="1">
      <alignment horizontal="center" vertical="center" textRotation="90"/>
    </xf>
    <xf numFmtId="0" fontId="14" fillId="0" borderId="0" xfId="6" applyFont="1" applyAlignment="1">
      <alignment horizontal="left"/>
    </xf>
    <xf numFmtId="1" fontId="25" fillId="9" borderId="3" xfId="6" applyNumberFormat="1" applyFill="1" applyBorder="1" applyAlignment="1">
      <alignment horizontal="center"/>
    </xf>
    <xf numFmtId="0" fontId="25" fillId="0" borderId="0" xfId="6" applyAlignment="1">
      <alignment vertical="center"/>
    </xf>
    <xf numFmtId="165" fontId="25" fillId="9" borderId="3" xfId="6" applyNumberFormat="1" applyFill="1" applyBorder="1" applyAlignment="1">
      <alignment horizontal="center" vertical="center"/>
    </xf>
    <xf numFmtId="165" fontId="25" fillId="0" borderId="0" xfId="6" applyNumberFormat="1" applyAlignment="1">
      <alignment horizontal="center" vertical="center"/>
    </xf>
    <xf numFmtId="1" fontId="25" fillId="0" borderId="0" xfId="6" applyNumberFormat="1" applyAlignment="1">
      <alignment horizontal="center" vertical="center"/>
    </xf>
    <xf numFmtId="0" fontId="25" fillId="0" borderId="0" xfId="6" applyAlignment="1">
      <alignment horizontal="center" vertical="center"/>
    </xf>
    <xf numFmtId="167" fontId="25" fillId="9" borderId="0" xfId="6" applyNumberFormat="1" applyFill="1" applyAlignment="1">
      <alignment horizontal="center" vertical="center"/>
    </xf>
    <xf numFmtId="167" fontId="25" fillId="9" borderId="3" xfId="6" applyNumberFormat="1" applyFill="1" applyBorder="1" applyAlignment="1">
      <alignment horizontal="center" vertical="center"/>
    </xf>
    <xf numFmtId="0" fontId="26" fillId="10" borderId="0" xfId="6" applyFont="1" applyFill="1"/>
    <xf numFmtId="0" fontId="26" fillId="0" borderId="0" xfId="6" applyFont="1"/>
    <xf numFmtId="0" fontId="25" fillId="0" borderId="3" xfId="6" applyBorder="1" applyAlignment="1">
      <alignment horizontal="center"/>
    </xf>
    <xf numFmtId="0" fontId="25" fillId="11" borderId="3" xfId="6" applyFill="1" applyBorder="1" applyAlignment="1">
      <alignment horizontal="center"/>
    </xf>
    <xf numFmtId="167" fontId="25" fillId="11" borderId="3" xfId="6" applyNumberFormat="1" applyFill="1" applyBorder="1" applyAlignment="1">
      <alignment horizontal="center"/>
    </xf>
    <xf numFmtId="167" fontId="25" fillId="0" borderId="3" xfId="6" applyNumberFormat="1" applyBorder="1" applyAlignment="1">
      <alignment horizontal="center"/>
    </xf>
    <xf numFmtId="168" fontId="25" fillId="0" borderId="0" xfId="6" applyNumberFormat="1" applyAlignment="1">
      <alignment vertical="center"/>
    </xf>
    <xf numFmtId="168" fontId="25" fillId="10" borderId="0" xfId="6" applyNumberFormat="1" applyFill="1" applyAlignment="1">
      <alignment vertical="center" textRotation="90"/>
    </xf>
    <xf numFmtId="168" fontId="25" fillId="0" borderId="0" xfId="6" applyNumberFormat="1" applyAlignment="1">
      <alignment vertical="center" textRotation="90"/>
    </xf>
    <xf numFmtId="168" fontId="25" fillId="0" borderId="0" xfId="6" applyNumberFormat="1" applyAlignment="1">
      <alignment horizontal="center" vertical="center" wrapText="1"/>
    </xf>
    <xf numFmtId="168" fontId="25" fillId="0" borderId="0" xfId="6" applyNumberFormat="1" applyAlignment="1">
      <alignment vertical="center" textRotation="90" wrapText="1"/>
    </xf>
    <xf numFmtId="168" fontId="25" fillId="0" borderId="0" xfId="6" applyNumberFormat="1" applyAlignment="1">
      <alignment horizontal="center" vertical="center"/>
    </xf>
    <xf numFmtId="0" fontId="25" fillId="11" borderId="0" xfId="6" applyFill="1" applyAlignment="1">
      <alignment horizontal="left"/>
    </xf>
    <xf numFmtId="0" fontId="14" fillId="0" borderId="0" xfId="6" applyFont="1" applyAlignment="1">
      <alignment horizontal="center"/>
    </xf>
    <xf numFmtId="1" fontId="25" fillId="0" borderId="0" xfId="6" applyNumberFormat="1" applyAlignment="1">
      <alignment horizontal="left"/>
    </xf>
    <xf numFmtId="167" fontId="25" fillId="11" borderId="0" xfId="6" applyNumberFormat="1" applyFill="1" applyAlignment="1">
      <alignment horizontal="center" wrapText="1"/>
    </xf>
    <xf numFmtId="167" fontId="25" fillId="11" borderId="3" xfId="6" applyNumberFormat="1" applyFill="1" applyBorder="1" applyAlignment="1">
      <alignment horizontal="center" wrapText="1"/>
    </xf>
    <xf numFmtId="167" fontId="14" fillId="0" borderId="0" xfId="6" applyNumberFormat="1" applyFont="1" applyAlignment="1">
      <alignment horizontal="left"/>
    </xf>
    <xf numFmtId="0" fontId="17" fillId="0" borderId="0" xfId="6" applyFont="1"/>
    <xf numFmtId="0" fontId="6" fillId="12" borderId="3" xfId="0" applyFont="1" applyFill="1" applyBorder="1" applyAlignment="1" applyProtection="1">
      <alignment wrapText="1"/>
      <protection locked="0"/>
    </xf>
    <xf numFmtId="0" fontId="6" fillId="13" borderId="3" xfId="0" applyFont="1" applyFill="1" applyBorder="1"/>
    <xf numFmtId="0" fontId="6" fillId="13" borderId="4" xfId="0" applyFont="1" applyFill="1" applyBorder="1" applyAlignment="1">
      <alignment vertical="top"/>
    </xf>
    <xf numFmtId="167" fontId="6" fillId="13" borderId="3" xfId="0" applyNumberFormat="1" applyFont="1" applyFill="1" applyBorder="1"/>
    <xf numFmtId="0" fontId="6" fillId="13" borderId="3" xfId="0" quotePrefix="1" applyFont="1" applyFill="1" applyBorder="1"/>
    <xf numFmtId="0" fontId="28" fillId="12" borderId="3" xfId="0" applyFont="1" applyFill="1" applyBorder="1" applyAlignment="1" applyProtection="1">
      <alignment horizontal="center"/>
      <protection locked="0"/>
    </xf>
    <xf numFmtId="0" fontId="6" fillId="12" borderId="3" xfId="0" applyFont="1" applyFill="1" applyBorder="1" applyAlignment="1" applyProtection="1">
      <alignment horizontal="left"/>
      <protection locked="0"/>
    </xf>
    <xf numFmtId="0" fontId="6" fillId="12" borderId="3" xfId="0" applyFont="1" applyFill="1" applyBorder="1" applyAlignment="1" applyProtection="1">
      <alignment horizontal="left" wrapText="1"/>
      <protection locked="0"/>
    </xf>
    <xf numFmtId="0" fontId="6" fillId="12" borderId="3" xfId="0" applyFont="1" applyFill="1" applyBorder="1" applyProtection="1">
      <protection locked="0"/>
    </xf>
    <xf numFmtId="0" fontId="10" fillId="14" borderId="5" xfId="0" applyFont="1" applyFill="1" applyBorder="1" applyAlignment="1">
      <alignment horizontal="left" vertical="center"/>
    </xf>
    <xf numFmtId="0" fontId="10" fillId="14" borderId="6" xfId="0" applyFont="1" applyFill="1" applyBorder="1" applyAlignment="1">
      <alignment horizontal="left" vertical="center"/>
    </xf>
    <xf numFmtId="0" fontId="10" fillId="14" borderId="4" xfId="0" applyFont="1" applyFill="1" applyBorder="1" applyAlignment="1">
      <alignment horizontal="left" vertical="center"/>
    </xf>
    <xf numFmtId="0" fontId="6" fillId="15" borderId="0" xfId="0" applyFont="1" applyFill="1"/>
    <xf numFmtId="0" fontId="6" fillId="15" borderId="0" xfId="0" applyFont="1" applyFill="1" applyAlignment="1">
      <alignment horizontal="left"/>
    </xf>
    <xf numFmtId="0" fontId="15" fillId="15" borderId="0" xfId="0" applyFont="1" applyFill="1"/>
    <xf numFmtId="0" fontId="37" fillId="15" borderId="7" xfId="0" applyFont="1" applyFill="1" applyBorder="1" applyAlignment="1">
      <alignment vertical="center" wrapText="1"/>
    </xf>
    <xf numFmtId="0" fontId="6" fillId="15" borderId="3" xfId="0" applyFont="1" applyFill="1" applyBorder="1" applyAlignment="1">
      <alignment vertical="center"/>
    </xf>
    <xf numFmtId="0" fontId="36" fillId="15" borderId="3" xfId="0" applyFont="1" applyFill="1" applyBorder="1" applyAlignment="1">
      <alignment vertical="center" wrapText="1"/>
    </xf>
    <xf numFmtId="0" fontId="17" fillId="15" borderId="0" xfId="6" applyFont="1" applyFill="1"/>
    <xf numFmtId="0" fontId="6" fillId="15" borderId="0" xfId="0" applyFont="1" applyFill="1" applyAlignment="1">
      <alignment horizontal="center" vertical="top"/>
    </xf>
    <xf numFmtId="0" fontId="6" fillId="15" borderId="0" xfId="0" applyFont="1" applyFill="1" applyAlignment="1">
      <alignment vertical="top"/>
    </xf>
    <xf numFmtId="0" fontId="6" fillId="15" borderId="0" xfId="0" applyFont="1" applyFill="1" applyAlignment="1">
      <alignment horizontal="center"/>
    </xf>
    <xf numFmtId="0" fontId="0" fillId="16" borderId="0" xfId="0" applyFill="1"/>
    <xf numFmtId="14" fontId="0" fillId="16" borderId="0" xfId="0" applyNumberFormat="1" applyFill="1"/>
    <xf numFmtId="0" fontId="0" fillId="17" borderId="0" xfId="0" applyFill="1"/>
    <xf numFmtId="0" fontId="38" fillId="3" borderId="0" xfId="7"/>
    <xf numFmtId="0" fontId="6" fillId="15" borderId="3" xfId="0" applyFont="1" applyFill="1" applyBorder="1" applyAlignment="1">
      <alignment horizontal="center" wrapText="1"/>
    </xf>
    <xf numFmtId="0" fontId="6" fillId="15" borderId="0" xfId="0" applyFont="1" applyFill="1" applyAlignment="1">
      <alignment wrapText="1"/>
    </xf>
    <xf numFmtId="0" fontId="15" fillId="15" borderId="0" xfId="0" applyFont="1" applyFill="1" applyAlignment="1">
      <alignment wrapText="1"/>
    </xf>
    <xf numFmtId="0" fontId="25" fillId="15" borderId="0" xfId="6" applyFill="1"/>
    <xf numFmtId="0" fontId="25" fillId="15" borderId="0" xfId="6" quotePrefix="1" applyFill="1" applyAlignment="1">
      <alignment horizontal="center"/>
    </xf>
    <xf numFmtId="0" fontId="25" fillId="15" borderId="0" xfId="0" applyFont="1" applyFill="1"/>
    <xf numFmtId="0" fontId="17" fillId="15" borderId="0" xfId="0" applyFont="1" applyFill="1" applyAlignment="1">
      <alignment horizontal="left" vertical="top"/>
    </xf>
    <xf numFmtId="14" fontId="27" fillId="15" borderId="0" xfId="6" applyNumberFormat="1" applyFont="1" applyFill="1"/>
    <xf numFmtId="168" fontId="25" fillId="15" borderId="0" xfId="6" applyNumberFormat="1" applyFill="1" applyAlignment="1">
      <alignment vertical="center"/>
    </xf>
    <xf numFmtId="0" fontId="25" fillId="15" borderId="0" xfId="6" applyFill="1" applyAlignment="1">
      <alignment vertical="center"/>
    </xf>
    <xf numFmtId="0" fontId="6" fillId="15" borderId="3" xfId="0" applyFont="1" applyFill="1" applyBorder="1"/>
    <xf numFmtId="0" fontId="0" fillId="15" borderId="0" xfId="0" applyFill="1"/>
    <xf numFmtId="0" fontId="47" fillId="15" borderId="8" xfId="21" applyFont="1" applyFill="1" applyBorder="1"/>
    <xf numFmtId="0" fontId="47" fillId="15" borderId="8" xfId="21" applyFont="1" applyFill="1" applyBorder="1" applyAlignment="1">
      <alignment wrapText="1"/>
    </xf>
    <xf numFmtId="0" fontId="25" fillId="15" borderId="7" xfId="21" applyFill="1" applyBorder="1"/>
    <xf numFmtId="0" fontId="25" fillId="15" borderId="0" xfId="21" applyFill="1"/>
    <xf numFmtId="14" fontId="25" fillId="15" borderId="0" xfId="21" applyNumberFormat="1" applyFill="1"/>
    <xf numFmtId="14" fontId="25" fillId="15" borderId="7" xfId="21" applyNumberFormat="1" applyFill="1" applyBorder="1"/>
    <xf numFmtId="0" fontId="25" fillId="15" borderId="0" xfId="21" applyFill="1" applyAlignment="1">
      <alignment vertical="top"/>
    </xf>
    <xf numFmtId="14" fontId="25" fillId="15" borderId="0" xfId="21" applyNumberFormat="1" applyFill="1" applyAlignment="1">
      <alignment vertical="top"/>
    </xf>
    <xf numFmtId="0" fontId="25" fillId="15" borderId="0" xfId="21" applyFill="1" applyAlignment="1">
      <alignment vertical="top" wrapText="1"/>
    </xf>
    <xf numFmtId="0" fontId="25" fillId="15" borderId="7" xfId="21" applyFill="1" applyBorder="1" applyAlignment="1">
      <alignment vertical="top"/>
    </xf>
    <xf numFmtId="14" fontId="25" fillId="15" borderId="7" xfId="21" applyNumberFormat="1" applyFill="1" applyBorder="1" applyAlignment="1">
      <alignment vertical="top"/>
    </xf>
    <xf numFmtId="0" fontId="25" fillId="15" borderId="7" xfId="21" applyFill="1" applyBorder="1" applyAlignment="1">
      <alignment vertical="top" wrapText="1"/>
    </xf>
    <xf numFmtId="2" fontId="11" fillId="0" borderId="7" xfId="6" applyNumberFormat="1" applyFont="1" applyBorder="1" applyAlignment="1">
      <alignment horizontal="center"/>
    </xf>
    <xf numFmtId="0" fontId="6" fillId="18" borderId="3" xfId="0" applyFont="1" applyFill="1" applyBorder="1" applyAlignment="1">
      <alignment wrapText="1"/>
    </xf>
    <xf numFmtId="0" fontId="6" fillId="18" borderId="9" xfId="0" applyFont="1" applyFill="1" applyBorder="1" applyAlignment="1">
      <alignment wrapText="1"/>
    </xf>
    <xf numFmtId="0" fontId="22" fillId="15" borderId="0" xfId="0" applyFont="1" applyFill="1" applyAlignment="1">
      <alignment wrapText="1"/>
    </xf>
    <xf numFmtId="0" fontId="1" fillId="15" borderId="0" xfId="0" applyFont="1" applyFill="1"/>
    <xf numFmtId="0" fontId="22" fillId="15" borderId="10" xfId="0" applyFont="1" applyFill="1" applyBorder="1" applyAlignment="1">
      <alignment wrapText="1"/>
    </xf>
    <xf numFmtId="0" fontId="6" fillId="15" borderId="0" xfId="0" applyFont="1" applyFill="1" applyAlignment="1">
      <alignment horizontal="right" wrapText="1"/>
    </xf>
    <xf numFmtId="0" fontId="15" fillId="15" borderId="0" xfId="0" applyFont="1" applyFill="1" applyAlignment="1">
      <alignment horizontal="right" wrapText="1"/>
    </xf>
    <xf numFmtId="166" fontId="6" fillId="15" borderId="3" xfId="0" applyNumberFormat="1" applyFont="1" applyFill="1" applyBorder="1" applyAlignment="1">
      <alignment horizontal="center" wrapText="1"/>
    </xf>
    <xf numFmtId="0" fontId="6" fillId="15" borderId="0" xfId="0" applyFont="1" applyFill="1" applyAlignment="1">
      <alignment horizontal="center" wrapText="1"/>
    </xf>
    <xf numFmtId="0" fontId="6" fillId="15" borderId="0" xfId="0" applyFont="1" applyFill="1" applyAlignment="1">
      <alignment horizontal="center" vertical="center" wrapText="1"/>
    </xf>
    <xf numFmtId="0" fontId="20" fillId="19" borderId="11" xfId="5" applyFont="1" applyFill="1" applyBorder="1" applyAlignment="1" applyProtection="1">
      <alignment horizontal="center" wrapText="1"/>
    </xf>
    <xf numFmtId="166" fontId="6" fillId="18" borderId="3" xfId="0" applyNumberFormat="1" applyFont="1" applyFill="1" applyBorder="1" applyAlignment="1">
      <alignment horizontal="center" wrapText="1"/>
    </xf>
    <xf numFmtId="0" fontId="6" fillId="18" borderId="12" xfId="0" applyFont="1" applyFill="1" applyBorder="1" applyAlignment="1">
      <alignment horizontal="center" wrapText="1"/>
    </xf>
    <xf numFmtId="0" fontId="6" fillId="18" borderId="11" xfId="0" applyFont="1" applyFill="1" applyBorder="1" applyAlignment="1">
      <alignment horizontal="center" wrapText="1"/>
    </xf>
    <xf numFmtId="1" fontId="6" fillId="0" borderId="13" xfId="0" applyNumberFormat="1" applyFont="1" applyBorder="1" applyAlignment="1">
      <alignment horizontal="center" wrapText="1"/>
    </xf>
    <xf numFmtId="165" fontId="6" fillId="0" borderId="12" xfId="0" applyNumberFormat="1" applyFont="1" applyBorder="1" applyAlignment="1">
      <alignment horizontal="center" wrapText="1"/>
    </xf>
    <xf numFmtId="0" fontId="6" fillId="18" borderId="13" xfId="0" applyFont="1" applyFill="1" applyBorder="1" applyAlignment="1">
      <alignment horizontal="center" wrapText="1"/>
    </xf>
    <xf numFmtId="0" fontId="6" fillId="0" borderId="0" xfId="0" applyFont="1" applyAlignment="1">
      <alignment wrapText="1"/>
    </xf>
    <xf numFmtId="0" fontId="20" fillId="19" borderId="14" xfId="5" applyFont="1" applyFill="1" applyBorder="1" applyAlignment="1" applyProtection="1">
      <alignment horizontal="center" wrapText="1"/>
    </xf>
    <xf numFmtId="0" fontId="6" fillId="18" borderId="15" xfId="0" applyFont="1" applyFill="1" applyBorder="1" applyAlignment="1">
      <alignment horizontal="center" wrapText="1"/>
    </xf>
    <xf numFmtId="166" fontId="6" fillId="18" borderId="9" xfId="0" applyNumberFormat="1" applyFont="1" applyFill="1" applyBorder="1" applyAlignment="1">
      <alignment horizontal="center" wrapText="1"/>
    </xf>
    <xf numFmtId="166" fontId="6" fillId="18" borderId="16" xfId="0" applyNumberFormat="1" applyFont="1" applyFill="1" applyBorder="1" applyAlignment="1">
      <alignment horizontal="center" wrapText="1"/>
    </xf>
    <xf numFmtId="0" fontId="6" fillId="18" borderId="17" xfId="0" applyFont="1" applyFill="1" applyBorder="1" applyAlignment="1">
      <alignment horizontal="center" wrapText="1"/>
    </xf>
    <xf numFmtId="0" fontId="6" fillId="18" borderId="14" xfId="0" applyFont="1" applyFill="1" applyBorder="1" applyAlignment="1">
      <alignment horizontal="center" wrapText="1"/>
    </xf>
    <xf numFmtId="1" fontId="6" fillId="0" borderId="15" xfId="0" applyNumberFormat="1" applyFont="1" applyBorder="1" applyAlignment="1">
      <alignment horizontal="center" wrapText="1"/>
    </xf>
    <xf numFmtId="165" fontId="6" fillId="0" borderId="17" xfId="0" applyNumberFormat="1" applyFont="1" applyBorder="1" applyAlignment="1">
      <alignment horizontal="center" wrapText="1"/>
    </xf>
    <xf numFmtId="1" fontId="6" fillId="15" borderId="0" xfId="0" applyNumberFormat="1" applyFont="1" applyFill="1" applyAlignment="1">
      <alignment horizontal="center" wrapText="1"/>
    </xf>
    <xf numFmtId="165" fontId="6" fillId="15" borderId="0" xfId="0" applyNumberFormat="1" applyFont="1" applyFill="1" applyAlignment="1">
      <alignment wrapText="1"/>
    </xf>
    <xf numFmtId="0" fontId="17" fillId="15" borderId="0" xfId="0" applyFont="1" applyFill="1" applyAlignment="1">
      <alignment horizontal="justify"/>
    </xf>
    <xf numFmtId="0" fontId="6" fillId="15" borderId="0" xfId="0" quotePrefix="1" applyFont="1" applyFill="1" applyAlignment="1">
      <alignment wrapText="1"/>
    </xf>
    <xf numFmtId="14" fontId="6" fillId="15" borderId="0" xfId="0" applyNumberFormat="1" applyFont="1" applyFill="1" applyAlignment="1">
      <alignment wrapText="1"/>
    </xf>
    <xf numFmtId="14" fontId="6" fillId="15" borderId="0" xfId="0" applyNumberFormat="1" applyFont="1" applyFill="1" applyAlignment="1">
      <alignment horizontal="center" wrapText="1"/>
    </xf>
    <xf numFmtId="0" fontId="51" fillId="15" borderId="18" xfId="0" applyFont="1" applyFill="1" applyBorder="1" applyAlignment="1">
      <alignment horizontal="center"/>
    </xf>
    <xf numFmtId="0" fontId="51" fillId="20" borderId="18" xfId="0" applyFont="1" applyFill="1" applyBorder="1" applyAlignment="1">
      <alignment horizontal="center"/>
    </xf>
    <xf numFmtId="0" fontId="0" fillId="0" borderId="0" xfId="0" applyAlignment="1" applyProtection="1">
      <alignment horizontal="center"/>
      <protection locked="0"/>
    </xf>
    <xf numFmtId="0" fontId="0" fillId="21" borderId="0" xfId="0" applyFill="1" applyAlignment="1">
      <alignment horizontal="center"/>
    </xf>
    <xf numFmtId="14" fontId="0" fillId="0" borderId="0" xfId="0" applyNumberFormat="1" applyAlignment="1" applyProtection="1">
      <alignment horizontal="center"/>
      <protection locked="0"/>
    </xf>
    <xf numFmtId="0" fontId="0" fillId="0" borderId="0" xfId="0" applyProtection="1">
      <protection locked="0"/>
    </xf>
    <xf numFmtId="0" fontId="0" fillId="0" borderId="0" xfId="0" applyAlignment="1" applyProtection="1">
      <alignment horizontal="left"/>
      <protection locked="0"/>
    </xf>
    <xf numFmtId="0" fontId="0" fillId="0" borderId="0" xfId="0" applyAlignment="1">
      <alignment horizontal="center"/>
    </xf>
    <xf numFmtId="0" fontId="50" fillId="22" borderId="19" xfId="0" applyFont="1" applyFill="1" applyBorder="1"/>
    <xf numFmtId="0" fontId="56" fillId="15" borderId="0" xfId="0" applyFont="1" applyFill="1"/>
    <xf numFmtId="0" fontId="51" fillId="0" borderId="0" xfId="0" applyFont="1" applyAlignment="1" applyProtection="1">
      <alignment horizontal="center"/>
      <protection locked="0"/>
    </xf>
    <xf numFmtId="14" fontId="51" fillId="0" borderId="0" xfId="0" applyNumberFormat="1" applyFont="1" applyAlignment="1" applyProtection="1">
      <alignment horizontal="center"/>
      <protection locked="0"/>
    </xf>
    <xf numFmtId="0" fontId="51" fillId="0" borderId="0" xfId="0" applyFont="1" applyAlignment="1" applyProtection="1">
      <alignment horizontal="left"/>
      <protection locked="0"/>
    </xf>
    <xf numFmtId="0" fontId="49" fillId="15" borderId="0" xfId="22" applyFill="1" applyAlignment="1">
      <alignment horizontal="center"/>
    </xf>
    <xf numFmtId="0" fontId="51" fillId="15" borderId="0" xfId="0" applyFont="1" applyFill="1" applyAlignment="1">
      <alignment horizontal="center"/>
    </xf>
    <xf numFmtId="0" fontId="51" fillId="0" borderId="19" xfId="0" applyFont="1" applyBorder="1" applyAlignment="1" applyProtection="1">
      <alignment horizontal="center"/>
      <protection locked="0"/>
    </xf>
    <xf numFmtId="14" fontId="51" fillId="0" borderId="19" xfId="0" applyNumberFormat="1" applyFont="1" applyBorder="1" applyAlignment="1" applyProtection="1">
      <alignment horizontal="center"/>
      <protection locked="0"/>
    </xf>
    <xf numFmtId="0" fontId="48" fillId="15" borderId="0" xfId="0" applyFont="1" applyFill="1"/>
    <xf numFmtId="165" fontId="0" fillId="16" borderId="16" xfId="0" applyNumberFormat="1" applyFill="1" applyBorder="1" applyAlignment="1">
      <alignment horizontal="center" vertical="center"/>
    </xf>
    <xf numFmtId="0" fontId="57" fillId="23" borderId="20" xfId="0" applyFont="1" applyFill="1" applyBorder="1" applyAlignment="1">
      <alignment horizontal="center" vertical="center"/>
    </xf>
    <xf numFmtId="0" fontId="1" fillId="15" borderId="0" xfId="0" applyFont="1" applyFill="1" applyAlignment="1">
      <alignment vertical="center" wrapText="1"/>
    </xf>
    <xf numFmtId="0" fontId="6" fillId="15" borderId="7" xfId="0" applyFont="1" applyFill="1" applyBorder="1"/>
    <xf numFmtId="0" fontId="61" fillId="15" borderId="0" xfId="0" applyFont="1" applyFill="1" applyAlignment="1">
      <alignment vertical="center"/>
    </xf>
    <xf numFmtId="0" fontId="6" fillId="6" borderId="3" xfId="0" applyFont="1" applyFill="1" applyBorder="1" applyAlignment="1">
      <alignment horizontal="center"/>
    </xf>
    <xf numFmtId="2" fontId="6" fillId="6" borderId="3" xfId="0" applyNumberFormat="1" applyFont="1" applyFill="1" applyBorder="1" applyAlignment="1">
      <alignment horizontal="center"/>
    </xf>
    <xf numFmtId="0" fontId="5" fillId="15" borderId="0" xfId="0" applyFont="1" applyFill="1" applyAlignment="1">
      <alignment vertical="center"/>
    </xf>
    <xf numFmtId="0" fontId="6" fillId="15" borderId="3" xfId="0" applyFont="1" applyFill="1" applyBorder="1" applyAlignment="1">
      <alignment wrapText="1"/>
    </xf>
    <xf numFmtId="0" fontId="5" fillId="15" borderId="16" xfId="0" applyFont="1" applyFill="1" applyBorder="1" applyAlignment="1">
      <alignment horizontal="center" vertical="center"/>
    </xf>
    <xf numFmtId="0" fontId="5" fillId="15" borderId="21" xfId="0" applyFont="1" applyFill="1" applyBorder="1" applyAlignment="1">
      <alignment horizontal="center" vertical="center"/>
    </xf>
    <xf numFmtId="0" fontId="60" fillId="15" borderId="0" xfId="0" applyFont="1" applyFill="1" applyAlignment="1">
      <alignment vertical="center" wrapText="1"/>
    </xf>
    <xf numFmtId="0" fontId="1" fillId="15" borderId="22" xfId="0" applyFont="1" applyFill="1" applyBorder="1" applyAlignment="1">
      <alignment vertical="center" wrapText="1"/>
    </xf>
    <xf numFmtId="0" fontId="60" fillId="15" borderId="22" xfId="0" applyFont="1" applyFill="1" applyBorder="1" applyAlignment="1">
      <alignment vertical="center" wrapText="1"/>
    </xf>
    <xf numFmtId="14" fontId="0" fillId="0" borderId="0" xfId="0" applyNumberFormat="1"/>
    <xf numFmtId="0" fontId="0" fillId="0" borderId="0" xfId="0" applyAlignment="1">
      <alignment horizontal="right"/>
    </xf>
    <xf numFmtId="0" fontId="63" fillId="20" borderId="0" xfId="0" applyFont="1" applyFill="1" applyAlignment="1">
      <alignment horizontal="left" vertical="top"/>
    </xf>
    <xf numFmtId="0" fontId="25" fillId="15" borderId="0" xfId="21" applyFill="1" applyAlignment="1">
      <alignment horizontal="right" vertical="top"/>
    </xf>
    <xf numFmtId="0" fontId="25" fillId="15" borderId="7" xfId="21" applyFill="1" applyBorder="1" applyAlignment="1">
      <alignment horizontal="right" vertical="top"/>
    </xf>
    <xf numFmtId="0" fontId="64" fillId="15" borderId="0" xfId="0" applyFont="1" applyFill="1"/>
    <xf numFmtId="0" fontId="64" fillId="15" borderId="0" xfId="0" applyFont="1" applyFill="1" applyAlignment="1">
      <alignment horizontal="center"/>
    </xf>
    <xf numFmtId="0" fontId="66" fillId="15" borderId="0" xfId="0" applyFont="1" applyFill="1" applyAlignment="1">
      <alignment horizontal="right"/>
    </xf>
    <xf numFmtId="0" fontId="76" fillId="15" borderId="0" xfId="0" applyFont="1" applyFill="1"/>
    <xf numFmtId="0" fontId="76" fillId="15" borderId="0" xfId="0" applyFont="1" applyFill="1" applyAlignment="1">
      <alignment horizontal="center"/>
    </xf>
    <xf numFmtId="14" fontId="75" fillId="15" borderId="0" xfId="0" applyNumberFormat="1" applyFont="1" applyFill="1" applyAlignment="1">
      <alignment horizontal="left"/>
    </xf>
    <xf numFmtId="0" fontId="64" fillId="15" borderId="0" xfId="0" applyFont="1" applyFill="1" applyAlignment="1">
      <alignment horizontal="left" indent="1"/>
    </xf>
    <xf numFmtId="14" fontId="75" fillId="15" borderId="0" xfId="0" applyNumberFormat="1" applyFont="1" applyFill="1" applyAlignment="1">
      <alignment horizontal="left" indent="1"/>
    </xf>
    <xf numFmtId="0" fontId="64" fillId="15" borderId="0" xfId="0" applyFont="1" applyFill="1" applyAlignment="1">
      <alignment horizontal="left" indent="2"/>
    </xf>
    <xf numFmtId="0" fontId="73" fillId="15" borderId="3" xfId="0" applyFont="1" applyFill="1" applyBorder="1" applyAlignment="1">
      <alignment horizontal="left" indent="1"/>
    </xf>
    <xf numFmtId="0" fontId="64" fillId="15" borderId="4" xfId="0" applyFont="1" applyFill="1" applyBorder="1" applyAlignment="1">
      <alignment horizontal="left"/>
    </xf>
    <xf numFmtId="0" fontId="64" fillId="15" borderId="5" xfId="0" applyFont="1" applyFill="1" applyBorder="1" applyAlignment="1">
      <alignment horizontal="center"/>
    </xf>
    <xf numFmtId="0" fontId="64" fillId="15" borderId="21" xfId="0" applyFont="1" applyFill="1" applyBorder="1" applyAlignment="1">
      <alignment horizontal="left"/>
    </xf>
    <xf numFmtId="0" fontId="64" fillId="15" borderId="23" xfId="0" applyFont="1" applyFill="1" applyBorder="1" applyAlignment="1">
      <alignment horizontal="center"/>
    </xf>
    <xf numFmtId="0" fontId="64" fillId="15" borderId="3" xfId="0" applyFont="1" applyFill="1" applyBorder="1"/>
    <xf numFmtId="0" fontId="47" fillId="15" borderId="8" xfId="21" applyFont="1" applyFill="1" applyBorder="1" applyAlignment="1">
      <alignment horizontal="right"/>
    </xf>
    <xf numFmtId="0" fontId="25" fillId="15" borderId="0" xfId="21" applyFill="1" applyAlignment="1">
      <alignment horizontal="right"/>
    </xf>
    <xf numFmtId="0" fontId="25" fillId="15" borderId="7" xfId="21" applyFill="1" applyBorder="1" applyAlignment="1">
      <alignment horizontal="right"/>
    </xf>
    <xf numFmtId="0" fontId="72" fillId="15" borderId="0" xfId="9" applyFont="1" applyFill="1"/>
    <xf numFmtId="0" fontId="72" fillId="15" borderId="0" xfId="9" applyFont="1" applyFill="1" applyAlignment="1">
      <alignment horizontal="right" vertical="center"/>
    </xf>
    <xf numFmtId="0" fontId="72" fillId="15" borderId="0" xfId="9" applyFont="1" applyFill="1" applyAlignment="1">
      <alignment vertical="center"/>
    </xf>
    <xf numFmtId="0" fontId="72" fillId="15" borderId="0" xfId="9" applyFont="1" applyFill="1" applyAlignment="1">
      <alignment horizontal="left" vertical="center"/>
    </xf>
    <xf numFmtId="49" fontId="72" fillId="15" borderId="0" xfId="9" applyNumberFormat="1" applyFont="1" applyFill="1" applyAlignment="1">
      <alignment horizontal="right" vertical="center"/>
    </xf>
    <xf numFmtId="49" fontId="72" fillId="15" borderId="0" xfId="9" applyNumberFormat="1" applyFont="1" applyFill="1"/>
    <xf numFmtId="0" fontId="72" fillId="15" borderId="24" xfId="9" applyFont="1" applyFill="1" applyBorder="1" applyAlignment="1">
      <alignment horizontal="center"/>
    </xf>
    <xf numFmtId="0" fontId="73" fillId="15" borderId="3" xfId="0" applyFont="1" applyFill="1" applyBorder="1" applyAlignment="1">
      <alignment horizontal="center"/>
    </xf>
    <xf numFmtId="0" fontId="64" fillId="15" borderId="3" xfId="0" applyFont="1" applyFill="1" applyBorder="1" applyAlignment="1">
      <alignment horizontal="center"/>
    </xf>
    <xf numFmtId="0" fontId="64" fillId="15" borderId="3" xfId="0" applyFont="1" applyFill="1" applyBorder="1" applyAlignment="1">
      <alignment horizontal="left" indent="1"/>
    </xf>
    <xf numFmtId="0" fontId="82" fillId="15" borderId="0" xfId="0" applyFont="1" applyFill="1" applyAlignment="1">
      <alignment horizontal="left"/>
    </xf>
    <xf numFmtId="0" fontId="83" fillId="15" borderId="0" xfId="0" applyFont="1" applyFill="1"/>
    <xf numFmtId="0" fontId="82" fillId="15" borderId="0" xfId="0" applyFont="1" applyFill="1"/>
    <xf numFmtId="0" fontId="84" fillId="15" borderId="0" xfId="0" applyFont="1" applyFill="1" applyAlignment="1">
      <alignment wrapText="1"/>
    </xf>
    <xf numFmtId="0" fontId="88" fillId="24" borderId="25" xfId="8" applyFont="1" applyFill="1" applyBorder="1" applyAlignment="1" applyProtection="1">
      <alignment vertical="center" wrapText="1"/>
    </xf>
    <xf numFmtId="0" fontId="85" fillId="16" borderId="25" xfId="0" applyFont="1" applyFill="1" applyBorder="1" applyAlignment="1" applyProtection="1">
      <alignment horizontal="center" vertical="center" wrapText="1"/>
      <protection locked="0"/>
    </xf>
    <xf numFmtId="0" fontId="64" fillId="15" borderId="0" xfId="0" applyFont="1" applyFill="1" applyAlignment="1">
      <alignment vertical="center"/>
    </xf>
    <xf numFmtId="0" fontId="80" fillId="24" borderId="25" xfId="8" applyFont="1" applyFill="1" applyBorder="1" applyAlignment="1" applyProtection="1">
      <alignment vertical="center" wrapText="1"/>
    </xf>
    <xf numFmtId="0" fontId="91" fillId="15" borderId="0" xfId="0" applyFont="1" applyFill="1"/>
    <xf numFmtId="0" fontId="91" fillId="15" borderId="0" xfId="0" applyFont="1" applyFill="1" applyAlignment="1">
      <alignment vertical="center" wrapText="1"/>
    </xf>
    <xf numFmtId="9" fontId="91" fillId="15" borderId="0" xfId="0" applyNumberFormat="1" applyFont="1" applyFill="1"/>
    <xf numFmtId="0" fontId="73" fillId="15" borderId="0" xfId="0" applyFont="1" applyFill="1"/>
    <xf numFmtId="9" fontId="95" fillId="15" borderId="0" xfId="0" applyNumberFormat="1" applyFont="1" applyFill="1" applyAlignment="1">
      <alignment horizontal="left" vertical="center" wrapText="1"/>
    </xf>
    <xf numFmtId="0" fontId="97" fillId="15" borderId="0" xfId="0" applyFont="1" applyFill="1"/>
    <xf numFmtId="0" fontId="96" fillId="25" borderId="26" xfId="0" applyFont="1" applyFill="1" applyBorder="1"/>
    <xf numFmtId="0" fontId="73" fillId="0" borderId="0" xfId="0" applyFont="1"/>
    <xf numFmtId="0" fontId="73" fillId="0" borderId="0" xfId="0" applyFont="1" applyAlignment="1">
      <alignment horizontal="left"/>
    </xf>
    <xf numFmtId="0" fontId="73" fillId="0" borderId="0" xfId="0" applyFont="1" applyAlignment="1">
      <alignment horizontal="center"/>
    </xf>
    <xf numFmtId="0" fontId="73" fillId="0" borderId="27" xfId="0" applyFont="1" applyBorder="1" applyAlignment="1">
      <alignment horizontal="left"/>
    </xf>
    <xf numFmtId="0" fontId="98" fillId="20" borderId="18" xfId="0" applyFont="1" applyFill="1" applyBorder="1" applyAlignment="1">
      <alignment horizontal="left"/>
    </xf>
    <xf numFmtId="0" fontId="98" fillId="20" borderId="0" xfId="0" applyFont="1" applyFill="1" applyAlignment="1">
      <alignment horizontal="left"/>
    </xf>
    <xf numFmtId="1" fontId="64" fillId="15" borderId="0" xfId="0" applyNumberFormat="1" applyFont="1" applyFill="1" applyAlignment="1">
      <alignment horizontal="center"/>
    </xf>
    <xf numFmtId="14" fontId="91" fillId="15" borderId="0" xfId="0" applyNumberFormat="1" applyFont="1" applyFill="1"/>
    <xf numFmtId="0" fontId="64" fillId="26" borderId="26" xfId="0" applyFont="1" applyFill="1" applyBorder="1"/>
    <xf numFmtId="0" fontId="64" fillId="0" borderId="0" xfId="0" applyFont="1" applyProtection="1">
      <protection locked="0"/>
    </xf>
    <xf numFmtId="0" fontId="64" fillId="0" borderId="0" xfId="0" applyFont="1" applyAlignment="1" applyProtection="1">
      <alignment horizontal="center"/>
      <protection locked="0"/>
    </xf>
    <xf numFmtId="14" fontId="64" fillId="0" borderId="0" xfId="0" applyNumberFormat="1" applyFont="1" applyAlignment="1" applyProtection="1">
      <alignment horizontal="center"/>
      <protection locked="0"/>
    </xf>
    <xf numFmtId="165" fontId="64" fillId="27" borderId="0" xfId="0" applyNumberFormat="1" applyFont="1" applyFill="1" applyAlignment="1">
      <alignment horizontal="center"/>
    </xf>
    <xf numFmtId="9" fontId="64" fillId="0" borderId="0" xfId="1" applyFont="1" applyBorder="1" applyAlignment="1" applyProtection="1">
      <alignment horizontal="center"/>
      <protection locked="0"/>
    </xf>
    <xf numFmtId="9" fontId="64" fillId="0" borderId="27" xfId="1" applyFont="1" applyBorder="1" applyAlignment="1" applyProtection="1">
      <alignment horizontal="center"/>
      <protection locked="0"/>
    </xf>
    <xf numFmtId="165" fontId="90" fillId="20" borderId="18" xfId="0" applyNumberFormat="1" applyFont="1" applyFill="1" applyBorder="1" applyAlignment="1">
      <alignment horizontal="center"/>
    </xf>
    <xf numFmtId="165" fontId="90" fillId="20" borderId="0" xfId="0" applyNumberFormat="1" applyFont="1" applyFill="1" applyAlignment="1">
      <alignment horizontal="center"/>
    </xf>
    <xf numFmtId="9" fontId="91" fillId="15" borderId="0" xfId="1" applyFont="1" applyFill="1"/>
    <xf numFmtId="0" fontId="64" fillId="0" borderId="26" xfId="0" applyFont="1" applyBorder="1"/>
    <xf numFmtId="9" fontId="64" fillId="0" borderId="0" xfId="0" applyNumberFormat="1" applyFont="1" applyAlignment="1" applyProtection="1">
      <alignment horizontal="center"/>
      <protection locked="0"/>
    </xf>
    <xf numFmtId="0" fontId="65" fillId="15" borderId="0" xfId="0" applyFont="1" applyFill="1"/>
    <xf numFmtId="0" fontId="65" fillId="15" borderId="0" xfId="0" applyFont="1" applyFill="1" applyAlignment="1">
      <alignment horizontal="center"/>
    </xf>
    <xf numFmtId="0" fontId="100" fillId="28" borderId="0" xfId="0" applyFont="1" applyFill="1" applyAlignment="1">
      <alignment horizontal="left" vertical="center" indent="1"/>
    </xf>
    <xf numFmtId="0" fontId="101" fillId="15" borderId="0" xfId="0" applyFont="1" applyFill="1"/>
    <xf numFmtId="9" fontId="100" fillId="0" borderId="0" xfId="0" applyNumberFormat="1" applyFont="1" applyAlignment="1">
      <alignment horizontal="left" vertical="center" indent="1"/>
    </xf>
    <xf numFmtId="0" fontId="64" fillId="15" borderId="18" xfId="0" applyFont="1" applyFill="1" applyBorder="1"/>
    <xf numFmtId="0" fontId="64" fillId="15" borderId="28" xfId="0" applyFont="1" applyFill="1" applyBorder="1" applyAlignment="1">
      <alignment horizontal="center"/>
    </xf>
    <xf numFmtId="0" fontId="64" fillId="15" borderId="21" xfId="0" applyFont="1" applyFill="1" applyBorder="1"/>
    <xf numFmtId="0" fontId="102" fillId="15" borderId="0" xfId="6" applyFont="1" applyFill="1" applyAlignment="1">
      <alignment horizontal="center"/>
    </xf>
    <xf numFmtId="167" fontId="102" fillId="15" borderId="0" xfId="6" applyNumberFormat="1" applyFont="1" applyFill="1" applyAlignment="1">
      <alignment horizontal="center"/>
    </xf>
    <xf numFmtId="167" fontId="103" fillId="15" borderId="0" xfId="6" applyNumberFormat="1" applyFont="1" applyFill="1" applyAlignment="1">
      <alignment horizontal="left"/>
    </xf>
    <xf numFmtId="167" fontId="102" fillId="15" borderId="29" xfId="6" applyNumberFormat="1" applyFont="1" applyFill="1" applyBorder="1" applyAlignment="1">
      <alignment horizontal="center" wrapText="1"/>
    </xf>
    <xf numFmtId="167" fontId="102" fillId="15" borderId="29" xfId="6" applyNumberFormat="1" applyFont="1" applyFill="1" applyBorder="1" applyAlignment="1">
      <alignment horizontal="center"/>
    </xf>
    <xf numFmtId="0" fontId="102" fillId="15" borderId="0" xfId="6" applyFont="1" applyFill="1"/>
    <xf numFmtId="0" fontId="103" fillId="15" borderId="0" xfId="6" applyFont="1" applyFill="1" applyAlignment="1">
      <alignment horizontal="center"/>
    </xf>
    <xf numFmtId="0" fontId="102" fillId="15" borderId="0" xfId="6" applyFont="1" applyFill="1" applyAlignment="1">
      <alignment horizontal="left"/>
    </xf>
    <xf numFmtId="0" fontId="103" fillId="15" borderId="0" xfId="6" applyFont="1" applyFill="1" applyAlignment="1">
      <alignment horizontal="left"/>
    </xf>
    <xf numFmtId="0" fontId="102" fillId="0" borderId="30" xfId="6" applyFont="1" applyBorder="1" applyAlignment="1">
      <alignment horizontal="center"/>
    </xf>
    <xf numFmtId="1" fontId="102" fillId="15" borderId="0" xfId="6" applyNumberFormat="1" applyFont="1" applyFill="1" applyAlignment="1">
      <alignment horizontal="center"/>
    </xf>
    <xf numFmtId="1" fontId="102" fillId="9" borderId="30" xfId="6" applyNumberFormat="1" applyFont="1" applyFill="1" applyBorder="1" applyAlignment="1">
      <alignment horizontal="center"/>
    </xf>
    <xf numFmtId="2" fontId="102" fillId="15" borderId="0" xfId="6" applyNumberFormat="1" applyFont="1" applyFill="1" applyAlignment="1">
      <alignment horizontal="center"/>
    </xf>
    <xf numFmtId="0" fontId="102" fillId="15" borderId="0" xfId="6" applyFont="1" applyFill="1" applyAlignment="1">
      <alignment horizontal="center" vertical="center"/>
    </xf>
    <xf numFmtId="0" fontId="102" fillId="15" borderId="0" xfId="6" applyFont="1" applyFill="1" applyAlignment="1">
      <alignment vertical="center"/>
    </xf>
    <xf numFmtId="168" fontId="102" fillId="0" borderId="31" xfId="6" applyNumberFormat="1" applyFont="1" applyBorder="1" applyAlignment="1">
      <alignment vertical="center" textRotation="90"/>
    </xf>
    <xf numFmtId="168" fontId="102" fillId="0" borderId="0" xfId="6" applyNumberFormat="1" applyFont="1" applyAlignment="1">
      <alignment vertical="center" textRotation="90"/>
    </xf>
    <xf numFmtId="168" fontId="102" fillId="9" borderId="0" xfId="6" applyNumberFormat="1" applyFont="1" applyFill="1" applyAlignment="1">
      <alignment vertical="center" textRotation="90"/>
    </xf>
    <xf numFmtId="168" fontId="102" fillId="15" borderId="0" xfId="6" applyNumberFormat="1" applyFont="1" applyFill="1" applyAlignment="1">
      <alignment vertical="center" textRotation="90"/>
    </xf>
    <xf numFmtId="168" fontId="102" fillId="15" borderId="0" xfId="6" applyNumberFormat="1" applyFont="1" applyFill="1" applyAlignment="1">
      <alignment vertical="center"/>
    </xf>
    <xf numFmtId="0" fontId="102" fillId="15" borderId="3" xfId="6" applyFont="1" applyFill="1" applyBorder="1" applyAlignment="1">
      <alignment horizontal="center"/>
    </xf>
    <xf numFmtId="167" fontId="102" fillId="15" borderId="32" xfId="6" applyNumberFormat="1" applyFont="1" applyFill="1" applyBorder="1" applyAlignment="1">
      <alignment horizontal="center"/>
    </xf>
    <xf numFmtId="167" fontId="102" fillId="15" borderId="33" xfId="6" applyNumberFormat="1" applyFont="1" applyFill="1" applyBorder="1" applyAlignment="1">
      <alignment horizontal="center"/>
    </xf>
    <xf numFmtId="0" fontId="102" fillId="18" borderId="33" xfId="6" applyFont="1" applyFill="1" applyBorder="1" applyAlignment="1" applyProtection="1">
      <alignment horizontal="center"/>
      <protection locked="0"/>
    </xf>
    <xf numFmtId="0" fontId="102" fillId="15" borderId="33" xfId="6" applyFont="1" applyFill="1" applyBorder="1" applyAlignment="1">
      <alignment horizontal="center"/>
    </xf>
    <xf numFmtId="1" fontId="102" fillId="15" borderId="34" xfId="6" applyNumberFormat="1" applyFont="1" applyFill="1" applyBorder="1" applyAlignment="1">
      <alignment horizontal="center"/>
    </xf>
    <xf numFmtId="1" fontId="102" fillId="15" borderId="33" xfId="6" applyNumberFormat="1" applyFont="1" applyFill="1" applyBorder="1" applyAlignment="1">
      <alignment horizontal="center"/>
    </xf>
    <xf numFmtId="2" fontId="102" fillId="15" borderId="33" xfId="6" applyNumberFormat="1" applyFont="1" applyFill="1" applyBorder="1" applyAlignment="1">
      <alignment horizontal="center"/>
    </xf>
    <xf numFmtId="0" fontId="102" fillId="15" borderId="33" xfId="6" applyFont="1" applyFill="1" applyBorder="1"/>
    <xf numFmtId="0" fontId="105" fillId="0" borderId="35" xfId="6" applyFont="1" applyBorder="1"/>
    <xf numFmtId="0" fontId="105" fillId="0" borderId="36" xfId="6" applyFont="1" applyBorder="1"/>
    <xf numFmtId="0" fontId="105" fillId="10" borderId="36" xfId="6" applyFont="1" applyFill="1" applyBorder="1"/>
    <xf numFmtId="0" fontId="105" fillId="10" borderId="37" xfId="6" applyFont="1" applyFill="1" applyBorder="1"/>
    <xf numFmtId="0" fontId="102" fillId="0" borderId="0" xfId="6" applyFont="1"/>
    <xf numFmtId="167" fontId="102" fillId="15" borderId="38" xfId="6" applyNumberFormat="1" applyFont="1" applyFill="1" applyBorder="1" applyAlignment="1">
      <alignment horizontal="center"/>
    </xf>
    <xf numFmtId="167" fontId="102" fillId="15" borderId="36" xfId="6" applyNumberFormat="1" applyFont="1" applyFill="1" applyBorder="1" applyAlignment="1">
      <alignment horizontal="center"/>
    </xf>
    <xf numFmtId="0" fontId="102" fillId="18" borderId="36" xfId="6" applyFont="1" applyFill="1" applyBorder="1" applyAlignment="1" applyProtection="1">
      <alignment horizontal="center"/>
      <protection locked="0"/>
    </xf>
    <xf numFmtId="0" fontId="102" fillId="15" borderId="36" xfId="6" applyFont="1" applyFill="1" applyBorder="1" applyAlignment="1">
      <alignment horizontal="center"/>
    </xf>
    <xf numFmtId="1" fontId="102" fillId="15" borderId="36" xfId="6" applyNumberFormat="1" applyFont="1" applyFill="1" applyBorder="1" applyAlignment="1">
      <alignment horizontal="center"/>
    </xf>
    <xf numFmtId="2" fontId="102" fillId="15" borderId="36" xfId="6" applyNumberFormat="1" applyFont="1" applyFill="1" applyBorder="1" applyAlignment="1">
      <alignment horizontal="center"/>
    </xf>
    <xf numFmtId="0" fontId="102" fillId="15" borderId="36" xfId="6" applyFont="1" applyFill="1" applyBorder="1"/>
    <xf numFmtId="167" fontId="102" fillId="15" borderId="39" xfId="6" applyNumberFormat="1" applyFont="1" applyFill="1" applyBorder="1" applyAlignment="1">
      <alignment horizontal="center"/>
    </xf>
    <xf numFmtId="167" fontId="102" fillId="15" borderId="40" xfId="6" applyNumberFormat="1" applyFont="1" applyFill="1" applyBorder="1" applyAlignment="1">
      <alignment horizontal="center"/>
    </xf>
    <xf numFmtId="0" fontId="102" fillId="18" borderId="40" xfId="6" applyFont="1" applyFill="1" applyBorder="1" applyAlignment="1" applyProtection="1">
      <alignment horizontal="center"/>
      <protection locked="0"/>
    </xf>
    <xf numFmtId="0" fontId="102" fillId="15" borderId="40" xfId="6" applyFont="1" applyFill="1" applyBorder="1" applyAlignment="1">
      <alignment horizontal="center"/>
    </xf>
    <xf numFmtId="1" fontId="102" fillId="15" borderId="40" xfId="6" applyNumberFormat="1" applyFont="1" applyFill="1" applyBorder="1" applyAlignment="1">
      <alignment horizontal="center"/>
    </xf>
    <xf numFmtId="2" fontId="102" fillId="15" borderId="40" xfId="6" applyNumberFormat="1" applyFont="1" applyFill="1" applyBorder="1" applyAlignment="1">
      <alignment horizontal="center"/>
    </xf>
    <xf numFmtId="0" fontId="102" fillId="15" borderId="40" xfId="6" applyFont="1" applyFill="1" applyBorder="1"/>
    <xf numFmtId="167" fontId="102" fillId="15" borderId="3" xfId="6" applyNumberFormat="1" applyFont="1" applyFill="1" applyBorder="1" applyAlignment="1">
      <alignment horizontal="center"/>
    </xf>
    <xf numFmtId="0" fontId="102" fillId="0" borderId="41" xfId="6" applyFont="1" applyBorder="1"/>
    <xf numFmtId="0" fontId="102" fillId="0" borderId="42" xfId="6" applyFont="1" applyBorder="1"/>
    <xf numFmtId="0" fontId="102" fillId="0" borderId="43" xfId="6" applyFont="1" applyBorder="1"/>
    <xf numFmtId="167" fontId="102" fillId="9" borderId="44" xfId="6" applyNumberFormat="1" applyFont="1" applyFill="1" applyBorder="1" applyAlignment="1">
      <alignment horizontal="center" vertical="center"/>
    </xf>
    <xf numFmtId="167" fontId="102" fillId="9" borderId="45" xfId="6" applyNumberFormat="1" applyFont="1" applyFill="1" applyBorder="1" applyAlignment="1">
      <alignment horizontal="center" vertical="center"/>
    </xf>
    <xf numFmtId="167" fontId="102" fillId="9" borderId="46" xfId="6" applyNumberFormat="1" applyFont="1" applyFill="1" applyBorder="1" applyAlignment="1">
      <alignment horizontal="center" vertical="center"/>
    </xf>
    <xf numFmtId="167" fontId="102" fillId="15" borderId="0" xfId="6" applyNumberFormat="1" applyFont="1" applyFill="1" applyAlignment="1">
      <alignment horizontal="center" vertical="center"/>
    </xf>
    <xf numFmtId="0" fontId="102" fillId="15" borderId="3" xfId="6" applyFont="1" applyFill="1" applyBorder="1" applyAlignment="1">
      <alignment horizontal="center" vertical="center"/>
    </xf>
    <xf numFmtId="1" fontId="102" fillId="15" borderId="0" xfId="6" applyNumberFormat="1" applyFont="1" applyFill="1" applyAlignment="1">
      <alignment horizontal="center" vertical="center"/>
    </xf>
    <xf numFmtId="165" fontId="102" fillId="9" borderId="29" xfId="6" applyNumberFormat="1" applyFont="1" applyFill="1" applyBorder="1" applyAlignment="1">
      <alignment horizontal="center" vertical="center"/>
    </xf>
    <xf numFmtId="165" fontId="102" fillId="15" borderId="0" xfId="6" applyNumberFormat="1" applyFont="1" applyFill="1" applyAlignment="1">
      <alignment horizontal="center" vertical="center"/>
    </xf>
    <xf numFmtId="165" fontId="102" fillId="9" borderId="32" xfId="6" applyNumberFormat="1" applyFont="1" applyFill="1" applyBorder="1" applyAlignment="1">
      <alignment horizontal="center" vertical="center"/>
    </xf>
    <xf numFmtId="165" fontId="102" fillId="9" borderId="33" xfId="6" applyNumberFormat="1" applyFont="1" applyFill="1" applyBorder="1" applyAlignment="1">
      <alignment horizontal="center" vertical="center"/>
    </xf>
    <xf numFmtId="165" fontId="102" fillId="9" borderId="47" xfId="6" applyNumberFormat="1" applyFont="1" applyFill="1" applyBorder="1" applyAlignment="1">
      <alignment horizontal="center" vertical="center"/>
    </xf>
    <xf numFmtId="1" fontId="102" fillId="9" borderId="0" xfId="6" applyNumberFormat="1" applyFont="1" applyFill="1" applyAlignment="1">
      <alignment horizontal="center" vertical="center" textRotation="90"/>
    </xf>
    <xf numFmtId="0" fontId="102" fillId="0" borderId="0" xfId="6" applyFont="1" applyAlignment="1">
      <alignment vertical="center"/>
    </xf>
    <xf numFmtId="1" fontId="102" fillId="9" borderId="3" xfId="6" applyNumberFormat="1" applyFont="1" applyFill="1" applyBorder="1" applyAlignment="1">
      <alignment horizontal="center"/>
    </xf>
    <xf numFmtId="0" fontId="102" fillId="15" borderId="0" xfId="6" quotePrefix="1" applyFont="1" applyFill="1" applyAlignment="1">
      <alignment horizontal="center"/>
    </xf>
    <xf numFmtId="0" fontId="102" fillId="7" borderId="0" xfId="6" applyFont="1" applyFill="1"/>
    <xf numFmtId="0" fontId="102" fillId="8" borderId="0" xfId="6" applyFont="1" applyFill="1"/>
    <xf numFmtId="0" fontId="106" fillId="15" borderId="0" xfId="6" applyFont="1" applyFill="1"/>
    <xf numFmtId="0" fontId="78" fillId="0" borderId="0" xfId="19" applyFont="1" applyAlignment="1">
      <alignment horizontal="left" vertical="center"/>
    </xf>
    <xf numFmtId="0" fontId="78" fillId="0" borderId="0" xfId="19" applyFont="1" applyAlignment="1">
      <alignment vertical="center"/>
    </xf>
    <xf numFmtId="0" fontId="78" fillId="0" borderId="0" xfId="19" applyFont="1" applyAlignment="1">
      <alignment horizontal="center" vertical="center"/>
    </xf>
    <xf numFmtId="0" fontId="107" fillId="0" borderId="0" xfId="12" applyFont="1" applyAlignment="1">
      <alignment wrapText="1"/>
    </xf>
    <xf numFmtId="0" fontId="72" fillId="0" borderId="0" xfId="19" applyFont="1"/>
    <xf numFmtId="0" fontId="99" fillId="0" borderId="0" xfId="19" applyFont="1" applyAlignment="1">
      <alignment horizontal="center" vertical="center"/>
    </xf>
    <xf numFmtId="0" fontId="78" fillId="18" borderId="3" xfId="19" applyFont="1" applyFill="1" applyBorder="1" applyAlignment="1" applyProtection="1">
      <alignment horizontal="center" vertical="center"/>
      <protection locked="0"/>
    </xf>
    <xf numFmtId="0" fontId="108" fillId="0" borderId="0" xfId="19" applyFont="1" applyAlignment="1">
      <alignment horizontal="left" vertical="center" indent="1"/>
    </xf>
    <xf numFmtId="0" fontId="64" fillId="0" borderId="0" xfId="13" applyFont="1">
      <alignment horizontal="left" vertical="center"/>
    </xf>
    <xf numFmtId="0" fontId="64" fillId="4" borderId="28" xfId="13" applyFont="1" applyFill="1" applyBorder="1">
      <alignment horizontal="left" vertical="center"/>
    </xf>
    <xf numFmtId="0" fontId="100" fillId="0" borderId="0" xfId="18" applyFont="1" applyAlignment="1">
      <alignment horizontal="center"/>
    </xf>
    <xf numFmtId="0" fontId="110" fillId="0" borderId="0" xfId="12" applyFont="1" applyAlignment="1">
      <alignment vertical="top" wrapText="1"/>
    </xf>
    <xf numFmtId="0" fontId="72" fillId="0" borderId="0" xfId="19" applyFont="1" applyAlignment="1">
      <alignment vertical="center"/>
    </xf>
    <xf numFmtId="0" fontId="111" fillId="0" borderId="0" xfId="19" applyFont="1" applyAlignment="1">
      <alignment vertical="center"/>
    </xf>
    <xf numFmtId="0" fontId="72" fillId="0" borderId="0" xfId="19" applyFont="1" applyAlignment="1">
      <alignment horizontal="center"/>
    </xf>
    <xf numFmtId="0" fontId="72" fillId="0" borderId="0" xfId="19" applyFont="1" applyAlignment="1">
      <alignment horizontal="left"/>
    </xf>
    <xf numFmtId="0" fontId="72" fillId="0" borderId="48" xfId="19" applyFont="1" applyBorder="1"/>
    <xf numFmtId="0" fontId="112" fillId="0" borderId="0" xfId="15" applyFont="1" applyAlignment="1">
      <alignment vertical="center"/>
    </xf>
    <xf numFmtId="0" fontId="72" fillId="0" borderId="0" xfId="19" applyFont="1" applyAlignment="1">
      <alignment horizontal="center" vertical="center"/>
    </xf>
    <xf numFmtId="0" fontId="111" fillId="0" borderId="0" xfId="19" applyFont="1" applyAlignment="1">
      <alignment horizontal="left" vertical="center"/>
    </xf>
    <xf numFmtId="0" fontId="100" fillId="29" borderId="36" xfId="18" applyFont="1" applyFill="1" applyBorder="1" applyAlignment="1">
      <alignment horizontal="center" vertical="center" wrapText="1"/>
    </xf>
    <xf numFmtId="0" fontId="100" fillId="0" borderId="0" xfId="18" applyFont="1">
      <alignment horizontal="center" vertical="center"/>
    </xf>
    <xf numFmtId="0" fontId="111" fillId="29" borderId="36" xfId="18" applyFont="1" applyFill="1" applyBorder="1" applyAlignment="1">
      <alignment horizontal="center" vertical="center" wrapText="1"/>
    </xf>
    <xf numFmtId="0" fontId="111" fillId="24" borderId="36" xfId="18" applyFont="1" applyFill="1" applyBorder="1" applyAlignment="1">
      <alignment horizontal="center" vertical="center" wrapText="1"/>
    </xf>
    <xf numFmtId="0" fontId="76" fillId="0" borderId="0" xfId="19" applyFont="1" applyAlignment="1">
      <alignment vertical="center"/>
    </xf>
    <xf numFmtId="0" fontId="111" fillId="30" borderId="36" xfId="18" applyFont="1" applyFill="1" applyBorder="1" applyAlignment="1">
      <alignment horizontal="center" vertical="center" wrapText="1"/>
    </xf>
    <xf numFmtId="0" fontId="111" fillId="31" borderId="36" xfId="18" applyFont="1" applyFill="1" applyBorder="1" applyAlignment="1">
      <alignment horizontal="center" vertical="center" wrapText="1"/>
    </xf>
    <xf numFmtId="0" fontId="111" fillId="0" borderId="0" xfId="19" applyFont="1" applyAlignment="1">
      <alignment horizontal="center" vertical="center"/>
    </xf>
    <xf numFmtId="0" fontId="100" fillId="0" borderId="37" xfId="13" applyFont="1" applyBorder="1" applyAlignment="1">
      <alignment horizontal="left" vertical="center" wrapText="1"/>
    </xf>
    <xf numFmtId="0" fontId="100" fillId="0" borderId="35" xfId="13" applyFont="1" applyBorder="1" applyAlignment="1">
      <alignment horizontal="left" vertical="center" wrapText="1"/>
    </xf>
    <xf numFmtId="0" fontId="108" fillId="0" borderId="0" xfId="19" applyFont="1" applyAlignment="1">
      <alignment horizontal="center" vertical="center"/>
    </xf>
    <xf numFmtId="1" fontId="113" fillId="0" borderId="48" xfId="20" applyNumberFormat="1" applyFont="1" applyFill="1" applyBorder="1" applyAlignment="1" applyProtection="1">
      <alignment horizontal="center" vertical="center"/>
    </xf>
    <xf numFmtId="1" fontId="113" fillId="0" borderId="0" xfId="20" applyNumberFormat="1" applyFont="1" applyFill="1" applyBorder="1" applyAlignment="1" applyProtection="1">
      <alignment horizontal="center" vertical="center"/>
    </xf>
    <xf numFmtId="1" fontId="113" fillId="0" borderId="36" xfId="20" applyNumberFormat="1" applyFont="1" applyFill="1" applyBorder="1" applyAlignment="1" applyProtection="1">
      <alignment horizontal="center" vertical="center"/>
    </xf>
    <xf numFmtId="0" fontId="108" fillId="0" borderId="0" xfId="19" applyFont="1" applyAlignment="1">
      <alignment horizontal="left" vertical="center"/>
    </xf>
    <xf numFmtId="0" fontId="113" fillId="0" borderId="0" xfId="13" applyFont="1">
      <alignment horizontal="left" vertical="center"/>
    </xf>
    <xf numFmtId="0" fontId="64" fillId="0" borderId="36" xfId="13" applyFont="1" applyBorder="1" applyAlignment="1">
      <alignment horizontal="center" vertical="center"/>
    </xf>
    <xf numFmtId="0" fontId="111" fillId="0" borderId="37" xfId="19" applyFont="1" applyBorder="1" applyAlignment="1">
      <alignment horizontal="center" vertical="center"/>
    </xf>
    <xf numFmtId="0" fontId="76" fillId="0" borderId="35" xfId="13" applyFont="1" applyBorder="1" applyAlignment="1">
      <alignment horizontal="left" vertical="center" wrapText="1"/>
    </xf>
    <xf numFmtId="0" fontId="108" fillId="0" borderId="49" xfId="19" applyFont="1" applyBorder="1" applyAlignment="1">
      <alignment horizontal="center" vertical="center"/>
    </xf>
    <xf numFmtId="0" fontId="64" fillId="20" borderId="36" xfId="13" applyFont="1" applyFill="1" applyBorder="1" applyAlignment="1" applyProtection="1">
      <alignment horizontal="center" vertical="center"/>
      <protection locked="0"/>
    </xf>
    <xf numFmtId="0" fontId="64" fillId="0" borderId="49" xfId="19" applyFont="1" applyBorder="1" applyAlignment="1">
      <alignment horizontal="center" vertical="center"/>
    </xf>
    <xf numFmtId="0" fontId="92" fillId="20" borderId="36" xfId="13" applyFont="1" applyFill="1" applyBorder="1" applyAlignment="1" applyProtection="1">
      <alignment horizontal="center" vertical="center"/>
      <protection locked="0"/>
    </xf>
    <xf numFmtId="0" fontId="113" fillId="0" borderId="50" xfId="19" applyFont="1" applyBorder="1" applyAlignment="1">
      <alignment horizontal="center" vertical="center"/>
    </xf>
    <xf numFmtId="0" fontId="113" fillId="0" borderId="36" xfId="13" applyFont="1" applyBorder="1" applyAlignment="1">
      <alignment horizontal="center" vertical="center"/>
    </xf>
    <xf numFmtId="1" fontId="64" fillId="0" borderId="48" xfId="20" applyNumberFormat="1" applyFont="1" applyFill="1" applyBorder="1" applyAlignment="1" applyProtection="1">
      <alignment horizontal="center" vertical="center"/>
      <protection locked="0"/>
    </xf>
    <xf numFmtId="1" fontId="64" fillId="0" borderId="48" xfId="20" applyNumberFormat="1" applyFont="1" applyFill="1" applyBorder="1" applyAlignment="1" applyProtection="1">
      <alignment horizontal="center" vertical="center"/>
    </xf>
    <xf numFmtId="1" fontId="64" fillId="0" borderId="0" xfId="20" applyNumberFormat="1" applyFont="1" applyFill="1" applyBorder="1" applyAlignment="1" applyProtection="1">
      <alignment horizontal="center" vertical="center"/>
    </xf>
    <xf numFmtId="1" fontId="113" fillId="0" borderId="51" xfId="20" applyNumberFormat="1" applyFont="1" applyFill="1" applyBorder="1" applyAlignment="1" applyProtection="1">
      <alignment horizontal="center" vertical="center"/>
    </xf>
    <xf numFmtId="0" fontId="64" fillId="0" borderId="35" xfId="13" applyFont="1" applyBorder="1" applyAlignment="1">
      <alignment horizontal="center" vertical="center"/>
    </xf>
    <xf numFmtId="0" fontId="78" fillId="0" borderId="0" xfId="19" applyFont="1" applyAlignment="1">
      <alignment vertical="center" wrapText="1"/>
    </xf>
    <xf numFmtId="0" fontId="78" fillId="0" borderId="0" xfId="19" applyFont="1" applyAlignment="1" applyProtection="1">
      <alignment horizontal="center" vertical="center"/>
      <protection locked="0"/>
    </xf>
    <xf numFmtId="0" fontId="78" fillId="0" borderId="52" xfId="19" applyFont="1" applyBorder="1" applyAlignment="1">
      <alignment horizontal="center" vertical="center"/>
    </xf>
    <xf numFmtId="0" fontId="100" fillId="0" borderId="0" xfId="18" applyFont="1" applyAlignment="1">
      <alignment horizontal="center" vertical="center" wrapText="1"/>
    </xf>
    <xf numFmtId="0" fontId="78" fillId="0" borderId="48" xfId="19" applyFont="1" applyBorder="1" applyAlignment="1">
      <alignment horizontal="center" vertical="center"/>
    </xf>
    <xf numFmtId="1" fontId="113" fillId="0" borderId="53" xfId="20" applyNumberFormat="1" applyFont="1" applyFill="1" applyBorder="1" applyAlignment="1" applyProtection="1">
      <alignment horizontal="center" vertical="center"/>
    </xf>
    <xf numFmtId="0" fontId="113" fillId="0" borderId="50" xfId="13" applyFont="1" applyBorder="1">
      <alignment horizontal="left" vertical="center"/>
    </xf>
    <xf numFmtId="0" fontId="78" fillId="0" borderId="0" xfId="19" applyFont="1" applyAlignment="1">
      <alignment horizontal="center" vertical="center" wrapText="1"/>
    </xf>
    <xf numFmtId="0" fontId="64" fillId="0" borderId="0" xfId="13" applyFont="1" applyAlignment="1">
      <alignment horizontal="center" vertical="center"/>
    </xf>
    <xf numFmtId="0" fontId="81" fillId="0" borderId="0" xfId="16" applyFont="1">
      <alignment vertical="center"/>
    </xf>
    <xf numFmtId="0" fontId="81" fillId="0" borderId="3" xfId="16" applyFont="1" applyBorder="1" applyAlignment="1">
      <alignment horizontal="center" vertical="center"/>
    </xf>
    <xf numFmtId="0" fontId="81" fillId="0" borderId="0" xfId="16" applyFont="1" applyAlignment="1">
      <alignment horizontal="center" vertical="center"/>
    </xf>
    <xf numFmtId="0" fontId="78" fillId="0" borderId="0" xfId="13" applyFont="1">
      <alignment horizontal="left" vertical="center"/>
    </xf>
    <xf numFmtId="170" fontId="64" fillId="0" borderId="0" xfId="13" applyNumberFormat="1" applyFont="1">
      <alignment horizontal="left" vertical="center"/>
    </xf>
    <xf numFmtId="170" fontId="64" fillId="0" borderId="0" xfId="13" applyNumberFormat="1" applyFont="1" applyAlignment="1">
      <alignment horizontal="center" vertical="center"/>
    </xf>
    <xf numFmtId="0" fontId="112" fillId="0" borderId="0" xfId="15" applyFont="1" applyAlignment="1">
      <alignment horizontal="left" vertical="center" wrapText="1"/>
    </xf>
    <xf numFmtId="0" fontId="100" fillId="0" borderId="0" xfId="13" applyFont="1">
      <alignment horizontal="left" vertical="center"/>
    </xf>
    <xf numFmtId="9" fontId="64" fillId="0" borderId="0" xfId="20" applyFont="1" applyAlignment="1" applyProtection="1">
      <alignment horizontal="center" vertical="center"/>
    </xf>
    <xf numFmtId="0" fontId="73" fillId="0" borderId="0" xfId="19" applyFont="1" applyAlignment="1">
      <alignment horizontal="center" vertical="center"/>
    </xf>
    <xf numFmtId="0" fontId="114" fillId="0" borderId="0" xfId="13" applyFont="1">
      <alignment horizontal="left" vertical="center"/>
    </xf>
    <xf numFmtId="0" fontId="78" fillId="20" borderId="0" xfId="19" applyFont="1" applyFill="1" applyAlignment="1">
      <alignment horizontal="left" vertical="center"/>
    </xf>
    <xf numFmtId="0" fontId="78" fillId="20" borderId="0" xfId="19" applyFont="1" applyFill="1" applyAlignment="1">
      <alignment vertical="center"/>
    </xf>
    <xf numFmtId="0" fontId="78" fillId="20" borderId="0" xfId="19" applyFont="1" applyFill="1" applyAlignment="1">
      <alignment horizontal="center" vertical="center"/>
    </xf>
    <xf numFmtId="0" fontId="90" fillId="0" borderId="0" xfId="13" applyFont="1" applyAlignment="1">
      <alignment vertical="center"/>
    </xf>
    <xf numFmtId="0" fontId="100" fillId="0" borderId="0" xfId="18" applyFont="1" applyAlignment="1">
      <alignment horizontal="right" vertical="center"/>
    </xf>
    <xf numFmtId="0" fontId="76" fillId="0" borderId="0" xfId="15" applyFont="1"/>
    <xf numFmtId="49" fontId="90" fillId="0" borderId="0" xfId="13" applyNumberFormat="1" applyFont="1">
      <alignment horizontal="left" vertical="center"/>
    </xf>
    <xf numFmtId="1" fontId="78" fillId="0" borderId="54" xfId="19" applyNumberFormat="1" applyFont="1" applyBorder="1" applyAlignment="1">
      <alignment horizontal="center" vertical="center"/>
    </xf>
    <xf numFmtId="0" fontId="115" fillId="0" borderId="55" xfId="12" applyFont="1" applyBorder="1" applyAlignment="1">
      <alignment vertical="top" wrapText="1"/>
    </xf>
    <xf numFmtId="0" fontId="115" fillId="0" borderId="0" xfId="12" applyFont="1" applyAlignment="1">
      <alignment vertical="top" wrapText="1"/>
    </xf>
    <xf numFmtId="0" fontId="64" fillId="4" borderId="18" xfId="13" applyFont="1" applyFill="1" applyBorder="1">
      <alignment horizontal="left" vertical="center"/>
    </xf>
    <xf numFmtId="1" fontId="78" fillId="0" borderId="18" xfId="19" applyNumberFormat="1" applyFont="1" applyBorder="1" applyAlignment="1">
      <alignment horizontal="center" vertical="center"/>
    </xf>
    <xf numFmtId="0" fontId="115" fillId="0" borderId="28" xfId="12" applyFont="1" applyBorder="1" applyAlignment="1">
      <alignment vertical="top" wrapText="1"/>
    </xf>
    <xf numFmtId="0" fontId="80" fillId="0" borderId="3" xfId="19" applyFont="1" applyBorder="1" applyAlignment="1">
      <alignment horizontal="center" vertical="center"/>
    </xf>
    <xf numFmtId="0" fontId="64" fillId="0" borderId="3" xfId="19" applyFont="1" applyBorder="1" applyAlignment="1">
      <alignment vertical="center"/>
    </xf>
    <xf numFmtId="0" fontId="64" fillId="0" borderId="0" xfId="19" applyFont="1" applyAlignment="1">
      <alignment vertical="center"/>
    </xf>
    <xf numFmtId="0" fontId="111" fillId="0" borderId="21" xfId="19" applyFont="1" applyBorder="1" applyAlignment="1">
      <alignment horizontal="left" vertical="center"/>
    </xf>
    <xf numFmtId="0" fontId="110" fillId="0" borderId="23" xfId="19" applyFont="1" applyBorder="1" applyAlignment="1">
      <alignment vertical="center"/>
    </xf>
    <xf numFmtId="0" fontId="110" fillId="0" borderId="0" xfId="19" applyFont="1" applyAlignment="1">
      <alignment vertical="center"/>
    </xf>
    <xf numFmtId="0" fontId="100" fillId="0" borderId="35" xfId="13" applyFont="1" applyBorder="1" applyAlignment="1">
      <alignment horizontal="center" vertical="center" wrapText="1"/>
    </xf>
    <xf numFmtId="0" fontId="75" fillId="0" borderId="37" xfId="19" applyFont="1" applyBorder="1" applyAlignment="1">
      <alignment horizontal="center" vertical="center"/>
    </xf>
    <xf numFmtId="0" fontId="64" fillId="15" borderId="36" xfId="13" applyFont="1" applyFill="1" applyBorder="1" applyAlignment="1">
      <alignment horizontal="center" vertical="center"/>
    </xf>
    <xf numFmtId="1" fontId="64" fillId="15" borderId="48" xfId="20" applyNumberFormat="1" applyFont="1" applyFill="1" applyBorder="1" applyAlignment="1" applyProtection="1">
      <alignment horizontal="center" vertical="center"/>
    </xf>
    <xf numFmtId="0" fontId="78" fillId="15" borderId="0" xfId="19" applyFont="1" applyFill="1" applyAlignment="1">
      <alignment horizontal="center" vertical="center"/>
    </xf>
    <xf numFmtId="0" fontId="116" fillId="15" borderId="37" xfId="19" applyFont="1" applyFill="1" applyBorder="1" applyAlignment="1">
      <alignment horizontal="center" vertical="center"/>
    </xf>
    <xf numFmtId="0" fontId="116" fillId="0" borderId="37" xfId="19" applyFont="1" applyBorder="1" applyAlignment="1">
      <alignment horizontal="center" vertical="center"/>
    </xf>
    <xf numFmtId="0" fontId="81" fillId="0" borderId="56" xfId="16" applyFont="1" applyBorder="1">
      <alignment vertical="center"/>
    </xf>
    <xf numFmtId="0" fontId="64" fillId="0" borderId="51" xfId="13" applyFont="1" applyBorder="1">
      <alignment horizontal="left" vertical="center"/>
    </xf>
    <xf numFmtId="0" fontId="64" fillId="0" borderId="51" xfId="13" applyFont="1" applyBorder="1" applyAlignment="1">
      <alignment horizontal="center" vertical="center"/>
    </xf>
    <xf numFmtId="0" fontId="64" fillId="0" borderId="57" xfId="13" applyFont="1" applyBorder="1">
      <alignment horizontal="left" vertical="center"/>
    </xf>
    <xf numFmtId="0" fontId="64" fillId="0" borderId="56" xfId="13" applyFont="1" applyBorder="1">
      <alignment horizontal="left" vertical="center"/>
    </xf>
    <xf numFmtId="0" fontId="92" fillId="0" borderId="4" xfId="13" applyFont="1" applyBorder="1">
      <alignment horizontal="left" vertical="center"/>
    </xf>
    <xf numFmtId="170" fontId="83" fillId="0" borderId="6" xfId="13" applyNumberFormat="1" applyFont="1" applyBorder="1">
      <alignment horizontal="left" vertical="center"/>
    </xf>
    <xf numFmtId="9" fontId="83" fillId="0" borderId="6" xfId="20" applyFont="1" applyBorder="1" applyAlignment="1" applyProtection="1">
      <alignment horizontal="center" vertical="center"/>
    </xf>
    <xf numFmtId="0" fontId="83" fillId="0" borderId="6" xfId="13" applyFont="1" applyBorder="1">
      <alignment horizontal="left" vertical="center"/>
    </xf>
    <xf numFmtId="0" fontId="83" fillId="0" borderId="6" xfId="13" applyFont="1" applyBorder="1" applyAlignment="1">
      <alignment horizontal="center" vertical="center"/>
    </xf>
    <xf numFmtId="0" fontId="64" fillId="0" borderId="5" xfId="13" applyFont="1" applyBorder="1">
      <alignment horizontal="left" vertical="center"/>
    </xf>
    <xf numFmtId="0" fontId="78" fillId="0" borderId="54" xfId="19" applyFont="1" applyBorder="1" applyAlignment="1">
      <alignment horizontal="left" vertical="center"/>
    </xf>
    <xf numFmtId="0" fontId="78" fillId="0" borderId="24" xfId="19" applyFont="1" applyBorder="1" applyAlignment="1">
      <alignment vertical="center"/>
    </xf>
    <xf numFmtId="0" fontId="78" fillId="0" borderId="55" xfId="19" applyFont="1" applyBorder="1" applyAlignment="1">
      <alignment vertical="center"/>
    </xf>
    <xf numFmtId="0" fontId="78" fillId="0" borderId="18" xfId="19" applyFont="1" applyBorder="1"/>
    <xf numFmtId="0" fontId="78" fillId="0" borderId="0" xfId="19" applyFont="1"/>
    <xf numFmtId="0" fontId="72" fillId="0" borderId="21" xfId="19" applyFont="1" applyBorder="1"/>
    <xf numFmtId="0" fontId="72" fillId="0" borderId="7" xfId="19" applyFont="1" applyBorder="1"/>
    <xf numFmtId="0" fontId="72" fillId="0" borderId="23" xfId="19" applyFont="1" applyBorder="1"/>
    <xf numFmtId="9" fontId="64" fillId="0" borderId="36" xfId="1" applyFont="1" applyFill="1" applyBorder="1" applyAlignment="1" applyProtection="1">
      <alignment horizontal="center" vertical="center"/>
    </xf>
    <xf numFmtId="0" fontId="76" fillId="20" borderId="37" xfId="13" applyFont="1" applyFill="1" applyBorder="1" applyAlignment="1" applyProtection="1">
      <alignment horizontal="left" vertical="center" wrapText="1"/>
      <protection locked="0"/>
    </xf>
    <xf numFmtId="0" fontId="76" fillId="20" borderId="51" xfId="13" applyFont="1" applyFill="1" applyBorder="1" applyAlignment="1" applyProtection="1">
      <alignment horizontal="left" vertical="center" wrapText="1"/>
      <protection locked="0"/>
    </xf>
    <xf numFmtId="0" fontId="76" fillId="20" borderId="35" xfId="13" applyFont="1" applyFill="1" applyBorder="1" applyAlignment="1" applyProtection="1">
      <alignment horizontal="left" vertical="center" wrapText="1"/>
      <protection locked="0"/>
    </xf>
    <xf numFmtId="170" fontId="64" fillId="4" borderId="0" xfId="13" applyNumberFormat="1" applyFont="1" applyFill="1" applyAlignment="1">
      <alignment horizontal="center" vertical="center"/>
    </xf>
    <xf numFmtId="0" fontId="77" fillId="0" borderId="0" xfId="19" applyFont="1" applyAlignment="1">
      <alignment vertical="center"/>
    </xf>
    <xf numFmtId="0" fontId="77" fillId="0" borderId="3" xfId="19" applyFont="1" applyBorder="1" applyAlignment="1">
      <alignment vertical="center"/>
    </xf>
    <xf numFmtId="0" fontId="72" fillId="15" borderId="0" xfId="9" applyFont="1" applyFill="1" applyAlignment="1">
      <alignment horizontal="center"/>
    </xf>
    <xf numFmtId="0" fontId="64" fillId="32" borderId="36" xfId="13" applyFont="1" applyFill="1" applyBorder="1" applyAlignment="1">
      <alignment horizontal="center" vertical="center"/>
    </xf>
    <xf numFmtId="1" fontId="73" fillId="4" borderId="0" xfId="0" applyNumberFormat="1" applyFont="1" applyFill="1" applyAlignment="1">
      <alignment horizontal="center"/>
    </xf>
    <xf numFmtId="0" fontId="74" fillId="4" borderId="0" xfId="0" applyFont="1" applyFill="1"/>
    <xf numFmtId="9" fontId="73" fillId="4" borderId="3" xfId="1" applyFont="1" applyFill="1" applyBorder="1"/>
    <xf numFmtId="0" fontId="118" fillId="4" borderId="0" xfId="0" applyFont="1" applyFill="1"/>
    <xf numFmtId="1" fontId="73" fillId="4" borderId="0" xfId="1" applyNumberFormat="1" applyFont="1" applyFill="1" applyBorder="1" applyAlignment="1">
      <alignment horizontal="center"/>
    </xf>
    <xf numFmtId="0" fontId="64" fillId="4" borderId="0" xfId="0" applyFont="1" applyFill="1" applyAlignment="1">
      <alignment horizontal="center"/>
    </xf>
    <xf numFmtId="0" fontId="119" fillId="15" borderId="0" xfId="0" applyFont="1" applyFill="1" applyAlignment="1">
      <alignment horizontal="right"/>
    </xf>
    <xf numFmtId="0" fontId="64" fillId="15" borderId="58" xfId="0" applyFont="1" applyFill="1" applyBorder="1"/>
    <xf numFmtId="0" fontId="64" fillId="15" borderId="59" xfId="0" applyFont="1" applyFill="1" applyBorder="1"/>
    <xf numFmtId="0" fontId="64" fillId="15" borderId="59" xfId="0" applyFont="1" applyFill="1" applyBorder="1" applyAlignment="1">
      <alignment horizontal="center"/>
    </xf>
    <xf numFmtId="0" fontId="68" fillId="4" borderId="60" xfId="0" applyFont="1" applyFill="1" applyBorder="1"/>
    <xf numFmtId="0" fontId="68" fillId="4" borderId="61" xfId="0" applyFont="1" applyFill="1" applyBorder="1" applyAlignment="1">
      <alignment horizontal="center" wrapText="1"/>
    </xf>
    <xf numFmtId="0" fontId="72" fillId="4" borderId="61" xfId="0" applyFont="1" applyFill="1" applyBorder="1"/>
    <xf numFmtId="0" fontId="64" fillId="4" borderId="62" xfId="0" applyFont="1" applyFill="1" applyBorder="1"/>
    <xf numFmtId="0" fontId="64" fillId="4" borderId="63" xfId="0" applyFont="1" applyFill="1" applyBorder="1"/>
    <xf numFmtId="0" fontId="64" fillId="4" borderId="64" xfId="0" applyFont="1" applyFill="1" applyBorder="1"/>
    <xf numFmtId="0" fontId="64" fillId="4" borderId="63" xfId="0" applyFont="1" applyFill="1" applyBorder="1" applyAlignment="1">
      <alignment horizontal="left"/>
    </xf>
    <xf numFmtId="0" fontId="64" fillId="4" borderId="63" xfId="0" applyFont="1" applyFill="1" applyBorder="1" applyAlignment="1">
      <alignment horizontal="right"/>
    </xf>
    <xf numFmtId="0" fontId="64" fillId="4" borderId="65" xfId="0" applyFont="1" applyFill="1" applyBorder="1"/>
    <xf numFmtId="0" fontId="64" fillId="4" borderId="66" xfId="0" applyFont="1" applyFill="1" applyBorder="1" applyAlignment="1">
      <alignment horizontal="center"/>
    </xf>
    <xf numFmtId="0" fontId="64" fillId="4" borderId="66" xfId="0" applyFont="1" applyFill="1" applyBorder="1"/>
    <xf numFmtId="0" fontId="64" fillId="4" borderId="67" xfId="0" applyFont="1" applyFill="1" applyBorder="1"/>
    <xf numFmtId="0" fontId="72" fillId="15" borderId="58" xfId="9" applyFont="1" applyFill="1" applyBorder="1"/>
    <xf numFmtId="0" fontId="72" fillId="15" borderId="59" xfId="9" applyFont="1" applyFill="1" applyBorder="1"/>
    <xf numFmtId="0" fontId="64" fillId="15" borderId="58" xfId="0" applyFont="1" applyFill="1" applyBorder="1" applyAlignment="1">
      <alignment horizontal="center"/>
    </xf>
    <xf numFmtId="0" fontId="64" fillId="15" borderId="3" xfId="0" applyFont="1" applyFill="1" applyBorder="1" applyAlignment="1">
      <alignment horizontal="right"/>
    </xf>
    <xf numFmtId="14" fontId="64" fillId="15" borderId="3" xfId="0" applyNumberFormat="1" applyFont="1" applyFill="1" applyBorder="1" applyAlignment="1">
      <alignment horizontal="left"/>
    </xf>
    <xf numFmtId="0" fontId="17" fillId="15" borderId="0" xfId="6" applyFont="1" applyFill="1" applyAlignment="1">
      <alignment horizontal="right"/>
    </xf>
    <xf numFmtId="0" fontId="17" fillId="15" borderId="0" xfId="6" applyFont="1" applyFill="1" applyAlignment="1">
      <alignment horizontal="right" vertical="center"/>
    </xf>
    <xf numFmtId="0" fontId="107" fillId="0" borderId="0" xfId="12" applyFont="1" applyAlignment="1">
      <alignment horizontal="center" vertical="center"/>
    </xf>
    <xf numFmtId="0" fontId="107" fillId="0" borderId="0" xfId="12" applyFont="1">
      <alignment vertical="center"/>
    </xf>
    <xf numFmtId="0" fontId="81" fillId="0" borderId="0" xfId="12" applyFont="1">
      <alignment vertical="center"/>
    </xf>
    <xf numFmtId="0" fontId="124" fillId="0" borderId="0" xfId="12" applyFont="1">
      <alignment vertical="center"/>
    </xf>
    <xf numFmtId="0" fontId="125" fillId="0" borderId="0" xfId="12" applyFont="1">
      <alignment vertical="center"/>
    </xf>
    <xf numFmtId="0" fontId="78" fillId="0" borderId="0" xfId="17" applyFont="1" applyAlignment="1">
      <alignment horizontal="center" vertical="center"/>
    </xf>
    <xf numFmtId="0" fontId="78" fillId="0" borderId="0" xfId="17" applyFont="1">
      <alignment horizontal="left" vertical="center"/>
    </xf>
    <xf numFmtId="0" fontId="78" fillId="0" borderId="0" xfId="17" applyFont="1" applyAlignment="1">
      <alignment horizontal="left" vertical="center" wrapText="1"/>
    </xf>
    <xf numFmtId="0" fontId="100" fillId="24" borderId="36" xfId="18" applyFont="1" applyFill="1" applyBorder="1" applyAlignment="1">
      <alignment horizontal="center" vertical="center" wrapText="1"/>
    </xf>
    <xf numFmtId="0" fontId="100" fillId="30" borderId="36" xfId="18" applyFont="1" applyFill="1" applyBorder="1">
      <alignment horizontal="center" vertical="center"/>
    </xf>
    <xf numFmtId="0" fontId="100" fillId="30" borderId="36" xfId="18" applyFont="1" applyFill="1" applyBorder="1" applyAlignment="1">
      <alignment horizontal="center" vertical="center" wrapText="1"/>
    </xf>
    <xf numFmtId="0" fontId="100" fillId="33" borderId="36" xfId="17" applyFont="1" applyFill="1" applyBorder="1" applyAlignment="1">
      <alignment horizontal="center" vertical="center"/>
    </xf>
    <xf numFmtId="0" fontId="100" fillId="0" borderId="48" xfId="18" applyFont="1" applyBorder="1" applyAlignment="1">
      <alignment horizontal="center" vertical="center" wrapText="1"/>
    </xf>
    <xf numFmtId="0" fontId="78" fillId="0" borderId="36" xfId="17" applyFont="1" applyBorder="1" applyAlignment="1">
      <alignment horizontal="center" vertical="center"/>
    </xf>
    <xf numFmtId="165" fontId="100" fillId="0" borderId="36" xfId="18" applyNumberFormat="1" applyFont="1" applyBorder="1">
      <alignment horizontal="center" vertical="center"/>
    </xf>
    <xf numFmtId="0" fontId="100" fillId="0" borderId="0" xfId="18" applyFont="1" applyAlignment="1">
      <alignment horizontal="right" vertical="center" wrapText="1"/>
    </xf>
    <xf numFmtId="0" fontId="78" fillId="0" borderId="0" xfId="17" applyFont="1" applyAlignment="1">
      <alignment horizontal="center" vertical="center" wrapText="1"/>
    </xf>
    <xf numFmtId="0" fontId="78" fillId="0" borderId="0" xfId="17" applyFont="1" applyAlignment="1">
      <alignment horizontal="right" vertical="center"/>
    </xf>
    <xf numFmtId="1" fontId="78" fillId="0" borderId="7" xfId="17" applyNumberFormat="1" applyFont="1" applyBorder="1" applyAlignment="1">
      <alignment horizontal="center" vertical="center"/>
    </xf>
    <xf numFmtId="1" fontId="78" fillId="0" borderId="6" xfId="17" applyNumberFormat="1" applyFont="1" applyBorder="1" applyAlignment="1">
      <alignment horizontal="center" vertical="center"/>
    </xf>
    <xf numFmtId="165" fontId="78" fillId="0" borderId="0" xfId="17" applyNumberFormat="1" applyFont="1" applyAlignment="1">
      <alignment horizontal="center" vertical="center"/>
    </xf>
    <xf numFmtId="0" fontId="78" fillId="0" borderId="0" xfId="17" applyFont="1" applyAlignment="1">
      <alignment horizontal="left" vertical="top"/>
    </xf>
    <xf numFmtId="0" fontId="66" fillId="15" borderId="0" xfId="9" applyFont="1" applyFill="1" applyAlignment="1">
      <alignment horizontal="left" vertical="center"/>
    </xf>
    <xf numFmtId="0" fontId="68" fillId="15" borderId="7" xfId="9" applyFont="1" applyFill="1" applyBorder="1" applyAlignment="1">
      <alignment horizontal="left"/>
    </xf>
    <xf numFmtId="0" fontId="66" fillId="15" borderId="7" xfId="9" applyFont="1" applyFill="1" applyBorder="1" applyAlignment="1">
      <alignment horizontal="left"/>
    </xf>
    <xf numFmtId="0" fontId="122" fillId="0" borderId="7" xfId="16" applyFont="1" applyBorder="1" applyAlignment="1">
      <alignment horizontal="left" vertical="center"/>
    </xf>
    <xf numFmtId="0" fontId="64" fillId="0" borderId="7" xfId="13" applyFont="1" applyBorder="1">
      <alignment horizontal="left" vertical="center"/>
    </xf>
    <xf numFmtId="0" fontId="64" fillId="0" borderId="7" xfId="15" applyFont="1" applyBorder="1"/>
    <xf numFmtId="0" fontId="123" fillId="0" borderId="7" xfId="12" applyFont="1" applyBorder="1" applyAlignment="1">
      <alignment vertical="center" wrapText="1"/>
    </xf>
    <xf numFmtId="0" fontId="100" fillId="34" borderId="36" xfId="17" applyFont="1" applyFill="1" applyBorder="1" applyAlignment="1" applyProtection="1">
      <alignment horizontal="center" vertical="center"/>
      <protection locked="0"/>
    </xf>
    <xf numFmtId="0" fontId="78" fillId="34" borderId="36" xfId="17" applyFont="1" applyFill="1" applyBorder="1" applyAlignment="1" applyProtection="1">
      <alignment horizontal="left" vertical="center" wrapText="1"/>
      <protection locked="0"/>
    </xf>
    <xf numFmtId="0" fontId="126" fillId="15" borderId="58" xfId="9" applyFont="1" applyFill="1" applyBorder="1" applyAlignment="1">
      <alignment vertical="center"/>
    </xf>
    <xf numFmtId="0" fontId="78" fillId="15" borderId="0" xfId="17" applyFont="1" applyFill="1">
      <alignment horizontal="left" vertical="center"/>
    </xf>
    <xf numFmtId="0" fontId="48" fillId="0" borderId="3" xfId="0" applyFont="1" applyBorder="1"/>
    <xf numFmtId="0" fontId="0" fillId="0" borderId="3" xfId="0" applyBorder="1"/>
    <xf numFmtId="0" fontId="0" fillId="0" borderId="3" xfId="0" applyBorder="1" applyAlignment="1">
      <alignment horizontal="center"/>
    </xf>
    <xf numFmtId="0" fontId="48" fillId="0" borderId="3" xfId="0" applyFont="1" applyBorder="1" applyAlignment="1">
      <alignment horizontal="center"/>
    </xf>
    <xf numFmtId="0" fontId="64" fillId="35" borderId="68" xfId="0" applyFont="1" applyFill="1" applyBorder="1" applyAlignment="1">
      <alignment vertical="center"/>
    </xf>
    <xf numFmtId="0" fontId="64" fillId="15" borderId="69" xfId="0" applyFont="1" applyFill="1" applyBorder="1" applyAlignment="1">
      <alignment vertical="center"/>
    </xf>
    <xf numFmtId="0" fontId="64" fillId="35" borderId="70" xfId="0" applyFont="1" applyFill="1" applyBorder="1" applyAlignment="1">
      <alignment vertical="center"/>
    </xf>
    <xf numFmtId="0" fontId="64" fillId="34" borderId="71" xfId="0" applyFont="1" applyFill="1" applyBorder="1" applyAlignment="1" applyProtection="1">
      <alignment horizontal="left" vertical="center"/>
      <protection locked="0"/>
    </xf>
    <xf numFmtId="0" fontId="64" fillId="34" borderId="71" xfId="0" applyFont="1" applyFill="1" applyBorder="1" applyAlignment="1" applyProtection="1">
      <alignment vertical="center" wrapText="1"/>
      <protection locked="0"/>
    </xf>
    <xf numFmtId="0" fontId="64" fillId="35" borderId="69" xfId="0" applyFont="1" applyFill="1" applyBorder="1" applyAlignment="1">
      <alignment vertical="center"/>
    </xf>
    <xf numFmtId="0" fontId="64" fillId="34" borderId="72" xfId="0" applyFont="1" applyFill="1" applyBorder="1" applyAlignment="1" applyProtection="1">
      <alignment vertical="center"/>
      <protection locked="0"/>
    </xf>
    <xf numFmtId="0" fontId="64" fillId="35" borderId="73" xfId="0" applyFont="1" applyFill="1" applyBorder="1" applyAlignment="1">
      <alignment vertical="center"/>
    </xf>
    <xf numFmtId="0" fontId="64" fillId="34" borderId="74" xfId="0" applyFont="1" applyFill="1" applyBorder="1" applyAlignment="1" applyProtection="1">
      <alignment horizontal="left" vertical="center" wrapText="1"/>
      <protection locked="0"/>
    </xf>
    <xf numFmtId="0" fontId="64" fillId="35" borderId="68" xfId="0" quotePrefix="1" applyFont="1" applyFill="1" applyBorder="1" applyAlignment="1">
      <alignment vertical="center"/>
    </xf>
    <xf numFmtId="166" fontId="64" fillId="34" borderId="69" xfId="0" applyNumberFormat="1" applyFont="1" applyFill="1" applyBorder="1" applyAlignment="1" applyProtection="1">
      <alignment vertical="center"/>
      <protection locked="0"/>
    </xf>
    <xf numFmtId="166" fontId="64" fillId="34" borderId="72" xfId="0" applyNumberFormat="1" applyFont="1" applyFill="1" applyBorder="1" applyAlignment="1" applyProtection="1">
      <alignment vertical="center"/>
      <protection locked="0"/>
    </xf>
    <xf numFmtId="0" fontId="64" fillId="35" borderId="70" xfId="0" quotePrefix="1" applyFont="1" applyFill="1" applyBorder="1" applyAlignment="1">
      <alignment vertical="center"/>
    </xf>
    <xf numFmtId="166" fontId="64" fillId="15" borderId="71" xfId="0" applyNumberFormat="1" applyFont="1" applyFill="1" applyBorder="1" applyAlignment="1">
      <alignment vertical="center"/>
    </xf>
    <xf numFmtId="0" fontId="64" fillId="35" borderId="71" xfId="0" applyFont="1" applyFill="1" applyBorder="1" applyAlignment="1">
      <alignment vertical="center"/>
    </xf>
    <xf numFmtId="166" fontId="64" fillId="15" borderId="75" xfId="0" applyNumberFormat="1" applyFont="1" applyFill="1" applyBorder="1" applyAlignment="1">
      <alignment vertical="center"/>
    </xf>
    <xf numFmtId="0" fontId="64" fillId="35" borderId="68" xfId="0" applyFont="1" applyFill="1" applyBorder="1" applyAlignment="1">
      <alignment vertical="center" wrapText="1"/>
    </xf>
    <xf numFmtId="0" fontId="64" fillId="35" borderId="70" xfId="0" applyFont="1" applyFill="1" applyBorder="1" applyAlignment="1">
      <alignment vertical="center" wrapText="1"/>
    </xf>
    <xf numFmtId="0" fontId="64" fillId="35" borderId="70" xfId="0" applyFont="1" applyFill="1" applyBorder="1" applyAlignment="1">
      <alignment vertical="top"/>
    </xf>
    <xf numFmtId="0" fontId="64" fillId="35" borderId="70" xfId="0" applyFont="1" applyFill="1" applyBorder="1"/>
    <xf numFmtId="0" fontId="64" fillId="35" borderId="73" xfId="0" applyFont="1" applyFill="1" applyBorder="1"/>
    <xf numFmtId="0" fontId="67" fillId="35" borderId="69" xfId="0" applyFont="1" applyFill="1" applyBorder="1" applyAlignment="1">
      <alignment horizontal="center" vertical="center" wrapText="1"/>
    </xf>
    <xf numFmtId="0" fontId="72" fillId="0" borderId="0" xfId="18" applyFont="1" applyAlignment="1">
      <alignment horizontal="left" vertical="center"/>
    </xf>
    <xf numFmtId="0" fontId="68" fillId="0" borderId="0" xfId="19" applyFont="1" applyAlignment="1">
      <alignment horizontal="left"/>
    </xf>
    <xf numFmtId="0" fontId="90" fillId="0" borderId="0" xfId="13" applyFont="1">
      <alignment horizontal="left" vertical="center"/>
    </xf>
    <xf numFmtId="49" fontId="98" fillId="0" borderId="0" xfId="13" applyNumberFormat="1" applyFont="1">
      <alignment horizontal="left" vertical="center"/>
    </xf>
    <xf numFmtId="0" fontId="98" fillId="0" borderId="0" xfId="13" applyFont="1">
      <alignment horizontal="left" vertical="center"/>
    </xf>
    <xf numFmtId="0" fontId="64" fillId="15" borderId="3" xfId="0" applyFont="1" applyFill="1" applyBorder="1" applyAlignment="1">
      <alignment horizontal="left"/>
    </xf>
    <xf numFmtId="2" fontId="104" fillId="15" borderId="3" xfId="6" applyNumberFormat="1" applyFont="1" applyFill="1" applyBorder="1" applyAlignment="1">
      <alignment horizontal="center"/>
    </xf>
    <xf numFmtId="167" fontId="102" fillId="15" borderId="0" xfId="6" applyNumberFormat="1" applyFont="1" applyFill="1" applyAlignment="1">
      <alignment horizontal="left"/>
    </xf>
    <xf numFmtId="0" fontId="102" fillId="0" borderId="0" xfId="6" applyFont="1" applyAlignment="1">
      <alignment horizontal="center"/>
    </xf>
    <xf numFmtId="0" fontId="102" fillId="18" borderId="3" xfId="6" applyFont="1" applyFill="1" applyBorder="1" applyAlignment="1" applyProtection="1">
      <alignment horizontal="center"/>
      <protection locked="0"/>
    </xf>
    <xf numFmtId="172" fontId="102" fillId="15" borderId="3" xfId="6" applyNumberFormat="1" applyFont="1" applyFill="1" applyBorder="1" applyAlignment="1">
      <alignment horizontal="center"/>
    </xf>
    <xf numFmtId="172" fontId="102" fillId="15" borderId="0" xfId="6" applyNumberFormat="1" applyFont="1" applyFill="1" applyAlignment="1">
      <alignment horizontal="center"/>
    </xf>
    <xf numFmtId="43" fontId="102" fillId="20" borderId="69" xfId="3" applyFont="1" applyFill="1" applyBorder="1" applyAlignment="1" applyProtection="1">
      <alignment horizontal="center"/>
    </xf>
    <xf numFmtId="171" fontId="102" fillId="20" borderId="69" xfId="2" applyNumberFormat="1" applyFont="1" applyFill="1" applyBorder="1" applyAlignment="1" applyProtection="1">
      <alignment horizontal="center"/>
    </xf>
    <xf numFmtId="43" fontId="102" fillId="20" borderId="71" xfId="3" applyFont="1" applyFill="1" applyBorder="1" applyAlignment="1" applyProtection="1">
      <alignment horizontal="center"/>
    </xf>
    <xf numFmtId="43" fontId="102" fillId="20" borderId="76" xfId="3" applyFont="1" applyFill="1" applyBorder="1" applyAlignment="1" applyProtection="1">
      <alignment horizontal="center"/>
    </xf>
    <xf numFmtId="173" fontId="102" fillId="20" borderId="69" xfId="3" applyNumberFormat="1" applyFont="1" applyFill="1" applyBorder="1" applyAlignment="1" applyProtection="1">
      <alignment horizontal="right"/>
    </xf>
    <xf numFmtId="173" fontId="102" fillId="20" borderId="71" xfId="3" applyNumberFormat="1" applyFont="1" applyFill="1" applyBorder="1" applyAlignment="1" applyProtection="1">
      <alignment horizontal="right"/>
    </xf>
    <xf numFmtId="173" fontId="102" fillId="20" borderId="76" xfId="3" applyNumberFormat="1" applyFont="1" applyFill="1" applyBorder="1" applyAlignment="1" applyProtection="1">
      <alignment horizontal="right"/>
    </xf>
    <xf numFmtId="0" fontId="96" fillId="15" borderId="0" xfId="0" applyFont="1" applyFill="1"/>
    <xf numFmtId="9" fontId="91" fillId="15" borderId="0" xfId="1" applyFont="1" applyFill="1" applyBorder="1"/>
    <xf numFmtId="0" fontId="0" fillId="0" borderId="7" xfId="0" applyBorder="1"/>
    <xf numFmtId="0" fontId="0" fillId="0" borderId="77" xfId="0" applyBorder="1"/>
    <xf numFmtId="0" fontId="0" fillId="0" borderId="77" xfId="0" applyBorder="1" applyAlignment="1">
      <alignment wrapText="1"/>
    </xf>
    <xf numFmtId="0" fontId="2" fillId="15" borderId="77" xfId="9" applyFill="1" applyBorder="1" applyAlignment="1">
      <alignment vertical="top" wrapText="1"/>
    </xf>
    <xf numFmtId="0" fontId="2" fillId="15" borderId="77" xfId="9" applyFill="1" applyBorder="1" applyAlignment="1">
      <alignment wrapText="1"/>
    </xf>
    <xf numFmtId="0" fontId="2" fillId="15" borderId="77" xfId="9" applyFill="1" applyBorder="1" applyAlignment="1">
      <alignment vertical="center" wrapText="1"/>
    </xf>
    <xf numFmtId="0" fontId="2" fillId="15" borderId="77" xfId="9" applyFill="1" applyBorder="1" applyAlignment="1">
      <alignment vertical="center"/>
    </xf>
    <xf numFmtId="0" fontId="130" fillId="15" borderId="77" xfId="9" applyFont="1" applyFill="1" applyBorder="1" applyAlignment="1">
      <alignment wrapText="1"/>
    </xf>
    <xf numFmtId="0" fontId="94" fillId="15" borderId="0" xfId="0" applyFont="1" applyFill="1" applyAlignment="1">
      <alignment horizontal="left"/>
    </xf>
    <xf numFmtId="0" fontId="80" fillId="36" borderId="25" xfId="8" applyNumberFormat="1" applyFont="1" applyFill="1" applyBorder="1" applyAlignment="1" applyProtection="1">
      <alignment vertical="center" wrapText="1"/>
    </xf>
    <xf numFmtId="0" fontId="68" fillId="15" borderId="0" xfId="9" applyFont="1" applyFill="1"/>
    <xf numFmtId="0" fontId="76" fillId="0" borderId="36" xfId="17" applyFont="1" applyBorder="1" applyAlignment="1">
      <alignment horizontal="center" vertical="center" wrapText="1"/>
    </xf>
    <xf numFmtId="0" fontId="78" fillId="0" borderId="36" xfId="17" applyFont="1" applyBorder="1" applyAlignment="1">
      <alignment horizontal="left" vertical="center" wrapText="1"/>
    </xf>
    <xf numFmtId="0" fontId="78" fillId="0" borderId="36" xfId="17" applyFont="1" applyBorder="1" applyAlignment="1">
      <alignment horizontal="center" vertical="center" wrapText="1"/>
    </xf>
    <xf numFmtId="0" fontId="78" fillId="0" borderId="36" xfId="17" applyFont="1" applyBorder="1" applyAlignment="1">
      <alignment vertical="center" wrapText="1"/>
    </xf>
    <xf numFmtId="0" fontId="90" fillId="35" borderId="70" xfId="0" applyFont="1" applyFill="1" applyBorder="1" applyAlignment="1">
      <alignment vertical="center"/>
    </xf>
    <xf numFmtId="1" fontId="6" fillId="0" borderId="78" xfId="0" applyNumberFormat="1" applyFont="1" applyBorder="1" applyAlignment="1">
      <alignment horizontal="center" wrapText="1"/>
    </xf>
    <xf numFmtId="165" fontId="6" fillId="0" borderId="79" xfId="0" applyNumberFormat="1" applyFont="1" applyBorder="1" applyAlignment="1">
      <alignment horizontal="center" wrapText="1"/>
    </xf>
    <xf numFmtId="1" fontId="6" fillId="0" borderId="80" xfId="0" applyNumberFormat="1" applyFont="1" applyBorder="1" applyAlignment="1">
      <alignment horizontal="center" wrapText="1"/>
    </xf>
    <xf numFmtId="165" fontId="6" fillId="0" borderId="81" xfId="0" applyNumberFormat="1" applyFont="1" applyBorder="1" applyAlignment="1">
      <alignment horizontal="center" wrapText="1"/>
    </xf>
    <xf numFmtId="0" fontId="20" fillId="19" borderId="82" xfId="5" applyFont="1" applyFill="1" applyBorder="1" applyAlignment="1" applyProtection="1">
      <alignment horizontal="center" wrapText="1"/>
    </xf>
    <xf numFmtId="0" fontId="6" fillId="19" borderId="80" xfId="0" applyFont="1" applyFill="1" applyBorder="1" applyAlignment="1">
      <alignment horizontal="center" vertical="center" wrapText="1"/>
    </xf>
    <xf numFmtId="0" fontId="6" fillId="19" borderId="81" xfId="0" applyFont="1" applyFill="1" applyBorder="1" applyAlignment="1">
      <alignment horizontal="center" vertical="center" wrapText="1"/>
    </xf>
    <xf numFmtId="0" fontId="131" fillId="19" borderId="83" xfId="5" applyFont="1" applyFill="1" applyBorder="1" applyAlignment="1" applyProtection="1">
      <alignment horizontal="center" wrapText="1"/>
    </xf>
    <xf numFmtId="0" fontId="131" fillId="19" borderId="84" xfId="5" applyFont="1" applyFill="1" applyBorder="1" applyAlignment="1" applyProtection="1">
      <alignment horizontal="center" wrapText="1"/>
    </xf>
    <xf numFmtId="0" fontId="131" fillId="19" borderId="85" xfId="5" applyFont="1" applyFill="1" applyBorder="1" applyAlignment="1" applyProtection="1">
      <alignment horizontal="center" wrapText="1"/>
    </xf>
    <xf numFmtId="172" fontId="102" fillId="13" borderId="69" xfId="3" applyNumberFormat="1" applyFont="1" applyFill="1" applyBorder="1" applyAlignment="1" applyProtection="1">
      <alignment horizontal="center"/>
    </xf>
    <xf numFmtId="172" fontId="102" fillId="13" borderId="71" xfId="3" applyNumberFormat="1" applyFont="1" applyFill="1" applyBorder="1" applyAlignment="1" applyProtection="1">
      <alignment horizontal="center"/>
    </xf>
    <xf numFmtId="172" fontId="102" fillId="13" borderId="76" xfId="3" applyNumberFormat="1" applyFont="1" applyFill="1" applyBorder="1" applyAlignment="1" applyProtection="1">
      <alignment horizontal="center"/>
    </xf>
    <xf numFmtId="171" fontId="102" fillId="13" borderId="69" xfId="6" applyNumberFormat="1" applyFont="1" applyFill="1" applyBorder="1" applyAlignment="1">
      <alignment horizontal="center"/>
    </xf>
    <xf numFmtId="0" fontId="132" fillId="15" borderId="0" xfId="0" applyFont="1" applyFill="1"/>
    <xf numFmtId="0" fontId="132" fillId="15" borderId="0" xfId="0" applyFont="1" applyFill="1" applyAlignment="1">
      <alignment vertical="center" wrapText="1"/>
    </xf>
    <xf numFmtId="0" fontId="133" fillId="15" borderId="0" xfId="0" applyFont="1" applyFill="1"/>
    <xf numFmtId="0" fontId="134" fillId="15" borderId="0" xfId="0" applyFont="1" applyFill="1"/>
    <xf numFmtId="166" fontId="6" fillId="34" borderId="78" xfId="0" applyNumberFormat="1" applyFont="1" applyFill="1" applyBorder="1" applyAlignment="1">
      <alignment horizontal="center" wrapText="1"/>
    </xf>
    <xf numFmtId="0" fontId="6" fillId="34" borderId="78" xfId="0" applyFont="1" applyFill="1" applyBorder="1" applyAlignment="1">
      <alignment wrapText="1"/>
    </xf>
    <xf numFmtId="0" fontId="6" fillId="34" borderId="78" xfId="0" applyFont="1" applyFill="1" applyBorder="1" applyAlignment="1">
      <alignment horizontal="center" wrapText="1"/>
    </xf>
    <xf numFmtId="166" fontId="6" fillId="34" borderId="80" xfId="0" applyNumberFormat="1" applyFont="1" applyFill="1" applyBorder="1" applyAlignment="1">
      <alignment horizontal="center" wrapText="1"/>
    </xf>
    <xf numFmtId="0" fontId="6" fillId="34" borderId="80" xfId="0" applyFont="1" applyFill="1" applyBorder="1" applyAlignment="1">
      <alignment wrapText="1"/>
    </xf>
    <xf numFmtId="0" fontId="6" fillId="34" borderId="80" xfId="0" applyFont="1" applyFill="1" applyBorder="1" applyAlignment="1">
      <alignment horizontal="center" wrapText="1"/>
    </xf>
    <xf numFmtId="171" fontId="102" fillId="20" borderId="71" xfId="2" applyNumberFormat="1" applyFont="1" applyFill="1" applyBorder="1" applyAlignment="1" applyProtection="1">
      <alignment horizontal="center"/>
    </xf>
    <xf numFmtId="171" fontId="102" fillId="20" borderId="76" xfId="2" applyNumberFormat="1" applyFont="1" applyFill="1" applyBorder="1" applyAlignment="1" applyProtection="1">
      <alignment horizontal="center"/>
    </xf>
    <xf numFmtId="1" fontId="102" fillId="15" borderId="86" xfId="6" applyNumberFormat="1" applyFont="1" applyFill="1" applyBorder="1" applyAlignment="1">
      <alignment horizontal="center"/>
    </xf>
    <xf numFmtId="1" fontId="102" fillId="15" borderId="87" xfId="6" applyNumberFormat="1" applyFont="1" applyFill="1" applyBorder="1" applyAlignment="1">
      <alignment horizontal="center"/>
    </xf>
    <xf numFmtId="1" fontId="102" fillId="15" borderId="88" xfId="6" applyNumberFormat="1" applyFont="1" applyFill="1" applyBorder="1" applyAlignment="1">
      <alignment horizontal="center"/>
    </xf>
    <xf numFmtId="1" fontId="102" fillId="15" borderId="89" xfId="6" applyNumberFormat="1" applyFont="1" applyFill="1" applyBorder="1" applyAlignment="1">
      <alignment horizontal="center"/>
    </xf>
    <xf numFmtId="1" fontId="102" fillId="15" borderId="90" xfId="6" applyNumberFormat="1" applyFont="1" applyFill="1" applyBorder="1" applyAlignment="1">
      <alignment horizontal="center"/>
    </xf>
    <xf numFmtId="1" fontId="102" fillId="15" borderId="91" xfId="6" applyNumberFormat="1" applyFont="1" applyFill="1" applyBorder="1" applyAlignment="1">
      <alignment horizontal="center"/>
    </xf>
    <xf numFmtId="0" fontId="6" fillId="34" borderId="92" xfId="0" applyFont="1" applyFill="1" applyBorder="1" applyAlignment="1">
      <alignment wrapText="1"/>
    </xf>
    <xf numFmtId="166" fontId="6" fillId="34" borderId="93" xfId="0" applyNumberFormat="1" applyFont="1" applyFill="1" applyBorder="1" applyAlignment="1">
      <alignment horizontal="center" wrapText="1"/>
    </xf>
    <xf numFmtId="0" fontId="6" fillId="34" borderId="93" xfId="0" applyFont="1" applyFill="1" applyBorder="1" applyAlignment="1">
      <alignment wrapText="1"/>
    </xf>
    <xf numFmtId="0" fontId="6" fillId="34" borderId="93" xfId="0" applyFont="1" applyFill="1" applyBorder="1" applyAlignment="1">
      <alignment horizontal="center" wrapText="1"/>
    </xf>
    <xf numFmtId="1" fontId="6" fillId="0" borderId="93" xfId="0" applyNumberFormat="1" applyFont="1" applyBorder="1" applyAlignment="1">
      <alignment horizontal="center" wrapText="1"/>
    </xf>
    <xf numFmtId="165" fontId="6" fillId="0" borderId="94" xfId="0" applyNumberFormat="1" applyFont="1" applyBorder="1" applyAlignment="1">
      <alignment horizontal="center" wrapText="1"/>
    </xf>
    <xf numFmtId="0" fontId="6" fillId="34" borderId="95" xfId="0" applyFont="1" applyFill="1" applyBorder="1" applyAlignment="1">
      <alignment wrapText="1"/>
    </xf>
    <xf numFmtId="0" fontId="6" fillId="34" borderId="96" xfId="0" applyFont="1" applyFill="1" applyBorder="1" applyAlignment="1">
      <alignment wrapText="1"/>
    </xf>
    <xf numFmtId="0" fontId="135" fillId="13" borderId="68" xfId="0" applyFont="1" applyFill="1" applyBorder="1" applyAlignment="1">
      <alignment horizontal="right" vertical="center" wrapText="1"/>
    </xf>
    <xf numFmtId="1" fontId="100" fillId="13" borderId="72" xfId="0" applyNumberFormat="1" applyFont="1" applyFill="1" applyBorder="1" applyAlignment="1">
      <alignment horizontal="center" vertical="center"/>
    </xf>
    <xf numFmtId="9" fontId="100" fillId="0" borderId="74" xfId="0" applyNumberFormat="1" applyFont="1" applyBorder="1" applyAlignment="1">
      <alignment horizontal="center" vertical="center"/>
    </xf>
    <xf numFmtId="0" fontId="96" fillId="25" borderId="26" xfId="0" applyFont="1" applyFill="1" applyBorder="1" applyAlignment="1">
      <alignment horizontal="center" vertical="center" wrapText="1"/>
    </xf>
    <xf numFmtId="0" fontId="136" fillId="13" borderId="73" xfId="0" applyFont="1" applyFill="1" applyBorder="1" applyAlignment="1">
      <alignment horizontal="right" vertical="center" wrapText="1"/>
    </xf>
    <xf numFmtId="43" fontId="102" fillId="13" borderId="87" xfId="3" applyFont="1" applyFill="1" applyBorder="1" applyAlignment="1" applyProtection="1">
      <alignment horizontal="center"/>
    </xf>
    <xf numFmtId="43" fontId="102" fillId="13" borderId="89" xfId="3" applyFont="1" applyFill="1" applyBorder="1" applyAlignment="1" applyProtection="1">
      <alignment horizontal="center"/>
    </xf>
    <xf numFmtId="43" fontId="102" fillId="13" borderId="91" xfId="3" applyFont="1" applyFill="1" applyBorder="1" applyAlignment="1" applyProtection="1">
      <alignment horizontal="center"/>
    </xf>
    <xf numFmtId="9" fontId="102" fillId="15" borderId="3" xfId="1" applyFont="1" applyFill="1" applyBorder="1" applyAlignment="1">
      <alignment horizontal="center" vertical="center"/>
    </xf>
    <xf numFmtId="1" fontId="102" fillId="9" borderId="30" xfId="6" applyNumberFormat="1" applyFont="1" applyFill="1" applyBorder="1" applyAlignment="1">
      <alignment horizontal="center" vertical="center"/>
    </xf>
    <xf numFmtId="1" fontId="102" fillId="9" borderId="39" xfId="6" applyNumberFormat="1" applyFont="1" applyFill="1" applyBorder="1" applyAlignment="1">
      <alignment horizontal="center" vertical="center"/>
    </xf>
    <xf numFmtId="1" fontId="102" fillId="9" borderId="40" xfId="6" applyNumberFormat="1" applyFont="1" applyFill="1" applyBorder="1" applyAlignment="1">
      <alignment horizontal="center" vertical="center"/>
    </xf>
    <xf numFmtId="1" fontId="102" fillId="9" borderId="97" xfId="6" applyNumberFormat="1" applyFont="1" applyFill="1" applyBorder="1" applyAlignment="1">
      <alignment horizontal="center" vertical="center"/>
    </xf>
    <xf numFmtId="0" fontId="0" fillId="0" borderId="0" xfId="0" applyAlignment="1">
      <alignment vertical="center"/>
    </xf>
    <xf numFmtId="0" fontId="0" fillId="0" borderId="0" xfId="0" applyAlignment="1">
      <alignment vertical="center" wrapText="1"/>
    </xf>
    <xf numFmtId="0" fontId="0" fillId="0" borderId="7" xfId="0" applyBorder="1" applyAlignment="1">
      <alignment vertical="center"/>
    </xf>
    <xf numFmtId="0" fontId="0" fillId="0" borderId="7" xfId="0" applyBorder="1" applyAlignment="1">
      <alignment vertical="center" wrapText="1"/>
    </xf>
    <xf numFmtId="0" fontId="0" fillId="0" borderId="98" xfId="0" applyBorder="1" applyAlignment="1">
      <alignment vertical="center"/>
    </xf>
    <xf numFmtId="0" fontId="0" fillId="0" borderId="77" xfId="0" applyBorder="1" applyAlignment="1">
      <alignment vertical="center"/>
    </xf>
    <xf numFmtId="0" fontId="0" fillId="0" borderId="77" xfId="0" applyBorder="1" applyAlignment="1">
      <alignment vertical="center" wrapText="1"/>
    </xf>
    <xf numFmtId="0" fontId="130" fillId="15" borderId="77" xfId="9" applyFont="1" applyFill="1" applyBorder="1" applyAlignment="1">
      <alignment vertical="center" wrapText="1"/>
    </xf>
    <xf numFmtId="0" fontId="48" fillId="4" borderId="3" xfId="0" applyFont="1" applyFill="1" applyBorder="1" applyAlignment="1">
      <alignment vertical="center" wrapText="1"/>
    </xf>
    <xf numFmtId="0" fontId="48" fillId="4" borderId="3" xfId="0" applyFont="1" applyFill="1" applyBorder="1" applyAlignment="1">
      <alignment vertical="center"/>
    </xf>
    <xf numFmtId="0" fontId="48" fillId="0" borderId="7" xfId="0" applyFont="1" applyBorder="1" applyAlignment="1">
      <alignment vertical="center" wrapText="1"/>
    </xf>
    <xf numFmtId="0" fontId="48" fillId="0" borderId="7" xfId="0" applyFont="1" applyBorder="1" applyAlignment="1">
      <alignment vertical="center"/>
    </xf>
    <xf numFmtId="0" fontId="48" fillId="0" borderId="0" xfId="0" applyFont="1" applyAlignment="1">
      <alignment vertical="center" wrapText="1"/>
    </xf>
    <xf numFmtId="0" fontId="48" fillId="0" borderId="0" xfId="0" applyFont="1" applyAlignment="1">
      <alignment vertical="center"/>
    </xf>
    <xf numFmtId="0" fontId="0" fillId="15" borderId="77" xfId="0" applyFill="1" applyBorder="1" applyAlignment="1">
      <alignment horizontal="left" vertical="center" wrapText="1"/>
    </xf>
    <xf numFmtId="0" fontId="64" fillId="15" borderId="77" xfId="0" applyFont="1" applyFill="1" applyBorder="1" applyAlignment="1">
      <alignment vertical="center"/>
    </xf>
    <xf numFmtId="0" fontId="0" fillId="0" borderId="77" xfId="0" applyBorder="1" applyAlignment="1">
      <alignment horizontal="left" vertical="center"/>
    </xf>
    <xf numFmtId="0" fontId="0" fillId="0" borderId="77" xfId="0" applyBorder="1" applyAlignment="1">
      <alignment horizontal="left" vertical="center" wrapText="1"/>
    </xf>
    <xf numFmtId="0" fontId="64" fillId="15" borderId="77" xfId="0" applyFont="1" applyFill="1" applyBorder="1" applyAlignment="1">
      <alignment horizontal="left" vertical="center"/>
    </xf>
    <xf numFmtId="0" fontId="0" fillId="0" borderId="24" xfId="0" applyBorder="1" applyAlignment="1">
      <alignment vertical="center"/>
    </xf>
    <xf numFmtId="0" fontId="0" fillId="0" borderId="98" xfId="0" applyBorder="1" applyAlignment="1">
      <alignment vertical="center" wrapText="1"/>
    </xf>
    <xf numFmtId="0" fontId="2" fillId="15" borderId="77" xfId="9" applyFill="1" applyBorder="1" applyAlignment="1">
      <alignment horizontal="left" vertical="center"/>
    </xf>
    <xf numFmtId="0" fontId="2" fillId="15" borderId="77" xfId="9" applyFill="1" applyBorder="1" applyAlignment="1">
      <alignment horizontal="left" vertical="center" wrapText="1"/>
    </xf>
    <xf numFmtId="0" fontId="128" fillId="0" borderId="0" xfId="0" applyFont="1" applyAlignment="1">
      <alignment vertical="center" wrapText="1"/>
    </xf>
    <xf numFmtId="0" fontId="128" fillId="0" borderId="0" xfId="0" applyFont="1" applyAlignment="1">
      <alignment vertical="center"/>
    </xf>
    <xf numFmtId="0" fontId="0" fillId="0" borderId="0" xfId="0" quotePrefix="1" applyAlignment="1">
      <alignment vertical="center" wrapText="1"/>
    </xf>
    <xf numFmtId="0" fontId="0" fillId="4" borderId="7" xfId="0" applyFill="1" applyBorder="1" applyAlignment="1">
      <alignment vertical="center" wrapText="1"/>
    </xf>
    <xf numFmtId="0" fontId="0" fillId="4" borderId="7" xfId="0" applyFill="1" applyBorder="1" applyAlignment="1">
      <alignment vertical="center"/>
    </xf>
    <xf numFmtId="0" fontId="0" fillId="28" borderId="7" xfId="0" applyFill="1" applyBorder="1" applyAlignment="1">
      <alignment vertical="center" wrapText="1"/>
    </xf>
    <xf numFmtId="0" fontId="0" fillId="28" borderId="7" xfId="0" applyFill="1" applyBorder="1" applyAlignment="1">
      <alignment vertical="center"/>
    </xf>
    <xf numFmtId="0" fontId="0" fillId="0" borderId="0" xfId="0" applyAlignment="1">
      <alignment wrapText="1"/>
    </xf>
    <xf numFmtId="0" fontId="128" fillId="0" borderId="0" xfId="0" applyFont="1" applyAlignment="1">
      <alignment wrapText="1"/>
    </xf>
    <xf numFmtId="0" fontId="128" fillId="0" borderId="0" xfId="0" applyFont="1"/>
    <xf numFmtId="0" fontId="2" fillId="0" borderId="0" xfId="0" applyFont="1" applyAlignment="1">
      <alignment horizontal="left" vertical="center" wrapText="1" readingOrder="1"/>
    </xf>
    <xf numFmtId="0" fontId="0" fillId="16" borderId="0" xfId="0" applyFill="1" applyAlignment="1">
      <alignment vertical="center" wrapText="1"/>
    </xf>
    <xf numFmtId="0" fontId="0" fillId="16" borderId="0" xfId="0" applyFill="1" applyAlignment="1">
      <alignment vertical="center"/>
    </xf>
    <xf numFmtId="49" fontId="0" fillId="16" borderId="0" xfId="0" applyNumberFormat="1" applyFill="1" applyAlignment="1">
      <alignment vertical="center"/>
    </xf>
    <xf numFmtId="0" fontId="128" fillId="16" borderId="0" xfId="0" applyFont="1" applyFill="1" applyAlignment="1">
      <alignment vertical="center" wrapText="1"/>
    </xf>
    <xf numFmtId="0" fontId="128" fillId="16" borderId="0" xfId="0" applyFont="1" applyFill="1" applyAlignment="1">
      <alignment vertical="center"/>
    </xf>
    <xf numFmtId="0" fontId="0" fillId="16" borderId="0" xfId="0" applyFill="1" applyAlignment="1">
      <alignment wrapText="1"/>
    </xf>
    <xf numFmtId="0" fontId="0" fillId="37" borderId="0" xfId="0" applyFill="1" applyAlignment="1">
      <alignment vertical="center" wrapText="1"/>
    </xf>
    <xf numFmtId="0" fontId="121" fillId="37" borderId="0" xfId="0" applyFont="1" applyFill="1" applyAlignment="1">
      <alignment horizontal="center" vertical="center"/>
    </xf>
    <xf numFmtId="0" fontId="0" fillId="37" borderId="0" xfId="0" applyFill="1" applyAlignment="1">
      <alignment horizontal="left" vertical="center"/>
    </xf>
    <xf numFmtId="0" fontId="0" fillId="37" borderId="0" xfId="0" applyFill="1"/>
    <xf numFmtId="0" fontId="0" fillId="37" borderId="0" xfId="0" applyFill="1" applyAlignment="1">
      <alignment vertical="center"/>
    </xf>
    <xf numFmtId="0" fontId="0" fillId="37" borderId="0" xfId="0" applyFill="1" applyAlignment="1">
      <alignment wrapText="1"/>
    </xf>
    <xf numFmtId="0" fontId="128" fillId="37" borderId="0" xfId="0" applyFont="1" applyFill="1" applyAlignment="1">
      <alignment vertical="center" wrapText="1"/>
    </xf>
    <xf numFmtId="171" fontId="102" fillId="13" borderId="71" xfId="6" applyNumberFormat="1" applyFont="1" applyFill="1" applyBorder="1" applyAlignment="1">
      <alignment horizontal="center"/>
    </xf>
    <xf numFmtId="171" fontId="102" fillId="13" borderId="76" xfId="6" applyNumberFormat="1" applyFont="1" applyFill="1" applyBorder="1" applyAlignment="1">
      <alignment horizontal="center"/>
    </xf>
    <xf numFmtId="9" fontId="64" fillId="20" borderId="7" xfId="0" applyNumberFormat="1" applyFont="1" applyFill="1" applyBorder="1" applyAlignment="1">
      <alignment horizontal="center" vertical="center"/>
    </xf>
    <xf numFmtId="0" fontId="64" fillId="20" borderId="7" xfId="0" applyFont="1" applyFill="1" applyBorder="1" applyAlignment="1">
      <alignment horizontal="center" vertical="center"/>
    </xf>
    <xf numFmtId="9" fontId="73" fillId="15" borderId="3" xfId="1" applyFont="1" applyFill="1" applyBorder="1" applyAlignment="1">
      <alignment vertical="center"/>
    </xf>
    <xf numFmtId="0" fontId="64" fillId="38" borderId="36" xfId="13" applyFont="1" applyFill="1" applyBorder="1" applyAlignment="1">
      <alignment horizontal="center" vertical="center"/>
    </xf>
    <xf numFmtId="1" fontId="102" fillId="15" borderId="0" xfId="6" applyNumberFormat="1" applyFont="1" applyFill="1" applyAlignment="1">
      <alignment horizontal="right"/>
    </xf>
    <xf numFmtId="0" fontId="73" fillId="0" borderId="51" xfId="13" applyFont="1" applyBorder="1">
      <alignment horizontal="left" vertical="center"/>
    </xf>
    <xf numFmtId="0" fontId="90" fillId="16" borderId="48" xfId="13" applyFont="1" applyFill="1" applyBorder="1">
      <alignment horizontal="left" vertical="center"/>
    </xf>
    <xf numFmtId="9" fontId="90" fillId="16" borderId="48" xfId="1" applyFont="1" applyFill="1" applyBorder="1" applyAlignment="1">
      <alignment horizontal="left" vertical="center"/>
    </xf>
    <xf numFmtId="0" fontId="90" fillId="16" borderId="99" xfId="13" applyFont="1" applyFill="1" applyBorder="1">
      <alignment horizontal="left" vertical="center"/>
    </xf>
    <xf numFmtId="170" fontId="64" fillId="39" borderId="51" xfId="13" applyNumberFormat="1" applyFont="1" applyFill="1" applyBorder="1">
      <alignment horizontal="left" vertical="center"/>
    </xf>
    <xf numFmtId="170" fontId="64" fillId="39" borderId="51" xfId="13" applyNumberFormat="1" applyFont="1" applyFill="1" applyBorder="1" applyAlignment="1">
      <alignment horizontal="center" vertical="center"/>
    </xf>
    <xf numFmtId="0" fontId="64" fillId="39" borderId="51" xfId="13" applyFont="1" applyFill="1" applyBorder="1">
      <alignment horizontal="left" vertical="center"/>
    </xf>
    <xf numFmtId="0" fontId="112" fillId="39" borderId="51" xfId="15" applyFont="1" applyFill="1" applyBorder="1" applyAlignment="1">
      <alignment horizontal="left" vertical="center" wrapText="1"/>
    </xf>
    <xf numFmtId="0" fontId="112" fillId="39" borderId="57" xfId="15" applyFont="1" applyFill="1" applyBorder="1" applyAlignment="1">
      <alignment horizontal="left" vertical="center" wrapText="1"/>
    </xf>
    <xf numFmtId="170" fontId="64" fillId="4" borderId="51" xfId="13" applyNumberFormat="1" applyFont="1" applyFill="1" applyBorder="1">
      <alignment horizontal="left" vertical="center"/>
    </xf>
    <xf numFmtId="170" fontId="64" fillId="4" borderId="51" xfId="13" applyNumberFormat="1" applyFont="1" applyFill="1" applyBorder="1" applyAlignment="1">
      <alignment horizontal="center" vertical="center"/>
    </xf>
    <xf numFmtId="0" fontId="64" fillId="4" borderId="51" xfId="13" applyFont="1" applyFill="1" applyBorder="1">
      <alignment horizontal="left" vertical="center"/>
    </xf>
    <xf numFmtId="0" fontId="112" fillId="4" borderId="51" xfId="15" applyFont="1" applyFill="1" applyBorder="1" applyAlignment="1">
      <alignment horizontal="left" vertical="center" wrapText="1"/>
    </xf>
    <xf numFmtId="0" fontId="112" fillId="4" borderId="57" xfId="15" applyFont="1" applyFill="1" applyBorder="1" applyAlignment="1">
      <alignment horizontal="left" vertical="center" wrapText="1"/>
    </xf>
    <xf numFmtId="2" fontId="102" fillId="15" borderId="0" xfId="6" applyNumberFormat="1" applyFont="1" applyFill="1" applyAlignment="1">
      <alignment horizontal="right" vertical="center"/>
    </xf>
    <xf numFmtId="0" fontId="64" fillId="15" borderId="0" xfId="0" applyFont="1" applyFill="1" applyAlignment="1">
      <alignment horizontal="left" vertical="top"/>
    </xf>
    <xf numFmtId="0" fontId="64" fillId="15" borderId="0" xfId="0" applyFont="1" applyFill="1" applyAlignment="1">
      <alignment vertical="center" wrapText="1"/>
    </xf>
    <xf numFmtId="0" fontId="140" fillId="31" borderId="20" xfId="0" applyFont="1" applyFill="1" applyBorder="1" applyAlignment="1">
      <alignment horizontal="center"/>
    </xf>
    <xf numFmtId="165" fontId="64" fillId="40" borderId="16" xfId="0" applyNumberFormat="1" applyFont="1" applyFill="1" applyBorder="1" applyAlignment="1">
      <alignment horizontal="center" vertical="center"/>
    </xf>
    <xf numFmtId="0" fontId="141" fillId="15" borderId="0" xfId="0" applyFont="1" applyFill="1" applyAlignment="1">
      <alignment horizontal="center" vertical="center" textRotation="90"/>
    </xf>
    <xf numFmtId="0" fontId="143" fillId="15" borderId="0" xfId="0" applyFont="1" applyFill="1"/>
    <xf numFmtId="0" fontId="64" fillId="0" borderId="0" xfId="0" applyFont="1" applyAlignment="1" applyProtection="1">
      <alignment horizontal="left" vertical="top"/>
      <protection locked="0"/>
    </xf>
    <xf numFmtId="14" fontId="64" fillId="0" borderId="0" xfId="0" applyNumberFormat="1" applyFont="1" applyAlignment="1" applyProtection="1">
      <alignment horizontal="center" vertical="top"/>
      <protection locked="0"/>
    </xf>
    <xf numFmtId="0" fontId="64" fillId="0" borderId="0" xfId="0" applyFont="1" applyAlignment="1" applyProtection="1">
      <alignment horizontal="center" vertical="top"/>
      <protection locked="0"/>
    </xf>
    <xf numFmtId="0" fontId="90" fillId="20" borderId="18" xfId="0" applyFont="1" applyFill="1" applyBorder="1" applyAlignment="1">
      <alignment horizontal="center"/>
    </xf>
    <xf numFmtId="0" fontId="138" fillId="20" borderId="0" xfId="0" applyFont="1" applyFill="1" applyAlignment="1">
      <alignment horizontal="left" vertical="top"/>
    </xf>
    <xf numFmtId="0" fontId="90" fillId="15" borderId="18" xfId="0" applyFont="1" applyFill="1" applyBorder="1" applyAlignment="1">
      <alignment horizontal="center"/>
    </xf>
    <xf numFmtId="0" fontId="64" fillId="0" borderId="0" xfId="0" applyFont="1"/>
    <xf numFmtId="0" fontId="96" fillId="41" borderId="19" xfId="0" applyFont="1" applyFill="1" applyBorder="1"/>
    <xf numFmtId="0" fontId="98" fillId="42" borderId="100" xfId="0" applyFont="1" applyFill="1" applyBorder="1" applyAlignment="1">
      <alignment horizontal="center"/>
    </xf>
    <xf numFmtId="0" fontId="90" fillId="0" borderId="0" xfId="0" applyFont="1" applyAlignment="1" applyProtection="1">
      <alignment horizontal="left" vertical="top"/>
      <protection locked="0"/>
    </xf>
    <xf numFmtId="0" fontId="90" fillId="0" borderId="19" xfId="0" applyFont="1" applyBorder="1" applyAlignment="1" applyProtection="1">
      <alignment horizontal="left" vertical="top"/>
      <protection locked="0"/>
    </xf>
    <xf numFmtId="14" fontId="90" fillId="0" borderId="19" xfId="0" applyNumberFormat="1" applyFont="1" applyBorder="1" applyAlignment="1" applyProtection="1">
      <alignment horizontal="center" vertical="top"/>
      <protection locked="0"/>
    </xf>
    <xf numFmtId="0" fontId="90" fillId="0" borderId="19" xfId="0" applyFont="1" applyBorder="1" applyAlignment="1" applyProtection="1">
      <alignment horizontal="center" vertical="top"/>
      <protection locked="0"/>
    </xf>
    <xf numFmtId="14" fontId="90" fillId="0" borderId="0" xfId="0" applyNumberFormat="1" applyFont="1" applyAlignment="1" applyProtection="1">
      <alignment horizontal="center" vertical="top"/>
      <protection locked="0"/>
    </xf>
    <xf numFmtId="0" fontId="90" fillId="0" borderId="0" xfId="0" applyFont="1" applyAlignment="1" applyProtection="1">
      <alignment horizontal="center" vertical="top"/>
      <protection locked="0"/>
    </xf>
    <xf numFmtId="16" fontId="90" fillId="0" borderId="0" xfId="0" quotePrefix="1" applyNumberFormat="1" applyFont="1" applyAlignment="1" applyProtection="1">
      <alignment horizontal="left" vertical="top"/>
      <protection locked="0"/>
    </xf>
    <xf numFmtId="0" fontId="90" fillId="15" borderId="0" xfId="0" applyFont="1" applyFill="1" applyAlignment="1">
      <alignment horizontal="center"/>
    </xf>
    <xf numFmtId="0" fontId="94" fillId="15" borderId="0" xfId="0" applyFont="1" applyFill="1"/>
    <xf numFmtId="0" fontId="90" fillId="15" borderId="0" xfId="0" applyFont="1" applyFill="1" applyAlignment="1">
      <alignment horizontal="left"/>
    </xf>
    <xf numFmtId="0" fontId="144" fillId="15" borderId="0" xfId="22" applyFont="1" applyFill="1" applyAlignment="1">
      <alignment horizontal="center"/>
    </xf>
    <xf numFmtId="0" fontId="73" fillId="0" borderId="0" xfId="0" applyFont="1" applyAlignment="1" applyProtection="1">
      <alignment horizontal="left" vertical="top"/>
      <protection locked="0"/>
    </xf>
    <xf numFmtId="0" fontId="64" fillId="0" borderId="0" xfId="0" applyFont="1" applyAlignment="1" applyProtection="1">
      <alignment vertical="top"/>
      <protection locked="0"/>
    </xf>
    <xf numFmtId="0" fontId="90" fillId="20" borderId="100" xfId="0" applyFont="1" applyFill="1" applyBorder="1" applyAlignment="1">
      <alignment horizontal="center"/>
    </xf>
    <xf numFmtId="0" fontId="64" fillId="15" borderId="7" xfId="0" applyFont="1" applyFill="1" applyBorder="1" applyAlignment="1">
      <alignment horizontal="left" vertical="top"/>
    </xf>
    <xf numFmtId="0" fontId="64" fillId="4" borderId="36" xfId="13" applyFont="1" applyFill="1" applyBorder="1" applyAlignment="1">
      <alignment horizontal="center" vertical="center"/>
    </xf>
    <xf numFmtId="0" fontId="64" fillId="0" borderId="0" xfId="13" applyFont="1" applyAlignment="1">
      <alignment horizontal="right" vertical="center"/>
    </xf>
    <xf numFmtId="0" fontId="146" fillId="0" borderId="0" xfId="23" applyNumberFormat="1" applyProtection="1">
      <alignment vertical="top" wrapText="1"/>
    </xf>
    <xf numFmtId="49" fontId="147" fillId="43" borderId="101" xfId="23" applyNumberFormat="1" applyFont="1" applyFill="1" applyBorder="1" applyAlignment="1" applyProtection="1">
      <alignment horizontal="center" vertical="center" wrapText="1"/>
    </xf>
    <xf numFmtId="49" fontId="147" fillId="43" borderId="102" xfId="23" applyNumberFormat="1" applyFont="1" applyFill="1" applyBorder="1" applyAlignment="1" applyProtection="1">
      <alignment horizontal="center" vertical="center" wrapText="1"/>
    </xf>
    <xf numFmtId="49" fontId="147" fillId="43" borderId="103" xfId="23" applyNumberFormat="1" applyFont="1" applyFill="1" applyBorder="1" applyAlignment="1" applyProtection="1">
      <alignment horizontal="center" vertical="center" wrapText="1"/>
    </xf>
    <xf numFmtId="49" fontId="146" fillId="16" borderId="104" xfId="23" applyNumberFormat="1" applyFill="1" applyBorder="1" applyProtection="1">
      <alignment vertical="top" wrapText="1"/>
    </xf>
    <xf numFmtId="49" fontId="146" fillId="44" borderId="104" xfId="23" applyNumberFormat="1" applyFill="1" applyBorder="1" applyAlignment="1" applyProtection="1">
      <alignment horizontal="center" vertical="top" wrapText="1"/>
    </xf>
    <xf numFmtId="49" fontId="146" fillId="45" borderId="105" xfId="23" applyNumberFormat="1" applyFill="1" applyBorder="1" applyAlignment="1" applyProtection="1">
      <alignment horizontal="center" vertical="top" wrapText="1"/>
    </xf>
    <xf numFmtId="49" fontId="146" fillId="16" borderId="105" xfId="23" applyNumberFormat="1" applyFill="1" applyBorder="1" applyProtection="1">
      <alignment vertical="top" wrapText="1"/>
    </xf>
    <xf numFmtId="49" fontId="146" fillId="44" borderId="105" xfId="23" applyNumberFormat="1" applyFill="1" applyBorder="1" applyAlignment="1" applyProtection="1">
      <alignment horizontal="center" vertical="top" wrapText="1"/>
    </xf>
    <xf numFmtId="49" fontId="146" fillId="16" borderId="106" xfId="23" applyNumberFormat="1" applyFill="1" applyBorder="1" applyProtection="1">
      <alignment vertical="top" wrapText="1"/>
    </xf>
    <xf numFmtId="0" fontId="146" fillId="44" borderId="106" xfId="23" applyNumberFormat="1" applyFill="1" applyBorder="1" applyAlignment="1" applyProtection="1">
      <alignment horizontal="center" vertical="top" wrapText="1"/>
    </xf>
    <xf numFmtId="0" fontId="151" fillId="15" borderId="107" xfId="23" applyFont="1" applyFill="1" applyBorder="1" applyAlignment="1" applyProtection="1">
      <alignment horizontal="center" vertical="center" textRotation="90" wrapText="1"/>
    </xf>
    <xf numFmtId="0" fontId="146" fillId="15" borderId="0" xfId="23" applyNumberFormat="1" applyFill="1" applyProtection="1">
      <alignment vertical="top" wrapText="1"/>
    </xf>
    <xf numFmtId="49" fontId="146" fillId="16" borderId="108" xfId="23" applyNumberFormat="1" applyFill="1" applyBorder="1" applyProtection="1">
      <alignment vertical="top" wrapText="1"/>
    </xf>
    <xf numFmtId="49" fontId="146" fillId="44" borderId="108" xfId="23" applyNumberFormat="1" applyFill="1" applyBorder="1" applyAlignment="1" applyProtection="1">
      <alignment horizontal="center" vertical="top" wrapText="1"/>
    </xf>
    <xf numFmtId="49" fontId="146" fillId="16" borderId="109" xfId="23" applyNumberFormat="1" applyFill="1" applyBorder="1" applyProtection="1">
      <alignment vertical="top" wrapText="1"/>
    </xf>
    <xf numFmtId="0" fontId="146" fillId="15" borderId="103" xfId="23" applyNumberFormat="1" applyFill="1" applyBorder="1" applyAlignment="1" applyProtection="1">
      <alignment horizontal="center" vertical="top" wrapText="1"/>
    </xf>
    <xf numFmtId="49" fontId="146" fillId="15" borderId="103" xfId="23" applyNumberFormat="1" applyFill="1" applyBorder="1" applyProtection="1">
      <alignment vertical="top" wrapText="1"/>
    </xf>
    <xf numFmtId="49" fontId="146" fillId="16" borderId="110" xfId="23" applyNumberFormat="1" applyFill="1" applyBorder="1" applyProtection="1">
      <alignment vertical="top" wrapText="1"/>
    </xf>
    <xf numFmtId="49" fontId="156" fillId="16" borderId="105" xfId="23" applyNumberFormat="1" applyFont="1" applyFill="1" applyBorder="1" applyProtection="1">
      <alignment vertical="top" wrapText="1"/>
    </xf>
    <xf numFmtId="0" fontId="146" fillId="0" borderId="0" xfId="23" applyProtection="1">
      <alignment vertical="top" wrapText="1"/>
    </xf>
    <xf numFmtId="0" fontId="146" fillId="15" borderId="0" xfId="23" applyFill="1" applyProtection="1">
      <alignment vertical="top" wrapText="1"/>
    </xf>
    <xf numFmtId="0" fontId="146" fillId="44" borderId="108" xfId="23" applyFill="1" applyBorder="1" applyAlignment="1" applyProtection="1">
      <alignment horizontal="center" vertical="top" wrapText="1"/>
    </xf>
    <xf numFmtId="0" fontId="146" fillId="44" borderId="105" xfId="23" applyFill="1" applyBorder="1" applyAlignment="1" applyProtection="1">
      <alignment horizontal="center" vertical="top" wrapText="1"/>
    </xf>
    <xf numFmtId="0" fontId="146" fillId="0" borderId="0" xfId="23" applyNumberFormat="1" applyAlignment="1" applyProtection="1">
      <alignment vertical="center" wrapText="1"/>
    </xf>
    <xf numFmtId="0" fontId="146" fillId="0" borderId="0" xfId="23" applyAlignment="1" applyProtection="1">
      <alignment vertical="center" wrapText="1"/>
    </xf>
    <xf numFmtId="0" fontId="151" fillId="45" borderId="0" xfId="23" applyFont="1" applyFill="1" applyBorder="1" applyAlignment="1" applyProtection="1">
      <alignment horizontal="center" vertical="center" textRotation="90" wrapText="1"/>
    </xf>
    <xf numFmtId="49" fontId="152" fillId="0" borderId="0" xfId="23" applyNumberFormat="1" applyFont="1" applyBorder="1" applyAlignment="1" applyProtection="1">
      <alignment horizontal="center" vertical="top" wrapText="1" readingOrder="1"/>
    </xf>
    <xf numFmtId="0" fontId="146" fillId="0" borderId="0" xfId="23" applyBorder="1" applyAlignment="1" applyProtection="1">
      <alignment vertical="center" wrapText="1"/>
    </xf>
    <xf numFmtId="0" fontId="146" fillId="0" borderId="0" xfId="23" applyNumberFormat="1" applyAlignment="1" applyProtection="1">
      <alignment vertical="top" textRotation="90" wrapText="1"/>
    </xf>
    <xf numFmtId="0" fontId="146" fillId="0" borderId="0" xfId="23" applyNumberFormat="1" applyAlignment="1" applyProtection="1">
      <alignment horizontal="center" vertical="center" wrapText="1"/>
    </xf>
    <xf numFmtId="1" fontId="146" fillId="0" borderId="0" xfId="23" applyNumberFormat="1" applyAlignment="1" applyProtection="1">
      <alignment horizontal="center" vertical="center" wrapText="1"/>
    </xf>
    <xf numFmtId="0" fontId="147" fillId="0" borderId="0" xfId="23" applyNumberFormat="1" applyFont="1" applyBorder="1" applyAlignment="1" applyProtection="1">
      <alignment horizontal="center" vertical="top" wrapText="1"/>
    </xf>
    <xf numFmtId="49" fontId="149" fillId="45" borderId="0" xfId="23" applyNumberFormat="1" applyFont="1" applyFill="1" applyBorder="1" applyAlignment="1" applyProtection="1">
      <alignment vertical="center" wrapText="1"/>
    </xf>
    <xf numFmtId="0" fontId="154" fillId="0" borderId="0" xfId="23" applyNumberFormat="1" applyFont="1" applyFill="1" applyAlignment="1" applyProtection="1">
      <alignment horizontal="center" vertical="center" wrapText="1"/>
    </xf>
    <xf numFmtId="0" fontId="157" fillId="0" borderId="0" xfId="23" applyNumberFormat="1" applyFont="1" applyProtection="1">
      <alignment vertical="top" wrapText="1"/>
    </xf>
    <xf numFmtId="0" fontId="146" fillId="0" borderId="0" xfId="23" applyNumberFormat="1" applyAlignment="1" applyProtection="1">
      <alignment vertical="center" textRotation="90" wrapText="1"/>
    </xf>
    <xf numFmtId="0" fontId="146" fillId="0" borderId="3" xfId="23" applyNumberFormat="1" applyBorder="1" applyAlignment="1" applyProtection="1">
      <alignment vertical="center" wrapText="1"/>
    </xf>
    <xf numFmtId="0" fontId="158" fillId="0" borderId="3" xfId="23" applyNumberFormat="1" applyFont="1" applyBorder="1" applyAlignment="1" applyProtection="1">
      <alignment vertical="center" wrapText="1"/>
    </xf>
    <xf numFmtId="0" fontId="158" fillId="0" borderId="0" xfId="23" applyNumberFormat="1" applyFont="1" applyBorder="1" applyAlignment="1" applyProtection="1">
      <alignment vertical="center" wrapText="1"/>
    </xf>
    <xf numFmtId="0" fontId="146" fillId="0" borderId="3" xfId="23" applyNumberFormat="1" applyBorder="1" applyProtection="1">
      <alignment vertical="top" wrapText="1"/>
    </xf>
    <xf numFmtId="0" fontId="53" fillId="15" borderId="0" xfId="0" applyFont="1" applyFill="1" applyAlignment="1">
      <alignment horizontal="center" vertical="center" textRotation="90"/>
    </xf>
    <xf numFmtId="0" fontId="75" fillId="15" borderId="0" xfId="0" applyFont="1" applyFill="1"/>
    <xf numFmtId="0" fontId="164" fillId="15" borderId="77" xfId="9" applyFont="1" applyFill="1" applyBorder="1" applyAlignment="1">
      <alignment vertical="center" wrapText="1"/>
    </xf>
    <xf numFmtId="0" fontId="80" fillId="39" borderId="25" xfId="8" applyNumberFormat="1" applyFont="1" applyFill="1" applyBorder="1" applyAlignment="1" applyProtection="1">
      <alignment vertical="center" wrapText="1"/>
    </xf>
    <xf numFmtId="0" fontId="6" fillId="46" borderId="111" xfId="0" applyFont="1" applyFill="1" applyBorder="1"/>
    <xf numFmtId="0" fontId="6" fillId="46" borderId="112" xfId="0" applyFont="1" applyFill="1" applyBorder="1"/>
    <xf numFmtId="0" fontId="6" fillId="46" borderId="113" xfId="0" applyFont="1" applyFill="1" applyBorder="1"/>
    <xf numFmtId="0" fontId="62" fillId="15" borderId="3" xfId="0" applyFont="1" applyFill="1" applyBorder="1" applyAlignment="1">
      <alignment wrapText="1"/>
    </xf>
    <xf numFmtId="0" fontId="62" fillId="15" borderId="3" xfId="0" applyFont="1" applyFill="1" applyBorder="1" applyAlignment="1">
      <alignment horizontal="center"/>
    </xf>
    <xf numFmtId="1" fontId="14" fillId="15" borderId="0" xfId="0" applyNumberFormat="1" applyFont="1" applyFill="1" applyAlignment="1">
      <alignment horizontal="center"/>
    </xf>
    <xf numFmtId="2" fontId="6" fillId="15" borderId="0" xfId="0" applyNumberFormat="1" applyFont="1" applyFill="1"/>
    <xf numFmtId="0" fontId="6" fillId="15" borderId="114" xfId="0" applyFont="1" applyFill="1" applyBorder="1" applyAlignment="1">
      <alignment wrapText="1"/>
    </xf>
    <xf numFmtId="0" fontId="59" fillId="16" borderId="112" xfId="4" applyFont="1" applyFill="1" applyBorder="1" applyAlignment="1" applyProtection="1">
      <alignment horizontal="center" vertical="center" wrapText="1"/>
    </xf>
    <xf numFmtId="2" fontId="59" fillId="16" borderId="112" xfId="4" applyNumberFormat="1" applyFont="1" applyFill="1" applyBorder="1" applyAlignment="1" applyProtection="1">
      <alignment horizontal="center" vertical="center" wrapText="1"/>
    </xf>
    <xf numFmtId="166" fontId="59" fillId="16" borderId="112" xfId="4" applyNumberFormat="1" applyFont="1" applyFill="1" applyBorder="1" applyAlignment="1" applyProtection="1">
      <alignment horizontal="center" vertical="center" wrapText="1"/>
    </xf>
    <xf numFmtId="0" fontId="6" fillId="46" borderId="115" xfId="0" applyFont="1" applyFill="1" applyBorder="1"/>
    <xf numFmtId="0" fontId="6" fillId="46" borderId="116" xfId="0" applyFont="1" applyFill="1" applyBorder="1"/>
    <xf numFmtId="0" fontId="6" fillId="46" borderId="117" xfId="0" applyFont="1" applyFill="1" applyBorder="1"/>
    <xf numFmtId="0" fontId="100" fillId="15" borderId="0" xfId="0" applyFont="1" applyFill="1" applyAlignment="1">
      <alignment vertical="center"/>
    </xf>
    <xf numFmtId="0" fontId="96" fillId="41" borderId="118" xfId="0" applyFont="1" applyFill="1" applyBorder="1"/>
    <xf numFmtId="0" fontId="98" fillId="20" borderId="119" xfId="0" applyFont="1" applyFill="1" applyBorder="1" applyAlignment="1">
      <alignment horizontal="center"/>
    </xf>
    <xf numFmtId="0" fontId="137" fillId="20" borderId="120" xfId="0" applyFont="1" applyFill="1" applyBorder="1" applyAlignment="1">
      <alignment horizontal="left" vertical="top"/>
    </xf>
    <xf numFmtId="0" fontId="96" fillId="41" borderId="118" xfId="0" applyFont="1" applyFill="1" applyBorder="1" applyAlignment="1">
      <alignment horizontal="left"/>
    </xf>
    <xf numFmtId="0" fontId="96" fillId="41" borderId="19" xfId="0" applyFont="1" applyFill="1" applyBorder="1" applyAlignment="1">
      <alignment horizontal="left"/>
    </xf>
    <xf numFmtId="0" fontId="96" fillId="41" borderId="19" xfId="0" applyFont="1" applyFill="1" applyBorder="1" applyAlignment="1">
      <alignment horizontal="center"/>
    </xf>
    <xf numFmtId="0" fontId="64" fillId="0" borderId="0" xfId="0" applyFont="1" applyAlignment="1" applyProtection="1">
      <alignment horizontal="center" vertical="top" wrapText="1"/>
      <protection locked="0"/>
    </xf>
    <xf numFmtId="0" fontId="121" fillId="0" borderId="0" xfId="0" applyFont="1" applyAlignment="1">
      <alignment horizontal="center" vertical="center"/>
    </xf>
    <xf numFmtId="0" fontId="0" fillId="0" borderId="0" xfId="0" applyAlignment="1">
      <alignment horizontal="center" vertical="center"/>
    </xf>
    <xf numFmtId="0" fontId="50" fillId="47" borderId="121" xfId="0" applyFont="1" applyFill="1" applyBorder="1"/>
    <xf numFmtId="0" fontId="50" fillId="47" borderId="122" xfId="0" applyFont="1" applyFill="1" applyBorder="1"/>
    <xf numFmtId="0" fontId="54" fillId="20" borderId="123" xfId="0" applyFont="1" applyFill="1" applyBorder="1" applyAlignment="1">
      <alignment horizontal="center"/>
    </xf>
    <xf numFmtId="0" fontId="52" fillId="20" borderId="124" xfId="0" applyFont="1" applyFill="1" applyBorder="1"/>
    <xf numFmtId="0" fontId="50" fillId="47" borderId="121" xfId="0" applyFont="1" applyFill="1" applyBorder="1" applyAlignment="1">
      <alignment horizontal="left"/>
    </xf>
    <xf numFmtId="0" fontId="50" fillId="47" borderId="122" xfId="0" applyFont="1" applyFill="1" applyBorder="1" applyAlignment="1">
      <alignment horizontal="left"/>
    </xf>
    <xf numFmtId="0" fontId="50" fillId="47" borderId="122" xfId="0" applyFont="1" applyFill="1" applyBorder="1" applyAlignment="1">
      <alignment horizontal="center"/>
    </xf>
    <xf numFmtId="0" fontId="165" fillId="15" borderId="0" xfId="0" applyFont="1" applyFill="1" applyAlignment="1">
      <alignment horizontal="center" vertical="center" textRotation="90"/>
    </xf>
    <xf numFmtId="0" fontId="166" fillId="15" borderId="0" xfId="0" applyFont="1" applyFill="1"/>
    <xf numFmtId="0" fontId="6" fillId="15" borderId="111" xfId="0" applyFont="1" applyFill="1" applyBorder="1" applyProtection="1">
      <protection locked="0"/>
    </xf>
    <xf numFmtId="0" fontId="6" fillId="15" borderId="112" xfId="0" applyFont="1" applyFill="1" applyBorder="1" applyProtection="1">
      <protection locked="0"/>
    </xf>
    <xf numFmtId="0" fontId="6" fillId="15" borderId="113" xfId="0" applyFont="1" applyFill="1" applyBorder="1" applyProtection="1">
      <protection locked="0"/>
    </xf>
    <xf numFmtId="0" fontId="6" fillId="15" borderId="125" xfId="0" applyFont="1" applyFill="1" applyBorder="1" applyProtection="1">
      <protection locked="0"/>
    </xf>
    <xf numFmtId="0" fontId="6" fillId="15" borderId="126" xfId="0" applyFont="1" applyFill="1" applyBorder="1" applyProtection="1">
      <protection locked="0"/>
    </xf>
    <xf numFmtId="0" fontId="6" fillId="15" borderId="127" xfId="0" applyFont="1" applyFill="1" applyBorder="1" applyProtection="1">
      <protection locked="0"/>
    </xf>
    <xf numFmtId="9" fontId="0" fillId="15" borderId="0" xfId="25" applyFont="1" applyFill="1" applyProtection="1"/>
    <xf numFmtId="0" fontId="25" fillId="15" borderId="0" xfId="24" applyFill="1" applyAlignment="1">
      <alignment horizontal="left" vertical="center"/>
    </xf>
    <xf numFmtId="0" fontId="25" fillId="15" borderId="0" xfId="24" applyFill="1" applyAlignment="1">
      <alignment wrapText="1"/>
    </xf>
    <xf numFmtId="0" fontId="25" fillId="15" borderId="0" xfId="24" applyFill="1"/>
    <xf numFmtId="0" fontId="25" fillId="0" borderId="128" xfId="24" applyBorder="1" applyAlignment="1" applyProtection="1">
      <alignment horizontal="left" vertical="center" wrapText="1"/>
      <protection locked="0"/>
    </xf>
    <xf numFmtId="0" fontId="25" fillId="0" borderId="129" xfId="24" applyBorder="1" applyAlignment="1" applyProtection="1">
      <alignment horizontal="left" vertical="center" wrapText="1"/>
      <protection locked="0"/>
    </xf>
    <xf numFmtId="0" fontId="25" fillId="0" borderId="130" xfId="24" applyBorder="1" applyAlignment="1" applyProtection="1">
      <alignment horizontal="left" vertical="center" wrapText="1"/>
      <protection locked="0"/>
    </xf>
    <xf numFmtId="0" fontId="25" fillId="15" borderId="0" xfId="24" applyFill="1" applyAlignment="1">
      <alignment vertical="top"/>
    </xf>
    <xf numFmtId="0" fontId="27" fillId="15" borderId="0" xfId="24" applyFont="1" applyFill="1"/>
    <xf numFmtId="0" fontId="14" fillId="15" borderId="0" xfId="24" applyFont="1" applyFill="1" applyAlignment="1">
      <alignment vertical="top"/>
    </xf>
    <xf numFmtId="1" fontId="25" fillId="15" borderId="0" xfId="24" applyNumberFormat="1" applyFill="1"/>
    <xf numFmtId="0" fontId="14" fillId="15" borderId="0" xfId="24" applyFont="1" applyFill="1"/>
    <xf numFmtId="0" fontId="17" fillId="15" borderId="0" xfId="24" applyFont="1" applyFill="1"/>
    <xf numFmtId="0" fontId="25" fillId="15" borderId="0" xfId="24" applyFill="1" applyAlignment="1">
      <alignment horizontal="left"/>
    </xf>
    <xf numFmtId="1" fontId="25" fillId="15" borderId="0" xfId="24" applyNumberFormat="1" applyFill="1" applyAlignment="1">
      <alignment horizontal="center"/>
    </xf>
    <xf numFmtId="0" fontId="167" fillId="15" borderId="131" xfId="26" applyFont="1" applyFill="1" applyBorder="1" applyAlignment="1">
      <alignment horizontal="justify" vertical="center" wrapText="1"/>
    </xf>
    <xf numFmtId="0" fontId="14" fillId="15" borderId="132" xfId="24" applyFont="1" applyFill="1" applyBorder="1"/>
    <xf numFmtId="0" fontId="14" fillId="15" borderId="133" xfId="24" applyFont="1" applyFill="1" applyBorder="1"/>
    <xf numFmtId="0" fontId="14" fillId="15" borderId="133" xfId="24" applyFont="1" applyFill="1" applyBorder="1" applyAlignment="1">
      <alignment horizontal="center"/>
    </xf>
    <xf numFmtId="0" fontId="14" fillId="15" borderId="134" xfId="24" applyFont="1" applyFill="1" applyBorder="1" applyAlignment="1">
      <alignment horizontal="center"/>
    </xf>
    <xf numFmtId="165" fontId="25" fillId="15" borderId="0" xfId="24" applyNumberFormat="1" applyFill="1" applyAlignment="1">
      <alignment horizontal="center" vertical="top" wrapText="1"/>
    </xf>
    <xf numFmtId="0" fontId="25" fillId="15" borderId="3" xfId="24" applyFill="1" applyBorder="1" applyAlignment="1">
      <alignment horizontal="center" vertical="center"/>
    </xf>
    <xf numFmtId="0" fontId="46" fillId="15" borderId="0" xfId="26" applyFont="1" applyFill="1" applyAlignment="1">
      <alignment horizontal="center" vertical="center" wrapText="1"/>
    </xf>
    <xf numFmtId="165" fontId="25" fillId="15" borderId="0" xfId="24" applyNumberFormat="1" applyFill="1" applyAlignment="1">
      <alignment wrapText="1"/>
    </xf>
    <xf numFmtId="0" fontId="25" fillId="15" borderId="0" xfId="24" applyFill="1" applyAlignment="1">
      <alignment horizontal="center" vertical="center"/>
    </xf>
    <xf numFmtId="0" fontId="5" fillId="15" borderId="0" xfId="26" applyFont="1" applyFill="1" applyAlignment="1">
      <alignment horizontal="left" vertical="center" wrapText="1"/>
    </xf>
    <xf numFmtId="0" fontId="14" fillId="15" borderId="0" xfId="24" applyFont="1" applyFill="1" applyAlignment="1">
      <alignment horizontal="center" wrapText="1"/>
    </xf>
    <xf numFmtId="0" fontId="25" fillId="15" borderId="0" xfId="24" applyFill="1" applyAlignment="1">
      <alignment horizontal="left" vertical="top" wrapText="1"/>
    </xf>
    <xf numFmtId="0" fontId="25" fillId="15" borderId="0" xfId="24" applyFill="1" applyAlignment="1">
      <alignment horizontal="center" vertical="top" wrapText="1"/>
    </xf>
    <xf numFmtId="0" fontId="60" fillId="15" borderId="22" xfId="0" applyFont="1" applyFill="1" applyBorder="1" applyAlignment="1">
      <alignment horizontal="left" vertical="center" wrapText="1"/>
    </xf>
    <xf numFmtId="0" fontId="1" fillId="15" borderId="22" xfId="0" applyFont="1" applyFill="1" applyBorder="1" applyAlignment="1">
      <alignment horizontal="left" vertical="center" wrapText="1"/>
    </xf>
    <xf numFmtId="0" fontId="14" fillId="15" borderId="0" xfId="24" applyFont="1" applyFill="1" applyAlignment="1">
      <alignment vertical="top" wrapText="1"/>
    </xf>
    <xf numFmtId="0" fontId="17" fillId="20" borderId="7" xfId="24" applyFont="1" applyFill="1" applyBorder="1"/>
    <xf numFmtId="0" fontId="25" fillId="20" borderId="23" xfId="24" applyFill="1" applyBorder="1"/>
    <xf numFmtId="0" fontId="25" fillId="20" borderId="24" xfId="24" applyFill="1" applyBorder="1"/>
    <xf numFmtId="0" fontId="14" fillId="20" borderId="24" xfId="24" applyFont="1" applyFill="1" applyBorder="1"/>
    <xf numFmtId="0" fontId="14" fillId="20" borderId="55" xfId="24" applyFont="1" applyFill="1" applyBorder="1"/>
    <xf numFmtId="0" fontId="14" fillId="20" borderId="21" xfId="24" applyFont="1" applyFill="1" applyBorder="1" applyAlignment="1">
      <alignment vertical="top" wrapText="1"/>
    </xf>
    <xf numFmtId="0" fontId="25" fillId="20" borderId="7" xfId="24" applyFill="1" applyBorder="1"/>
    <xf numFmtId="0" fontId="25" fillId="20" borderId="7" xfId="24" applyFill="1" applyBorder="1" applyAlignment="1">
      <alignment horizontal="left" vertical="center"/>
    </xf>
    <xf numFmtId="0" fontId="17" fillId="20" borderId="0" xfId="24" applyFont="1" applyFill="1"/>
    <xf numFmtId="0" fontId="25" fillId="20" borderId="0" xfId="24" applyFill="1"/>
    <xf numFmtId="0" fontId="25" fillId="20" borderId="28" xfId="24" applyFill="1" applyBorder="1"/>
    <xf numFmtId="0" fontId="25" fillId="20" borderId="21" xfId="24" applyFill="1" applyBorder="1" applyAlignment="1">
      <alignment vertical="top"/>
    </xf>
    <xf numFmtId="0" fontId="14" fillId="20" borderId="7" xfId="24" applyFont="1" applyFill="1" applyBorder="1"/>
    <xf numFmtId="0" fontId="14" fillId="20" borderId="23" xfId="24" applyFont="1" applyFill="1" applyBorder="1"/>
    <xf numFmtId="0" fontId="14" fillId="20" borderId="7" xfId="24" applyFont="1" applyFill="1" applyBorder="1" applyAlignment="1">
      <alignment horizontal="left"/>
    </xf>
    <xf numFmtId="0" fontId="46" fillId="20" borderId="131" xfId="26" applyFont="1" applyFill="1" applyBorder="1" applyAlignment="1">
      <alignment horizontal="center" vertical="center" wrapText="1"/>
    </xf>
    <xf numFmtId="0" fontId="168" fillId="20" borderId="135" xfId="26" applyFont="1" applyFill="1" applyBorder="1" applyAlignment="1">
      <alignment horizontal="center" vertical="center" wrapText="1"/>
    </xf>
    <xf numFmtId="9" fontId="0" fillId="20" borderId="115" xfId="25" applyFont="1" applyFill="1" applyBorder="1" applyProtection="1"/>
    <xf numFmtId="9" fontId="25" fillId="20" borderId="125" xfId="25" quotePrefix="1" applyFont="1" applyFill="1" applyBorder="1" applyAlignment="1" applyProtection="1">
      <alignment horizontal="right"/>
    </xf>
    <xf numFmtId="9" fontId="0" fillId="20" borderId="116" xfId="25" applyFont="1" applyFill="1" applyBorder="1" applyProtection="1"/>
    <xf numFmtId="9" fontId="25" fillId="20" borderId="126" xfId="25" applyFont="1" applyFill="1" applyBorder="1" applyAlignment="1" applyProtection="1">
      <alignment horizontal="right"/>
    </xf>
    <xf numFmtId="9" fontId="0" fillId="20" borderId="117" xfId="25" applyFont="1" applyFill="1" applyBorder="1" applyProtection="1"/>
    <xf numFmtId="9" fontId="0" fillId="20" borderId="127" xfId="25" applyFont="1" applyFill="1" applyBorder="1" applyProtection="1"/>
    <xf numFmtId="0" fontId="170" fillId="20" borderId="18" xfId="24" applyFont="1" applyFill="1" applyBorder="1" applyAlignment="1">
      <alignment vertical="top" wrapText="1"/>
    </xf>
    <xf numFmtId="0" fontId="170" fillId="20" borderId="54" xfId="24" applyFont="1" applyFill="1" applyBorder="1" applyAlignment="1">
      <alignment vertical="top"/>
    </xf>
    <xf numFmtId="0" fontId="170" fillId="20" borderId="21" xfId="24" applyFont="1" applyFill="1" applyBorder="1" applyAlignment="1">
      <alignment vertical="top"/>
    </xf>
    <xf numFmtId="0" fontId="170" fillId="20" borderId="0" xfId="24" applyFont="1" applyFill="1" applyAlignment="1">
      <alignment vertical="top" wrapText="1"/>
    </xf>
    <xf numFmtId="0" fontId="25" fillId="15" borderId="22" xfId="24" applyFill="1" applyBorder="1" applyAlignment="1">
      <alignment vertical="top"/>
    </xf>
    <xf numFmtId="0" fontId="25" fillId="15" borderId="22" xfId="24" applyFill="1" applyBorder="1"/>
    <xf numFmtId="0" fontId="146" fillId="0" borderId="0" xfId="23" applyNumberFormat="1">
      <alignment vertical="top" wrapText="1"/>
    </xf>
    <xf numFmtId="0" fontId="146" fillId="0" borderId="0" xfId="23">
      <alignment vertical="top" wrapText="1"/>
    </xf>
    <xf numFmtId="49" fontId="147" fillId="43" borderId="101" xfId="23" applyNumberFormat="1" applyFont="1" applyFill="1" applyBorder="1" applyAlignment="1">
      <alignment horizontal="center" vertical="center" wrapText="1"/>
    </xf>
    <xf numFmtId="49" fontId="147" fillId="43" borderId="103" xfId="23" applyNumberFormat="1" applyFont="1" applyFill="1" applyBorder="1" applyAlignment="1">
      <alignment horizontal="center" vertical="center" wrapText="1"/>
    </xf>
    <xf numFmtId="49" fontId="146" fillId="16" borderId="104" xfId="23" applyNumberFormat="1" applyFill="1" applyBorder="1">
      <alignment vertical="top" wrapText="1"/>
    </xf>
    <xf numFmtId="49" fontId="146" fillId="44" borderId="104" xfId="23" applyNumberFormat="1" applyFill="1" applyBorder="1" applyAlignment="1">
      <alignment horizontal="center" vertical="top" wrapText="1"/>
    </xf>
    <xf numFmtId="49" fontId="146" fillId="16" borderId="105" xfId="23" applyNumberFormat="1" applyFill="1" applyBorder="1">
      <alignment vertical="top" wrapText="1"/>
    </xf>
    <xf numFmtId="49" fontId="146" fillId="44" borderId="105" xfId="23" applyNumberFormat="1" applyFill="1" applyBorder="1" applyAlignment="1">
      <alignment horizontal="center" vertical="top" wrapText="1"/>
    </xf>
    <xf numFmtId="49" fontId="146" fillId="16" borderId="106" xfId="23" applyNumberFormat="1" applyFill="1" applyBorder="1">
      <alignment vertical="top" wrapText="1"/>
    </xf>
    <xf numFmtId="0" fontId="146" fillId="44" borderId="106" xfId="23" applyNumberFormat="1" applyFill="1" applyBorder="1" applyAlignment="1">
      <alignment horizontal="center" vertical="top" wrapText="1"/>
    </xf>
    <xf numFmtId="49" fontId="146" fillId="16" borderId="108" xfId="23" applyNumberFormat="1" applyFill="1" applyBorder="1">
      <alignment vertical="top" wrapText="1"/>
    </xf>
    <xf numFmtId="49" fontId="146" fillId="44" borderId="108" xfId="23" applyNumberFormat="1" applyFill="1" applyBorder="1" applyAlignment="1">
      <alignment horizontal="center" vertical="top" wrapText="1"/>
    </xf>
    <xf numFmtId="0" fontId="146" fillId="0" borderId="0" xfId="23" applyNumberFormat="1" applyBorder="1">
      <alignment vertical="top" wrapText="1"/>
    </xf>
    <xf numFmtId="49" fontId="146" fillId="16" borderId="136" xfId="23" applyNumberFormat="1" applyFill="1" applyBorder="1">
      <alignment vertical="top" wrapText="1"/>
    </xf>
    <xf numFmtId="0" fontId="146" fillId="44" borderId="136" xfId="23" applyNumberFormat="1" applyFill="1" applyBorder="1" applyAlignment="1">
      <alignment horizontal="center" vertical="top" wrapText="1"/>
    </xf>
    <xf numFmtId="0" fontId="146" fillId="0" borderId="0" xfId="23" applyBorder="1">
      <alignment vertical="top" wrapText="1"/>
    </xf>
    <xf numFmtId="49" fontId="146" fillId="16" borderId="137" xfId="23" applyNumberFormat="1" applyFill="1" applyBorder="1">
      <alignment vertical="top" wrapText="1"/>
    </xf>
    <xf numFmtId="49" fontId="146" fillId="44" borderId="137" xfId="23" applyNumberFormat="1" applyFill="1" applyBorder="1" applyAlignment="1">
      <alignment horizontal="center" vertical="top" wrapText="1"/>
    </xf>
    <xf numFmtId="49" fontId="146" fillId="45" borderId="105" xfId="23" applyNumberFormat="1" applyFill="1" applyBorder="1" applyAlignment="1">
      <alignment horizontal="center" vertical="top" wrapText="1"/>
    </xf>
    <xf numFmtId="49" fontId="146" fillId="16" borderId="109" xfId="23" applyNumberFormat="1" applyFill="1" applyBorder="1">
      <alignment vertical="top" wrapText="1"/>
    </xf>
    <xf numFmtId="49" fontId="146" fillId="16" borderId="110" xfId="23" applyNumberFormat="1" applyFill="1" applyBorder="1">
      <alignment vertical="top" wrapText="1"/>
    </xf>
    <xf numFmtId="49" fontId="156" fillId="16" borderId="105" xfId="23" applyNumberFormat="1" applyFont="1" applyFill="1" applyBorder="1">
      <alignment vertical="top" wrapText="1"/>
    </xf>
    <xf numFmtId="49" fontId="146" fillId="16" borderId="103" xfId="23" applyNumberFormat="1" applyFill="1" applyBorder="1">
      <alignment vertical="top" wrapText="1"/>
    </xf>
    <xf numFmtId="0" fontId="146" fillId="44" borderId="103" xfId="23" applyNumberFormat="1" applyFill="1" applyBorder="1" applyAlignment="1">
      <alignment horizontal="center" vertical="top" wrapText="1"/>
    </xf>
    <xf numFmtId="49" fontId="146" fillId="16" borderId="138" xfId="23" applyNumberFormat="1" applyFill="1" applyBorder="1">
      <alignment vertical="top" wrapText="1"/>
    </xf>
    <xf numFmtId="0" fontId="146" fillId="44" borderId="137" xfId="23" applyFill="1" applyBorder="1" applyAlignment="1">
      <alignment horizontal="center" vertical="top" wrapText="1"/>
    </xf>
    <xf numFmtId="0" fontId="146" fillId="44" borderId="105" xfId="23" applyFill="1" applyBorder="1" applyAlignment="1">
      <alignment horizontal="center" vertical="top" wrapText="1"/>
    </xf>
    <xf numFmtId="0" fontId="151" fillId="45" borderId="0" xfId="23" applyFont="1" applyFill="1" applyBorder="1" applyAlignment="1">
      <alignment horizontal="center" vertical="center" textRotation="90" wrapText="1"/>
    </xf>
    <xf numFmtId="0" fontId="146" fillId="0" borderId="0" xfId="23" applyNumberFormat="1" applyAlignment="1">
      <alignment vertical="center" wrapText="1"/>
    </xf>
    <xf numFmtId="0" fontId="146" fillId="0" borderId="0" xfId="23" applyAlignment="1">
      <alignment vertical="center" wrapText="1"/>
    </xf>
    <xf numFmtId="49" fontId="152" fillId="0" borderId="0" xfId="23" applyNumberFormat="1" applyFont="1" applyBorder="1" applyAlignment="1">
      <alignment horizontal="center" vertical="top" wrapText="1" readingOrder="1"/>
    </xf>
    <xf numFmtId="0" fontId="149" fillId="0" borderId="0" xfId="23" applyFont="1" applyBorder="1" applyAlignment="1">
      <alignment vertical="center" wrapText="1"/>
    </xf>
    <xf numFmtId="0" fontId="146" fillId="0" borderId="0" xfId="23" applyNumberFormat="1" applyAlignment="1">
      <alignment vertical="top" textRotation="90" wrapText="1"/>
    </xf>
    <xf numFmtId="0" fontId="171" fillId="0" borderId="0" xfId="23" applyNumberFormat="1" applyFont="1">
      <alignment vertical="top" wrapText="1"/>
    </xf>
    <xf numFmtId="0" fontId="149" fillId="0" borderId="0" xfId="23" applyNumberFormat="1" applyFont="1">
      <alignment vertical="top" wrapText="1"/>
    </xf>
    <xf numFmtId="1" fontId="149" fillId="0" borderId="0" xfId="23" applyNumberFormat="1" applyFont="1" applyAlignment="1">
      <alignment horizontal="center" vertical="center" wrapText="1"/>
    </xf>
    <xf numFmtId="0" fontId="147" fillId="0" borderId="0" xfId="23" applyNumberFormat="1" applyFont="1" applyBorder="1" applyAlignment="1">
      <alignment horizontal="center" vertical="top" wrapText="1"/>
    </xf>
    <xf numFmtId="49" fontId="149" fillId="45" borderId="0" xfId="23" applyNumberFormat="1" applyFont="1" applyFill="1" applyBorder="1" applyAlignment="1">
      <alignment vertical="center" wrapText="1"/>
    </xf>
    <xf numFmtId="0" fontId="154" fillId="0" borderId="0" xfId="23" applyNumberFormat="1" applyFont="1" applyFill="1" applyAlignment="1">
      <alignment horizontal="center" vertical="center" wrapText="1"/>
    </xf>
    <xf numFmtId="1" fontId="149" fillId="45" borderId="0" xfId="23" applyNumberFormat="1" applyFont="1" applyFill="1" applyBorder="1" applyAlignment="1">
      <alignment horizontal="center" vertical="center" wrapText="1"/>
    </xf>
    <xf numFmtId="49" fontId="147" fillId="45" borderId="0" xfId="23" applyNumberFormat="1" applyFont="1" applyFill="1" applyBorder="1" applyAlignment="1">
      <alignment horizontal="center" vertical="center" wrapText="1"/>
    </xf>
    <xf numFmtId="0" fontId="146" fillId="0" borderId="0" xfId="23" applyNumberFormat="1" applyAlignment="1">
      <alignment horizontal="center" vertical="center" wrapText="1"/>
    </xf>
    <xf numFmtId="0" fontId="157" fillId="0" borderId="0" xfId="23" applyNumberFormat="1" applyFont="1">
      <alignment vertical="top" wrapText="1"/>
    </xf>
    <xf numFmtId="1" fontId="146" fillId="0" borderId="0" xfId="23" applyNumberFormat="1" applyAlignment="1">
      <alignment horizontal="center" vertical="center" wrapText="1"/>
    </xf>
    <xf numFmtId="0" fontId="146" fillId="0" borderId="0" xfId="23" applyNumberFormat="1" applyAlignment="1">
      <alignment vertical="center" textRotation="90" wrapText="1"/>
    </xf>
    <xf numFmtId="0" fontId="146" fillId="0" borderId="3" xfId="23" applyNumberFormat="1" applyBorder="1" applyAlignment="1">
      <alignment vertical="center" wrapText="1"/>
    </xf>
    <xf numFmtId="0" fontId="158" fillId="0" borderId="3" xfId="23" applyNumberFormat="1" applyFont="1" applyBorder="1" applyAlignment="1">
      <alignment vertical="center" wrapText="1"/>
    </xf>
    <xf numFmtId="0" fontId="158" fillId="0" borderId="0" xfId="23" applyNumberFormat="1" applyFont="1" applyBorder="1" applyAlignment="1">
      <alignment vertical="center" wrapText="1"/>
    </xf>
    <xf numFmtId="0" fontId="146" fillId="0" borderId="3" xfId="23" applyNumberFormat="1" applyBorder="1">
      <alignment vertical="top" wrapText="1"/>
    </xf>
    <xf numFmtId="49" fontId="147" fillId="43" borderId="102" xfId="23" applyNumberFormat="1" applyFont="1" applyFill="1" applyBorder="1" applyAlignment="1">
      <alignment horizontal="center" vertical="center" wrapText="1"/>
    </xf>
    <xf numFmtId="1" fontId="153" fillId="34" borderId="139" xfId="23" applyNumberFormat="1" applyFont="1" applyFill="1" applyBorder="1" applyAlignment="1">
      <alignment horizontal="center" vertical="center" wrapText="1"/>
    </xf>
    <xf numFmtId="1" fontId="153" fillId="34" borderId="137" xfId="23" applyNumberFormat="1" applyFont="1" applyFill="1" applyBorder="1" applyAlignment="1">
      <alignment horizontal="center" vertical="center" wrapText="1"/>
    </xf>
    <xf numFmtId="0" fontId="151" fillId="45" borderId="107" xfId="23" applyFont="1" applyFill="1" applyBorder="1" applyAlignment="1">
      <alignment horizontal="center" vertical="center" textRotation="90" wrapText="1"/>
    </xf>
    <xf numFmtId="0" fontId="146" fillId="0" borderId="0" xfId="27">
      <alignment vertical="top" wrapText="1"/>
    </xf>
    <xf numFmtId="0" fontId="146" fillId="0" borderId="0" xfId="27" applyNumberFormat="1">
      <alignment vertical="top" wrapText="1"/>
    </xf>
    <xf numFmtId="1" fontId="146" fillId="0" borderId="0" xfId="27" applyNumberFormat="1" applyAlignment="1">
      <alignment horizontal="center" vertical="center" wrapText="1"/>
    </xf>
    <xf numFmtId="0" fontId="146" fillId="0" borderId="0" xfId="27" applyNumberFormat="1" applyAlignment="1">
      <alignment horizontal="center" vertical="center" wrapText="1"/>
    </xf>
    <xf numFmtId="0" fontId="146" fillId="0" borderId="0" xfId="27" applyNumberFormat="1" applyAlignment="1">
      <alignment vertical="top" textRotation="90" wrapText="1"/>
    </xf>
    <xf numFmtId="0" fontId="146" fillId="0" borderId="3" xfId="27" applyNumberFormat="1" applyBorder="1">
      <alignment vertical="top" wrapText="1"/>
    </xf>
    <xf numFmtId="0" fontId="146" fillId="0" borderId="3" xfId="27" applyNumberFormat="1" applyBorder="1" applyAlignment="1">
      <alignment vertical="center" wrapText="1"/>
    </xf>
    <xf numFmtId="0" fontId="158" fillId="0" borderId="3" xfId="27" applyNumberFormat="1" applyFont="1" applyBorder="1" applyAlignment="1">
      <alignment vertical="center" wrapText="1"/>
    </xf>
    <xf numFmtId="0" fontId="158" fillId="0" borderId="0" xfId="27" applyNumberFormat="1" applyFont="1" applyBorder="1" applyAlignment="1">
      <alignment vertical="center" wrapText="1"/>
    </xf>
    <xf numFmtId="0" fontId="146" fillId="0" borderId="0" xfId="27" applyAlignment="1">
      <alignment vertical="center" wrapText="1"/>
    </xf>
    <xf numFmtId="0" fontId="146" fillId="0" borderId="0" xfId="27" applyNumberFormat="1" applyAlignment="1">
      <alignment vertical="center" wrapText="1"/>
    </xf>
    <xf numFmtId="0" fontId="146" fillId="0" borderId="0" xfId="27" applyNumberFormat="1" applyAlignment="1">
      <alignment vertical="center" textRotation="90" wrapText="1"/>
    </xf>
    <xf numFmtId="0" fontId="157" fillId="0" borderId="0" xfId="27" applyNumberFormat="1" applyFont="1">
      <alignment vertical="top" wrapText="1"/>
    </xf>
    <xf numFmtId="49" fontId="147" fillId="45" borderId="0" xfId="27" applyNumberFormat="1" applyFont="1" applyFill="1" applyBorder="1" applyAlignment="1">
      <alignment horizontal="center" vertical="center" wrapText="1"/>
    </xf>
    <xf numFmtId="0" fontId="146" fillId="0" borderId="0" xfId="27" applyNumberFormat="1" applyBorder="1">
      <alignment vertical="top" wrapText="1"/>
    </xf>
    <xf numFmtId="1" fontId="149" fillId="45" borderId="0" xfId="27" applyNumberFormat="1" applyFont="1" applyFill="1" applyBorder="1" applyAlignment="1">
      <alignment horizontal="center" vertical="center" wrapText="1"/>
    </xf>
    <xf numFmtId="49" fontId="149" fillId="45" borderId="0" xfId="27" applyNumberFormat="1" applyFont="1" applyFill="1" applyBorder="1" applyAlignment="1">
      <alignment vertical="center" wrapText="1"/>
    </xf>
    <xf numFmtId="0" fontId="154" fillId="0" borderId="0" xfId="27" applyNumberFormat="1" applyFont="1" applyFill="1" applyAlignment="1">
      <alignment horizontal="center" vertical="center" wrapText="1"/>
    </xf>
    <xf numFmtId="0" fontId="147" fillId="0" borderId="0" xfId="27" applyNumberFormat="1" applyFont="1" applyBorder="1" applyAlignment="1">
      <alignment horizontal="center" vertical="top" wrapText="1"/>
    </xf>
    <xf numFmtId="0" fontId="149" fillId="0" borderId="0" xfId="27" applyNumberFormat="1" applyFont="1">
      <alignment vertical="top" wrapText="1"/>
    </xf>
    <xf numFmtId="0" fontId="171" fillId="0" borderId="0" xfId="27" applyNumberFormat="1" applyFont="1">
      <alignment vertical="top" wrapText="1"/>
    </xf>
    <xf numFmtId="1" fontId="149" fillId="0" borderId="0" xfId="27" applyNumberFormat="1" applyFont="1" applyAlignment="1">
      <alignment horizontal="center" vertical="center" wrapText="1"/>
    </xf>
    <xf numFmtId="0" fontId="149" fillId="0" borderId="0" xfId="27" applyFont="1" applyBorder="1" applyAlignment="1">
      <alignment vertical="center" wrapText="1"/>
    </xf>
    <xf numFmtId="49" fontId="152" fillId="0" borderId="0" xfId="27" applyNumberFormat="1" applyFont="1" applyBorder="1" applyAlignment="1">
      <alignment horizontal="center" vertical="top" wrapText="1" readingOrder="1"/>
    </xf>
    <xf numFmtId="0" fontId="151" fillId="45" borderId="0" xfId="27" applyFont="1" applyFill="1" applyBorder="1" applyAlignment="1">
      <alignment horizontal="center" vertical="center" textRotation="90" wrapText="1"/>
    </xf>
    <xf numFmtId="49" fontId="149" fillId="0" borderId="140" xfId="27" applyNumberFormat="1" applyFont="1" applyBorder="1" applyAlignment="1">
      <alignment vertical="center" wrapText="1"/>
    </xf>
    <xf numFmtId="49" fontId="149" fillId="0" borderId="0" xfId="27" applyNumberFormat="1" applyFont="1" applyBorder="1" applyAlignment="1">
      <alignment horizontal="center" vertical="center" wrapText="1"/>
    </xf>
    <xf numFmtId="0" fontId="146" fillId="44" borderId="141" xfId="27" applyNumberFormat="1" applyFill="1" applyBorder="1" applyAlignment="1">
      <alignment horizontal="center" vertical="top" wrapText="1"/>
    </xf>
    <xf numFmtId="49" fontId="146" fillId="16" borderId="141" xfId="27" applyNumberFormat="1" applyFill="1" applyBorder="1">
      <alignment vertical="top" wrapText="1"/>
    </xf>
    <xf numFmtId="0" fontId="146" fillId="0" borderId="142" xfId="27" applyNumberFormat="1" applyBorder="1">
      <alignment vertical="top" wrapText="1"/>
    </xf>
    <xf numFmtId="0" fontId="146" fillId="44" borderId="137" xfId="27" applyFill="1" applyBorder="1" applyAlignment="1">
      <alignment horizontal="center" vertical="top" wrapText="1"/>
    </xf>
    <xf numFmtId="49" fontId="146" fillId="16" borderId="137" xfId="27" applyNumberFormat="1" applyFill="1" applyBorder="1">
      <alignment vertical="top" wrapText="1"/>
    </xf>
    <xf numFmtId="0" fontId="146" fillId="44" borderId="105" xfId="27" applyFill="1" applyBorder="1" applyAlignment="1">
      <alignment horizontal="center" vertical="top" wrapText="1"/>
    </xf>
    <xf numFmtId="49" fontId="146" fillId="16" borderId="105" xfId="27" applyNumberFormat="1" applyFill="1" applyBorder="1">
      <alignment vertical="top" wrapText="1"/>
    </xf>
    <xf numFmtId="49" fontId="146" fillId="44" borderId="143" xfId="27" applyNumberFormat="1" applyFill="1" applyBorder="1" applyAlignment="1">
      <alignment horizontal="center" vertical="top" wrapText="1"/>
    </xf>
    <xf numFmtId="49" fontId="146" fillId="16" borderId="143" xfId="27" applyNumberFormat="1" applyFill="1" applyBorder="1">
      <alignment vertical="top" wrapText="1"/>
    </xf>
    <xf numFmtId="49" fontId="146" fillId="44" borderId="143" xfId="27" applyNumberFormat="1" applyFill="1" applyBorder="1" applyAlignment="1">
      <alignment horizontal="center" vertical="center" wrapText="1"/>
    </xf>
    <xf numFmtId="0" fontId="146" fillId="0" borderId="0" xfId="27" applyBorder="1">
      <alignment vertical="top" wrapText="1"/>
    </xf>
    <xf numFmtId="0" fontId="146" fillId="44" borderId="103" xfId="27" applyNumberFormat="1" applyFill="1" applyBorder="1" applyAlignment="1">
      <alignment horizontal="center" vertical="top" wrapText="1"/>
    </xf>
    <xf numFmtId="49" fontId="146" fillId="16" borderId="103" xfId="27" applyNumberFormat="1" applyFill="1" applyBorder="1">
      <alignment vertical="top" wrapText="1"/>
    </xf>
    <xf numFmtId="49" fontId="146" fillId="44" borderId="105" xfId="27" applyNumberFormat="1" applyFill="1" applyBorder="1" applyAlignment="1">
      <alignment horizontal="center" vertical="top" wrapText="1"/>
    </xf>
    <xf numFmtId="49" fontId="146" fillId="44" borderId="137" xfId="27" applyNumberFormat="1" applyFill="1" applyBorder="1" applyAlignment="1">
      <alignment horizontal="center" vertical="top" wrapText="1"/>
    </xf>
    <xf numFmtId="0" fontId="146" fillId="44" borderId="141" xfId="27" applyNumberFormat="1" applyFill="1" applyBorder="1" applyAlignment="1">
      <alignment horizontal="center" vertical="center" wrapText="1"/>
    </xf>
    <xf numFmtId="49" fontId="146" fillId="44" borderId="103" xfId="27" applyNumberFormat="1" applyFill="1" applyBorder="1" applyAlignment="1">
      <alignment horizontal="center" vertical="top" wrapText="1"/>
    </xf>
    <xf numFmtId="49" fontId="146" fillId="16" borderId="144" xfId="27" applyNumberFormat="1" applyFill="1" applyBorder="1">
      <alignment vertical="top" wrapText="1"/>
    </xf>
    <xf numFmtId="49" fontId="156" fillId="16" borderId="105" xfId="27" applyNumberFormat="1" applyFont="1" applyFill="1" applyBorder="1">
      <alignment vertical="top" wrapText="1"/>
    </xf>
    <xf numFmtId="49" fontId="146" fillId="45" borderId="105" xfId="27" applyNumberFormat="1" applyFill="1" applyBorder="1" applyAlignment="1">
      <alignment horizontal="center" vertical="top" wrapText="1"/>
    </xf>
    <xf numFmtId="49" fontId="146" fillId="44" borderId="136" xfId="27" applyNumberFormat="1" applyFill="1" applyBorder="1" applyAlignment="1">
      <alignment horizontal="center" vertical="top" wrapText="1"/>
    </xf>
    <xf numFmtId="49" fontId="146" fillId="16" borderId="136" xfId="27" applyNumberFormat="1" applyFill="1" applyBorder="1">
      <alignment vertical="top" wrapText="1"/>
    </xf>
    <xf numFmtId="49" fontId="146" fillId="44" borderId="104" xfId="27" applyNumberFormat="1" applyFill="1" applyBorder="1" applyAlignment="1">
      <alignment horizontal="center" vertical="top" wrapText="1"/>
    </xf>
    <xf numFmtId="49" fontId="146" fillId="16" borderId="104" xfId="27" applyNumberFormat="1" applyFill="1" applyBorder="1">
      <alignment vertical="top" wrapText="1"/>
    </xf>
    <xf numFmtId="49" fontId="147" fillId="43" borderId="103" xfId="27" applyNumberFormat="1" applyFont="1" applyFill="1" applyBorder="1" applyAlignment="1">
      <alignment horizontal="center" vertical="center" wrapText="1"/>
    </xf>
    <xf numFmtId="49" fontId="147" fillId="43" borderId="102" xfId="27" applyNumberFormat="1" applyFont="1" applyFill="1" applyBorder="1" applyAlignment="1">
      <alignment horizontal="center" vertical="center" wrapText="1"/>
    </xf>
    <xf numFmtId="49" fontId="147" fillId="43" borderId="101" xfId="27" applyNumberFormat="1" applyFont="1" applyFill="1" applyBorder="1" applyAlignment="1">
      <alignment horizontal="center" vertical="center" wrapText="1"/>
    </xf>
    <xf numFmtId="1" fontId="153" fillId="16" borderId="145" xfId="27" applyNumberFormat="1" applyFont="1" applyFill="1" applyBorder="1" applyAlignment="1">
      <alignment horizontal="center" vertical="center" wrapText="1"/>
    </xf>
    <xf numFmtId="1" fontId="146" fillId="44" borderId="145" xfId="27" applyNumberFormat="1" applyFill="1" applyBorder="1" applyAlignment="1">
      <alignment horizontal="center" vertical="center" wrapText="1"/>
    </xf>
    <xf numFmtId="0" fontId="146" fillId="4" borderId="145" xfId="27" applyNumberFormat="1" applyFill="1" applyBorder="1" applyAlignment="1">
      <alignment horizontal="center" vertical="center" wrapText="1"/>
    </xf>
    <xf numFmtId="1" fontId="146" fillId="45" borderId="145" xfId="27" applyNumberFormat="1" applyFill="1" applyBorder="1" applyAlignment="1">
      <alignment horizontal="center" vertical="center" wrapText="1"/>
    </xf>
    <xf numFmtId="1" fontId="146" fillId="0" borderId="145" xfId="27" applyNumberFormat="1" applyBorder="1" applyAlignment="1">
      <alignment horizontal="center" vertical="center" wrapText="1"/>
    </xf>
    <xf numFmtId="1" fontId="153" fillId="16" borderId="146" xfId="27" applyNumberFormat="1" applyFont="1" applyFill="1" applyBorder="1" applyAlignment="1">
      <alignment horizontal="center" vertical="center" wrapText="1"/>
    </xf>
    <xf numFmtId="1" fontId="146" fillId="44" borderId="146" xfId="27" applyNumberFormat="1" applyFill="1" applyBorder="1" applyAlignment="1">
      <alignment horizontal="center" vertical="center" wrapText="1"/>
    </xf>
    <xf numFmtId="1" fontId="146" fillId="4" borderId="146" xfId="27" applyNumberFormat="1" applyFill="1" applyBorder="1" applyAlignment="1">
      <alignment horizontal="center" vertical="center" wrapText="1"/>
    </xf>
    <xf numFmtId="0" fontId="154" fillId="4" borderId="147" xfId="27" applyNumberFormat="1" applyFont="1" applyFill="1" applyBorder="1" applyAlignment="1">
      <alignment horizontal="center" vertical="center" wrapText="1"/>
    </xf>
    <xf numFmtId="0" fontId="154" fillId="48" borderId="148" xfId="27" applyNumberFormat="1" applyFont="1" applyFill="1" applyBorder="1" applyAlignment="1">
      <alignment horizontal="center" vertical="center" wrapText="1"/>
    </xf>
    <xf numFmtId="49" fontId="149" fillId="45" borderId="147" xfId="27" applyNumberFormat="1" applyFont="1" applyFill="1" applyBorder="1" applyAlignment="1">
      <alignment vertical="center" wrapText="1"/>
    </xf>
    <xf numFmtId="49" fontId="149" fillId="45" borderId="148" xfId="27" applyNumberFormat="1" applyFont="1" applyFill="1" applyBorder="1" applyAlignment="1">
      <alignment vertical="center" wrapText="1"/>
    </xf>
    <xf numFmtId="1" fontId="149" fillId="45" borderId="146" xfId="27" applyNumberFormat="1" applyFont="1" applyFill="1" applyBorder="1" applyAlignment="1">
      <alignment horizontal="center" vertical="center" wrapText="1"/>
    </xf>
    <xf numFmtId="0" fontId="154" fillId="45" borderId="147" xfId="27" applyNumberFormat="1" applyFont="1" applyFill="1" applyBorder="1" applyAlignment="1">
      <alignment horizontal="center" vertical="center" wrapText="1"/>
    </xf>
    <xf numFmtId="49" fontId="149" fillId="0" borderId="149" xfId="27" applyNumberFormat="1" applyFont="1" applyBorder="1" applyAlignment="1">
      <alignment vertical="center" wrapText="1"/>
    </xf>
    <xf numFmtId="0" fontId="154" fillId="49" borderId="148" xfId="27" applyNumberFormat="1" applyFont="1" applyFill="1" applyBorder="1" applyAlignment="1">
      <alignment horizontal="center" vertical="center" wrapText="1"/>
    </xf>
    <xf numFmtId="0" fontId="146" fillId="50" borderId="145" xfId="27" applyFill="1" applyBorder="1" applyAlignment="1">
      <alignment horizontal="center" vertical="center" wrapText="1"/>
    </xf>
    <xf numFmtId="0" fontId="146" fillId="45" borderId="145" xfId="27" applyNumberFormat="1" applyFill="1" applyBorder="1" applyAlignment="1">
      <alignment horizontal="center" vertical="center" wrapText="1"/>
    </xf>
    <xf numFmtId="49" fontId="146" fillId="40" borderId="145" xfId="27" applyNumberFormat="1" applyFill="1" applyBorder="1" applyAlignment="1">
      <alignment vertical="center" wrapText="1"/>
    </xf>
    <xf numFmtId="0" fontId="146" fillId="16" borderId="145" xfId="27" applyFill="1" applyBorder="1" applyAlignment="1">
      <alignment vertical="center" wrapText="1"/>
    </xf>
    <xf numFmtId="49" fontId="146" fillId="28" borderId="145" xfId="27" applyNumberFormat="1" applyFill="1" applyBorder="1" applyAlignment="1">
      <alignment vertical="center" wrapText="1"/>
    </xf>
    <xf numFmtId="49" fontId="146" fillId="4" borderId="145" xfId="27" applyNumberFormat="1" applyFill="1" applyBorder="1" applyAlignment="1">
      <alignment horizontal="center" vertical="center" wrapText="1"/>
    </xf>
    <xf numFmtId="49" fontId="146" fillId="51" borderId="149" xfId="27" applyNumberFormat="1" applyFill="1" applyBorder="1" applyAlignment="1">
      <alignment horizontal="center" vertical="center" wrapText="1"/>
    </xf>
    <xf numFmtId="49" fontId="146" fillId="45" borderId="145" xfId="27" applyNumberFormat="1" applyFill="1" applyBorder="1" applyAlignment="1">
      <alignment horizontal="center" vertical="center" wrapText="1"/>
    </xf>
    <xf numFmtId="0" fontId="153" fillId="45" borderId="145" xfId="27" applyNumberFormat="1" applyFont="1" applyFill="1" applyBorder="1" applyAlignment="1">
      <alignment horizontal="center" vertical="center" wrapText="1"/>
    </xf>
    <xf numFmtId="49" fontId="152" fillId="43" borderId="145" xfId="27" applyNumberFormat="1" applyFont="1" applyFill="1" applyBorder="1" applyAlignment="1">
      <alignment horizontal="center" vertical="center" wrapText="1" readingOrder="1"/>
    </xf>
    <xf numFmtId="0" fontId="146" fillId="4" borderId="145" xfId="27" applyFill="1" applyBorder="1" applyAlignment="1">
      <alignment horizontal="center" vertical="center" wrapText="1"/>
    </xf>
    <xf numFmtId="0" fontId="146" fillId="51" borderId="149" xfId="27" applyFill="1" applyBorder="1" applyAlignment="1">
      <alignment horizontal="center" vertical="center" wrapText="1"/>
    </xf>
    <xf numFmtId="49" fontId="152" fillId="43" borderId="146" xfId="27" applyNumberFormat="1" applyFont="1" applyFill="1" applyBorder="1" applyAlignment="1">
      <alignment horizontal="center" vertical="center" wrapText="1" readingOrder="1"/>
    </xf>
    <xf numFmtId="0" fontId="146" fillId="45" borderId="146" xfId="27" applyNumberFormat="1" applyFill="1" applyBorder="1" applyAlignment="1">
      <alignment horizontal="center" vertical="center" wrapText="1"/>
    </xf>
    <xf numFmtId="49" fontId="146" fillId="40" borderId="146" xfId="27" applyNumberFormat="1" applyFill="1" applyBorder="1" applyAlignment="1">
      <alignment vertical="center" wrapText="1"/>
    </xf>
    <xf numFmtId="0" fontId="146" fillId="16" borderId="146" xfId="27" applyFill="1" applyBorder="1" applyAlignment="1">
      <alignment vertical="center" wrapText="1"/>
    </xf>
    <xf numFmtId="49" fontId="146" fillId="28" borderId="146" xfId="27" applyNumberFormat="1" applyFill="1" applyBorder="1" applyAlignment="1">
      <alignment vertical="center" wrapText="1"/>
    </xf>
    <xf numFmtId="0" fontId="149" fillId="0" borderId="146" xfId="27" applyNumberFormat="1" applyFont="1" applyBorder="1" applyAlignment="1">
      <alignment vertical="center" wrapText="1"/>
    </xf>
    <xf numFmtId="0" fontId="147" fillId="0" borderId="150" xfId="27" applyNumberFormat="1" applyFont="1" applyBorder="1" applyAlignment="1">
      <alignment horizontal="center" vertical="center" wrapText="1"/>
    </xf>
    <xf numFmtId="0" fontId="147" fillId="0" borderId="145" xfId="27" applyNumberFormat="1" applyFont="1" applyBorder="1" applyAlignment="1">
      <alignment horizontal="center" vertical="center" wrapText="1"/>
    </xf>
    <xf numFmtId="0" fontId="147" fillId="0" borderId="148" xfId="27" applyNumberFormat="1" applyFont="1" applyBorder="1" applyAlignment="1">
      <alignment horizontal="center" vertical="center" wrapText="1"/>
    </xf>
    <xf numFmtId="0" fontId="147" fillId="0" borderId="146" xfId="27" applyNumberFormat="1" applyFont="1" applyBorder="1" applyAlignment="1">
      <alignment horizontal="center" vertical="center" wrapText="1"/>
    </xf>
    <xf numFmtId="0" fontId="149" fillId="0" borderId="147" xfId="27" applyNumberFormat="1" applyFont="1" applyBorder="1" applyAlignment="1">
      <alignment vertical="center" wrapText="1"/>
    </xf>
    <xf numFmtId="0" fontId="151" fillId="15" borderId="151" xfId="23" applyFont="1" applyFill="1" applyBorder="1" applyAlignment="1" applyProtection="1">
      <alignment horizontal="center" vertical="center" textRotation="90" wrapText="1"/>
    </xf>
    <xf numFmtId="49" fontId="146" fillId="45" borderId="140" xfId="23" applyNumberFormat="1" applyFill="1" applyBorder="1" applyAlignment="1" applyProtection="1">
      <alignment vertical="center" wrapText="1"/>
    </xf>
    <xf numFmtId="49" fontId="146" fillId="0" borderId="0" xfId="23" applyNumberFormat="1" applyBorder="1" applyAlignment="1" applyProtection="1">
      <alignment horizontal="center" vertical="center" wrapText="1"/>
    </xf>
    <xf numFmtId="49" fontId="146" fillId="0" borderId="140" xfId="23" applyNumberFormat="1" applyBorder="1" applyAlignment="1" applyProtection="1">
      <alignment vertical="center" wrapText="1"/>
    </xf>
    <xf numFmtId="49" fontId="146" fillId="0" borderId="3" xfId="23" applyNumberFormat="1" applyBorder="1" applyAlignment="1" applyProtection="1">
      <alignment vertical="center" wrapText="1"/>
    </xf>
    <xf numFmtId="0" fontId="147" fillId="15" borderId="152" xfId="23" applyNumberFormat="1" applyFont="1" applyFill="1" applyBorder="1" applyAlignment="1" applyProtection="1">
      <alignment horizontal="right" vertical="center" wrapText="1"/>
    </xf>
    <xf numFmtId="0" fontId="147" fillId="0" borderId="152" xfId="23" applyNumberFormat="1" applyFont="1" applyFill="1" applyBorder="1" applyAlignment="1" applyProtection="1">
      <alignment horizontal="center" vertical="center" wrapText="1"/>
    </xf>
    <xf numFmtId="0" fontId="147" fillId="15" borderId="145" xfId="23" applyFont="1" applyFill="1" applyBorder="1" applyAlignment="1" applyProtection="1">
      <alignment horizontal="right" vertical="center"/>
    </xf>
    <xf numFmtId="0" fontId="147" fillId="15" borderId="145" xfId="23" applyFont="1" applyFill="1" applyBorder="1" applyAlignment="1" applyProtection="1">
      <alignment horizontal="center" vertical="center"/>
    </xf>
    <xf numFmtId="1" fontId="148" fillId="45" borderId="145" xfId="23" applyNumberFormat="1" applyFont="1" applyFill="1" applyBorder="1" applyAlignment="1" applyProtection="1">
      <alignment horizontal="center" vertical="center"/>
    </xf>
    <xf numFmtId="0" fontId="149" fillId="45" borderId="145" xfId="23" applyFont="1" applyFill="1" applyBorder="1" applyAlignment="1" applyProtection="1">
      <alignment horizontal="center" vertical="center"/>
    </xf>
    <xf numFmtId="0" fontId="149" fillId="45" borderId="149" xfId="23" applyFont="1" applyFill="1" applyBorder="1" applyAlignment="1" applyProtection="1">
      <alignment horizontal="center" vertical="center"/>
    </xf>
    <xf numFmtId="0" fontId="153" fillId="34" borderId="145" xfId="23" applyFont="1" applyFill="1" applyBorder="1" applyAlignment="1" applyProtection="1">
      <alignment horizontal="center" vertical="center" wrapText="1"/>
    </xf>
    <xf numFmtId="1" fontId="146" fillId="28" borderId="145" xfId="23" applyNumberFormat="1" applyFill="1" applyBorder="1" applyAlignment="1" applyProtection="1">
      <alignment horizontal="center" vertical="center" wrapText="1"/>
    </xf>
    <xf numFmtId="0" fontId="151" fillId="45" borderId="150" xfId="23" applyFont="1" applyFill="1" applyBorder="1" applyAlignment="1" applyProtection="1">
      <alignment horizontal="center" vertical="center" textRotation="90" wrapText="1"/>
    </xf>
    <xf numFmtId="0" fontId="154" fillId="4" borderId="149" xfId="23" applyNumberFormat="1" applyFont="1" applyFill="1" applyBorder="1" applyAlignment="1" applyProtection="1">
      <alignment horizontal="center" vertical="center" wrapText="1"/>
    </xf>
    <xf numFmtId="0" fontId="151" fillId="15" borderId="150" xfId="23" applyFont="1" applyFill="1" applyBorder="1" applyAlignment="1" applyProtection="1">
      <alignment horizontal="center" vertical="center" textRotation="90" wrapText="1"/>
    </xf>
    <xf numFmtId="0" fontId="151" fillId="15" borderId="145" xfId="23" applyFont="1" applyFill="1" applyBorder="1" applyAlignment="1" applyProtection="1">
      <alignment horizontal="center" vertical="center" textRotation="90" wrapText="1"/>
    </xf>
    <xf numFmtId="0" fontId="151" fillId="15" borderId="149" xfId="23" applyFont="1" applyFill="1" applyBorder="1" applyAlignment="1" applyProtection="1">
      <alignment horizontal="center" vertical="center" textRotation="90" wrapText="1"/>
    </xf>
    <xf numFmtId="0" fontId="153" fillId="15" borderId="145" xfId="23" applyFont="1" applyFill="1" applyBorder="1" applyAlignment="1" applyProtection="1">
      <alignment horizontal="center" vertical="center" wrapText="1"/>
    </xf>
    <xf numFmtId="1" fontId="146" fillId="15" borderId="145" xfId="23" applyNumberFormat="1" applyFill="1" applyBorder="1" applyAlignment="1" applyProtection="1">
      <alignment horizontal="center" vertical="center" wrapText="1"/>
    </xf>
    <xf numFmtId="0" fontId="154" fillId="15" borderId="149" xfId="23" applyNumberFormat="1" applyFont="1" applyFill="1" applyBorder="1" applyAlignment="1" applyProtection="1">
      <alignment horizontal="center" vertical="center" wrapText="1"/>
    </xf>
    <xf numFmtId="0" fontId="153" fillId="34" borderId="146" xfId="23" applyFont="1" applyFill="1" applyBorder="1" applyAlignment="1" applyProtection="1">
      <alignment horizontal="center" vertical="center" wrapText="1"/>
    </xf>
    <xf numFmtId="1" fontId="146" fillId="28" borderId="146" xfId="23" applyNumberFormat="1" applyFill="1" applyBorder="1" applyAlignment="1" applyProtection="1">
      <alignment horizontal="center" vertical="center" wrapText="1"/>
    </xf>
    <xf numFmtId="0" fontId="154" fillId="4" borderId="147" xfId="23" applyNumberFormat="1" applyFont="1" applyFill="1" applyBorder="1" applyAlignment="1" applyProtection="1">
      <alignment horizontal="center" vertical="center" wrapText="1"/>
    </xf>
    <xf numFmtId="0" fontId="154" fillId="52" borderId="153" xfId="23" applyNumberFormat="1" applyFont="1" applyFill="1" applyBorder="1" applyAlignment="1" applyProtection="1">
      <alignment horizontal="center" vertical="center" wrapText="1"/>
    </xf>
    <xf numFmtId="49" fontId="146" fillId="0" borderId="154" xfId="23" applyNumberFormat="1" applyBorder="1" applyAlignment="1" applyProtection="1">
      <alignment vertical="center" wrapText="1"/>
    </xf>
    <xf numFmtId="0" fontId="154" fillId="48" borderId="148" xfId="23" applyNumberFormat="1" applyFont="1" applyFill="1" applyBorder="1" applyAlignment="1" applyProtection="1">
      <alignment horizontal="center" vertical="center" wrapText="1"/>
    </xf>
    <xf numFmtId="49" fontId="146" fillId="45" borderId="147" xfId="23" applyNumberFormat="1" applyFill="1" applyBorder="1" applyAlignment="1" applyProtection="1">
      <alignment vertical="center" wrapText="1"/>
    </xf>
    <xf numFmtId="49" fontId="146" fillId="0" borderId="153" xfId="23" applyNumberFormat="1" applyBorder="1" applyAlignment="1" applyProtection="1">
      <alignment horizontal="right" vertical="center" wrapText="1"/>
    </xf>
    <xf numFmtId="1" fontId="146" fillId="0" borderId="152" xfId="23" applyNumberFormat="1" applyBorder="1" applyAlignment="1" applyProtection="1">
      <alignment horizontal="center" vertical="center" wrapText="1"/>
    </xf>
    <xf numFmtId="0" fontId="146" fillId="45" borderId="152" xfId="23" applyFill="1" applyBorder="1" applyAlignment="1" applyProtection="1">
      <alignment horizontal="center" vertical="center" wrapText="1"/>
    </xf>
    <xf numFmtId="0" fontId="154" fillId="52" borderId="154" xfId="23" applyNumberFormat="1" applyFont="1" applyFill="1" applyBorder="1" applyAlignment="1" applyProtection="1">
      <alignment horizontal="center" vertical="center" wrapText="1"/>
    </xf>
    <xf numFmtId="49" fontId="146" fillId="0" borderId="148" xfId="23" applyNumberFormat="1" applyBorder="1" applyAlignment="1" applyProtection="1">
      <alignment horizontal="right" vertical="center" wrapText="1"/>
    </xf>
    <xf numFmtId="1" fontId="146" fillId="0" borderId="146" xfId="23" applyNumberFormat="1" applyBorder="1" applyAlignment="1" applyProtection="1">
      <alignment horizontal="center" vertical="center" wrapText="1"/>
    </xf>
    <xf numFmtId="0" fontId="146" fillId="45" borderId="146" xfId="23" applyFill="1" applyBorder="1" applyAlignment="1" applyProtection="1">
      <alignment horizontal="center" vertical="center" wrapText="1"/>
    </xf>
    <xf numFmtId="0" fontId="154" fillId="52" borderId="147" xfId="23" applyNumberFormat="1" applyFont="1" applyFill="1" applyBorder="1" applyAlignment="1" applyProtection="1">
      <alignment horizontal="center" vertical="center" wrapText="1"/>
    </xf>
    <xf numFmtId="49" fontId="149" fillId="45" borderId="153" xfId="23" applyNumberFormat="1" applyFont="1" applyFill="1" applyBorder="1" applyAlignment="1" applyProtection="1">
      <alignment vertical="center" wrapText="1"/>
    </xf>
    <xf numFmtId="1" fontId="149" fillId="45" borderId="152" xfId="23" applyNumberFormat="1" applyFont="1" applyFill="1" applyBorder="1" applyAlignment="1" applyProtection="1">
      <alignment horizontal="center" vertical="center" wrapText="1"/>
    </xf>
    <xf numFmtId="0" fontId="146" fillId="0" borderId="152" xfId="23" applyNumberFormat="1" applyBorder="1" applyProtection="1">
      <alignment vertical="top" wrapText="1"/>
    </xf>
    <xf numFmtId="49" fontId="147" fillId="45" borderId="154" xfId="23" applyNumberFormat="1" applyFont="1" applyFill="1" applyBorder="1" applyAlignment="1" applyProtection="1">
      <alignment horizontal="center" vertical="center" wrapText="1"/>
    </xf>
    <xf numFmtId="49" fontId="149" fillId="45" borderId="148" xfId="23" applyNumberFormat="1" applyFont="1" applyFill="1" applyBorder="1" applyAlignment="1" applyProtection="1">
      <alignment vertical="center" wrapText="1"/>
    </xf>
    <xf numFmtId="1" fontId="149" fillId="45" borderId="146" xfId="23" applyNumberFormat="1" applyFont="1" applyFill="1" applyBorder="1" applyAlignment="1" applyProtection="1">
      <alignment horizontal="center" vertical="center" wrapText="1"/>
    </xf>
    <xf numFmtId="0" fontId="146" fillId="0" borderId="146" xfId="23" applyNumberFormat="1" applyBorder="1" applyProtection="1">
      <alignment vertical="top" wrapText="1"/>
    </xf>
    <xf numFmtId="49" fontId="147" fillId="45" borderId="147" xfId="23" applyNumberFormat="1" applyFont="1" applyFill="1" applyBorder="1" applyAlignment="1" applyProtection="1">
      <alignment horizontal="center" vertical="center" wrapText="1"/>
    </xf>
    <xf numFmtId="0" fontId="146" fillId="0" borderId="152" xfId="23" applyNumberFormat="1" applyBorder="1" applyAlignment="1" applyProtection="1">
      <alignment horizontal="center" vertical="center" wrapText="1"/>
    </xf>
    <xf numFmtId="0" fontId="146" fillId="0" borderId="154" xfId="23" applyNumberFormat="1" applyBorder="1" applyProtection="1">
      <alignment vertical="top" wrapText="1"/>
    </xf>
    <xf numFmtId="49" fontId="149" fillId="0" borderId="145" xfId="23" applyNumberFormat="1" applyFont="1" applyBorder="1" applyAlignment="1" applyProtection="1">
      <alignment vertical="center" wrapText="1"/>
    </xf>
    <xf numFmtId="0" fontId="154" fillId="53" borderId="145" xfId="23" applyNumberFormat="1" applyFont="1" applyFill="1" applyBorder="1" applyAlignment="1" applyProtection="1">
      <alignment horizontal="center" vertical="center" wrapText="1"/>
    </xf>
    <xf numFmtId="0" fontId="146" fillId="0" borderId="149" xfId="23" applyNumberFormat="1" applyBorder="1" applyProtection="1">
      <alignment vertical="top" wrapText="1"/>
    </xf>
    <xf numFmtId="49" fontId="149" fillId="45" borderId="146" xfId="23" applyNumberFormat="1" applyFont="1" applyFill="1" applyBorder="1" applyAlignment="1" applyProtection="1">
      <alignment vertical="center" wrapText="1"/>
    </xf>
    <xf numFmtId="0" fontId="154" fillId="49" borderId="146" xfId="23" applyNumberFormat="1" applyFont="1" applyFill="1" applyBorder="1" applyAlignment="1" applyProtection="1">
      <alignment horizontal="center" vertical="center" wrapText="1"/>
    </xf>
    <xf numFmtId="0" fontId="146" fillId="0" borderId="147" xfId="23" applyNumberFormat="1" applyBorder="1" applyProtection="1">
      <alignment vertical="top" wrapText="1"/>
    </xf>
    <xf numFmtId="0" fontId="153" fillId="34" borderId="155" xfId="23" applyFont="1" applyFill="1" applyBorder="1" applyAlignment="1" applyProtection="1">
      <alignment horizontal="center" vertical="center" wrapText="1"/>
    </xf>
    <xf numFmtId="1" fontId="146" fillId="28" borderId="155" xfId="23" applyNumberFormat="1" applyFill="1" applyBorder="1" applyAlignment="1" applyProtection="1">
      <alignment horizontal="center" vertical="center" wrapText="1"/>
    </xf>
    <xf numFmtId="49" fontId="147" fillId="54" borderId="148" xfId="23" applyNumberFormat="1" applyFont="1" applyFill="1" applyBorder="1" applyAlignment="1" applyProtection="1">
      <alignment horizontal="center" vertical="center" wrapText="1"/>
    </xf>
    <xf numFmtId="49" fontId="150" fillId="55" borderId="146" xfId="23" applyNumberFormat="1" applyFont="1" applyFill="1" applyBorder="1" applyAlignment="1" applyProtection="1">
      <alignment horizontal="center" vertical="center" wrapText="1" readingOrder="1"/>
    </xf>
    <xf numFmtId="49" fontId="147" fillId="36" borderId="146" xfId="23" applyNumberFormat="1" applyFont="1" applyFill="1" applyBorder="1" applyAlignment="1" applyProtection="1">
      <alignment horizontal="center" vertical="center" wrapText="1"/>
    </xf>
    <xf numFmtId="1" fontId="147" fillId="36" borderId="146" xfId="23" applyNumberFormat="1" applyFont="1" applyFill="1" applyBorder="1" applyAlignment="1" applyProtection="1">
      <alignment horizontal="center" vertical="center" wrapText="1"/>
    </xf>
    <xf numFmtId="49" fontId="147" fillId="36" borderId="147" xfId="23" applyNumberFormat="1" applyFont="1" applyFill="1" applyBorder="1" applyAlignment="1" applyProtection="1">
      <alignment horizontal="center" vertical="center" wrapText="1"/>
    </xf>
    <xf numFmtId="1" fontId="148" fillId="45" borderId="145" xfId="23" applyNumberFormat="1" applyFont="1" applyFill="1" applyBorder="1" applyAlignment="1">
      <alignment horizontal="center" vertical="center"/>
    </xf>
    <xf numFmtId="0" fontId="149" fillId="45" borderId="145" xfId="23" applyFont="1" applyFill="1" applyBorder="1" applyAlignment="1">
      <alignment horizontal="center" vertical="center"/>
    </xf>
    <xf numFmtId="49" fontId="147" fillId="54" borderId="148" xfId="23" applyNumberFormat="1" applyFont="1" applyFill="1" applyBorder="1" applyAlignment="1">
      <alignment horizontal="center" vertical="center" wrapText="1"/>
    </xf>
    <xf numFmtId="49" fontId="150" fillId="55" borderId="146" xfId="23" applyNumberFormat="1" applyFont="1" applyFill="1" applyBorder="1" applyAlignment="1">
      <alignment horizontal="center" vertical="center" wrapText="1" readingOrder="1"/>
    </xf>
    <xf numFmtId="49" fontId="162" fillId="56" borderId="155" xfId="23" applyNumberFormat="1" applyFont="1" applyFill="1" applyBorder="1" applyAlignment="1" applyProtection="1">
      <alignment horizontal="center" vertical="center" wrapText="1" readingOrder="1"/>
    </xf>
    <xf numFmtId="49" fontId="146" fillId="45" borderId="155" xfId="23" applyNumberFormat="1" applyFill="1" applyBorder="1" applyAlignment="1" applyProtection="1">
      <alignment horizontal="center" vertical="center" wrapText="1"/>
    </xf>
    <xf numFmtId="49" fontId="146" fillId="6" borderId="155" xfId="23" applyNumberFormat="1" applyFill="1" applyBorder="1" applyAlignment="1" applyProtection="1">
      <alignment vertical="center" wrapText="1"/>
    </xf>
    <xf numFmtId="0" fontId="146" fillId="34" borderId="155" xfId="23" applyFill="1" applyBorder="1" applyAlignment="1" applyProtection="1">
      <alignment vertical="center" wrapText="1"/>
    </xf>
    <xf numFmtId="49" fontId="146" fillId="28" borderId="155" xfId="23" applyNumberFormat="1" applyFill="1" applyBorder="1" applyAlignment="1" applyProtection="1">
      <alignment vertical="center" wrapText="1"/>
    </xf>
    <xf numFmtId="49" fontId="146" fillId="4" borderId="155" xfId="23" applyNumberFormat="1" applyFill="1" applyBorder="1" applyAlignment="1" applyProtection="1">
      <alignment horizontal="center" vertical="center" wrapText="1"/>
    </xf>
    <xf numFmtId="49" fontId="146" fillId="51" borderId="156" xfId="23" applyNumberFormat="1" applyFill="1" applyBorder="1" applyAlignment="1" applyProtection="1">
      <alignment horizontal="center" vertical="center" wrapText="1"/>
    </xf>
    <xf numFmtId="49" fontId="162" fillId="56" borderId="145" xfId="23" applyNumberFormat="1" applyFont="1" applyFill="1" applyBorder="1" applyAlignment="1" applyProtection="1">
      <alignment horizontal="center" vertical="center" wrapText="1" readingOrder="1"/>
    </xf>
    <xf numFmtId="49" fontId="146" fillId="45" borderId="145" xfId="23" applyNumberFormat="1" applyFill="1" applyBorder="1" applyAlignment="1" applyProtection="1">
      <alignment horizontal="center" vertical="center" wrapText="1"/>
    </xf>
    <xf numFmtId="49" fontId="146" fillId="6" borderId="145" xfId="23" applyNumberFormat="1" applyFill="1" applyBorder="1" applyAlignment="1" applyProtection="1">
      <alignment vertical="center" wrapText="1"/>
    </xf>
    <xf numFmtId="0" fontId="146" fillId="34" borderId="145" xfId="23" applyFill="1" applyBorder="1" applyAlignment="1" applyProtection="1">
      <alignment vertical="center" wrapText="1"/>
    </xf>
    <xf numFmtId="49" fontId="146" fillId="28" borderId="145" xfId="23" applyNumberFormat="1" applyFill="1" applyBorder="1" applyAlignment="1" applyProtection="1">
      <alignment vertical="center" wrapText="1"/>
    </xf>
    <xf numFmtId="49" fontId="146" fillId="4" borderId="145" xfId="23" applyNumberFormat="1" applyFill="1" applyBorder="1" applyAlignment="1" applyProtection="1">
      <alignment horizontal="center" vertical="center" wrapText="1"/>
    </xf>
    <xf numFmtId="49" fontId="146" fillId="51" borderId="149" xfId="23" applyNumberFormat="1" applyFill="1" applyBorder="1" applyAlignment="1" applyProtection="1">
      <alignment horizontal="center" vertical="center" wrapText="1"/>
    </xf>
    <xf numFmtId="0" fontId="146" fillId="4" borderId="145" xfId="23" applyNumberFormat="1" applyFill="1" applyBorder="1" applyAlignment="1" applyProtection="1">
      <alignment horizontal="center" vertical="center" wrapText="1"/>
    </xf>
    <xf numFmtId="49" fontId="162" fillId="43" borderId="145" xfId="23" applyNumberFormat="1" applyFont="1" applyFill="1" applyBorder="1" applyAlignment="1" applyProtection="1">
      <alignment horizontal="center" vertical="center" wrapText="1" readingOrder="1"/>
    </xf>
    <xf numFmtId="0" fontId="146" fillId="45" borderId="145" xfId="23" applyNumberFormat="1" applyFill="1" applyBorder="1" applyAlignment="1" applyProtection="1">
      <alignment horizontal="center" vertical="center" wrapText="1"/>
    </xf>
    <xf numFmtId="49" fontId="162" fillId="15" borderId="145" xfId="23" applyNumberFormat="1" applyFont="1" applyFill="1" applyBorder="1" applyAlignment="1" applyProtection="1">
      <alignment horizontal="center" vertical="center" wrapText="1" readingOrder="1"/>
    </xf>
    <xf numFmtId="0" fontId="146" fillId="15" borderId="145" xfId="23" applyNumberFormat="1" applyFill="1" applyBorder="1" applyAlignment="1" applyProtection="1">
      <alignment horizontal="center" vertical="center" wrapText="1"/>
    </xf>
    <xf numFmtId="49" fontId="146" fillId="15" borderId="145" xfId="23" applyNumberFormat="1" applyFill="1" applyBorder="1" applyAlignment="1" applyProtection="1">
      <alignment vertical="center" wrapText="1"/>
    </xf>
    <xf numFmtId="0" fontId="146" fillId="15" borderId="145" xfId="23" applyFill="1" applyBorder="1" applyAlignment="1" applyProtection="1">
      <alignment vertical="center" wrapText="1"/>
    </xf>
    <xf numFmtId="49" fontId="146" fillId="15" borderId="145" xfId="23" applyNumberFormat="1" applyFill="1" applyBorder="1" applyAlignment="1" applyProtection="1">
      <alignment horizontal="center" vertical="center" wrapText="1"/>
    </xf>
    <xf numFmtId="49" fontId="155" fillId="6" borderId="145" xfId="23" applyNumberFormat="1" applyFont="1" applyFill="1" applyBorder="1" applyAlignment="1" applyProtection="1">
      <alignment vertical="center" wrapText="1"/>
    </xf>
    <xf numFmtId="0" fontId="146" fillId="4" borderId="145" xfId="23" applyFill="1" applyBorder="1" applyAlignment="1" applyProtection="1">
      <alignment horizontal="center" vertical="center" wrapText="1"/>
    </xf>
    <xf numFmtId="0" fontId="146" fillId="51" borderId="149" xfId="23" applyFill="1" applyBorder="1" applyAlignment="1" applyProtection="1">
      <alignment horizontal="center" vertical="center" wrapText="1"/>
    </xf>
    <xf numFmtId="49" fontId="162" fillId="56" borderId="146" xfId="23" applyNumberFormat="1" applyFont="1" applyFill="1" applyBorder="1" applyAlignment="1" applyProtection="1">
      <alignment horizontal="center" vertical="center" wrapText="1" readingOrder="1"/>
    </xf>
    <xf numFmtId="49" fontId="146" fillId="45" borderId="146" xfId="23" applyNumberFormat="1" applyFill="1" applyBorder="1" applyAlignment="1" applyProtection="1">
      <alignment horizontal="center" vertical="center" wrapText="1"/>
    </xf>
    <xf numFmtId="49" fontId="146" fillId="6" borderId="146" xfId="23" applyNumberFormat="1" applyFill="1" applyBorder="1" applyAlignment="1" applyProtection="1">
      <alignment vertical="center" wrapText="1"/>
    </xf>
    <xf numFmtId="0" fontId="146" fillId="34" borderId="146" xfId="23" applyFill="1" applyBorder="1" applyAlignment="1" applyProtection="1">
      <alignment vertical="center" wrapText="1"/>
    </xf>
    <xf numFmtId="49" fontId="146" fillId="28" borderId="146" xfId="23" applyNumberFormat="1" applyFill="1" applyBorder="1" applyAlignment="1" applyProtection="1">
      <alignment vertical="center" wrapText="1"/>
    </xf>
    <xf numFmtId="0" fontId="146" fillId="4" borderId="146" xfId="23" applyNumberFormat="1" applyFill="1" applyBorder="1" applyAlignment="1" applyProtection="1">
      <alignment horizontal="center" vertical="center" wrapText="1"/>
    </xf>
    <xf numFmtId="49" fontId="162" fillId="56" borderId="145" xfId="27" applyNumberFormat="1" applyFont="1" applyFill="1" applyBorder="1" applyAlignment="1">
      <alignment horizontal="center" vertical="center" wrapText="1" readingOrder="1"/>
    </xf>
    <xf numFmtId="49" fontId="146" fillId="16" borderId="103" xfId="23" applyNumberFormat="1" applyFill="1" applyBorder="1" applyProtection="1">
      <alignment vertical="top" wrapText="1"/>
    </xf>
    <xf numFmtId="0" fontId="146" fillId="44" borderId="103" xfId="23" applyNumberFormat="1" applyFill="1" applyBorder="1" applyAlignment="1" applyProtection="1">
      <alignment horizontal="center" vertical="top" wrapText="1"/>
    </xf>
    <xf numFmtId="0" fontId="116" fillId="0" borderId="51" xfId="19" applyFont="1" applyBorder="1" applyAlignment="1">
      <alignment horizontal="center" vertical="center"/>
    </xf>
    <xf numFmtId="0" fontId="64" fillId="0" borderId="0" xfId="19" applyFont="1" applyAlignment="1">
      <alignment horizontal="center" vertical="center"/>
    </xf>
    <xf numFmtId="1" fontId="153" fillId="34" borderId="103" xfId="23" applyNumberFormat="1" applyFont="1" applyFill="1" applyBorder="1" applyAlignment="1">
      <alignment horizontal="center" vertical="center" wrapText="1"/>
    </xf>
    <xf numFmtId="1" fontId="153" fillId="34" borderId="157" xfId="23" applyNumberFormat="1" applyFont="1" applyFill="1" applyBorder="1" applyAlignment="1">
      <alignment horizontal="center" vertical="center" wrapText="1"/>
    </xf>
    <xf numFmtId="49" fontId="149" fillId="0" borderId="0" xfId="23" applyNumberFormat="1" applyFont="1" applyBorder="1" applyAlignment="1">
      <alignment horizontal="center" vertical="center" wrapText="1"/>
    </xf>
    <xf numFmtId="49" fontId="149" fillId="0" borderId="140" xfId="23" applyNumberFormat="1" applyFont="1" applyBorder="1" applyAlignment="1">
      <alignment vertical="center" wrapText="1"/>
    </xf>
    <xf numFmtId="0" fontId="147" fillId="0" borderId="152" xfId="23" applyNumberFormat="1" applyFont="1" applyFill="1" applyBorder="1" applyAlignment="1">
      <alignment horizontal="center" vertical="center" wrapText="1"/>
    </xf>
    <xf numFmtId="0" fontId="149" fillId="45" borderId="149" xfId="23" applyFont="1" applyFill="1" applyBorder="1" applyAlignment="1">
      <alignment horizontal="center" vertical="center"/>
    </xf>
    <xf numFmtId="49" fontId="147" fillId="43" borderId="146" xfId="23" applyNumberFormat="1" applyFont="1" applyFill="1" applyBorder="1" applyAlignment="1">
      <alignment horizontal="center" vertical="center" wrapText="1"/>
    </xf>
    <xf numFmtId="1" fontId="147" fillId="43" borderId="146" xfId="23" applyNumberFormat="1" applyFont="1" applyFill="1" applyBorder="1" applyAlignment="1">
      <alignment horizontal="center" vertical="center" wrapText="1"/>
    </xf>
    <xf numFmtId="49" fontId="147" fillId="43" borderId="147" xfId="23" applyNumberFormat="1" applyFont="1" applyFill="1" applyBorder="1" applyAlignment="1">
      <alignment horizontal="center" vertical="center" wrapText="1"/>
    </xf>
    <xf numFmtId="0" fontId="146" fillId="50" borderId="152" xfId="23" applyFill="1" applyBorder="1" applyAlignment="1">
      <alignment horizontal="center" vertical="top" wrapText="1"/>
    </xf>
    <xf numFmtId="0" fontId="146" fillId="45" borderId="152" xfId="23" applyNumberFormat="1" applyFill="1" applyBorder="1" applyAlignment="1">
      <alignment horizontal="center" vertical="top" wrapText="1"/>
    </xf>
    <xf numFmtId="49" fontId="146" fillId="6" borderId="152" xfId="23" applyNumberFormat="1" applyFill="1" applyBorder="1">
      <alignment vertical="top" wrapText="1"/>
    </xf>
    <xf numFmtId="1" fontId="153" fillId="34" borderId="152" xfId="23" applyNumberFormat="1" applyFont="1" applyFill="1" applyBorder="1" applyAlignment="1">
      <alignment horizontal="center" vertical="center" wrapText="1"/>
    </xf>
    <xf numFmtId="0" fontId="146" fillId="34" borderId="152" xfId="23" applyFill="1" applyBorder="1">
      <alignment vertical="top" wrapText="1"/>
    </xf>
    <xf numFmtId="49" fontId="146" fillId="28" borderId="152" xfId="23" applyNumberFormat="1" applyFill="1" applyBorder="1">
      <alignment vertical="top" wrapText="1"/>
    </xf>
    <xf numFmtId="1" fontId="146" fillId="28" borderId="152" xfId="23" applyNumberFormat="1" applyFill="1" applyBorder="1" applyAlignment="1">
      <alignment horizontal="center" vertical="center" wrapText="1"/>
    </xf>
    <xf numFmtId="49" fontId="146" fillId="4" borderId="152" xfId="23" applyNumberFormat="1" applyFill="1" applyBorder="1" applyAlignment="1">
      <alignment horizontal="center" vertical="top" wrapText="1"/>
    </xf>
    <xf numFmtId="49" fontId="146" fillId="51" borderId="154" xfId="23" applyNumberFormat="1" applyFill="1" applyBorder="1" applyAlignment="1">
      <alignment horizontal="center" vertical="top" wrapText="1"/>
    </xf>
    <xf numFmtId="0" fontId="146" fillId="50" borderId="145" xfId="23" applyFill="1" applyBorder="1" applyAlignment="1">
      <alignment horizontal="center" vertical="top" wrapText="1"/>
    </xf>
    <xf numFmtId="0" fontId="146" fillId="45" borderId="145" xfId="23" applyNumberFormat="1" applyFill="1" applyBorder="1" applyAlignment="1">
      <alignment horizontal="center" vertical="top" wrapText="1"/>
    </xf>
    <xf numFmtId="49" fontId="146" fillId="6" borderId="145" xfId="23" applyNumberFormat="1" applyFill="1" applyBorder="1">
      <alignment vertical="top" wrapText="1"/>
    </xf>
    <xf numFmtId="1" fontId="153" fillId="34" borderId="145" xfId="23" applyNumberFormat="1" applyFont="1" applyFill="1" applyBorder="1" applyAlignment="1">
      <alignment horizontal="center" vertical="center" wrapText="1"/>
    </xf>
    <xf numFmtId="0" fontId="146" fillId="34" borderId="145" xfId="23" applyFill="1" applyBorder="1">
      <alignment vertical="top" wrapText="1"/>
    </xf>
    <xf numFmtId="49" fontId="146" fillId="28" borderId="145" xfId="23" applyNumberFormat="1" applyFill="1" applyBorder="1">
      <alignment vertical="top" wrapText="1"/>
    </xf>
    <xf numFmtId="1" fontId="146" fillId="28" borderId="145" xfId="23" applyNumberFormat="1" applyFill="1" applyBorder="1" applyAlignment="1">
      <alignment horizontal="center" vertical="center" wrapText="1"/>
    </xf>
    <xf numFmtId="49" fontId="146" fillId="4" borderId="145" xfId="23" applyNumberFormat="1" applyFill="1" applyBorder="1" applyAlignment="1">
      <alignment horizontal="center" vertical="top" wrapText="1"/>
    </xf>
    <xf numFmtId="49" fontId="146" fillId="51" borderId="149" xfId="23" applyNumberFormat="1" applyFill="1" applyBorder="1" applyAlignment="1">
      <alignment horizontal="center" vertical="top" wrapText="1"/>
    </xf>
    <xf numFmtId="0" fontId="146" fillId="50" borderId="146" xfId="23" applyFill="1" applyBorder="1" applyAlignment="1">
      <alignment horizontal="center" vertical="top" wrapText="1"/>
    </xf>
    <xf numFmtId="0" fontId="146" fillId="45" borderId="146" xfId="23" applyNumberFormat="1" applyFill="1" applyBorder="1" applyAlignment="1">
      <alignment horizontal="center" vertical="top" wrapText="1"/>
    </xf>
    <xf numFmtId="49" fontId="146" fillId="6" borderId="146" xfId="23" applyNumberFormat="1" applyFill="1" applyBorder="1">
      <alignment vertical="top" wrapText="1"/>
    </xf>
    <xf numFmtId="1" fontId="153" fillId="34" borderId="146" xfId="23" applyNumberFormat="1" applyFont="1" applyFill="1" applyBorder="1" applyAlignment="1">
      <alignment horizontal="center" vertical="center" wrapText="1"/>
    </xf>
    <xf numFmtId="0" fontId="146" fillId="34" borderId="146" xfId="23" applyFill="1" applyBorder="1">
      <alignment vertical="top" wrapText="1"/>
    </xf>
    <xf numFmtId="49" fontId="146" fillId="28" borderId="146" xfId="23" applyNumberFormat="1" applyFill="1" applyBorder="1">
      <alignment vertical="top" wrapText="1"/>
    </xf>
    <xf numFmtId="1" fontId="146" fillId="28" borderId="146" xfId="23" applyNumberFormat="1" applyFill="1" applyBorder="1" applyAlignment="1">
      <alignment horizontal="center" vertical="center" wrapText="1"/>
    </xf>
    <xf numFmtId="0" fontId="146" fillId="4" borderId="146" xfId="23" applyNumberFormat="1" applyFill="1" applyBorder="1" applyAlignment="1">
      <alignment horizontal="center" vertical="center" wrapText="1"/>
    </xf>
    <xf numFmtId="0" fontId="154" fillId="4" borderId="147" xfId="23" applyNumberFormat="1" applyFont="1" applyFill="1" applyBorder="1" applyAlignment="1">
      <alignment horizontal="center" vertical="center" wrapText="1"/>
    </xf>
    <xf numFmtId="49" fontId="146" fillId="45" borderId="146" xfId="23" applyNumberFormat="1" applyFill="1" applyBorder="1" applyAlignment="1">
      <alignment horizontal="center" vertical="top" wrapText="1"/>
    </xf>
    <xf numFmtId="49" fontId="162" fillId="56" borderId="152" xfId="23" applyNumberFormat="1" applyFont="1" applyFill="1" applyBorder="1" applyAlignment="1">
      <alignment horizontal="center" vertical="top" wrapText="1" readingOrder="1"/>
    </xf>
    <xf numFmtId="49" fontId="162" fillId="56" borderId="145" xfId="23" applyNumberFormat="1" applyFont="1" applyFill="1" applyBorder="1" applyAlignment="1">
      <alignment horizontal="center" vertical="top" wrapText="1" readingOrder="1"/>
    </xf>
    <xf numFmtId="49" fontId="162" fillId="56" borderId="146" xfId="23" applyNumberFormat="1" applyFont="1" applyFill="1" applyBorder="1" applyAlignment="1">
      <alignment horizontal="center" vertical="top" wrapText="1" readingOrder="1"/>
    </xf>
    <xf numFmtId="0" fontId="153" fillId="45" borderId="145" xfId="23" applyNumberFormat="1" applyFont="1" applyFill="1" applyBorder="1" applyAlignment="1">
      <alignment horizontal="center" vertical="top" wrapText="1"/>
    </xf>
    <xf numFmtId="49" fontId="152" fillId="43" borderId="152" xfId="23" applyNumberFormat="1" applyFont="1" applyFill="1" applyBorder="1" applyAlignment="1">
      <alignment horizontal="center" vertical="top" wrapText="1" readingOrder="1"/>
    </xf>
    <xf numFmtId="49" fontId="152" fillId="43" borderId="145" xfId="23" applyNumberFormat="1" applyFont="1" applyFill="1" applyBorder="1" applyAlignment="1">
      <alignment horizontal="center" vertical="top" wrapText="1" readingOrder="1"/>
    </xf>
    <xf numFmtId="49" fontId="152" fillId="43" borderId="146" xfId="23" applyNumberFormat="1" applyFont="1" applyFill="1" applyBorder="1" applyAlignment="1">
      <alignment horizontal="center" vertical="top" wrapText="1" readingOrder="1"/>
    </xf>
    <xf numFmtId="49" fontId="151" fillId="45" borderId="158" xfId="23" applyNumberFormat="1" applyFont="1" applyFill="1" applyBorder="1" applyAlignment="1">
      <alignment horizontal="center" vertical="center" textRotation="90" wrapText="1"/>
    </xf>
    <xf numFmtId="49" fontId="152" fillId="43" borderId="159" xfId="23" applyNumberFormat="1" applyFont="1" applyFill="1" applyBorder="1" applyAlignment="1">
      <alignment horizontal="center" vertical="top" wrapText="1" readingOrder="1"/>
    </xf>
    <xf numFmtId="49" fontId="146" fillId="45" borderId="159" xfId="23" applyNumberFormat="1" applyFill="1" applyBorder="1" applyAlignment="1">
      <alignment horizontal="center" vertical="top" wrapText="1"/>
    </xf>
    <xf numFmtId="49" fontId="146" fillId="6" borderId="159" xfId="23" applyNumberFormat="1" applyFill="1" applyBorder="1">
      <alignment vertical="top" wrapText="1"/>
    </xf>
    <xf numFmtId="1" fontId="153" fillId="34" borderId="159" xfId="23" applyNumberFormat="1" applyFont="1" applyFill="1" applyBorder="1" applyAlignment="1">
      <alignment horizontal="center" vertical="center" wrapText="1"/>
    </xf>
    <xf numFmtId="0" fontId="146" fillId="34" borderId="159" xfId="23" applyFill="1" applyBorder="1">
      <alignment vertical="top" wrapText="1"/>
    </xf>
    <xf numFmtId="49" fontId="146" fillId="28" borderId="159" xfId="23" applyNumberFormat="1" applyFill="1" applyBorder="1">
      <alignment vertical="top" wrapText="1"/>
    </xf>
    <xf numFmtId="1" fontId="146" fillId="28" borderId="159" xfId="23" applyNumberFormat="1" applyFill="1" applyBorder="1" applyAlignment="1">
      <alignment horizontal="center" vertical="center" wrapText="1"/>
    </xf>
    <xf numFmtId="0" fontId="146" fillId="4" borderId="159" xfId="23" applyNumberFormat="1" applyFill="1" applyBorder="1" applyAlignment="1">
      <alignment horizontal="center" vertical="center" wrapText="1"/>
    </xf>
    <xf numFmtId="0" fontId="154" fillId="4" borderId="160" xfId="23" applyNumberFormat="1" applyFont="1" applyFill="1" applyBorder="1" applyAlignment="1">
      <alignment horizontal="center" vertical="center" wrapText="1"/>
    </xf>
    <xf numFmtId="0" fontId="146" fillId="50" borderId="159" xfId="23" applyFill="1" applyBorder="1" applyAlignment="1">
      <alignment horizontal="center" vertical="top" wrapText="1"/>
    </xf>
    <xf numFmtId="0" fontId="146" fillId="45" borderId="159" xfId="23" applyNumberFormat="1" applyFill="1" applyBorder="1" applyAlignment="1">
      <alignment horizontal="center" vertical="top" wrapText="1"/>
    </xf>
    <xf numFmtId="0" fontId="146" fillId="53" borderId="146" xfId="23" applyNumberFormat="1" applyFill="1" applyBorder="1" applyAlignment="1">
      <alignment horizontal="center" vertical="top" wrapText="1"/>
    </xf>
    <xf numFmtId="49" fontId="162" fillId="56" borderId="159" xfId="23" applyNumberFormat="1" applyFont="1" applyFill="1" applyBorder="1" applyAlignment="1">
      <alignment horizontal="center" vertical="top" wrapText="1" readingOrder="1"/>
    </xf>
    <xf numFmtId="0" fontId="146" fillId="4" borderId="152" xfId="23" applyFill="1" applyBorder="1" applyAlignment="1">
      <alignment horizontal="center" vertical="top" wrapText="1"/>
    </xf>
    <xf numFmtId="0" fontId="146" fillId="51" borderId="154" xfId="23" applyFill="1" applyBorder="1" applyAlignment="1">
      <alignment horizontal="center" vertical="top" wrapText="1"/>
    </xf>
    <xf numFmtId="0" fontId="146" fillId="4" borderId="145" xfId="23" applyFill="1" applyBorder="1" applyAlignment="1">
      <alignment horizontal="center" vertical="top" wrapText="1"/>
    </xf>
    <xf numFmtId="0" fontId="146" fillId="51" borderId="149" xfId="23" applyFill="1" applyBorder="1" applyAlignment="1">
      <alignment horizontal="center" vertical="top" wrapText="1"/>
    </xf>
    <xf numFmtId="0" fontId="154" fillId="52" borderId="153" xfId="23" applyNumberFormat="1" applyFont="1" applyFill="1" applyBorder="1" applyAlignment="1">
      <alignment horizontal="center" vertical="center" wrapText="1"/>
    </xf>
    <xf numFmtId="49" fontId="149" fillId="0" borderId="152" xfId="23" applyNumberFormat="1" applyFont="1" applyBorder="1" applyAlignment="1">
      <alignment vertical="center" wrapText="1"/>
    </xf>
    <xf numFmtId="49" fontId="149" fillId="0" borderId="152" xfId="23" applyNumberFormat="1" applyFont="1" applyBorder="1" applyAlignment="1">
      <alignment horizontal="right" vertical="center" wrapText="1"/>
    </xf>
    <xf numFmtId="1" fontId="149" fillId="0" borderId="152" xfId="23" applyNumberFormat="1" applyFont="1" applyBorder="1" applyAlignment="1">
      <alignment horizontal="center" vertical="center" wrapText="1"/>
    </xf>
    <xf numFmtId="0" fontId="149" fillId="45" borderId="152" xfId="23" applyFont="1" applyFill="1" applyBorder="1" applyAlignment="1">
      <alignment horizontal="center" vertical="center" wrapText="1"/>
    </xf>
    <xf numFmtId="49" fontId="154" fillId="52" borderId="154" xfId="23" applyNumberFormat="1" applyFont="1" applyFill="1" applyBorder="1" applyAlignment="1">
      <alignment horizontal="center" vertical="center" wrapText="1"/>
    </xf>
    <xf numFmtId="0" fontId="154" fillId="48" borderId="148" xfId="23" applyNumberFormat="1" applyFont="1" applyFill="1" applyBorder="1" applyAlignment="1">
      <alignment horizontal="center" vertical="center" wrapText="1"/>
    </xf>
    <xf numFmtId="49" fontId="149" fillId="45" borderId="146" xfId="23" applyNumberFormat="1" applyFont="1" applyFill="1" applyBorder="1" applyAlignment="1">
      <alignment vertical="center" wrapText="1"/>
    </xf>
    <xf numFmtId="49" fontId="149" fillId="45" borderId="146" xfId="23" applyNumberFormat="1" applyFont="1" applyFill="1" applyBorder="1" applyAlignment="1">
      <alignment horizontal="right" vertical="center" wrapText="1"/>
    </xf>
    <xf numFmtId="0" fontId="154" fillId="52" borderId="147" xfId="23" applyNumberFormat="1" applyFont="1" applyFill="1" applyBorder="1" applyAlignment="1">
      <alignment horizontal="center" vertical="center" wrapText="1"/>
    </xf>
    <xf numFmtId="49" fontId="149" fillId="0" borderId="149" xfId="23" applyNumberFormat="1" applyFont="1" applyBorder="1" applyAlignment="1">
      <alignment vertical="center" wrapText="1"/>
    </xf>
    <xf numFmtId="49" fontId="149" fillId="45" borderId="147" xfId="23" applyNumberFormat="1" applyFont="1" applyFill="1" applyBorder="1" applyAlignment="1">
      <alignment vertical="center" wrapText="1"/>
    </xf>
    <xf numFmtId="0" fontId="154" fillId="53" borderId="153" xfId="23" applyNumberFormat="1" applyFont="1" applyFill="1" applyBorder="1" applyAlignment="1">
      <alignment horizontal="center" vertical="center" wrapText="1"/>
    </xf>
    <xf numFmtId="0" fontId="149" fillId="0" borderId="154" xfId="23" applyNumberFormat="1" applyFont="1" applyBorder="1">
      <alignment vertical="top" wrapText="1"/>
    </xf>
    <xf numFmtId="0" fontId="154" fillId="49" borderId="148" xfId="23" applyNumberFormat="1" applyFont="1" applyFill="1" applyBorder="1" applyAlignment="1">
      <alignment horizontal="center" vertical="center" wrapText="1"/>
    </xf>
    <xf numFmtId="0" fontId="149" fillId="0" borderId="147" xfId="23" applyNumberFormat="1" applyFont="1" applyBorder="1">
      <alignment vertical="top" wrapText="1"/>
    </xf>
    <xf numFmtId="49" fontId="149" fillId="45" borderId="153" xfId="23" applyNumberFormat="1" applyFont="1" applyFill="1" applyBorder="1" applyAlignment="1">
      <alignment vertical="center" wrapText="1"/>
    </xf>
    <xf numFmtId="1" fontId="149" fillId="45" borderId="152" xfId="23" applyNumberFormat="1" applyFont="1" applyFill="1" applyBorder="1" applyAlignment="1">
      <alignment horizontal="center" vertical="center" wrapText="1"/>
    </xf>
    <xf numFmtId="0" fontId="149" fillId="0" borderId="152" xfId="23" applyNumberFormat="1" applyFont="1" applyBorder="1">
      <alignment vertical="top" wrapText="1"/>
    </xf>
    <xf numFmtId="49" fontId="154" fillId="45" borderId="154" xfId="23" applyNumberFormat="1" applyFont="1" applyFill="1" applyBorder="1" applyAlignment="1">
      <alignment horizontal="center" vertical="center" wrapText="1"/>
    </xf>
    <xf numFmtId="49" fontId="149" fillId="45" borderId="148" xfId="23" applyNumberFormat="1" applyFont="1" applyFill="1" applyBorder="1" applyAlignment="1">
      <alignment vertical="center" wrapText="1"/>
    </xf>
    <xf numFmtId="1" fontId="149" fillId="45" borderId="146" xfId="23" applyNumberFormat="1" applyFont="1" applyFill="1" applyBorder="1" applyAlignment="1">
      <alignment horizontal="center" vertical="center" wrapText="1"/>
    </xf>
    <xf numFmtId="0" fontId="149" fillId="0" borderId="146" xfId="23" applyNumberFormat="1" applyFont="1" applyBorder="1">
      <alignment vertical="top" wrapText="1"/>
    </xf>
    <xf numFmtId="49" fontId="154" fillId="45" borderId="147" xfId="23" applyNumberFormat="1" applyFont="1" applyFill="1" applyBorder="1" applyAlignment="1">
      <alignment horizontal="center" vertical="center" wrapText="1"/>
    </xf>
    <xf numFmtId="0" fontId="147" fillId="15" borderId="146" xfId="23" applyFont="1" applyFill="1" applyBorder="1" applyAlignment="1" applyProtection="1">
      <alignment horizontal="right" vertical="center"/>
    </xf>
    <xf numFmtId="0" fontId="147" fillId="15" borderId="146" xfId="23" applyFont="1" applyFill="1" applyBorder="1" applyAlignment="1" applyProtection="1">
      <alignment horizontal="center" vertical="center"/>
    </xf>
    <xf numFmtId="1" fontId="148" fillId="45" borderId="146" xfId="23" applyNumberFormat="1" applyFont="1" applyFill="1" applyBorder="1" applyAlignment="1">
      <alignment horizontal="center" vertical="center"/>
    </xf>
    <xf numFmtId="0" fontId="149" fillId="45" borderId="146" xfId="23" applyFont="1" applyFill="1" applyBorder="1" applyAlignment="1">
      <alignment horizontal="center" vertical="center"/>
    </xf>
    <xf numFmtId="49" fontId="149" fillId="45" borderId="147" xfId="23" applyNumberFormat="1" applyFont="1" applyFill="1" applyBorder="1" applyAlignment="1">
      <alignment horizontal="center" vertical="center"/>
    </xf>
    <xf numFmtId="0" fontId="146" fillId="50" borderId="152" xfId="27" applyFill="1" applyBorder="1" applyAlignment="1">
      <alignment horizontal="center" vertical="center" wrapText="1"/>
    </xf>
    <xf numFmtId="0" fontId="146" fillId="45" borderId="152" xfId="27" applyNumberFormat="1" applyFill="1" applyBorder="1" applyAlignment="1">
      <alignment horizontal="center" vertical="center" wrapText="1"/>
    </xf>
    <xf numFmtId="49" fontId="146" fillId="40" borderId="152" xfId="27" applyNumberFormat="1" applyFill="1" applyBorder="1" applyAlignment="1">
      <alignment vertical="center" wrapText="1"/>
    </xf>
    <xf numFmtId="1" fontId="153" fillId="16" borderId="152" xfId="27" applyNumberFormat="1" applyFont="1" applyFill="1" applyBorder="1" applyAlignment="1">
      <alignment horizontal="center" vertical="center" wrapText="1"/>
    </xf>
    <xf numFmtId="0" fontId="146" fillId="16" borderId="152" xfId="27" applyFill="1" applyBorder="1" applyAlignment="1">
      <alignment vertical="center" wrapText="1"/>
    </xf>
    <xf numFmtId="49" fontId="146" fillId="28" borderId="152" xfId="27" applyNumberFormat="1" applyFill="1" applyBorder="1" applyAlignment="1">
      <alignment vertical="center" wrapText="1"/>
    </xf>
    <xf numFmtId="49" fontId="146" fillId="4" borderId="152" xfId="27" applyNumberFormat="1" applyFill="1" applyBorder="1" applyAlignment="1">
      <alignment horizontal="center" vertical="center" wrapText="1"/>
    </xf>
    <xf numFmtId="49" fontId="146" fillId="51" borderId="154" xfId="27" applyNumberFormat="1" applyFill="1" applyBorder="1" applyAlignment="1">
      <alignment horizontal="center" vertical="center" wrapText="1"/>
    </xf>
    <xf numFmtId="0" fontId="146" fillId="50" borderId="146" xfId="27" applyFill="1" applyBorder="1" applyAlignment="1">
      <alignment horizontal="center" vertical="center" wrapText="1"/>
    </xf>
    <xf numFmtId="0" fontId="146" fillId="4" borderId="146" xfId="27" applyNumberFormat="1" applyFill="1" applyBorder="1" applyAlignment="1">
      <alignment horizontal="center" vertical="center" wrapText="1"/>
    </xf>
    <xf numFmtId="1" fontId="146" fillId="44" borderId="152" xfId="27" applyNumberFormat="1" applyFill="1" applyBorder="1" applyAlignment="1">
      <alignment horizontal="center" vertical="center" wrapText="1"/>
    </xf>
    <xf numFmtId="49" fontId="146" fillId="45" borderId="146" xfId="27" applyNumberFormat="1" applyFill="1" applyBorder="1" applyAlignment="1">
      <alignment horizontal="center" vertical="center" wrapText="1"/>
    </xf>
    <xf numFmtId="49" fontId="162" fillId="56" borderId="152" xfId="27" applyNumberFormat="1" applyFont="1" applyFill="1" applyBorder="1" applyAlignment="1">
      <alignment horizontal="center" vertical="center" wrapText="1" readingOrder="1"/>
    </xf>
    <xf numFmtId="49" fontId="162" fillId="56" borderId="146" xfId="27" applyNumberFormat="1" applyFont="1" applyFill="1" applyBorder="1" applyAlignment="1">
      <alignment horizontal="center" vertical="center" wrapText="1" readingOrder="1"/>
    </xf>
    <xf numFmtId="49" fontId="152" fillId="43" borderId="152" xfId="27" applyNumberFormat="1" applyFont="1" applyFill="1" applyBorder="1" applyAlignment="1">
      <alignment horizontal="center" vertical="center" wrapText="1" readingOrder="1"/>
    </xf>
    <xf numFmtId="1" fontId="146" fillId="0" borderId="146" xfId="27" applyNumberFormat="1" applyBorder="1" applyAlignment="1">
      <alignment horizontal="center" vertical="center" wrapText="1"/>
    </xf>
    <xf numFmtId="49" fontId="146" fillId="45" borderId="152" xfId="27" applyNumberFormat="1" applyFill="1" applyBorder="1" applyAlignment="1">
      <alignment horizontal="center" vertical="center" wrapText="1"/>
    </xf>
    <xf numFmtId="1" fontId="146" fillId="0" borderId="152" xfId="27" applyNumberFormat="1" applyBorder="1" applyAlignment="1">
      <alignment horizontal="center" vertical="center" wrapText="1"/>
    </xf>
    <xf numFmtId="0" fontId="146" fillId="4" borderId="152" xfId="27" applyNumberFormat="1" applyFill="1" applyBorder="1" applyAlignment="1">
      <alignment horizontal="center" vertical="center" wrapText="1"/>
    </xf>
    <xf numFmtId="0" fontId="146" fillId="4" borderId="152" xfId="27" applyFill="1" applyBorder="1" applyAlignment="1">
      <alignment horizontal="center" vertical="center" wrapText="1"/>
    </xf>
    <xf numFmtId="0" fontId="146" fillId="51" borderId="154" xfId="27" applyFill="1" applyBorder="1" applyAlignment="1">
      <alignment horizontal="center" vertical="center" wrapText="1"/>
    </xf>
    <xf numFmtId="0" fontId="154" fillId="52" borderId="153" xfId="27" applyNumberFormat="1" applyFont="1" applyFill="1" applyBorder="1" applyAlignment="1">
      <alignment horizontal="center" vertical="center" wrapText="1"/>
    </xf>
    <xf numFmtId="0" fontId="154" fillId="53" borderId="153" xfId="27" applyNumberFormat="1" applyFont="1" applyFill="1" applyBorder="1" applyAlignment="1">
      <alignment horizontal="center" vertical="center" wrapText="1"/>
    </xf>
    <xf numFmtId="0" fontId="149" fillId="0" borderId="154" xfId="27" applyNumberFormat="1" applyFont="1" applyBorder="1" applyAlignment="1">
      <alignment vertical="center" wrapText="1"/>
    </xf>
    <xf numFmtId="49" fontId="149" fillId="45" borderId="153" xfId="27" applyNumberFormat="1" applyFont="1" applyFill="1" applyBorder="1" applyAlignment="1">
      <alignment vertical="center" wrapText="1"/>
    </xf>
    <xf numFmtId="1" fontId="149" fillId="45" borderId="152" xfId="27" applyNumberFormat="1" applyFont="1" applyFill="1" applyBorder="1" applyAlignment="1">
      <alignment horizontal="center" vertical="center" wrapText="1"/>
    </xf>
    <xf numFmtId="0" fontId="149" fillId="0" borderId="152" xfId="27" applyNumberFormat="1" applyFont="1" applyBorder="1" applyAlignment="1">
      <alignment vertical="center" wrapText="1"/>
    </xf>
    <xf numFmtId="0" fontId="154" fillId="45" borderId="154" xfId="27" applyNumberFormat="1" applyFont="1" applyFill="1" applyBorder="1" applyAlignment="1">
      <alignment horizontal="center" vertical="center" wrapText="1"/>
    </xf>
    <xf numFmtId="49" fontId="147" fillId="54" borderId="153" xfId="23" applyNumberFormat="1" applyFont="1" applyFill="1" applyBorder="1" applyAlignment="1">
      <alignment horizontal="center" vertical="center" wrapText="1"/>
    </xf>
    <xf numFmtId="49" fontId="150" fillId="55" borderId="152" xfId="23" applyNumberFormat="1" applyFont="1" applyFill="1" applyBorder="1" applyAlignment="1">
      <alignment horizontal="center" vertical="center" wrapText="1" readingOrder="1"/>
    </xf>
    <xf numFmtId="49" fontId="147" fillId="36" borderId="152" xfId="23" applyNumberFormat="1" applyFont="1" applyFill="1" applyBorder="1" applyAlignment="1">
      <alignment horizontal="center" vertical="center" wrapText="1"/>
    </xf>
    <xf numFmtId="1" fontId="147" fillId="36" borderId="152" xfId="23" applyNumberFormat="1" applyFont="1" applyFill="1" applyBorder="1" applyAlignment="1">
      <alignment horizontal="center" vertical="center" wrapText="1"/>
    </xf>
    <xf numFmtId="49" fontId="147" fillId="36" borderId="154" xfId="23" applyNumberFormat="1" applyFont="1" applyFill="1" applyBorder="1" applyAlignment="1">
      <alignment horizontal="center" vertical="center" wrapText="1"/>
    </xf>
    <xf numFmtId="49" fontId="149" fillId="0" borderId="152" xfId="27" applyNumberFormat="1" applyFont="1" applyBorder="1" applyAlignment="1">
      <alignment vertical="center" wrapText="1"/>
    </xf>
    <xf numFmtId="49" fontId="149" fillId="28" borderId="152" xfId="27" applyNumberFormat="1" applyFont="1" applyFill="1" applyBorder="1" applyAlignment="1">
      <alignment horizontal="right" vertical="center" wrapText="1"/>
    </xf>
    <xf numFmtId="1" fontId="149" fillId="0" borderId="152" xfId="27" applyNumberFormat="1" applyFont="1" applyBorder="1" applyAlignment="1">
      <alignment horizontal="center" vertical="center" wrapText="1"/>
    </xf>
    <xf numFmtId="0" fontId="149" fillId="45" borderId="152" xfId="27" applyFont="1" applyFill="1" applyBorder="1" applyAlignment="1">
      <alignment horizontal="center" vertical="center" wrapText="1"/>
    </xf>
    <xf numFmtId="49" fontId="154" fillId="52" borderId="154" xfId="27" applyNumberFormat="1" applyFont="1" applyFill="1" applyBorder="1" applyAlignment="1">
      <alignment horizontal="center" vertical="center" wrapText="1"/>
    </xf>
    <xf numFmtId="49" fontId="149" fillId="45" borderId="146" xfId="27" applyNumberFormat="1" applyFont="1" applyFill="1" applyBorder="1" applyAlignment="1">
      <alignment vertical="center" wrapText="1"/>
    </xf>
    <xf numFmtId="49" fontId="149" fillId="28" borderId="146" xfId="27" applyNumberFormat="1" applyFont="1" applyFill="1" applyBorder="1" applyAlignment="1">
      <alignment horizontal="right" vertical="center" wrapText="1"/>
    </xf>
    <xf numFmtId="0" fontId="154" fillId="52" borderId="147" xfId="27" applyNumberFormat="1" applyFont="1" applyFill="1" applyBorder="1" applyAlignment="1">
      <alignment horizontal="center" vertical="center" wrapText="1"/>
    </xf>
    <xf numFmtId="0" fontId="64" fillId="14" borderId="36" xfId="13" applyFont="1" applyFill="1" applyBorder="1" applyAlignment="1">
      <alignment horizontal="center" vertical="center"/>
    </xf>
    <xf numFmtId="49" fontId="162" fillId="56" borderId="0" xfId="23" applyNumberFormat="1" applyFont="1" applyFill="1" applyBorder="1" applyAlignment="1" applyProtection="1">
      <alignment horizontal="center" vertical="center" wrapText="1" readingOrder="1"/>
    </xf>
    <xf numFmtId="49" fontId="146" fillId="45" borderId="0" xfId="23" applyNumberFormat="1" applyFill="1" applyBorder="1" applyAlignment="1" applyProtection="1">
      <alignment horizontal="center" vertical="center" wrapText="1"/>
    </xf>
    <xf numFmtId="49" fontId="146" fillId="6" borderId="0" xfId="23" applyNumberFormat="1" applyFill="1" applyBorder="1" applyAlignment="1" applyProtection="1">
      <alignment vertical="center" wrapText="1"/>
    </xf>
    <xf numFmtId="0" fontId="153" fillId="34" borderId="161" xfId="23" applyFont="1" applyFill="1" applyBorder="1" applyAlignment="1" applyProtection="1">
      <alignment horizontal="center" vertical="center" wrapText="1"/>
    </xf>
    <xf numFmtId="0" fontId="146" fillId="34" borderId="162" xfId="23" applyFill="1" applyBorder="1" applyAlignment="1" applyProtection="1">
      <alignment vertical="center" wrapText="1"/>
    </xf>
    <xf numFmtId="0" fontId="146" fillId="34" borderId="7" xfId="23" applyFill="1" applyBorder="1" applyAlignment="1" applyProtection="1">
      <alignment vertical="center" wrapText="1"/>
    </xf>
    <xf numFmtId="49" fontId="146" fillId="28" borderId="161" xfId="23" applyNumberFormat="1" applyFill="1" applyBorder="1" applyAlignment="1" applyProtection="1">
      <alignment vertical="center" wrapText="1"/>
    </xf>
    <xf numFmtId="1" fontId="146" fillId="28" borderId="163" xfId="23" applyNumberFormat="1" applyFill="1" applyBorder="1" applyAlignment="1" applyProtection="1">
      <alignment horizontal="center" vertical="center" wrapText="1"/>
    </xf>
    <xf numFmtId="0" fontId="146" fillId="4" borderId="163" xfId="23" applyNumberFormat="1" applyFill="1" applyBorder="1" applyAlignment="1" applyProtection="1">
      <alignment horizontal="center" vertical="center" wrapText="1"/>
    </xf>
    <xf numFmtId="0" fontId="154" fillId="4" borderId="164" xfId="23" applyNumberFormat="1" applyFont="1" applyFill="1" applyBorder="1" applyAlignment="1" applyProtection="1">
      <alignment horizontal="center" vertical="center" wrapText="1"/>
    </xf>
    <xf numFmtId="49" fontId="146" fillId="16" borderId="0" xfId="23" applyNumberFormat="1" applyFill="1" applyBorder="1" applyProtection="1">
      <alignment vertical="top" wrapText="1"/>
    </xf>
    <xf numFmtId="0" fontId="146" fillId="44" borderId="0" xfId="23" applyNumberFormat="1" applyFill="1" applyBorder="1" applyAlignment="1" applyProtection="1">
      <alignment horizontal="center" vertical="top" wrapText="1"/>
    </xf>
    <xf numFmtId="0" fontId="146" fillId="0" borderId="0" xfId="27" applyBorder="1" applyAlignment="1">
      <alignment horizontal="center" vertical="center" textRotation="90" wrapText="1"/>
    </xf>
    <xf numFmtId="49" fontId="152" fillId="43" borderId="0" xfId="27" applyNumberFormat="1" applyFont="1" applyFill="1" applyBorder="1" applyAlignment="1">
      <alignment horizontal="center" vertical="center" wrapText="1" readingOrder="1"/>
    </xf>
    <xf numFmtId="0" fontId="146" fillId="45" borderId="0" xfId="27" applyNumberFormat="1" applyFill="1" applyBorder="1" applyAlignment="1">
      <alignment horizontal="center" vertical="center" wrapText="1"/>
    </xf>
    <xf numFmtId="49" fontId="146" fillId="40" borderId="0" xfId="27" applyNumberFormat="1" applyFill="1" applyBorder="1" applyAlignment="1">
      <alignment vertical="center" wrapText="1"/>
    </xf>
    <xf numFmtId="1" fontId="153" fillId="16" borderId="161" xfId="27" applyNumberFormat="1" applyFont="1" applyFill="1" applyBorder="1" applyAlignment="1">
      <alignment horizontal="center" vertical="center" wrapText="1"/>
    </xf>
    <xf numFmtId="0" fontId="146" fillId="16" borderId="163" xfId="27" applyFill="1" applyBorder="1" applyAlignment="1">
      <alignment vertical="center" wrapText="1"/>
    </xf>
    <xf numFmtId="49" fontId="146" fillId="28" borderId="163" xfId="27" applyNumberFormat="1" applyFill="1" applyBorder="1" applyAlignment="1">
      <alignment vertical="center" wrapText="1"/>
    </xf>
    <xf numFmtId="1" fontId="146" fillId="44" borderId="163" xfId="27" applyNumberFormat="1" applyFill="1" applyBorder="1" applyAlignment="1">
      <alignment horizontal="center" vertical="center" wrapText="1"/>
    </xf>
    <xf numFmtId="1" fontId="146" fillId="4" borderId="163" xfId="27" applyNumberFormat="1" applyFill="1" applyBorder="1" applyAlignment="1">
      <alignment horizontal="center" vertical="center" wrapText="1"/>
    </xf>
    <xf numFmtId="0" fontId="154" fillId="4" borderId="164" xfId="27" applyNumberFormat="1" applyFont="1" applyFill="1" applyBorder="1" applyAlignment="1">
      <alignment horizontal="center" vertical="center" wrapText="1"/>
    </xf>
    <xf numFmtId="49" fontId="146" fillId="16" borderId="0" xfId="27" applyNumberFormat="1" applyFill="1" applyBorder="1">
      <alignment vertical="top" wrapText="1"/>
    </xf>
    <xf numFmtId="0" fontId="146" fillId="44" borderId="0" xfId="27" applyNumberFormat="1" applyFill="1" applyBorder="1" applyAlignment="1">
      <alignment horizontal="center" vertical="top" wrapText="1"/>
    </xf>
    <xf numFmtId="0" fontId="147" fillId="0" borderId="150" xfId="23" applyNumberFormat="1" applyFont="1" applyBorder="1" applyAlignment="1">
      <alignment horizontal="center" vertical="center" wrapText="1"/>
    </xf>
    <xf numFmtId="0" fontId="147" fillId="0" borderId="145" xfId="23" applyNumberFormat="1" applyFont="1" applyBorder="1" applyAlignment="1">
      <alignment horizontal="center" vertical="center" wrapText="1"/>
    </xf>
    <xf numFmtId="0" fontId="147" fillId="0" borderId="148" xfId="23" applyNumberFormat="1" applyFont="1" applyBorder="1" applyAlignment="1">
      <alignment horizontal="center" vertical="center" wrapText="1"/>
    </xf>
    <xf numFmtId="0" fontId="147" fillId="0" borderId="146" xfId="23" applyNumberFormat="1" applyFont="1" applyBorder="1" applyAlignment="1">
      <alignment horizontal="center" vertical="center" wrapText="1"/>
    </xf>
    <xf numFmtId="0" fontId="147" fillId="0" borderId="150" xfId="23" applyNumberFormat="1" applyFont="1" applyBorder="1" applyAlignment="1" applyProtection="1">
      <alignment horizontal="center" vertical="center" wrapText="1"/>
    </xf>
    <xf numFmtId="0" fontId="147" fillId="0" borderId="145" xfId="23" applyNumberFormat="1" applyFont="1" applyBorder="1" applyAlignment="1" applyProtection="1">
      <alignment horizontal="center" vertical="center" wrapText="1"/>
    </xf>
    <xf numFmtId="0" fontId="147" fillId="0" borderId="148" xfId="23" applyNumberFormat="1" applyFont="1" applyBorder="1" applyAlignment="1" applyProtection="1">
      <alignment horizontal="center" vertical="center" wrapText="1"/>
    </xf>
    <xf numFmtId="0" fontId="147" fillId="0" borderId="146" xfId="23" applyNumberFormat="1" applyFont="1" applyBorder="1" applyAlignment="1" applyProtection="1">
      <alignment horizontal="center" vertical="center" wrapText="1"/>
    </xf>
    <xf numFmtId="0" fontId="64" fillId="51" borderId="36" xfId="13" applyFont="1" applyFill="1" applyBorder="1" applyAlignment="1">
      <alignment horizontal="center" vertical="center"/>
    </xf>
    <xf numFmtId="0" fontId="64" fillId="4" borderId="165" xfId="13" applyFont="1" applyFill="1" applyBorder="1">
      <alignment horizontal="left" vertical="center"/>
    </xf>
    <xf numFmtId="0" fontId="64" fillId="4" borderId="165" xfId="13" applyFont="1" applyFill="1" applyBorder="1" applyAlignment="1">
      <alignment horizontal="center" vertical="center"/>
    </xf>
    <xf numFmtId="170" fontId="64" fillId="4" borderId="165" xfId="13" applyNumberFormat="1" applyFont="1" applyFill="1" applyBorder="1" applyAlignment="1">
      <alignment horizontal="center" vertical="center"/>
    </xf>
    <xf numFmtId="0" fontId="64" fillId="39" borderId="145" xfId="13" applyFont="1" applyFill="1" applyBorder="1">
      <alignment horizontal="left" vertical="center"/>
    </xf>
    <xf numFmtId="0" fontId="64" fillId="39" borderId="145" xfId="13" applyFont="1" applyFill="1" applyBorder="1" applyAlignment="1">
      <alignment horizontal="center" vertical="center"/>
    </xf>
    <xf numFmtId="170" fontId="64" fillId="39" borderId="145" xfId="13" applyNumberFormat="1" applyFont="1" applyFill="1" applyBorder="1" applyAlignment="1">
      <alignment horizontal="center" vertical="center"/>
    </xf>
    <xf numFmtId="0" fontId="64" fillId="0" borderId="145" xfId="13" applyFont="1" applyBorder="1">
      <alignment horizontal="left" vertical="center"/>
    </xf>
    <xf numFmtId="0" fontId="64" fillId="0" borderId="145" xfId="13" applyFont="1" applyBorder="1" applyAlignment="1">
      <alignment horizontal="center" vertical="center"/>
    </xf>
    <xf numFmtId="0" fontId="73" fillId="0" borderId="146" xfId="19" applyFont="1" applyBorder="1" applyAlignment="1">
      <alignment horizontal="center" vertical="center"/>
    </xf>
    <xf numFmtId="0" fontId="64" fillId="0" borderId="165" xfId="13" applyFont="1" applyBorder="1">
      <alignment horizontal="left" vertical="center"/>
    </xf>
    <xf numFmtId="0" fontId="64" fillId="0" borderId="165" xfId="13" applyFont="1" applyBorder="1" applyAlignment="1">
      <alignment horizontal="center" vertical="center"/>
    </xf>
    <xf numFmtId="0" fontId="93" fillId="15" borderId="0" xfId="0" applyFont="1" applyFill="1" applyAlignment="1">
      <alignment horizontal="center" vertical="center" textRotation="90"/>
    </xf>
    <xf numFmtId="0" fontId="64" fillId="28" borderId="63" xfId="0" applyFont="1" applyFill="1" applyBorder="1" applyAlignment="1">
      <alignment horizontal="right"/>
    </xf>
    <xf numFmtId="0" fontId="64" fillId="28" borderId="0" xfId="0" applyFont="1" applyFill="1"/>
    <xf numFmtId="0" fontId="64" fillId="28" borderId="64" xfId="0" applyFont="1" applyFill="1" applyBorder="1"/>
    <xf numFmtId="0" fontId="64" fillId="28" borderId="65" xfId="0" applyFont="1" applyFill="1" applyBorder="1"/>
    <xf numFmtId="0" fontId="64" fillId="28" borderId="66" xfId="0" applyFont="1" applyFill="1" applyBorder="1"/>
    <xf numFmtId="0" fontId="64" fillId="28" borderId="67" xfId="0" applyFont="1" applyFill="1" applyBorder="1"/>
    <xf numFmtId="0" fontId="172" fillId="0" borderId="166" xfId="0" applyFont="1" applyBorder="1" applyAlignment="1" applyProtection="1">
      <alignment horizontal="left" vertical="center" wrapText="1"/>
      <protection locked="0"/>
    </xf>
    <xf numFmtId="0" fontId="96" fillId="29" borderId="166" xfId="0" applyFont="1" applyFill="1" applyBorder="1" applyAlignment="1">
      <alignment horizontal="center" vertical="center"/>
    </xf>
    <xf numFmtId="175" fontId="172" fillId="0" borderId="166" xfId="0" applyNumberFormat="1" applyFont="1" applyBorder="1" applyAlignment="1" applyProtection="1">
      <alignment horizontal="right" vertical="center"/>
      <protection locked="0"/>
    </xf>
    <xf numFmtId="175" fontId="172" fillId="0" borderId="167" xfId="0" applyNumberFormat="1" applyFont="1" applyBorder="1" applyAlignment="1" applyProtection="1">
      <alignment horizontal="right" vertical="center"/>
      <protection locked="0"/>
    </xf>
    <xf numFmtId="175" fontId="172" fillId="0" borderId="168" xfId="0" applyNumberFormat="1" applyFont="1" applyBorder="1" applyAlignment="1" applyProtection="1">
      <alignment horizontal="right" vertical="center"/>
      <protection locked="0"/>
    </xf>
    <xf numFmtId="0" fontId="172" fillId="0" borderId="166" xfId="0" applyFont="1" applyBorder="1" applyAlignment="1" applyProtection="1">
      <alignment horizontal="center" vertical="center" wrapText="1"/>
      <protection locked="0"/>
    </xf>
    <xf numFmtId="0" fontId="172" fillId="0" borderId="169" xfId="0" applyFont="1" applyBorder="1" applyAlignment="1">
      <alignment horizontal="left" vertical="center" wrapText="1"/>
    </xf>
    <xf numFmtId="0" fontId="172" fillId="0" borderId="169" xfId="0" applyFont="1" applyBorder="1" applyAlignment="1">
      <alignment horizontal="center" vertical="center"/>
    </xf>
    <xf numFmtId="174" fontId="172" fillId="0" borderId="169" xfId="0" applyNumberFormat="1" applyFont="1" applyBorder="1" applyAlignment="1">
      <alignment horizontal="center" vertical="center"/>
    </xf>
    <xf numFmtId="3" fontId="172" fillId="0" borderId="169" xfId="0" applyNumberFormat="1" applyFont="1" applyBorder="1" applyAlignment="1">
      <alignment horizontal="center" vertical="center"/>
    </xf>
    <xf numFmtId="0" fontId="173" fillId="28" borderId="170" xfId="0" applyFont="1" applyFill="1" applyBorder="1" applyAlignment="1">
      <alignment horizontal="center" vertical="center"/>
    </xf>
    <xf numFmtId="0" fontId="172" fillId="28" borderId="166" xfId="0" applyFont="1" applyFill="1" applyBorder="1" applyAlignment="1">
      <alignment horizontal="center" vertical="center"/>
    </xf>
    <xf numFmtId="0" fontId="64" fillId="15" borderId="7" xfId="0" applyFont="1" applyFill="1" applyBorder="1"/>
    <xf numFmtId="0" fontId="96" fillId="29" borderId="169" xfId="0" applyFont="1" applyFill="1" applyBorder="1" applyAlignment="1">
      <alignment horizontal="center" vertical="center"/>
    </xf>
    <xf numFmtId="0" fontId="96" fillId="29" borderId="171" xfId="0" applyFont="1" applyFill="1" applyBorder="1" applyAlignment="1">
      <alignment horizontal="center" vertical="center"/>
    </xf>
    <xf numFmtId="0" fontId="96" fillId="29" borderId="172" xfId="0" applyFont="1" applyFill="1" applyBorder="1" applyAlignment="1">
      <alignment horizontal="center" vertical="center"/>
    </xf>
    <xf numFmtId="14" fontId="64" fillId="0" borderId="173" xfId="0" applyNumberFormat="1" applyFont="1" applyBorder="1" applyAlignment="1" applyProtection="1">
      <alignment horizontal="center"/>
      <protection locked="0"/>
    </xf>
    <xf numFmtId="14" fontId="64" fillId="0" borderId="174" xfId="0" applyNumberFormat="1" applyFont="1" applyBorder="1" applyAlignment="1" applyProtection="1">
      <alignment horizontal="center"/>
      <protection locked="0"/>
    </xf>
    <xf numFmtId="14" fontId="64" fillId="0" borderId="175" xfId="0" applyNumberFormat="1" applyFont="1" applyBorder="1" applyAlignment="1" applyProtection="1">
      <alignment horizontal="center"/>
      <protection locked="0"/>
    </xf>
    <xf numFmtId="14" fontId="64" fillId="0" borderId="176" xfId="0" applyNumberFormat="1" applyFont="1" applyBorder="1" applyAlignment="1" applyProtection="1">
      <alignment horizontal="center"/>
      <protection locked="0"/>
    </xf>
    <xf numFmtId="0" fontId="172" fillId="0" borderId="177" xfId="0" applyFont="1" applyBorder="1" applyAlignment="1" applyProtection="1">
      <alignment horizontal="left" vertical="center" wrapText="1"/>
      <protection locked="0"/>
    </xf>
    <xf numFmtId="0" fontId="172" fillId="0" borderId="177" xfId="0" applyFont="1" applyBorder="1" applyAlignment="1" applyProtection="1">
      <alignment horizontal="center" vertical="center" wrapText="1"/>
      <protection locked="0"/>
    </xf>
    <xf numFmtId="14" fontId="64" fillId="0" borderId="178" xfId="0" applyNumberFormat="1" applyFont="1" applyBorder="1" applyAlignment="1" applyProtection="1">
      <alignment horizontal="center"/>
      <protection locked="0"/>
    </xf>
    <xf numFmtId="14" fontId="64" fillId="0" borderId="179" xfId="0" applyNumberFormat="1" applyFont="1" applyBorder="1" applyAlignment="1" applyProtection="1">
      <alignment horizontal="center"/>
      <protection locked="0"/>
    </xf>
    <xf numFmtId="175" fontId="172" fillId="0" borderId="177" xfId="0" applyNumberFormat="1" applyFont="1" applyBorder="1" applyAlignment="1" applyProtection="1">
      <alignment horizontal="right" vertical="center"/>
      <protection locked="0"/>
    </xf>
    <xf numFmtId="0" fontId="172" fillId="28" borderId="169" xfId="0" applyFont="1" applyFill="1" applyBorder="1" applyAlignment="1">
      <alignment horizontal="left" vertical="center"/>
    </xf>
    <xf numFmtId="3" fontId="96" fillId="29" borderId="169" xfId="0" applyNumberFormat="1" applyFont="1" applyFill="1" applyBorder="1" applyAlignment="1">
      <alignment horizontal="center" vertical="center"/>
    </xf>
    <xf numFmtId="175" fontId="96" fillId="29" borderId="169" xfId="0" applyNumberFormat="1" applyFont="1" applyFill="1" applyBorder="1" applyAlignment="1">
      <alignment horizontal="right" vertical="center"/>
    </xf>
    <xf numFmtId="14" fontId="64" fillId="0" borderId="180" xfId="0" applyNumberFormat="1" applyFont="1" applyBorder="1" applyAlignment="1" applyProtection="1">
      <alignment horizontal="center"/>
      <protection locked="0"/>
    </xf>
    <xf numFmtId="14" fontId="64" fillId="0" borderId="181" xfId="0" applyNumberFormat="1" applyFont="1" applyBorder="1" applyAlignment="1" applyProtection="1">
      <alignment horizontal="center"/>
      <protection locked="0"/>
    </xf>
    <xf numFmtId="3" fontId="172" fillId="0" borderId="166" xfId="0" applyNumberFormat="1" applyFont="1" applyBorder="1" applyAlignment="1" applyProtection="1">
      <alignment horizontal="right" vertical="center"/>
      <protection locked="0"/>
    </xf>
    <xf numFmtId="3" fontId="172" fillId="0" borderId="177" xfId="0" applyNumberFormat="1" applyFont="1" applyBorder="1" applyAlignment="1" applyProtection="1">
      <alignment horizontal="right" vertical="center"/>
      <protection locked="0"/>
    </xf>
    <xf numFmtId="3" fontId="172" fillId="0" borderId="167" xfId="0" applyNumberFormat="1" applyFont="1" applyBorder="1" applyAlignment="1" applyProtection="1">
      <alignment horizontal="right" vertical="center"/>
      <protection locked="0"/>
    </xf>
    <xf numFmtId="0" fontId="96" fillId="25" borderId="0" xfId="0" applyFont="1" applyFill="1" applyAlignment="1">
      <alignment horizontal="center" vertical="center"/>
    </xf>
    <xf numFmtId="9" fontId="64" fillId="0" borderId="0" xfId="1" applyFont="1" applyBorder="1" applyAlignment="1" applyProtection="1">
      <alignment horizontal="center"/>
    </xf>
    <xf numFmtId="0" fontId="64" fillId="0" borderId="0" xfId="0" applyFont="1" applyAlignment="1">
      <alignment horizontal="center"/>
    </xf>
    <xf numFmtId="0" fontId="100" fillId="0" borderId="0" xfId="19" applyFont="1" applyAlignment="1">
      <alignment vertical="center"/>
    </xf>
    <xf numFmtId="0" fontId="72" fillId="0" borderId="0" xfId="18" applyFont="1" applyAlignment="1">
      <alignment horizontal="left"/>
    </xf>
    <xf numFmtId="0" fontId="78" fillId="0" borderId="0" xfId="18" applyFont="1" applyAlignment="1">
      <alignment horizontal="left" vertical="center"/>
    </xf>
    <xf numFmtId="0" fontId="84" fillId="0" borderId="0" xfId="13" applyFont="1" applyAlignment="1">
      <alignment vertical="center"/>
    </xf>
    <xf numFmtId="49" fontId="84" fillId="0" borderId="0" xfId="13" applyNumberFormat="1" applyFont="1" applyAlignment="1">
      <alignment vertical="center"/>
    </xf>
    <xf numFmtId="0" fontId="127" fillId="0" borderId="0" xfId="12" applyFont="1" applyAlignment="1">
      <alignment vertical="top" wrapText="1"/>
    </xf>
    <xf numFmtId="49" fontId="90" fillId="0" borderId="0" xfId="13" applyNumberFormat="1" applyFont="1" applyAlignment="1">
      <alignment vertical="center"/>
    </xf>
    <xf numFmtId="0" fontId="78" fillId="4" borderId="18" xfId="19" applyFont="1" applyFill="1" applyBorder="1" applyAlignment="1">
      <alignment vertical="center"/>
    </xf>
    <xf numFmtId="0" fontId="64" fillId="4" borderId="0" xfId="13" applyFont="1" applyFill="1">
      <alignment horizontal="left" vertical="center"/>
    </xf>
    <xf numFmtId="0" fontId="64" fillId="20" borderId="36" xfId="13" applyFont="1" applyFill="1" applyBorder="1" applyAlignment="1">
      <alignment horizontal="center" vertical="center"/>
    </xf>
    <xf numFmtId="0" fontId="92" fillId="20" borderId="36" xfId="13" applyFont="1" applyFill="1" applyBorder="1" applyAlignment="1">
      <alignment horizontal="center" vertical="center"/>
    </xf>
    <xf numFmtId="0" fontId="78" fillId="57" borderId="182" xfId="0" applyFont="1" applyFill="1" applyBorder="1" applyAlignment="1">
      <alignment horizontal="center" textRotation="90" wrapText="1"/>
    </xf>
    <xf numFmtId="0" fontId="85" fillId="15" borderId="54" xfId="0" applyFont="1" applyFill="1" applyBorder="1" applyAlignment="1">
      <alignment horizontal="center" vertical="center" wrapText="1"/>
    </xf>
    <xf numFmtId="0" fontId="85" fillId="15" borderId="24" xfId="0" applyFont="1" applyFill="1" applyBorder="1" applyAlignment="1">
      <alignment horizontal="center" vertical="center"/>
    </xf>
    <xf numFmtId="0" fontId="78" fillId="57" borderId="183" xfId="0" applyFont="1" applyFill="1" applyBorder="1" applyAlignment="1">
      <alignment horizontal="center" textRotation="90" wrapText="1"/>
    </xf>
    <xf numFmtId="0" fontId="85" fillId="16" borderId="184" xfId="0" applyFont="1" applyFill="1" applyBorder="1" applyAlignment="1" applyProtection="1">
      <alignment horizontal="center" vertical="center" wrapText="1"/>
      <protection locked="0"/>
    </xf>
    <xf numFmtId="0" fontId="80" fillId="36" borderId="185" xfId="8" applyNumberFormat="1" applyFont="1" applyFill="1" applyBorder="1" applyAlignment="1" applyProtection="1">
      <alignment vertical="center" wrapText="1"/>
    </xf>
    <xf numFmtId="0" fontId="85" fillId="16" borderId="185" xfId="0" applyFont="1" applyFill="1" applyBorder="1" applyAlignment="1" applyProtection="1">
      <alignment horizontal="center" vertical="center" wrapText="1"/>
      <protection locked="0"/>
    </xf>
    <xf numFmtId="0" fontId="85" fillId="16" borderId="186" xfId="0" applyFont="1" applyFill="1" applyBorder="1" applyAlignment="1" applyProtection="1">
      <alignment horizontal="center" vertical="center" wrapText="1"/>
      <protection locked="0"/>
    </xf>
    <xf numFmtId="0" fontId="72" fillId="15" borderId="0" xfId="9" applyFont="1" applyFill="1" applyAlignment="1">
      <alignment horizontal="left" vertical="top" wrapText="1"/>
    </xf>
    <xf numFmtId="0" fontId="177" fillId="34" borderId="187" xfId="0" applyFont="1" applyFill="1" applyBorder="1" applyAlignment="1" applyProtection="1">
      <alignment horizontal="left"/>
      <protection locked="0"/>
    </xf>
    <xf numFmtId="0" fontId="72" fillId="15" borderId="0" xfId="0" applyFont="1" applyFill="1" applyAlignment="1">
      <alignment horizontal="right" indent="1"/>
    </xf>
    <xf numFmtId="0" fontId="2" fillId="15" borderId="0" xfId="0" applyFont="1" applyFill="1"/>
    <xf numFmtId="0" fontId="0" fillId="15" borderId="3" xfId="0" applyFill="1" applyBorder="1"/>
    <xf numFmtId="0" fontId="64" fillId="0" borderId="7" xfId="13" applyFont="1" applyBorder="1" applyAlignment="1">
      <alignment horizontal="center" vertical="center"/>
    </xf>
    <xf numFmtId="0" fontId="72" fillId="15" borderId="0" xfId="9" applyFont="1" applyFill="1" applyAlignment="1">
      <alignment vertical="top" wrapText="1"/>
    </xf>
    <xf numFmtId="0" fontId="0" fillId="0" borderId="188" xfId="0" applyBorder="1" applyAlignment="1">
      <alignment vertical="center" wrapText="1"/>
    </xf>
    <xf numFmtId="0" fontId="0" fillId="0" borderId="188" xfId="0" applyBorder="1" applyAlignment="1">
      <alignment vertical="center"/>
    </xf>
    <xf numFmtId="0" fontId="72" fillId="15" borderId="3" xfId="9" applyFont="1" applyFill="1" applyBorder="1"/>
    <xf numFmtId="0" fontId="72" fillId="15" borderId="0" xfId="9" applyFont="1" applyFill="1" applyAlignment="1">
      <alignment horizontal="right" vertical="center" indent="1"/>
    </xf>
    <xf numFmtId="0" fontId="85" fillId="4" borderId="189" xfId="0" applyFont="1" applyFill="1" applyBorder="1" applyAlignment="1">
      <alignment horizontal="center" vertical="center"/>
    </xf>
    <xf numFmtId="0" fontId="85" fillId="4" borderId="190" xfId="0" applyFont="1" applyFill="1" applyBorder="1" applyAlignment="1">
      <alignment horizontal="center" vertical="center"/>
    </xf>
    <xf numFmtId="0" fontId="85" fillId="4" borderId="191" xfId="0" applyFont="1" applyFill="1" applyBorder="1" applyAlignment="1">
      <alignment horizontal="center" vertical="center"/>
    </xf>
    <xf numFmtId="0" fontId="180" fillId="58" borderId="3" xfId="19" applyFont="1" applyFill="1" applyBorder="1" applyAlignment="1">
      <alignment horizontal="center" vertical="center"/>
    </xf>
    <xf numFmtId="0" fontId="64" fillId="0" borderId="3" xfId="13" applyFont="1" applyBorder="1" applyAlignment="1">
      <alignment horizontal="center" vertical="center"/>
    </xf>
    <xf numFmtId="0" fontId="72" fillId="15" borderId="0" xfId="9" applyFont="1" applyFill="1" applyAlignment="1">
      <alignment horizontal="center" vertical="top" wrapText="1"/>
    </xf>
    <xf numFmtId="0" fontId="72" fillId="15" borderId="3" xfId="9" applyFont="1" applyFill="1" applyBorder="1" applyAlignment="1">
      <alignment horizontal="center"/>
    </xf>
    <xf numFmtId="14" fontId="64" fillId="15" borderId="4" xfId="0" applyNumberFormat="1" applyFont="1" applyFill="1" applyBorder="1" applyAlignment="1">
      <alignment horizontal="left"/>
    </xf>
    <xf numFmtId="0" fontId="181" fillId="15" borderId="0" xfId="9" applyFont="1" applyFill="1" applyAlignment="1">
      <alignment horizontal="left" indent="1"/>
    </xf>
    <xf numFmtId="49" fontId="72" fillId="34" borderId="0" xfId="9" applyNumberFormat="1" applyFont="1" applyFill="1" applyAlignment="1" applyProtection="1">
      <alignment horizontal="center"/>
      <protection locked="0"/>
    </xf>
    <xf numFmtId="0" fontId="72" fillId="15" borderId="0" xfId="9" applyFont="1" applyFill="1" applyAlignment="1">
      <alignment wrapText="1"/>
    </xf>
    <xf numFmtId="0" fontId="68" fillId="15" borderId="7" xfId="9" applyFont="1" applyFill="1" applyBorder="1" applyAlignment="1">
      <alignment horizontal="left" vertical="top" wrapText="1"/>
    </xf>
    <xf numFmtId="0" fontId="68" fillId="15" borderId="7" xfId="9" applyFont="1" applyFill="1" applyBorder="1" applyAlignment="1">
      <alignment vertical="top" wrapText="1"/>
    </xf>
    <xf numFmtId="0" fontId="72" fillId="15" borderId="192" xfId="9" applyFont="1" applyFill="1" applyBorder="1" applyAlignment="1">
      <alignment horizontal="center" vertical="top" wrapText="1"/>
    </xf>
    <xf numFmtId="0" fontId="72" fillId="15" borderId="192" xfId="9" applyFont="1" applyFill="1" applyBorder="1" applyAlignment="1">
      <alignment vertical="top"/>
    </xf>
    <xf numFmtId="0" fontId="72" fillId="15" borderId="192" xfId="9" applyFont="1" applyFill="1" applyBorder="1" applyAlignment="1">
      <alignment horizontal="center"/>
    </xf>
    <xf numFmtId="0" fontId="72" fillId="15" borderId="192" xfId="9" applyFont="1" applyFill="1" applyBorder="1" applyAlignment="1">
      <alignment vertical="top" wrapText="1"/>
    </xf>
    <xf numFmtId="0" fontId="72" fillId="15" borderId="193" xfId="9" applyFont="1" applyFill="1" applyBorder="1" applyAlignment="1">
      <alignment horizontal="center"/>
    </xf>
    <xf numFmtId="0" fontId="68" fillId="15" borderId="193" xfId="9" applyFont="1" applyFill="1" applyBorder="1"/>
    <xf numFmtId="0" fontId="72" fillId="15" borderId="193" xfId="9" applyFont="1" applyFill="1" applyBorder="1"/>
    <xf numFmtId="0" fontId="72" fillId="15" borderId="194" xfId="9" applyFont="1" applyFill="1" applyBorder="1" applyAlignment="1">
      <alignment horizontal="center" vertical="top" wrapText="1"/>
    </xf>
    <xf numFmtId="0" fontId="181" fillId="51" borderId="0" xfId="9" applyFont="1" applyFill="1" applyAlignment="1">
      <alignment horizontal="center" vertical="center" wrapText="1"/>
    </xf>
    <xf numFmtId="0" fontId="181" fillId="51" borderId="0" xfId="9" applyFont="1" applyFill="1" applyAlignment="1">
      <alignment horizontal="left" vertical="center" wrapText="1"/>
    </xf>
    <xf numFmtId="0" fontId="181" fillId="51" borderId="0" xfId="9" applyFont="1" applyFill="1" applyAlignment="1">
      <alignment vertical="center"/>
    </xf>
    <xf numFmtId="0" fontId="181" fillId="51" borderId="0" xfId="9" applyFont="1" applyFill="1" applyAlignment="1">
      <alignment vertical="center" wrapText="1"/>
    </xf>
    <xf numFmtId="0" fontId="68" fillId="51" borderId="0" xfId="9" applyFont="1" applyFill="1" applyAlignment="1">
      <alignment vertical="center" wrapText="1"/>
    </xf>
    <xf numFmtId="0" fontId="6" fillId="15" borderId="3" xfId="0" applyFont="1" applyFill="1" applyBorder="1" applyAlignment="1">
      <alignment horizontal="center"/>
    </xf>
    <xf numFmtId="0" fontId="111" fillId="0" borderId="7" xfId="19" applyFont="1" applyBorder="1" applyAlignment="1">
      <alignment horizontal="left" vertical="center"/>
    </xf>
    <xf numFmtId="0" fontId="78" fillId="0" borderId="18" xfId="19" applyFont="1" applyBorder="1" applyAlignment="1">
      <alignment horizontal="left" vertical="center"/>
    </xf>
    <xf numFmtId="0" fontId="76" fillId="20" borderId="36" xfId="13" applyFont="1" applyFill="1" applyBorder="1" applyAlignment="1" applyProtection="1">
      <alignment vertical="center" wrapText="1"/>
      <protection locked="0"/>
    </xf>
    <xf numFmtId="0" fontId="99" fillId="31" borderId="36" xfId="18" applyFont="1" applyFill="1" applyBorder="1" applyAlignment="1">
      <alignment horizontal="center" vertical="center" wrapText="1"/>
    </xf>
    <xf numFmtId="0" fontId="99" fillId="29" borderId="36" xfId="18" applyFont="1" applyFill="1" applyBorder="1" applyAlignment="1">
      <alignment horizontal="center" vertical="center" wrapText="1"/>
    </xf>
    <xf numFmtId="0" fontId="0" fillId="7" borderId="0" xfId="0" applyFill="1"/>
    <xf numFmtId="0" fontId="65" fillId="0" borderId="35" xfId="13" applyFont="1" applyBorder="1" applyAlignment="1">
      <alignment horizontal="left" vertical="center" wrapText="1"/>
    </xf>
    <xf numFmtId="0" fontId="99" fillId="0" borderId="35" xfId="13" applyFont="1" applyBorder="1" applyAlignment="1">
      <alignment horizontal="left" vertical="center" wrapText="1"/>
    </xf>
    <xf numFmtId="0" fontId="64" fillId="4" borderId="195" xfId="0" applyFont="1" applyFill="1" applyBorder="1" applyAlignment="1">
      <alignment horizontal="right"/>
    </xf>
    <xf numFmtId="0" fontId="64" fillId="15" borderId="196" xfId="0" applyFont="1" applyFill="1" applyBorder="1" applyAlignment="1" applyProtection="1">
      <alignment horizontal="center"/>
      <protection locked="0"/>
    </xf>
    <xf numFmtId="0" fontId="0" fillId="7" borderId="0" xfId="0" applyFill="1" applyAlignment="1">
      <alignment horizontal="right"/>
    </xf>
    <xf numFmtId="0" fontId="0" fillId="51" borderId="0" xfId="0" applyFill="1"/>
    <xf numFmtId="0" fontId="0" fillId="59" borderId="0" xfId="0" applyFill="1"/>
    <xf numFmtId="0" fontId="64" fillId="28" borderId="0" xfId="0" applyFont="1" applyFill="1" applyAlignment="1">
      <alignment horizontal="right"/>
    </xf>
    <xf numFmtId="0" fontId="64" fillId="28" borderId="53" xfId="0" applyFont="1" applyFill="1" applyBorder="1"/>
    <xf numFmtId="0" fontId="64" fillId="28" borderId="50" xfId="0" applyFont="1" applyFill="1" applyBorder="1"/>
    <xf numFmtId="0" fontId="64" fillId="28" borderId="197" xfId="0" applyFont="1" applyFill="1" applyBorder="1"/>
    <xf numFmtId="0" fontId="64" fillId="28" borderId="48" xfId="0" applyFont="1" applyFill="1" applyBorder="1"/>
    <xf numFmtId="0" fontId="64" fillId="28" borderId="31" xfId="0" applyFont="1" applyFill="1" applyBorder="1"/>
    <xf numFmtId="0" fontId="67" fillId="28" borderId="0" xfId="0" applyFont="1" applyFill="1"/>
    <xf numFmtId="0" fontId="185" fillId="15" borderId="198" xfId="0" applyFont="1" applyFill="1" applyBorder="1" applyAlignment="1">
      <alignment horizontal="center" vertical="center"/>
    </xf>
    <xf numFmtId="14" fontId="185" fillId="15" borderId="198" xfId="0" applyNumberFormat="1" applyFont="1" applyFill="1" applyBorder="1" applyAlignment="1">
      <alignment horizontal="center" vertical="center"/>
    </xf>
    <xf numFmtId="0" fontId="73" fillId="15" borderId="0" xfId="0" applyFont="1" applyFill="1" applyAlignment="1">
      <alignment horizontal="center"/>
    </xf>
    <xf numFmtId="14" fontId="64" fillId="15" borderId="3" xfId="0" applyNumberFormat="1" applyFont="1" applyFill="1" applyBorder="1"/>
    <xf numFmtId="0" fontId="72" fillId="15" borderId="193" xfId="9" applyFont="1" applyFill="1" applyBorder="1" applyAlignment="1">
      <alignment horizontal="left" vertical="top" wrapText="1"/>
    </xf>
    <xf numFmtId="0" fontId="0" fillId="15" borderId="199" xfId="0" applyFill="1" applyBorder="1"/>
    <xf numFmtId="14" fontId="0" fillId="15" borderId="199" xfId="0" applyNumberFormat="1" applyFill="1" applyBorder="1"/>
    <xf numFmtId="0" fontId="90" fillId="0" borderId="54" xfId="13" applyFont="1" applyBorder="1" applyAlignment="1">
      <alignment vertical="center"/>
    </xf>
    <xf numFmtId="0" fontId="90" fillId="0" borderId="21" xfId="13" applyFont="1" applyBorder="1" applyAlignment="1">
      <alignment vertical="center"/>
    </xf>
    <xf numFmtId="0" fontId="100" fillId="0" borderId="0" xfId="19" applyFont="1" applyAlignment="1">
      <alignment horizontal="center" vertical="center"/>
    </xf>
    <xf numFmtId="9" fontId="90" fillId="0" borderId="0" xfId="1" applyFont="1" applyBorder="1" applyAlignment="1">
      <alignment vertical="center"/>
    </xf>
    <xf numFmtId="9" fontId="90" fillId="0" borderId="3" xfId="1" applyFont="1" applyBorder="1" applyAlignment="1">
      <alignment horizontal="center" vertical="center"/>
    </xf>
    <xf numFmtId="170" fontId="98" fillId="0" borderId="3" xfId="13" applyNumberFormat="1" applyFont="1" applyBorder="1" applyAlignment="1">
      <alignment horizontal="center" vertical="center"/>
    </xf>
    <xf numFmtId="0" fontId="64" fillId="16" borderId="56" xfId="13" applyFont="1" applyFill="1" applyBorder="1">
      <alignment horizontal="left" vertical="center"/>
    </xf>
    <xf numFmtId="0" fontId="64" fillId="16" borderId="51" xfId="13" applyFont="1" applyFill="1" applyBorder="1">
      <alignment horizontal="left" vertical="center"/>
    </xf>
    <xf numFmtId="0" fontId="64" fillId="16" borderId="145" xfId="13" applyFont="1" applyFill="1" applyBorder="1">
      <alignment horizontal="left" vertical="center"/>
    </xf>
    <xf numFmtId="0" fontId="64" fillId="16" borderId="145" xfId="13" applyFont="1" applyFill="1" applyBorder="1" applyAlignment="1">
      <alignment horizontal="center" vertical="center"/>
    </xf>
    <xf numFmtId="0" fontId="64" fillId="16" borderId="57" xfId="13" applyFont="1" applyFill="1" applyBorder="1">
      <alignment horizontal="left" vertical="center"/>
    </xf>
    <xf numFmtId="0" fontId="64" fillId="60" borderId="56" xfId="13" applyFont="1" applyFill="1" applyBorder="1">
      <alignment horizontal="left" vertical="center"/>
    </xf>
    <xf numFmtId="0" fontId="64" fillId="60" borderId="51" xfId="13" applyFont="1" applyFill="1" applyBorder="1">
      <alignment horizontal="left" vertical="center"/>
    </xf>
    <xf numFmtId="0" fontId="64" fillId="60" borderId="52" xfId="13" applyFont="1" applyFill="1" applyBorder="1">
      <alignment horizontal="left" vertical="center"/>
    </xf>
    <xf numFmtId="0" fontId="64" fillId="60" borderId="200" xfId="13" applyFont="1" applyFill="1" applyBorder="1">
      <alignment horizontal="left" vertical="center"/>
    </xf>
    <xf numFmtId="0" fontId="64" fillId="60" borderId="200" xfId="13" applyFont="1" applyFill="1" applyBorder="1" applyAlignment="1">
      <alignment horizontal="center" vertical="center"/>
    </xf>
    <xf numFmtId="9" fontId="64" fillId="60" borderId="52" xfId="13" applyNumberFormat="1" applyFont="1" applyFill="1" applyBorder="1">
      <alignment horizontal="left" vertical="center"/>
    </xf>
    <xf numFmtId="0" fontId="64" fillId="60" borderId="201" xfId="13" applyFont="1" applyFill="1" applyBorder="1">
      <alignment horizontal="left" vertical="center"/>
    </xf>
    <xf numFmtId="0" fontId="64" fillId="60" borderId="202" xfId="13" applyFont="1" applyFill="1" applyBorder="1">
      <alignment horizontal="left" vertical="center"/>
    </xf>
    <xf numFmtId="0" fontId="64" fillId="60" borderId="21" xfId="13" applyFont="1" applyFill="1" applyBorder="1">
      <alignment horizontal="left" vertical="center"/>
    </xf>
    <xf numFmtId="0" fontId="64" fillId="60" borderId="7" xfId="13" applyFont="1" applyFill="1" applyBorder="1">
      <alignment horizontal="left" vertical="center"/>
    </xf>
    <xf numFmtId="0" fontId="64" fillId="60" borderId="203" xfId="13" applyFont="1" applyFill="1" applyBorder="1">
      <alignment horizontal="left" vertical="center"/>
    </xf>
    <xf numFmtId="0" fontId="64" fillId="60" borderId="203" xfId="13" applyFont="1" applyFill="1" applyBorder="1" applyAlignment="1">
      <alignment horizontal="center" vertical="center"/>
    </xf>
    <xf numFmtId="0" fontId="64" fillId="60" borderId="23" xfId="13" applyFont="1" applyFill="1" applyBorder="1">
      <alignment horizontal="left" vertical="center"/>
    </xf>
    <xf numFmtId="170" fontId="64" fillId="28" borderId="52" xfId="13" applyNumberFormat="1" applyFont="1" applyFill="1" applyBorder="1">
      <alignment horizontal="left" vertical="center"/>
    </xf>
    <xf numFmtId="170" fontId="64" fillId="28" borderId="52" xfId="13" applyNumberFormat="1" applyFont="1" applyFill="1" applyBorder="1" applyAlignment="1">
      <alignment horizontal="center" vertical="center"/>
    </xf>
    <xf numFmtId="0" fontId="64" fillId="28" borderId="52" xfId="13" applyFont="1" applyFill="1" applyBorder="1">
      <alignment horizontal="left" vertical="center"/>
    </xf>
    <xf numFmtId="0" fontId="64" fillId="28" borderId="200" xfId="13" applyFont="1" applyFill="1" applyBorder="1">
      <alignment horizontal="left" vertical="center"/>
    </xf>
    <xf numFmtId="0" fontId="64" fillId="28" borderId="200" xfId="13" applyFont="1" applyFill="1" applyBorder="1" applyAlignment="1">
      <alignment horizontal="center" vertical="center"/>
    </xf>
    <xf numFmtId="170" fontId="64" fillId="28" borderId="200" xfId="13" applyNumberFormat="1" applyFont="1" applyFill="1" applyBorder="1" applyAlignment="1">
      <alignment horizontal="center" vertical="center"/>
    </xf>
    <xf numFmtId="0" fontId="113" fillId="28" borderId="52" xfId="15" applyFont="1" applyFill="1" applyBorder="1" applyAlignment="1">
      <alignment horizontal="left" vertical="center" wrapText="1"/>
    </xf>
    <xf numFmtId="0" fontId="113" fillId="28" borderId="201" xfId="15" applyFont="1" applyFill="1" applyBorder="1" applyAlignment="1">
      <alignment horizontal="left" vertical="center" wrapText="1"/>
    </xf>
    <xf numFmtId="0" fontId="90" fillId="16" borderId="155" xfId="13" applyFont="1" applyFill="1" applyBorder="1" applyAlignment="1">
      <alignment horizontal="center" vertical="center"/>
    </xf>
    <xf numFmtId="0" fontId="90" fillId="16" borderId="155" xfId="13" applyFont="1" applyFill="1" applyBorder="1">
      <alignment horizontal="left" vertical="center"/>
    </xf>
    <xf numFmtId="9" fontId="64" fillId="16" borderId="155" xfId="1" applyFont="1" applyFill="1" applyBorder="1" applyAlignment="1">
      <alignment horizontal="right" vertical="center"/>
    </xf>
    <xf numFmtId="0" fontId="64" fillId="16" borderId="48" xfId="13" applyFont="1" applyFill="1" applyBorder="1">
      <alignment horizontal="left" vertical="center"/>
    </xf>
    <xf numFmtId="170" fontId="73" fillId="0" borderId="4" xfId="13" applyNumberFormat="1" applyFont="1" applyBorder="1">
      <alignment horizontal="left" vertical="center"/>
    </xf>
    <xf numFmtId="170" fontId="73" fillId="0" borderId="6" xfId="13" applyNumberFormat="1" applyFont="1" applyBorder="1">
      <alignment horizontal="left" vertical="center"/>
    </xf>
    <xf numFmtId="0" fontId="98" fillId="0" borderId="6" xfId="13" applyFont="1" applyBorder="1">
      <alignment horizontal="left" vertical="center"/>
    </xf>
    <xf numFmtId="170" fontId="73" fillId="0" borderId="6" xfId="13" applyNumberFormat="1" applyFont="1" applyBorder="1" applyAlignment="1">
      <alignment horizontal="center" vertical="center"/>
    </xf>
    <xf numFmtId="0" fontId="73" fillId="0" borderId="6" xfId="13" applyFont="1" applyBorder="1">
      <alignment horizontal="left" vertical="center"/>
    </xf>
    <xf numFmtId="0" fontId="73" fillId="0" borderId="159" xfId="13" applyFont="1" applyBorder="1">
      <alignment horizontal="left" vertical="center"/>
    </xf>
    <xf numFmtId="0" fontId="73" fillId="0" borderId="159" xfId="13" applyFont="1" applyBorder="1" applyAlignment="1">
      <alignment horizontal="center" vertical="center"/>
    </xf>
    <xf numFmtId="170" fontId="73" fillId="0" borderId="159" xfId="13" applyNumberFormat="1" applyFont="1" applyBorder="1" applyAlignment="1">
      <alignment horizontal="center" vertical="center"/>
    </xf>
    <xf numFmtId="0" fontId="139" fillId="0" borderId="6" xfId="15" applyFont="1" applyBorder="1" applyAlignment="1">
      <alignment horizontal="left" vertical="center" wrapText="1"/>
    </xf>
    <xf numFmtId="0" fontId="139" fillId="0" borderId="5" xfId="15" applyFont="1" applyBorder="1" applyAlignment="1">
      <alignment horizontal="left" vertical="center" wrapText="1"/>
    </xf>
    <xf numFmtId="0" fontId="64" fillId="60" borderId="145" xfId="13" applyFont="1" applyFill="1" applyBorder="1">
      <alignment horizontal="left" vertical="center"/>
    </xf>
    <xf numFmtId="0" fontId="64" fillId="60" borderId="145" xfId="13" applyFont="1" applyFill="1" applyBorder="1" applyAlignment="1">
      <alignment horizontal="center" vertical="center"/>
    </xf>
    <xf numFmtId="0" fontId="64" fillId="60" borderId="57" xfId="13" applyFont="1" applyFill="1" applyBorder="1">
      <alignment horizontal="left" vertical="center"/>
    </xf>
    <xf numFmtId="0" fontId="68" fillId="0" borderId="0" xfId="19" applyFont="1" applyAlignment="1">
      <alignment horizontal="center"/>
    </xf>
    <xf numFmtId="0" fontId="64" fillId="4" borderId="3" xfId="13" applyFont="1" applyFill="1" applyBorder="1" applyAlignment="1">
      <alignment horizontal="center" vertical="center"/>
    </xf>
    <xf numFmtId="172" fontId="102" fillId="13" borderId="68" xfId="3" applyNumberFormat="1" applyFont="1" applyFill="1" applyBorder="1" applyAlignment="1" applyProtection="1">
      <alignment horizontal="center"/>
    </xf>
    <xf numFmtId="43" fontId="102" fillId="20" borderId="72" xfId="3" applyFont="1" applyFill="1" applyBorder="1" applyAlignment="1" applyProtection="1">
      <alignment horizontal="center"/>
    </xf>
    <xf numFmtId="172" fontId="102" fillId="13" borderId="70" xfId="3" applyNumberFormat="1" applyFont="1" applyFill="1" applyBorder="1" applyAlignment="1" applyProtection="1">
      <alignment horizontal="center"/>
    </xf>
    <xf numFmtId="43" fontId="102" fillId="20" borderId="75" xfId="3" applyFont="1" applyFill="1" applyBorder="1" applyAlignment="1" applyProtection="1">
      <alignment horizontal="center"/>
    </xf>
    <xf numFmtId="172" fontId="102" fillId="13" borderId="73" xfId="3" applyNumberFormat="1" applyFont="1" applyFill="1" applyBorder="1" applyAlignment="1" applyProtection="1">
      <alignment horizontal="center"/>
    </xf>
    <xf numFmtId="43" fontId="102" fillId="20" borderId="74" xfId="3" applyFont="1" applyFill="1" applyBorder="1" applyAlignment="1" applyProtection="1">
      <alignment horizontal="center"/>
    </xf>
    <xf numFmtId="9" fontId="102" fillId="13" borderId="69" xfId="1" applyFont="1" applyFill="1" applyBorder="1" applyAlignment="1" applyProtection="1">
      <alignment horizontal="center"/>
    </xf>
    <xf numFmtId="9" fontId="102" fillId="13" borderId="71" xfId="1" applyFont="1" applyFill="1" applyBorder="1" applyAlignment="1" applyProtection="1">
      <alignment horizontal="center"/>
    </xf>
    <xf numFmtId="9" fontId="102" fillId="13" borderId="76" xfId="1" applyFont="1" applyFill="1" applyBorder="1" applyAlignment="1" applyProtection="1">
      <alignment horizontal="center"/>
    </xf>
    <xf numFmtId="0" fontId="80" fillId="36" borderId="204" xfId="8" applyNumberFormat="1" applyFont="1" applyFill="1" applyBorder="1" applyAlignment="1" applyProtection="1">
      <alignment vertical="center" wrapText="1"/>
    </xf>
    <xf numFmtId="0" fontId="85" fillId="16" borderId="204" xfId="0" applyFont="1" applyFill="1" applyBorder="1" applyAlignment="1" applyProtection="1">
      <alignment horizontal="center" vertical="center" wrapText="1"/>
      <protection locked="0"/>
    </xf>
    <xf numFmtId="0" fontId="85" fillId="16" borderId="205" xfId="0" applyFont="1" applyFill="1" applyBorder="1" applyAlignment="1" applyProtection="1">
      <alignment horizontal="center" vertical="center" wrapText="1"/>
      <protection locked="0"/>
    </xf>
    <xf numFmtId="0" fontId="64" fillId="4" borderId="18" xfId="13" applyFont="1" applyFill="1" applyBorder="1" applyAlignment="1">
      <alignment horizontal="left" vertical="center" indent="1"/>
    </xf>
    <xf numFmtId="0" fontId="72" fillId="15" borderId="193" xfId="9" applyFont="1" applyFill="1" applyBorder="1" applyAlignment="1">
      <alignment horizontal="center" vertical="top" wrapText="1"/>
    </xf>
    <xf numFmtId="0" fontId="72" fillId="15" borderId="193" xfId="9" applyFont="1" applyFill="1" applyBorder="1" applyAlignment="1">
      <alignment vertical="top" wrapText="1"/>
    </xf>
    <xf numFmtId="0" fontId="72" fillId="61" borderId="192" xfId="9" applyFont="1" applyFill="1" applyBorder="1" applyAlignment="1">
      <alignment horizontal="center" vertical="top" wrapText="1"/>
    </xf>
    <xf numFmtId="0" fontId="188" fillId="62" borderId="192" xfId="9" applyFont="1" applyFill="1" applyBorder="1" applyAlignment="1">
      <alignment horizontal="center" vertical="top" wrapText="1"/>
    </xf>
    <xf numFmtId="0" fontId="72" fillId="15" borderId="192" xfId="9" applyFont="1" applyFill="1" applyBorder="1" applyAlignment="1">
      <alignment horizontal="left" vertical="top" wrapText="1" indent="1"/>
    </xf>
    <xf numFmtId="0" fontId="72" fillId="15" borderId="193" xfId="9" applyFont="1" applyFill="1" applyBorder="1" applyAlignment="1">
      <alignment horizontal="left" vertical="top" wrapText="1" indent="1"/>
    </xf>
    <xf numFmtId="0" fontId="72" fillId="15" borderId="206" xfId="9" applyFont="1" applyFill="1" applyBorder="1" applyAlignment="1">
      <alignment horizontal="center" vertical="top" wrapText="1"/>
    </xf>
    <xf numFmtId="0" fontId="72" fillId="15" borderId="206" xfId="9" applyFont="1" applyFill="1" applyBorder="1" applyAlignment="1">
      <alignment wrapText="1"/>
    </xf>
    <xf numFmtId="0" fontId="68" fillId="15" borderId="207" xfId="9" applyFont="1" applyFill="1" applyBorder="1" applyAlignment="1">
      <alignment horizontal="left" vertical="top" wrapText="1"/>
    </xf>
    <xf numFmtId="0" fontId="181" fillId="15" borderId="207" xfId="9" applyFont="1" applyFill="1" applyBorder="1" applyAlignment="1">
      <alignment horizontal="center" vertical="top" wrapText="1"/>
    </xf>
    <xf numFmtId="0" fontId="72" fillId="63" borderId="192" xfId="9" applyFont="1" applyFill="1" applyBorder="1" applyAlignment="1">
      <alignment horizontal="center" vertical="top" wrapText="1"/>
    </xf>
    <xf numFmtId="0" fontId="72" fillId="64" borderId="192" xfId="9" applyFont="1" applyFill="1" applyBorder="1" applyAlignment="1">
      <alignment horizontal="center" vertical="top" wrapText="1"/>
    </xf>
    <xf numFmtId="0" fontId="73" fillId="15" borderId="3" xfId="0" applyFont="1" applyFill="1" applyBorder="1"/>
    <xf numFmtId="167" fontId="102" fillId="15" borderId="0" xfId="6" applyNumberFormat="1" applyFont="1" applyFill="1" applyAlignment="1">
      <alignment horizontal="center" wrapText="1"/>
    </xf>
    <xf numFmtId="0" fontId="102" fillId="15" borderId="0" xfId="6" applyFont="1" applyFill="1" applyAlignment="1">
      <alignment horizontal="center" wrapText="1"/>
    </xf>
    <xf numFmtId="167" fontId="102" fillId="13" borderId="4" xfId="6" applyNumberFormat="1" applyFont="1" applyFill="1" applyBorder="1" applyAlignment="1">
      <alignment horizontal="center" wrapText="1"/>
    </xf>
    <xf numFmtId="167" fontId="102" fillId="13" borderId="208" xfId="6" applyNumberFormat="1" applyFont="1" applyFill="1" applyBorder="1" applyAlignment="1">
      <alignment horizontal="center" wrapText="1"/>
    </xf>
    <xf numFmtId="167" fontId="102" fillId="15" borderId="6" xfId="6" applyNumberFormat="1" applyFont="1" applyFill="1" applyBorder="1" applyAlignment="1">
      <alignment horizontal="center" wrapText="1"/>
    </xf>
    <xf numFmtId="167" fontId="102" fillId="15" borderId="5" xfId="6" applyNumberFormat="1" applyFont="1" applyFill="1" applyBorder="1" applyAlignment="1">
      <alignment horizontal="center" wrapText="1"/>
    </xf>
    <xf numFmtId="1" fontId="102" fillId="15" borderId="0" xfId="6" applyNumberFormat="1" applyFont="1" applyFill="1" applyAlignment="1">
      <alignment horizontal="center" wrapText="1"/>
    </xf>
    <xf numFmtId="0" fontId="102" fillId="15" borderId="0" xfId="6" applyFont="1" applyFill="1" applyAlignment="1">
      <alignment textRotation="90" wrapText="1"/>
    </xf>
    <xf numFmtId="2" fontId="102" fillId="15" borderId="0" xfId="6" applyNumberFormat="1" applyFont="1" applyFill="1" applyAlignment="1">
      <alignment horizontal="center" wrapText="1"/>
    </xf>
    <xf numFmtId="0" fontId="48" fillId="15" borderId="0" xfId="0" applyFont="1" applyFill="1" applyAlignment="1">
      <alignment horizontal="left"/>
    </xf>
    <xf numFmtId="0" fontId="48" fillId="15" borderId="3" xfId="0" applyFont="1" applyFill="1" applyBorder="1" applyAlignment="1">
      <alignment horizontal="center" vertical="center"/>
    </xf>
    <xf numFmtId="49" fontId="0" fillId="15" borderId="0" xfId="0" applyNumberFormat="1" applyFill="1"/>
    <xf numFmtId="0" fontId="0" fillId="15" borderId="3" xfId="0" applyFill="1" applyBorder="1" applyAlignment="1">
      <alignment horizontal="center" vertical="center"/>
    </xf>
    <xf numFmtId="0" fontId="0" fillId="15" borderId="20" xfId="0" applyFill="1" applyBorder="1" applyAlignment="1">
      <alignment horizontal="center" vertical="center"/>
    </xf>
    <xf numFmtId="0" fontId="48" fillId="15" borderId="209" xfId="0" applyFont="1" applyFill="1" applyBorder="1"/>
    <xf numFmtId="0" fontId="0" fillId="15" borderId="209" xfId="0" applyFill="1" applyBorder="1"/>
    <xf numFmtId="0" fontId="0" fillId="15" borderId="210" xfId="0" applyFill="1" applyBorder="1" applyAlignment="1">
      <alignment horizontal="center" vertical="center"/>
    </xf>
    <xf numFmtId="0" fontId="5" fillId="15" borderId="4" xfId="0" applyFont="1" applyFill="1" applyBorder="1" applyAlignment="1">
      <alignment horizontal="center" vertical="center"/>
    </xf>
    <xf numFmtId="0" fontId="5" fillId="15" borderId="3" xfId="0" applyFont="1" applyFill="1" applyBorder="1" applyAlignment="1">
      <alignment horizontal="center" vertical="center"/>
    </xf>
    <xf numFmtId="0" fontId="5" fillId="15" borderId="3" xfId="0" applyFont="1" applyFill="1" applyBorder="1" applyAlignment="1">
      <alignment horizontal="left" vertical="center" wrapText="1"/>
    </xf>
    <xf numFmtId="0" fontId="1" fillId="15" borderId="125" xfId="0" applyFont="1" applyFill="1" applyBorder="1" applyAlignment="1">
      <alignment horizontal="center" vertical="center" wrapText="1"/>
    </xf>
    <xf numFmtId="0" fontId="1" fillId="15" borderId="126" xfId="0" applyFont="1" applyFill="1" applyBorder="1" applyAlignment="1">
      <alignment horizontal="center" vertical="center" wrapText="1"/>
    </xf>
    <xf numFmtId="0" fontId="1" fillId="15" borderId="127" xfId="0" applyFont="1" applyFill="1" applyBorder="1" applyAlignment="1">
      <alignment horizontal="center" vertical="center" wrapText="1"/>
    </xf>
    <xf numFmtId="0" fontId="6" fillId="15" borderId="4" xfId="0" applyFont="1" applyFill="1" applyBorder="1" applyAlignment="1">
      <alignment horizontal="left" vertical="center" wrapText="1"/>
    </xf>
    <xf numFmtId="0" fontId="15" fillId="15" borderId="4" xfId="0" applyFont="1" applyFill="1" applyBorder="1" applyAlignment="1">
      <alignment horizontal="left" wrapText="1"/>
    </xf>
    <xf numFmtId="0" fontId="6" fillId="15" borderId="211" xfId="0" applyFont="1" applyFill="1" applyBorder="1" applyAlignment="1">
      <alignment wrapText="1"/>
    </xf>
    <xf numFmtId="1" fontId="6" fillId="16" borderId="115" xfId="0" applyNumberFormat="1" applyFont="1" applyFill="1" applyBorder="1" applyAlignment="1" applyProtection="1">
      <alignment horizontal="center"/>
      <protection locked="0"/>
    </xf>
    <xf numFmtId="1" fontId="6" fillId="16" borderId="125" xfId="0" applyNumberFormat="1" applyFont="1" applyFill="1" applyBorder="1" applyAlignment="1" applyProtection="1">
      <alignment horizontal="center"/>
      <protection locked="0"/>
    </xf>
    <xf numFmtId="1" fontId="6" fillId="16" borderId="212" xfId="0" applyNumberFormat="1" applyFont="1" applyFill="1" applyBorder="1" applyAlignment="1" applyProtection="1">
      <alignment horizontal="center"/>
      <protection locked="0"/>
    </xf>
    <xf numFmtId="1" fontId="6" fillId="16" borderId="213" xfId="0" applyNumberFormat="1" applyFont="1" applyFill="1" applyBorder="1" applyAlignment="1" applyProtection="1">
      <alignment horizontal="center"/>
      <protection locked="0"/>
    </xf>
    <xf numFmtId="1" fontId="14" fillId="15" borderId="114" xfId="0" applyNumberFormat="1" applyFont="1" applyFill="1" applyBorder="1" applyAlignment="1">
      <alignment horizontal="center"/>
    </xf>
    <xf numFmtId="1" fontId="14" fillId="15" borderId="211" xfId="0" applyNumberFormat="1" applyFont="1" applyFill="1" applyBorder="1" applyAlignment="1">
      <alignment horizontal="center"/>
    </xf>
    <xf numFmtId="0" fontId="6" fillId="15" borderId="20" xfId="0" applyFont="1" applyFill="1" applyBorder="1" applyAlignment="1">
      <alignment wrapText="1"/>
    </xf>
    <xf numFmtId="1" fontId="6" fillId="15" borderId="128" xfId="0" applyNumberFormat="1" applyFont="1" applyFill="1" applyBorder="1" applyAlignment="1" applyProtection="1">
      <alignment horizontal="center"/>
      <protection locked="0"/>
    </xf>
    <xf numFmtId="1" fontId="6" fillId="15" borderId="214" xfId="0" applyNumberFormat="1" applyFont="1" applyFill="1" applyBorder="1" applyAlignment="1" applyProtection="1">
      <alignment horizontal="center"/>
      <protection locked="0"/>
    </xf>
    <xf numFmtId="1" fontId="14" fillId="15" borderId="3" xfId="0" applyNumberFormat="1" applyFont="1" applyFill="1" applyBorder="1" applyAlignment="1">
      <alignment horizontal="center"/>
    </xf>
    <xf numFmtId="0" fontId="190" fillId="15" borderId="199" xfId="0" applyFont="1" applyFill="1" applyBorder="1"/>
    <xf numFmtId="14" fontId="190" fillId="15" borderId="199" xfId="0" applyNumberFormat="1" applyFont="1" applyFill="1" applyBorder="1"/>
    <xf numFmtId="0" fontId="25" fillId="15" borderId="0" xfId="21" applyFill="1" applyAlignment="1">
      <alignment horizontal="left"/>
    </xf>
    <xf numFmtId="0" fontId="96" fillId="65" borderId="19" xfId="0" applyFont="1" applyFill="1" applyBorder="1" applyAlignment="1">
      <alignment horizontal="center"/>
    </xf>
    <xf numFmtId="0" fontId="64" fillId="63" borderId="0" xfId="0" applyFont="1" applyFill="1" applyAlignment="1">
      <alignment horizontal="center" vertical="top" wrapText="1"/>
    </xf>
    <xf numFmtId="0" fontId="0" fillId="64" borderId="0" xfId="0" applyFill="1" applyAlignment="1">
      <alignment horizontal="center"/>
    </xf>
    <xf numFmtId="0" fontId="1" fillId="0" borderId="20" xfId="0" applyFont="1" applyBorder="1" applyAlignment="1">
      <alignment vertical="center" wrapText="1"/>
    </xf>
    <xf numFmtId="0" fontId="59" fillId="16" borderId="215" xfId="4" applyFont="1" applyFill="1" applyBorder="1" applyAlignment="1" applyProtection="1">
      <alignment horizontal="center" vertical="center" wrapText="1"/>
    </xf>
    <xf numFmtId="0" fontId="59" fillId="16" borderId="216" xfId="4" applyFont="1" applyFill="1" applyBorder="1" applyAlignment="1" applyProtection="1">
      <alignment horizontal="center" vertical="center" wrapText="1"/>
    </xf>
    <xf numFmtId="2" fontId="59" fillId="16" borderId="216" xfId="4" applyNumberFormat="1" applyFont="1" applyFill="1" applyBorder="1" applyAlignment="1" applyProtection="1">
      <alignment horizontal="center" vertical="center" wrapText="1"/>
    </xf>
    <xf numFmtId="166" fontId="59" fillId="16" borderId="216" xfId="4" applyNumberFormat="1" applyFont="1" applyFill="1" applyBorder="1" applyAlignment="1" applyProtection="1">
      <alignment horizontal="center" vertical="center" wrapText="1"/>
    </xf>
    <xf numFmtId="0" fontId="59" fillId="16" borderId="217" xfId="4" applyFont="1" applyFill="1" applyBorder="1" applyAlignment="1" applyProtection="1">
      <alignment horizontal="center" vertical="center" wrapText="1"/>
    </xf>
    <xf numFmtId="0" fontId="59" fillId="16" borderId="218" xfId="4" applyFont="1" applyFill="1" applyBorder="1" applyAlignment="1" applyProtection="1">
      <alignment horizontal="center" vertical="center" wrapText="1"/>
    </xf>
    <xf numFmtId="0" fontId="59" fillId="16" borderId="219" xfId="4" applyFont="1" applyFill="1" applyBorder="1" applyAlignment="1" applyProtection="1">
      <alignment horizontal="center" vertical="center" wrapText="1"/>
    </xf>
    <xf numFmtId="0" fontId="59" fillId="16" borderId="220" xfId="4" applyFont="1" applyFill="1" applyBorder="1" applyAlignment="1" applyProtection="1">
      <alignment horizontal="center" vertical="center" wrapText="1"/>
    </xf>
    <xf numFmtId="0" fontId="59" fillId="16" borderId="221" xfId="4" applyFont="1" applyFill="1" applyBorder="1" applyAlignment="1" applyProtection="1">
      <alignment horizontal="center" vertical="center" wrapText="1"/>
    </xf>
    <xf numFmtId="2" fontId="59" fillId="16" borderId="221" xfId="4" applyNumberFormat="1" applyFont="1" applyFill="1" applyBorder="1" applyAlignment="1" applyProtection="1">
      <alignment horizontal="center" vertical="center" wrapText="1"/>
    </xf>
    <xf numFmtId="166" fontId="59" fillId="16" borderId="221" xfId="4" applyNumberFormat="1" applyFont="1" applyFill="1" applyBorder="1" applyAlignment="1" applyProtection="1">
      <alignment horizontal="center" vertical="center" wrapText="1"/>
    </xf>
    <xf numFmtId="0" fontId="59" fillId="16" borderId="222" xfId="4" applyFont="1" applyFill="1" applyBorder="1" applyAlignment="1" applyProtection="1">
      <alignment horizontal="center" vertical="center" wrapText="1"/>
    </xf>
    <xf numFmtId="0" fontId="1" fillId="0" borderId="215" xfId="0" applyFont="1" applyBorder="1" applyAlignment="1">
      <alignment vertical="center" wrapText="1"/>
    </xf>
    <xf numFmtId="0" fontId="1" fillId="0" borderId="216" xfId="0" applyFont="1" applyBorder="1" applyAlignment="1">
      <alignment vertical="center" wrapText="1"/>
    </xf>
    <xf numFmtId="0" fontId="1" fillId="0" borderId="217" xfId="0" applyFont="1" applyBorder="1" applyAlignment="1">
      <alignment vertical="center" wrapText="1"/>
    </xf>
    <xf numFmtId="0" fontId="59" fillId="16" borderId="217" xfId="4" applyFont="1" applyFill="1" applyBorder="1" applyAlignment="1" applyProtection="1">
      <alignment vertical="center" wrapText="1"/>
    </xf>
    <xf numFmtId="0" fontId="59" fillId="16" borderId="219" xfId="4" applyFont="1" applyFill="1" applyBorder="1" applyAlignment="1" applyProtection="1">
      <alignment vertical="center" wrapText="1"/>
    </xf>
    <xf numFmtId="0" fontId="59" fillId="16" borderId="222" xfId="4" applyFont="1" applyFill="1" applyBorder="1" applyAlignment="1" applyProtection="1">
      <alignment vertical="center" wrapText="1"/>
    </xf>
    <xf numFmtId="2" fontId="102" fillId="15" borderId="3" xfId="6" applyNumberFormat="1" applyFont="1" applyFill="1" applyBorder="1" applyAlignment="1">
      <alignment horizontal="center"/>
    </xf>
    <xf numFmtId="0" fontId="102" fillId="15" borderId="3" xfId="6" applyFont="1" applyFill="1" applyBorder="1"/>
    <xf numFmtId="0" fontId="102" fillId="15" borderId="54" xfId="6" applyFont="1" applyFill="1" applyBorder="1" applyAlignment="1">
      <alignment horizontal="left"/>
    </xf>
    <xf numFmtId="0" fontId="102" fillId="15" borderId="24" xfId="6" applyFont="1" applyFill="1" applyBorder="1"/>
    <xf numFmtId="2" fontId="102" fillId="15" borderId="24" xfId="6" applyNumberFormat="1" applyFont="1" applyFill="1" applyBorder="1" applyAlignment="1">
      <alignment horizontal="center"/>
    </xf>
    <xf numFmtId="0" fontId="102" fillId="15" borderId="24" xfId="6" applyFont="1" applyFill="1" applyBorder="1" applyAlignment="1">
      <alignment horizontal="center"/>
    </xf>
    <xf numFmtId="0" fontId="102" fillId="15" borderId="55" xfId="6" applyFont="1" applyFill="1" applyBorder="1" applyAlignment="1">
      <alignment horizontal="center"/>
    </xf>
    <xf numFmtId="0" fontId="102" fillId="15" borderId="18" xfId="6" applyFont="1" applyFill="1" applyBorder="1" applyAlignment="1">
      <alignment horizontal="center"/>
    </xf>
    <xf numFmtId="0" fontId="102" fillId="15" borderId="21" xfId="6" applyFont="1" applyFill="1" applyBorder="1" applyAlignment="1">
      <alignment horizontal="center"/>
    </xf>
    <xf numFmtId="0" fontId="102" fillId="15" borderId="7" xfId="6" applyFont="1" applyFill="1" applyBorder="1"/>
    <xf numFmtId="1" fontId="102" fillId="15" borderId="3" xfId="6" applyNumberFormat="1" applyFont="1" applyFill="1" applyBorder="1" applyAlignment="1">
      <alignment horizontal="center"/>
    </xf>
    <xf numFmtId="0" fontId="103" fillId="15" borderId="3" xfId="6" applyFont="1" applyFill="1" applyBorder="1" applyAlignment="1">
      <alignment horizontal="center"/>
    </xf>
    <xf numFmtId="2" fontId="102" fillId="15" borderId="223" xfId="6" applyNumberFormat="1" applyFont="1" applyFill="1" applyBorder="1" applyAlignment="1">
      <alignment horizontal="center"/>
    </xf>
    <xf numFmtId="2" fontId="102" fillId="15" borderId="37" xfId="6" applyNumberFormat="1" applyFont="1" applyFill="1" applyBorder="1" applyAlignment="1">
      <alignment horizontal="center"/>
    </xf>
    <xf numFmtId="2" fontId="102" fillId="15" borderId="224" xfId="6" applyNumberFormat="1" applyFont="1" applyFill="1" applyBorder="1" applyAlignment="1">
      <alignment horizontal="center"/>
    </xf>
    <xf numFmtId="2" fontId="102" fillId="15" borderId="29" xfId="6" applyNumberFormat="1" applyFont="1" applyFill="1" applyBorder="1" applyAlignment="1">
      <alignment horizontal="center"/>
    </xf>
    <xf numFmtId="2" fontId="102" fillId="15" borderId="225" xfId="6" applyNumberFormat="1" applyFont="1" applyFill="1" applyBorder="1" applyAlignment="1">
      <alignment horizontal="center"/>
    </xf>
    <xf numFmtId="2" fontId="102" fillId="15" borderId="30" xfId="6" applyNumberFormat="1" applyFont="1" applyFill="1" applyBorder="1" applyAlignment="1">
      <alignment horizontal="center"/>
    </xf>
    <xf numFmtId="165" fontId="102" fillId="15" borderId="47" xfId="6" applyNumberFormat="1" applyFont="1" applyFill="1" applyBorder="1" applyAlignment="1">
      <alignment horizontal="center" vertical="center"/>
    </xf>
    <xf numFmtId="1" fontId="102" fillId="15" borderId="97" xfId="6" applyNumberFormat="1" applyFont="1" applyFill="1" applyBorder="1" applyAlignment="1">
      <alignment horizontal="center" vertical="center"/>
    </xf>
    <xf numFmtId="2" fontId="103" fillId="15" borderId="0" xfId="6" applyNumberFormat="1" applyFont="1" applyFill="1" applyAlignment="1">
      <alignment horizontal="center"/>
    </xf>
    <xf numFmtId="1" fontId="102" fillId="4" borderId="54" xfId="6" applyNumberFormat="1" applyFont="1" applyFill="1" applyBorder="1" applyAlignment="1">
      <alignment horizontal="center"/>
    </xf>
    <xf numFmtId="0" fontId="103" fillId="4" borderId="24" xfId="6" applyFont="1" applyFill="1" applyBorder="1" applyAlignment="1">
      <alignment horizontal="center"/>
    </xf>
    <xf numFmtId="0" fontId="103" fillId="4" borderId="24" xfId="6" applyFont="1" applyFill="1" applyBorder="1" applyAlignment="1">
      <alignment horizontal="right"/>
    </xf>
    <xf numFmtId="2" fontId="103" fillId="4" borderId="24" xfId="6" applyNumberFormat="1" applyFont="1" applyFill="1" applyBorder="1" applyAlignment="1">
      <alignment horizontal="center"/>
    </xf>
    <xf numFmtId="1" fontId="102" fillId="4" borderId="18" xfId="6" applyNumberFormat="1" applyFont="1" applyFill="1" applyBorder="1" applyAlignment="1">
      <alignment horizontal="center"/>
    </xf>
    <xf numFmtId="0" fontId="102" fillId="4" borderId="0" xfId="6" applyFont="1" applyFill="1" applyAlignment="1">
      <alignment horizontal="center"/>
    </xf>
    <xf numFmtId="0" fontId="102" fillId="4" borderId="0" xfId="6" applyFont="1" applyFill="1" applyAlignment="1">
      <alignment horizontal="right"/>
    </xf>
    <xf numFmtId="1" fontId="102" fillId="4" borderId="21" xfId="6" applyNumberFormat="1" applyFont="1" applyFill="1" applyBorder="1" applyAlignment="1">
      <alignment horizontal="center"/>
    </xf>
    <xf numFmtId="0" fontId="102" fillId="4" borderId="7" xfId="6" applyFont="1" applyFill="1" applyBorder="1" applyAlignment="1">
      <alignment horizontal="center"/>
    </xf>
    <xf numFmtId="0" fontId="102" fillId="4" borderId="7" xfId="6" applyFont="1" applyFill="1" applyBorder="1" applyAlignment="1">
      <alignment horizontal="right"/>
    </xf>
    <xf numFmtId="2" fontId="103" fillId="4" borderId="55" xfId="6" applyNumberFormat="1" applyFont="1" applyFill="1" applyBorder="1" applyAlignment="1">
      <alignment horizontal="center"/>
    </xf>
    <xf numFmtId="0" fontId="102" fillId="20" borderId="3" xfId="6" applyFont="1" applyFill="1" applyBorder="1" applyAlignment="1">
      <alignment horizontal="center"/>
    </xf>
    <xf numFmtId="0" fontId="191" fillId="20" borderId="3" xfId="6" applyFont="1" applyFill="1" applyBorder="1" applyAlignment="1">
      <alignment horizontal="center"/>
    </xf>
    <xf numFmtId="0" fontId="111" fillId="0" borderId="54" xfId="19" applyFont="1" applyBorder="1" applyAlignment="1">
      <alignment vertical="center"/>
    </xf>
    <xf numFmtId="0" fontId="111" fillId="0" borderId="24" xfId="19" applyFont="1" applyBorder="1" applyAlignment="1">
      <alignment vertical="center"/>
    </xf>
    <xf numFmtId="0" fontId="111" fillId="0" borderId="55" xfId="19" applyFont="1" applyBorder="1" applyAlignment="1">
      <alignment vertical="center"/>
    </xf>
    <xf numFmtId="0" fontId="78" fillId="0" borderId="21" xfId="19" applyFont="1" applyBorder="1" applyAlignment="1">
      <alignment vertical="center"/>
    </xf>
    <xf numFmtId="0" fontId="78" fillId="0" borderId="7" xfId="19" applyFont="1" applyBorder="1" applyAlignment="1">
      <alignment vertical="center"/>
    </xf>
    <xf numFmtId="0" fontId="78" fillId="0" borderId="23" xfId="19" applyFont="1" applyBorder="1" applyAlignment="1">
      <alignment vertical="center"/>
    </xf>
    <xf numFmtId="0" fontId="78" fillId="0" borderId="36" xfId="19" applyFont="1" applyBorder="1" applyAlignment="1">
      <alignment vertical="center"/>
    </xf>
    <xf numFmtId="0" fontId="78" fillId="20" borderId="36" xfId="19" applyFont="1" applyFill="1" applyBorder="1" applyAlignment="1">
      <alignment vertical="center"/>
    </xf>
    <xf numFmtId="0" fontId="64" fillId="28" borderId="36" xfId="13" applyFont="1" applyFill="1" applyBorder="1" applyAlignment="1">
      <alignment horizontal="center" vertical="center"/>
    </xf>
    <xf numFmtId="49" fontId="162" fillId="56" borderId="0" xfId="27" applyNumberFormat="1" applyFont="1" applyFill="1" applyBorder="1" applyAlignment="1">
      <alignment horizontal="center" vertical="center" wrapText="1" readingOrder="1"/>
    </xf>
    <xf numFmtId="1" fontId="153" fillId="16" borderId="0" xfId="27" applyNumberFormat="1" applyFont="1" applyFill="1" applyBorder="1" applyAlignment="1">
      <alignment horizontal="center" vertical="center" wrapText="1"/>
    </xf>
    <xf numFmtId="0" fontId="146" fillId="16" borderId="0" xfId="27" applyFill="1" applyBorder="1" applyAlignment="1">
      <alignment vertical="center" wrapText="1"/>
    </xf>
    <xf numFmtId="49" fontId="146" fillId="28" borderId="0" xfId="27" applyNumberFormat="1" applyFill="1" applyBorder="1" applyAlignment="1">
      <alignment vertical="center" wrapText="1"/>
    </xf>
    <xf numFmtId="1" fontId="146" fillId="44" borderId="0" xfId="27" applyNumberFormat="1" applyFill="1" applyBorder="1" applyAlignment="1">
      <alignment horizontal="center" vertical="center" wrapText="1"/>
    </xf>
    <xf numFmtId="1" fontId="146" fillId="0" borderId="0" xfId="27" applyNumberFormat="1" applyBorder="1" applyAlignment="1">
      <alignment horizontal="center" vertical="center" wrapText="1"/>
    </xf>
    <xf numFmtId="1" fontId="146" fillId="4" borderId="0" xfId="27" applyNumberFormat="1" applyFill="1" applyBorder="1" applyAlignment="1">
      <alignment horizontal="center" vertical="center" wrapText="1"/>
    </xf>
    <xf numFmtId="0" fontId="154" fillId="4" borderId="0" xfId="27" applyNumberFormat="1" applyFont="1" applyFill="1" applyBorder="1" applyAlignment="1">
      <alignment horizontal="center" vertical="center" wrapText="1"/>
    </xf>
    <xf numFmtId="0" fontId="146" fillId="44" borderId="0" xfId="27" applyNumberFormat="1" applyFill="1" applyBorder="1" applyAlignment="1">
      <alignment horizontal="center" vertical="center" wrapText="1"/>
    </xf>
    <xf numFmtId="0" fontId="64" fillId="4" borderId="0" xfId="13" applyFont="1" applyFill="1" applyAlignment="1">
      <alignment horizontal="left" vertical="center" indent="1"/>
    </xf>
    <xf numFmtId="0" fontId="64" fillId="4" borderId="21" xfId="13" applyFont="1" applyFill="1" applyBorder="1">
      <alignment horizontal="left" vertical="center"/>
    </xf>
    <xf numFmtId="0" fontId="64" fillId="4" borderId="7" xfId="13" applyFont="1" applyFill="1" applyBorder="1">
      <alignment horizontal="left" vertical="center"/>
    </xf>
    <xf numFmtId="0" fontId="64" fillId="20" borderId="36" xfId="13" applyFont="1" applyFill="1" applyBorder="1">
      <alignment horizontal="left" vertical="center"/>
    </xf>
    <xf numFmtId="0" fontId="64" fillId="28" borderId="36" xfId="13" applyFont="1" applyFill="1" applyBorder="1">
      <alignment horizontal="left" vertical="center"/>
    </xf>
    <xf numFmtId="0" fontId="25" fillId="19" borderId="115" xfId="24" applyFill="1" applyBorder="1" applyAlignment="1" applyProtection="1">
      <alignment horizontal="left" vertical="center" wrapText="1"/>
      <protection locked="0"/>
    </xf>
    <xf numFmtId="0" fontId="25" fillId="19" borderId="111" xfId="24" applyFill="1" applyBorder="1" applyAlignment="1" applyProtection="1">
      <alignment horizontal="left" vertical="center" wrapText="1"/>
      <protection locked="0"/>
    </xf>
    <xf numFmtId="0" fontId="25" fillId="19" borderId="125" xfId="24" applyFill="1" applyBorder="1" applyAlignment="1" applyProtection="1">
      <alignment horizontal="left" vertical="center" wrapText="1"/>
      <protection locked="0"/>
    </xf>
    <xf numFmtId="0" fontId="25" fillId="19" borderId="116" xfId="24" applyFill="1" applyBorder="1" applyAlignment="1" applyProtection="1">
      <alignment horizontal="left" vertical="center" wrapText="1"/>
      <protection locked="0"/>
    </xf>
    <xf numFmtId="0" fontId="25" fillId="19" borderId="112" xfId="24" applyFill="1" applyBorder="1" applyAlignment="1" applyProtection="1">
      <alignment horizontal="left" vertical="center" wrapText="1"/>
      <protection locked="0"/>
    </xf>
    <xf numFmtId="0" fontId="25" fillId="19" borderId="126" xfId="24" applyFill="1" applyBorder="1" applyAlignment="1" applyProtection="1">
      <alignment horizontal="left" vertical="center" wrapText="1"/>
      <protection locked="0"/>
    </xf>
    <xf numFmtId="0" fontId="25" fillId="19" borderId="117" xfId="24" applyFill="1" applyBorder="1" applyAlignment="1" applyProtection="1">
      <alignment horizontal="left" vertical="center" wrapText="1"/>
      <protection locked="0"/>
    </xf>
    <xf numFmtId="0" fontId="25" fillId="19" borderId="113" xfId="24" applyFill="1" applyBorder="1" applyAlignment="1" applyProtection="1">
      <alignment horizontal="left" vertical="center" wrapText="1"/>
      <protection locked="0"/>
    </xf>
    <xf numFmtId="0" fontId="25" fillId="19" borderId="127" xfId="24" applyFill="1" applyBorder="1" applyAlignment="1" applyProtection="1">
      <alignment horizontal="left" vertical="center" wrapText="1"/>
      <protection locked="0"/>
    </xf>
    <xf numFmtId="0" fontId="64" fillId="35" borderId="226" xfId="0" applyFont="1" applyFill="1" applyBorder="1"/>
    <xf numFmtId="167" fontId="103" fillId="15" borderId="6" xfId="6" applyNumberFormat="1" applyFont="1" applyFill="1" applyBorder="1" applyAlignment="1">
      <alignment horizontal="center" wrapText="1"/>
    </xf>
    <xf numFmtId="171" fontId="103" fillId="20" borderId="69" xfId="2" applyNumberFormat="1" applyFont="1" applyFill="1" applyBorder="1" applyAlignment="1" applyProtection="1">
      <alignment horizontal="center"/>
    </xf>
    <xf numFmtId="171" fontId="103" fillId="20" borderId="71" xfId="2" applyNumberFormat="1" applyFont="1" applyFill="1" applyBorder="1" applyAlignment="1" applyProtection="1">
      <alignment horizontal="center"/>
    </xf>
    <xf numFmtId="171" fontId="103" fillId="20" borderId="76" xfId="2" applyNumberFormat="1" applyFont="1" applyFill="1" applyBorder="1" applyAlignment="1" applyProtection="1">
      <alignment horizontal="center"/>
    </xf>
    <xf numFmtId="0" fontId="72" fillId="4" borderId="0" xfId="19" applyFont="1" applyFill="1"/>
    <xf numFmtId="0" fontId="72" fillId="4" borderId="28" xfId="19" applyFont="1" applyFill="1" applyBorder="1"/>
    <xf numFmtId="0" fontId="78" fillId="4" borderId="5" xfId="19" applyFont="1" applyFill="1" applyBorder="1" applyAlignment="1">
      <alignment vertical="center"/>
    </xf>
    <xf numFmtId="0" fontId="78" fillId="4" borderId="21" xfId="19" applyFont="1" applyFill="1" applyBorder="1" applyAlignment="1">
      <alignment vertical="center"/>
    </xf>
    <xf numFmtId="0" fontId="100" fillId="0" borderId="51" xfId="13" applyFont="1" applyBorder="1" applyAlignment="1">
      <alignment horizontal="left" vertical="center" wrapText="1"/>
    </xf>
    <xf numFmtId="0" fontId="111" fillId="0" borderId="51" xfId="19" applyFont="1" applyBorder="1" applyAlignment="1">
      <alignment horizontal="center" vertical="center"/>
    </xf>
    <xf numFmtId="0" fontId="192" fillId="0" borderId="0" xfId="19" applyFont="1" applyAlignment="1">
      <alignment vertical="center"/>
    </xf>
    <xf numFmtId="0" fontId="193" fillId="0" borderId="0" xfId="19" applyFont="1"/>
    <xf numFmtId="0" fontId="194" fillId="0" borderId="0" xfId="13" applyFont="1">
      <alignment horizontal="left" vertical="center"/>
    </xf>
    <xf numFmtId="0" fontId="192" fillId="0" borderId="0" xfId="19" applyFont="1" applyAlignment="1">
      <alignment horizontal="left" vertical="center"/>
    </xf>
    <xf numFmtId="0" fontId="194" fillId="0" borderId="0" xfId="15" applyFont="1" applyAlignment="1">
      <alignment horizontal="left" vertical="center" wrapText="1"/>
    </xf>
    <xf numFmtId="0" fontId="192" fillId="20" borderId="0" xfId="19" applyFont="1" applyFill="1" applyAlignment="1">
      <alignment vertical="center"/>
    </xf>
    <xf numFmtId="0" fontId="111" fillId="0" borderId="0" xfId="19" applyFont="1" applyAlignment="1">
      <alignment vertical="center" wrapText="1"/>
    </xf>
    <xf numFmtId="0" fontId="65" fillId="0" borderId="35" xfId="13" applyFont="1" applyBorder="1" applyAlignment="1">
      <alignment horizontal="center" vertical="center" wrapText="1"/>
    </xf>
    <xf numFmtId="0" fontId="193" fillId="0" borderId="0" xfId="19" applyFont="1" applyAlignment="1">
      <alignment vertical="center"/>
    </xf>
    <xf numFmtId="0" fontId="192" fillId="0" borderId="0" xfId="19" applyFont="1" applyAlignment="1">
      <alignment horizontal="center" vertical="center"/>
    </xf>
    <xf numFmtId="0" fontId="192" fillId="0" borderId="49" xfId="19" applyFont="1" applyBorder="1" applyAlignment="1">
      <alignment horizontal="center" vertical="center"/>
    </xf>
    <xf numFmtId="1" fontId="194" fillId="0" borderId="53" xfId="20" applyNumberFormat="1" applyFont="1" applyFill="1" applyBorder="1" applyAlignment="1" applyProtection="1">
      <alignment horizontal="center" vertical="center"/>
    </xf>
    <xf numFmtId="0" fontId="78" fillId="20" borderId="71" xfId="19" applyFont="1" applyFill="1" applyBorder="1" applyAlignment="1">
      <alignment horizontal="center" vertical="center"/>
    </xf>
    <xf numFmtId="14" fontId="72" fillId="0" borderId="71" xfId="19" applyNumberFormat="1" applyFont="1" applyBorder="1"/>
    <xf numFmtId="0" fontId="64" fillId="0" borderId="55" xfId="12" applyFont="1" applyBorder="1" applyAlignment="1">
      <alignment vertical="top" wrapText="1"/>
    </xf>
    <xf numFmtId="0" fontId="64" fillId="0" borderId="28" xfId="12" applyFont="1" applyBorder="1" applyAlignment="1">
      <alignment vertical="top" wrapText="1"/>
    </xf>
    <xf numFmtId="0" fontId="73" fillId="0" borderId="3" xfId="19" applyFont="1" applyBorder="1" applyAlignment="1">
      <alignment vertical="center"/>
    </xf>
    <xf numFmtId="0" fontId="73" fillId="0" borderId="3" xfId="19" applyFont="1" applyBorder="1" applyAlignment="1">
      <alignment horizontal="center" vertical="center"/>
    </xf>
    <xf numFmtId="14" fontId="72" fillId="0" borderId="71" xfId="19" applyNumberFormat="1" applyFont="1" applyBorder="1" applyAlignment="1">
      <alignment horizontal="center"/>
    </xf>
    <xf numFmtId="0" fontId="111" fillId="0" borderId="54" xfId="19" applyFont="1" applyBorder="1" applyAlignment="1">
      <alignment horizontal="left" vertical="center"/>
    </xf>
    <xf numFmtId="14" fontId="72" fillId="0" borderId="0" xfId="19" applyNumberFormat="1" applyFont="1"/>
    <xf numFmtId="0" fontId="111" fillId="0" borderId="28" xfId="19" applyFont="1" applyBorder="1" applyAlignment="1">
      <alignment vertical="center"/>
    </xf>
    <xf numFmtId="0" fontId="111" fillId="0" borderId="21" xfId="19" applyFont="1" applyBorder="1" applyAlignment="1">
      <alignment horizontal="center" vertical="center"/>
    </xf>
    <xf numFmtId="0" fontId="110" fillId="0" borderId="7" xfId="19" applyFont="1" applyBorder="1" applyAlignment="1">
      <alignment vertical="center"/>
    </xf>
    <xf numFmtId="0" fontId="72" fillId="0" borderId="7" xfId="19" applyFont="1" applyBorder="1" applyAlignment="1">
      <alignment horizontal="center"/>
    </xf>
    <xf numFmtId="0" fontId="111" fillId="0" borderId="7" xfId="19" applyFont="1" applyBorder="1" applyAlignment="1">
      <alignment vertical="center"/>
    </xf>
    <xf numFmtId="0" fontId="111" fillId="0" borderId="23" xfId="19" applyFont="1" applyBorder="1" applyAlignment="1">
      <alignment vertical="center"/>
    </xf>
    <xf numFmtId="0" fontId="72" fillId="0" borderId="54" xfId="19" applyFont="1" applyBorder="1"/>
    <xf numFmtId="0" fontId="72" fillId="0" borderId="24" xfId="19" applyFont="1" applyBorder="1"/>
    <xf numFmtId="0" fontId="72" fillId="0" borderId="55" xfId="19" applyFont="1" applyBorder="1"/>
    <xf numFmtId="0" fontId="72" fillId="0" borderId="18" xfId="19" applyFont="1" applyBorder="1"/>
    <xf numFmtId="0" fontId="72" fillId="0" borderId="28" xfId="19" applyFont="1" applyBorder="1"/>
    <xf numFmtId="0" fontId="78" fillId="0" borderId="28" xfId="19" applyFont="1" applyBorder="1" applyAlignment="1">
      <alignment vertical="center"/>
    </xf>
    <xf numFmtId="0" fontId="111" fillId="40" borderId="36" xfId="18" applyFont="1" applyFill="1" applyBorder="1" applyAlignment="1">
      <alignment horizontal="center" vertical="center" wrapText="1"/>
    </xf>
    <xf numFmtId="0" fontId="78" fillId="40" borderId="54" xfId="19" applyFont="1" applyFill="1" applyBorder="1" applyAlignment="1">
      <alignment horizontal="left" vertical="center"/>
    </xf>
    <xf numFmtId="0" fontId="78" fillId="40" borderId="21" xfId="19" applyFont="1" applyFill="1" applyBorder="1" applyAlignment="1">
      <alignment horizontal="left" vertical="center"/>
    </xf>
    <xf numFmtId="14" fontId="68" fillId="0" borderId="24" xfId="19" applyNumberFormat="1" applyFont="1" applyBorder="1"/>
    <xf numFmtId="0" fontId="76" fillId="0" borderId="18" xfId="19" applyFont="1" applyBorder="1" applyAlignment="1">
      <alignment horizontal="right" vertical="center"/>
    </xf>
    <xf numFmtId="0" fontId="73" fillId="0" borderId="0" xfId="13" applyFont="1" applyAlignment="1">
      <alignment horizontal="center" vertical="center"/>
    </xf>
    <xf numFmtId="0" fontId="65" fillId="16" borderId="35" xfId="13" applyFont="1" applyFill="1" applyBorder="1" applyAlignment="1" applyProtection="1">
      <alignment horizontal="center" vertical="center" wrapText="1"/>
      <protection locked="0"/>
    </xf>
    <xf numFmtId="0" fontId="78" fillId="16" borderId="3" xfId="19" applyFont="1" applyFill="1" applyBorder="1" applyAlignment="1" applyProtection="1">
      <alignment horizontal="center" vertical="center"/>
      <protection locked="0"/>
    </xf>
    <xf numFmtId="0" fontId="25" fillId="0" borderId="0" xfId="32"/>
    <xf numFmtId="0" fontId="196" fillId="15" borderId="0" xfId="32" applyFont="1" applyFill="1"/>
    <xf numFmtId="0" fontId="196" fillId="15" borderId="0" xfId="32" applyFont="1" applyFill="1" applyAlignment="1">
      <alignment vertical="top" wrapText="1"/>
    </xf>
    <xf numFmtId="0" fontId="197" fillId="15" borderId="0" xfId="32" applyFont="1" applyFill="1" applyAlignment="1">
      <alignment horizontal="center" vertical="top" wrapText="1"/>
    </xf>
    <xf numFmtId="0" fontId="196" fillId="15" borderId="0" xfId="32" applyFont="1" applyFill="1" applyAlignment="1">
      <alignment horizontal="center" vertical="top" wrapText="1"/>
    </xf>
    <xf numFmtId="0" fontId="196" fillId="0" borderId="0" xfId="32" applyFont="1" applyAlignment="1">
      <alignment vertical="top" wrapText="1"/>
    </xf>
    <xf numFmtId="0" fontId="196" fillId="15" borderId="0" xfId="32" applyFont="1" applyFill="1" applyAlignment="1">
      <alignment horizontal="center" vertical="center"/>
    </xf>
    <xf numFmtId="0" fontId="197" fillId="66" borderId="227" xfId="32" applyFont="1" applyFill="1" applyBorder="1" applyAlignment="1">
      <alignment horizontal="center" vertical="center" wrapText="1"/>
    </xf>
    <xf numFmtId="0" fontId="197" fillId="4" borderId="227" xfId="32" applyFont="1" applyFill="1" applyBorder="1" applyAlignment="1">
      <alignment horizontal="center" vertical="center" wrapText="1"/>
    </xf>
    <xf numFmtId="0" fontId="197" fillId="4" borderId="227" xfId="32" applyFont="1" applyFill="1" applyBorder="1" applyAlignment="1">
      <alignment horizontal="center" vertical="center" textRotation="90" wrapText="1"/>
    </xf>
    <xf numFmtId="14" fontId="196" fillId="20" borderId="31" xfId="29" applyNumberFormat="1" applyFont="1" applyFill="1" applyBorder="1" applyAlignment="1" applyProtection="1">
      <alignment horizontal="center" vertical="center" wrapText="1"/>
    </xf>
    <xf numFmtId="0" fontId="196" fillId="20" borderId="228" xfId="29" applyFont="1" applyFill="1" applyBorder="1" applyAlignment="1" applyProtection="1">
      <alignment horizontal="center" vertical="center" wrapText="1"/>
    </xf>
    <xf numFmtId="0" fontId="196" fillId="20" borderId="31" xfId="29" applyFont="1" applyFill="1" applyBorder="1" applyAlignment="1" applyProtection="1">
      <alignment horizontal="center" vertical="center" wrapText="1"/>
    </xf>
    <xf numFmtId="0" fontId="196" fillId="20" borderId="34" xfId="32" applyFont="1" applyFill="1" applyBorder="1" applyAlignment="1">
      <alignment horizontal="center" vertical="center" wrapText="1"/>
    </xf>
    <xf numFmtId="0" fontId="196" fillId="0" borderId="34" xfId="32" applyFont="1" applyBorder="1" applyAlignment="1">
      <alignment horizontal="center" vertical="center" wrapText="1"/>
    </xf>
    <xf numFmtId="0" fontId="196" fillId="20" borderId="229" xfId="32" applyFont="1" applyFill="1" applyBorder="1" applyAlignment="1">
      <alignment horizontal="center" vertical="center" wrapText="1"/>
    </xf>
    <xf numFmtId="0" fontId="200" fillId="15" borderId="0" xfId="32" applyFont="1" applyFill="1" applyAlignment="1">
      <alignment horizontal="left"/>
    </xf>
    <xf numFmtId="1" fontId="196" fillId="51" borderId="34" xfId="32" applyNumberFormat="1" applyFont="1" applyFill="1" applyBorder="1" applyAlignment="1">
      <alignment horizontal="center" vertical="center" wrapText="1"/>
    </xf>
    <xf numFmtId="1" fontId="196" fillId="0" borderId="34" xfId="32" applyNumberFormat="1" applyFont="1" applyBorder="1" applyAlignment="1">
      <alignment horizontal="center" vertical="center" wrapText="1"/>
    </xf>
    <xf numFmtId="0" fontId="200" fillId="15" borderId="0" xfId="32" applyFont="1" applyFill="1" applyAlignment="1">
      <alignment horizontal="left" wrapText="1"/>
    </xf>
    <xf numFmtId="0" fontId="196" fillId="67" borderId="228" xfId="32" applyFont="1" applyFill="1" applyBorder="1" applyAlignment="1">
      <alignment horizontal="center" vertical="center" wrapText="1"/>
    </xf>
    <xf numFmtId="0" fontId="199" fillId="67" borderId="34" xfId="32" applyFont="1" applyFill="1" applyBorder="1" applyAlignment="1">
      <alignment horizontal="center" vertical="center" wrapText="1"/>
    </xf>
    <xf numFmtId="0" fontId="199" fillId="67" borderId="197" xfId="32" applyFont="1" applyFill="1" applyBorder="1" applyAlignment="1">
      <alignment horizontal="center" vertical="center" wrapText="1"/>
    </xf>
    <xf numFmtId="14" fontId="196" fillId="67" borderId="229" xfId="32" applyNumberFormat="1" applyFont="1" applyFill="1" applyBorder="1" applyAlignment="1">
      <alignment horizontal="center" vertical="center" wrapText="1"/>
    </xf>
    <xf numFmtId="0" fontId="196" fillId="67" borderId="31" xfId="32" applyFont="1" applyFill="1" applyBorder="1" applyAlignment="1">
      <alignment horizontal="center" vertical="center" wrapText="1"/>
    </xf>
    <xf numFmtId="0" fontId="196" fillId="67" borderId="34" xfId="32" applyFont="1" applyFill="1" applyBorder="1" applyAlignment="1">
      <alignment horizontal="center" vertical="center" wrapText="1"/>
    </xf>
    <xf numFmtId="0" fontId="67" fillId="15" borderId="0" xfId="0" applyFont="1" applyFill="1" applyAlignment="1">
      <alignment horizontal="right"/>
    </xf>
    <xf numFmtId="0" fontId="67" fillId="15" borderId="0" xfId="0" applyFont="1" applyFill="1" applyAlignment="1">
      <alignment horizontal="center"/>
    </xf>
    <xf numFmtId="0" fontId="0" fillId="15" borderId="7" xfId="0" applyFill="1" applyBorder="1"/>
    <xf numFmtId="0" fontId="25" fillId="0" borderId="54" xfId="32" applyBorder="1"/>
    <xf numFmtId="0" fontId="25" fillId="0" borderId="24" xfId="32" applyBorder="1"/>
    <xf numFmtId="0" fontId="0" fillId="15" borderId="0" xfId="0" applyFill="1" applyAlignment="1">
      <alignment horizontal="right"/>
    </xf>
    <xf numFmtId="0" fontId="0" fillId="15" borderId="230" xfId="0" applyFill="1" applyBorder="1"/>
    <xf numFmtId="0" fontId="196" fillId="67" borderId="231" xfId="32" applyFont="1" applyFill="1" applyBorder="1" applyAlignment="1">
      <alignment horizontal="center" vertical="center" wrapText="1"/>
    </xf>
    <xf numFmtId="0" fontId="0" fillId="15" borderId="232" xfId="0" applyFill="1" applyBorder="1"/>
    <xf numFmtId="0" fontId="196" fillId="67" borderId="233" xfId="32" applyFont="1" applyFill="1" applyBorder="1" applyAlignment="1">
      <alignment horizontal="center" vertical="center" wrapText="1"/>
    </xf>
    <xf numFmtId="0" fontId="196" fillId="68" borderId="0" xfId="32" applyFont="1" applyFill="1" applyAlignment="1">
      <alignment vertical="top" wrapText="1"/>
    </xf>
    <xf numFmtId="0" fontId="64" fillId="28" borderId="0" xfId="0" applyFont="1" applyFill="1" applyAlignment="1">
      <alignment horizontal="right" vertical="center"/>
    </xf>
    <xf numFmtId="0" fontId="64" fillId="16" borderId="4" xfId="0" applyFont="1" applyFill="1" applyBorder="1" applyAlignment="1">
      <alignment horizontal="left"/>
    </xf>
    <xf numFmtId="0" fontId="64" fillId="16" borderId="3" xfId="0" applyFont="1" applyFill="1" applyBorder="1" applyAlignment="1">
      <alignment horizontal="center"/>
    </xf>
    <xf numFmtId="0" fontId="64" fillId="16" borderId="21" xfId="0" applyFont="1" applyFill="1" applyBorder="1" applyAlignment="1">
      <alignment horizontal="left"/>
    </xf>
    <xf numFmtId="0" fontId="64" fillId="16" borderId="3" xfId="0" applyFont="1" applyFill="1" applyBorder="1" applyAlignment="1">
      <alignment horizontal="left"/>
    </xf>
    <xf numFmtId="0" fontId="190" fillId="16" borderId="199" xfId="0" applyFont="1" applyFill="1" applyBorder="1" applyProtection="1">
      <protection locked="0"/>
    </xf>
    <xf numFmtId="14" fontId="190" fillId="16" borderId="199" xfId="0" applyNumberFormat="1" applyFont="1" applyFill="1" applyBorder="1" applyProtection="1">
      <protection locked="0"/>
    </xf>
    <xf numFmtId="0" fontId="78" fillId="0" borderId="3" xfId="19" applyFont="1" applyBorder="1" applyAlignment="1">
      <alignment vertical="center"/>
    </xf>
    <xf numFmtId="0" fontId="0" fillId="16" borderId="4" xfId="0" applyFill="1" applyBorder="1"/>
    <xf numFmtId="0" fontId="0" fillId="16" borderId="5" xfId="0" applyFill="1" applyBorder="1" applyAlignment="1">
      <alignment vertical="center"/>
    </xf>
    <xf numFmtId="0" fontId="201" fillId="0" borderId="0" xfId="19" applyFont="1" applyAlignment="1">
      <alignment vertical="center"/>
    </xf>
    <xf numFmtId="0" fontId="202" fillId="0" borderId="36" xfId="13" applyFont="1" applyBorder="1" applyAlignment="1">
      <alignment horizontal="center" vertical="center"/>
    </xf>
    <xf numFmtId="0" fontId="64" fillId="4" borderId="3" xfId="0" applyFont="1" applyFill="1" applyBorder="1" applyAlignment="1">
      <alignment horizontal="center"/>
    </xf>
    <xf numFmtId="0" fontId="83" fillId="0" borderId="0" xfId="15" applyFont="1" applyAlignment="1">
      <alignment vertical="center"/>
    </xf>
    <xf numFmtId="0" fontId="100" fillId="24" borderId="42" xfId="18" applyFont="1" applyFill="1" applyBorder="1">
      <alignment horizontal="center" vertical="center"/>
    </xf>
    <xf numFmtId="0" fontId="100" fillId="24" borderId="34" xfId="18" applyFont="1" applyFill="1" applyBorder="1">
      <alignment horizontal="center" vertical="center"/>
    </xf>
    <xf numFmtId="3" fontId="64" fillId="34" borderId="71" xfId="0" applyNumberFormat="1" applyFont="1" applyFill="1" applyBorder="1" applyAlignment="1" applyProtection="1">
      <alignment vertical="center" wrapText="1"/>
      <protection locked="0"/>
    </xf>
    <xf numFmtId="171" fontId="64" fillId="34" borderId="71" xfId="0" applyNumberFormat="1" applyFont="1" applyFill="1" applyBorder="1" applyAlignment="1" applyProtection="1">
      <alignment vertical="center" wrapText="1"/>
      <protection locked="0"/>
    </xf>
    <xf numFmtId="171" fontId="64" fillId="34" borderId="76" xfId="0" applyNumberFormat="1" applyFont="1" applyFill="1" applyBorder="1" applyAlignment="1" applyProtection="1">
      <alignment vertical="center" wrapText="1"/>
      <protection locked="0"/>
    </xf>
    <xf numFmtId="171" fontId="64" fillId="15" borderId="76" xfId="0" applyNumberFormat="1" applyFont="1" applyFill="1" applyBorder="1" applyAlignment="1">
      <alignment vertical="center" wrapText="1"/>
    </xf>
    <xf numFmtId="0" fontId="64" fillId="34" borderId="6" xfId="0" applyFont="1" applyFill="1" applyBorder="1" applyAlignment="1" applyProtection="1">
      <alignment horizontal="left" vertical="center" wrapText="1"/>
      <protection locked="0"/>
    </xf>
    <xf numFmtId="0" fontId="64" fillId="34" borderId="5" xfId="0" applyFont="1" applyFill="1" applyBorder="1" applyAlignment="1" applyProtection="1">
      <alignment horizontal="left" vertical="center" wrapText="1"/>
      <protection locked="0"/>
    </xf>
    <xf numFmtId="0" fontId="0" fillId="0" borderId="0" xfId="0" applyAlignment="1">
      <alignment vertical="top"/>
    </xf>
    <xf numFmtId="0" fontId="0" fillId="28" borderId="0" xfId="0" applyFill="1"/>
    <xf numFmtId="0" fontId="64" fillId="15" borderId="3" xfId="0" applyFont="1" applyFill="1" applyBorder="1" applyAlignment="1">
      <alignment horizontal="right" vertical="center"/>
    </xf>
    <xf numFmtId="0" fontId="64" fillId="15" borderId="3" xfId="0" applyFont="1" applyFill="1" applyBorder="1" applyAlignment="1">
      <alignment vertical="center"/>
    </xf>
    <xf numFmtId="0" fontId="64" fillId="15" borderId="3" xfId="0" applyFont="1" applyFill="1" applyBorder="1" applyAlignment="1">
      <alignment horizontal="center" vertical="center"/>
    </xf>
    <xf numFmtId="0" fontId="204" fillId="15" borderId="0" xfId="0" applyFont="1" applyFill="1" applyAlignment="1">
      <alignment vertical="center"/>
    </xf>
    <xf numFmtId="0" fontId="6" fillId="15" borderId="0" xfId="0" applyFont="1" applyFill="1" applyAlignment="1">
      <alignment horizontal="right"/>
    </xf>
    <xf numFmtId="0" fontId="64" fillId="16" borderId="234" xfId="0" applyFont="1" applyFill="1" applyBorder="1" applyAlignment="1">
      <alignment horizontal="center"/>
    </xf>
    <xf numFmtId="0" fontId="64" fillId="15" borderId="28" xfId="0" applyFont="1" applyFill="1" applyBorder="1"/>
    <xf numFmtId="0" fontId="6" fillId="15" borderId="3" xfId="0" applyFont="1" applyFill="1" applyBorder="1" applyAlignment="1" applyProtection="1">
      <alignment horizontal="center"/>
      <protection locked="0"/>
    </xf>
    <xf numFmtId="0" fontId="25" fillId="15" borderId="235" xfId="24" applyFill="1" applyBorder="1" applyAlignment="1">
      <alignment wrapText="1"/>
    </xf>
    <xf numFmtId="165" fontId="25" fillId="15" borderId="236" xfId="24" applyNumberFormat="1" applyFill="1" applyBorder="1" applyAlignment="1">
      <alignment horizontal="center" vertical="top" wrapText="1"/>
    </xf>
    <xf numFmtId="165" fontId="25" fillId="4" borderId="236" xfId="24" applyNumberFormat="1" applyFill="1" applyBorder="1" applyAlignment="1" applyProtection="1">
      <alignment horizontal="center" vertical="top" wrapText="1"/>
      <protection locked="0"/>
    </xf>
    <xf numFmtId="165" fontId="14" fillId="10" borderId="236" xfId="24" applyNumberFormat="1" applyFont="1" applyFill="1" applyBorder="1" applyAlignment="1">
      <alignment horizontal="center" wrapText="1"/>
    </xf>
    <xf numFmtId="0" fontId="25" fillId="15" borderId="236" xfId="24" applyFill="1" applyBorder="1" applyAlignment="1">
      <alignment wrapText="1"/>
    </xf>
    <xf numFmtId="1" fontId="25" fillId="4" borderId="236" xfId="24" applyNumberFormat="1" applyFill="1" applyBorder="1" applyAlignment="1" applyProtection="1">
      <alignment horizontal="center"/>
      <protection locked="0"/>
    </xf>
    <xf numFmtId="165" fontId="14" fillId="10" borderId="237" xfId="24" applyNumberFormat="1" applyFont="1" applyFill="1" applyBorder="1" applyAlignment="1">
      <alignment horizontal="center" wrapText="1"/>
    </xf>
    <xf numFmtId="0" fontId="14" fillId="15" borderId="236" xfId="24" applyFont="1" applyFill="1" applyBorder="1" applyAlignment="1">
      <alignment horizontal="center" wrapText="1"/>
    </xf>
    <xf numFmtId="0" fontId="14" fillId="15" borderId="237" xfId="24" applyFont="1" applyFill="1" applyBorder="1" applyAlignment="1">
      <alignment horizontal="center" wrapText="1"/>
    </xf>
    <xf numFmtId="0" fontId="205" fillId="15" borderId="7" xfId="24" applyFont="1" applyFill="1" applyBorder="1" applyAlignment="1">
      <alignment horizontal="right"/>
    </xf>
    <xf numFmtId="0" fontId="205" fillId="15" borderId="0" xfId="24" applyFont="1" applyFill="1" applyAlignment="1">
      <alignment horizontal="right"/>
    </xf>
    <xf numFmtId="167" fontId="102" fillId="15" borderId="7" xfId="6" applyNumberFormat="1" applyFont="1" applyFill="1" applyBorder="1" applyAlignment="1">
      <alignment horizontal="center"/>
    </xf>
    <xf numFmtId="0" fontId="206" fillId="15" borderId="20" xfId="24" applyFont="1" applyFill="1" applyBorder="1" applyAlignment="1">
      <alignment horizontal="left" vertical="center"/>
    </xf>
    <xf numFmtId="0" fontId="207" fillId="15" borderId="0" xfId="24" applyFont="1" applyFill="1" applyAlignment="1">
      <alignment wrapText="1"/>
    </xf>
    <xf numFmtId="0" fontId="207" fillId="15" borderId="0" xfId="24" applyFont="1" applyFill="1"/>
    <xf numFmtId="0" fontId="207" fillId="15" borderId="16" xfId="24" applyFont="1" applyFill="1" applyBorder="1" applyAlignment="1">
      <alignment wrapText="1"/>
    </xf>
    <xf numFmtId="0" fontId="207" fillId="15" borderId="0" xfId="24" applyFont="1" applyFill="1" applyAlignment="1">
      <alignment horizontal="left" vertical="center"/>
    </xf>
    <xf numFmtId="0" fontId="207" fillId="51" borderId="3" xfId="24" applyFont="1" applyFill="1" applyBorder="1" applyAlignment="1">
      <alignment horizontal="left" vertical="center" wrapText="1"/>
    </xf>
    <xf numFmtId="0" fontId="207" fillId="51" borderId="238" xfId="24" applyFont="1" applyFill="1" applyBorder="1" applyAlignment="1">
      <alignment horizontal="left" vertical="center" wrapText="1"/>
    </xf>
    <xf numFmtId="0" fontId="207" fillId="51" borderId="239" xfId="24" applyFont="1" applyFill="1" applyBorder="1" applyAlignment="1">
      <alignment horizontal="left" vertical="center" wrapText="1"/>
    </xf>
    <xf numFmtId="0" fontId="207" fillId="51" borderId="240" xfId="24" applyFont="1" applyFill="1" applyBorder="1" applyAlignment="1">
      <alignment horizontal="left" vertical="center" wrapText="1"/>
    </xf>
    <xf numFmtId="0" fontId="122" fillId="0" borderId="0" xfId="16" applyFont="1" applyAlignment="1">
      <alignment horizontal="left" vertical="center"/>
    </xf>
    <xf numFmtId="0" fontId="64" fillId="0" borderId="0" xfId="15" applyFont="1"/>
    <xf numFmtId="0" fontId="123" fillId="0" borderId="0" xfId="12" applyFont="1" applyAlignment="1">
      <alignment vertical="center" wrapText="1"/>
    </xf>
    <xf numFmtId="49" fontId="76" fillId="0" borderId="36" xfId="17" applyNumberFormat="1" applyFont="1" applyBorder="1" applyAlignment="1">
      <alignment horizontal="center" vertical="center" wrapText="1"/>
    </xf>
    <xf numFmtId="0" fontId="100" fillId="18" borderId="36" xfId="17" applyFont="1" applyFill="1" applyBorder="1" applyAlignment="1">
      <alignment horizontal="center" vertical="center"/>
    </xf>
    <xf numFmtId="0" fontId="78" fillId="18" borderId="36" xfId="17" applyFont="1" applyFill="1" applyBorder="1" applyAlignment="1">
      <alignment horizontal="left" vertical="center" wrapText="1"/>
    </xf>
    <xf numFmtId="49" fontId="78" fillId="0" borderId="36" xfId="17" applyNumberFormat="1" applyFont="1" applyBorder="1" applyAlignment="1">
      <alignment horizontal="center" vertical="center" wrapText="1"/>
    </xf>
    <xf numFmtId="1" fontId="80" fillId="0" borderId="3" xfId="19" applyNumberFormat="1" applyFont="1" applyBorder="1" applyAlignment="1">
      <alignment horizontal="center" vertical="center"/>
    </xf>
    <xf numFmtId="0" fontId="78" fillId="0" borderId="28" xfId="19" applyFont="1" applyBorder="1"/>
    <xf numFmtId="0" fontId="78" fillId="0" borderId="3" xfId="19" applyFont="1" applyBorder="1" applyAlignment="1">
      <alignment horizontal="center" vertical="center"/>
    </xf>
    <xf numFmtId="1" fontId="64" fillId="15" borderId="36" xfId="13" applyNumberFormat="1" applyFont="1" applyFill="1" applyBorder="1" applyAlignment="1">
      <alignment horizontal="center" vertical="center"/>
    </xf>
    <xf numFmtId="0" fontId="203" fillId="31" borderId="36" xfId="18" applyFont="1" applyFill="1" applyBorder="1" applyAlignment="1">
      <alignment horizontal="center" vertical="center" wrapText="1"/>
    </xf>
    <xf numFmtId="170" fontId="78" fillId="0" borderId="3" xfId="19" applyNumberFormat="1" applyFont="1" applyBorder="1" applyAlignment="1">
      <alignment horizontal="center" vertical="center"/>
    </xf>
    <xf numFmtId="0" fontId="0" fillId="7" borderId="7" xfId="0" applyFill="1" applyBorder="1" applyAlignment="1">
      <alignment horizontal="right"/>
    </xf>
    <xf numFmtId="0" fontId="0" fillId="4" borderId="0" xfId="0" applyFill="1"/>
    <xf numFmtId="0" fontId="0" fillId="28" borderId="7" xfId="0" applyFill="1" applyBorder="1" applyAlignment="1">
      <alignment horizontal="right"/>
    </xf>
    <xf numFmtId="0" fontId="0" fillId="28" borderId="0" xfId="0" applyFill="1" applyAlignment="1">
      <alignment horizontal="right"/>
    </xf>
    <xf numFmtId="0" fontId="0" fillId="68" borderId="0" xfId="0" applyFill="1"/>
    <xf numFmtId="0" fontId="0" fillId="68" borderId="7" xfId="0" applyFill="1" applyBorder="1" applyAlignment="1">
      <alignment horizontal="right"/>
    </xf>
    <xf numFmtId="0" fontId="0" fillId="68" borderId="0" xfId="0" applyFill="1" applyAlignment="1">
      <alignment horizontal="right"/>
    </xf>
    <xf numFmtId="0" fontId="63" fillId="7" borderId="7" xfId="0" applyFont="1" applyFill="1" applyBorder="1" applyAlignment="1">
      <alignment horizontal="right"/>
    </xf>
    <xf numFmtId="0" fontId="63" fillId="7" borderId="0" xfId="0" applyFont="1" applyFill="1" applyAlignment="1">
      <alignment horizontal="right"/>
    </xf>
    <xf numFmtId="0" fontId="63" fillId="20" borderId="0" xfId="0" applyFont="1" applyFill="1"/>
    <xf numFmtId="0" fontId="64" fillId="4" borderId="4" xfId="13" applyFont="1" applyFill="1" applyBorder="1" applyAlignment="1">
      <alignment horizontal="right" vertical="center"/>
    </xf>
    <xf numFmtId="0" fontId="64" fillId="4" borderId="18" xfId="13" applyFont="1" applyFill="1" applyBorder="1" applyAlignment="1">
      <alignment horizontal="right" vertical="center"/>
    </xf>
    <xf numFmtId="0" fontId="78" fillId="4" borderId="28" xfId="19" applyFont="1" applyFill="1" applyBorder="1" applyAlignment="1">
      <alignment vertical="center"/>
    </xf>
    <xf numFmtId="0" fontId="64" fillId="4" borderId="23" xfId="13" applyFont="1" applyFill="1" applyBorder="1">
      <alignment horizontal="left" vertical="center"/>
    </xf>
    <xf numFmtId="0" fontId="64" fillId="4" borderId="54" xfId="13" applyFont="1" applyFill="1" applyBorder="1">
      <alignment horizontal="left" vertical="center"/>
    </xf>
    <xf numFmtId="0" fontId="78" fillId="4" borderId="55" xfId="19" applyFont="1" applyFill="1" applyBorder="1" applyAlignment="1">
      <alignment vertical="center"/>
    </xf>
    <xf numFmtId="0" fontId="64" fillId="4" borderId="16" xfId="13" applyFont="1" applyFill="1" applyBorder="1">
      <alignment horizontal="left" vertical="center"/>
    </xf>
    <xf numFmtId="0" fontId="78" fillId="4" borderId="23" xfId="19" applyFont="1" applyFill="1" applyBorder="1" applyAlignment="1">
      <alignment vertical="center"/>
    </xf>
    <xf numFmtId="0" fontId="78" fillId="4" borderId="54" xfId="19" applyFont="1" applyFill="1" applyBorder="1" applyAlignment="1">
      <alignment horizontal="right" vertical="center"/>
    </xf>
    <xf numFmtId="0" fontId="90" fillId="16" borderId="3" xfId="0" applyFont="1" applyFill="1" applyBorder="1" applyAlignment="1">
      <alignment horizontal="center"/>
    </xf>
    <xf numFmtId="0" fontId="208" fillId="0" borderId="0" xfId="12" applyFont="1" applyAlignment="1">
      <alignment horizontal="center" vertical="center"/>
    </xf>
    <xf numFmtId="0" fontId="209" fillId="0" borderId="0" xfId="16" applyFont="1" applyAlignment="1">
      <alignment horizontal="left" vertical="center"/>
    </xf>
    <xf numFmtId="0" fontId="210" fillId="0" borderId="0" xfId="13" applyFont="1">
      <alignment horizontal="left" vertical="center"/>
    </xf>
    <xf numFmtId="0" fontId="210" fillId="0" borderId="0" xfId="15" applyFont="1"/>
    <xf numFmtId="0" fontId="211" fillId="0" borderId="0" xfId="12" applyFont="1" applyAlignment="1">
      <alignment vertical="center" wrapText="1"/>
    </xf>
    <xf numFmtId="0" fontId="208" fillId="0" borderId="0" xfId="12" applyFont="1">
      <alignment vertical="center"/>
    </xf>
    <xf numFmtId="0" fontId="212" fillId="0" borderId="0" xfId="12" applyFont="1">
      <alignment vertical="center"/>
    </xf>
    <xf numFmtId="0" fontId="213" fillId="0" borderId="0" xfId="15" applyFont="1" applyAlignment="1">
      <alignment vertical="center"/>
    </xf>
    <xf numFmtId="0" fontId="214" fillId="0" borderId="0" xfId="12" applyFont="1">
      <alignment vertical="center"/>
    </xf>
    <xf numFmtId="0" fontId="215" fillId="0" borderId="0" xfId="12" applyFont="1">
      <alignment vertical="center"/>
    </xf>
    <xf numFmtId="0" fontId="216" fillId="0" borderId="0" xfId="17" applyFont="1" applyAlignment="1">
      <alignment horizontal="center" vertical="center"/>
    </xf>
    <xf numFmtId="0" fontId="216" fillId="0" borderId="0" xfId="17" applyFont="1">
      <alignment horizontal="left" vertical="center"/>
    </xf>
    <xf numFmtId="0" fontId="216" fillId="0" borderId="0" xfId="17" applyFont="1" applyAlignment="1">
      <alignment horizontal="left" vertical="center" wrapText="1"/>
    </xf>
    <xf numFmtId="0" fontId="217" fillId="24" borderId="42" xfId="18" applyFont="1" applyFill="1" applyBorder="1">
      <alignment horizontal="center" vertical="center"/>
    </xf>
    <xf numFmtId="0" fontId="217" fillId="0" borderId="0" xfId="18" applyFont="1">
      <alignment horizontal="center" vertical="center"/>
    </xf>
    <xf numFmtId="0" fontId="217" fillId="24" borderId="34" xfId="18" applyFont="1" applyFill="1" applyBorder="1">
      <alignment horizontal="center" vertical="center"/>
    </xf>
    <xf numFmtId="0" fontId="217" fillId="24" borderId="36" xfId="18" applyFont="1" applyFill="1" applyBorder="1" applyAlignment="1">
      <alignment horizontal="center" vertical="center" wrapText="1"/>
    </xf>
    <xf numFmtId="0" fontId="217" fillId="30" borderId="36" xfId="18" applyFont="1" applyFill="1" applyBorder="1">
      <alignment horizontal="center" vertical="center"/>
    </xf>
    <xf numFmtId="0" fontId="217" fillId="30" borderId="36" xfId="18" applyFont="1" applyFill="1" applyBorder="1" applyAlignment="1">
      <alignment horizontal="center" vertical="center" wrapText="1"/>
    </xf>
    <xf numFmtId="0" fontId="217" fillId="33" borderId="36" xfId="17" applyFont="1" applyFill="1" applyBorder="1" applyAlignment="1">
      <alignment horizontal="center" vertical="center"/>
    </xf>
    <xf numFmtId="0" fontId="217" fillId="0" borderId="48" xfId="18" applyFont="1" applyBorder="1" applyAlignment="1">
      <alignment horizontal="center" vertical="center" wrapText="1"/>
    </xf>
    <xf numFmtId="0" fontId="216" fillId="0" borderId="36" xfId="17" applyFont="1" applyBorder="1" applyAlignment="1">
      <alignment horizontal="center" vertical="center"/>
    </xf>
    <xf numFmtId="0" fontId="216" fillId="0" borderId="36" xfId="17" applyFont="1" applyBorder="1" applyAlignment="1">
      <alignment horizontal="left" vertical="center" wrapText="1"/>
    </xf>
    <xf numFmtId="49" fontId="219" fillId="0" borderId="36" xfId="17" applyNumberFormat="1" applyFont="1" applyBorder="1" applyAlignment="1">
      <alignment horizontal="center" vertical="center" wrapText="1"/>
    </xf>
    <xf numFmtId="0" fontId="217" fillId="18" borderId="36" xfId="17" applyFont="1" applyFill="1" applyBorder="1" applyAlignment="1">
      <alignment horizontal="center" vertical="center"/>
    </xf>
    <xf numFmtId="0" fontId="216" fillId="18" borderId="36" xfId="17" applyFont="1" applyFill="1" applyBorder="1" applyAlignment="1">
      <alignment horizontal="left" vertical="center" wrapText="1"/>
    </xf>
    <xf numFmtId="0" fontId="217" fillId="0" borderId="0" xfId="18" applyFont="1" applyAlignment="1">
      <alignment horizontal="right" vertical="center"/>
    </xf>
    <xf numFmtId="165" fontId="217" fillId="0" borderId="36" xfId="18" applyNumberFormat="1" applyFont="1" applyBorder="1">
      <alignment horizontal="center" vertical="center"/>
    </xf>
    <xf numFmtId="0" fontId="217" fillId="0" borderId="0" xfId="18" applyFont="1" applyAlignment="1">
      <alignment horizontal="right" vertical="center" wrapText="1"/>
    </xf>
    <xf numFmtId="0" fontId="216" fillId="0" borderId="0" xfId="17" applyFont="1" applyAlignment="1">
      <alignment horizontal="center" vertical="center" wrapText="1"/>
    </xf>
    <xf numFmtId="49" fontId="216" fillId="0" borderId="36" xfId="17" applyNumberFormat="1" applyFont="1" applyBorder="1" applyAlignment="1">
      <alignment horizontal="center" vertical="center" wrapText="1"/>
    </xf>
    <xf numFmtId="0" fontId="216" fillId="0" borderId="36" xfId="17" applyFont="1" applyBorder="1" applyAlignment="1">
      <alignment vertical="center" wrapText="1"/>
    </xf>
    <xf numFmtId="0" fontId="216" fillId="0" borderId="0" xfId="17" applyFont="1" applyAlignment="1">
      <alignment horizontal="right" vertical="center"/>
    </xf>
    <xf numFmtId="1" fontId="216" fillId="0" borderId="7" xfId="17" applyNumberFormat="1" applyFont="1" applyBorder="1" applyAlignment="1">
      <alignment horizontal="center" vertical="center"/>
    </xf>
    <xf numFmtId="1" fontId="216" fillId="0" borderId="6" xfId="17" applyNumberFormat="1" applyFont="1" applyBorder="1" applyAlignment="1">
      <alignment horizontal="center" vertical="center"/>
    </xf>
    <xf numFmtId="165" fontId="216" fillId="0" borderId="0" xfId="17" applyNumberFormat="1" applyFont="1" applyAlignment="1">
      <alignment horizontal="center" vertical="center"/>
    </xf>
    <xf numFmtId="0" fontId="216" fillId="0" borderId="0" xfId="17" applyFont="1" applyAlignment="1">
      <alignment horizontal="left" vertical="top"/>
    </xf>
    <xf numFmtId="0" fontId="64" fillId="15" borderId="20" xfId="0" applyFont="1" applyFill="1" applyBorder="1" applyAlignment="1">
      <alignment horizontal="center"/>
    </xf>
    <xf numFmtId="0" fontId="64" fillId="15" borderId="241" xfId="0" applyFont="1" applyFill="1" applyBorder="1" applyAlignment="1">
      <alignment horizontal="center"/>
    </xf>
    <xf numFmtId="0" fontId="64" fillId="15" borderId="16" xfId="0" applyFont="1" applyFill="1" applyBorder="1" applyAlignment="1">
      <alignment horizontal="center"/>
    </xf>
    <xf numFmtId="0" fontId="64" fillId="15" borderId="54" xfId="0" applyFont="1" applyFill="1" applyBorder="1"/>
    <xf numFmtId="0" fontId="78" fillId="0" borderId="0" xfId="19" applyFont="1" applyAlignment="1">
      <alignment horizontal="right" vertical="center"/>
    </xf>
    <xf numFmtId="0" fontId="64" fillId="15" borderId="4" xfId="0" applyFont="1" applyFill="1" applyBorder="1"/>
    <xf numFmtId="0" fontId="73" fillId="15" borderId="4" xfId="0" applyFont="1" applyFill="1" applyBorder="1"/>
    <xf numFmtId="0" fontId="0" fillId="15" borderId="0" xfId="0" applyFill="1" applyAlignment="1">
      <alignment horizontal="right" vertical="center"/>
    </xf>
    <xf numFmtId="0" fontId="64" fillId="20" borderId="3" xfId="0" applyFont="1" applyFill="1" applyBorder="1"/>
    <xf numFmtId="0" fontId="201" fillId="0" borderId="0" xfId="19" applyFont="1" applyAlignment="1">
      <alignment vertical="center" wrapText="1"/>
    </xf>
    <xf numFmtId="0" fontId="64" fillId="17" borderId="3" xfId="0" applyFont="1" applyFill="1" applyBorder="1"/>
    <xf numFmtId="0" fontId="64" fillId="17" borderId="3" xfId="0" applyFont="1" applyFill="1" applyBorder="1" applyAlignment="1">
      <alignment horizontal="center"/>
    </xf>
    <xf numFmtId="14" fontId="221" fillId="15" borderId="0" xfId="0" applyNumberFormat="1" applyFont="1" applyFill="1" applyAlignment="1">
      <alignment horizontal="center" vertical="center"/>
    </xf>
    <xf numFmtId="0" fontId="38" fillId="3" borderId="0" xfId="7" applyAlignment="1">
      <alignment vertical="center" wrapText="1"/>
    </xf>
    <xf numFmtId="0" fontId="38" fillId="3" borderId="0" xfId="7" applyAlignment="1">
      <alignment vertical="center"/>
    </xf>
    <xf numFmtId="0" fontId="0" fillId="4" borderId="0" xfId="0" applyFill="1" applyAlignment="1">
      <alignment horizontal="left"/>
    </xf>
    <xf numFmtId="0" fontId="222" fillId="69" borderId="0" xfId="0" applyFont="1" applyFill="1"/>
    <xf numFmtId="0" fontId="223" fillId="69" borderId="0" xfId="0" applyFont="1" applyFill="1" applyAlignment="1">
      <alignment horizontal="center"/>
    </xf>
    <xf numFmtId="0" fontId="223" fillId="69" borderId="0" xfId="0" applyFont="1" applyFill="1" applyAlignment="1">
      <alignment horizontal="center" wrapText="1"/>
    </xf>
    <xf numFmtId="0" fontId="222" fillId="69" borderId="52" xfId="0" applyFont="1" applyFill="1" applyBorder="1" applyAlignment="1">
      <alignment horizontal="center" vertical="top" wrapText="1"/>
    </xf>
    <xf numFmtId="0" fontId="222" fillId="69" borderId="52" xfId="0" applyFont="1" applyFill="1" applyBorder="1" applyAlignment="1">
      <alignment horizontal="left" vertical="top" wrapText="1"/>
    </xf>
    <xf numFmtId="0" fontId="222" fillId="69" borderId="0" xfId="0" applyFont="1" applyFill="1" applyAlignment="1">
      <alignment horizontal="center" vertical="top"/>
    </xf>
    <xf numFmtId="0" fontId="222" fillId="69" borderId="0" xfId="0" applyFont="1" applyFill="1" applyAlignment="1">
      <alignment vertical="top" wrapText="1"/>
    </xf>
    <xf numFmtId="0" fontId="222" fillId="69" borderId="0" xfId="0" applyFont="1" applyFill="1" applyAlignment="1">
      <alignment horizontal="right"/>
    </xf>
    <xf numFmtId="0" fontId="222" fillId="69" borderId="4" xfId="0" applyFont="1" applyFill="1" applyBorder="1"/>
    <xf numFmtId="0" fontId="222" fillId="69" borderId="18" xfId="0" applyFont="1" applyFill="1" applyBorder="1" applyAlignment="1">
      <alignment horizontal="right"/>
    </xf>
    <xf numFmtId="0" fontId="222" fillId="69" borderId="28" xfId="0" applyFont="1" applyFill="1" applyBorder="1"/>
    <xf numFmtId="0" fontId="222" fillId="69" borderId="21" xfId="0" applyFont="1" applyFill="1" applyBorder="1" applyAlignment="1">
      <alignment horizontal="right"/>
    </xf>
    <xf numFmtId="0" fontId="222" fillId="69" borderId="23" xfId="0" applyFont="1" applyFill="1" applyBorder="1"/>
    <xf numFmtId="0" fontId="223" fillId="69" borderId="5" xfId="0" applyFont="1" applyFill="1" applyBorder="1"/>
    <xf numFmtId="0" fontId="73" fillId="0" borderId="0" xfId="19" applyFont="1" applyAlignment="1">
      <alignment horizontal="left" vertical="center"/>
    </xf>
    <xf numFmtId="0" fontId="73" fillId="0" borderId="0" xfId="19" applyFont="1" applyAlignment="1">
      <alignment vertical="center"/>
    </xf>
    <xf numFmtId="0" fontId="64" fillId="0" borderId="0" xfId="19" applyFont="1" applyAlignment="1">
      <alignment horizontal="left" vertical="center"/>
    </xf>
    <xf numFmtId="0" fontId="73" fillId="0" borderId="0" xfId="18" applyFont="1">
      <alignment horizontal="center" vertical="center"/>
    </xf>
    <xf numFmtId="0" fontId="73" fillId="0" borderId="37" xfId="13" applyFont="1" applyBorder="1" applyAlignment="1">
      <alignment horizontal="left" vertical="center" wrapText="1"/>
    </xf>
    <xf numFmtId="0" fontId="226" fillId="0" borderId="51" xfId="13" applyFont="1" applyBorder="1" applyAlignment="1">
      <alignment horizontal="center" vertical="center" wrapText="1"/>
    </xf>
    <xf numFmtId="0" fontId="73" fillId="0" borderId="35" xfId="13" applyFont="1" applyBorder="1" applyAlignment="1">
      <alignment horizontal="left" vertical="center" wrapText="1"/>
    </xf>
    <xf numFmtId="0" fontId="73" fillId="0" borderId="37" xfId="19" applyFont="1" applyBorder="1" applyAlignment="1">
      <alignment horizontal="center" vertical="center"/>
    </xf>
    <xf numFmtId="0" fontId="226" fillId="0" borderId="51" xfId="19" applyFont="1" applyBorder="1" applyAlignment="1">
      <alignment horizontal="center" vertical="center"/>
    </xf>
    <xf numFmtId="0" fontId="64" fillId="0" borderId="35" xfId="13" applyFont="1" applyBorder="1" applyAlignment="1">
      <alignment horizontal="left" vertical="center" wrapText="1"/>
    </xf>
    <xf numFmtId="0" fontId="143" fillId="0" borderId="0" xfId="19" applyFont="1" applyAlignment="1">
      <alignment horizontal="center" vertical="center"/>
    </xf>
    <xf numFmtId="0" fontId="64" fillId="0" borderId="0" xfId="19" applyFont="1" applyAlignment="1">
      <alignment vertical="center" wrapText="1"/>
    </xf>
    <xf numFmtId="0" fontId="73" fillId="0" borderId="0" xfId="18" applyFont="1" applyAlignment="1">
      <alignment horizontal="center" vertical="center" wrapText="1"/>
    </xf>
    <xf numFmtId="0" fontId="227" fillId="4" borderId="20" xfId="15" applyFont="1" applyFill="1" applyBorder="1" applyAlignment="1">
      <alignment horizontal="center" vertical="center" wrapText="1"/>
    </xf>
    <xf numFmtId="0" fontId="112" fillId="4" borderId="241" xfId="15" applyFont="1" applyFill="1" applyBorder="1" applyAlignment="1">
      <alignment horizontal="center" vertical="center" wrapText="1"/>
    </xf>
    <xf numFmtId="0" fontId="227" fillId="4" borderId="241" xfId="15" applyFont="1" applyFill="1" applyBorder="1" applyAlignment="1">
      <alignment horizontal="center" vertical="center" wrapText="1"/>
    </xf>
    <xf numFmtId="0" fontId="227" fillId="4" borderId="16" xfId="15" applyFont="1" applyFill="1" applyBorder="1" applyAlignment="1">
      <alignment horizontal="center" vertical="center"/>
    </xf>
    <xf numFmtId="0" fontId="64" fillId="36" borderId="36" xfId="18" applyFont="1" applyFill="1" applyBorder="1" applyAlignment="1">
      <alignment vertical="center" wrapText="1"/>
    </xf>
    <xf numFmtId="0" fontId="78" fillId="37" borderId="42" xfId="18" applyFont="1" applyFill="1" applyBorder="1" applyAlignment="1">
      <alignment horizontal="center" vertical="center" wrapText="1"/>
    </xf>
    <xf numFmtId="0" fontId="78" fillId="24" borderId="36" xfId="18" applyFont="1" applyFill="1" applyBorder="1" applyAlignment="1">
      <alignment horizontal="center" vertical="center" wrapText="1"/>
    </xf>
    <xf numFmtId="0" fontId="78" fillId="30" borderId="36" xfId="18" applyFont="1" applyFill="1" applyBorder="1" applyAlignment="1">
      <alignment horizontal="center" vertical="center" wrapText="1"/>
    </xf>
    <xf numFmtId="0" fontId="78" fillId="31" borderId="36" xfId="18" applyFont="1" applyFill="1" applyBorder="1" applyAlignment="1">
      <alignment horizontal="center" vertical="center" wrapText="1"/>
    </xf>
    <xf numFmtId="1" fontId="64" fillId="0" borderId="54" xfId="19" applyNumberFormat="1" applyFont="1" applyBorder="1" applyAlignment="1">
      <alignment horizontal="center" vertical="center"/>
    </xf>
    <xf numFmtId="1" fontId="64" fillId="0" borderId="18" xfId="19" applyNumberFormat="1" applyFont="1" applyBorder="1" applyAlignment="1">
      <alignment horizontal="center" vertical="center"/>
    </xf>
    <xf numFmtId="0" fontId="64" fillId="0" borderId="242" xfId="19" applyFont="1" applyBorder="1" applyAlignment="1">
      <alignment vertical="center"/>
    </xf>
    <xf numFmtId="0" fontId="64" fillId="0" borderId="242" xfId="13" applyFont="1" applyBorder="1">
      <alignment horizontal="left" vertical="center"/>
    </xf>
    <xf numFmtId="0" fontId="64" fillId="0" borderId="146" xfId="19" applyFont="1" applyBorder="1" applyAlignment="1">
      <alignment vertical="center"/>
    </xf>
    <xf numFmtId="0" fontId="64" fillId="0" borderId="146" xfId="19" applyFont="1" applyBorder="1" applyAlignment="1">
      <alignment horizontal="center" vertical="center"/>
    </xf>
    <xf numFmtId="0" fontId="64" fillId="0" borderId="242" xfId="19" applyFont="1" applyBorder="1" applyAlignment="1">
      <alignment horizontal="left" vertical="center"/>
    </xf>
    <xf numFmtId="0" fontId="64" fillId="0" borderId="243" xfId="19" applyFont="1" applyBorder="1" applyAlignment="1">
      <alignment vertical="center"/>
    </xf>
    <xf numFmtId="0" fontId="64" fillId="15" borderId="4" xfId="0" applyFont="1" applyFill="1" applyBorder="1" applyAlignment="1">
      <alignment horizontal="center"/>
    </xf>
    <xf numFmtId="0" fontId="64" fillId="15" borderId="6" xfId="0" applyFont="1" applyFill="1" applyBorder="1" applyAlignment="1">
      <alignment horizontal="center"/>
    </xf>
    <xf numFmtId="0" fontId="64" fillId="51" borderId="3" xfId="0" applyFont="1" applyFill="1" applyBorder="1"/>
    <xf numFmtId="14" fontId="64" fillId="15" borderId="3" xfId="0" applyNumberFormat="1" applyFont="1" applyFill="1" applyBorder="1" applyAlignment="1">
      <alignment horizontal="center"/>
    </xf>
    <xf numFmtId="0" fontId="122" fillId="40" borderId="7" xfId="12" applyFont="1" applyFill="1" applyBorder="1" applyAlignment="1">
      <alignment vertical="top" wrapText="1"/>
    </xf>
    <xf numFmtId="0" fontId="78" fillId="40" borderId="7" xfId="19" applyFont="1" applyFill="1" applyBorder="1" applyAlignment="1">
      <alignment horizontal="center" vertical="top"/>
    </xf>
    <xf numFmtId="0" fontId="72" fillId="40" borderId="7" xfId="19" applyFont="1" applyFill="1" applyBorder="1" applyAlignment="1">
      <alignment vertical="top"/>
    </xf>
    <xf numFmtId="0" fontId="72" fillId="40" borderId="7" xfId="19" applyFont="1" applyFill="1" applyBorder="1" applyAlignment="1">
      <alignment horizontal="left" vertical="top"/>
    </xf>
    <xf numFmtId="0" fontId="68" fillId="40" borderId="23" xfId="19" applyFont="1" applyFill="1" applyBorder="1" applyAlignment="1">
      <alignment horizontal="left" vertical="top"/>
    </xf>
    <xf numFmtId="0" fontId="107" fillId="40" borderId="24" xfId="12" applyFont="1" applyFill="1" applyBorder="1" applyAlignment="1">
      <alignment vertical="top" wrapText="1"/>
    </xf>
    <xf numFmtId="0" fontId="78" fillId="40" borderId="24" xfId="19" applyFont="1" applyFill="1" applyBorder="1" applyAlignment="1">
      <alignment horizontal="center" vertical="top"/>
    </xf>
    <xf numFmtId="0" fontId="76" fillId="40" borderId="24" xfId="15" applyFont="1" applyFill="1" applyBorder="1" applyAlignment="1">
      <alignment vertical="top"/>
    </xf>
    <xf numFmtId="0" fontId="72" fillId="40" borderId="24" xfId="18" applyFont="1" applyFill="1" applyBorder="1" applyAlignment="1">
      <alignment horizontal="left" vertical="top"/>
    </xf>
    <xf numFmtId="0" fontId="72" fillId="40" borderId="24" xfId="15" applyFont="1" applyFill="1" applyBorder="1" applyAlignment="1">
      <alignment horizontal="left" vertical="top"/>
    </xf>
    <xf numFmtId="49" fontId="84" fillId="40" borderId="24" xfId="13" applyNumberFormat="1" applyFont="1" applyFill="1" applyBorder="1" applyAlignment="1">
      <alignment horizontal="left" vertical="top"/>
    </xf>
    <xf numFmtId="0" fontId="72" fillId="40" borderId="24" xfId="19" applyFont="1" applyFill="1" applyBorder="1" applyAlignment="1">
      <alignment horizontal="left" vertical="top"/>
    </xf>
    <xf numFmtId="0" fontId="68" fillId="40" borderId="55" xfId="19" applyFont="1" applyFill="1" applyBorder="1" applyAlignment="1">
      <alignment horizontal="left" vertical="top"/>
    </xf>
    <xf numFmtId="0" fontId="0" fillId="20" borderId="0" xfId="0" applyFill="1" applyAlignment="1">
      <alignment vertical="center" wrapText="1"/>
    </xf>
    <xf numFmtId="0" fontId="64" fillId="20" borderId="20" xfId="0" applyFont="1" applyFill="1" applyBorder="1"/>
    <xf numFmtId="0" fontId="64" fillId="20" borderId="241" xfId="0" applyFont="1" applyFill="1" applyBorder="1"/>
    <xf numFmtId="0" fontId="64" fillId="20" borderId="16" xfId="0" applyFont="1" applyFill="1" applyBorder="1"/>
    <xf numFmtId="0" fontId="207" fillId="15" borderId="54" xfId="24" applyFont="1" applyFill="1" applyBorder="1"/>
    <xf numFmtId="0" fontId="207" fillId="15" borderId="55" xfId="24" applyFont="1" applyFill="1" applyBorder="1"/>
    <xf numFmtId="0" fontId="207" fillId="15" borderId="21" xfId="24" applyFont="1" applyFill="1" applyBorder="1"/>
    <xf numFmtId="0" fontId="207" fillId="15" borderId="23" xfId="24" applyFont="1" applyFill="1" applyBorder="1"/>
    <xf numFmtId="0" fontId="25" fillId="15" borderId="54" xfId="24" applyFill="1" applyBorder="1"/>
    <xf numFmtId="0" fontId="25" fillId="15" borderId="24" xfId="24" applyFill="1" applyBorder="1" applyAlignment="1">
      <alignment horizontal="left" vertical="center"/>
    </xf>
    <xf numFmtId="0" fontId="25" fillId="15" borderId="24" xfId="24" applyFill="1" applyBorder="1" applyAlignment="1">
      <alignment wrapText="1"/>
    </xf>
    <xf numFmtId="0" fontId="25" fillId="15" borderId="55" xfId="24" applyFill="1" applyBorder="1"/>
    <xf numFmtId="0" fontId="25" fillId="15" borderId="18" xfId="24" applyFill="1" applyBorder="1"/>
    <xf numFmtId="0" fontId="25" fillId="15" borderId="28" xfId="24" applyFill="1" applyBorder="1"/>
    <xf numFmtId="0" fontId="25" fillId="15" borderId="28" xfId="24" applyFill="1" applyBorder="1" applyAlignment="1">
      <alignment wrapText="1"/>
    </xf>
    <xf numFmtId="0" fontId="25" fillId="15" borderId="21" xfId="24" applyFill="1" applyBorder="1"/>
    <xf numFmtId="0" fontId="25" fillId="15" borderId="7" xfId="24" applyFill="1" applyBorder="1" applyAlignment="1">
      <alignment horizontal="left" vertical="center"/>
    </xf>
    <xf numFmtId="0" fontId="25" fillId="15" borderId="7" xfId="24" applyFill="1" applyBorder="1" applyAlignment="1">
      <alignment wrapText="1"/>
    </xf>
    <xf numFmtId="0" fontId="25" fillId="15" borderId="23" xfId="24" applyFill="1" applyBorder="1" applyAlignment="1">
      <alignment wrapText="1"/>
    </xf>
    <xf numFmtId="0" fontId="25" fillId="15" borderId="3" xfId="24" applyFill="1" applyBorder="1" applyAlignment="1">
      <alignment horizontal="center" wrapText="1"/>
    </xf>
    <xf numFmtId="0" fontId="25" fillId="15" borderId="3" xfId="24" applyFill="1" applyBorder="1" applyAlignment="1">
      <alignment horizontal="center"/>
    </xf>
    <xf numFmtId="0" fontId="207" fillId="15" borderId="18" xfId="24" applyFont="1" applyFill="1" applyBorder="1" applyAlignment="1">
      <alignment horizontal="right"/>
    </xf>
    <xf numFmtId="0" fontId="207" fillId="19" borderId="3" xfId="24" applyFont="1" applyFill="1" applyBorder="1" applyAlignment="1" applyProtection="1">
      <alignment horizontal="center" vertical="center"/>
      <protection locked="0"/>
    </xf>
    <xf numFmtId="0" fontId="68" fillId="15" borderId="0" xfId="33" applyFont="1" applyFill="1"/>
    <xf numFmtId="0" fontId="72" fillId="15" borderId="0" xfId="33" applyFont="1" applyFill="1"/>
    <xf numFmtId="0" fontId="72" fillId="15" borderId="244" xfId="33" applyFont="1" applyFill="1" applyBorder="1"/>
    <xf numFmtId="0" fontId="72" fillId="15" borderId="245" xfId="33" applyFont="1" applyFill="1" applyBorder="1"/>
    <xf numFmtId="0" fontId="72" fillId="15" borderId="246" xfId="33" applyFont="1" applyFill="1" applyBorder="1"/>
    <xf numFmtId="0" fontId="72" fillId="15" borderId="0" xfId="33" applyFont="1" applyFill="1" applyAlignment="1">
      <alignment wrapText="1"/>
    </xf>
    <xf numFmtId="0" fontId="72" fillId="15" borderId="247" xfId="33" applyFont="1" applyFill="1" applyBorder="1" applyAlignment="1">
      <alignment wrapText="1"/>
    </xf>
    <xf numFmtId="0" fontId="72" fillId="15" borderId="248" xfId="33" applyFont="1" applyFill="1" applyBorder="1" applyAlignment="1">
      <alignment wrapText="1"/>
    </xf>
    <xf numFmtId="0" fontId="72" fillId="15" borderId="247" xfId="33" applyFont="1" applyFill="1" applyBorder="1"/>
    <xf numFmtId="0" fontId="72" fillId="15" borderId="248" xfId="33" applyFont="1" applyFill="1" applyBorder="1"/>
    <xf numFmtId="0" fontId="72" fillId="15" borderId="247" xfId="33" applyFont="1" applyFill="1" applyBorder="1" applyAlignment="1">
      <alignment vertical="center"/>
    </xf>
    <xf numFmtId="0" fontId="72" fillId="15" borderId="248" xfId="33" applyFont="1" applyFill="1" applyBorder="1" applyAlignment="1">
      <alignment vertical="center"/>
    </xf>
    <xf numFmtId="0" fontId="72" fillId="15" borderId="0" xfId="33" applyFont="1" applyFill="1" applyAlignment="1">
      <alignment vertical="center"/>
    </xf>
    <xf numFmtId="0" fontId="72" fillId="15" borderId="249" xfId="33" applyFont="1" applyFill="1" applyBorder="1"/>
    <xf numFmtId="0" fontId="72" fillId="15" borderId="250" xfId="33" applyFont="1" applyFill="1" applyBorder="1"/>
    <xf numFmtId="0" fontId="72" fillId="15" borderId="251" xfId="33" applyFont="1" applyFill="1" applyBorder="1"/>
    <xf numFmtId="168" fontId="102" fillId="15" borderId="3" xfId="6" applyNumberFormat="1" applyFont="1" applyFill="1" applyBorder="1" applyAlignment="1">
      <alignment vertical="center" wrapText="1"/>
    </xf>
    <xf numFmtId="0" fontId="102" fillId="20" borderId="3" xfId="6" applyFont="1" applyFill="1" applyBorder="1"/>
    <xf numFmtId="0" fontId="102" fillId="15" borderId="28" xfId="6" applyFont="1" applyFill="1" applyBorder="1" applyAlignment="1">
      <alignment horizontal="center"/>
    </xf>
    <xf numFmtId="0" fontId="103" fillId="15" borderId="28" xfId="6" applyFont="1" applyFill="1" applyBorder="1" applyAlignment="1">
      <alignment horizontal="left"/>
    </xf>
    <xf numFmtId="0" fontId="102" fillId="15" borderId="23" xfId="6" applyFont="1" applyFill="1" applyBorder="1" applyAlignment="1">
      <alignment horizontal="center" wrapText="1"/>
    </xf>
    <xf numFmtId="0" fontId="102" fillId="15" borderId="252" xfId="6" applyFont="1" applyFill="1" applyBorder="1" applyAlignment="1">
      <alignment horizontal="center" vertical="center"/>
    </xf>
    <xf numFmtId="0" fontId="102" fillId="15" borderId="253" xfId="6" applyFont="1" applyFill="1" applyBorder="1" applyAlignment="1">
      <alignment horizontal="center" vertical="center"/>
    </xf>
    <xf numFmtId="1" fontId="102" fillId="15" borderId="253" xfId="6" applyNumberFormat="1" applyFont="1" applyFill="1" applyBorder="1" applyAlignment="1">
      <alignment horizontal="center" vertical="center"/>
    </xf>
    <xf numFmtId="0" fontId="103" fillId="60" borderId="3" xfId="6" applyFont="1" applyFill="1" applyBorder="1" applyAlignment="1" applyProtection="1">
      <alignment horizontal="center"/>
      <protection locked="0"/>
    </xf>
    <xf numFmtId="0" fontId="229" fillId="31" borderId="36" xfId="18" applyFont="1" applyFill="1" applyBorder="1" applyAlignment="1">
      <alignment horizontal="center" vertical="center" wrapText="1"/>
    </xf>
    <xf numFmtId="168" fontId="102" fillId="10" borderId="31" xfId="6" applyNumberFormat="1" applyFont="1" applyFill="1" applyBorder="1" applyAlignment="1">
      <alignment vertical="center" textRotation="90"/>
    </xf>
    <xf numFmtId="0" fontId="145" fillId="15" borderId="0" xfId="0" applyFont="1" applyFill="1" applyAlignment="1">
      <alignment horizontal="center" vertical="center"/>
    </xf>
    <xf numFmtId="0" fontId="175" fillId="34" borderId="274" xfId="0" applyFont="1" applyFill="1" applyBorder="1" applyAlignment="1" applyProtection="1">
      <alignment horizontal="center"/>
      <protection locked="0"/>
    </xf>
    <xf numFmtId="0" fontId="175" fillId="34" borderId="275" xfId="0" applyFont="1" applyFill="1" applyBorder="1" applyAlignment="1" applyProtection="1">
      <alignment horizontal="center"/>
      <protection locked="0"/>
    </xf>
    <xf numFmtId="0" fontId="175" fillId="34" borderId="276" xfId="0" applyFont="1" applyFill="1" applyBorder="1" applyAlignment="1" applyProtection="1">
      <alignment horizontal="center"/>
      <protection locked="0"/>
    </xf>
    <xf numFmtId="14" fontId="70" fillId="35" borderId="277" xfId="0" applyNumberFormat="1" applyFont="1" applyFill="1" applyBorder="1" applyAlignment="1">
      <alignment horizontal="center"/>
    </xf>
    <xf numFmtId="14" fontId="70" fillId="35" borderId="278" xfId="0" applyNumberFormat="1" applyFont="1" applyFill="1" applyBorder="1" applyAlignment="1">
      <alignment horizontal="center"/>
    </xf>
    <xf numFmtId="14" fontId="70" fillId="35" borderId="279" xfId="0" applyNumberFormat="1" applyFont="1" applyFill="1" applyBorder="1" applyAlignment="1">
      <alignment horizontal="center"/>
    </xf>
    <xf numFmtId="0" fontId="175" fillId="34" borderId="280" xfId="0" applyFont="1" applyFill="1" applyBorder="1" applyAlignment="1" applyProtection="1">
      <alignment horizontal="center"/>
      <protection locked="0"/>
    </xf>
    <xf numFmtId="0" fontId="175" fillId="34" borderId="0" xfId="0" applyFont="1" applyFill="1" applyAlignment="1" applyProtection="1">
      <alignment horizontal="center"/>
      <protection locked="0"/>
    </xf>
    <xf numFmtId="0" fontId="175" fillId="34" borderId="281" xfId="0" applyFont="1" applyFill="1" applyBorder="1" applyAlignment="1" applyProtection="1">
      <alignment horizontal="center"/>
      <protection locked="0"/>
    </xf>
    <xf numFmtId="14" fontId="175" fillId="34" borderId="280" xfId="0" applyNumberFormat="1" applyFont="1" applyFill="1" applyBorder="1" applyAlignment="1" applyProtection="1">
      <alignment horizontal="center"/>
      <protection locked="0"/>
    </xf>
    <xf numFmtId="0" fontId="73" fillId="15" borderId="4" xfId="0" applyFont="1" applyFill="1" applyBorder="1" applyAlignment="1">
      <alignment horizontal="center"/>
    </xf>
    <xf numFmtId="0" fontId="73" fillId="15" borderId="5" xfId="0" applyFont="1" applyFill="1" applyBorder="1" applyAlignment="1">
      <alignment horizontal="center"/>
    </xf>
    <xf numFmtId="14" fontId="175" fillId="34" borderId="0" xfId="0" applyNumberFormat="1" applyFont="1" applyFill="1" applyAlignment="1" applyProtection="1">
      <alignment horizontal="center"/>
      <protection locked="0"/>
    </xf>
    <xf numFmtId="14" fontId="175" fillId="34" borderId="281" xfId="0" applyNumberFormat="1" applyFont="1" applyFill="1" applyBorder="1" applyAlignment="1" applyProtection="1">
      <alignment horizontal="center"/>
      <protection locked="0"/>
    </xf>
    <xf numFmtId="0" fontId="120" fillId="13" borderId="0" xfId="9" applyFont="1" applyFill="1" applyAlignment="1">
      <alignment horizontal="center" vertical="center"/>
    </xf>
    <xf numFmtId="0" fontId="64" fillId="15" borderId="4" xfId="0" applyFont="1" applyFill="1" applyBorder="1" applyAlignment="1">
      <alignment horizontal="center"/>
    </xf>
    <xf numFmtId="0" fontId="64" fillId="15" borderId="5" xfId="0" applyFont="1" applyFill="1" applyBorder="1" applyAlignment="1">
      <alignment horizontal="center"/>
    </xf>
    <xf numFmtId="0" fontId="67" fillId="28" borderId="43" xfId="0" applyFont="1" applyFill="1" applyBorder="1" applyAlignment="1">
      <alignment horizontal="center"/>
    </xf>
    <xf numFmtId="0" fontId="67" fillId="28" borderId="52" xfId="0" applyFont="1" applyFill="1" applyBorder="1" applyAlignment="1">
      <alignment horizontal="center"/>
    </xf>
    <xf numFmtId="0" fontId="67" fillId="28" borderId="41" xfId="0" applyFont="1" applyFill="1" applyBorder="1" applyAlignment="1">
      <alignment horizontal="center"/>
    </xf>
    <xf numFmtId="14" fontId="70" fillId="35" borderId="282" xfId="0" applyNumberFormat="1" applyFont="1" applyFill="1" applyBorder="1" applyAlignment="1">
      <alignment horizontal="center"/>
    </xf>
    <xf numFmtId="0" fontId="70" fillId="35" borderId="283" xfId="0" applyFont="1" applyFill="1" applyBorder="1" applyAlignment="1">
      <alignment horizontal="center"/>
    </xf>
    <xf numFmtId="0" fontId="70" fillId="35" borderId="284" xfId="0" applyFont="1" applyFill="1" applyBorder="1" applyAlignment="1">
      <alignment horizontal="center"/>
    </xf>
    <xf numFmtId="0" fontId="73" fillId="4" borderId="63" xfId="0" applyFont="1" applyFill="1" applyBorder="1" applyAlignment="1">
      <alignment horizontal="center"/>
    </xf>
    <xf numFmtId="0" fontId="73" fillId="4" borderId="0" xfId="0" applyFont="1" applyFill="1" applyAlignment="1">
      <alignment horizontal="center"/>
    </xf>
    <xf numFmtId="0" fontId="64" fillId="28" borderId="0" xfId="0" applyFont="1" applyFill="1" applyAlignment="1">
      <alignment horizontal="right"/>
    </xf>
    <xf numFmtId="0" fontId="69" fillId="15" borderId="254" xfId="0" applyFont="1" applyFill="1" applyBorder="1" applyAlignment="1">
      <alignment horizontal="center" vertical="center"/>
    </xf>
    <xf numFmtId="0" fontId="69" fillId="15" borderId="255" xfId="0" applyFont="1" applyFill="1" applyBorder="1" applyAlignment="1">
      <alignment horizontal="center" vertical="center"/>
    </xf>
    <xf numFmtId="0" fontId="69" fillId="15" borderId="256" xfId="0" applyFont="1" applyFill="1" applyBorder="1" applyAlignment="1">
      <alignment horizontal="center" vertical="center"/>
    </xf>
    <xf numFmtId="0" fontId="73" fillId="15" borderId="3" xfId="0" applyFont="1" applyFill="1" applyBorder="1" applyAlignment="1">
      <alignment horizontal="center" vertical="center"/>
    </xf>
    <xf numFmtId="0" fontId="117" fillId="15" borderId="0" xfId="0" applyFont="1" applyFill="1" applyAlignment="1">
      <alignment horizontal="center" vertical="center" textRotation="90"/>
    </xf>
    <xf numFmtId="0" fontId="176" fillId="34" borderId="266" xfId="0" applyFont="1" applyFill="1" applyBorder="1" applyAlignment="1" applyProtection="1">
      <alignment horizontal="center"/>
      <protection locked="0"/>
    </xf>
    <xf numFmtId="0" fontId="176" fillId="34" borderId="267" xfId="0" applyFont="1" applyFill="1" applyBorder="1" applyAlignment="1" applyProtection="1">
      <alignment horizontal="center"/>
      <protection locked="0"/>
    </xf>
    <xf numFmtId="0" fontId="176" fillId="34" borderId="268" xfId="0" applyFont="1" applyFill="1" applyBorder="1" applyAlignment="1" applyProtection="1">
      <alignment horizontal="center"/>
      <protection locked="0"/>
    </xf>
    <xf numFmtId="0" fontId="64" fillId="28" borderId="63" xfId="0" applyFont="1" applyFill="1" applyBorder="1" applyAlignment="1">
      <alignment horizontal="right"/>
    </xf>
    <xf numFmtId="0" fontId="64" fillId="28" borderId="0" xfId="0" applyFont="1" applyFill="1" applyAlignment="1">
      <alignment horizontal="right" vertical="center"/>
    </xf>
    <xf numFmtId="0" fontId="71" fillId="15" borderId="0" xfId="0" applyFont="1" applyFill="1" applyAlignment="1">
      <alignment horizontal="center"/>
    </xf>
    <xf numFmtId="0" fontId="64" fillId="28" borderId="262" xfId="0" applyFont="1" applyFill="1" applyBorder="1" applyAlignment="1">
      <alignment horizontal="right" vertical="center"/>
    </xf>
    <xf numFmtId="14" fontId="176" fillId="34" borderId="269" xfId="0" applyNumberFormat="1" applyFont="1" applyFill="1" applyBorder="1" applyAlignment="1" applyProtection="1">
      <alignment horizontal="center"/>
      <protection locked="0"/>
    </xf>
    <xf numFmtId="0" fontId="176" fillId="34" borderId="270" xfId="0" applyFont="1" applyFill="1" applyBorder="1" applyAlignment="1" applyProtection="1">
      <alignment horizontal="center"/>
      <protection locked="0"/>
    </xf>
    <xf numFmtId="0" fontId="176" fillId="34" borderId="271" xfId="0" applyFont="1" applyFill="1" applyBorder="1" applyAlignment="1" applyProtection="1">
      <alignment horizontal="center"/>
      <protection locked="0"/>
    </xf>
    <xf numFmtId="0" fontId="67" fillId="28" borderId="60" xfId="0" applyFont="1" applyFill="1" applyBorder="1" applyAlignment="1">
      <alignment horizontal="center"/>
    </xf>
    <xf numFmtId="0" fontId="67" fillId="28" borderId="61" xfId="0" applyFont="1" applyFill="1" applyBorder="1" applyAlignment="1">
      <alignment horizontal="center"/>
    </xf>
    <xf numFmtId="0" fontId="67" fillId="28" borderId="62" xfId="0" applyFont="1" applyFill="1" applyBorder="1" applyAlignment="1">
      <alignment horizontal="center"/>
    </xf>
    <xf numFmtId="0" fontId="69" fillId="28" borderId="254" xfId="0" applyFont="1" applyFill="1" applyBorder="1" applyAlignment="1">
      <alignment horizontal="center" vertical="center"/>
    </xf>
    <xf numFmtId="0" fontId="69" fillId="28" borderId="256" xfId="0" applyFont="1" applyFill="1" applyBorder="1" applyAlignment="1">
      <alignment horizontal="center" vertical="center"/>
    </xf>
    <xf numFmtId="1" fontId="64" fillId="28" borderId="7" xfId="0" applyNumberFormat="1" applyFont="1" applyFill="1" applyBorder="1" applyAlignment="1">
      <alignment horizontal="center" vertical="center"/>
    </xf>
    <xf numFmtId="0" fontId="64" fillId="28" borderId="0" xfId="0" applyFont="1" applyFill="1" applyAlignment="1">
      <alignment horizontal="center"/>
    </xf>
    <xf numFmtId="14" fontId="69" fillId="15" borderId="263" xfId="0" applyNumberFormat="1" applyFont="1" applyFill="1" applyBorder="1" applyAlignment="1">
      <alignment horizontal="center" vertical="center"/>
    </xf>
    <xf numFmtId="14" fontId="69" fillId="15" borderId="264" xfId="0" applyNumberFormat="1" applyFont="1" applyFill="1" applyBorder="1" applyAlignment="1">
      <alignment horizontal="center" vertical="center"/>
    </xf>
    <xf numFmtId="14" fontId="69" fillId="15" borderId="265" xfId="0" applyNumberFormat="1" applyFont="1" applyFill="1" applyBorder="1" applyAlignment="1">
      <alignment horizontal="center" vertical="center"/>
    </xf>
    <xf numFmtId="9" fontId="64" fillId="28" borderId="4" xfId="0" applyNumberFormat="1" applyFont="1" applyFill="1" applyBorder="1" applyAlignment="1">
      <alignment horizontal="center" vertical="center"/>
    </xf>
    <xf numFmtId="9" fontId="64" fillId="28" borderId="6" xfId="0" applyNumberFormat="1" applyFont="1" applyFill="1" applyBorder="1" applyAlignment="1">
      <alignment horizontal="center" vertical="center"/>
    </xf>
    <xf numFmtId="9" fontId="64" fillId="28" borderId="5" xfId="0" applyNumberFormat="1" applyFont="1" applyFill="1" applyBorder="1" applyAlignment="1">
      <alignment horizontal="center" vertical="center"/>
    </xf>
    <xf numFmtId="0" fontId="175" fillId="34" borderId="272" xfId="0" applyFont="1" applyFill="1" applyBorder="1" applyAlignment="1" applyProtection="1">
      <alignment horizontal="center"/>
      <protection locked="0"/>
    </xf>
    <xf numFmtId="0" fontId="175" fillId="34" borderId="51" xfId="0" applyFont="1" applyFill="1" applyBorder="1" applyAlignment="1" applyProtection="1">
      <alignment horizontal="center"/>
      <protection locked="0"/>
    </xf>
    <xf numFmtId="0" fontId="175" fillId="34" borderId="273" xfId="0" applyFont="1" applyFill="1" applyBorder="1" applyAlignment="1" applyProtection="1">
      <alignment horizontal="center"/>
      <protection locked="0"/>
    </xf>
    <xf numFmtId="0" fontId="68" fillId="28" borderId="0" xfId="0" applyFont="1" applyFill="1" applyAlignment="1">
      <alignment horizontal="center" vertical="center"/>
    </xf>
    <xf numFmtId="0" fontId="64" fillId="15" borderId="7" xfId="0" applyFont="1" applyFill="1" applyBorder="1" applyAlignment="1">
      <alignment horizontal="center"/>
    </xf>
    <xf numFmtId="0" fontId="78" fillId="15" borderId="0" xfId="0" applyFont="1" applyFill="1" applyAlignment="1">
      <alignment horizontal="right" vertical="top" wrapText="1"/>
    </xf>
    <xf numFmtId="14" fontId="69" fillId="28" borderId="254" xfId="0" applyNumberFormat="1" applyFont="1" applyFill="1" applyBorder="1" applyAlignment="1">
      <alignment horizontal="center" vertical="center"/>
    </xf>
    <xf numFmtId="14" fontId="69" fillId="28" borderId="256" xfId="0" applyNumberFormat="1" applyFont="1" applyFill="1" applyBorder="1" applyAlignment="1">
      <alignment horizontal="center" vertical="center"/>
    </xf>
    <xf numFmtId="0" fontId="64" fillId="15" borderId="4" xfId="0" applyFont="1" applyFill="1" applyBorder="1" applyAlignment="1">
      <alignment horizontal="left"/>
    </xf>
    <xf numFmtId="0" fontId="64" fillId="15" borderId="5" xfId="0" applyFont="1" applyFill="1" applyBorder="1" applyAlignment="1">
      <alignment horizontal="left"/>
    </xf>
    <xf numFmtId="0" fontId="80" fillId="15" borderId="3" xfId="0" applyFont="1" applyFill="1" applyBorder="1" applyAlignment="1">
      <alignment horizontal="center"/>
    </xf>
    <xf numFmtId="0" fontId="64" fillId="15" borderId="21" xfId="0" applyFont="1" applyFill="1" applyBorder="1" applyAlignment="1">
      <alignment horizontal="center"/>
    </xf>
    <xf numFmtId="0" fontId="64" fillId="15" borderId="23" xfId="0" applyFont="1" applyFill="1" applyBorder="1" applyAlignment="1">
      <alignment horizontal="center"/>
    </xf>
    <xf numFmtId="0" fontId="73" fillId="28" borderId="0" xfId="0" applyFont="1" applyFill="1" applyAlignment="1">
      <alignment horizontal="center"/>
    </xf>
    <xf numFmtId="0" fontId="64" fillId="15" borderId="6" xfId="0" applyFont="1" applyFill="1" applyBorder="1" applyAlignment="1">
      <alignment horizontal="center"/>
    </xf>
    <xf numFmtId="0" fontId="73" fillId="15" borderId="3" xfId="0" applyFont="1" applyFill="1" applyBorder="1" applyAlignment="1">
      <alignment horizontal="center"/>
    </xf>
    <xf numFmtId="0" fontId="64" fillId="15" borderId="3" xfId="0" applyFont="1" applyFill="1" applyBorder="1" applyAlignment="1">
      <alignment horizontal="center"/>
    </xf>
    <xf numFmtId="14" fontId="76" fillId="15" borderId="257" xfId="0" applyNumberFormat="1" applyFont="1" applyFill="1" applyBorder="1" applyAlignment="1">
      <alignment horizontal="right" vertical="center"/>
    </xf>
    <xf numFmtId="0" fontId="69" fillId="15" borderId="258" xfId="0" applyFont="1" applyFill="1" applyBorder="1" applyAlignment="1">
      <alignment horizontal="left" vertical="top" wrapText="1" indent="1"/>
    </xf>
    <xf numFmtId="0" fontId="69" fillId="15" borderId="259" xfId="0" applyFont="1" applyFill="1" applyBorder="1" applyAlignment="1">
      <alignment horizontal="left" vertical="top" wrapText="1" indent="1"/>
    </xf>
    <xf numFmtId="0" fontId="69" fillId="15" borderId="260" xfId="0" applyFont="1" applyFill="1" applyBorder="1" applyAlignment="1">
      <alignment horizontal="left" vertical="top" wrapText="1" indent="1"/>
    </xf>
    <xf numFmtId="0" fontId="69" fillId="15" borderId="261" xfId="0" applyFont="1" applyFill="1" applyBorder="1" applyAlignment="1">
      <alignment horizontal="left" vertical="top" wrapText="1" indent="1"/>
    </xf>
    <xf numFmtId="0" fontId="69" fillId="15" borderId="0" xfId="0" applyFont="1" applyFill="1" applyAlignment="1">
      <alignment horizontal="left" vertical="top" wrapText="1" indent="1"/>
    </xf>
    <xf numFmtId="0" fontId="69" fillId="15" borderId="262" xfId="0" applyFont="1" applyFill="1" applyBorder="1" applyAlignment="1">
      <alignment horizontal="left" vertical="top" wrapText="1" indent="1"/>
    </xf>
    <xf numFmtId="0" fontId="69" fillId="15" borderId="263" xfId="0" applyFont="1" applyFill="1" applyBorder="1" applyAlignment="1">
      <alignment horizontal="left" vertical="top" wrapText="1" indent="1"/>
    </xf>
    <xf numFmtId="0" fontId="69" fillId="15" borderId="264" xfId="0" applyFont="1" applyFill="1" applyBorder="1" applyAlignment="1">
      <alignment horizontal="left" vertical="top" wrapText="1" indent="1"/>
    </xf>
    <xf numFmtId="0" fontId="69" fillId="15" borderId="265" xfId="0" applyFont="1" applyFill="1" applyBorder="1" applyAlignment="1">
      <alignment horizontal="left" vertical="top" wrapText="1" indent="1"/>
    </xf>
    <xf numFmtId="0" fontId="73" fillId="16" borderId="4" xfId="0" applyFont="1" applyFill="1" applyBorder="1" applyAlignment="1">
      <alignment horizontal="center"/>
    </xf>
    <xf numFmtId="0" fontId="73" fillId="16" borderId="5" xfId="0" applyFont="1" applyFill="1" applyBorder="1" applyAlignment="1">
      <alignment horizontal="center"/>
    </xf>
    <xf numFmtId="0" fontId="48" fillId="38" borderId="0" xfId="0" applyFont="1" applyFill="1" applyAlignment="1">
      <alignment horizontal="center" vertical="center" wrapText="1"/>
    </xf>
    <xf numFmtId="0" fontId="121" fillId="0" borderId="7" xfId="0" applyFont="1" applyBorder="1" applyAlignment="1">
      <alignment horizontal="center" vertical="center"/>
    </xf>
    <xf numFmtId="0" fontId="121" fillId="0" borderId="7" xfId="0" applyFont="1" applyBorder="1" applyAlignment="1">
      <alignment horizontal="center" vertical="center" wrapText="1"/>
    </xf>
    <xf numFmtId="0" fontId="2" fillId="15" borderId="77" xfId="9" applyFill="1" applyBorder="1" applyAlignment="1">
      <alignment horizontal="left" vertical="center"/>
    </xf>
    <xf numFmtId="0" fontId="0" fillId="0" borderId="4" xfId="0" applyBorder="1" applyAlignment="1">
      <alignment horizontal="center"/>
    </xf>
    <xf numFmtId="0" fontId="0" fillId="0" borderId="5" xfId="0" applyBorder="1" applyAlignment="1">
      <alignment horizontal="center"/>
    </xf>
    <xf numFmtId="0" fontId="48" fillId="16" borderId="0" xfId="0" applyFont="1" applyFill="1" applyAlignment="1">
      <alignment horizontal="center"/>
    </xf>
    <xf numFmtId="0" fontId="0" fillId="0" borderId="3" xfId="0" applyBorder="1" applyAlignment="1">
      <alignment horizontal="center"/>
    </xf>
    <xf numFmtId="0" fontId="66" fillId="13" borderId="0" xfId="9" applyFont="1" applyFill="1" applyAlignment="1">
      <alignment horizontal="left" vertical="center"/>
    </xf>
    <xf numFmtId="0" fontId="72" fillId="15" borderId="0" xfId="33" applyFont="1" applyFill="1" applyAlignment="1">
      <alignment horizontal="left" vertical="center" wrapText="1"/>
    </xf>
    <xf numFmtId="0" fontId="72" fillId="15" borderId="0" xfId="33" applyFont="1" applyFill="1" applyAlignment="1">
      <alignment horizontal="left" vertical="center"/>
    </xf>
    <xf numFmtId="0" fontId="72" fillId="15" borderId="192" xfId="9" applyFont="1" applyFill="1" applyBorder="1" applyAlignment="1">
      <alignment horizontal="left" vertical="top" wrapText="1" indent="1"/>
    </xf>
    <xf numFmtId="0" fontId="72" fillId="15" borderId="206" xfId="9" applyFont="1" applyFill="1" applyBorder="1" applyAlignment="1">
      <alignment horizontal="left" vertical="top" wrapText="1" indent="1"/>
    </xf>
    <xf numFmtId="0" fontId="68" fillId="15" borderId="7" xfId="9" applyFont="1" applyFill="1" applyBorder="1" applyAlignment="1">
      <alignment horizontal="left" vertical="top" wrapText="1"/>
    </xf>
    <xf numFmtId="0" fontId="78" fillId="15" borderId="0" xfId="9" applyFont="1" applyFill="1" applyAlignment="1">
      <alignment horizontal="left"/>
    </xf>
    <xf numFmtId="0" fontId="65" fillId="15" borderId="0" xfId="9" applyFont="1" applyFill="1" applyAlignment="1">
      <alignment horizontal="left"/>
    </xf>
    <xf numFmtId="0" fontId="79" fillId="15" borderId="0" xfId="9" applyFont="1" applyFill="1" applyAlignment="1">
      <alignment horizontal="left"/>
    </xf>
    <xf numFmtId="0" fontId="145" fillId="13" borderId="0" xfId="9" applyFont="1" applyFill="1" applyAlignment="1">
      <alignment horizontal="center" vertical="center" wrapText="1"/>
    </xf>
    <xf numFmtId="0" fontId="72" fillId="15" borderId="192" xfId="9" applyFont="1" applyFill="1" applyBorder="1" applyAlignment="1">
      <alignment horizontal="left" vertical="top" wrapText="1"/>
    </xf>
    <xf numFmtId="0" fontId="72" fillId="15" borderId="193" xfId="9" applyFont="1" applyFill="1" applyBorder="1" applyAlignment="1">
      <alignment horizontal="left" vertical="top" wrapText="1"/>
    </xf>
    <xf numFmtId="0" fontId="72" fillId="15" borderId="7" xfId="9" applyFont="1" applyFill="1" applyBorder="1" applyAlignment="1">
      <alignment horizontal="center"/>
    </xf>
    <xf numFmtId="0" fontId="72" fillId="18" borderId="0" xfId="9" applyFont="1" applyFill="1" applyAlignment="1">
      <alignment horizontal="center" vertical="center" wrapText="1"/>
    </xf>
    <xf numFmtId="0" fontId="72" fillId="18" borderId="7" xfId="9" applyFont="1" applyFill="1" applyBorder="1" applyAlignment="1">
      <alignment horizontal="center" vertical="center" wrapText="1"/>
    </xf>
    <xf numFmtId="49" fontId="72" fillId="34" borderId="0" xfId="9" applyNumberFormat="1" applyFont="1" applyFill="1" applyAlignment="1" applyProtection="1">
      <alignment horizontal="center"/>
      <protection locked="0"/>
    </xf>
    <xf numFmtId="49" fontId="72" fillId="34" borderId="7" xfId="9" applyNumberFormat="1" applyFont="1" applyFill="1" applyBorder="1" applyAlignment="1" applyProtection="1">
      <alignment horizontal="center"/>
      <protection locked="0"/>
    </xf>
    <xf numFmtId="169" fontId="72" fillId="34" borderId="0" xfId="9" applyNumberFormat="1" applyFont="1" applyFill="1" applyAlignment="1" applyProtection="1">
      <alignment horizontal="center"/>
      <protection locked="0"/>
    </xf>
    <xf numFmtId="169" fontId="72" fillId="34" borderId="7" xfId="9" applyNumberFormat="1" applyFont="1" applyFill="1" applyBorder="1" applyAlignment="1" applyProtection="1">
      <alignment horizontal="center"/>
      <protection locked="0"/>
    </xf>
    <xf numFmtId="0" fontId="72" fillId="15" borderId="24" xfId="9" applyFont="1" applyFill="1" applyBorder="1" applyAlignment="1">
      <alignment horizontal="center"/>
    </xf>
    <xf numFmtId="0" fontId="189" fillId="15" borderId="192" xfId="9" applyFont="1" applyFill="1" applyBorder="1" applyAlignment="1">
      <alignment horizontal="left" vertical="top" wrapText="1" indent="2"/>
    </xf>
    <xf numFmtId="0" fontId="72" fillId="15" borderId="194" xfId="9" applyFont="1" applyFill="1" applyBorder="1" applyAlignment="1">
      <alignment horizontal="left" wrapText="1"/>
    </xf>
    <xf numFmtId="0" fontId="181" fillId="15" borderId="207" xfId="9" applyFont="1" applyFill="1" applyBorder="1" applyAlignment="1">
      <alignment horizontal="left" vertical="top" wrapText="1" indent="1"/>
    </xf>
    <xf numFmtId="0" fontId="174" fillId="70" borderId="285" xfId="0" applyFont="1" applyFill="1" applyBorder="1" applyAlignment="1">
      <alignment horizontal="left" vertical="center" wrapText="1" indent="2"/>
    </xf>
    <xf numFmtId="0" fontId="174" fillId="70" borderId="286" xfId="0" applyFont="1" applyFill="1" applyBorder="1" applyAlignment="1">
      <alignment horizontal="left" vertical="center" wrapText="1" indent="2"/>
    </xf>
    <xf numFmtId="0" fontId="68" fillId="15" borderId="0" xfId="0" applyFont="1" applyFill="1" applyAlignment="1">
      <alignment horizontal="left"/>
    </xf>
    <xf numFmtId="0" fontId="179" fillId="15" borderId="0" xfId="0" applyFont="1" applyFill="1" applyAlignment="1">
      <alignment horizontal="center"/>
    </xf>
    <xf numFmtId="0" fontId="72" fillId="15" borderId="0" xfId="9" applyFont="1" applyFill="1" applyAlignment="1">
      <alignment horizontal="right" vertical="center" indent="1"/>
    </xf>
    <xf numFmtId="49" fontId="72" fillId="34" borderId="287" xfId="9" applyNumberFormat="1" applyFont="1" applyFill="1" applyBorder="1" applyAlignment="1" applyProtection="1">
      <alignment horizontal="left" vertical="center" indent="2"/>
      <protection locked="0"/>
    </xf>
    <xf numFmtId="49" fontId="72" fillId="34" borderId="288" xfId="9" applyNumberFormat="1" applyFont="1" applyFill="1" applyBorder="1" applyAlignment="1" applyProtection="1">
      <alignment horizontal="left" vertical="center" indent="2"/>
      <protection locked="0"/>
    </xf>
    <xf numFmtId="49" fontId="72" fillId="34" borderId="289" xfId="9" applyNumberFormat="1" applyFont="1" applyFill="1" applyBorder="1" applyAlignment="1" applyProtection="1">
      <alignment horizontal="left" vertical="center" indent="2"/>
      <protection locked="0"/>
    </xf>
    <xf numFmtId="49" fontId="72" fillId="34" borderId="290" xfId="9" applyNumberFormat="1" applyFont="1" applyFill="1" applyBorder="1" applyAlignment="1" applyProtection="1">
      <alignment horizontal="left" vertical="center" indent="2"/>
      <protection locked="0"/>
    </xf>
    <xf numFmtId="49" fontId="72" fillId="34" borderId="291" xfId="9" applyNumberFormat="1" applyFont="1" applyFill="1" applyBorder="1" applyAlignment="1" applyProtection="1">
      <alignment horizontal="left" vertical="center" indent="2"/>
      <protection locked="0"/>
    </xf>
    <xf numFmtId="49" fontId="72" fillId="34" borderId="292" xfId="9" applyNumberFormat="1" applyFont="1" applyFill="1" applyBorder="1" applyAlignment="1" applyProtection="1">
      <alignment horizontal="left" vertical="center" indent="2"/>
      <protection locked="0"/>
    </xf>
    <xf numFmtId="49" fontId="72" fillId="15" borderId="0" xfId="9" applyNumberFormat="1" applyFont="1" applyFill="1" applyAlignment="1">
      <alignment horizontal="center"/>
    </xf>
    <xf numFmtId="49" fontId="72" fillId="34" borderId="293" xfId="9" applyNumberFormat="1" applyFont="1" applyFill="1" applyBorder="1" applyAlignment="1" applyProtection="1">
      <alignment horizontal="left" vertical="center" indent="2"/>
      <protection locked="0"/>
    </xf>
    <xf numFmtId="49" fontId="72" fillId="34" borderId="294" xfId="9" applyNumberFormat="1" applyFont="1" applyFill="1" applyBorder="1" applyAlignment="1" applyProtection="1">
      <alignment horizontal="left" vertical="center" indent="2"/>
      <protection locked="0"/>
    </xf>
    <xf numFmtId="49" fontId="72" fillId="34" borderId="295" xfId="9" applyNumberFormat="1" applyFont="1" applyFill="1" applyBorder="1" applyAlignment="1" applyProtection="1">
      <alignment horizontal="left" vertical="center" indent="2"/>
      <protection locked="0"/>
    </xf>
    <xf numFmtId="49" fontId="72" fillId="34" borderId="287" xfId="9" applyNumberFormat="1" applyFont="1" applyFill="1" applyBorder="1" applyAlignment="1" applyProtection="1">
      <alignment horizontal="left" vertical="center" wrapText="1" indent="2"/>
      <protection locked="0"/>
    </xf>
    <xf numFmtId="0" fontId="181" fillId="15" borderId="0" xfId="9" applyFont="1" applyFill="1" applyAlignment="1">
      <alignment horizontal="left" vertical="center" wrapText="1"/>
    </xf>
    <xf numFmtId="0" fontId="68" fillId="13" borderId="0" xfId="9" applyFont="1" applyFill="1" applyAlignment="1">
      <alignment horizontal="center" vertical="center" wrapText="1"/>
    </xf>
    <xf numFmtId="0" fontId="72" fillId="15" borderId="0" xfId="9" applyFont="1" applyFill="1" applyAlignment="1">
      <alignment horizontal="center"/>
    </xf>
    <xf numFmtId="0" fontId="84" fillId="15" borderId="4" xfId="9" applyFont="1" applyFill="1" applyBorder="1" applyAlignment="1">
      <alignment horizontal="center" vertical="center" wrapText="1"/>
    </xf>
    <xf numFmtId="0" fontId="84" fillId="15" borderId="6" xfId="9" applyFont="1" applyFill="1" applyBorder="1" applyAlignment="1">
      <alignment horizontal="center" vertical="center" wrapText="1"/>
    </xf>
    <xf numFmtId="0" fontId="84" fillId="15" borderId="5" xfId="9" applyFont="1" applyFill="1" applyBorder="1" applyAlignment="1">
      <alignment horizontal="center" vertical="center" wrapText="1"/>
    </xf>
    <xf numFmtId="0" fontId="68" fillId="15" borderId="0" xfId="9" applyFont="1" applyFill="1" applyAlignment="1">
      <alignment horizontal="left"/>
    </xf>
    <xf numFmtId="0" fontId="181" fillId="15" borderId="0" xfId="9" applyFont="1" applyFill="1" applyAlignment="1">
      <alignment horizontal="left" vertical="top" wrapText="1"/>
    </xf>
    <xf numFmtId="14" fontId="72" fillId="34" borderId="290" xfId="9" applyNumberFormat="1" applyFont="1" applyFill="1" applyBorder="1" applyAlignment="1" applyProtection="1">
      <alignment horizontal="left" vertical="center" indent="2"/>
      <protection locked="0"/>
    </xf>
    <xf numFmtId="0" fontId="72" fillId="34" borderId="291" xfId="9" applyFont="1" applyFill="1" applyBorder="1" applyAlignment="1" applyProtection="1">
      <alignment horizontal="left" vertical="center" indent="2"/>
      <protection locked="0"/>
    </xf>
    <xf numFmtId="0" fontId="72" fillId="34" borderId="292" xfId="9" applyFont="1" applyFill="1" applyBorder="1" applyAlignment="1" applyProtection="1">
      <alignment horizontal="left" vertical="center" indent="2"/>
      <protection locked="0"/>
    </xf>
    <xf numFmtId="0" fontId="85" fillId="15" borderId="0" xfId="0" applyFont="1" applyFill="1" applyAlignment="1">
      <alignment horizontal="center" vertical="center" wrapText="1"/>
    </xf>
    <xf numFmtId="0" fontId="85" fillId="15" borderId="0" xfId="0" applyFont="1" applyFill="1" applyAlignment="1">
      <alignment horizontal="center" vertical="center"/>
    </xf>
    <xf numFmtId="0" fontId="86" fillId="0" borderId="18" xfId="0" applyFont="1" applyBorder="1" applyAlignment="1">
      <alignment horizontal="center" vertical="center" wrapText="1"/>
    </xf>
    <xf numFmtId="0" fontId="86" fillId="71" borderId="296" xfId="0" applyFont="1" applyFill="1" applyBorder="1" applyAlignment="1">
      <alignment horizontal="center" vertical="center" wrapText="1"/>
    </xf>
    <xf numFmtId="0" fontId="87" fillId="24" borderId="297" xfId="8" applyFont="1" applyFill="1" applyBorder="1" applyAlignment="1" applyProtection="1">
      <alignment vertical="center" textRotation="90"/>
    </xf>
    <xf numFmtId="0" fontId="89" fillId="24" borderId="297" xfId="0" applyFont="1" applyFill="1" applyBorder="1" applyAlignment="1">
      <alignment vertical="center"/>
    </xf>
    <xf numFmtId="49" fontId="87" fillId="39" borderId="297" xfId="8" applyNumberFormat="1" applyFont="1" applyFill="1" applyBorder="1" applyAlignment="1" applyProtection="1">
      <alignment vertical="center" textRotation="90"/>
    </xf>
    <xf numFmtId="0" fontId="89" fillId="39" borderId="297" xfId="0" applyFont="1" applyFill="1" applyBorder="1" applyAlignment="1">
      <alignment vertical="center" textRotation="90"/>
    </xf>
    <xf numFmtId="49" fontId="87" fillId="36" borderId="297" xfId="8" applyNumberFormat="1" applyFont="1" applyFill="1" applyBorder="1" applyAlignment="1" applyProtection="1">
      <alignment horizontal="center" vertical="center" textRotation="90"/>
    </xf>
    <xf numFmtId="49" fontId="87" fillId="36" borderId="298" xfId="8" applyNumberFormat="1" applyFont="1" applyFill="1" applyBorder="1" applyAlignment="1" applyProtection="1">
      <alignment horizontal="center" vertical="center" textRotation="90"/>
    </xf>
    <xf numFmtId="49" fontId="87" fillId="36" borderId="299" xfId="8" applyNumberFormat="1" applyFont="1" applyFill="1" applyBorder="1" applyAlignment="1" applyProtection="1">
      <alignment horizontal="center" vertical="center" textRotation="90"/>
    </xf>
    <xf numFmtId="0" fontId="64" fillId="15" borderId="54" xfId="0" applyFont="1" applyFill="1" applyBorder="1" applyAlignment="1">
      <alignment horizontal="left" vertical="center" wrapText="1"/>
    </xf>
    <xf numFmtId="0" fontId="64" fillId="15" borderId="24" xfId="0" applyFont="1" applyFill="1" applyBorder="1" applyAlignment="1">
      <alignment horizontal="left" vertical="center" wrapText="1"/>
    </xf>
    <xf numFmtId="0" fontId="64" fillId="15" borderId="55" xfId="0" applyFont="1" applyFill="1" applyBorder="1" applyAlignment="1">
      <alignment horizontal="left" vertical="center" wrapText="1"/>
    </xf>
    <xf numFmtId="0" fontId="64" fillId="15" borderId="18" xfId="0" applyFont="1" applyFill="1" applyBorder="1" applyAlignment="1">
      <alignment horizontal="left" vertical="center" wrapText="1"/>
    </xf>
    <xf numFmtId="0" fontId="64" fillId="15" borderId="0" xfId="0" applyFont="1" applyFill="1" applyAlignment="1">
      <alignment horizontal="left" vertical="center" wrapText="1"/>
    </xf>
    <xf numFmtId="0" fontId="64" fillId="15" borderId="28" xfId="0" applyFont="1" applyFill="1" applyBorder="1" applyAlignment="1">
      <alignment horizontal="left" vertical="center" wrapText="1"/>
    </xf>
    <xf numFmtId="0" fontId="64" fillId="15" borderId="21" xfId="0" applyFont="1" applyFill="1" applyBorder="1" applyAlignment="1">
      <alignment horizontal="left" vertical="center" wrapText="1"/>
    </xf>
    <xf numFmtId="0" fontId="64" fillId="15" borderId="7" xfId="0" applyFont="1" applyFill="1" applyBorder="1" applyAlignment="1">
      <alignment horizontal="left" vertical="center" wrapText="1"/>
    </xf>
    <xf numFmtId="0" fontId="64" fillId="15" borderId="23" xfId="0" applyFont="1" applyFill="1" applyBorder="1" applyAlignment="1">
      <alignment horizontal="left" vertical="center" wrapText="1"/>
    </xf>
    <xf numFmtId="0" fontId="68" fillId="15" borderId="7" xfId="0" applyFont="1" applyFill="1" applyBorder="1" applyAlignment="1">
      <alignment horizontal="left" vertical="center"/>
    </xf>
    <xf numFmtId="0" fontId="68" fillId="15" borderId="23" xfId="0" applyFont="1" applyFill="1" applyBorder="1" applyAlignment="1">
      <alignment horizontal="left" vertical="center"/>
    </xf>
    <xf numFmtId="0" fontId="141" fillId="15" borderId="0" xfId="0" applyFont="1" applyFill="1" applyAlignment="1">
      <alignment horizontal="center" vertical="center" textRotation="90"/>
    </xf>
    <xf numFmtId="0" fontId="142" fillId="15" borderId="18" xfId="0" applyFont="1" applyFill="1" applyBorder="1" applyAlignment="1">
      <alignment horizontal="center" vertical="center" wrapText="1"/>
    </xf>
    <xf numFmtId="0" fontId="142" fillId="15" borderId="0" xfId="0" applyFont="1" applyFill="1" applyAlignment="1">
      <alignment horizontal="center" vertical="center" wrapText="1"/>
    </xf>
    <xf numFmtId="0" fontId="67" fillId="15" borderId="0" xfId="0" applyFont="1" applyFill="1" applyAlignment="1">
      <alignment horizontal="left" wrapText="1"/>
    </xf>
    <xf numFmtId="0" fontId="53" fillId="15" borderId="0" xfId="0" applyFont="1" applyFill="1" applyAlignment="1">
      <alignment horizontal="center" vertical="center" textRotation="90"/>
    </xf>
    <xf numFmtId="0" fontId="55" fillId="15" borderId="18" xfId="0" applyFont="1" applyFill="1" applyBorder="1" applyAlignment="1">
      <alignment horizontal="center" vertical="center" wrapText="1"/>
    </xf>
    <xf numFmtId="0" fontId="55" fillId="15" borderId="0" xfId="0" applyFont="1" applyFill="1" applyAlignment="1">
      <alignment horizontal="center" vertical="center" wrapText="1"/>
    </xf>
    <xf numFmtId="0" fontId="183" fillId="15" borderId="0" xfId="0" applyFont="1" applyFill="1" applyAlignment="1">
      <alignment horizontal="left" vertical="top" wrapText="1"/>
    </xf>
    <xf numFmtId="0" fontId="65" fillId="15" borderId="0" xfId="0" applyFont="1" applyFill="1" applyAlignment="1">
      <alignment horizontal="left" vertical="top" wrapText="1"/>
    </xf>
    <xf numFmtId="0" fontId="93" fillId="15" borderId="0" xfId="0" applyFont="1" applyFill="1" applyAlignment="1">
      <alignment horizontal="center" vertical="center" textRotation="90"/>
    </xf>
    <xf numFmtId="0" fontId="94" fillId="15" borderId="0" xfId="0" applyFont="1" applyFill="1" applyAlignment="1">
      <alignment horizontal="left"/>
    </xf>
    <xf numFmtId="0" fontId="73" fillId="15" borderId="28" xfId="0" applyFont="1" applyFill="1" applyBorder="1" applyAlignment="1">
      <alignment horizontal="center" vertical="center" textRotation="90"/>
    </xf>
    <xf numFmtId="0" fontId="67" fillId="35" borderId="69" xfId="0" applyFont="1" applyFill="1" applyBorder="1" applyAlignment="1">
      <alignment horizontal="center" vertical="center"/>
    </xf>
    <xf numFmtId="0" fontId="67" fillId="35" borderId="72" xfId="0" applyFont="1" applyFill="1" applyBorder="1" applyAlignment="1">
      <alignment horizontal="center" vertical="center"/>
    </xf>
    <xf numFmtId="0" fontId="64" fillId="15" borderId="0" xfId="0" applyFont="1" applyFill="1" applyAlignment="1">
      <alignment horizontal="center"/>
    </xf>
    <xf numFmtId="0" fontId="64" fillId="34" borderId="71" xfId="0" applyFont="1" applyFill="1" applyBorder="1" applyAlignment="1" applyProtection="1">
      <alignment horizontal="left" vertical="center" wrapText="1"/>
      <protection locked="0"/>
    </xf>
    <xf numFmtId="0" fontId="64" fillId="34" borderId="75" xfId="0" applyFont="1" applyFill="1" applyBorder="1" applyAlignment="1" applyProtection="1">
      <alignment horizontal="left" vertical="center" wrapText="1"/>
      <protection locked="0"/>
    </xf>
    <xf numFmtId="0" fontId="64" fillId="34" borderId="70" xfId="0" quotePrefix="1" applyFont="1" applyFill="1" applyBorder="1" applyAlignment="1" applyProtection="1">
      <alignment horizontal="left" vertical="center" wrapText="1"/>
      <protection locked="0"/>
    </xf>
    <xf numFmtId="0" fontId="64" fillId="34" borderId="71" xfId="0" quotePrefix="1" applyFont="1" applyFill="1" applyBorder="1" applyAlignment="1" applyProtection="1">
      <alignment horizontal="left" vertical="center" wrapText="1"/>
      <protection locked="0"/>
    </xf>
    <xf numFmtId="0" fontId="64" fillId="34" borderId="75" xfId="0" quotePrefix="1" applyFont="1" applyFill="1" applyBorder="1" applyAlignment="1" applyProtection="1">
      <alignment horizontal="left" vertical="center" wrapText="1"/>
      <protection locked="0"/>
    </xf>
    <xf numFmtId="0" fontId="64" fillId="34" borderId="76" xfId="0" applyFont="1" applyFill="1" applyBorder="1" applyAlignment="1" applyProtection="1">
      <alignment horizontal="center" vertical="center" wrapText="1"/>
      <protection locked="0"/>
    </xf>
    <xf numFmtId="0" fontId="64" fillId="35" borderId="70" xfId="0" applyFont="1" applyFill="1" applyBorder="1" applyAlignment="1">
      <alignment horizontal="left" vertical="center"/>
    </xf>
    <xf numFmtId="0" fontId="64" fillId="35" borderId="71" xfId="0" applyFont="1" applyFill="1" applyBorder="1" applyAlignment="1">
      <alignment horizontal="left" vertical="center"/>
    </xf>
    <xf numFmtId="0" fontId="64" fillId="35" borderId="75" xfId="0" applyFont="1" applyFill="1" applyBorder="1" applyAlignment="1">
      <alignment horizontal="left" vertical="center"/>
    </xf>
    <xf numFmtId="0" fontId="64" fillId="34" borderId="71" xfId="0" applyFont="1" applyFill="1" applyBorder="1" applyAlignment="1" applyProtection="1">
      <alignment horizontal="left" vertical="center"/>
      <protection locked="0"/>
    </xf>
    <xf numFmtId="0" fontId="64" fillId="34" borderId="75" xfId="0" applyFont="1" applyFill="1" applyBorder="1" applyAlignment="1" applyProtection="1">
      <alignment horizontal="left" vertical="center"/>
      <protection locked="0"/>
    </xf>
    <xf numFmtId="0" fontId="64" fillId="34" borderId="76" xfId="0" applyFont="1" applyFill="1" applyBorder="1" applyAlignment="1" applyProtection="1">
      <alignment horizontal="left" vertical="center" wrapText="1"/>
      <protection locked="0"/>
    </xf>
    <xf numFmtId="0" fontId="64" fillId="34" borderId="74" xfId="0" applyFont="1" applyFill="1" applyBorder="1" applyAlignment="1" applyProtection="1">
      <alignment horizontal="left" vertical="center" wrapText="1"/>
      <protection locked="0"/>
    </xf>
    <xf numFmtId="0" fontId="64" fillId="34" borderId="73" xfId="0" quotePrefix="1" applyFont="1" applyFill="1" applyBorder="1" applyAlignment="1" applyProtection="1">
      <alignment horizontal="left" vertical="center" wrapText="1"/>
      <protection locked="0"/>
    </xf>
    <xf numFmtId="0" fontId="64" fillId="34" borderId="76" xfId="0" quotePrefix="1" applyFont="1" applyFill="1" applyBorder="1" applyAlignment="1" applyProtection="1">
      <alignment horizontal="left" vertical="center" wrapText="1"/>
      <protection locked="0"/>
    </xf>
    <xf numFmtId="0" fontId="64" fillId="34" borderId="74" xfId="0" quotePrefix="1" applyFont="1" applyFill="1" applyBorder="1" applyAlignment="1" applyProtection="1">
      <alignment horizontal="left" vertical="center" wrapText="1"/>
      <protection locked="0"/>
    </xf>
    <xf numFmtId="0" fontId="64" fillId="34" borderId="73" xfId="0" applyFont="1" applyFill="1" applyBorder="1" applyAlignment="1" applyProtection="1">
      <alignment horizontal="left" vertical="center" wrapText="1"/>
      <protection locked="0"/>
    </xf>
    <xf numFmtId="0" fontId="64" fillId="34" borderId="76" xfId="0" applyFont="1" applyFill="1" applyBorder="1" applyAlignment="1" applyProtection="1">
      <alignment horizontal="left" vertical="center"/>
      <protection locked="0"/>
    </xf>
    <xf numFmtId="0" fontId="64" fillId="34" borderId="74" xfId="0" applyFont="1" applyFill="1" applyBorder="1" applyAlignment="1" applyProtection="1">
      <alignment horizontal="left" vertical="center"/>
      <protection locked="0"/>
    </xf>
    <xf numFmtId="0" fontId="64" fillId="34" borderId="76" xfId="0" quotePrefix="1" applyFont="1" applyFill="1" applyBorder="1" applyAlignment="1" applyProtection="1">
      <alignment horizontal="left" vertical="center"/>
      <protection locked="0"/>
    </xf>
    <xf numFmtId="0" fontId="64" fillId="34" borderId="74" xfId="0" quotePrefix="1" applyFont="1" applyFill="1" applyBorder="1" applyAlignment="1" applyProtection="1">
      <alignment horizontal="left" vertical="center"/>
      <protection locked="0"/>
    </xf>
    <xf numFmtId="0" fontId="64" fillId="34" borderId="70" xfId="0" applyFont="1" applyFill="1" applyBorder="1" applyAlignment="1" applyProtection="1">
      <alignment horizontal="left" vertical="center" wrapText="1"/>
      <protection locked="0"/>
    </xf>
    <xf numFmtId="0" fontId="64" fillId="34" borderId="70" xfId="0" applyFont="1" applyFill="1" applyBorder="1" applyAlignment="1" applyProtection="1">
      <alignment horizontal="left" vertical="center"/>
      <protection locked="0"/>
    </xf>
    <xf numFmtId="0" fontId="64" fillId="34" borderId="73" xfId="0" applyFont="1" applyFill="1" applyBorder="1" applyAlignment="1" applyProtection="1">
      <alignment horizontal="left" vertical="center"/>
      <protection locked="0"/>
    </xf>
    <xf numFmtId="0" fontId="64" fillId="35" borderId="68" xfId="0" applyFont="1" applyFill="1" applyBorder="1" applyAlignment="1">
      <alignment horizontal="left" vertical="center"/>
    </xf>
    <xf numFmtId="0" fontId="64" fillId="35" borderId="69" xfId="0" applyFont="1" applyFill="1" applyBorder="1" applyAlignment="1">
      <alignment horizontal="left" vertical="center"/>
    </xf>
    <xf numFmtId="0" fontId="64" fillId="35" borderId="72" xfId="0" applyFont="1" applyFill="1" applyBorder="1" applyAlignment="1">
      <alignment horizontal="left" vertical="center"/>
    </xf>
    <xf numFmtId="49" fontId="64" fillId="34" borderId="70" xfId="0" applyNumberFormat="1" applyFont="1" applyFill="1" applyBorder="1" applyAlignment="1" applyProtection="1">
      <alignment horizontal="left" vertical="center" wrapText="1"/>
      <protection locked="0"/>
    </xf>
    <xf numFmtId="49" fontId="64" fillId="34" borderId="71" xfId="0" applyNumberFormat="1" applyFont="1" applyFill="1" applyBorder="1" applyAlignment="1" applyProtection="1">
      <alignment horizontal="left" vertical="center" wrapText="1"/>
      <protection locked="0"/>
    </xf>
    <xf numFmtId="49" fontId="64" fillId="34" borderId="75" xfId="0" applyNumberFormat="1" applyFont="1" applyFill="1" applyBorder="1" applyAlignment="1" applyProtection="1">
      <alignment horizontal="left" vertical="center" wrapText="1"/>
      <protection locked="0"/>
    </xf>
    <xf numFmtId="0" fontId="64" fillId="15" borderId="54" xfId="0" applyFont="1" applyFill="1" applyBorder="1" applyAlignment="1">
      <alignment horizontal="center"/>
    </xf>
    <xf numFmtId="0" fontId="64" fillId="15" borderId="24" xfId="0" applyFont="1" applyFill="1" applyBorder="1" applyAlignment="1">
      <alignment horizontal="center"/>
    </xf>
    <xf numFmtId="0" fontId="64" fillId="15" borderId="55" xfId="0" applyFont="1" applyFill="1" applyBorder="1" applyAlignment="1">
      <alignment horizontal="center"/>
    </xf>
    <xf numFmtId="0" fontId="96" fillId="29" borderId="300" xfId="0" applyFont="1" applyFill="1" applyBorder="1" applyAlignment="1">
      <alignment horizontal="center" vertical="center"/>
    </xf>
    <xf numFmtId="0" fontId="96" fillId="29" borderId="171" xfId="0" applyFont="1" applyFill="1" applyBorder="1" applyAlignment="1">
      <alignment horizontal="center" vertical="center"/>
    </xf>
    <xf numFmtId="0" fontId="96" fillId="29" borderId="4" xfId="0" applyFont="1" applyFill="1" applyBorder="1" applyAlignment="1">
      <alignment horizontal="right" vertical="center"/>
    </xf>
    <xf numFmtId="0" fontId="96" fillId="29" borderId="6" xfId="0" applyFont="1" applyFill="1" applyBorder="1" applyAlignment="1">
      <alignment horizontal="right" vertical="center"/>
    </xf>
    <xf numFmtId="0" fontId="96" fillId="29" borderId="301" xfId="0" applyFont="1" applyFill="1" applyBorder="1" applyAlignment="1">
      <alignment horizontal="right" vertical="center"/>
    </xf>
    <xf numFmtId="0" fontId="96" fillId="29" borderId="302" xfId="0" applyFont="1" applyFill="1" applyBorder="1" applyAlignment="1">
      <alignment horizontal="center" vertical="center"/>
    </xf>
    <xf numFmtId="0" fontId="96" fillId="29" borderId="303" xfId="0" applyFont="1" applyFill="1" applyBorder="1" applyAlignment="1">
      <alignment horizontal="center" vertical="center"/>
    </xf>
    <xf numFmtId="0" fontId="96" fillId="29" borderId="300" xfId="0" applyFont="1" applyFill="1" applyBorder="1" applyAlignment="1">
      <alignment horizontal="center" vertical="center" wrapText="1"/>
    </xf>
    <xf numFmtId="0" fontId="96" fillId="29" borderId="171" xfId="0" applyFont="1" applyFill="1" applyBorder="1" applyAlignment="1">
      <alignment horizontal="center" vertical="center" wrapText="1"/>
    </xf>
    <xf numFmtId="0" fontId="96" fillId="29" borderId="304" xfId="0" applyFont="1" applyFill="1" applyBorder="1" applyAlignment="1">
      <alignment horizontal="center" vertical="center"/>
    </xf>
    <xf numFmtId="49" fontId="173" fillId="28" borderId="169" xfId="0" applyNumberFormat="1" applyFont="1" applyFill="1" applyBorder="1" applyAlignment="1">
      <alignment horizontal="right" vertical="center"/>
    </xf>
    <xf numFmtId="0" fontId="100" fillId="30" borderId="37" xfId="18" applyFont="1" applyFill="1" applyBorder="1">
      <alignment horizontal="center" vertical="center"/>
    </xf>
    <xf numFmtId="0" fontId="100" fillId="30" borderId="51" xfId="18" applyFont="1" applyFill="1" applyBorder="1">
      <alignment horizontal="center" vertical="center"/>
    </xf>
    <xf numFmtId="0" fontId="100" fillId="30" borderId="35" xfId="18" applyFont="1" applyFill="1" applyBorder="1">
      <alignment horizontal="center" vertical="center"/>
    </xf>
    <xf numFmtId="0" fontId="68" fillId="4" borderId="37" xfId="17" applyFont="1" applyFill="1" applyBorder="1" applyAlignment="1">
      <alignment horizontal="center" vertical="center" wrapText="1"/>
    </xf>
    <xf numFmtId="0" fontId="68" fillId="4" borderId="51" xfId="17" applyFont="1" applyFill="1" applyBorder="1" applyAlignment="1">
      <alignment horizontal="center" vertical="center" wrapText="1"/>
    </xf>
    <xf numFmtId="0" fontId="68" fillId="4" borderId="35" xfId="17" applyFont="1" applyFill="1" applyBorder="1" applyAlignment="1">
      <alignment horizontal="center" vertical="center" wrapText="1"/>
    </xf>
    <xf numFmtId="0" fontId="83" fillId="0" borderId="0" xfId="15" applyFont="1" applyAlignment="1">
      <alignment vertical="center"/>
    </xf>
    <xf numFmtId="0" fontId="100" fillId="24" borderId="42" xfId="18" applyFont="1" applyFill="1" applyBorder="1">
      <alignment horizontal="center" vertical="center"/>
    </xf>
    <xf numFmtId="0" fontId="100" fillId="24" borderId="34" xfId="18" applyFont="1" applyFill="1" applyBorder="1">
      <alignment horizontal="center" vertical="center"/>
    </xf>
    <xf numFmtId="0" fontId="100" fillId="24" borderId="36" xfId="18" applyFont="1" applyFill="1" applyBorder="1">
      <alignment horizontal="center" vertical="center"/>
    </xf>
    <xf numFmtId="0" fontId="100" fillId="24" borderId="43" xfId="18" applyFont="1" applyFill="1" applyBorder="1" applyAlignment="1">
      <alignment horizontal="center" vertical="center" wrapText="1"/>
    </xf>
    <xf numFmtId="0" fontId="100" fillId="24" borderId="41" xfId="18" applyFont="1" applyFill="1" applyBorder="1" applyAlignment="1">
      <alignment horizontal="center" vertical="center" wrapText="1"/>
    </xf>
    <xf numFmtId="0" fontId="100" fillId="24" borderId="197" xfId="18" applyFont="1" applyFill="1" applyBorder="1" applyAlignment="1">
      <alignment horizontal="center" vertical="center" wrapText="1"/>
    </xf>
    <xf numFmtId="0" fontId="100" fillId="24" borderId="31" xfId="18" applyFont="1" applyFill="1" applyBorder="1" applyAlignment="1">
      <alignment horizontal="center" vertical="center" wrapText="1"/>
    </xf>
    <xf numFmtId="49" fontId="6" fillId="12" borderId="3" xfId="0" applyNumberFormat="1" applyFont="1" applyFill="1" applyBorder="1" applyAlignment="1" applyProtection="1">
      <alignment horizontal="left" vertical="top" wrapText="1"/>
      <protection locked="0"/>
    </xf>
    <xf numFmtId="0" fontId="6" fillId="12" borderId="4" xfId="0" applyFont="1" applyFill="1" applyBorder="1" applyAlignment="1" applyProtection="1">
      <alignment horizontal="center" wrapText="1"/>
      <protection locked="0"/>
    </xf>
    <xf numFmtId="0" fontId="6" fillId="12" borderId="5" xfId="0" applyFont="1" applyFill="1" applyBorder="1" applyAlignment="1" applyProtection="1">
      <alignment horizontal="center" wrapText="1"/>
      <protection locked="0"/>
    </xf>
    <xf numFmtId="0" fontId="6" fillId="13" borderId="4" xfId="0" applyFont="1" applyFill="1" applyBorder="1" applyAlignment="1">
      <alignment horizontal="left"/>
    </xf>
    <xf numFmtId="0" fontId="6" fillId="13" borderId="6" xfId="0" applyFont="1" applyFill="1" applyBorder="1" applyAlignment="1">
      <alignment horizontal="left"/>
    </xf>
    <xf numFmtId="0" fontId="6" fillId="13" borderId="5" xfId="0" applyFont="1" applyFill="1" applyBorder="1" applyAlignment="1">
      <alignment horizontal="left"/>
    </xf>
    <xf numFmtId="0" fontId="6" fillId="13" borderId="3" xfId="0" applyFont="1" applyFill="1" applyBorder="1" applyAlignment="1">
      <alignment horizontal="left"/>
    </xf>
    <xf numFmtId="0" fontId="6" fillId="12" borderId="3" xfId="0" applyFont="1" applyFill="1" applyBorder="1" applyAlignment="1" applyProtection="1">
      <alignment horizontal="left" vertical="top" wrapText="1"/>
      <protection locked="0"/>
    </xf>
    <xf numFmtId="0" fontId="6" fillId="12" borderId="3" xfId="0" applyFont="1" applyFill="1" applyBorder="1" applyAlignment="1" applyProtection="1">
      <alignment horizontal="left" vertical="top"/>
      <protection locked="0"/>
    </xf>
    <xf numFmtId="0" fontId="6" fillId="12" borderId="4" xfId="0" quotePrefix="1" applyFont="1" applyFill="1" applyBorder="1" applyAlignment="1" applyProtection="1">
      <alignment horizontal="left" vertical="top" wrapText="1"/>
      <protection locked="0"/>
    </xf>
    <xf numFmtId="0" fontId="6" fillId="12" borderId="6" xfId="0" quotePrefix="1" applyFont="1" applyFill="1" applyBorder="1" applyAlignment="1" applyProtection="1">
      <alignment horizontal="left" vertical="top"/>
      <protection locked="0"/>
    </xf>
    <xf numFmtId="0" fontId="6" fillId="12" borderId="5" xfId="0" quotePrefix="1" applyFont="1" applyFill="1" applyBorder="1" applyAlignment="1" applyProtection="1">
      <alignment horizontal="left" vertical="top"/>
      <protection locked="0"/>
    </xf>
    <xf numFmtId="0" fontId="6" fillId="13" borderId="4" xfId="0" applyFont="1" applyFill="1" applyBorder="1" applyAlignment="1">
      <alignment horizontal="left" vertical="top"/>
    </xf>
    <xf numFmtId="0" fontId="6" fillId="13" borderId="6" xfId="0" applyFont="1" applyFill="1" applyBorder="1" applyAlignment="1">
      <alignment horizontal="left" vertical="top"/>
    </xf>
    <xf numFmtId="0" fontId="6" fillId="13" borderId="5" xfId="0" applyFont="1" applyFill="1" applyBorder="1" applyAlignment="1">
      <alignment horizontal="left" vertical="top"/>
    </xf>
    <xf numFmtId="0" fontId="6" fillId="12" borderId="54" xfId="0" quotePrefix="1" applyFont="1" applyFill="1" applyBorder="1" applyAlignment="1" applyProtection="1">
      <alignment horizontal="center" vertical="top" wrapText="1"/>
      <protection locked="0"/>
    </xf>
    <xf numFmtId="0" fontId="6" fillId="12" borderId="24" xfId="0" quotePrefix="1" applyFont="1" applyFill="1" applyBorder="1" applyAlignment="1" applyProtection="1">
      <alignment horizontal="center" vertical="top" wrapText="1"/>
      <protection locked="0"/>
    </xf>
    <xf numFmtId="0" fontId="6" fillId="12" borderId="55" xfId="0" quotePrefix="1" applyFont="1" applyFill="1" applyBorder="1" applyAlignment="1" applyProtection="1">
      <alignment horizontal="center" vertical="top" wrapText="1"/>
      <protection locked="0"/>
    </xf>
    <xf numFmtId="0" fontId="6" fillId="12" borderId="18" xfId="0" quotePrefix="1" applyFont="1" applyFill="1" applyBorder="1" applyAlignment="1" applyProtection="1">
      <alignment horizontal="center" vertical="top" wrapText="1"/>
      <protection locked="0"/>
    </xf>
    <xf numFmtId="0" fontId="6" fillId="12" borderId="0" xfId="0" quotePrefix="1" applyFont="1" applyFill="1" applyAlignment="1" applyProtection="1">
      <alignment horizontal="center" vertical="top" wrapText="1"/>
      <protection locked="0"/>
    </xf>
    <xf numFmtId="0" fontId="6" fillId="12" borderId="28" xfId="0" quotePrefix="1" applyFont="1" applyFill="1" applyBorder="1" applyAlignment="1" applyProtection="1">
      <alignment horizontal="center" vertical="top" wrapText="1"/>
      <protection locked="0"/>
    </xf>
    <xf numFmtId="0" fontId="6" fillId="12" borderId="21" xfId="0" quotePrefix="1" applyFont="1" applyFill="1" applyBorder="1" applyAlignment="1" applyProtection="1">
      <alignment horizontal="center" vertical="top" wrapText="1"/>
      <protection locked="0"/>
    </xf>
    <xf numFmtId="0" fontId="6" fillId="12" borderId="7" xfId="0" quotePrefix="1" applyFont="1" applyFill="1" applyBorder="1" applyAlignment="1" applyProtection="1">
      <alignment horizontal="center" vertical="top" wrapText="1"/>
      <protection locked="0"/>
    </xf>
    <xf numFmtId="0" fontId="6" fillId="12" borderId="23" xfId="0" quotePrefix="1" applyFont="1" applyFill="1" applyBorder="1" applyAlignment="1" applyProtection="1">
      <alignment horizontal="center" vertical="top" wrapText="1"/>
      <protection locked="0"/>
    </xf>
    <xf numFmtId="0" fontId="6" fillId="12" borderId="4" xfId="0" applyFont="1" applyFill="1" applyBorder="1" applyAlignment="1" applyProtection="1">
      <alignment horizontal="left" vertical="top" wrapText="1"/>
      <protection locked="0"/>
    </xf>
    <xf numFmtId="0" fontId="6" fillId="12" borderId="6" xfId="0" applyFont="1" applyFill="1" applyBorder="1" applyAlignment="1" applyProtection="1">
      <alignment horizontal="left" vertical="top" wrapText="1"/>
      <protection locked="0"/>
    </xf>
    <xf numFmtId="0" fontId="6" fillId="12" borderId="5" xfId="0" applyFont="1" applyFill="1" applyBorder="1" applyAlignment="1" applyProtection="1">
      <alignment horizontal="left" vertical="top" wrapText="1"/>
      <protection locked="0"/>
    </xf>
    <xf numFmtId="0" fontId="6" fillId="12" borderId="54" xfId="0" quotePrefix="1" applyFont="1" applyFill="1" applyBorder="1" applyAlignment="1" applyProtection="1">
      <alignment horizontal="left" vertical="top" wrapText="1"/>
      <protection locked="0"/>
    </xf>
    <xf numFmtId="0" fontId="6" fillId="12" borderId="24" xfId="0" quotePrefix="1" applyFont="1" applyFill="1" applyBorder="1" applyAlignment="1" applyProtection="1">
      <alignment horizontal="left" vertical="top" wrapText="1"/>
      <protection locked="0"/>
    </xf>
    <xf numFmtId="0" fontId="6" fillId="12" borderId="55" xfId="0" quotePrefix="1" applyFont="1" applyFill="1" applyBorder="1" applyAlignment="1" applyProtection="1">
      <alignment horizontal="left" vertical="top" wrapText="1"/>
      <protection locked="0"/>
    </xf>
    <xf numFmtId="0" fontId="6" fillId="12" borderId="18" xfId="0" quotePrefix="1" applyFont="1" applyFill="1" applyBorder="1" applyAlignment="1" applyProtection="1">
      <alignment horizontal="left" vertical="top" wrapText="1"/>
      <protection locked="0"/>
    </xf>
    <xf numFmtId="0" fontId="6" fillId="12" borderId="0" xfId="0" quotePrefix="1" applyFont="1" applyFill="1" applyAlignment="1" applyProtection="1">
      <alignment horizontal="left" vertical="top" wrapText="1"/>
      <protection locked="0"/>
    </xf>
    <xf numFmtId="0" fontId="6" fillId="12" borderId="28" xfId="0" quotePrefix="1" applyFont="1" applyFill="1" applyBorder="1" applyAlignment="1" applyProtection="1">
      <alignment horizontal="left" vertical="top" wrapText="1"/>
      <protection locked="0"/>
    </xf>
    <xf numFmtId="0" fontId="6" fillId="12" borderId="21" xfId="0" quotePrefix="1" applyFont="1" applyFill="1" applyBorder="1" applyAlignment="1" applyProtection="1">
      <alignment horizontal="left" vertical="top" wrapText="1"/>
      <protection locked="0"/>
    </xf>
    <xf numFmtId="0" fontId="6" fillId="12" borderId="7" xfId="0" quotePrefix="1" applyFont="1" applyFill="1" applyBorder="1" applyAlignment="1" applyProtection="1">
      <alignment horizontal="left" vertical="top" wrapText="1"/>
      <protection locked="0"/>
    </xf>
    <xf numFmtId="0" fontId="6" fillId="12" borderId="23" xfId="0" quotePrefix="1" applyFont="1" applyFill="1" applyBorder="1" applyAlignment="1" applyProtection="1">
      <alignment horizontal="left" vertical="top" wrapText="1"/>
      <protection locked="0"/>
    </xf>
    <xf numFmtId="167" fontId="103" fillId="15" borderId="7" xfId="6" applyNumberFormat="1" applyFont="1" applyFill="1" applyBorder="1" applyAlignment="1">
      <alignment horizontal="center"/>
    </xf>
    <xf numFmtId="167" fontId="102" fillId="15" borderId="4" xfId="6" applyNumberFormat="1" applyFont="1" applyFill="1" applyBorder="1" applyAlignment="1">
      <alignment horizontal="left"/>
    </xf>
    <xf numFmtId="167" fontId="102" fillId="15" borderId="6" xfId="6" applyNumberFormat="1" applyFont="1" applyFill="1" applyBorder="1" applyAlignment="1">
      <alignment horizontal="left"/>
    </xf>
    <xf numFmtId="0" fontId="102" fillId="15" borderId="5" xfId="6" applyFont="1" applyFill="1" applyBorder="1" applyAlignment="1">
      <alignment horizontal="left"/>
    </xf>
    <xf numFmtId="0" fontId="102" fillId="20" borderId="7" xfId="6" applyFont="1" applyFill="1" applyBorder="1" applyAlignment="1">
      <alignment horizontal="center"/>
    </xf>
    <xf numFmtId="0" fontId="102" fillId="15" borderId="3" xfId="6" applyFont="1" applyFill="1" applyBorder="1" applyAlignment="1">
      <alignment horizontal="left"/>
    </xf>
    <xf numFmtId="167" fontId="102" fillId="15" borderId="3" xfId="6" applyNumberFormat="1" applyFont="1" applyFill="1" applyBorder="1" applyAlignment="1">
      <alignment horizontal="right" vertical="center" wrapText="1"/>
    </xf>
    <xf numFmtId="1" fontId="102" fillId="15" borderId="3" xfId="6" applyNumberFormat="1" applyFont="1" applyFill="1" applyBorder="1" applyAlignment="1">
      <alignment horizontal="center" vertical="center"/>
    </xf>
    <xf numFmtId="0" fontId="6" fillId="15" borderId="3" xfId="0" applyFont="1" applyFill="1" applyBorder="1" applyAlignment="1">
      <alignment horizontal="center"/>
    </xf>
    <xf numFmtId="0" fontId="5" fillId="15" borderId="7" xfId="0" applyFont="1" applyFill="1" applyBorder="1" applyAlignment="1">
      <alignment horizontal="center" vertical="center"/>
    </xf>
    <xf numFmtId="0" fontId="6" fillId="34" borderId="3" xfId="0" applyFont="1" applyFill="1" applyBorder="1" applyAlignment="1" applyProtection="1">
      <alignment horizontal="left" vertical="top" wrapText="1"/>
      <protection locked="0"/>
    </xf>
    <xf numFmtId="0" fontId="5" fillId="36" borderId="54" xfId="0" applyFont="1" applyFill="1" applyBorder="1" applyAlignment="1">
      <alignment horizontal="center" vertical="center" wrapText="1"/>
    </xf>
    <xf numFmtId="0" fontId="5" fillId="36" borderId="24" xfId="0" applyFont="1" applyFill="1" applyBorder="1" applyAlignment="1">
      <alignment horizontal="center" vertical="center" wrapText="1"/>
    </xf>
    <xf numFmtId="0" fontId="5" fillId="36" borderId="5" xfId="0" applyFont="1" applyFill="1" applyBorder="1" applyAlignment="1">
      <alignment horizontal="center" vertical="center" wrapText="1"/>
    </xf>
    <xf numFmtId="0" fontId="5" fillId="36" borderId="4" xfId="0" applyFont="1" applyFill="1" applyBorder="1" applyAlignment="1">
      <alignment horizontal="center" vertical="center" wrapText="1"/>
    </xf>
    <xf numFmtId="0" fontId="5" fillId="36" borderId="6" xfId="0" applyFont="1" applyFill="1" applyBorder="1" applyAlignment="1">
      <alignment horizontal="center" vertical="center" wrapText="1"/>
    </xf>
    <xf numFmtId="0" fontId="5" fillId="15" borderId="0" xfId="0" applyFont="1" applyFill="1" applyAlignment="1">
      <alignment horizontal="center" vertical="center"/>
    </xf>
    <xf numFmtId="0" fontId="5" fillId="15" borderId="3" xfId="0" applyFont="1" applyFill="1" applyBorder="1" applyAlignment="1">
      <alignment horizontal="left" vertical="center" wrapText="1"/>
    </xf>
    <xf numFmtId="0" fontId="1" fillId="15" borderId="117" xfId="0" applyFont="1" applyFill="1" applyBorder="1" applyAlignment="1">
      <alignment horizontal="center" vertical="center" wrapText="1"/>
    </xf>
    <xf numFmtId="0" fontId="1" fillId="15" borderId="113" xfId="0" applyFont="1" applyFill="1" applyBorder="1" applyAlignment="1">
      <alignment horizontal="center" vertical="center" wrapText="1"/>
    </xf>
    <xf numFmtId="0" fontId="1" fillId="15" borderId="116" xfId="0" applyFont="1" applyFill="1" applyBorder="1" applyAlignment="1">
      <alignment horizontal="center" vertical="center" wrapText="1"/>
    </xf>
    <xf numFmtId="0" fontId="1" fillId="15" borderId="112" xfId="0" applyFont="1" applyFill="1" applyBorder="1" applyAlignment="1">
      <alignment horizontal="center" vertical="center" wrapText="1"/>
    </xf>
    <xf numFmtId="0" fontId="1" fillId="15" borderId="115" xfId="0" applyFont="1" applyFill="1" applyBorder="1" applyAlignment="1">
      <alignment horizontal="center" vertical="center" wrapText="1"/>
    </xf>
    <xf numFmtId="0" fontId="1" fillId="15" borderId="111" xfId="0" applyFont="1" applyFill="1" applyBorder="1" applyAlignment="1">
      <alignment horizontal="center" vertical="center" wrapText="1"/>
    </xf>
    <xf numFmtId="0" fontId="25" fillId="15" borderId="310" xfId="24" applyFill="1" applyBorder="1" applyAlignment="1">
      <alignment wrapText="1"/>
    </xf>
    <xf numFmtId="0" fontId="25" fillId="15" borderId="316" xfId="24" applyFill="1" applyBorder="1" applyAlignment="1">
      <alignment horizontal="left" vertical="center"/>
    </xf>
    <xf numFmtId="0" fontId="25" fillId="15" borderId="317" xfId="24" applyFill="1" applyBorder="1" applyAlignment="1">
      <alignment horizontal="left" vertical="center"/>
    </xf>
    <xf numFmtId="0" fontId="25" fillId="15" borderId="288" xfId="24" applyFill="1" applyBorder="1" applyAlignment="1">
      <alignment horizontal="left" vertical="center"/>
    </xf>
    <xf numFmtId="0" fontId="14" fillId="15" borderId="318" xfId="24" applyFont="1" applyFill="1" applyBorder="1"/>
    <xf numFmtId="0" fontId="14" fillId="15" borderId="319" xfId="24" applyFont="1" applyFill="1" applyBorder="1"/>
    <xf numFmtId="0" fontId="14" fillId="15" borderId="320" xfId="24" applyFont="1" applyFill="1" applyBorder="1"/>
    <xf numFmtId="0" fontId="14" fillId="15" borderId="321" xfId="24" applyFont="1" applyFill="1" applyBorder="1"/>
    <xf numFmtId="0" fontId="25" fillId="15" borderId="321" xfId="24" applyFill="1" applyBorder="1"/>
    <xf numFmtId="0" fontId="25" fillId="15" borderId="322" xfId="24" applyFill="1" applyBorder="1"/>
    <xf numFmtId="0" fontId="46" fillId="20" borderId="311" xfId="26" applyFont="1" applyFill="1" applyBorder="1" applyAlignment="1">
      <alignment horizontal="center" vertical="center" wrapText="1"/>
    </xf>
    <xf numFmtId="0" fontId="46" fillId="20" borderId="312" xfId="26" applyFont="1" applyFill="1" applyBorder="1" applyAlignment="1">
      <alignment horizontal="center" vertical="center" wrapText="1"/>
    </xf>
    <xf numFmtId="0" fontId="46" fillId="20" borderId="135" xfId="26" applyFont="1" applyFill="1" applyBorder="1" applyAlignment="1">
      <alignment horizontal="center" vertical="center" wrapText="1"/>
    </xf>
    <xf numFmtId="16" fontId="25" fillId="15" borderId="307" xfId="24" quotePrefix="1" applyNumberFormat="1" applyFill="1" applyBorder="1" applyAlignment="1">
      <alignment vertical="top" wrapText="1"/>
    </xf>
    <xf numFmtId="0" fontId="25" fillId="15" borderId="308" xfId="24" applyFill="1" applyBorder="1" applyAlignment="1">
      <alignment vertical="top" wrapText="1"/>
    </xf>
    <xf numFmtId="0" fontId="25" fillId="15" borderId="308" xfId="24" applyFill="1" applyBorder="1" applyAlignment="1">
      <alignment vertical="center" wrapText="1"/>
    </xf>
    <xf numFmtId="0" fontId="25" fillId="15" borderId="308" xfId="24" applyFill="1" applyBorder="1" applyAlignment="1">
      <alignment horizontal="center" wrapText="1"/>
    </xf>
    <xf numFmtId="0" fontId="25" fillId="15" borderId="308" xfId="24" applyFill="1" applyBorder="1" applyAlignment="1">
      <alignment wrapText="1"/>
    </xf>
    <xf numFmtId="0" fontId="46" fillId="20" borderId="313" xfId="26" applyFont="1" applyFill="1" applyBorder="1" applyAlignment="1">
      <alignment horizontal="center" vertical="center" wrapText="1"/>
    </xf>
    <xf numFmtId="0" fontId="46" fillId="20" borderId="314" xfId="26" applyFont="1" applyFill="1" applyBorder="1" applyAlignment="1">
      <alignment horizontal="center" vertical="center" wrapText="1"/>
    </xf>
    <xf numFmtId="0" fontId="46" fillId="20" borderId="315" xfId="26" applyFont="1" applyFill="1" applyBorder="1" applyAlignment="1">
      <alignment horizontal="center" vertical="center" wrapText="1"/>
    </xf>
    <xf numFmtId="165" fontId="25" fillId="15" borderId="308" xfId="24" applyNumberFormat="1" applyFill="1" applyBorder="1" applyAlignment="1">
      <alignment horizontal="left" vertical="top" wrapText="1"/>
    </xf>
    <xf numFmtId="0" fontId="25" fillId="15" borderId="309" xfId="24" applyFill="1" applyBorder="1" applyAlignment="1">
      <alignment vertical="top" wrapText="1"/>
    </xf>
    <xf numFmtId="0" fontId="25" fillId="15" borderId="310" xfId="24" applyFill="1" applyBorder="1" applyAlignment="1">
      <alignment vertical="top" wrapText="1"/>
    </xf>
    <xf numFmtId="0" fontId="25" fillId="15" borderId="310" xfId="24" applyFill="1" applyBorder="1" applyAlignment="1">
      <alignment vertical="center"/>
    </xf>
    <xf numFmtId="0" fontId="25" fillId="15" borderId="307" xfId="24" applyFill="1" applyBorder="1" applyAlignment="1">
      <alignment vertical="top" wrapText="1"/>
    </xf>
    <xf numFmtId="0" fontId="25" fillId="15" borderId="307" xfId="24" quotePrefix="1" applyFill="1" applyBorder="1" applyAlignment="1">
      <alignment vertical="top" wrapText="1"/>
    </xf>
    <xf numFmtId="0" fontId="25" fillId="15" borderId="308" xfId="24" applyFill="1" applyBorder="1"/>
    <xf numFmtId="0" fontId="25" fillId="15" borderId="305" xfId="24" applyFill="1" applyBorder="1" applyAlignment="1">
      <alignment vertical="top" wrapText="1"/>
    </xf>
    <xf numFmtId="0" fontId="25" fillId="15" borderId="306" xfId="24" applyFill="1" applyBorder="1" applyAlignment="1">
      <alignment vertical="top" wrapText="1"/>
    </xf>
    <xf numFmtId="0" fontId="14" fillId="15" borderId="306" xfId="24" applyFont="1" applyFill="1" applyBorder="1" applyAlignment="1">
      <alignment vertical="center"/>
    </xf>
    <xf numFmtId="0" fontId="25" fillId="15" borderId="306" xfId="24" applyFill="1" applyBorder="1" applyAlignment="1">
      <alignment wrapText="1"/>
    </xf>
    <xf numFmtId="0" fontId="25" fillId="15" borderId="0" xfId="24" applyFill="1" applyAlignment="1">
      <alignment vertical="top" wrapText="1"/>
    </xf>
    <xf numFmtId="0" fontId="25" fillId="15" borderId="6" xfId="24" applyFill="1" applyBorder="1" applyAlignment="1">
      <alignment wrapText="1"/>
    </xf>
    <xf numFmtId="0" fontId="25" fillId="15" borderId="0" xfId="24" applyFill="1" applyAlignment="1">
      <alignment wrapText="1"/>
    </xf>
    <xf numFmtId="0" fontId="169" fillId="10" borderId="310" xfId="24" applyFont="1" applyFill="1" applyBorder="1" applyAlignment="1">
      <alignment wrapText="1"/>
    </xf>
    <xf numFmtId="0" fontId="25" fillId="10" borderId="308" xfId="24" applyFill="1" applyBorder="1" applyAlignment="1">
      <alignment vertical="center" wrapText="1"/>
    </xf>
    <xf numFmtId="0" fontId="25" fillId="4" borderId="308" xfId="24" applyFill="1" applyBorder="1" applyAlignment="1">
      <alignment vertical="center" wrapText="1"/>
    </xf>
    <xf numFmtId="0" fontId="5" fillId="20" borderId="3" xfId="26" applyFont="1" applyFill="1" applyBorder="1" applyAlignment="1">
      <alignment horizontal="left" vertical="center" wrapText="1"/>
    </xf>
    <xf numFmtId="0" fontId="1" fillId="20" borderId="115" xfId="26" applyFont="1" applyFill="1" applyBorder="1" applyAlignment="1">
      <alignment horizontal="center" vertical="center" wrapText="1"/>
    </xf>
    <xf numFmtId="0" fontId="1" fillId="20" borderId="125" xfId="26" applyFont="1" applyFill="1" applyBorder="1" applyAlignment="1">
      <alignment horizontal="center" vertical="center" wrapText="1"/>
    </xf>
    <xf numFmtId="0" fontId="1" fillId="20" borderId="116" xfId="26" applyFont="1" applyFill="1" applyBorder="1" applyAlignment="1">
      <alignment horizontal="center" vertical="center" wrapText="1"/>
    </xf>
    <xf numFmtId="0" fontId="1" fillId="20" borderId="126" xfId="26" applyFont="1" applyFill="1" applyBorder="1" applyAlignment="1">
      <alignment horizontal="center" vertical="center" wrapText="1"/>
    </xf>
    <xf numFmtId="0" fontId="25" fillId="4" borderId="308" xfId="24" applyFill="1" applyBorder="1" applyAlignment="1" applyProtection="1">
      <alignment wrapText="1"/>
      <protection locked="0"/>
    </xf>
    <xf numFmtId="0" fontId="1" fillId="20" borderId="117" xfId="26" applyFont="1" applyFill="1" applyBorder="1" applyAlignment="1">
      <alignment horizontal="center" vertical="center" wrapText="1"/>
    </xf>
    <xf numFmtId="0" fontId="1" fillId="20" borderId="127" xfId="26" applyFont="1" applyFill="1" applyBorder="1" applyAlignment="1">
      <alignment horizontal="center" vertical="center" wrapText="1"/>
    </xf>
    <xf numFmtId="0" fontId="25" fillId="15" borderId="117" xfId="24" applyFill="1" applyBorder="1" applyAlignment="1">
      <alignment horizontal="left" vertical="top" wrapText="1"/>
    </xf>
    <xf numFmtId="0" fontId="25" fillId="15" borderId="113" xfId="24" applyFill="1" applyBorder="1" applyAlignment="1">
      <alignment horizontal="left" vertical="top" wrapText="1"/>
    </xf>
    <xf numFmtId="0" fontId="25" fillId="4" borderId="113" xfId="24" applyFill="1" applyBorder="1" applyAlignment="1" applyProtection="1">
      <alignment horizontal="left" vertical="top" wrapText="1"/>
      <protection locked="0"/>
    </xf>
    <xf numFmtId="0" fontId="25" fillId="4" borderId="127" xfId="24" applyFill="1" applyBorder="1" applyAlignment="1" applyProtection="1">
      <alignment horizontal="left" vertical="top" wrapText="1"/>
      <protection locked="0"/>
    </xf>
    <xf numFmtId="0" fontId="25" fillId="15" borderId="115" xfId="24" applyFill="1" applyBorder="1" applyAlignment="1">
      <alignment horizontal="left" vertical="top" wrapText="1"/>
    </xf>
    <xf numFmtId="0" fontId="25" fillId="15" borderId="111" xfId="24" applyFill="1" applyBorder="1" applyAlignment="1">
      <alignment horizontal="left" vertical="top" wrapText="1"/>
    </xf>
    <xf numFmtId="0" fontId="25" fillId="4" borderId="111" xfId="24" applyFill="1" applyBorder="1" applyAlignment="1" applyProtection="1">
      <alignment horizontal="left" vertical="top" wrapText="1"/>
      <protection locked="0"/>
    </xf>
    <xf numFmtId="0" fontId="25" fillId="4" borderId="125" xfId="24" applyFill="1" applyBorder="1" applyAlignment="1" applyProtection="1">
      <alignment horizontal="left" vertical="top" wrapText="1"/>
      <protection locked="0"/>
    </xf>
    <xf numFmtId="0" fontId="25" fillId="15" borderId="4" xfId="24" applyFill="1" applyBorder="1" applyAlignment="1">
      <alignment horizontal="center"/>
    </xf>
    <xf numFmtId="0" fontId="25" fillId="15" borderId="6" xfId="24" applyFill="1" applyBorder="1" applyAlignment="1">
      <alignment horizontal="center"/>
    </xf>
    <xf numFmtId="0" fontId="25" fillId="15" borderId="5" xfId="24" applyFill="1" applyBorder="1" applyAlignment="1">
      <alignment horizontal="center"/>
    </xf>
    <xf numFmtId="0" fontId="1" fillId="15" borderId="22" xfId="0" applyFont="1" applyFill="1" applyBorder="1" applyAlignment="1">
      <alignment horizontal="left" vertical="center" wrapText="1"/>
    </xf>
    <xf numFmtId="0" fontId="11" fillId="15" borderId="0" xfId="24" applyFont="1" applyFill="1" applyAlignment="1">
      <alignment horizontal="center"/>
    </xf>
    <xf numFmtId="0" fontId="25" fillId="15" borderId="306" xfId="24" applyFill="1" applyBorder="1" applyAlignment="1">
      <alignment vertical="center" wrapText="1"/>
    </xf>
    <xf numFmtId="0" fontId="25" fillId="15" borderId="306" xfId="24" applyFill="1" applyBorder="1" applyAlignment="1">
      <alignment horizontal="left" wrapText="1"/>
    </xf>
    <xf numFmtId="0" fontId="14" fillId="20" borderId="54" xfId="24" applyFont="1" applyFill="1" applyBorder="1" applyAlignment="1">
      <alignment horizontal="center" vertical="top"/>
    </xf>
    <xf numFmtId="0" fontId="14" fillId="20" borderId="24" xfId="24" applyFont="1" applyFill="1" applyBorder="1" applyAlignment="1">
      <alignment horizontal="center" vertical="top"/>
    </xf>
    <xf numFmtId="0" fontId="14" fillId="20" borderId="55" xfId="24" applyFont="1" applyFill="1" applyBorder="1" applyAlignment="1">
      <alignment horizontal="center" vertical="top"/>
    </xf>
    <xf numFmtId="0" fontId="14" fillId="20" borderId="54" xfId="24" applyFont="1" applyFill="1" applyBorder="1" applyAlignment="1">
      <alignment horizontal="center" vertical="top" wrapText="1"/>
    </xf>
    <xf numFmtId="0" fontId="14" fillId="20" borderId="24" xfId="24" applyFont="1" applyFill="1" applyBorder="1" applyAlignment="1">
      <alignment horizontal="center" vertical="top" wrapText="1"/>
    </xf>
    <xf numFmtId="0" fontId="14" fillId="20" borderId="55" xfId="24" applyFont="1" applyFill="1" applyBorder="1" applyAlignment="1">
      <alignment horizontal="center" vertical="top" wrapText="1"/>
    </xf>
    <xf numFmtId="0" fontId="25" fillId="4" borderId="4" xfId="24" applyFill="1" applyBorder="1" applyAlignment="1">
      <alignment horizontal="center"/>
    </xf>
    <xf numFmtId="0" fontId="25" fillId="4" borderId="6" xfId="24" applyFill="1" applyBorder="1" applyAlignment="1">
      <alignment horizontal="center"/>
    </xf>
    <xf numFmtId="0" fontId="25" fillId="4" borderId="5" xfId="24" applyFill="1" applyBorder="1" applyAlignment="1">
      <alignment horizontal="center"/>
    </xf>
    <xf numFmtId="0" fontId="60" fillId="15" borderId="22" xfId="0" applyFont="1" applyFill="1" applyBorder="1" applyAlignment="1">
      <alignment horizontal="left" vertical="center" wrapText="1"/>
    </xf>
    <xf numFmtId="0" fontId="25" fillId="20" borderId="4" xfId="24" applyFill="1" applyBorder="1" applyAlignment="1">
      <alignment horizontal="center"/>
    </xf>
    <xf numFmtId="0" fontId="25" fillId="20" borderId="6" xfId="24" applyFill="1" applyBorder="1" applyAlignment="1">
      <alignment horizontal="center"/>
    </xf>
    <xf numFmtId="0" fontId="25" fillId="20" borderId="5" xfId="24" applyFill="1" applyBorder="1" applyAlignment="1">
      <alignment horizontal="center"/>
    </xf>
    <xf numFmtId="0" fontId="167" fillId="15" borderId="54" xfId="24" applyFont="1" applyFill="1" applyBorder="1" applyAlignment="1">
      <alignment horizontal="center" vertical="center" wrapText="1"/>
    </xf>
    <xf numFmtId="0" fontId="167" fillId="15" borderId="55" xfId="24" applyFont="1" applyFill="1" applyBorder="1" applyAlignment="1">
      <alignment horizontal="center" vertical="center" wrapText="1"/>
    </xf>
    <xf numFmtId="0" fontId="207" fillId="19" borderId="21" xfId="24" applyFont="1" applyFill="1" applyBorder="1" applyAlignment="1" applyProtection="1">
      <alignment horizontal="center" vertical="center"/>
      <protection locked="0"/>
    </xf>
    <xf numFmtId="0" fontId="207" fillId="19" borderId="23" xfId="24" applyFont="1" applyFill="1" applyBorder="1" applyAlignment="1" applyProtection="1">
      <alignment horizontal="center" vertical="center"/>
      <protection locked="0"/>
    </xf>
    <xf numFmtId="0" fontId="22" fillId="15" borderId="20" xfId="24" applyFont="1" applyFill="1" applyBorder="1" applyAlignment="1">
      <alignment horizontal="center" vertical="center" wrapText="1"/>
    </xf>
    <xf numFmtId="0" fontId="22" fillId="15" borderId="16" xfId="24" applyFont="1" applyFill="1" applyBorder="1" applyAlignment="1">
      <alignment horizontal="center" vertical="center" wrapText="1"/>
    </xf>
    <xf numFmtId="0" fontId="25" fillId="20" borderId="4" xfId="24" applyFill="1" applyBorder="1" applyAlignment="1">
      <alignment horizontal="center" vertical="center"/>
    </xf>
    <xf numFmtId="0" fontId="25" fillId="20" borderId="6" xfId="24" applyFill="1" applyBorder="1" applyAlignment="1">
      <alignment horizontal="center" vertical="center"/>
    </xf>
    <xf numFmtId="0" fontId="25" fillId="20" borderId="5" xfId="24" applyFill="1" applyBorder="1" applyAlignment="1">
      <alignment horizontal="center" vertical="center"/>
    </xf>
    <xf numFmtId="0" fontId="15" fillId="15" borderId="311" xfId="0" applyFont="1" applyFill="1" applyBorder="1" applyAlignment="1">
      <alignment horizontal="center" wrapText="1"/>
    </xf>
    <xf numFmtId="0" fontId="15" fillId="15" borderId="135" xfId="0" applyFont="1" applyFill="1" applyBorder="1" applyAlignment="1">
      <alignment horizontal="center" wrapText="1"/>
    </xf>
    <xf numFmtId="0" fontId="18" fillId="15" borderId="311" xfId="0" quotePrefix="1" applyFont="1" applyFill="1" applyBorder="1" applyAlignment="1">
      <alignment horizontal="center" wrapText="1"/>
    </xf>
    <xf numFmtId="0" fontId="18" fillId="15" borderId="135" xfId="0" quotePrefix="1" applyFont="1" applyFill="1" applyBorder="1" applyAlignment="1">
      <alignment horizontal="center" wrapText="1"/>
    </xf>
    <xf numFmtId="0" fontId="18" fillId="15" borderId="311" xfId="0" applyFont="1" applyFill="1" applyBorder="1" applyAlignment="1">
      <alignment horizontal="center" wrapText="1"/>
    </xf>
    <xf numFmtId="0" fontId="18" fillId="15" borderId="312" xfId="0" applyFont="1" applyFill="1" applyBorder="1" applyAlignment="1">
      <alignment horizontal="center" wrapText="1"/>
    </xf>
    <xf numFmtId="0" fontId="18" fillId="15" borderId="135" xfId="0" applyFont="1" applyFill="1" applyBorder="1" applyAlignment="1">
      <alignment horizontal="center" wrapText="1"/>
    </xf>
    <xf numFmtId="0" fontId="6" fillId="19" borderId="93" xfId="0" applyFont="1" applyFill="1" applyBorder="1" applyAlignment="1">
      <alignment horizontal="center" vertical="center" wrapText="1"/>
    </xf>
    <xf numFmtId="0" fontId="6" fillId="19" borderId="80" xfId="0" applyFont="1" applyFill="1" applyBorder="1" applyAlignment="1">
      <alignment horizontal="center" vertical="center" wrapText="1"/>
    </xf>
    <xf numFmtId="0" fontId="21" fillId="15" borderId="3" xfId="0" applyFont="1" applyFill="1" applyBorder="1" applyAlignment="1">
      <alignment horizontal="left" vertical="center" wrapText="1"/>
    </xf>
    <xf numFmtId="0" fontId="22" fillId="15" borderId="0" xfId="0" applyFont="1" applyFill="1" applyAlignment="1">
      <alignment wrapText="1"/>
    </xf>
    <xf numFmtId="0" fontId="15" fillId="15" borderId="0" xfId="0" applyFont="1" applyFill="1" applyAlignment="1">
      <alignment horizontal="right" wrapText="1"/>
    </xf>
    <xf numFmtId="0" fontId="6" fillId="19" borderId="94" xfId="0" applyFont="1" applyFill="1" applyBorder="1" applyAlignment="1">
      <alignment horizontal="center" vertical="center" wrapText="1"/>
    </xf>
    <xf numFmtId="0" fontId="6" fillId="15" borderId="0" xfId="0" quotePrefix="1" applyFont="1" applyFill="1" applyAlignment="1">
      <alignment wrapText="1"/>
    </xf>
    <xf numFmtId="0" fontId="6" fillId="15" borderId="0" xfId="0" applyFont="1" applyFill="1" applyAlignment="1">
      <alignment wrapText="1"/>
    </xf>
    <xf numFmtId="0" fontId="6" fillId="15" borderId="4" xfId="0" applyFont="1" applyFill="1" applyBorder="1" applyAlignment="1">
      <alignment wrapText="1"/>
    </xf>
    <xf numFmtId="0" fontId="6" fillId="15" borderId="6" xfId="0" applyFont="1" applyFill="1" applyBorder="1" applyAlignment="1">
      <alignment wrapText="1"/>
    </xf>
    <xf numFmtId="0" fontId="6" fillId="15" borderId="5" xfId="0" applyFont="1" applyFill="1" applyBorder="1" applyAlignment="1">
      <alignment wrapText="1"/>
    </xf>
    <xf numFmtId="0" fontId="6" fillId="19" borderId="92" xfId="0" applyFont="1" applyFill="1" applyBorder="1" applyAlignment="1">
      <alignment horizontal="center" vertical="center" wrapText="1"/>
    </xf>
    <xf numFmtId="0" fontId="6" fillId="19" borderId="323" xfId="0" applyFont="1" applyFill="1" applyBorder="1" applyAlignment="1">
      <alignment horizontal="center" vertical="center" wrapText="1"/>
    </xf>
    <xf numFmtId="0" fontId="6" fillId="15" borderId="321" xfId="0" applyFont="1" applyFill="1" applyBorder="1" applyAlignment="1">
      <alignment horizontal="right" wrapText="1"/>
    </xf>
    <xf numFmtId="0" fontId="1" fillId="15" borderId="0" xfId="0" applyFont="1" applyFill="1" applyAlignment="1">
      <alignment horizontal="right" wrapText="1"/>
    </xf>
    <xf numFmtId="167" fontId="25" fillId="0" borderId="4" xfId="6" applyNumberFormat="1" applyBorder="1" applyAlignment="1">
      <alignment horizontal="left"/>
    </xf>
    <xf numFmtId="167" fontId="25" fillId="0" borderId="6" xfId="6" applyNumberFormat="1" applyBorder="1" applyAlignment="1">
      <alignment horizontal="left"/>
    </xf>
    <xf numFmtId="0" fontId="25" fillId="0" borderId="5" xfId="6" applyBorder="1" applyAlignment="1">
      <alignment horizontal="left"/>
    </xf>
    <xf numFmtId="0" fontId="78" fillId="16" borderId="4" xfId="19" applyFont="1" applyFill="1" applyBorder="1" applyAlignment="1" applyProtection="1">
      <alignment horizontal="center" vertical="center"/>
      <protection locked="0"/>
    </xf>
    <xf numFmtId="0" fontId="78" fillId="16" borderId="5" xfId="19" applyFont="1" applyFill="1" applyBorder="1" applyAlignment="1" applyProtection="1">
      <alignment horizontal="center" vertical="center"/>
      <protection locked="0"/>
    </xf>
    <xf numFmtId="0" fontId="100" fillId="4" borderId="54" xfId="19" applyFont="1" applyFill="1" applyBorder="1" applyAlignment="1">
      <alignment horizontal="center" vertical="center" wrapText="1"/>
    </xf>
    <xf numFmtId="0" fontId="100" fillId="4" borderId="24" xfId="19" applyFont="1" applyFill="1" applyBorder="1" applyAlignment="1">
      <alignment horizontal="center" vertical="center" wrapText="1"/>
    </xf>
    <xf numFmtId="0" fontId="100" fillId="4" borderId="55" xfId="19" applyFont="1" applyFill="1" applyBorder="1" applyAlignment="1">
      <alignment horizontal="center" vertical="center" wrapText="1"/>
    </xf>
    <xf numFmtId="0" fontId="100" fillId="4" borderId="18" xfId="19" applyFont="1" applyFill="1" applyBorder="1" applyAlignment="1">
      <alignment horizontal="center" vertical="center" wrapText="1"/>
    </xf>
    <xf numFmtId="0" fontId="100" fillId="4" borderId="0" xfId="19" applyFont="1" applyFill="1" applyAlignment="1">
      <alignment horizontal="center" vertical="center" wrapText="1"/>
    </xf>
    <xf numFmtId="0" fontId="100" fillId="4" borderId="28" xfId="19" applyFont="1" applyFill="1" applyBorder="1" applyAlignment="1">
      <alignment horizontal="center" vertical="center" wrapText="1"/>
    </xf>
    <xf numFmtId="0" fontId="109" fillId="4" borderId="54" xfId="15" applyFont="1" applyFill="1" applyBorder="1" applyAlignment="1">
      <alignment horizontal="left" vertical="center" wrapText="1"/>
    </xf>
    <xf numFmtId="0" fontId="109" fillId="4" borderId="24" xfId="15" applyFont="1" applyFill="1" applyBorder="1" applyAlignment="1">
      <alignment horizontal="left" vertical="center" wrapText="1"/>
    </xf>
    <xf numFmtId="0" fontId="109" fillId="4" borderId="55" xfId="15" applyFont="1" applyFill="1" applyBorder="1" applyAlignment="1">
      <alignment horizontal="left" vertical="center" wrapText="1"/>
    </xf>
    <xf numFmtId="0" fontId="109" fillId="4" borderId="18" xfId="15" applyFont="1" applyFill="1" applyBorder="1" applyAlignment="1">
      <alignment horizontal="left" vertical="center" wrapText="1"/>
    </xf>
    <xf numFmtId="0" fontId="109" fillId="4" borderId="0" xfId="15" applyFont="1" applyFill="1" applyAlignment="1">
      <alignment horizontal="left" vertical="center" wrapText="1"/>
    </xf>
    <xf numFmtId="0" fontId="109" fillId="4" borderId="28" xfId="15" applyFont="1" applyFill="1" applyBorder="1" applyAlignment="1">
      <alignment horizontal="left" vertical="center" wrapText="1"/>
    </xf>
    <xf numFmtId="0" fontId="100" fillId="29" borderId="37" xfId="18" applyFont="1" applyFill="1" applyBorder="1" applyAlignment="1">
      <alignment horizontal="center" vertical="center" wrapText="1"/>
    </xf>
    <xf numFmtId="0" fontId="100" fillId="29" borderId="51" xfId="18" applyFont="1" applyFill="1" applyBorder="1" applyAlignment="1">
      <alignment horizontal="center" vertical="center" wrapText="1"/>
    </xf>
    <xf numFmtId="0" fontId="100" fillId="29" borderId="35" xfId="18" applyFont="1" applyFill="1" applyBorder="1" applyAlignment="1">
      <alignment horizontal="center" vertical="center" wrapText="1"/>
    </xf>
    <xf numFmtId="0" fontId="76" fillId="20" borderId="37" xfId="13" applyFont="1" applyFill="1" applyBorder="1" applyAlignment="1" applyProtection="1">
      <alignment horizontal="left" vertical="center" wrapText="1"/>
      <protection locked="0"/>
    </xf>
    <xf numFmtId="0" fontId="76" fillId="20" borderId="51" xfId="13" applyFont="1" applyFill="1" applyBorder="1" applyAlignment="1" applyProtection="1">
      <alignment horizontal="left" vertical="center" wrapText="1"/>
      <protection locked="0"/>
    </xf>
    <xf numFmtId="0" fontId="76" fillId="20" borderId="35" xfId="13" applyFont="1" applyFill="1" applyBorder="1" applyAlignment="1" applyProtection="1">
      <alignment horizontal="left" vertical="center" wrapText="1"/>
      <protection locked="0"/>
    </xf>
    <xf numFmtId="0" fontId="109" fillId="4" borderId="4" xfId="15" applyFont="1" applyFill="1" applyBorder="1" applyAlignment="1">
      <alignment horizontal="left" vertical="center"/>
    </xf>
    <xf numFmtId="0" fontId="109" fillId="4" borderId="6" xfId="15" applyFont="1" applyFill="1" applyBorder="1" applyAlignment="1">
      <alignment horizontal="left" vertical="center"/>
    </xf>
    <xf numFmtId="0" fontId="109" fillId="4" borderId="5" xfId="15" applyFont="1" applyFill="1" applyBorder="1" applyAlignment="1">
      <alignment horizontal="left" vertical="center"/>
    </xf>
    <xf numFmtId="0" fontId="100" fillId="60" borderId="37" xfId="18" applyFont="1" applyFill="1" applyBorder="1" applyAlignment="1">
      <alignment horizontal="center" vertical="center" wrapText="1"/>
    </xf>
    <xf numFmtId="0" fontId="100" fillId="60" borderId="35" xfId="18" applyFont="1" applyFill="1" applyBorder="1" applyAlignment="1">
      <alignment horizontal="center" vertical="center" wrapText="1"/>
    </xf>
    <xf numFmtId="0" fontId="78" fillId="0" borderId="0" xfId="18" applyFont="1" applyAlignment="1">
      <alignment horizontal="left" vertical="center"/>
    </xf>
    <xf numFmtId="0" fontId="111" fillId="0" borderId="0" xfId="19" applyFont="1" applyAlignment="1">
      <alignment horizontal="center" vertical="center"/>
    </xf>
    <xf numFmtId="0" fontId="78" fillId="4" borderId="54" xfId="19" applyFont="1" applyFill="1" applyBorder="1" applyAlignment="1">
      <alignment horizontal="center" vertical="center"/>
    </xf>
    <xf numFmtId="0" fontId="78" fillId="4" borderId="55" xfId="19" applyFont="1" applyFill="1" applyBorder="1" applyAlignment="1">
      <alignment horizontal="center" vertical="center"/>
    </xf>
    <xf numFmtId="0" fontId="64" fillId="20" borderId="4" xfId="13" applyFont="1" applyFill="1" applyBorder="1" applyAlignment="1">
      <alignment horizontal="center" vertical="center"/>
    </xf>
    <xf numFmtId="0" fontId="64" fillId="20" borderId="5" xfId="13" applyFont="1" applyFill="1" applyBorder="1" applyAlignment="1">
      <alignment horizontal="center" vertical="center"/>
    </xf>
    <xf numFmtId="0" fontId="64" fillId="0" borderId="4" xfId="13" applyFont="1" applyBorder="1" applyAlignment="1">
      <alignment horizontal="center" vertical="center"/>
    </xf>
    <xf numFmtId="0" fontId="64" fillId="0" borderId="6" xfId="13" applyFont="1" applyBorder="1" applyAlignment="1">
      <alignment horizontal="center" vertical="center"/>
    </xf>
    <xf numFmtId="0" fontId="64" fillId="0" borderId="5" xfId="13" applyFont="1" applyBorder="1" applyAlignment="1">
      <alignment horizontal="center" vertical="center"/>
    </xf>
    <xf numFmtId="0" fontId="112" fillId="4" borderId="54" xfId="15" applyFont="1" applyFill="1" applyBorder="1" applyAlignment="1">
      <alignment horizontal="left" vertical="center" wrapText="1" indent="1"/>
    </xf>
    <xf numFmtId="0" fontId="112" fillId="4" borderId="24" xfId="15" applyFont="1" applyFill="1" applyBorder="1" applyAlignment="1">
      <alignment horizontal="left" vertical="center" wrapText="1" indent="1"/>
    </xf>
    <xf numFmtId="0" fontId="112" fillId="4" borderId="55" xfId="15" applyFont="1" applyFill="1" applyBorder="1" applyAlignment="1">
      <alignment horizontal="left" vertical="center" wrapText="1" indent="1"/>
    </xf>
    <xf numFmtId="0" fontId="112" fillId="4" borderId="18" xfId="15" applyFont="1" applyFill="1" applyBorder="1" applyAlignment="1">
      <alignment horizontal="left" vertical="center" wrapText="1" indent="1"/>
    </xf>
    <xf numFmtId="0" fontId="112" fillId="4" borderId="0" xfId="15" applyFont="1" applyFill="1" applyAlignment="1">
      <alignment horizontal="left" vertical="center" wrapText="1" indent="1"/>
    </xf>
    <xf numFmtId="0" fontId="112" fillId="4" borderId="28" xfId="15" applyFont="1" applyFill="1" applyBorder="1" applyAlignment="1">
      <alignment horizontal="left" vertical="center" wrapText="1" indent="1"/>
    </xf>
    <xf numFmtId="0" fontId="112" fillId="4" borderId="21" xfId="15" applyFont="1" applyFill="1" applyBorder="1" applyAlignment="1">
      <alignment horizontal="left" vertical="center" indent="1"/>
    </xf>
    <xf numFmtId="0" fontId="112" fillId="4" borderId="7" xfId="15" applyFont="1" applyFill="1" applyBorder="1" applyAlignment="1">
      <alignment horizontal="left" vertical="center" indent="1"/>
    </xf>
    <xf numFmtId="0" fontId="112" fillId="4" borderId="23" xfId="15" applyFont="1" applyFill="1" applyBorder="1" applyAlignment="1">
      <alignment horizontal="left" vertical="center" indent="1"/>
    </xf>
    <xf numFmtId="0" fontId="73" fillId="4" borderId="24" xfId="13" applyFont="1" applyFill="1" applyBorder="1" applyAlignment="1">
      <alignment horizontal="center" vertical="center"/>
    </xf>
    <xf numFmtId="0" fontId="73" fillId="4" borderId="55" xfId="13" applyFont="1" applyFill="1" applyBorder="1" applyAlignment="1">
      <alignment horizontal="center" vertical="center"/>
    </xf>
    <xf numFmtId="0" fontId="187" fillId="72" borderId="324" xfId="16" applyFont="1" applyFill="1" applyBorder="1" applyAlignment="1">
      <alignment horizontal="center" vertical="center"/>
    </xf>
    <xf numFmtId="0" fontId="187" fillId="72" borderId="207" xfId="16" applyFont="1" applyFill="1" applyBorder="1" applyAlignment="1">
      <alignment horizontal="center" vertical="center"/>
    </xf>
    <xf numFmtId="0" fontId="187" fillId="72" borderId="325" xfId="16" applyFont="1" applyFill="1" applyBorder="1" applyAlignment="1">
      <alignment horizontal="center" vertical="center"/>
    </xf>
    <xf numFmtId="9" fontId="90" fillId="0" borderId="4" xfId="1" applyFont="1" applyBorder="1" applyAlignment="1">
      <alignment horizontal="center" vertical="center"/>
    </xf>
    <xf numFmtId="9" fontId="90" fillId="0" borderId="6" xfId="1" applyFont="1" applyBorder="1" applyAlignment="1">
      <alignment horizontal="center" vertical="center"/>
    </xf>
    <xf numFmtId="9" fontId="90" fillId="0" borderId="5" xfId="1" applyFont="1" applyBorder="1" applyAlignment="1">
      <alignment horizontal="center" vertical="center"/>
    </xf>
    <xf numFmtId="0" fontId="72" fillId="0" borderId="24" xfId="18" applyFont="1" applyBorder="1" applyAlignment="1">
      <alignment horizontal="left" vertical="center"/>
    </xf>
    <xf numFmtId="0" fontId="72" fillId="0" borderId="7" xfId="18" applyFont="1" applyBorder="1" applyAlignment="1">
      <alignment horizontal="left" vertical="center"/>
    </xf>
    <xf numFmtId="49" fontId="98" fillId="0" borderId="24" xfId="13" applyNumberFormat="1" applyFont="1" applyBorder="1">
      <alignment horizontal="left" vertical="center"/>
    </xf>
    <xf numFmtId="0" fontId="98" fillId="0" borderId="24" xfId="13" applyFont="1" applyBorder="1">
      <alignment horizontal="left" vertical="center"/>
    </xf>
    <xf numFmtId="0" fontId="98" fillId="0" borderId="55" xfId="13" applyFont="1" applyBorder="1">
      <alignment horizontal="left" vertical="center"/>
    </xf>
    <xf numFmtId="49" fontId="98" fillId="0" borderId="7" xfId="13" applyNumberFormat="1" applyFont="1" applyBorder="1">
      <alignment horizontal="left" vertical="center"/>
    </xf>
    <xf numFmtId="0" fontId="98" fillId="0" borderId="7" xfId="13" applyFont="1" applyBorder="1">
      <alignment horizontal="left" vertical="center"/>
    </xf>
    <xf numFmtId="0" fontId="98" fillId="0" borderId="23" xfId="13" applyFont="1" applyBorder="1">
      <alignment horizontal="left" vertical="center"/>
    </xf>
    <xf numFmtId="0" fontId="64" fillId="36" borderId="37" xfId="18" applyFont="1" applyFill="1" applyBorder="1" applyAlignment="1">
      <alignment horizontal="center" vertical="center" wrapText="1"/>
    </xf>
    <xf numFmtId="0" fontId="64" fillId="36" borderId="51" xfId="18" applyFont="1" applyFill="1" applyBorder="1" applyAlignment="1">
      <alignment horizontal="center" vertical="center" wrapText="1"/>
    </xf>
    <xf numFmtId="0" fontId="64" fillId="36" borderId="35" xfId="18" applyFont="1" applyFill="1" applyBorder="1" applyAlignment="1">
      <alignment horizontal="center" vertical="center" wrapText="1"/>
    </xf>
    <xf numFmtId="0" fontId="228" fillId="0" borderId="0" xfId="12" applyFont="1" applyAlignment="1">
      <alignment horizontal="left" vertical="top" wrapText="1"/>
    </xf>
    <xf numFmtId="0" fontId="73" fillId="4" borderId="54" xfId="13" applyFont="1" applyFill="1" applyBorder="1" applyAlignment="1">
      <alignment horizontal="center" vertical="center"/>
    </xf>
    <xf numFmtId="0" fontId="107" fillId="0" borderId="0" xfId="12" applyFont="1" applyAlignment="1">
      <alignment horizontal="left" wrapText="1"/>
    </xf>
    <xf numFmtId="0" fontId="184" fillId="0" borderId="24" xfId="19" applyFont="1" applyBorder="1" applyAlignment="1">
      <alignment horizontal="center" wrapText="1"/>
    </xf>
    <xf numFmtId="0" fontId="184" fillId="0" borderId="48" xfId="19" applyFont="1" applyBorder="1" applyAlignment="1">
      <alignment horizontal="center" wrapText="1"/>
    </xf>
    <xf numFmtId="0" fontId="100" fillId="0" borderId="0" xfId="18" applyFont="1" applyAlignment="1">
      <alignment horizontal="center" wrapText="1"/>
    </xf>
    <xf numFmtId="0" fontId="100" fillId="0" borderId="48" xfId="18" applyFont="1" applyBorder="1" applyAlignment="1">
      <alignment horizontal="center" wrapText="1"/>
    </xf>
    <xf numFmtId="0" fontId="222" fillId="69" borderId="0" xfId="0" applyFont="1" applyFill="1" applyAlignment="1">
      <alignment horizontal="center"/>
    </xf>
    <xf numFmtId="0" fontId="0" fillId="0" borderId="0" xfId="0" applyAlignment="1">
      <alignment horizontal="center"/>
    </xf>
    <xf numFmtId="0" fontId="224" fillId="69" borderId="7" xfId="0" applyFont="1" applyFill="1" applyBorder="1" applyAlignment="1">
      <alignment horizontal="center"/>
    </xf>
    <xf numFmtId="0" fontId="225" fillId="0" borderId="7" xfId="0" applyFont="1" applyBorder="1" applyAlignment="1">
      <alignment horizontal="center"/>
    </xf>
    <xf numFmtId="0" fontId="222" fillId="69" borderId="24" xfId="0" applyFont="1" applyFill="1" applyBorder="1" applyAlignment="1">
      <alignment horizontal="center"/>
    </xf>
    <xf numFmtId="0" fontId="0" fillId="0" borderId="24" xfId="0" applyBorder="1" applyAlignment="1">
      <alignment horizontal="center"/>
    </xf>
    <xf numFmtId="0" fontId="178" fillId="0" borderId="54" xfId="19" applyFont="1" applyBorder="1" applyAlignment="1">
      <alignment horizontal="center" vertical="center" wrapText="1"/>
    </xf>
    <xf numFmtId="0" fontId="178" fillId="0" borderId="24" xfId="19" applyFont="1" applyBorder="1" applyAlignment="1">
      <alignment horizontal="center" vertical="center" wrapText="1"/>
    </xf>
    <xf numFmtId="0" fontId="178" fillId="0" borderId="55" xfId="19" applyFont="1" applyBorder="1" applyAlignment="1">
      <alignment horizontal="center" vertical="center" wrapText="1"/>
    </xf>
    <xf numFmtId="0" fontId="178" fillId="0" borderId="18" xfId="19" applyFont="1" applyBorder="1" applyAlignment="1">
      <alignment horizontal="center" vertical="center" wrapText="1"/>
    </xf>
    <xf numFmtId="0" fontId="178" fillId="0" borderId="0" xfId="19" applyFont="1" applyAlignment="1">
      <alignment horizontal="center" vertical="center" wrapText="1"/>
    </xf>
    <xf numFmtId="0" fontId="178" fillId="0" borderId="28" xfId="19" applyFont="1" applyBorder="1" applyAlignment="1">
      <alignment horizontal="center" vertical="center" wrapText="1"/>
    </xf>
    <xf numFmtId="0" fontId="178" fillId="0" borderId="21" xfId="19" applyFont="1" applyBorder="1" applyAlignment="1">
      <alignment horizontal="center" vertical="center" wrapText="1"/>
    </xf>
    <xf numFmtId="0" fontId="178" fillId="0" borderId="7" xfId="19" applyFont="1" applyBorder="1" applyAlignment="1">
      <alignment horizontal="center" vertical="center" wrapText="1"/>
    </xf>
    <xf numFmtId="0" fontId="178" fillId="0" borderId="23" xfId="19" applyFont="1" applyBorder="1" applyAlignment="1">
      <alignment horizontal="center" vertical="center" wrapText="1"/>
    </xf>
    <xf numFmtId="0" fontId="78" fillId="20" borderId="37" xfId="19" applyFont="1" applyFill="1" applyBorder="1" applyAlignment="1" applyProtection="1">
      <alignment horizontal="center" vertical="center"/>
      <protection locked="0"/>
    </xf>
    <xf numFmtId="0" fontId="78" fillId="20" borderId="57" xfId="19" applyFont="1" applyFill="1" applyBorder="1" applyAlignment="1" applyProtection="1">
      <alignment horizontal="center" vertical="center"/>
      <protection locked="0"/>
    </xf>
    <xf numFmtId="0" fontId="78" fillId="0" borderId="52" xfId="19" applyFont="1" applyBorder="1" applyAlignment="1">
      <alignment horizontal="center"/>
    </xf>
    <xf numFmtId="0" fontId="78" fillId="0" borderId="201" xfId="19" applyFont="1" applyBorder="1" applyAlignment="1">
      <alignment horizontal="center"/>
    </xf>
    <xf numFmtId="0" fontId="73" fillId="29" borderId="37" xfId="18" applyFont="1" applyFill="1" applyBorder="1" applyAlignment="1">
      <alignment horizontal="center" vertical="center" wrapText="1"/>
    </xf>
    <xf numFmtId="0" fontId="73" fillId="29" borderId="51" xfId="18" applyFont="1" applyFill="1" applyBorder="1" applyAlignment="1">
      <alignment horizontal="center" vertical="center" wrapText="1"/>
    </xf>
    <xf numFmtId="0" fontId="73" fillId="29" borderId="35" xfId="18" applyFont="1" applyFill="1" applyBorder="1" applyAlignment="1">
      <alignment horizontal="center" vertical="center" wrapText="1"/>
    </xf>
    <xf numFmtId="0" fontId="180" fillId="58" borderId="4" xfId="19" applyFont="1" applyFill="1" applyBorder="1" applyAlignment="1">
      <alignment horizontal="center" vertical="center"/>
    </xf>
    <xf numFmtId="0" fontId="180" fillId="58" borderId="6" xfId="19" applyFont="1" applyFill="1" applyBorder="1" applyAlignment="1">
      <alignment horizontal="center" vertical="center"/>
    </xf>
    <xf numFmtId="0" fontId="180" fillId="58" borderId="5" xfId="19" applyFont="1" applyFill="1" applyBorder="1" applyAlignment="1">
      <alignment horizontal="center" vertical="center"/>
    </xf>
    <xf numFmtId="0" fontId="145" fillId="0" borderId="7" xfId="19" applyFont="1" applyBorder="1" applyAlignment="1">
      <alignment horizontal="center" vertical="center"/>
    </xf>
    <xf numFmtId="0" fontId="145" fillId="0" borderId="0" xfId="19" applyFont="1" applyAlignment="1">
      <alignment horizontal="center" vertical="center"/>
    </xf>
    <xf numFmtId="49" fontId="151" fillId="45" borderId="150" xfId="23" applyNumberFormat="1" applyFont="1" applyFill="1" applyBorder="1" applyAlignment="1" applyProtection="1">
      <alignment horizontal="center" vertical="center" textRotation="90" wrapText="1"/>
    </xf>
    <xf numFmtId="0" fontId="151" fillId="45" borderId="150" xfId="23" applyFont="1" applyFill="1" applyBorder="1" applyAlignment="1" applyProtection="1">
      <alignment horizontal="center" vertical="center" textRotation="90" wrapText="1"/>
    </xf>
    <xf numFmtId="0" fontId="147" fillId="15" borderId="153" xfId="23" applyNumberFormat="1" applyFont="1" applyFill="1" applyBorder="1" applyAlignment="1" applyProtection="1">
      <alignment horizontal="center" vertical="center" wrapText="1"/>
    </xf>
    <xf numFmtId="0" fontId="147" fillId="15" borderId="152" xfId="23" applyNumberFormat="1" applyFont="1" applyFill="1" applyBorder="1" applyAlignment="1" applyProtection="1">
      <alignment horizontal="center" vertical="center" wrapText="1"/>
    </xf>
    <xf numFmtId="49" fontId="147" fillId="15" borderId="152" xfId="23" applyNumberFormat="1" applyFont="1" applyFill="1" applyBorder="1" applyAlignment="1" applyProtection="1">
      <alignment horizontal="center" vertical="center" wrapText="1"/>
    </xf>
    <xf numFmtId="0" fontId="146" fillId="0" borderId="152" xfId="23" applyNumberFormat="1" applyBorder="1" applyAlignment="1" applyProtection="1">
      <alignment horizontal="center" vertical="top" textRotation="90" wrapText="1"/>
    </xf>
    <xf numFmtId="0" fontId="146" fillId="0" borderId="154" xfId="23" applyNumberFormat="1" applyBorder="1" applyAlignment="1" applyProtection="1">
      <alignment horizontal="center" vertical="top" textRotation="90" wrapText="1"/>
    </xf>
    <xf numFmtId="49" fontId="148" fillId="15" borderId="150" xfId="23" applyNumberFormat="1" applyFont="1" applyFill="1" applyBorder="1" applyAlignment="1" applyProtection="1">
      <alignment horizontal="center" vertical="center"/>
    </xf>
    <xf numFmtId="49" fontId="148" fillId="15" borderId="145" xfId="23" applyNumberFormat="1" applyFont="1" applyFill="1" applyBorder="1" applyAlignment="1" applyProtection="1">
      <alignment horizontal="center" vertical="center"/>
    </xf>
    <xf numFmtId="0" fontId="148" fillId="68" borderId="145" xfId="23" applyFont="1" applyFill="1" applyBorder="1" applyAlignment="1" applyProtection="1">
      <alignment horizontal="center" vertical="center"/>
    </xf>
    <xf numFmtId="49" fontId="147" fillId="73" borderId="146" xfId="23" applyNumberFormat="1" applyFont="1" applyFill="1" applyBorder="1" applyAlignment="1" applyProtection="1">
      <alignment horizontal="center" vertical="top" wrapText="1"/>
    </xf>
    <xf numFmtId="0" fontId="147" fillId="73" borderId="146" xfId="23" applyFont="1" applyFill="1" applyBorder="1" applyProtection="1">
      <alignment vertical="top" wrapText="1"/>
    </xf>
    <xf numFmtId="49" fontId="151" fillId="45" borderId="326" xfId="23" applyNumberFormat="1" applyFont="1" applyFill="1" applyBorder="1" applyAlignment="1" applyProtection="1">
      <alignment horizontal="center" vertical="center" textRotation="90" wrapText="1"/>
    </xf>
    <xf numFmtId="49" fontId="147" fillId="45" borderId="153" xfId="23" applyNumberFormat="1" applyFont="1" applyFill="1" applyBorder="1" applyAlignment="1" applyProtection="1">
      <alignment horizontal="left" vertical="center" wrapText="1"/>
    </xf>
    <xf numFmtId="0" fontId="147" fillId="0" borderId="152" xfId="23" applyFont="1" applyBorder="1" applyAlignment="1" applyProtection="1">
      <alignment horizontal="left" vertical="center" wrapText="1"/>
    </xf>
    <xf numFmtId="0" fontId="151" fillId="45" borderId="148" xfId="23" applyFont="1" applyFill="1" applyBorder="1" applyAlignment="1" applyProtection="1">
      <alignment horizontal="center" vertical="center" textRotation="90" wrapText="1"/>
    </xf>
    <xf numFmtId="0" fontId="151" fillId="45" borderId="153" xfId="27" applyFont="1" applyFill="1" applyBorder="1" applyAlignment="1">
      <alignment horizontal="center" vertical="center" textRotation="90" wrapText="1"/>
    </xf>
    <xf numFmtId="0" fontId="146" fillId="0" borderId="150" xfId="27" applyBorder="1" applyAlignment="1">
      <alignment horizontal="center" vertical="center" textRotation="90" wrapText="1"/>
    </xf>
    <xf numFmtId="0" fontId="146" fillId="0" borderId="148" xfId="27" applyBorder="1" applyAlignment="1">
      <alignment horizontal="center" vertical="center" textRotation="90" wrapText="1"/>
    </xf>
    <xf numFmtId="49" fontId="147" fillId="45" borderId="153" xfId="27" applyNumberFormat="1" applyFont="1" applyFill="1" applyBorder="1" applyAlignment="1">
      <alignment horizontal="left" vertical="center" wrapText="1"/>
    </xf>
    <xf numFmtId="0" fontId="147" fillId="0" borderId="152" xfId="27" applyFont="1" applyBorder="1" applyAlignment="1">
      <alignment horizontal="left" vertical="center" wrapText="1"/>
    </xf>
    <xf numFmtId="0" fontId="147" fillId="0" borderId="154" xfId="27" applyFont="1" applyBorder="1" applyAlignment="1">
      <alignment horizontal="left" vertical="center" wrapText="1"/>
    </xf>
    <xf numFmtId="49" fontId="151" fillId="45" borderId="153" xfId="27" applyNumberFormat="1" applyFont="1" applyFill="1" applyBorder="1" applyAlignment="1">
      <alignment horizontal="center" vertical="center" textRotation="90" wrapText="1"/>
    </xf>
    <xf numFmtId="49" fontId="151" fillId="45" borderId="150" xfId="27" applyNumberFormat="1" applyFont="1" applyFill="1" applyBorder="1" applyAlignment="1">
      <alignment horizontal="center" vertical="center" textRotation="90" wrapText="1"/>
    </xf>
    <xf numFmtId="0" fontId="151" fillId="45" borderId="150" xfId="27" applyFont="1" applyFill="1" applyBorder="1" applyAlignment="1">
      <alignment horizontal="center" vertical="center" textRotation="90" wrapText="1"/>
    </xf>
    <xf numFmtId="0" fontId="151" fillId="45" borderId="148" xfId="27" applyFont="1" applyFill="1" applyBorder="1" applyAlignment="1">
      <alignment horizontal="center" vertical="center" textRotation="90" wrapText="1"/>
    </xf>
    <xf numFmtId="0" fontId="151" fillId="0" borderId="153" xfId="27" applyFont="1" applyBorder="1" applyAlignment="1">
      <alignment horizontal="center" vertical="center" textRotation="90" wrapText="1"/>
    </xf>
    <xf numFmtId="0" fontId="151" fillId="0" borderId="150" xfId="27" applyFont="1" applyBorder="1" applyAlignment="1">
      <alignment horizontal="center" vertical="center" textRotation="90" wrapText="1"/>
    </xf>
    <xf numFmtId="0" fontId="151" fillId="0" borderId="148" xfId="27" applyFont="1" applyBorder="1" applyAlignment="1">
      <alignment horizontal="center" vertical="center" textRotation="90" wrapText="1"/>
    </xf>
    <xf numFmtId="49" fontId="147" fillId="73" borderId="152" xfId="23" applyNumberFormat="1" applyFont="1" applyFill="1" applyBorder="1" applyAlignment="1">
      <alignment horizontal="center" vertical="top" wrapText="1"/>
    </xf>
    <xf numFmtId="0" fontId="147" fillId="73" borderId="152" xfId="23" applyFont="1" applyFill="1" applyBorder="1" applyAlignment="1">
      <alignment horizontal="center" vertical="top" wrapText="1"/>
    </xf>
    <xf numFmtId="49" fontId="151" fillId="45" borderId="148" xfId="27" applyNumberFormat="1" applyFont="1" applyFill="1" applyBorder="1" applyAlignment="1">
      <alignment horizontal="center" vertical="center" textRotation="90" wrapText="1"/>
    </xf>
    <xf numFmtId="49" fontId="148" fillId="15" borderId="148" xfId="23" applyNumberFormat="1" applyFont="1" applyFill="1" applyBorder="1" applyAlignment="1" applyProtection="1">
      <alignment horizontal="center" vertical="center"/>
    </xf>
    <xf numFmtId="49" fontId="148" fillId="15" borderId="146" xfId="23" applyNumberFormat="1" applyFont="1" applyFill="1" applyBorder="1" applyAlignment="1" applyProtection="1">
      <alignment horizontal="center" vertical="center"/>
    </xf>
    <xf numFmtId="0" fontId="146" fillId="0" borderId="152" xfId="23" applyNumberFormat="1" applyBorder="1" applyAlignment="1">
      <alignment horizontal="center" vertical="top" textRotation="90" wrapText="1"/>
    </xf>
    <xf numFmtId="0" fontId="146" fillId="0" borderId="154" xfId="23" applyNumberFormat="1" applyBorder="1" applyAlignment="1">
      <alignment horizontal="center" vertical="top" textRotation="90" wrapText="1"/>
    </xf>
    <xf numFmtId="0" fontId="148" fillId="28" borderId="146" xfId="23" applyFont="1" applyFill="1" applyBorder="1" applyAlignment="1">
      <alignment horizontal="center" vertical="center"/>
    </xf>
    <xf numFmtId="0" fontId="151" fillId="45" borderId="153" xfId="23" applyFont="1" applyFill="1" applyBorder="1" applyAlignment="1">
      <alignment horizontal="center" vertical="center" textRotation="90" wrapText="1"/>
    </xf>
    <xf numFmtId="0" fontId="146" fillId="0" borderId="150" xfId="23" applyBorder="1" applyAlignment="1">
      <alignment horizontal="center" vertical="center" textRotation="90" wrapText="1"/>
    </xf>
    <xf numFmtId="0" fontId="146" fillId="0" borderId="148" xfId="23" applyBorder="1" applyAlignment="1">
      <alignment horizontal="center" vertical="center" textRotation="90" wrapText="1"/>
    </xf>
    <xf numFmtId="49" fontId="147" fillId="45" borderId="153" xfId="23" applyNumberFormat="1" applyFont="1" applyFill="1" applyBorder="1" applyAlignment="1">
      <alignment horizontal="left" vertical="center" wrapText="1"/>
    </xf>
    <xf numFmtId="0" fontId="147" fillId="0" borderId="152" xfId="23" applyFont="1" applyBorder="1" applyAlignment="1">
      <alignment horizontal="left" vertical="center" wrapText="1"/>
    </xf>
    <xf numFmtId="0" fontId="147" fillId="0" borderId="154" xfId="23" applyFont="1" applyBorder="1" applyAlignment="1">
      <alignment horizontal="left" vertical="center" wrapText="1"/>
    </xf>
    <xf numFmtId="49" fontId="151" fillId="45" borderId="153" xfId="23" applyNumberFormat="1" applyFont="1" applyFill="1" applyBorder="1" applyAlignment="1">
      <alignment horizontal="center" vertical="center" textRotation="90" wrapText="1"/>
    </xf>
    <xf numFmtId="0" fontId="151" fillId="45" borderId="150" xfId="23" applyFont="1" applyFill="1" applyBorder="1" applyAlignment="1">
      <alignment horizontal="center" vertical="center" textRotation="90" wrapText="1"/>
    </xf>
    <xf numFmtId="0" fontId="151" fillId="45" borderId="148" xfId="23" applyFont="1" applyFill="1" applyBorder="1" applyAlignment="1">
      <alignment horizontal="center" vertical="center" textRotation="90" wrapText="1"/>
    </xf>
    <xf numFmtId="0" fontId="151" fillId="0" borderId="153" xfId="23" applyFont="1" applyBorder="1" applyAlignment="1">
      <alignment horizontal="center" vertical="center" textRotation="90" wrapText="1"/>
    </xf>
    <xf numFmtId="0" fontId="151" fillId="0" borderId="150" xfId="23" applyFont="1" applyBorder="1" applyAlignment="1">
      <alignment horizontal="center" vertical="center" textRotation="90" wrapText="1"/>
    </xf>
    <xf numFmtId="0" fontId="151" fillId="0" borderId="148" xfId="23" applyFont="1" applyBorder="1" applyAlignment="1">
      <alignment horizontal="center" vertical="center" textRotation="90" wrapText="1"/>
    </xf>
    <xf numFmtId="0" fontId="148" fillId="4" borderId="145" xfId="23" applyFont="1" applyFill="1" applyBorder="1" applyAlignment="1">
      <alignment horizontal="center" vertical="center"/>
    </xf>
    <xf numFmtId="49" fontId="147" fillId="73" borderId="146" xfId="23" applyNumberFormat="1" applyFont="1" applyFill="1" applyBorder="1" applyAlignment="1">
      <alignment horizontal="center" vertical="top" wrapText="1"/>
    </xf>
    <xf numFmtId="0" fontId="147" fillId="73" borderId="146" xfId="23" applyFont="1" applyFill="1" applyBorder="1">
      <alignment vertical="top" wrapText="1"/>
    </xf>
    <xf numFmtId="49" fontId="151" fillId="45" borderId="150" xfId="23" applyNumberFormat="1" applyFont="1" applyFill="1" applyBorder="1" applyAlignment="1">
      <alignment horizontal="center" vertical="center" textRotation="90" wrapText="1"/>
    </xf>
    <xf numFmtId="49" fontId="151" fillId="45" borderId="148" xfId="23" applyNumberFormat="1" applyFont="1" applyFill="1" applyBorder="1" applyAlignment="1">
      <alignment horizontal="center" vertical="center" textRotation="90" wrapText="1"/>
    </xf>
    <xf numFmtId="0" fontId="39" fillId="3" borderId="0" xfId="7" applyFont="1" applyAlignment="1">
      <alignment horizontal="center"/>
    </xf>
    <xf numFmtId="0" fontId="220" fillId="0" borderId="54" xfId="19" applyFont="1" applyBorder="1" applyAlignment="1">
      <alignment horizontal="center" vertical="center" wrapText="1"/>
    </xf>
    <xf numFmtId="0" fontId="220" fillId="0" borderId="24" xfId="19" applyFont="1" applyBorder="1" applyAlignment="1">
      <alignment horizontal="center" vertical="center" wrapText="1"/>
    </xf>
    <xf numFmtId="0" fontId="220" fillId="0" borderId="55" xfId="19" applyFont="1" applyBorder="1" applyAlignment="1">
      <alignment horizontal="center" vertical="center" wrapText="1"/>
    </xf>
    <xf numFmtId="0" fontId="220" fillId="0" borderId="18" xfId="19" applyFont="1" applyBorder="1" applyAlignment="1">
      <alignment horizontal="center" vertical="center" wrapText="1"/>
    </xf>
    <xf numFmtId="0" fontId="220" fillId="0" borderId="0" xfId="19" applyFont="1" applyAlignment="1">
      <alignment horizontal="center" vertical="center" wrapText="1"/>
    </xf>
    <xf numFmtId="0" fontId="220" fillId="0" borderId="28" xfId="19" applyFont="1" applyBorder="1" applyAlignment="1">
      <alignment horizontal="center" vertical="center" wrapText="1"/>
    </xf>
    <xf numFmtId="0" fontId="220" fillId="0" borderId="21" xfId="19" applyFont="1" applyBorder="1" applyAlignment="1">
      <alignment horizontal="center" vertical="center" wrapText="1"/>
    </xf>
    <xf numFmtId="0" fontId="220" fillId="0" borderId="7" xfId="19" applyFont="1" applyBorder="1" applyAlignment="1">
      <alignment horizontal="center" vertical="center" wrapText="1"/>
    </xf>
    <xf numFmtId="0" fontId="220" fillId="0" borderId="23" xfId="19" applyFont="1" applyBorder="1" applyAlignment="1">
      <alignment horizontal="center" vertical="center" wrapText="1"/>
    </xf>
    <xf numFmtId="14" fontId="68" fillId="40" borderId="7" xfId="19" applyNumberFormat="1" applyFont="1" applyFill="1" applyBorder="1" applyAlignment="1">
      <alignment horizontal="left" vertical="top"/>
    </xf>
    <xf numFmtId="0" fontId="68" fillId="40" borderId="7" xfId="19" applyFont="1" applyFill="1" applyBorder="1" applyAlignment="1">
      <alignment horizontal="left" vertical="top"/>
    </xf>
    <xf numFmtId="0" fontId="78" fillId="0" borderId="7" xfId="19" applyFont="1" applyBorder="1" applyAlignment="1">
      <alignment horizontal="center" vertical="center"/>
    </xf>
    <xf numFmtId="0" fontId="78" fillId="0" borderId="23" xfId="19" applyFont="1" applyBorder="1" applyAlignment="1">
      <alignment horizontal="center" vertical="center"/>
    </xf>
    <xf numFmtId="0" fontId="78" fillId="0" borderId="6" xfId="19" applyFont="1" applyBorder="1" applyAlignment="1">
      <alignment horizontal="center"/>
    </xf>
    <xf numFmtId="0" fontId="78" fillId="0" borderId="5" xfId="19" applyFont="1" applyBorder="1" applyAlignment="1">
      <alignment horizontal="center"/>
    </xf>
    <xf numFmtId="0" fontId="100" fillId="40" borderId="37" xfId="18" applyFont="1" applyFill="1" applyBorder="1" applyAlignment="1">
      <alignment horizontal="center" vertical="center" wrapText="1"/>
    </xf>
    <xf numFmtId="0" fontId="100" fillId="40" borderId="51" xfId="18" applyFont="1" applyFill="1" applyBorder="1" applyAlignment="1">
      <alignment horizontal="center" vertical="center" wrapText="1"/>
    </xf>
    <xf numFmtId="0" fontId="100" fillId="40" borderId="35" xfId="18" applyFont="1" applyFill="1" applyBorder="1" applyAlignment="1">
      <alignment horizontal="center" vertical="center" wrapText="1"/>
    </xf>
    <xf numFmtId="0" fontId="68" fillId="40" borderId="4" xfId="19" applyFont="1" applyFill="1" applyBorder="1" applyAlignment="1">
      <alignment horizontal="center"/>
    </xf>
    <xf numFmtId="0" fontId="68" fillId="40" borderId="6" xfId="19" applyFont="1" applyFill="1" applyBorder="1" applyAlignment="1">
      <alignment horizontal="center"/>
    </xf>
    <xf numFmtId="0" fontId="68" fillId="40" borderId="5" xfId="19" applyFont="1" applyFill="1" applyBorder="1" applyAlignment="1">
      <alignment horizontal="center"/>
    </xf>
    <xf numFmtId="0" fontId="72" fillId="20" borderId="54" xfId="19" applyFont="1" applyFill="1" applyBorder="1" applyAlignment="1" applyProtection="1">
      <alignment horizontal="left" vertical="center"/>
      <protection locked="0"/>
    </xf>
    <xf numFmtId="0" fontId="72" fillId="20" borderId="24" xfId="19" applyFont="1" applyFill="1" applyBorder="1" applyAlignment="1" applyProtection="1">
      <alignment horizontal="left" vertical="center"/>
      <protection locked="0"/>
    </xf>
    <xf numFmtId="0" fontId="72" fillId="20" borderId="55" xfId="19" applyFont="1" applyFill="1" applyBorder="1" applyAlignment="1" applyProtection="1">
      <alignment horizontal="left" vertical="center"/>
      <protection locked="0"/>
    </xf>
    <xf numFmtId="0" fontId="72" fillId="20" borderId="18" xfId="19" applyFont="1" applyFill="1" applyBorder="1" applyAlignment="1" applyProtection="1">
      <alignment horizontal="left" vertical="center"/>
      <protection locked="0"/>
    </xf>
    <xf numFmtId="0" fontId="72" fillId="20" borderId="0" xfId="19" applyFont="1" applyFill="1" applyAlignment="1" applyProtection="1">
      <alignment horizontal="left" vertical="center"/>
      <protection locked="0"/>
    </xf>
    <xf numFmtId="0" fontId="72" fillId="20" borderId="28" xfId="19" applyFont="1" applyFill="1" applyBorder="1" applyAlignment="1" applyProtection="1">
      <alignment horizontal="left" vertical="center"/>
      <protection locked="0"/>
    </xf>
    <xf numFmtId="0" fontId="72" fillId="20" borderId="21" xfId="19" applyFont="1" applyFill="1" applyBorder="1" applyAlignment="1" applyProtection="1">
      <alignment horizontal="left" vertical="center"/>
      <protection locked="0"/>
    </xf>
    <xf numFmtId="0" fontId="72" fillId="20" borderId="7" xfId="19" applyFont="1" applyFill="1" applyBorder="1" applyAlignment="1" applyProtection="1">
      <alignment horizontal="left" vertical="center"/>
      <protection locked="0"/>
    </xf>
    <xf numFmtId="0" fontId="72" fillId="20" borderId="23" xfId="19" applyFont="1" applyFill="1" applyBorder="1" applyAlignment="1" applyProtection="1">
      <alignment horizontal="left" vertical="center"/>
      <protection locked="0"/>
    </xf>
    <xf numFmtId="0" fontId="218" fillId="4" borderId="37" xfId="17" applyFont="1" applyFill="1" applyBorder="1" applyAlignment="1">
      <alignment horizontal="center" vertical="center" wrapText="1"/>
    </xf>
    <xf numFmtId="0" fontId="218" fillId="4" borderId="51" xfId="17" applyFont="1" applyFill="1" applyBorder="1" applyAlignment="1">
      <alignment horizontal="center" vertical="center" wrapText="1"/>
    </xf>
    <xf numFmtId="0" fontId="218" fillId="4" borderId="35" xfId="17" applyFont="1" applyFill="1" applyBorder="1" applyAlignment="1">
      <alignment horizontal="center" vertical="center" wrapText="1"/>
    </xf>
    <xf numFmtId="0" fontId="213" fillId="0" borderId="0" xfId="15" applyFont="1" applyAlignment="1">
      <alignment vertical="center"/>
    </xf>
    <xf numFmtId="0" fontId="217" fillId="24" borderId="42" xfId="18" applyFont="1" applyFill="1" applyBorder="1">
      <alignment horizontal="center" vertical="center"/>
    </xf>
    <xf numFmtId="0" fontId="217" fillId="24" borderId="34" xfId="18" applyFont="1" applyFill="1" applyBorder="1">
      <alignment horizontal="center" vertical="center"/>
    </xf>
    <xf numFmtId="0" fontId="217" fillId="24" borderId="36" xfId="18" applyFont="1" applyFill="1" applyBorder="1">
      <alignment horizontal="center" vertical="center"/>
    </xf>
    <xf numFmtId="0" fontId="217" fillId="30" borderId="37" xfId="18" applyFont="1" applyFill="1" applyBorder="1">
      <alignment horizontal="center" vertical="center"/>
    </xf>
    <xf numFmtId="0" fontId="217" fillId="30" borderId="51" xfId="18" applyFont="1" applyFill="1" applyBorder="1">
      <alignment horizontal="center" vertical="center"/>
    </xf>
    <xf numFmtId="0" fontId="217" fillId="30" borderId="35" xfId="18" applyFont="1" applyFill="1" applyBorder="1">
      <alignment horizontal="center" vertical="center"/>
    </xf>
    <xf numFmtId="0" fontId="48" fillId="15" borderId="0" xfId="0" applyFont="1" applyFill="1" applyAlignment="1">
      <alignment horizontal="center"/>
    </xf>
    <xf numFmtId="0" fontId="196" fillId="13" borderId="4" xfId="32" applyFont="1" applyFill="1" applyBorder="1" applyAlignment="1">
      <alignment horizontal="center" vertical="center" wrapText="1"/>
    </xf>
    <xf numFmtId="0" fontId="196" fillId="13" borderId="6" xfId="32" applyFont="1" applyFill="1" applyBorder="1" applyAlignment="1">
      <alignment horizontal="center" vertical="center" wrapText="1"/>
    </xf>
    <xf numFmtId="0" fontId="196" fillId="13" borderId="5" xfId="32" applyFont="1" applyFill="1" applyBorder="1" applyAlignment="1">
      <alignment horizontal="center" vertical="center" wrapText="1"/>
    </xf>
    <xf numFmtId="0" fontId="198" fillId="4" borderId="327" xfId="32" applyFont="1" applyFill="1" applyBorder="1" applyAlignment="1">
      <alignment horizontal="center" vertical="center" wrapText="1"/>
    </xf>
    <xf numFmtId="0" fontId="198" fillId="4" borderId="328" xfId="32" applyFont="1" applyFill="1" applyBorder="1" applyAlignment="1">
      <alignment horizontal="center" vertical="center" wrapText="1"/>
    </xf>
    <xf numFmtId="0" fontId="198" fillId="4" borderId="329" xfId="32" applyFont="1" applyFill="1" applyBorder="1" applyAlignment="1">
      <alignment horizontal="center" vertical="center" wrapText="1"/>
    </xf>
    <xf numFmtId="0" fontId="197" fillId="4" borderId="330" xfId="32" applyFont="1" applyFill="1" applyBorder="1" applyAlignment="1">
      <alignment horizontal="center" vertical="center" wrapText="1"/>
    </xf>
    <xf numFmtId="0" fontId="197" fillId="4" borderId="331" xfId="32" applyFont="1" applyFill="1" applyBorder="1" applyAlignment="1">
      <alignment horizontal="center" vertical="center" wrapText="1"/>
    </xf>
    <xf numFmtId="0" fontId="197" fillId="4" borderId="332" xfId="32" applyFont="1" applyFill="1" applyBorder="1" applyAlignment="1">
      <alignment horizontal="center" vertical="center" wrapText="1"/>
    </xf>
    <xf numFmtId="0" fontId="1" fillId="6" borderId="0" xfId="0" applyFont="1" applyFill="1" applyAlignment="1">
      <alignment horizontal="left"/>
    </xf>
    <xf numFmtId="0" fontId="4" fillId="2" borderId="333" xfId="4" applyBorder="1" applyAlignment="1">
      <alignment horizontal="left" vertical="center" wrapText="1"/>
    </xf>
    <xf numFmtId="0" fontId="4" fillId="2" borderId="0" xfId="4" applyBorder="1" applyAlignment="1">
      <alignment horizontal="left" vertical="center" wrapText="1"/>
    </xf>
    <xf numFmtId="0" fontId="1" fillId="15" borderId="0" xfId="0" applyFont="1" applyFill="1" applyAlignment="1">
      <alignment horizontal="left" vertical="center" wrapText="1"/>
    </xf>
    <xf numFmtId="0" fontId="6" fillId="15" borderId="0" xfId="0" applyFont="1" applyFill="1" applyAlignment="1">
      <alignment horizontal="left" vertical="top" wrapText="1"/>
    </xf>
    <xf numFmtId="0" fontId="21" fillId="15" borderId="0" xfId="0" applyFont="1" applyFill="1" applyAlignment="1">
      <alignment horizontal="left" vertical="center" wrapText="1"/>
    </xf>
    <xf numFmtId="0" fontId="5" fillId="15" borderId="0" xfId="0" applyFont="1" applyFill="1" applyAlignment="1">
      <alignment vertical="center" wrapText="1"/>
    </xf>
    <xf numFmtId="0" fontId="36" fillId="15" borderId="4" xfId="0" applyFont="1" applyFill="1" applyBorder="1" applyAlignment="1">
      <alignment horizontal="left" vertical="center" wrapText="1"/>
    </xf>
    <xf numFmtId="0" fontId="36" fillId="15" borderId="5" xfId="0" applyFont="1" applyFill="1" applyBorder="1" applyAlignment="1">
      <alignment horizontal="left" vertical="center" wrapText="1"/>
    </xf>
    <xf numFmtId="0" fontId="36" fillId="15" borderId="3" xfId="0" applyFont="1" applyFill="1" applyBorder="1" applyAlignment="1">
      <alignment horizontal="left" vertical="center" wrapText="1"/>
    </xf>
    <xf numFmtId="0" fontId="33" fillId="15" borderId="0" xfId="0" applyFont="1" applyFill="1" applyAlignment="1">
      <alignment vertical="center" wrapText="1"/>
    </xf>
    <xf numFmtId="0" fontId="34" fillId="6" borderId="0" xfId="0" applyFont="1" applyFill="1" applyAlignment="1">
      <alignment horizontal="left" vertical="center" wrapText="1"/>
    </xf>
    <xf numFmtId="0" fontId="35" fillId="15" borderId="0" xfId="0" applyFont="1" applyFill="1" applyAlignment="1">
      <alignment horizontal="left" vertical="center" wrapText="1"/>
    </xf>
    <xf numFmtId="0" fontId="36" fillId="15" borderId="0" xfId="0" applyFont="1" applyFill="1" applyAlignment="1">
      <alignment horizontal="left" vertical="center" wrapText="1"/>
    </xf>
    <xf numFmtId="0" fontId="5" fillId="15" borderId="0" xfId="0" applyFont="1" applyFill="1" applyAlignment="1">
      <alignment horizontal="left" vertical="center" wrapText="1"/>
    </xf>
    <xf numFmtId="0" fontId="36" fillId="18" borderId="0" xfId="0" applyFont="1" applyFill="1" applyAlignment="1" applyProtection="1">
      <alignment horizontal="left" vertical="top" wrapText="1"/>
      <protection locked="0"/>
    </xf>
    <xf numFmtId="0" fontId="5" fillId="15" borderId="0" xfId="0" applyFont="1" applyFill="1" applyAlignment="1">
      <alignment horizontal="center" vertical="center" wrapText="1"/>
    </xf>
  </cellXfs>
  <cellStyles count="34">
    <cellStyle name="20% - Accent1" xfId="8" builtinId="30"/>
    <cellStyle name="Bad 2" xfId="10" xr:uid="{00000000-0005-0000-0000-00000C000000}"/>
    <cellStyle name="Comma" xfId="3" builtinId="3"/>
    <cellStyle name="Currency" xfId="2" builtinId="4"/>
    <cellStyle name="Hyperlink" xfId="22" builtinId="8"/>
    <cellStyle name="Hyperlink 2" xfId="5" xr:uid="{00000000-0005-0000-0000-000007000000}"/>
    <cellStyle name="Hyperlink 3" xfId="11" xr:uid="{00000000-0005-0000-0000-00000D000000}"/>
    <cellStyle name="Hyperlink 4" xfId="29" xr:uid="{00000000-0005-0000-0000-00001F000000}"/>
    <cellStyle name="ICRHB Normal" xfId="13" xr:uid="{00000000-0005-0000-0000-00000F000000}"/>
    <cellStyle name="ICRHB Section Header" xfId="12" xr:uid="{00000000-0005-0000-0000-00000E000000}"/>
    <cellStyle name="ICRHB Section Subheader" xfId="16" xr:uid="{00000000-0005-0000-0000-000012000000}"/>
    <cellStyle name="ICRHB Table Header" xfId="18" xr:uid="{00000000-0005-0000-0000-000014000000}"/>
    <cellStyle name="ICRHB Table Text" xfId="17" xr:uid="{00000000-0005-0000-0000-000013000000}"/>
    <cellStyle name="Input" xfId="4" builtinId="20"/>
    <cellStyle name="Neutral" xfId="7" builtinId="28"/>
    <cellStyle name="Normal" xfId="0" builtinId="0"/>
    <cellStyle name="Normal 2" xfId="9" xr:uid="{00000000-0005-0000-0000-00000B000000}"/>
    <cellStyle name="Normal 2 2" xfId="19" xr:uid="{00000000-0005-0000-0000-000015000000}"/>
    <cellStyle name="Normal 2 3" xfId="33" xr:uid="{00000000-0005-0000-0000-000023000000}"/>
    <cellStyle name="Normal 2 4" xfId="14" xr:uid="{00000000-0005-0000-0000-000010000000}"/>
    <cellStyle name="Normal 3" xfId="15" xr:uid="{00000000-0005-0000-0000-000011000000}"/>
    <cellStyle name="Normal 4" xfId="21" xr:uid="{00000000-0005-0000-0000-000017000000}"/>
    <cellStyle name="Normal 4 2" xfId="32" xr:uid="{00000000-0005-0000-0000-000022000000}"/>
    <cellStyle name="Normal 4 3" xfId="31" xr:uid="{00000000-0005-0000-0000-000021000000}"/>
    <cellStyle name="Normal 5" xfId="23" xr:uid="{00000000-0005-0000-0000-000019000000}"/>
    <cellStyle name="Normal 6" xfId="27" xr:uid="{00000000-0005-0000-0000-00001D000000}"/>
    <cellStyle name="Normal 7" xfId="28" xr:uid="{00000000-0005-0000-0000-00001E000000}"/>
    <cellStyle name="Percent" xfId="1" builtinId="5"/>
    <cellStyle name="Percent 2" xfId="20" xr:uid="{00000000-0005-0000-0000-000016000000}"/>
    <cellStyle name="Prozent 7" xfId="25" xr:uid="{00000000-0005-0000-0000-00001B000000}"/>
    <cellStyle name="Standard 2" xfId="6" xr:uid="{00000000-0005-0000-0000-000008000000}"/>
    <cellStyle name="Standard 2 2" xfId="24" xr:uid="{00000000-0005-0000-0000-00001A000000}"/>
    <cellStyle name="Standard 3" xfId="30" xr:uid="{00000000-0005-0000-0000-000020000000}"/>
    <cellStyle name="Standard 5" xfId="26" xr:uid="{00000000-0005-0000-0000-00001C000000}"/>
  </cellStyles>
  <dxfs count="1000">
    <dxf>
      <font>
        <b/>
        <i val="0"/>
        <color rgb="FFFFFF00"/>
      </font>
      <fill>
        <patternFill>
          <bgColor rgb="FFC0000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0"/>
      </font>
      <border>
        <left/>
        <right/>
        <top/>
        <bottom/>
      </border>
    </dxf>
    <dxf>
      <fill>
        <patternFill>
          <bgColor theme="9" tint="0.79995117038483843"/>
        </patternFill>
      </fill>
    </dxf>
    <dxf>
      <fill>
        <patternFill>
          <bgColor rgb="FFFFCCC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color theme="9"/>
      </font>
      <fill>
        <patternFill>
          <bgColor theme="9" tint="0.79995117038483843"/>
        </patternFill>
      </fill>
    </dxf>
    <dxf>
      <font>
        <b/>
        <i/>
        <color rgb="FFC00000"/>
      </font>
      <fill>
        <patternFill>
          <bgColor rgb="FFFFCCCC"/>
        </patternFill>
      </fill>
    </dxf>
    <dxf>
      <font>
        <b/>
        <i/>
        <color theme="9"/>
      </font>
      <fill>
        <patternFill>
          <bgColor theme="9" tint="0.79995117038483843"/>
        </patternFill>
      </fill>
    </dxf>
    <dxf>
      <font>
        <b/>
        <i/>
        <color rgb="FFC00000"/>
      </font>
      <fill>
        <patternFill>
          <bgColor rgb="FFFFCCCC"/>
        </patternFill>
      </fill>
    </dxf>
    <dxf>
      <font>
        <b/>
        <i val="0"/>
        <color theme="9" tint="-0.24991607409894101"/>
      </font>
      <fill>
        <patternFill>
          <bgColor theme="9" tint="0.79995117038483843"/>
        </patternFill>
      </fill>
    </dxf>
    <dxf>
      <font>
        <b/>
        <i val="0"/>
        <color theme="9" tint="-0.24991607409894101"/>
      </font>
      <fill>
        <patternFill>
          <bgColor theme="9" tint="0.79995117038483843"/>
        </patternFill>
      </fill>
    </dxf>
    <dxf>
      <font>
        <b/>
        <i val="0"/>
        <color rgb="FFC00000"/>
      </font>
      <fill>
        <patternFill>
          <bgColor rgb="FFFFCCCC"/>
        </patternFill>
      </fill>
    </dxf>
    <dxf>
      <font>
        <b/>
        <i val="0"/>
        <color rgb="FFC00000"/>
      </font>
      <fill>
        <patternFill>
          <bgColor rgb="FFFFCCC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theme="9" tint="-0.24991607409894101"/>
      </font>
      <fill>
        <patternFill>
          <bgColor theme="9" tint="0.79995117038483843"/>
        </patternFill>
      </fill>
    </dxf>
    <dxf>
      <font>
        <b/>
        <i val="0"/>
        <color theme="9" tint="-0.24991607409894101"/>
      </font>
      <fill>
        <patternFill>
          <bgColor theme="9" tint="0.79995117038483843"/>
        </patternFill>
      </fill>
    </dxf>
    <dxf>
      <font>
        <b/>
        <i val="0"/>
        <color rgb="FFC00000"/>
      </font>
      <fill>
        <patternFill>
          <bgColor rgb="FFFFCCCC"/>
        </patternFill>
      </fill>
    </dxf>
    <dxf>
      <font>
        <b/>
        <i val="0"/>
        <color rgb="FFC00000"/>
      </font>
      <fill>
        <patternFill>
          <bgColor rgb="FFFFCCCC"/>
        </patternFill>
      </fill>
    </dxf>
    <dxf>
      <font>
        <b/>
        <i val="0"/>
        <color theme="9" tint="-0.24991607409894101"/>
      </font>
      <fill>
        <patternFill>
          <bgColor theme="9" tint="0.79995117038483843"/>
        </patternFill>
      </fill>
    </dxf>
    <dxf>
      <font>
        <b/>
        <i val="0"/>
        <color rgb="FFC00000"/>
      </font>
      <fill>
        <patternFill>
          <bgColor rgb="FFFFCCCC"/>
        </patternFill>
      </fill>
    </dxf>
    <dxf>
      <font>
        <b/>
        <i val="0"/>
        <color rgb="FFC00000"/>
      </font>
      <fill>
        <patternFill>
          <bgColor rgb="FFFFCCCC"/>
        </patternFill>
      </fill>
    </dxf>
    <dxf>
      <font>
        <b/>
        <i val="0"/>
        <color theme="9" tint="-0.24991607409894101"/>
      </font>
      <fill>
        <patternFill>
          <bgColor theme="9" tint="0.79995117038483843"/>
        </patternFill>
      </fill>
    </dxf>
    <dxf>
      <font>
        <b/>
        <i val="0"/>
        <color theme="4"/>
      </font>
    </dxf>
    <dxf>
      <font>
        <b/>
        <i/>
        <color rgb="FFC00000"/>
      </font>
      <fill>
        <patternFill>
          <bgColor rgb="FFFFCCCC"/>
        </patternFill>
      </fill>
    </dxf>
    <dxf>
      <font>
        <b/>
        <i/>
        <color theme="9"/>
      </font>
      <fill>
        <patternFill>
          <bgColor theme="9" tint="0.79995117038483843"/>
        </patternFill>
      </fill>
    </dxf>
    <dxf>
      <font>
        <b/>
        <i/>
        <color theme="9"/>
      </font>
      <fill>
        <patternFill>
          <bgColor theme="9" tint="0.79995117038483843"/>
        </patternFill>
      </fill>
    </dxf>
    <dxf>
      <font>
        <b/>
        <i/>
        <color rgb="FFC00000"/>
      </font>
      <fill>
        <patternFill>
          <bgColor rgb="FFFFCCCC"/>
        </patternFill>
      </fill>
    </dxf>
    <dxf>
      <font>
        <b/>
        <i val="0"/>
        <color theme="9" tint="-0.24991607409894101"/>
      </font>
      <fill>
        <patternFill>
          <bgColor theme="9" tint="0.79995117038483843"/>
        </patternFill>
      </fill>
    </dxf>
    <dxf>
      <font>
        <b/>
        <i val="0"/>
        <color theme="9" tint="-0.24991607409894101"/>
      </font>
      <fill>
        <patternFill>
          <bgColor theme="9" tint="0.79995117038483843"/>
        </patternFill>
      </fill>
    </dxf>
    <dxf>
      <font>
        <b/>
        <i val="0"/>
        <color rgb="FFC00000"/>
      </font>
      <fill>
        <patternFill>
          <bgColor rgb="FFFFCCCC"/>
        </patternFill>
      </fill>
    </dxf>
    <dxf>
      <font>
        <b/>
        <i val="0"/>
        <color rgb="FFC00000"/>
      </font>
      <fill>
        <patternFill>
          <bgColor rgb="FFFFCCC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theme="9" tint="-0.24991607409894101"/>
      </font>
      <fill>
        <patternFill>
          <bgColor theme="9" tint="0.79995117038483843"/>
        </patternFill>
      </fill>
    </dxf>
    <dxf>
      <font>
        <b/>
        <i val="0"/>
        <color theme="9" tint="-0.24991607409894101"/>
      </font>
      <fill>
        <patternFill>
          <bgColor theme="9" tint="0.79995117038483843"/>
        </patternFill>
      </fill>
    </dxf>
    <dxf>
      <font>
        <b/>
        <i val="0"/>
        <color rgb="FFC00000"/>
      </font>
      <fill>
        <patternFill>
          <bgColor rgb="FFFFCCCC"/>
        </patternFill>
      </fill>
    </dxf>
    <dxf>
      <font>
        <b/>
        <i val="0"/>
        <color rgb="FFC00000"/>
      </font>
      <fill>
        <patternFill>
          <bgColor rgb="FFFFCCCC"/>
        </patternFill>
      </fill>
    </dxf>
    <dxf>
      <font>
        <b/>
        <i val="0"/>
        <color theme="9" tint="-0.24991607409894101"/>
      </font>
      <fill>
        <patternFill>
          <bgColor theme="9" tint="0.79995117038483843"/>
        </patternFill>
      </fill>
    </dxf>
    <dxf>
      <font>
        <b/>
        <i val="0"/>
        <color theme="9" tint="-0.24991607409894101"/>
      </font>
      <fill>
        <patternFill>
          <bgColor theme="9" tint="0.79995117038483843"/>
        </patternFill>
      </fill>
    </dxf>
    <dxf>
      <font>
        <b/>
        <i val="0"/>
        <color rgb="FFC00000"/>
      </font>
      <fill>
        <patternFill>
          <bgColor rgb="FFFFCCCC"/>
        </patternFill>
      </fill>
    </dxf>
    <dxf>
      <font>
        <b/>
        <i val="0"/>
        <color rgb="FFC00000"/>
      </font>
      <fill>
        <patternFill>
          <bgColor rgb="FFFFCCCC"/>
        </patternFill>
      </fill>
    </dxf>
    <dxf>
      <font>
        <b/>
        <i/>
        <color theme="9"/>
      </font>
      <fill>
        <patternFill>
          <bgColor theme="9" tint="0.79995117038483843"/>
        </patternFill>
      </fill>
    </dxf>
    <dxf>
      <font>
        <b/>
        <i/>
        <color rgb="FFC00000"/>
      </font>
      <fill>
        <patternFill>
          <bgColor rgb="FFFFCCCC"/>
        </patternFill>
      </fill>
    </dxf>
    <dxf>
      <font>
        <b/>
        <i/>
        <color theme="9"/>
      </font>
      <fill>
        <patternFill>
          <bgColor theme="9" tint="0.79995117038483843"/>
        </patternFill>
      </fill>
    </dxf>
    <dxf>
      <font>
        <b/>
        <i/>
        <color rgb="FFC00000"/>
      </font>
      <fill>
        <patternFill>
          <bgColor rgb="FFFFCCCC"/>
        </patternFill>
      </fill>
    </dxf>
    <dxf>
      <font>
        <b/>
        <i val="0"/>
        <color theme="9" tint="-0.24991607409894101"/>
      </font>
      <fill>
        <patternFill>
          <bgColor theme="9" tint="0.79995117038483843"/>
        </patternFill>
      </fill>
    </dxf>
    <dxf>
      <font>
        <b/>
        <i val="0"/>
        <color theme="9" tint="-0.24991607409894101"/>
      </font>
      <fill>
        <patternFill>
          <bgColor theme="9" tint="0.79995117038483843"/>
        </patternFill>
      </fill>
    </dxf>
    <dxf>
      <font>
        <b/>
        <i val="0"/>
        <color rgb="FFC00000"/>
      </font>
      <fill>
        <patternFill>
          <bgColor rgb="FFFFCCCC"/>
        </patternFill>
      </fill>
    </dxf>
    <dxf>
      <font>
        <b/>
        <i val="0"/>
        <color rgb="FFC00000"/>
      </font>
      <fill>
        <patternFill>
          <bgColor rgb="FFFFCCC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theme="9" tint="-0.24991607409894101"/>
      </font>
      <fill>
        <patternFill>
          <bgColor theme="9" tint="0.79995117038483843"/>
        </patternFill>
      </fill>
    </dxf>
    <dxf>
      <font>
        <b/>
        <i val="0"/>
        <color theme="9" tint="-0.24991607409894101"/>
      </font>
      <fill>
        <patternFill>
          <bgColor theme="9" tint="0.79995117038483843"/>
        </patternFill>
      </fill>
    </dxf>
    <dxf>
      <font>
        <b/>
        <i val="0"/>
        <color rgb="FFC00000"/>
      </font>
      <fill>
        <patternFill>
          <bgColor rgb="FFFFCCCC"/>
        </patternFill>
      </fill>
    </dxf>
    <dxf>
      <font>
        <b/>
        <i val="0"/>
        <color rgb="FFC00000"/>
      </font>
      <fill>
        <patternFill>
          <bgColor rgb="FFFFCCCC"/>
        </patternFill>
      </fill>
    </dxf>
    <dxf>
      <font>
        <b/>
        <i val="0"/>
        <color rgb="FFC00000"/>
      </font>
      <fill>
        <patternFill>
          <bgColor theme="5" tint="0.79995117038483843"/>
        </patternFill>
      </fill>
      <border>
        <left style="thin">
          <color rgb="FFC00000"/>
        </left>
        <right style="thin">
          <color rgb="FFC00000"/>
        </right>
        <top style="thin">
          <color rgb="FFC00000"/>
        </top>
        <bottom style="thin">
          <color rgb="FFC00000"/>
        </bottom>
      </border>
    </dxf>
    <dxf>
      <font>
        <b/>
        <i val="0"/>
        <color rgb="FFC00000"/>
      </font>
      <fill>
        <patternFill>
          <bgColor theme="5" tint="0.79995117038483843"/>
        </patternFill>
      </fill>
      <border>
        <left style="thin">
          <color rgb="FFC00000"/>
        </left>
        <right style="thin">
          <color rgb="FFC00000"/>
        </right>
        <top style="thin">
          <color rgb="FFC00000"/>
        </top>
        <bottom style="thin">
          <color rgb="FFC00000"/>
        </bottom>
      </border>
    </dxf>
    <dxf>
      <font>
        <b/>
        <i val="0"/>
        <color theme="9" tint="-0.24991607409894101"/>
      </font>
      <fill>
        <patternFill>
          <bgColor theme="9" tint="0.79995117038483843"/>
        </patternFill>
      </fill>
    </dxf>
    <dxf>
      <font>
        <b/>
        <i val="0"/>
        <color theme="9" tint="-0.24991607409894101"/>
      </font>
      <fill>
        <patternFill>
          <bgColor theme="9" tint="0.79995117038483843"/>
        </patternFill>
      </fill>
    </dxf>
    <dxf>
      <font>
        <b/>
        <i val="0"/>
        <color rgb="FFC00000"/>
      </font>
      <fill>
        <patternFill>
          <bgColor rgb="FFFFCCCC"/>
        </patternFill>
      </fill>
    </dxf>
    <dxf>
      <font>
        <b/>
        <i val="0"/>
        <color rgb="FFC00000"/>
      </font>
      <fill>
        <patternFill>
          <bgColor rgb="FFFFCCCC"/>
        </patternFill>
      </fill>
    </dxf>
    <dxf>
      <font>
        <b/>
        <i/>
        <color theme="9"/>
      </font>
      <fill>
        <patternFill>
          <bgColor theme="9" tint="0.79995117038483843"/>
        </patternFill>
      </fill>
    </dxf>
    <dxf>
      <font>
        <b/>
        <i/>
        <color rgb="FFC00000"/>
      </font>
      <fill>
        <patternFill>
          <bgColor rgb="FFFFCCCC"/>
        </patternFill>
      </fill>
    </dxf>
    <dxf>
      <font>
        <b/>
        <i/>
        <color theme="9"/>
      </font>
      <fill>
        <patternFill>
          <bgColor theme="9" tint="0.79995117038483843"/>
        </patternFill>
      </fill>
    </dxf>
    <dxf>
      <font>
        <b/>
        <i/>
        <color rgb="FFC00000"/>
      </font>
      <fill>
        <patternFill>
          <bgColor rgb="FFFFCCCC"/>
        </patternFill>
      </fill>
    </dxf>
    <dxf>
      <font>
        <b/>
        <i val="0"/>
        <color theme="9" tint="-0.24991607409894101"/>
      </font>
      <fill>
        <patternFill>
          <bgColor theme="9" tint="0.79995117038483843"/>
        </patternFill>
      </fill>
    </dxf>
    <dxf>
      <font>
        <b/>
        <i val="0"/>
        <color rgb="FFC00000"/>
      </font>
      <fill>
        <patternFill>
          <bgColor rgb="FFFFCCCC"/>
        </patternFill>
      </fill>
    </dxf>
    <dxf>
      <font>
        <b/>
        <i val="0"/>
        <color rgb="FFC00000"/>
      </font>
      <fill>
        <patternFill>
          <bgColor rgb="FFFFCCCC"/>
        </patternFill>
      </fill>
    </dxf>
    <dxf>
      <font>
        <b/>
        <i val="0"/>
        <color theme="9" tint="-0.24991607409894101"/>
      </font>
      <fill>
        <patternFill>
          <bgColor theme="9" tint="0.79995117038483843"/>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theme="9" tint="-0.24991607409894101"/>
      </font>
      <fill>
        <patternFill>
          <bgColor theme="9" tint="0.79995117038483843"/>
        </patternFill>
      </fill>
    </dxf>
    <dxf>
      <font>
        <b/>
        <i val="0"/>
        <color theme="9" tint="-0.24991607409894101"/>
      </font>
      <fill>
        <patternFill>
          <bgColor theme="9" tint="0.79995117038483843"/>
        </patternFill>
      </fill>
    </dxf>
    <dxf>
      <font>
        <b/>
        <i val="0"/>
        <color rgb="FFC00000"/>
      </font>
      <fill>
        <patternFill>
          <bgColor rgb="FFFFCCCC"/>
        </patternFill>
      </fill>
    </dxf>
    <dxf>
      <font>
        <b/>
        <i val="0"/>
        <color rgb="FFC00000"/>
      </font>
      <fill>
        <patternFill>
          <bgColor rgb="FFFFCCCC"/>
        </patternFill>
      </fill>
    </dxf>
    <dxf>
      <font>
        <color theme="0"/>
      </font>
      <fill>
        <patternFill>
          <bgColor theme="0"/>
        </patternFill>
      </fill>
      <border>
        <left/>
        <right/>
        <top/>
        <bottom/>
      </border>
    </dxf>
    <dxf>
      <font>
        <b/>
        <i val="0"/>
        <color rgb="FFC00000"/>
      </font>
      <fill>
        <patternFill>
          <bgColor rgb="FFFFCCCC"/>
        </patternFill>
      </fill>
    </dxf>
    <dxf>
      <font>
        <b/>
        <i val="0"/>
        <color theme="9" tint="-0.24991607409894101"/>
      </font>
      <fill>
        <patternFill>
          <bgColor theme="9" tint="0.79995117038483843"/>
        </patternFill>
      </fill>
    </dxf>
    <dxf>
      <font>
        <b/>
        <i val="0"/>
        <color theme="9" tint="-0.24991607409894101"/>
      </font>
      <fill>
        <patternFill>
          <bgColor theme="9" tint="0.79995117038483843"/>
        </patternFill>
      </fill>
    </dxf>
    <dxf>
      <font>
        <b/>
        <i val="0"/>
        <color rgb="FFC00000"/>
      </font>
      <fill>
        <patternFill>
          <bgColor rgb="FFFFCCCC"/>
        </patternFill>
      </fill>
    </dxf>
    <dxf>
      <font>
        <b/>
        <i val="0"/>
        <color theme="4"/>
      </font>
    </dxf>
    <dxf>
      <font>
        <b/>
        <i/>
        <color rgb="FFC00000"/>
      </font>
      <fill>
        <patternFill>
          <bgColor rgb="FFFFCCCC"/>
        </patternFill>
      </fill>
    </dxf>
    <dxf>
      <font>
        <b/>
        <i/>
        <color theme="9"/>
      </font>
      <fill>
        <patternFill>
          <bgColor theme="9" tint="0.79995117038483843"/>
        </patternFill>
      </fill>
    </dxf>
    <dxf>
      <font>
        <b/>
        <i/>
        <color theme="9"/>
      </font>
      <fill>
        <patternFill>
          <bgColor theme="9" tint="0.79995117038483843"/>
        </patternFill>
      </fill>
    </dxf>
    <dxf>
      <font>
        <b/>
        <i/>
        <color rgb="FFC00000"/>
      </font>
      <fill>
        <patternFill>
          <bgColor rgb="FFFFCCCC"/>
        </patternFill>
      </fill>
    </dxf>
    <dxf>
      <font>
        <b/>
        <i val="0"/>
        <color theme="0"/>
      </font>
      <fill>
        <patternFill>
          <bgColor rgb="FFFF0000"/>
        </patternFill>
      </fill>
    </dxf>
    <dxf>
      <font>
        <b/>
        <i val="0"/>
        <color rgb="FFC00000"/>
      </font>
      <fill>
        <patternFill>
          <bgColor theme="5" tint="0.79995117038483843"/>
        </patternFill>
      </fill>
    </dxf>
    <dxf>
      <font>
        <color theme="1"/>
      </font>
      <fill>
        <patternFill>
          <bgColor rgb="FF66FF66"/>
        </patternFill>
      </fill>
    </dxf>
    <dxf>
      <font>
        <color theme="0" tint="-0.34995574816125979"/>
      </font>
      <fill>
        <patternFill>
          <bgColor theme="0" tint="-4.9958800012207406E-2"/>
        </patternFill>
      </fill>
    </dxf>
    <dxf>
      <font>
        <b/>
        <i val="0"/>
        <color rgb="FFC00000"/>
      </font>
      <fill>
        <patternFill>
          <bgColor theme="5" tint="0.79995117038483843"/>
        </patternFill>
      </fill>
    </dxf>
    <dxf>
      <font>
        <color theme="1"/>
      </font>
      <fill>
        <patternFill>
          <bgColor rgb="FF66FF66"/>
        </patternFill>
      </fill>
    </dxf>
    <dxf>
      <font>
        <b/>
        <i val="0"/>
      </font>
      <fill>
        <patternFill>
          <bgColor theme="9" tint="0.79995117038483843"/>
        </patternFill>
      </fill>
      <border>
        <left style="hair">
          <color theme="0" tint="-0.49995422223578601"/>
        </left>
        <right style="hair">
          <color theme="0" tint="-0.49995422223578601"/>
        </right>
        <top style="hair">
          <color theme="0" tint="-0.49995422223578601"/>
        </top>
        <bottom style="hair">
          <color theme="0" tint="-0.49995422223578601"/>
        </bottom>
      </border>
    </dxf>
    <dxf>
      <fill>
        <patternFill>
          <bgColor theme="4" tint="0.79995117038483843"/>
        </patternFill>
      </fill>
    </dxf>
    <dxf>
      <font>
        <color theme="0" tint="-0.14993743705557422"/>
      </font>
      <fill>
        <patternFill>
          <bgColor theme="0" tint="-4.9958800012207406E-2"/>
        </patternFill>
      </fill>
    </dxf>
    <dxf>
      <font>
        <b/>
        <i val="0"/>
        <color rgb="FFC00000"/>
      </font>
      <fill>
        <patternFill>
          <bgColor theme="5" tint="0.79995117038483843"/>
        </patternFill>
      </fill>
    </dxf>
    <dxf>
      <font>
        <color theme="1"/>
      </font>
      <fill>
        <patternFill>
          <bgColor rgb="FF66FF66"/>
        </patternFill>
      </fill>
    </dxf>
    <dxf>
      <font>
        <b/>
        <i val="0"/>
        <color theme="9" tint="-0.49995422223578601"/>
      </font>
      <fill>
        <patternFill patternType="solid">
          <bgColor rgb="FF66FF33"/>
        </patternFill>
      </fill>
    </dxf>
    <dxf>
      <font>
        <b/>
        <i val="0"/>
        <color rgb="FFA50021"/>
      </font>
      <fill>
        <gradientFill degree="90">
          <stop position="0">
            <color theme="5" tint="0.40000610370189521"/>
          </stop>
          <stop position="0.5">
            <color theme="5" tint="0.59996337778862885"/>
          </stop>
          <stop position="1">
            <color theme="5" tint="0.40000610370189521"/>
          </stop>
        </gradientFill>
      </fill>
    </dxf>
    <dxf>
      <font>
        <color theme="1"/>
      </font>
      <fill>
        <patternFill patternType="solid">
          <bgColor rgb="FF66FF33"/>
        </patternFill>
      </fill>
    </dxf>
    <dxf>
      <font>
        <b/>
        <i val="0"/>
        <color theme="9" tint="-0.49995422223578601"/>
      </font>
      <fill>
        <patternFill>
          <bgColor theme="9" tint="0.79995117038483843"/>
        </patternFill>
      </fill>
    </dxf>
    <dxf>
      <font>
        <b/>
        <i val="0"/>
        <color rgb="FFA50021"/>
      </font>
      <fill>
        <patternFill>
          <bgColor theme="5" tint="0.59993285927915285"/>
        </patternFill>
      </fill>
    </dxf>
    <dxf>
      <font>
        <b/>
        <i val="0"/>
        <color rgb="FFA50021"/>
      </font>
      <fill>
        <patternFill>
          <bgColor theme="5" tint="0.59993285927915285"/>
        </patternFill>
      </fill>
    </dxf>
    <dxf>
      <font>
        <b/>
        <i val="0"/>
        <color theme="9" tint="-0.49995422223578601"/>
      </font>
      <fill>
        <patternFill>
          <bgColor theme="9" tint="0.79995117038483843"/>
        </patternFill>
      </fill>
    </dxf>
    <dxf>
      <font>
        <b/>
        <i val="0"/>
        <color theme="0"/>
      </font>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0" tint="-0.14993743705557422"/>
      </font>
      <fill>
        <patternFill>
          <bgColor theme="0"/>
        </patternFill>
      </fill>
      <border>
        <left/>
        <right/>
        <top/>
        <bottom/>
      </border>
    </dxf>
    <dxf>
      <fill>
        <patternFill>
          <bgColor theme="9" tint="0.79995117038483843"/>
        </patternFill>
      </fill>
    </dxf>
    <dxf>
      <font>
        <color theme="0"/>
      </font>
      <fill>
        <patternFill>
          <bgColor theme="0"/>
        </patternFill>
      </fill>
      <border>
        <left/>
        <right/>
        <top/>
        <bottom/>
      </border>
    </dxf>
    <dxf>
      <font>
        <strike val="0"/>
        <color theme="1"/>
      </font>
      <fill>
        <patternFill>
          <bgColor rgb="FF00FF00"/>
        </patternFill>
      </fill>
    </dxf>
    <dxf>
      <font>
        <b/>
        <i val="0"/>
        <color rgb="FFC00000"/>
      </font>
      <fill>
        <patternFill>
          <bgColor theme="5" tint="0.79995117038483843"/>
        </patternFill>
      </fill>
    </dxf>
    <dxf>
      <font>
        <color theme="0" tint="-0.24991607409894101"/>
      </font>
      <fill>
        <patternFill>
          <bgColor theme="0" tint="-4.9958800012207406E-2"/>
        </patternFill>
      </fill>
    </dxf>
    <dxf>
      <font>
        <color theme="0" tint="-0.24991607409894101"/>
      </font>
      <fill>
        <patternFill>
          <bgColor theme="0" tint="-4.9958800012207406E-2"/>
        </patternFill>
      </fill>
    </dxf>
    <dxf>
      <font>
        <b/>
        <i/>
        <color theme="9"/>
      </font>
      <fill>
        <patternFill>
          <bgColor theme="9" tint="0.79995117038483843"/>
        </patternFill>
      </fill>
    </dxf>
    <dxf>
      <font>
        <b/>
        <i/>
        <color rgb="FFC00000"/>
      </font>
      <fill>
        <patternFill>
          <bgColor rgb="FFFFCCCC"/>
        </patternFill>
      </fill>
    </dxf>
    <dxf>
      <font>
        <b/>
        <i/>
        <color theme="9"/>
      </font>
      <fill>
        <patternFill>
          <bgColor theme="9" tint="0.79995117038483843"/>
        </patternFill>
      </fill>
    </dxf>
    <dxf>
      <font>
        <b/>
        <i/>
        <color rgb="FFC00000"/>
      </font>
      <fill>
        <patternFill>
          <bgColor rgb="FFFFCCC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0"/>
      </font>
      <fill>
        <patternFill>
          <bgColor theme="0" tint="-4.9958800012207406E-2"/>
        </patternFill>
      </fill>
      <border>
        <left style="thin">
          <color theme="0"/>
        </left>
        <right style="thin">
          <color theme="0"/>
        </right>
        <top style="thin">
          <color theme="0"/>
        </top>
        <bottom style="thin">
          <color theme="0"/>
        </bottom>
      </border>
    </dxf>
    <dxf>
      <font>
        <b/>
        <i val="0"/>
        <color theme="0"/>
      </font>
      <fill>
        <patternFill>
          <bgColor rgb="FFFF0000"/>
        </patternFill>
      </fill>
    </dxf>
    <dxf>
      <font>
        <color rgb="FFC00000"/>
      </font>
      <fill>
        <patternFill>
          <bgColor theme="0" tint="-0.14993743705557422"/>
        </patternFill>
      </fill>
    </dxf>
    <dxf>
      <font>
        <color theme="9" tint="-0.24991607409894101"/>
      </font>
      <fill>
        <patternFill>
          <bgColor rgb="FF66FF66"/>
        </patternFill>
      </fill>
    </dxf>
    <dxf>
      <font>
        <b/>
        <i val="0"/>
        <color rgb="FFC00000"/>
      </font>
      <fill>
        <patternFill>
          <bgColor theme="5" tint="0.79995117038483843"/>
        </patternFill>
      </fill>
    </dxf>
    <dxf>
      <font>
        <b/>
        <i val="0"/>
        <color theme="0"/>
      </font>
      <fill>
        <patternFill>
          <bgColor rgb="FFFF0000"/>
        </patternFill>
      </fill>
    </dxf>
    <dxf>
      <font>
        <color auto="1"/>
        <name val="Cambria"/>
      </font>
      <fill>
        <patternFill>
          <bgColor indexed="10"/>
        </patternFill>
      </fill>
    </dxf>
    <dxf>
      <font>
        <color rgb="FFFFFF00"/>
        <name val="Cambria"/>
      </font>
      <fill>
        <patternFill>
          <bgColor indexed="34"/>
        </patternFill>
      </fill>
    </dxf>
    <dxf>
      <font>
        <color rgb="FF00FF00"/>
        <name val="Cambria"/>
      </font>
      <fill>
        <patternFill>
          <bgColor indexed="11"/>
        </patternFill>
      </fill>
    </dxf>
    <dxf>
      <fill>
        <patternFill>
          <bgColor indexed="13"/>
        </patternFill>
      </fill>
    </dxf>
    <dxf>
      <fill>
        <patternFill>
          <bgColor indexed="10"/>
        </patternFill>
      </fill>
    </dxf>
    <dxf>
      <fill>
        <patternFill>
          <bgColor indexed="42"/>
        </patternFill>
      </fill>
    </dxf>
    <dxf>
      <font>
        <b/>
        <i val="0"/>
      </font>
      <fill>
        <patternFill>
          <bgColor indexed="47"/>
        </patternFill>
      </fill>
    </dxf>
    <dxf>
      <font>
        <color auto="1"/>
      </font>
      <fill>
        <patternFill>
          <bgColor rgb="FFFF0000"/>
        </patternFill>
      </fill>
    </dxf>
    <dxf>
      <font>
        <color theme="9" tint="-0.49995422223578601"/>
      </font>
      <fill>
        <patternFill>
          <bgColor theme="9" tint="0.59993285927915285"/>
        </patternFill>
      </fill>
    </dxf>
    <dxf>
      <font>
        <color rgb="FF006100"/>
      </font>
      <fill>
        <patternFill>
          <bgColor rgb="FFC6EFCE"/>
        </patternFill>
      </fill>
    </dxf>
    <dxf>
      <font>
        <color rgb="FF9C0006"/>
      </font>
      <fill>
        <patternFill>
          <bgColor rgb="FFFFC7CE"/>
        </patternFill>
      </fill>
    </dxf>
    <dxf>
      <font>
        <color rgb="FF695239"/>
      </font>
      <fill>
        <patternFill>
          <bgColor theme="2" tint="-0.24991607409894101"/>
        </patternFill>
      </fill>
    </dxf>
    <dxf>
      <font>
        <color rgb="FFC00000"/>
      </font>
      <fill>
        <patternFill patternType="darkHorizontal">
          <fgColor rgb="FFC00000"/>
          <bgColor theme="5" tint="0.79995117038483843"/>
        </patternFill>
      </fill>
    </dxf>
    <dxf>
      <font>
        <strike/>
        <color theme="1" tint="0.34998626667073579"/>
      </font>
      <fill>
        <patternFill patternType="solid">
          <fgColor theme="1" tint="0.24994659260841701"/>
          <bgColor theme="0" tint="-0.49995422223578601"/>
        </patternFill>
      </fill>
    </dxf>
    <dxf>
      <fill>
        <patternFill>
          <bgColor rgb="FFFFC000"/>
        </patternFill>
      </fill>
    </dxf>
    <dxf>
      <font>
        <b/>
        <i val="0"/>
        <color theme="9" tint="-0.49995422223578601"/>
      </font>
      <fill>
        <patternFill>
          <bgColor rgb="FF92D050"/>
        </patternFill>
      </fill>
    </dxf>
    <dxf>
      <font>
        <b/>
        <i val="0"/>
        <color rgb="FFFFC000"/>
      </font>
      <fill>
        <patternFill>
          <bgColor rgb="FFC00000"/>
        </patternFill>
      </fill>
    </dxf>
    <dxf>
      <fill>
        <patternFill>
          <bgColor indexed="10"/>
        </patternFill>
      </fill>
    </dxf>
    <dxf>
      <font>
        <color theme="0"/>
      </font>
      <fill>
        <patternFill>
          <bgColor theme="0"/>
        </patternFill>
      </fill>
      <border>
        <left/>
        <right/>
        <top/>
        <bottom/>
      </border>
    </dxf>
    <dxf>
      <font>
        <color theme="0"/>
      </font>
      <fill>
        <patternFill>
          <bgColor theme="0"/>
        </patternFill>
      </fill>
      <border>
        <left/>
        <right/>
        <top/>
        <bottom/>
      </border>
    </dxf>
    <dxf>
      <font>
        <color rgb="FFFFFF00"/>
        <name val="Cambria"/>
      </font>
      <fill>
        <patternFill>
          <bgColor indexed="34"/>
        </patternFill>
      </fill>
    </dxf>
    <dxf>
      <font>
        <color auto="1"/>
        <name val="Cambria"/>
      </font>
      <fill>
        <patternFill>
          <bgColor indexed="10"/>
        </patternFill>
      </fill>
    </dxf>
    <dxf>
      <font>
        <color rgb="FF00FF00"/>
        <name val="Cambria"/>
      </font>
      <fill>
        <patternFill>
          <bgColor indexed="11"/>
        </patternFill>
      </fill>
    </dxf>
    <dxf>
      <font>
        <color auto="1"/>
        <name val="Cambria"/>
      </font>
      <fill>
        <patternFill>
          <bgColor indexed="10"/>
        </patternFill>
      </fill>
    </dxf>
    <dxf>
      <font>
        <color rgb="FFFFFF00"/>
        <name val="Cambria"/>
      </font>
      <fill>
        <patternFill>
          <bgColor indexed="34"/>
        </patternFill>
      </fill>
    </dxf>
    <dxf>
      <font>
        <color rgb="FF00FF00"/>
        <name val="Cambria"/>
      </font>
      <fill>
        <patternFill>
          <bgColor indexed="11"/>
        </patternFill>
      </fill>
    </dxf>
    <dxf>
      <font>
        <color theme="1"/>
      </font>
      <fill>
        <patternFill>
          <bgColor rgb="FF00FF00"/>
        </patternFill>
      </fill>
    </dxf>
    <dxf>
      <fill>
        <patternFill>
          <bgColor indexed="13"/>
        </patternFill>
      </fill>
    </dxf>
    <dxf>
      <fill>
        <patternFill>
          <bgColor indexed="10"/>
        </patternFill>
      </fill>
    </dxf>
    <dxf>
      <fill>
        <patternFill>
          <bgColor indexed="42"/>
        </patternFill>
      </fill>
    </dxf>
    <dxf>
      <font>
        <b/>
        <i val="0"/>
      </font>
      <fill>
        <patternFill>
          <bgColor indexed="47"/>
        </patternFill>
      </fill>
    </dxf>
    <dxf>
      <font>
        <color rgb="FFC00000"/>
      </font>
      <fill>
        <patternFill>
          <bgColor theme="5" tint="0.79995117038483843"/>
        </patternFill>
      </fill>
    </dxf>
    <dxf>
      <fill>
        <patternFill>
          <bgColor theme="7" tint="0.59993285927915285"/>
        </patternFill>
      </fill>
    </dxf>
    <dxf>
      <fill>
        <patternFill>
          <bgColor theme="0" tint="-4.9958800012207406E-2"/>
        </patternFill>
      </fill>
      <border>
        <left style="hair">
          <color theme="0" tint="-0.49995422223578601"/>
        </left>
      </border>
    </dxf>
    <dxf>
      <border>
        <bottom style="hair">
          <color theme="0" tint="-0.49995422223578601"/>
        </bottom>
      </border>
    </dxf>
    <dxf>
      <border>
        <bottom style="hair">
          <color theme="0" tint="-0.49995422223578601"/>
        </bottom>
      </border>
    </dxf>
    <dxf>
      <fill>
        <patternFill>
          <bgColor theme="0" tint="-4.9958800012207406E-2"/>
        </patternFill>
      </fill>
      <border>
        <left style="hair">
          <color theme="0" tint="-0.49995422223578601"/>
        </left>
        <right/>
        <top/>
        <bottom/>
      </border>
    </dxf>
    <dxf>
      <fill>
        <patternFill>
          <bgColor theme="7" tint="0.59993285927915285"/>
        </patternFill>
      </fill>
    </dxf>
    <dxf>
      <font>
        <b/>
        <i val="0"/>
        <color theme="9" tint="-0.49995422223578601"/>
      </font>
      <fill>
        <patternFill>
          <bgColor rgb="FFCCFFCC"/>
        </patternFill>
      </fill>
    </dxf>
    <dxf>
      <font>
        <b/>
        <i val="0"/>
        <color rgb="FFFF0000"/>
      </font>
      <fill>
        <patternFill>
          <bgColor theme="5" tint="0.79995117038483843"/>
        </patternFill>
      </fill>
    </dxf>
    <dxf>
      <font>
        <b/>
        <i val="0"/>
        <color theme="7" tint="-0.49995422223578601"/>
      </font>
      <fill>
        <patternFill>
          <bgColor theme="7" tint="0.79995117038483843"/>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theme="0"/>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theme="0"/>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theme="0"/>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theme="0"/>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theme="0"/>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theme="0"/>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theme="0"/>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theme="0"/>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theme="0"/>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theme="0"/>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theme="0"/>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theme="0"/>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theme="0"/>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theme="0"/>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theme="0"/>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theme="0"/>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border>
        <left/>
        <right/>
        <top/>
        <bottom/>
      </border>
    </dxf>
    <dxf>
      <fill>
        <patternFill>
          <bgColor theme="0"/>
        </patternFill>
      </fill>
    </dxf>
    <dxf>
      <fill>
        <patternFill>
          <bgColor theme="0"/>
        </patternFill>
      </fill>
    </dxf>
    <dxf>
      <font>
        <b/>
        <i val="0"/>
        <color rgb="FFC00000"/>
      </font>
      <fill>
        <patternFill>
          <bgColor theme="5" tint="0.79995117038483843"/>
        </patternFill>
      </fill>
    </dxf>
    <dxf>
      <fill>
        <patternFill>
          <bgColor theme="0"/>
        </patternFill>
      </fill>
    </dxf>
    <dxf>
      <fill>
        <patternFill>
          <bgColor theme="0"/>
        </patternFill>
      </fill>
    </dxf>
    <dxf>
      <fill>
        <patternFill>
          <bgColor theme="0"/>
        </patternFill>
      </fill>
    </dxf>
    <dxf>
      <font>
        <b/>
        <i val="0"/>
        <color rgb="FFC00000"/>
      </font>
    </dxf>
    <dxf>
      <font>
        <color theme="9" tint="-0.49995422223578601"/>
      </font>
      <fill>
        <patternFill>
          <bgColor rgb="FF92D050"/>
        </patternFill>
      </fill>
    </dxf>
    <dxf>
      <font>
        <color rgb="FFFFFF00"/>
      </font>
      <fill>
        <patternFill>
          <bgColor rgb="FFC00000"/>
        </patternFill>
      </fill>
    </dxf>
    <dxf>
      <fill>
        <patternFill>
          <bgColor theme="9" tint="0.79995117038483843"/>
        </patternFill>
      </fill>
      <border>
        <left/>
        <right/>
        <top/>
        <bottom/>
      </border>
    </dxf>
    <dxf>
      <font>
        <b/>
        <i val="0"/>
        <color rgb="FFC00000"/>
      </font>
      <fill>
        <patternFill>
          <bgColor rgb="FFFFCCCC"/>
        </patternFill>
      </fill>
    </dxf>
    <dxf>
      <font>
        <b/>
        <i val="0"/>
        <color rgb="FFC00000"/>
      </font>
      <fill>
        <patternFill>
          <bgColor rgb="FFFFCCCC"/>
        </patternFill>
      </fill>
    </dxf>
    <dxf>
      <font>
        <b/>
        <i val="0"/>
        <color rgb="FFC00000"/>
      </font>
      <fill>
        <patternFill>
          <bgColor rgb="FFFFCCCC"/>
        </patternFill>
      </fill>
    </dxf>
    <dxf>
      <font>
        <b/>
        <i val="0"/>
        <color theme="9" tint="-0.24991607409894101"/>
      </font>
      <fill>
        <patternFill>
          <bgColor theme="9" tint="0.79995117038483843"/>
        </patternFill>
      </fill>
    </dxf>
    <dxf>
      <font>
        <b/>
        <i val="0"/>
        <color theme="9" tint="-0.24991607409894101"/>
      </font>
      <fill>
        <patternFill>
          <bgColor theme="9" tint="0.79995117038483843"/>
        </patternFill>
      </fill>
    </dxf>
    <dxf>
      <font>
        <b/>
        <i val="0"/>
        <color theme="9" tint="-0.24991607409894101"/>
      </font>
      <fill>
        <patternFill>
          <bgColor theme="9" tint="0.79995117038483843"/>
        </patternFill>
      </fill>
    </dxf>
    <dxf>
      <font>
        <b/>
        <i val="0"/>
        <color rgb="FFC00000"/>
      </font>
    </dxf>
    <dxf>
      <font>
        <color rgb="FF00B050"/>
      </font>
    </dxf>
    <dxf>
      <font>
        <strike/>
        <color rgb="FFC00000"/>
      </font>
      <fill>
        <patternFill>
          <bgColor theme="5" tint="0.79995117038483843"/>
        </patternFill>
      </fill>
    </dxf>
    <dxf>
      <font>
        <color theme="0" tint="-0.49995422223578601"/>
      </font>
      <fill>
        <patternFill>
          <bgColor theme="5" tint="0.59993285927915285"/>
        </patternFill>
      </fill>
    </dxf>
    <dxf>
      <font>
        <color theme="2" tint="-9.9917600024414813E-2"/>
      </font>
      <fill>
        <patternFill>
          <bgColor theme="9" tint="0.79995117038483843"/>
        </patternFill>
      </fill>
      <border>
        <left/>
        <right/>
        <top/>
        <bottom/>
      </border>
    </dxf>
    <dxf>
      <font>
        <color theme="0" tint="-0.24991607409894101"/>
      </font>
    </dxf>
    <dxf>
      <font>
        <color theme="1"/>
      </font>
      <fill>
        <patternFill>
          <bgColor theme="4" tint="0.59993285927915285"/>
        </patternFill>
      </fill>
    </dxf>
    <dxf>
      <font>
        <strike/>
        <color rgb="FFC00000"/>
      </font>
      <fill>
        <patternFill>
          <bgColor theme="5" tint="0.79995117038483843"/>
        </patternFill>
      </fill>
    </dxf>
    <dxf>
      <fill>
        <patternFill>
          <bgColor theme="0"/>
        </patternFill>
      </fill>
      <border>
        <left/>
        <right/>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strike/>
        <color rgb="FFC00000"/>
      </font>
      <fill>
        <patternFill>
          <bgColor theme="5" tint="0.79995117038483843"/>
        </patternFill>
      </fill>
    </dxf>
    <dxf>
      <font>
        <color theme="0"/>
      </font>
      <fill>
        <patternFill>
          <bgColor theme="0"/>
        </patternFill>
      </fill>
      <border>
        <left/>
        <right/>
        <top/>
      </border>
    </dxf>
    <dxf>
      <font>
        <b/>
        <i val="0"/>
        <color rgb="FFFFFF00"/>
      </font>
      <fill>
        <patternFill>
          <bgColor rgb="FFC00000"/>
        </patternFill>
      </fill>
    </dxf>
    <dxf>
      <font>
        <b/>
        <i val="0"/>
        <color rgb="FFFFFF00"/>
      </font>
      <fill>
        <patternFill>
          <bgColor rgb="FFC00000"/>
        </patternFill>
      </fill>
      <border>
        <left style="thin">
          <color rgb="FFFFC000"/>
        </left>
        <right style="thin">
          <color rgb="FFFFC000"/>
        </right>
        <top style="thin">
          <color rgb="FFFFC000"/>
        </top>
        <bottom style="thin">
          <color rgb="FFFFC000"/>
        </bottom>
      </border>
    </dxf>
    <dxf>
      <font>
        <color theme="0" tint="-0.49995422223578601"/>
      </font>
      <fill>
        <patternFill>
          <bgColor theme="5" tint="0.59993285927915285"/>
        </patternFill>
      </fill>
    </dxf>
    <dxf>
      <font>
        <b/>
        <i val="0"/>
        <color rgb="FFFFFF00"/>
      </font>
      <fill>
        <patternFill>
          <bgColor rgb="FFC00000"/>
        </patternFill>
      </fill>
      <border>
        <left style="thin">
          <color rgb="FFFFC000"/>
        </left>
        <right style="thin">
          <color rgb="FFFFC000"/>
        </right>
        <top style="thin">
          <color rgb="FFFFC000"/>
        </top>
        <bottom style="thin">
          <color rgb="FFFFC000"/>
        </bottom>
      </border>
    </dxf>
    <dxf>
      <font>
        <color theme="0" tint="-0.49995422223578601"/>
      </font>
      <fill>
        <patternFill>
          <bgColor theme="5" tint="0.59993285927915285"/>
        </patternFill>
      </fill>
    </dxf>
    <dxf>
      <fill>
        <patternFill>
          <bgColor theme="0"/>
        </patternFill>
      </fill>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dotted">
          <color theme="9"/>
        </left>
        <right style="hair">
          <color theme="9"/>
        </right>
        <top style="dotted">
          <color theme="9"/>
        </top>
        <bottom style="dotted">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hair">
          <color theme="9"/>
        </left>
        <right style="dotted">
          <color theme="9"/>
        </right>
        <top style="dotted">
          <color theme="9"/>
        </top>
        <bottom style="dotted">
          <color theme="9"/>
        </bottom>
        <vertical style="dotted">
          <color theme="9"/>
        </vertical>
        <horizontal style="dotted">
          <color theme="9"/>
        </horizontal>
      </border>
      <protection locked="0" hidden="1"/>
    </dxf>
    <dxf>
      <font>
        <b val="0"/>
        <i val="0"/>
        <strike val="0"/>
        <u val="none"/>
        <sz val="11"/>
        <color indexed="8"/>
        <name val="Calibri Light"/>
        <family val="2"/>
      </font>
      <alignment horizontal="center"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right style="hair">
          <color theme="9"/>
        </right>
        <top style="hair">
          <color theme="9"/>
        </top>
        <bottom style="hair">
          <color theme="9"/>
        </bottom>
      </border>
      <protection locked="0" hidden="1"/>
    </dxf>
    <dxf>
      <font>
        <b/>
        <i val="0"/>
        <strike val="0"/>
        <u val="none"/>
        <sz val="11"/>
        <color theme="0"/>
        <name val="Calibri Light"/>
        <family val="2"/>
      </font>
      <fill>
        <patternFill patternType="solid">
          <bgColor theme="9"/>
        </patternFill>
      </fill>
      <alignment horizontal="center" vertical="center" textRotation="0" wrapText="0" shrinkToFit="0" readingOrder="0"/>
      <border>
        <left style="hair">
          <color theme="9"/>
        </left>
        <right style="hair">
          <color theme="9"/>
        </right>
        <top style="hair">
          <color theme="9"/>
        </top>
        <bottom style="hair">
          <color theme="9"/>
        </bottom>
      </border>
      <protection locked="0" hidden="1"/>
    </dxf>
    <dxf>
      <border>
        <top style="thin">
          <color rgb="FF000000"/>
        </top>
      </border>
    </dxf>
    <dxf>
      <border>
        <left style="thin">
          <color rgb="FF000000"/>
        </left>
        <right style="thin">
          <color rgb="FF000000"/>
        </right>
        <top style="thin">
          <color rgb="FF000000"/>
        </top>
        <bottom style="thin">
          <color rgb="FF000000"/>
        </bottom>
      </border>
    </dxf>
    <dxf>
      <font>
        <b val="0"/>
        <i val="0"/>
        <strike val="0"/>
        <u val="none"/>
        <sz val="11"/>
        <color rgb="FF000000"/>
        <name val="Calibri Light"/>
        <family val="2"/>
      </font>
      <numFmt numFmtId="3" formatCode="#,##0"/>
      <alignment horizontal="center" vertical="center" textRotation="0" wrapText="0" shrinkToFit="0" readingOrder="0"/>
      <protection locked="0" hidden="1"/>
    </dxf>
    <dxf>
      <border>
        <bottom style="thin">
          <color rgb="FF000000"/>
        </bottom>
      </border>
    </dxf>
    <dxf>
      <font>
        <b val="0"/>
        <i val="0"/>
        <strike val="0"/>
        <u val="none"/>
        <sz val="11"/>
        <color indexed="8"/>
        <name val="Calibri Light"/>
        <family val="2"/>
      </font>
      <numFmt numFmtId="3" formatCode="#,##0"/>
      <alignment horizontal="center" vertical="center" textRotation="0" wrapText="0" shrinkToFit="0" readingOrder="0"/>
      <border>
        <left style="hair">
          <color theme="9"/>
        </left>
        <right style="hair">
          <color theme="9"/>
        </right>
        <top/>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dotted">
          <color theme="9"/>
        </left>
        <right style="hair">
          <color theme="9"/>
        </right>
        <top style="dotted">
          <color theme="9"/>
        </top>
        <bottom style="dotted">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hair">
          <color theme="9"/>
        </left>
        <right style="dotted">
          <color theme="9"/>
        </right>
        <top style="dotted">
          <color theme="9"/>
        </top>
        <bottom style="dotted">
          <color theme="9"/>
        </bottom>
        <vertical style="dotted">
          <color theme="9"/>
        </vertical>
        <horizontal style="dotted">
          <color theme="9"/>
        </horizontal>
      </border>
      <protection locked="0" hidden="1"/>
    </dxf>
    <dxf>
      <font>
        <b val="0"/>
        <i val="0"/>
        <strike val="0"/>
        <u val="none"/>
        <sz val="11"/>
        <color indexed="8"/>
        <name val="Calibri Light"/>
        <family val="2"/>
      </font>
      <alignment horizontal="center"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right style="hair">
          <color theme="9"/>
        </right>
        <top style="hair">
          <color theme="9"/>
        </top>
        <bottom style="hair">
          <color theme="9"/>
        </bottom>
      </border>
      <protection locked="0" hidden="1"/>
    </dxf>
    <dxf>
      <font>
        <b/>
        <i val="0"/>
        <strike val="0"/>
        <u val="none"/>
        <sz val="11"/>
        <color theme="0"/>
        <name val="Calibri Light"/>
        <family val="2"/>
      </font>
      <fill>
        <patternFill patternType="solid">
          <bgColor theme="9"/>
        </patternFill>
      </fill>
      <alignment horizontal="center" vertical="center" textRotation="0" wrapText="0" shrinkToFit="0" readingOrder="0"/>
      <border>
        <left style="hair">
          <color theme="9"/>
        </left>
        <right style="hair">
          <color theme="9"/>
        </right>
        <top style="hair">
          <color theme="9"/>
        </top>
        <bottom style="hair">
          <color theme="9"/>
        </bottom>
      </border>
      <protection locked="0" hidden="1"/>
    </dxf>
    <dxf>
      <border>
        <top style="thin">
          <color rgb="FF000000"/>
        </top>
      </border>
    </dxf>
    <dxf>
      <border>
        <left style="thin">
          <color rgb="FF000000"/>
        </left>
        <right style="thin">
          <color rgb="FF000000"/>
        </right>
        <top style="thin">
          <color rgb="FF000000"/>
        </top>
        <bottom style="thin">
          <color rgb="FF000000"/>
        </bottom>
      </border>
    </dxf>
    <dxf>
      <font>
        <b val="0"/>
        <i val="0"/>
        <strike val="0"/>
        <u val="none"/>
        <sz val="11"/>
        <color rgb="FF000000"/>
        <name val="Calibri Light"/>
        <family val="2"/>
      </font>
      <numFmt numFmtId="3" formatCode="#,##0"/>
      <alignment horizontal="center" vertical="center" textRotation="0" wrapText="0" shrinkToFit="0" readingOrder="0"/>
      <protection locked="0" hidden="1"/>
    </dxf>
    <dxf>
      <border>
        <bottom style="thin">
          <color rgb="FF000000"/>
        </bottom>
      </border>
    </dxf>
    <dxf>
      <font>
        <b val="0"/>
        <i val="0"/>
        <strike val="0"/>
        <u val="none"/>
        <sz val="11"/>
        <color indexed="8"/>
        <name val="Calibri Light"/>
        <family val="2"/>
      </font>
      <numFmt numFmtId="3" formatCode="#,##0"/>
      <alignment horizontal="center" vertical="center" textRotation="0" wrapText="0" shrinkToFit="0" readingOrder="0"/>
      <border>
        <left style="hair">
          <color theme="9"/>
        </left>
        <right style="hair">
          <color theme="9"/>
        </right>
        <top/>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dotted">
          <color theme="9"/>
        </left>
        <right style="hair">
          <color theme="9"/>
        </right>
        <top style="dotted">
          <color theme="9"/>
        </top>
        <bottom style="dotted">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hair">
          <color theme="9"/>
        </left>
        <right style="dotted">
          <color theme="9"/>
        </right>
        <top style="dotted">
          <color theme="9"/>
        </top>
        <bottom style="dotted">
          <color theme="9"/>
        </bottom>
        <vertical style="dotted">
          <color theme="9"/>
        </vertical>
        <horizontal style="dotted">
          <color theme="9"/>
        </horizontal>
      </border>
      <protection locked="0" hidden="1"/>
    </dxf>
    <dxf>
      <font>
        <b val="0"/>
        <i val="0"/>
        <strike val="0"/>
        <u val="none"/>
        <sz val="11"/>
        <color indexed="8"/>
        <name val="Calibri Light"/>
        <family val="2"/>
      </font>
      <alignment horizontal="center"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right style="hair">
          <color theme="9"/>
        </right>
        <top style="hair">
          <color theme="9"/>
        </top>
        <bottom style="hair">
          <color theme="9"/>
        </bottom>
      </border>
      <protection locked="0" hidden="1"/>
    </dxf>
    <dxf>
      <font>
        <b/>
        <i val="0"/>
        <strike val="0"/>
        <u val="none"/>
        <sz val="11"/>
        <color theme="0"/>
        <name val="Calibri Light"/>
        <family val="2"/>
      </font>
      <fill>
        <patternFill patternType="solid">
          <bgColor theme="9"/>
        </patternFill>
      </fill>
      <alignment horizontal="center" vertical="center" textRotation="0" wrapText="0" shrinkToFit="0" readingOrder="0"/>
      <border>
        <left style="hair">
          <color theme="9"/>
        </left>
        <right style="hair">
          <color theme="9"/>
        </right>
        <top style="hair">
          <color theme="9"/>
        </top>
        <bottom style="hair">
          <color theme="9"/>
        </bottom>
      </border>
      <protection locked="0" hidden="1"/>
    </dxf>
    <dxf>
      <border>
        <top style="thin">
          <color rgb="FF000000"/>
        </top>
      </border>
    </dxf>
    <dxf>
      <border>
        <left style="thin">
          <color rgb="FF000000"/>
        </left>
        <right style="thin">
          <color rgb="FF000000"/>
        </right>
        <top style="thin">
          <color rgb="FF000000"/>
        </top>
        <bottom style="thin">
          <color rgb="FF000000"/>
        </bottom>
      </border>
    </dxf>
    <dxf>
      <font>
        <b val="0"/>
        <i val="0"/>
        <strike val="0"/>
        <u val="none"/>
        <sz val="11"/>
        <color rgb="FF000000"/>
        <name val="Calibri Light"/>
        <family val="2"/>
      </font>
      <numFmt numFmtId="3" formatCode="#,##0"/>
      <alignment horizontal="center" vertical="center" textRotation="0" wrapText="0" shrinkToFit="0" readingOrder="0"/>
      <protection locked="0" hidden="1"/>
    </dxf>
    <dxf>
      <border>
        <bottom style="thin">
          <color rgb="FF000000"/>
        </bottom>
      </border>
    </dxf>
    <dxf>
      <font>
        <b val="0"/>
        <i val="0"/>
        <strike val="0"/>
        <u val="none"/>
        <sz val="11"/>
        <color indexed="8"/>
        <name val="Calibri Light"/>
        <family val="2"/>
      </font>
      <numFmt numFmtId="3" formatCode="#,##0"/>
      <alignment horizontal="center" vertical="center" textRotation="0" wrapText="0" shrinkToFit="0" readingOrder="0"/>
      <border>
        <left style="hair">
          <color theme="9"/>
        </left>
        <right style="hair">
          <color theme="9"/>
        </right>
        <top/>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dotted">
          <color theme="9"/>
        </left>
        <right style="hair">
          <color theme="9"/>
        </right>
        <top style="dotted">
          <color theme="9"/>
        </top>
        <bottom style="dotted">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hair">
          <color theme="9"/>
        </left>
        <right style="dotted">
          <color theme="9"/>
        </right>
        <top style="dotted">
          <color theme="9"/>
        </top>
        <bottom style="dotted">
          <color theme="9"/>
        </bottom>
        <vertical style="dotted">
          <color theme="9"/>
        </vertical>
        <horizontal style="dotted">
          <color theme="9"/>
        </horizontal>
      </border>
      <protection locked="0" hidden="1"/>
    </dxf>
    <dxf>
      <font>
        <b val="0"/>
        <i val="0"/>
        <strike val="0"/>
        <u val="none"/>
        <sz val="11"/>
        <color indexed="8"/>
        <name val="Calibri Light"/>
        <family val="2"/>
      </font>
      <alignment horizontal="center"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right style="hair">
          <color theme="9"/>
        </right>
        <top style="hair">
          <color theme="9"/>
        </top>
        <bottom style="hair">
          <color theme="9"/>
        </bottom>
      </border>
      <protection locked="0" hidden="1"/>
    </dxf>
    <dxf>
      <font>
        <b/>
        <i val="0"/>
        <strike val="0"/>
        <u val="none"/>
        <sz val="11"/>
        <color theme="0"/>
        <name val="Calibri Light"/>
        <family val="2"/>
      </font>
      <fill>
        <patternFill patternType="solid">
          <bgColor theme="9"/>
        </patternFill>
      </fill>
      <alignment horizontal="center" vertical="center" textRotation="0" wrapText="0" shrinkToFit="0" readingOrder="0"/>
      <border>
        <left style="hair">
          <color theme="9"/>
        </left>
        <right style="hair">
          <color theme="9"/>
        </right>
        <top style="hair">
          <color theme="9"/>
        </top>
        <bottom style="hair">
          <color theme="9"/>
        </bottom>
      </border>
      <protection locked="0" hidden="1"/>
    </dxf>
    <dxf>
      <border>
        <top style="thin">
          <color rgb="FF000000"/>
        </top>
      </border>
    </dxf>
    <dxf>
      <border>
        <left style="thin">
          <color rgb="FF000000"/>
        </left>
        <right style="thin">
          <color rgb="FF000000"/>
        </right>
        <top style="thin">
          <color rgb="FF000000"/>
        </top>
        <bottom style="thin">
          <color rgb="FF000000"/>
        </bottom>
      </border>
    </dxf>
    <dxf>
      <font>
        <b val="0"/>
        <i val="0"/>
        <strike val="0"/>
        <u val="none"/>
        <sz val="11"/>
        <color rgb="FF000000"/>
        <name val="Calibri Light"/>
        <family val="2"/>
      </font>
      <numFmt numFmtId="3" formatCode="#,##0"/>
      <alignment horizontal="center" vertical="center" textRotation="0" wrapText="0" shrinkToFit="0" readingOrder="0"/>
      <protection locked="0" hidden="1"/>
    </dxf>
    <dxf>
      <border>
        <bottom style="thin">
          <color rgb="FF000000"/>
        </bottom>
      </border>
    </dxf>
    <dxf>
      <font>
        <b val="0"/>
        <i val="0"/>
        <strike val="0"/>
        <u val="none"/>
        <sz val="11"/>
        <color indexed="8"/>
        <name val="Calibri Light"/>
        <family val="2"/>
      </font>
      <numFmt numFmtId="3" formatCode="#,##0"/>
      <alignment horizontal="center" vertical="center" textRotation="0" wrapText="0" shrinkToFit="0" readingOrder="0"/>
      <border>
        <left style="hair">
          <color theme="9"/>
        </left>
        <right style="hair">
          <color theme="9"/>
        </right>
        <top/>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dotted">
          <color theme="9"/>
        </left>
        <right style="hair">
          <color theme="9"/>
        </right>
        <top style="dotted">
          <color theme="9"/>
        </top>
        <bottom style="dotted">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hair">
          <color theme="9"/>
        </left>
        <right style="dotted">
          <color theme="9"/>
        </right>
        <top style="dotted">
          <color theme="9"/>
        </top>
        <bottom style="dotted">
          <color theme="9"/>
        </bottom>
        <vertical style="dotted">
          <color theme="9"/>
        </vertical>
        <horizontal style="dotted">
          <color theme="9"/>
        </horizontal>
      </border>
      <protection locked="0" hidden="1"/>
    </dxf>
    <dxf>
      <font>
        <b val="0"/>
        <i val="0"/>
        <strike val="0"/>
        <u val="none"/>
        <sz val="11"/>
        <color indexed="8"/>
        <name val="Calibri Light"/>
        <family val="2"/>
      </font>
      <alignment horizontal="center"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right style="hair">
          <color theme="9"/>
        </right>
        <top style="hair">
          <color theme="9"/>
        </top>
        <bottom style="hair">
          <color theme="9"/>
        </bottom>
      </border>
      <protection locked="0" hidden="1"/>
    </dxf>
    <dxf>
      <font>
        <b/>
        <i val="0"/>
        <strike val="0"/>
        <u val="none"/>
        <sz val="11"/>
        <color theme="0"/>
        <name val="Calibri Light"/>
        <family val="2"/>
      </font>
      <fill>
        <patternFill patternType="solid">
          <bgColor theme="9"/>
        </patternFill>
      </fill>
      <alignment horizontal="center" vertical="center" textRotation="0" wrapText="0" shrinkToFit="0" readingOrder="0"/>
      <border>
        <left style="hair">
          <color theme="9"/>
        </left>
        <right style="hair">
          <color theme="9"/>
        </right>
        <top style="hair">
          <color theme="9"/>
        </top>
        <bottom style="hair">
          <color theme="9"/>
        </bottom>
      </border>
      <protection locked="0" hidden="1"/>
    </dxf>
    <dxf>
      <border>
        <top style="thin">
          <color rgb="FF000000"/>
        </top>
      </border>
    </dxf>
    <dxf>
      <border>
        <left style="thin">
          <color rgb="FF000000"/>
        </left>
        <right style="thin">
          <color rgb="FF000000"/>
        </right>
        <top style="thin">
          <color rgb="FF000000"/>
        </top>
        <bottom style="thin">
          <color rgb="FF000000"/>
        </bottom>
      </border>
    </dxf>
    <dxf>
      <font>
        <b val="0"/>
        <i val="0"/>
        <strike val="0"/>
        <u val="none"/>
        <sz val="11"/>
        <color rgb="FF000000"/>
        <name val="Calibri Light"/>
        <family val="2"/>
      </font>
      <numFmt numFmtId="3" formatCode="#,##0"/>
      <alignment horizontal="center" vertical="center" textRotation="0" wrapText="0" shrinkToFit="0" readingOrder="0"/>
      <protection locked="0" hidden="1"/>
    </dxf>
    <dxf>
      <border>
        <bottom style="thin">
          <color rgb="FF000000"/>
        </bottom>
      </border>
    </dxf>
    <dxf>
      <font>
        <b val="0"/>
        <i val="0"/>
        <strike val="0"/>
        <u val="none"/>
        <sz val="11"/>
        <color indexed="8"/>
        <name val="Calibri Light"/>
        <family val="2"/>
      </font>
      <numFmt numFmtId="3" formatCode="#,##0"/>
      <alignment horizontal="center" vertical="center" textRotation="0" wrapText="0" shrinkToFit="0" readingOrder="0"/>
      <border>
        <left style="hair">
          <color theme="9"/>
        </left>
        <right style="hair">
          <color theme="9"/>
        </right>
        <top/>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dotted">
          <color theme="9"/>
        </left>
        <right style="hair">
          <color theme="9"/>
        </right>
        <top style="dotted">
          <color theme="9"/>
        </top>
        <bottom style="dotted">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hair">
          <color theme="9"/>
        </left>
        <right style="dotted">
          <color theme="9"/>
        </right>
        <top style="dotted">
          <color theme="9"/>
        </top>
        <bottom style="dotted">
          <color theme="9"/>
        </bottom>
        <vertical style="dotted">
          <color theme="9"/>
        </vertical>
        <horizontal style="dotted">
          <color theme="9"/>
        </horizontal>
      </border>
      <protection locked="0" hidden="1"/>
    </dxf>
    <dxf>
      <font>
        <b val="0"/>
        <i val="0"/>
        <strike val="0"/>
        <u val="none"/>
        <sz val="11"/>
        <color indexed="8"/>
        <name val="Calibri Light"/>
        <family val="2"/>
      </font>
      <alignment horizontal="center"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right style="hair">
          <color theme="9"/>
        </right>
        <top style="hair">
          <color theme="9"/>
        </top>
        <bottom style="hair">
          <color theme="9"/>
        </bottom>
      </border>
      <protection locked="0" hidden="1"/>
    </dxf>
    <dxf>
      <font>
        <b/>
        <i val="0"/>
        <strike val="0"/>
        <u val="none"/>
        <sz val="11"/>
        <color theme="0"/>
        <name val="Calibri Light"/>
        <family val="2"/>
      </font>
      <fill>
        <patternFill patternType="solid">
          <bgColor theme="9"/>
        </patternFill>
      </fill>
      <alignment horizontal="center" vertical="center" textRotation="0" wrapText="0" shrinkToFit="0" readingOrder="0"/>
      <border>
        <left style="hair">
          <color theme="9"/>
        </left>
        <right style="hair">
          <color theme="9"/>
        </right>
        <top style="hair">
          <color theme="9"/>
        </top>
        <bottom style="hair">
          <color theme="9"/>
        </bottom>
      </border>
      <protection locked="0" hidden="1"/>
    </dxf>
    <dxf>
      <border>
        <top style="thin">
          <color rgb="FF000000"/>
        </top>
      </border>
    </dxf>
    <dxf>
      <border>
        <left style="thin">
          <color rgb="FF000000"/>
        </left>
        <right style="thin">
          <color rgb="FF000000"/>
        </right>
        <top style="thin">
          <color rgb="FF000000"/>
        </top>
        <bottom style="thin">
          <color rgb="FF000000"/>
        </bottom>
      </border>
    </dxf>
    <dxf>
      <font>
        <b val="0"/>
        <i val="0"/>
        <strike val="0"/>
        <u val="none"/>
        <sz val="11"/>
        <color rgb="FF000000"/>
        <name val="Calibri Light"/>
        <family val="2"/>
      </font>
      <numFmt numFmtId="3" formatCode="#,##0"/>
      <alignment horizontal="center" vertical="center" textRotation="0" wrapText="0" shrinkToFit="0" readingOrder="0"/>
      <protection locked="0" hidden="1"/>
    </dxf>
    <dxf>
      <border>
        <bottom style="thin">
          <color rgb="FF000000"/>
        </bottom>
      </border>
    </dxf>
    <dxf>
      <font>
        <b val="0"/>
        <i val="0"/>
        <strike val="0"/>
        <u val="none"/>
        <sz val="11"/>
        <color indexed="8"/>
        <name val="Calibri Light"/>
        <family val="2"/>
      </font>
      <numFmt numFmtId="3" formatCode="#,##0"/>
      <alignment horizontal="center" vertical="center" textRotation="0" wrapText="0" shrinkToFit="0" readingOrder="0"/>
      <border>
        <left style="hair">
          <color theme="9"/>
        </left>
        <right style="hair">
          <color theme="9"/>
        </right>
        <top/>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dotted">
          <color theme="9"/>
        </left>
        <right style="hair">
          <color theme="9"/>
        </right>
        <top style="dotted">
          <color theme="9"/>
        </top>
        <bottom style="dotted">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hair">
          <color theme="9"/>
        </left>
        <right style="dotted">
          <color theme="9"/>
        </right>
        <top style="dotted">
          <color theme="9"/>
        </top>
        <bottom style="dotted">
          <color theme="9"/>
        </bottom>
        <vertical style="dotted">
          <color theme="9"/>
        </vertical>
        <horizontal style="dotted">
          <color theme="9"/>
        </horizontal>
      </border>
      <protection locked="0" hidden="1"/>
    </dxf>
    <dxf>
      <font>
        <b val="0"/>
        <i val="0"/>
        <strike val="0"/>
        <u val="none"/>
        <sz val="11"/>
        <color indexed="8"/>
        <name val="Calibri Light"/>
        <family val="2"/>
      </font>
      <alignment horizontal="center"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right style="hair">
          <color theme="9"/>
        </right>
        <top style="hair">
          <color theme="9"/>
        </top>
        <bottom style="hair">
          <color theme="9"/>
        </bottom>
      </border>
      <protection locked="0" hidden="1"/>
    </dxf>
    <dxf>
      <font>
        <b/>
        <i val="0"/>
        <strike val="0"/>
        <u val="none"/>
        <sz val="11"/>
        <color theme="0"/>
        <name val="Calibri Light"/>
        <family val="2"/>
      </font>
      <fill>
        <patternFill patternType="solid">
          <bgColor theme="9"/>
        </patternFill>
      </fill>
      <alignment horizontal="center" vertical="center" textRotation="0" wrapText="0" shrinkToFit="0" readingOrder="0"/>
      <border>
        <left style="hair">
          <color theme="9"/>
        </left>
        <right style="hair">
          <color theme="9"/>
        </right>
        <top style="hair">
          <color theme="9"/>
        </top>
        <bottom style="hair">
          <color theme="9"/>
        </bottom>
      </border>
      <protection locked="0" hidden="1"/>
    </dxf>
    <dxf>
      <border>
        <top style="thin">
          <color rgb="FF000000"/>
        </top>
      </border>
    </dxf>
    <dxf>
      <border>
        <left style="thin">
          <color rgb="FF000000"/>
        </left>
        <right style="thin">
          <color rgb="FF000000"/>
        </right>
        <top style="thin">
          <color rgb="FF000000"/>
        </top>
        <bottom style="thin">
          <color rgb="FF000000"/>
        </bottom>
      </border>
    </dxf>
    <dxf>
      <font>
        <b val="0"/>
        <i val="0"/>
        <strike val="0"/>
        <u val="none"/>
        <sz val="11"/>
        <color rgb="FF000000"/>
        <name val="Calibri Light"/>
        <family val="2"/>
      </font>
      <numFmt numFmtId="3" formatCode="#,##0"/>
      <alignment horizontal="center" vertical="center" textRotation="0" wrapText="0" shrinkToFit="0" readingOrder="0"/>
      <protection locked="0" hidden="1"/>
    </dxf>
    <dxf>
      <border>
        <bottom style="thin">
          <color rgb="FF000000"/>
        </bottom>
      </border>
    </dxf>
    <dxf>
      <font>
        <b val="0"/>
        <i val="0"/>
        <strike val="0"/>
        <u val="none"/>
        <sz val="11"/>
        <color indexed="8"/>
        <name val="Calibri Light"/>
        <family val="2"/>
      </font>
      <numFmt numFmtId="3" formatCode="#,##0"/>
      <alignment horizontal="center" vertical="center" textRotation="0" wrapText="0" shrinkToFit="0" readingOrder="0"/>
      <border>
        <left style="hair">
          <color theme="9"/>
        </left>
        <right style="hair">
          <color theme="9"/>
        </right>
        <top/>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dotted">
          <color theme="9"/>
        </left>
        <right style="hair">
          <color theme="9"/>
        </right>
        <top style="dotted">
          <color theme="9"/>
        </top>
        <bottom style="dotted">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hair">
          <color theme="9"/>
        </left>
        <right style="dotted">
          <color theme="9"/>
        </right>
        <top style="dotted">
          <color theme="9"/>
        </top>
        <bottom style="dotted">
          <color theme="9"/>
        </bottom>
        <vertical style="dotted">
          <color theme="9"/>
        </vertical>
        <horizontal style="dotted">
          <color theme="9"/>
        </horizontal>
      </border>
      <protection locked="0" hidden="1"/>
    </dxf>
    <dxf>
      <font>
        <b val="0"/>
        <i val="0"/>
        <strike val="0"/>
        <u val="none"/>
        <sz val="11"/>
        <color indexed="8"/>
        <name val="Calibri Light"/>
        <family val="2"/>
      </font>
      <alignment horizontal="center"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right style="hair">
          <color theme="9"/>
        </right>
        <top style="hair">
          <color theme="9"/>
        </top>
        <bottom style="hair">
          <color theme="9"/>
        </bottom>
      </border>
      <protection locked="0" hidden="1"/>
    </dxf>
    <dxf>
      <font>
        <b/>
        <i val="0"/>
        <strike val="0"/>
        <u val="none"/>
        <sz val="11"/>
        <color theme="0"/>
        <name val="Calibri Light"/>
        <family val="2"/>
      </font>
      <fill>
        <patternFill patternType="solid">
          <bgColor theme="9"/>
        </patternFill>
      </fill>
      <alignment horizontal="center" vertical="center" textRotation="0" wrapText="0" shrinkToFit="0" readingOrder="0"/>
      <border>
        <left style="hair">
          <color theme="9"/>
        </left>
        <right style="hair">
          <color theme="9"/>
        </right>
        <top style="hair">
          <color theme="9"/>
        </top>
        <bottom style="hair">
          <color theme="9"/>
        </bottom>
      </border>
      <protection locked="0" hidden="1"/>
    </dxf>
    <dxf>
      <border>
        <top style="thin">
          <color rgb="FF000000"/>
        </top>
      </border>
    </dxf>
    <dxf>
      <border>
        <left style="thin">
          <color rgb="FF000000"/>
        </left>
        <right style="thin">
          <color rgb="FF000000"/>
        </right>
        <top style="thin">
          <color rgb="FF000000"/>
        </top>
        <bottom style="thin">
          <color rgb="FF000000"/>
        </bottom>
      </border>
    </dxf>
    <dxf>
      <font>
        <b val="0"/>
        <i val="0"/>
        <strike val="0"/>
        <u val="none"/>
        <sz val="11"/>
        <color rgb="FF000000"/>
        <name val="Calibri Light"/>
        <family val="2"/>
      </font>
      <numFmt numFmtId="3" formatCode="#,##0"/>
      <alignment horizontal="center" vertical="center" textRotation="0" wrapText="0" shrinkToFit="0" readingOrder="0"/>
      <protection locked="0" hidden="1"/>
    </dxf>
    <dxf>
      <border>
        <bottom style="thin">
          <color rgb="FF000000"/>
        </bottom>
      </border>
    </dxf>
    <dxf>
      <font>
        <b val="0"/>
        <i val="0"/>
        <strike val="0"/>
        <u val="none"/>
        <sz val="11"/>
        <color indexed="8"/>
        <name val="Calibri Light"/>
        <family val="2"/>
      </font>
      <numFmt numFmtId="3" formatCode="#,##0"/>
      <alignment horizontal="center" vertical="center" textRotation="0" wrapText="0" shrinkToFit="0" readingOrder="0"/>
      <border>
        <left style="hair">
          <color theme="9"/>
        </left>
        <right style="hair">
          <color theme="9"/>
        </right>
        <top/>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dotted">
          <color theme="9"/>
        </left>
        <right style="hair">
          <color theme="9"/>
        </right>
        <top style="dotted">
          <color theme="9"/>
        </top>
        <bottom style="dotted">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hair">
          <color theme="9"/>
        </left>
        <right style="dotted">
          <color theme="9"/>
        </right>
        <top style="dotted">
          <color theme="9"/>
        </top>
        <bottom style="dotted">
          <color theme="9"/>
        </bottom>
        <vertical style="dotted">
          <color theme="9"/>
        </vertical>
        <horizontal style="dotted">
          <color theme="9"/>
        </horizontal>
      </border>
      <protection locked="0" hidden="1"/>
    </dxf>
    <dxf>
      <font>
        <b val="0"/>
        <i val="0"/>
        <strike val="0"/>
        <u val="none"/>
        <sz val="11"/>
        <color indexed="8"/>
        <name val="Calibri Light"/>
        <family val="2"/>
      </font>
      <alignment horizontal="center"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right style="hair">
          <color theme="9"/>
        </right>
        <top style="hair">
          <color theme="9"/>
        </top>
        <bottom style="hair">
          <color theme="9"/>
        </bottom>
      </border>
      <protection locked="0" hidden="1"/>
    </dxf>
    <dxf>
      <font>
        <b/>
        <i val="0"/>
        <strike val="0"/>
        <u val="none"/>
        <sz val="11"/>
        <color theme="0"/>
        <name val="Calibri Light"/>
        <family val="2"/>
      </font>
      <fill>
        <patternFill patternType="solid">
          <bgColor theme="9"/>
        </patternFill>
      </fill>
      <alignment horizontal="center" vertical="center" textRotation="0" wrapText="0" shrinkToFit="0" readingOrder="0"/>
      <border>
        <left style="hair">
          <color theme="9"/>
        </left>
        <right style="hair">
          <color theme="9"/>
        </right>
        <top style="hair">
          <color theme="9"/>
        </top>
        <bottom style="hair">
          <color theme="9"/>
        </bottom>
      </border>
      <protection locked="0" hidden="1"/>
    </dxf>
    <dxf>
      <border>
        <top style="thin">
          <color rgb="FF000000"/>
        </top>
      </border>
    </dxf>
    <dxf>
      <border>
        <left style="thin">
          <color rgb="FF000000"/>
        </left>
        <right style="thin">
          <color rgb="FF000000"/>
        </right>
        <top style="thin">
          <color rgb="FF000000"/>
        </top>
        <bottom style="thin">
          <color rgb="FF000000"/>
        </bottom>
      </border>
    </dxf>
    <dxf>
      <font>
        <b val="0"/>
        <i val="0"/>
        <strike val="0"/>
        <u val="none"/>
        <sz val="11"/>
        <color rgb="FF000000"/>
        <name val="Calibri Light"/>
        <family val="2"/>
      </font>
      <numFmt numFmtId="3" formatCode="#,##0"/>
      <alignment horizontal="center" vertical="center" textRotation="0" wrapText="0" shrinkToFit="0" readingOrder="0"/>
      <protection locked="0" hidden="1"/>
    </dxf>
    <dxf>
      <border>
        <bottom style="thin">
          <color rgb="FF000000"/>
        </bottom>
      </border>
    </dxf>
    <dxf>
      <font>
        <b val="0"/>
        <i val="0"/>
        <strike val="0"/>
        <u val="none"/>
        <sz val="11"/>
        <color indexed="8"/>
        <name val="Calibri Light"/>
        <family val="2"/>
      </font>
      <numFmt numFmtId="3" formatCode="#,##0"/>
      <alignment horizontal="center" vertical="center" textRotation="0" wrapText="0" shrinkToFit="0" readingOrder="0"/>
      <border>
        <left style="hair">
          <color theme="9"/>
        </left>
        <right style="hair">
          <color theme="9"/>
        </right>
        <top/>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dotted">
          <color theme="9"/>
        </left>
        <right style="hair">
          <color theme="9"/>
        </right>
        <top style="dotted">
          <color theme="9"/>
        </top>
        <bottom style="dotted">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hair">
          <color theme="9"/>
        </left>
        <right style="dotted">
          <color theme="9"/>
        </right>
        <top style="dotted">
          <color theme="9"/>
        </top>
        <bottom style="dotted">
          <color theme="9"/>
        </bottom>
        <vertical style="dotted">
          <color theme="9"/>
        </vertical>
        <horizontal style="dotted">
          <color theme="9"/>
        </horizontal>
      </border>
      <protection locked="0" hidden="1"/>
    </dxf>
    <dxf>
      <font>
        <b val="0"/>
        <i val="0"/>
        <strike val="0"/>
        <u val="none"/>
        <sz val="11"/>
        <color indexed="8"/>
        <name val="Calibri Light"/>
        <family val="2"/>
      </font>
      <alignment horizontal="center"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right style="hair">
          <color theme="9"/>
        </right>
        <top style="hair">
          <color theme="9"/>
        </top>
        <bottom style="hair">
          <color theme="9"/>
        </bottom>
      </border>
      <protection locked="0" hidden="1"/>
    </dxf>
    <dxf>
      <font>
        <b/>
        <i val="0"/>
        <strike val="0"/>
        <u val="none"/>
        <sz val="11"/>
        <color theme="0"/>
        <name val="Calibri Light"/>
        <family val="2"/>
      </font>
      <fill>
        <patternFill patternType="solid">
          <bgColor theme="9"/>
        </patternFill>
      </fill>
      <alignment horizontal="center" vertical="center" textRotation="0" wrapText="0" shrinkToFit="0" readingOrder="0"/>
      <border>
        <left style="hair">
          <color theme="9"/>
        </left>
        <right style="hair">
          <color theme="9"/>
        </right>
        <top style="hair">
          <color theme="9"/>
        </top>
        <bottom style="hair">
          <color theme="9"/>
        </bottom>
      </border>
      <protection locked="0" hidden="1"/>
    </dxf>
    <dxf>
      <border>
        <top style="thin">
          <color rgb="FF000000"/>
        </top>
      </border>
    </dxf>
    <dxf>
      <border>
        <left style="thin">
          <color rgb="FF000000"/>
        </left>
        <right style="thin">
          <color rgb="FF000000"/>
        </right>
        <top style="thin">
          <color rgb="FF000000"/>
        </top>
        <bottom style="thin">
          <color rgb="FF000000"/>
        </bottom>
      </border>
    </dxf>
    <dxf>
      <font>
        <b val="0"/>
        <i val="0"/>
        <strike val="0"/>
        <u val="none"/>
        <sz val="11"/>
        <color rgb="FF000000"/>
        <name val="Calibri Light"/>
        <family val="2"/>
      </font>
      <numFmt numFmtId="3" formatCode="#,##0"/>
      <alignment horizontal="center" vertical="center" textRotation="0" wrapText="0" shrinkToFit="0" readingOrder="0"/>
      <protection locked="0" hidden="1"/>
    </dxf>
    <dxf>
      <border>
        <bottom style="thin">
          <color rgb="FF000000"/>
        </bottom>
      </border>
    </dxf>
    <dxf>
      <font>
        <b val="0"/>
        <i val="0"/>
        <strike val="0"/>
        <u val="none"/>
        <sz val="11"/>
        <color indexed="8"/>
        <name val="Calibri Light"/>
        <family val="2"/>
      </font>
      <numFmt numFmtId="3" formatCode="#,##0"/>
      <alignment horizontal="center" vertical="center" textRotation="0" wrapText="0" shrinkToFit="0" readingOrder="0"/>
      <border>
        <left style="hair">
          <color theme="9"/>
        </left>
        <right style="hair">
          <color theme="9"/>
        </right>
        <top/>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dotted">
          <color theme="9"/>
        </left>
        <right style="hair">
          <color theme="9"/>
        </right>
        <top style="dotted">
          <color theme="9"/>
        </top>
        <bottom style="dotted">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hair">
          <color theme="9"/>
        </left>
        <right style="dotted">
          <color theme="9"/>
        </right>
        <top style="dotted">
          <color theme="9"/>
        </top>
        <bottom style="dotted">
          <color theme="9"/>
        </bottom>
        <vertical style="dotted">
          <color theme="9"/>
        </vertical>
        <horizontal style="dotted">
          <color theme="9"/>
        </horizontal>
      </border>
      <protection locked="0" hidden="1"/>
    </dxf>
    <dxf>
      <font>
        <b val="0"/>
        <i val="0"/>
        <strike val="0"/>
        <u val="none"/>
        <sz val="11"/>
        <color indexed="8"/>
        <name val="Calibri Light"/>
        <family val="2"/>
      </font>
      <alignment horizontal="center"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right style="hair">
          <color theme="9"/>
        </right>
        <top style="hair">
          <color theme="9"/>
        </top>
        <bottom style="hair">
          <color theme="9"/>
        </bottom>
      </border>
      <protection locked="0" hidden="1"/>
    </dxf>
    <dxf>
      <font>
        <b/>
        <i val="0"/>
        <strike val="0"/>
        <u val="none"/>
        <sz val="11"/>
        <color theme="0"/>
        <name val="Calibri Light"/>
        <family val="2"/>
      </font>
      <fill>
        <patternFill patternType="solid">
          <bgColor theme="9"/>
        </patternFill>
      </fill>
      <alignment horizontal="center" vertical="center" textRotation="0" wrapText="0" shrinkToFit="0" readingOrder="0"/>
      <border>
        <left style="hair">
          <color theme="9"/>
        </left>
        <right style="hair">
          <color theme="9"/>
        </right>
        <top style="hair">
          <color theme="9"/>
        </top>
        <bottom style="hair">
          <color theme="9"/>
        </bottom>
      </border>
      <protection locked="0" hidden="1"/>
    </dxf>
    <dxf>
      <border>
        <top style="thin">
          <color rgb="FF000000"/>
        </top>
      </border>
    </dxf>
    <dxf>
      <border>
        <left style="thin">
          <color rgb="FF000000"/>
        </left>
        <right style="thin">
          <color rgb="FF000000"/>
        </right>
        <top style="thin">
          <color rgb="FF000000"/>
        </top>
        <bottom style="thin">
          <color rgb="FF000000"/>
        </bottom>
      </border>
    </dxf>
    <dxf>
      <font>
        <b val="0"/>
        <i val="0"/>
        <strike val="0"/>
        <u val="none"/>
        <sz val="11"/>
        <color rgb="FF000000"/>
        <name val="Calibri Light"/>
        <family val="2"/>
      </font>
      <numFmt numFmtId="3" formatCode="#,##0"/>
      <alignment horizontal="center" vertical="center" textRotation="0" wrapText="0" shrinkToFit="0" readingOrder="0"/>
      <protection locked="0" hidden="1"/>
    </dxf>
    <dxf>
      <border>
        <bottom style="thin">
          <color rgb="FF000000"/>
        </bottom>
      </border>
    </dxf>
    <dxf>
      <font>
        <b val="0"/>
        <i val="0"/>
        <strike val="0"/>
        <u val="none"/>
        <sz val="11"/>
        <color indexed="8"/>
        <name val="Calibri Light"/>
        <family val="2"/>
      </font>
      <numFmt numFmtId="3" formatCode="#,##0"/>
      <alignment horizontal="center" vertical="center" textRotation="0" wrapText="0" shrinkToFit="0" readingOrder="0"/>
      <border>
        <left style="hair">
          <color theme="9"/>
        </left>
        <right style="hair">
          <color theme="9"/>
        </right>
        <top/>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dotted">
          <color theme="9"/>
        </left>
        <right style="hair">
          <color theme="9"/>
        </right>
        <top style="dotted">
          <color theme="9"/>
        </top>
        <bottom style="dotted">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hair">
          <color theme="9"/>
        </left>
        <right style="dotted">
          <color theme="9"/>
        </right>
        <top style="dotted">
          <color theme="9"/>
        </top>
        <bottom style="dotted">
          <color theme="9"/>
        </bottom>
        <vertical style="dotted">
          <color theme="9"/>
        </vertical>
        <horizontal style="dotted">
          <color theme="9"/>
        </horizontal>
      </border>
      <protection locked="0" hidden="1"/>
    </dxf>
    <dxf>
      <font>
        <b val="0"/>
        <i val="0"/>
        <strike val="0"/>
        <u val="none"/>
        <sz val="11"/>
        <color indexed="8"/>
        <name val="Calibri Light"/>
        <family val="2"/>
      </font>
      <alignment horizontal="center"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right style="hair">
          <color theme="9"/>
        </right>
        <top style="hair">
          <color theme="9"/>
        </top>
        <bottom style="hair">
          <color theme="9"/>
        </bottom>
      </border>
      <protection locked="0" hidden="1"/>
    </dxf>
    <dxf>
      <font>
        <b/>
        <i val="0"/>
        <strike val="0"/>
        <u val="none"/>
        <sz val="11"/>
        <color theme="0"/>
        <name val="Calibri Light"/>
        <family val="2"/>
      </font>
      <fill>
        <patternFill patternType="solid">
          <bgColor theme="9"/>
        </patternFill>
      </fill>
      <alignment horizontal="center" vertical="center" textRotation="0" wrapText="0" shrinkToFit="0" readingOrder="0"/>
      <border>
        <left style="hair">
          <color theme="9"/>
        </left>
        <right style="hair">
          <color theme="9"/>
        </right>
        <top style="hair">
          <color theme="9"/>
        </top>
        <bottom style="hair">
          <color theme="9"/>
        </bottom>
      </border>
      <protection locked="0" hidden="1"/>
    </dxf>
    <dxf>
      <border>
        <top style="thin">
          <color rgb="FF000000"/>
        </top>
      </border>
    </dxf>
    <dxf>
      <border>
        <left style="thin">
          <color rgb="FF000000"/>
        </left>
        <right style="thin">
          <color rgb="FF000000"/>
        </right>
        <top style="thin">
          <color rgb="FF000000"/>
        </top>
        <bottom style="thin">
          <color rgb="FF000000"/>
        </bottom>
      </border>
    </dxf>
    <dxf>
      <font>
        <b val="0"/>
        <i val="0"/>
        <strike val="0"/>
        <u val="none"/>
        <sz val="11"/>
        <color rgb="FF000000"/>
        <name val="Calibri Light"/>
        <family val="2"/>
      </font>
      <numFmt numFmtId="3" formatCode="#,##0"/>
      <alignment horizontal="center" vertical="center" textRotation="0" wrapText="0" shrinkToFit="0" readingOrder="0"/>
      <protection locked="0" hidden="1"/>
    </dxf>
    <dxf>
      <border>
        <bottom style="thin">
          <color rgb="FF000000"/>
        </bottom>
      </border>
    </dxf>
    <dxf>
      <font>
        <b val="0"/>
        <i val="0"/>
        <strike val="0"/>
        <u val="none"/>
        <sz val="11"/>
        <color indexed="8"/>
        <name val="Calibri Light"/>
        <family val="2"/>
      </font>
      <numFmt numFmtId="3" formatCode="#,##0"/>
      <alignment horizontal="center" vertical="center" textRotation="0" wrapText="0" shrinkToFit="0" readingOrder="0"/>
      <border>
        <left style="hair">
          <color theme="9"/>
        </left>
        <right style="hair">
          <color theme="9"/>
        </right>
        <top/>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dotted">
          <color theme="9"/>
        </left>
        <right style="hair">
          <color theme="9"/>
        </right>
        <top style="dotted">
          <color theme="9"/>
        </top>
        <bottom style="dotted">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hair">
          <color theme="9"/>
        </left>
        <right style="dotted">
          <color theme="9"/>
        </right>
        <top style="dotted">
          <color theme="9"/>
        </top>
        <bottom style="dotted">
          <color theme="9"/>
        </bottom>
        <vertical style="dotted">
          <color theme="9"/>
        </vertical>
        <horizontal style="dotted">
          <color theme="9"/>
        </horizontal>
      </border>
      <protection locked="0" hidden="1"/>
    </dxf>
    <dxf>
      <font>
        <b val="0"/>
        <i val="0"/>
        <strike val="0"/>
        <u val="none"/>
        <sz val="11"/>
        <color indexed="8"/>
        <name val="Calibri Light"/>
        <family val="2"/>
      </font>
      <alignment horizontal="center"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right style="hair">
          <color theme="9"/>
        </right>
        <top style="hair">
          <color theme="9"/>
        </top>
        <bottom style="hair">
          <color theme="9"/>
        </bottom>
      </border>
      <protection locked="0" hidden="1"/>
    </dxf>
    <dxf>
      <font>
        <b/>
        <i val="0"/>
        <strike val="0"/>
        <u val="none"/>
        <sz val="11"/>
        <color theme="0"/>
        <name val="Calibri Light"/>
        <family val="2"/>
      </font>
      <fill>
        <patternFill patternType="solid">
          <bgColor theme="9"/>
        </patternFill>
      </fill>
      <alignment horizontal="center" vertical="center" textRotation="0" wrapText="0" shrinkToFit="0" readingOrder="0"/>
      <border>
        <left style="hair">
          <color theme="9"/>
        </left>
        <right style="hair">
          <color theme="9"/>
        </right>
        <top style="hair">
          <color theme="9"/>
        </top>
        <bottom style="hair">
          <color theme="9"/>
        </bottom>
      </border>
      <protection locked="0" hidden="1"/>
    </dxf>
    <dxf>
      <border>
        <top style="thin">
          <color rgb="FF000000"/>
        </top>
      </border>
    </dxf>
    <dxf>
      <border>
        <left style="thin">
          <color rgb="FF000000"/>
        </left>
        <right style="thin">
          <color rgb="FF000000"/>
        </right>
        <top style="thin">
          <color rgb="FF000000"/>
        </top>
        <bottom style="thin">
          <color rgb="FF000000"/>
        </bottom>
      </border>
    </dxf>
    <dxf>
      <font>
        <b val="0"/>
        <i val="0"/>
        <strike val="0"/>
        <u val="none"/>
        <sz val="11"/>
        <color rgb="FF000000"/>
        <name val="Calibri Light"/>
        <family val="2"/>
      </font>
      <numFmt numFmtId="3" formatCode="#,##0"/>
      <alignment horizontal="center" vertical="center" textRotation="0" wrapText="0" shrinkToFit="0" readingOrder="0"/>
      <protection locked="0" hidden="1"/>
    </dxf>
    <dxf>
      <border>
        <bottom style="thin">
          <color rgb="FF000000"/>
        </bottom>
      </border>
    </dxf>
    <dxf>
      <font>
        <b val="0"/>
        <i val="0"/>
        <strike val="0"/>
        <u val="none"/>
        <sz val="11"/>
        <color indexed="8"/>
        <name val="Calibri Light"/>
        <family val="2"/>
      </font>
      <numFmt numFmtId="3" formatCode="#,##0"/>
      <alignment horizontal="center" vertical="center" textRotation="0" wrapText="0" shrinkToFit="0" readingOrder="0"/>
      <border>
        <left style="hair">
          <color theme="9"/>
        </left>
        <right style="hair">
          <color theme="9"/>
        </right>
        <top/>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dotted">
          <color theme="9"/>
        </left>
        <right style="hair">
          <color theme="9"/>
        </right>
        <top style="dotted">
          <color theme="9"/>
        </top>
        <bottom style="dotted">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hair">
          <color theme="9"/>
        </left>
        <right style="dotted">
          <color theme="9"/>
        </right>
        <top style="dotted">
          <color theme="9"/>
        </top>
        <bottom style="dotted">
          <color theme="9"/>
        </bottom>
        <vertical style="dotted">
          <color theme="9"/>
        </vertical>
        <horizontal style="dotted">
          <color theme="9"/>
        </horizontal>
      </border>
      <protection locked="0" hidden="1"/>
    </dxf>
    <dxf>
      <font>
        <b val="0"/>
        <i val="0"/>
        <strike val="0"/>
        <u val="none"/>
        <sz val="11"/>
        <color indexed="8"/>
        <name val="Calibri Light"/>
        <family val="2"/>
      </font>
      <alignment horizontal="center"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right style="hair">
          <color theme="9"/>
        </right>
        <top style="hair">
          <color theme="9"/>
        </top>
        <bottom style="hair">
          <color theme="9"/>
        </bottom>
      </border>
      <protection locked="0" hidden="1"/>
    </dxf>
    <dxf>
      <font>
        <b/>
        <i val="0"/>
        <strike val="0"/>
        <u val="none"/>
        <sz val="11"/>
        <color theme="0"/>
        <name val="Calibri Light"/>
        <family val="2"/>
      </font>
      <fill>
        <patternFill patternType="solid">
          <bgColor theme="9"/>
        </patternFill>
      </fill>
      <alignment horizontal="center" vertical="center" textRotation="0" wrapText="0" shrinkToFit="0" readingOrder="0"/>
      <border>
        <left style="hair">
          <color theme="9"/>
        </left>
        <right style="hair">
          <color theme="9"/>
        </right>
        <top style="hair">
          <color theme="9"/>
        </top>
        <bottom style="hair">
          <color theme="9"/>
        </bottom>
      </border>
      <protection locked="0" hidden="1"/>
    </dxf>
    <dxf>
      <border>
        <top style="thin">
          <color rgb="FF000000"/>
        </top>
      </border>
    </dxf>
    <dxf>
      <border>
        <left style="thin">
          <color rgb="FF000000"/>
        </left>
        <right style="thin">
          <color rgb="FF000000"/>
        </right>
        <top style="thin">
          <color rgb="FF000000"/>
        </top>
        <bottom style="thin">
          <color rgb="FF000000"/>
        </bottom>
      </border>
    </dxf>
    <dxf>
      <font>
        <b val="0"/>
        <i val="0"/>
        <strike val="0"/>
        <u val="none"/>
        <sz val="11"/>
        <color rgb="FF000000"/>
        <name val="Calibri Light"/>
        <family val="2"/>
      </font>
      <numFmt numFmtId="3" formatCode="#,##0"/>
      <alignment horizontal="center" vertical="center" textRotation="0" wrapText="0" shrinkToFit="0" readingOrder="0"/>
      <protection locked="0" hidden="1"/>
    </dxf>
    <dxf>
      <border>
        <bottom style="thin">
          <color rgb="FF000000"/>
        </bottom>
      </border>
    </dxf>
    <dxf>
      <font>
        <b val="0"/>
        <i val="0"/>
        <strike val="0"/>
        <u val="none"/>
        <sz val="11"/>
        <color indexed="8"/>
        <name val="Calibri Light"/>
        <family val="2"/>
      </font>
      <numFmt numFmtId="3" formatCode="#,##0"/>
      <alignment horizontal="center" vertical="center" textRotation="0" wrapText="0" shrinkToFit="0" readingOrder="0"/>
      <border>
        <left style="hair">
          <color theme="9"/>
        </left>
        <right style="hair">
          <color theme="9"/>
        </right>
        <top/>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dotted">
          <color theme="9"/>
        </left>
        <right style="hair">
          <color theme="9"/>
        </right>
        <top style="dotted">
          <color theme="9"/>
        </top>
        <bottom style="dotted">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hair">
          <color theme="9"/>
        </left>
        <right style="dotted">
          <color theme="9"/>
        </right>
        <top style="dotted">
          <color theme="9"/>
        </top>
        <bottom style="dotted">
          <color theme="9"/>
        </bottom>
        <vertical style="dotted">
          <color theme="9"/>
        </vertical>
        <horizontal style="dotted">
          <color theme="9"/>
        </horizontal>
      </border>
      <protection locked="0" hidden="1"/>
    </dxf>
    <dxf>
      <font>
        <b val="0"/>
        <i val="0"/>
        <strike val="0"/>
        <u val="none"/>
        <sz val="11"/>
        <color indexed="8"/>
        <name val="Calibri Light"/>
        <family val="2"/>
      </font>
      <alignment horizontal="center"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right style="hair">
          <color theme="9"/>
        </right>
        <top style="hair">
          <color theme="9"/>
        </top>
        <bottom style="hair">
          <color theme="9"/>
        </bottom>
      </border>
      <protection locked="0" hidden="1"/>
    </dxf>
    <dxf>
      <font>
        <b/>
        <i val="0"/>
        <strike val="0"/>
        <u val="none"/>
        <sz val="11"/>
        <color theme="0"/>
        <name val="Calibri Light"/>
        <family val="2"/>
      </font>
      <fill>
        <patternFill patternType="solid">
          <bgColor theme="9"/>
        </patternFill>
      </fill>
      <alignment horizontal="center" vertical="center" textRotation="0" wrapText="0" shrinkToFit="0" readingOrder="0"/>
      <border>
        <left style="hair">
          <color theme="9"/>
        </left>
        <right style="hair">
          <color theme="9"/>
        </right>
        <top style="hair">
          <color theme="9"/>
        </top>
        <bottom style="hair">
          <color theme="9"/>
        </bottom>
      </border>
      <protection locked="0" hidden="1"/>
    </dxf>
    <dxf>
      <border>
        <top style="thin">
          <color rgb="FF000000"/>
        </top>
      </border>
    </dxf>
    <dxf>
      <border>
        <left style="thin">
          <color rgb="FF000000"/>
        </left>
        <right style="thin">
          <color rgb="FF000000"/>
        </right>
        <top style="thin">
          <color rgb="FF000000"/>
        </top>
        <bottom style="thin">
          <color rgb="FF000000"/>
        </bottom>
      </border>
    </dxf>
    <dxf>
      <font>
        <b val="0"/>
        <i val="0"/>
        <strike val="0"/>
        <u val="none"/>
        <sz val="11"/>
        <color rgb="FF000000"/>
        <name val="Calibri Light"/>
        <family val="2"/>
      </font>
      <numFmt numFmtId="3" formatCode="#,##0"/>
      <alignment horizontal="center" vertical="center" textRotation="0" wrapText="0" shrinkToFit="0" readingOrder="0"/>
      <protection locked="0" hidden="1"/>
    </dxf>
    <dxf>
      <border>
        <bottom style="thin">
          <color rgb="FF000000"/>
        </bottom>
      </border>
    </dxf>
    <dxf>
      <font>
        <b val="0"/>
        <i val="0"/>
        <strike val="0"/>
        <u val="none"/>
        <sz val="11"/>
        <color indexed="8"/>
        <name val="Calibri Light"/>
        <family val="2"/>
      </font>
      <numFmt numFmtId="3" formatCode="#,##0"/>
      <alignment horizontal="center" vertical="center" textRotation="0" wrapText="0" shrinkToFit="0" readingOrder="0"/>
      <border>
        <left style="hair">
          <color theme="9"/>
        </left>
        <right style="hair">
          <color theme="9"/>
        </right>
        <top/>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dotted">
          <color theme="9"/>
        </left>
        <right style="hair">
          <color theme="9"/>
        </right>
        <top style="dotted">
          <color theme="9"/>
        </top>
        <bottom style="dotted">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hair">
          <color theme="9"/>
        </left>
        <right style="dotted">
          <color theme="9"/>
        </right>
        <top style="dotted">
          <color theme="9"/>
        </top>
        <bottom style="dotted">
          <color theme="9"/>
        </bottom>
        <vertical style="dotted">
          <color theme="9"/>
        </vertical>
        <horizontal style="dotted">
          <color theme="9"/>
        </horizontal>
      </border>
      <protection locked="0" hidden="1"/>
    </dxf>
    <dxf>
      <font>
        <b val="0"/>
        <i val="0"/>
        <strike val="0"/>
        <u val="none"/>
        <sz val="11"/>
        <color indexed="8"/>
        <name val="Calibri Light"/>
        <family val="2"/>
      </font>
      <alignment horizontal="center"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right style="hair">
          <color theme="9"/>
        </right>
        <top style="hair">
          <color theme="9"/>
        </top>
        <bottom style="hair">
          <color theme="9"/>
        </bottom>
      </border>
      <protection locked="0" hidden="1"/>
    </dxf>
    <dxf>
      <font>
        <b/>
        <i val="0"/>
        <strike val="0"/>
        <u val="none"/>
        <sz val="11"/>
        <color theme="0"/>
        <name val="Calibri Light"/>
        <family val="2"/>
      </font>
      <fill>
        <patternFill patternType="solid">
          <bgColor theme="9"/>
        </patternFill>
      </fill>
      <alignment horizontal="center" vertical="center" textRotation="0" wrapText="0" shrinkToFit="0" readingOrder="0"/>
      <border>
        <left style="hair">
          <color theme="9"/>
        </left>
        <right style="hair">
          <color theme="9"/>
        </right>
        <top style="hair">
          <color theme="9"/>
        </top>
        <bottom style="hair">
          <color theme="9"/>
        </bottom>
      </border>
      <protection locked="0" hidden="1"/>
    </dxf>
    <dxf>
      <border>
        <top style="thin">
          <color rgb="FF000000"/>
        </top>
      </border>
    </dxf>
    <dxf>
      <border>
        <left style="thin">
          <color rgb="FF000000"/>
        </left>
        <right style="thin">
          <color rgb="FF000000"/>
        </right>
        <top style="thin">
          <color rgb="FF000000"/>
        </top>
        <bottom style="thin">
          <color rgb="FF000000"/>
        </bottom>
      </border>
    </dxf>
    <dxf>
      <font>
        <b val="0"/>
        <i val="0"/>
        <strike val="0"/>
        <u val="none"/>
        <sz val="11"/>
        <color rgb="FF000000"/>
        <name val="Calibri Light"/>
        <family val="2"/>
      </font>
      <numFmt numFmtId="3" formatCode="#,##0"/>
      <alignment horizontal="center" vertical="center" textRotation="0" wrapText="0" shrinkToFit="0" readingOrder="0"/>
      <protection locked="0" hidden="1"/>
    </dxf>
    <dxf>
      <border>
        <bottom style="thin">
          <color rgb="FF000000"/>
        </bottom>
      </border>
    </dxf>
    <dxf>
      <font>
        <b val="0"/>
        <i val="0"/>
        <strike val="0"/>
        <u val="none"/>
        <sz val="11"/>
        <color indexed="8"/>
        <name val="Calibri Light"/>
        <family val="2"/>
      </font>
      <numFmt numFmtId="3" formatCode="#,##0"/>
      <alignment horizontal="center" vertical="center" textRotation="0" wrapText="0" shrinkToFit="0" readingOrder="0"/>
      <border>
        <left style="hair">
          <color theme="9"/>
        </left>
        <right style="hair">
          <color theme="9"/>
        </right>
        <top/>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5" formatCode="[$€-2]\ #,##0.0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3" formatCode="#,##0"/>
      <alignment horizontal="right" vertical="center" textRotation="0" wrapText="0"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dotted">
          <color theme="9"/>
        </left>
        <right style="hair">
          <color theme="9"/>
        </right>
        <top style="dotted">
          <color theme="9"/>
        </top>
        <bottom style="dotted">
          <color theme="9"/>
        </bottom>
      </border>
      <protection locked="0" hidden="1"/>
    </dxf>
    <dxf>
      <font>
        <b val="0"/>
        <i val="0"/>
        <strike val="0"/>
        <u val="none"/>
        <sz val="11"/>
        <color indexed="8"/>
        <name val="Calibri Light"/>
        <family val="2"/>
      </font>
      <numFmt numFmtId="174" formatCode="mm\/yyyy"/>
      <alignment horizontal="center" vertical="center" textRotation="0" wrapText="0" shrinkToFit="0" readingOrder="0"/>
      <border>
        <left style="hair">
          <color theme="9"/>
        </left>
        <right style="dotted">
          <color theme="9"/>
        </right>
        <top style="dotted">
          <color theme="9"/>
        </top>
        <bottom style="dotted">
          <color theme="9"/>
        </bottom>
        <vertical style="dotted">
          <color theme="9"/>
        </vertical>
        <horizontal style="dotted">
          <color theme="9"/>
        </horizontal>
      </border>
      <protection locked="0" hidden="1"/>
    </dxf>
    <dxf>
      <font>
        <b val="0"/>
        <i val="0"/>
        <strike val="0"/>
        <u val="none"/>
        <sz val="11"/>
        <color indexed="8"/>
        <name val="Calibri Light"/>
        <family val="2"/>
      </font>
      <alignment horizontal="center"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style="hair">
          <color theme="9"/>
        </left>
        <right style="hair">
          <color theme="9"/>
        </right>
        <top style="hair">
          <color theme="9"/>
        </top>
        <bottom style="hair">
          <color theme="9"/>
        </bottom>
      </border>
      <protection locked="0" hidden="1"/>
    </dxf>
    <dxf>
      <font>
        <b val="0"/>
        <i val="0"/>
        <strike val="0"/>
        <u val="none"/>
        <sz val="11"/>
        <color indexed="8"/>
        <name val="Calibri Light"/>
        <family val="2"/>
      </font>
      <alignment horizontal="left" vertical="center" textRotation="0" wrapText="1" shrinkToFit="0" readingOrder="0"/>
      <border>
        <left/>
        <right style="hair">
          <color theme="9"/>
        </right>
        <top style="hair">
          <color theme="9"/>
        </top>
        <bottom style="hair">
          <color theme="9"/>
        </bottom>
      </border>
      <protection locked="0" hidden="1"/>
    </dxf>
    <dxf>
      <font>
        <b/>
        <i val="0"/>
        <strike val="0"/>
        <u val="none"/>
        <sz val="11"/>
        <color theme="0"/>
        <name val="Calibri Light"/>
        <family val="2"/>
      </font>
      <fill>
        <patternFill patternType="solid">
          <bgColor theme="9"/>
        </patternFill>
      </fill>
      <alignment horizontal="center" vertical="center" textRotation="0" wrapText="0" shrinkToFit="0" readingOrder="0"/>
      <border>
        <left style="hair">
          <color theme="9"/>
        </left>
        <right style="hair">
          <color theme="9"/>
        </right>
        <top style="hair">
          <color theme="9"/>
        </top>
        <bottom style="hair">
          <color theme="9"/>
        </bottom>
      </border>
      <protection locked="0" hidden="1"/>
    </dxf>
    <dxf>
      <border>
        <top style="thin">
          <color auto="1"/>
        </top>
      </border>
    </dxf>
    <dxf>
      <border>
        <left style="thin">
          <color auto="1"/>
        </left>
        <right style="thin">
          <color auto="1"/>
        </right>
        <top style="thin">
          <color auto="1"/>
        </top>
        <bottom style="thin">
          <color auto="1"/>
        </bottom>
      </border>
    </dxf>
    <dxf>
      <font>
        <b val="0"/>
        <i val="0"/>
        <strike val="0"/>
        <u val="none"/>
        <sz val="11"/>
        <color indexed="8"/>
        <name val="Calibri Light"/>
        <family val="2"/>
      </font>
      <numFmt numFmtId="3" formatCode="#,##0"/>
      <alignment horizontal="center" vertical="center" textRotation="0" wrapText="0" shrinkToFit="0" readingOrder="0"/>
      <protection locked="0" hidden="1"/>
    </dxf>
    <dxf>
      <border>
        <bottom style="thin">
          <color auto="1"/>
        </bottom>
      </border>
    </dxf>
    <dxf>
      <font>
        <b val="0"/>
        <i val="0"/>
        <strike val="0"/>
        <u val="none"/>
        <sz val="11"/>
        <color indexed="8"/>
        <name val="Calibri Light"/>
        <family val="2"/>
      </font>
      <numFmt numFmtId="3" formatCode="#,##0"/>
      <alignment horizontal="center" vertical="center" textRotation="0" wrapText="0" shrinkToFit="0" readingOrder="0"/>
      <border>
        <left style="hair">
          <color theme="9"/>
        </left>
        <right style="hair">
          <color theme="9"/>
        </right>
        <top/>
        <bottom/>
      </border>
      <protection locked="0" hidden="1"/>
    </dxf>
    <dxf>
      <font>
        <b val="0"/>
        <i val="0"/>
        <strike val="0"/>
        <u val="none"/>
        <sz val="11"/>
        <color auto="1"/>
        <name val="Calibri Light"/>
        <family val="2"/>
      </font>
      <numFmt numFmtId="165" formatCode="0.0"/>
      <fill>
        <patternFill patternType="solid">
          <bgColor theme="0" tint="-4.9958800012207406E-2"/>
        </patternFill>
      </fill>
      <alignment horizontal="center" vertical="bottom" textRotation="0" wrapText="0" shrinkToFit="0" readingOrder="0"/>
    </dxf>
    <dxf>
      <font>
        <b val="0"/>
        <strike val="0"/>
        <u val="none"/>
        <sz val="11"/>
        <color auto="1"/>
        <name val="Calibri Light"/>
        <family val="2"/>
      </font>
      <numFmt numFmtId="165" formatCode="0.0"/>
      <fill>
        <patternFill patternType="solid">
          <bgColor theme="0" tint="-4.9958800012207406E-2"/>
        </patternFill>
      </fill>
      <alignment horizontal="center" vertical="bottom" textRotation="0" wrapText="0" shrinkToFit="0" readingOrder="0"/>
      <border>
        <left style="thin">
          <color auto="1"/>
        </left>
        <right/>
        <top/>
        <bottom/>
      </border>
    </dxf>
    <dxf>
      <font>
        <b val="0"/>
        <i val="0"/>
        <strike val="0"/>
        <u val="none"/>
        <sz val="11"/>
        <color theme="1"/>
        <name val="Calibri Light"/>
        <family val="2"/>
      </font>
      <numFmt numFmtId="0" formatCode="General"/>
      <alignment horizontal="center" vertical="bottom" textRotation="0" wrapText="0" shrinkToFit="0" readingOrder="0"/>
      <protection locked="0" hidden="1"/>
    </dxf>
    <dxf>
      <font>
        <b val="0"/>
        <i val="0"/>
        <strike val="0"/>
        <u val="none"/>
        <sz val="11"/>
        <color theme="1"/>
        <name val="Calibri Light"/>
        <family val="2"/>
      </font>
      <numFmt numFmtId="13" formatCode="0%"/>
      <alignment horizontal="center" vertical="bottom" textRotation="0" wrapText="0" shrinkToFit="0" readingOrder="0"/>
      <protection locked="0" hidden="1"/>
    </dxf>
    <dxf>
      <font>
        <b val="0"/>
        <i val="0"/>
        <strike val="0"/>
        <u val="none"/>
        <sz val="11"/>
        <color theme="1"/>
        <name val="Calibri Light"/>
        <family val="2"/>
      </font>
      <numFmt numFmtId="13" formatCode="0%"/>
      <alignment horizontal="center" vertical="bottom" textRotation="0" wrapText="0" shrinkToFit="0" readingOrder="0"/>
      <border>
        <left/>
        <right style="thin">
          <color theme="9" tint="0.39994506668294322"/>
        </right>
      </border>
      <protection locked="0" hidden="1"/>
    </dxf>
    <dxf>
      <font>
        <b val="0"/>
        <strike val="0"/>
        <u val="none"/>
        <name val="Calibri Light"/>
        <family val="2"/>
      </font>
      <alignment horizontal="center" vertical="bottom" textRotation="0" wrapText="0" shrinkToFit="0" readingOrder="0"/>
      <protection locked="0" hidden="1"/>
    </dxf>
    <dxf>
      <font>
        <b val="0"/>
        <i val="0"/>
        <strike val="0"/>
        <u val="none"/>
        <sz val="11"/>
        <color theme="1"/>
        <name val="Calibri Light"/>
        <family val="2"/>
      </font>
      <alignment horizontal="center" vertical="bottom" textRotation="0" wrapText="0" shrinkToFit="0" readingOrder="0"/>
      <protection locked="0" hidden="1"/>
    </dxf>
    <dxf>
      <font>
        <b val="0"/>
        <strike val="0"/>
        <u val="none"/>
        <name val="Calibri Light"/>
        <family val="2"/>
      </font>
      <numFmt numFmtId="165" formatCode="0.0"/>
      <fill>
        <patternFill patternType="solid">
          <bgColor theme="9" tint="0.59996337778862885"/>
        </patternFill>
      </fill>
      <alignment horizontal="center" vertical="bottom" textRotation="0" wrapText="0" shrinkToFit="0" readingOrder="0"/>
      <protection locked="0" hidden="1"/>
    </dxf>
    <dxf>
      <font>
        <b val="0"/>
        <strike val="0"/>
        <u val="none"/>
        <name val="Calibri Light"/>
        <family val="2"/>
      </font>
      <alignment horizontal="center" vertical="bottom" textRotation="0" wrapText="0" shrinkToFit="0" readingOrder="0"/>
      <protection locked="0" hidden="1"/>
    </dxf>
    <dxf>
      <font>
        <b val="0"/>
        <strike val="0"/>
        <u val="none"/>
        <name val="Calibri Light"/>
        <family val="2"/>
      </font>
      <alignment horizontal="center" vertical="bottom" textRotation="0" wrapText="0" shrinkToFit="0" readingOrder="0"/>
      <protection locked="0" hidden="1"/>
    </dxf>
    <dxf>
      <font>
        <b val="0"/>
        <i val="0"/>
        <strike val="0"/>
        <u val="none"/>
        <sz val="11"/>
        <color theme="1"/>
        <name val="Calibri Light"/>
        <family val="2"/>
      </font>
      <alignment horizontal="center" vertical="bottom" textRotation="0" wrapText="0" shrinkToFit="0" readingOrder="0"/>
      <protection locked="0" hidden="1"/>
    </dxf>
    <dxf>
      <font>
        <b val="0"/>
        <strike val="0"/>
        <u val="none"/>
        <name val="Calibri Light"/>
        <family val="2"/>
      </font>
      <protection locked="0" hidden="1"/>
    </dxf>
    <dxf>
      <font>
        <b val="0"/>
        <strike val="0"/>
        <u val="none"/>
        <name val="Calibri Light"/>
        <family val="2"/>
      </font>
      <alignment horizontal="center" vertical="bottom" textRotation="0" wrapText="0" shrinkToFit="0" readingOrder="0"/>
    </dxf>
    <dxf>
      <font>
        <b/>
        <i val="0"/>
        <strike val="0"/>
        <u val="none"/>
        <sz val="11"/>
        <color theme="1"/>
        <name val="Calibri Light"/>
        <family val="2"/>
      </font>
      <alignment horizontal="center" vertical="bottom" textRotation="0" wrapText="0" shrinkToFit="0" readingOrder="0"/>
    </dxf>
    <dxf>
      <font>
        <b val="0"/>
        <i val="0"/>
        <strike val="0"/>
        <u val="none"/>
        <sz val="11"/>
        <color rgb="FFC00000"/>
        <name val="Calibri"/>
      </font>
      <numFmt numFmtId="0" formatCode="General"/>
      <fill>
        <patternFill patternType="solid">
          <bgColor theme="0" tint="-4.9958800012207406E-2"/>
        </patternFill>
      </fill>
      <alignment horizontal="left" vertical="top" textRotation="0" wrapText="0" shrinkToFit="0" readingOrder="0"/>
    </dxf>
    <dxf>
      <font>
        <b/>
        <i val="0"/>
        <strike val="0"/>
        <u val="none"/>
        <sz val="11"/>
        <color rgb="FFC00000"/>
        <name val="Calibri"/>
        <family val="2"/>
      </font>
      <fill>
        <patternFill patternType="solid">
          <bgColor theme="0" tint="-4.9958800012207406E-2"/>
        </patternFill>
      </fill>
    </dxf>
    <dxf>
      <font>
        <b val="0"/>
        <i val="0"/>
        <strike val="0"/>
        <u val="none"/>
        <sz val="11"/>
        <color auto="1"/>
        <name val="Calibri"/>
      </font>
      <numFmt numFmtId="0" formatCode="General"/>
      <fill>
        <patternFill patternType="solid">
          <bgColor theme="0" tint="-4.9958800012207406E-2"/>
        </patternFill>
      </fill>
      <alignment horizontal="center" vertical="bottom" textRotation="0" wrapText="0" shrinkToFit="0" readingOrder="0"/>
      <border>
        <left style="thin">
          <color auto="1"/>
        </left>
        <right/>
        <top/>
        <bottom/>
      </border>
    </dxf>
    <dxf>
      <font>
        <b/>
        <i val="0"/>
        <strike val="0"/>
        <u val="none"/>
        <sz val="11"/>
        <color auto="1"/>
        <name val="Calibri"/>
        <family val="2"/>
      </font>
      <fill>
        <patternFill patternType="solid">
          <bgColor theme="0" tint="-4.9958800012207406E-2"/>
        </patternFill>
      </fill>
      <alignment horizontal="center" vertical="bottom" textRotation="0" wrapText="0" shrinkToFit="0" readingOrder="0"/>
      <border>
        <left style="thin">
          <color auto="1"/>
        </left>
        <right/>
        <top/>
        <bottom/>
      </border>
    </dxf>
    <dxf>
      <font>
        <b val="0"/>
        <i val="0"/>
        <strike val="0"/>
        <u val="none"/>
        <sz val="11"/>
        <color auto="1"/>
        <name val="Calibri"/>
        <family val="2"/>
      </font>
      <alignment horizontal="center" vertical="bottom" textRotation="0" wrapText="0" shrinkToFit="0" readingOrder="0"/>
      <protection locked="0" hidden="1"/>
    </dxf>
    <dxf>
      <font>
        <b val="0"/>
        <i val="0"/>
        <strike val="0"/>
        <u val="none"/>
        <sz val="11"/>
        <color theme="0"/>
        <name val="Calibri"/>
        <family val="2"/>
      </font>
      <alignment horizontal="left" vertical="bottom" textRotation="0" wrapText="0" shrinkToFit="0" readingOrder="0"/>
    </dxf>
    <dxf>
      <font>
        <b val="0"/>
        <i val="0"/>
        <strike val="0"/>
        <u val="none"/>
        <sz val="11"/>
        <color auto="1"/>
        <name val="Calibri"/>
      </font>
      <alignment horizontal="center" vertical="bottom" textRotation="0" wrapText="0" shrinkToFit="0" readingOrder="0"/>
      <protection locked="0" hidden="1"/>
    </dxf>
    <dxf>
      <font>
        <b val="0"/>
        <i val="0"/>
        <strike val="0"/>
        <u val="none"/>
        <sz val="11"/>
        <color theme="0"/>
        <name val="Calibri"/>
        <family val="2"/>
      </font>
      <alignment horizontal="left" vertical="bottom" textRotation="0" wrapText="0" shrinkToFit="0" readingOrder="0"/>
    </dxf>
    <dxf>
      <font>
        <b val="0"/>
        <i val="0"/>
        <strike val="0"/>
        <u val="none"/>
        <sz val="11"/>
        <color auto="1"/>
        <name val="Calibri"/>
      </font>
      <alignment horizontal="center" vertical="bottom" textRotation="0" wrapText="0" shrinkToFit="0" readingOrder="0"/>
      <protection locked="0" hidden="1"/>
    </dxf>
    <dxf>
      <font>
        <b val="0"/>
        <i val="0"/>
        <strike val="0"/>
        <u val="none"/>
        <sz val="11"/>
        <color theme="0"/>
        <name val="Calibri"/>
        <family val="2"/>
      </font>
      <alignment horizontal="center" vertical="bottom" textRotation="0" wrapText="0" shrinkToFit="0" readingOrder="0"/>
    </dxf>
    <dxf>
      <font>
        <b val="0"/>
        <i val="0"/>
        <strike val="0"/>
        <u val="none"/>
        <sz val="11"/>
        <color auto="1"/>
        <name val="Calibri"/>
      </font>
      <alignment horizontal="center" vertical="bottom" textRotation="0" wrapText="0" shrinkToFit="0" readingOrder="0"/>
      <protection locked="0" hidden="1"/>
    </dxf>
    <dxf>
      <font>
        <b val="0"/>
        <i val="0"/>
        <strike val="0"/>
        <u val="none"/>
        <sz val="11"/>
        <color theme="0"/>
        <name val="Calibri"/>
        <family val="2"/>
      </font>
      <alignment horizontal="center" vertical="bottom" textRotation="0" wrapText="0" shrinkToFit="0" readingOrder="0"/>
    </dxf>
    <dxf>
      <font>
        <b val="0"/>
        <i val="0"/>
        <strike val="0"/>
        <u val="none"/>
        <sz val="11"/>
        <color auto="1"/>
        <name val="Calibri"/>
      </font>
      <numFmt numFmtId="176" formatCode="m/d/yyyy"/>
      <alignment horizontal="center" vertical="bottom" textRotation="0" wrapText="0" shrinkToFit="0" readingOrder="0"/>
      <protection locked="0" hidden="1"/>
    </dxf>
    <dxf>
      <font>
        <b val="0"/>
        <i val="0"/>
        <strike val="0"/>
        <u val="none"/>
        <sz val="11"/>
        <color theme="0"/>
        <name val="Calibri"/>
        <family val="2"/>
      </font>
      <alignment horizontal="left" vertical="bottom" textRotation="0" wrapText="0" shrinkToFit="0" readingOrder="0"/>
    </dxf>
    <dxf>
      <font>
        <b val="0"/>
        <i val="0"/>
        <strike val="0"/>
        <u val="none"/>
        <sz val="11"/>
        <color auto="1"/>
        <name val="Calibri"/>
      </font>
      <numFmt numFmtId="176" formatCode="m/d/yyyy"/>
      <alignment horizontal="center" vertical="bottom" textRotation="0" wrapText="0" shrinkToFit="0" readingOrder="0"/>
      <protection locked="0" hidden="1"/>
    </dxf>
    <dxf>
      <font>
        <b val="0"/>
        <i val="0"/>
        <strike val="0"/>
        <u val="none"/>
        <sz val="11"/>
        <color theme="0"/>
        <name val="Calibri"/>
        <family val="2"/>
      </font>
      <alignment horizontal="left" vertical="bottom" textRotation="0" wrapText="0" shrinkToFit="0" readingOrder="0"/>
    </dxf>
    <dxf>
      <font>
        <b val="0"/>
        <i val="0"/>
        <strike val="0"/>
        <u val="none"/>
        <sz val="11"/>
        <color auto="1"/>
        <name val="Calibri"/>
      </font>
      <alignment horizontal="center" vertical="bottom" textRotation="0" wrapText="0" shrinkToFit="0" readingOrder="0"/>
      <protection locked="0" hidden="1"/>
    </dxf>
    <dxf>
      <font>
        <b val="0"/>
        <i val="0"/>
        <strike val="0"/>
        <u val="none"/>
        <sz val="11"/>
        <color theme="0"/>
        <name val="Calibri"/>
        <family val="2"/>
      </font>
      <alignment horizontal="left" vertical="bottom" textRotation="0" wrapText="0" shrinkToFit="0" readingOrder="0"/>
    </dxf>
    <dxf>
      <font>
        <b val="0"/>
        <i val="0"/>
        <strike val="0"/>
        <u val="none"/>
        <sz val="11"/>
        <color auto="1"/>
        <name val="Calibri"/>
      </font>
      <alignment horizontal="center" vertical="bottom" textRotation="0" wrapText="0" shrinkToFit="0" readingOrder="0"/>
      <protection locked="0" hidden="1"/>
    </dxf>
    <dxf>
      <font>
        <b val="0"/>
        <i val="0"/>
        <strike val="0"/>
        <u val="none"/>
        <sz val="11"/>
        <color theme="0"/>
        <name val="Calibri"/>
        <family val="2"/>
      </font>
      <alignment horizontal="left" vertical="bottom" textRotation="0" wrapText="0" shrinkToFit="0" readingOrder="0"/>
    </dxf>
    <dxf>
      <font>
        <b val="0"/>
        <i val="0"/>
        <strike val="0"/>
        <u val="none"/>
        <sz val="11"/>
        <color auto="1"/>
        <name val="Calibri"/>
      </font>
      <alignment horizontal="left" vertical="bottom" textRotation="0" wrapText="0" shrinkToFit="0" readingOrder="0"/>
      <protection locked="0" hidden="1"/>
    </dxf>
    <dxf>
      <font>
        <b val="0"/>
        <i val="0"/>
        <strike val="0"/>
        <u val="none"/>
        <sz val="11"/>
        <color theme="0"/>
        <name val="Calibri"/>
        <family val="2"/>
      </font>
      <alignment horizontal="left" vertical="bottom" textRotation="0" wrapText="0" shrinkToFit="0" readingOrder="0"/>
    </dxf>
    <dxf>
      <font>
        <b val="0"/>
        <i val="0"/>
        <strike val="0"/>
        <u val="none"/>
        <sz val="11"/>
        <color auto="1"/>
        <name val="Calibri"/>
      </font>
      <alignment horizontal="center" vertical="bottom" textRotation="0" wrapText="0" shrinkToFit="0" readingOrder="0"/>
    </dxf>
    <dxf>
      <font>
        <b val="0"/>
        <i val="0"/>
        <strike val="0"/>
        <u val="none"/>
        <sz val="11"/>
        <color auto="1"/>
        <name val="Calibri"/>
      </font>
      <alignment horizontal="center" vertical="bottom" textRotation="0" wrapText="0" shrinkToFit="0" readingOrder="0"/>
    </dxf>
    <dxf>
      <font>
        <b val="0"/>
        <color rgb="FFC00000"/>
      </font>
      <numFmt numFmtId="0" formatCode="General"/>
      <fill>
        <patternFill patternType="solid">
          <bgColor theme="0" tint="-4.9958800012207406E-2"/>
        </patternFill>
      </fill>
      <alignment horizontal="left" vertical="top" textRotation="0" wrapText="0" shrinkToFit="0" readingOrder="0"/>
    </dxf>
    <dxf>
      <font>
        <b/>
        <i val="0"/>
        <strike val="0"/>
        <u val="none"/>
        <sz val="11"/>
        <color rgb="FFC00000"/>
        <name val="Calibri"/>
        <family val="2"/>
      </font>
      <fill>
        <patternFill patternType="solid">
          <bgColor theme="0" tint="-4.9958800012207406E-2"/>
        </patternFill>
      </fill>
    </dxf>
    <dxf>
      <font>
        <b val="0"/>
        <strike val="0"/>
        <u val="none"/>
        <sz val="11"/>
        <color auto="1"/>
        <name val="Calibri"/>
      </font>
      <numFmt numFmtId="0" formatCode="General"/>
      <fill>
        <patternFill patternType="solid">
          <bgColor theme="0" tint="-4.9958800012207406E-2"/>
        </patternFill>
      </fill>
      <alignment horizontal="center" vertical="bottom" textRotation="0" wrapText="0" shrinkToFit="0" readingOrder="0"/>
    </dxf>
    <dxf>
      <font>
        <b/>
        <i val="0"/>
        <strike val="0"/>
        <u val="none"/>
        <sz val="11"/>
        <color auto="1"/>
        <name val="Calibri"/>
        <family val="2"/>
      </font>
      <fill>
        <patternFill patternType="solid">
          <bgColor theme="0" tint="-4.9958800012207406E-2"/>
        </patternFill>
      </fill>
      <alignment horizontal="center" vertical="bottom" textRotation="0" wrapText="0" shrinkToFit="0" readingOrder="0"/>
      <border>
        <left style="thin">
          <color auto="1"/>
        </left>
        <right/>
        <top/>
        <bottom/>
      </border>
    </dxf>
    <dxf>
      <fill>
        <patternFill patternType="solid">
          <bgColor rgb="FFED7D31"/>
        </patternFill>
      </fill>
      <alignment horizontal="center" vertical="bottom" textRotation="0" wrapText="0" shrinkToFit="0" readingOrder="0"/>
      <protection locked="0" hidden="1"/>
    </dxf>
    <dxf>
      <alignment horizontal="center" vertical="bottom" textRotation="0" wrapText="0" shrinkToFit="0" readingOrder="0"/>
    </dxf>
    <dxf>
      <font>
        <b val="0"/>
      </font>
      <alignment horizontal="center" vertical="bottom" textRotation="0" wrapText="0" shrinkToFit="0" readingOrder="0"/>
      <protection locked="0" hidden="1"/>
    </dxf>
    <dxf>
      <alignment horizontal="center" vertical="bottom" textRotation="0" wrapText="0" shrinkToFit="0" readingOrder="0"/>
    </dxf>
    <dxf>
      <font>
        <b val="0"/>
      </font>
      <alignment horizontal="center" vertical="bottom" textRotation="0" wrapText="0" shrinkToFit="0" readingOrder="0"/>
      <protection locked="0" hidden="1"/>
    </dxf>
    <dxf>
      <font>
        <b/>
        <i val="0"/>
        <strike val="0"/>
        <u val="none"/>
        <sz val="11"/>
        <color theme="0"/>
        <name val="Calibri"/>
        <family val="2"/>
      </font>
      <fill>
        <patternFill patternType="solid">
          <fgColor theme="4"/>
          <bgColor theme="5"/>
        </patternFill>
      </fill>
      <border>
        <left/>
        <right/>
        <top style="thin">
          <color theme="4" tint="0.39997558519241921"/>
        </top>
        <bottom style="thin">
          <color theme="4" tint="0.39997558519241921"/>
        </bottom>
      </border>
    </dxf>
    <dxf>
      <font>
        <b val="0"/>
      </font>
      <alignment horizontal="center" vertical="bottom" textRotation="0" wrapText="0" shrinkToFit="0" readingOrder="0"/>
      <protection locked="0" hidden="1"/>
    </dxf>
    <dxf>
      <alignment horizontal="center" vertical="bottom" textRotation="0" wrapText="0" shrinkToFit="0" readingOrder="0"/>
    </dxf>
    <dxf>
      <font>
        <b val="0"/>
      </font>
      <numFmt numFmtId="0" formatCode="General"/>
      <fill>
        <patternFill patternType="solid">
          <bgColor rgb="FFF0E6E2"/>
        </patternFill>
      </fill>
      <alignment horizontal="center" vertical="bottom" textRotation="0" wrapText="0" shrinkToFit="0" readingOrder="0"/>
      <protection locked="0" hidden="1"/>
    </dxf>
    <dxf>
      <alignment horizontal="center" vertical="bottom" textRotation="0" wrapText="0" shrinkToFit="0" readingOrder="0"/>
    </dxf>
    <dxf>
      <font>
        <b val="0"/>
      </font>
      <numFmt numFmtId="176" formatCode="m/d/yyyy"/>
      <alignment horizontal="center" vertical="bottom" textRotation="0" wrapText="0" shrinkToFit="0" readingOrder="0"/>
      <protection locked="0" hidden="1"/>
    </dxf>
    <dxf>
      <alignment horizontal="left" vertical="bottom" textRotation="0" wrapText="0" shrinkToFit="0" readingOrder="0"/>
    </dxf>
    <dxf>
      <font>
        <b val="0"/>
      </font>
      <alignment horizontal="center" vertical="bottom" textRotation="0" wrapText="0" shrinkToFit="0" readingOrder="0"/>
      <protection locked="0" hidden="1"/>
    </dxf>
    <dxf>
      <font>
        <b val="0"/>
      </font>
      <protection locked="0" hidden="1"/>
    </dxf>
    <dxf>
      <font>
        <b val="0"/>
      </font>
      <alignment horizontal="left" vertical="bottom" textRotation="0" wrapText="0" shrinkToFit="0" readingOrder="0"/>
      <protection locked="0" hidden="1"/>
    </dxf>
    <dxf>
      <font>
        <b val="0"/>
      </font>
    </dxf>
    <dxf>
      <font>
        <b val="0"/>
        <i val="0"/>
        <strike val="0"/>
        <u val="none"/>
        <sz val="11"/>
        <color rgb="FFC00000"/>
        <name val="Calibri"/>
      </font>
      <numFmt numFmtId="0" formatCode="General"/>
      <fill>
        <patternFill patternType="solid">
          <bgColor theme="0" tint="-4.9958800012207406E-2"/>
        </patternFill>
      </fill>
      <alignment horizontal="left" vertical="top" textRotation="0" wrapText="0" shrinkToFit="0" readingOrder="0"/>
      <border>
        <left style="thin">
          <color auto="1"/>
        </left>
        <right/>
        <top/>
        <bottom/>
      </border>
    </dxf>
    <dxf>
      <font>
        <b/>
        <i val="0"/>
        <strike val="0"/>
        <u val="none"/>
        <sz val="11"/>
        <color rgb="FFC00000"/>
        <name val="Calibri"/>
        <family val="2"/>
      </font>
      <fill>
        <patternFill patternType="solid">
          <bgColor theme="0" tint="-4.9958800012207406E-2"/>
        </patternFill>
      </fill>
    </dxf>
    <dxf>
      <font>
        <b val="0"/>
        <i val="0"/>
        <strike val="0"/>
        <u val="none"/>
        <sz val="11"/>
        <color auto="1"/>
        <name val="Calibri"/>
      </font>
      <numFmt numFmtId="0" formatCode="General"/>
      <fill>
        <patternFill patternType="solid">
          <bgColor theme="0" tint="-4.9958800012207406E-2"/>
        </patternFill>
      </fill>
      <alignment horizontal="center" vertical="bottom" textRotation="0" wrapText="0" shrinkToFit="0" readingOrder="0"/>
      <border>
        <left style="thin">
          <color auto="1"/>
        </left>
        <right/>
        <top/>
        <bottom/>
      </border>
    </dxf>
    <dxf>
      <font>
        <b/>
        <i val="0"/>
        <strike val="0"/>
        <u val="none"/>
        <sz val="11"/>
        <color auto="1"/>
        <name val="Calibri"/>
        <family val="2"/>
      </font>
      <fill>
        <patternFill patternType="solid">
          <bgColor theme="0" tint="-4.9958800012207406E-2"/>
        </patternFill>
      </fill>
      <alignment horizontal="center" vertical="bottom" textRotation="0" wrapText="0" shrinkToFit="0" readingOrder="0"/>
      <border>
        <left style="thin">
          <color auto="1"/>
        </left>
        <right/>
        <top/>
        <bottom/>
      </border>
    </dxf>
    <dxf>
      <font>
        <b val="0"/>
        <i val="0"/>
        <strike val="0"/>
        <u val="none"/>
        <sz val="11"/>
        <color auto="1"/>
        <name val="Calibri"/>
      </font>
      <alignment horizontal="center" vertical="bottom" textRotation="0" wrapText="0" shrinkToFit="0" readingOrder="0"/>
      <protection locked="0" hidden="1"/>
    </dxf>
    <dxf>
      <font>
        <b/>
        <i val="0"/>
        <strike val="0"/>
        <u val="none"/>
        <sz val="11"/>
        <color theme="0"/>
        <name val="Calibri"/>
        <family val="2"/>
      </font>
      <fill>
        <patternFill patternType="solid">
          <fgColor theme="4"/>
          <bgColor theme="5"/>
        </patternFill>
      </fill>
      <border>
        <left/>
        <right/>
        <top style="thin">
          <color theme="4" tint="0.39997558519241921"/>
        </top>
        <bottom style="thin">
          <color theme="4" tint="0.39997558519241921"/>
        </bottom>
      </border>
    </dxf>
    <dxf>
      <font>
        <b val="0"/>
        <i val="0"/>
        <strike val="0"/>
        <u val="none"/>
        <sz val="11"/>
        <color auto="1"/>
        <name val="Calibri"/>
        <family val="2"/>
      </font>
      <alignment horizontal="center" vertical="bottom" textRotation="0" wrapText="0" shrinkToFit="0" readingOrder="0"/>
      <protection locked="0" hidden="1"/>
    </dxf>
    <dxf>
      <font>
        <b/>
        <i val="0"/>
        <strike val="0"/>
        <u val="none"/>
        <sz val="11"/>
        <color theme="0"/>
        <name val="Calibri"/>
        <family val="2"/>
      </font>
      <fill>
        <patternFill patternType="solid">
          <fgColor theme="4"/>
          <bgColor theme="5"/>
        </patternFill>
      </fill>
      <border>
        <left/>
        <right/>
        <top style="thin">
          <color theme="4" tint="0.39997558519241921"/>
        </top>
        <bottom style="thin">
          <color theme="4" tint="0.39997558519241921"/>
        </bottom>
      </border>
    </dxf>
    <dxf>
      <font>
        <b val="0"/>
        <i val="0"/>
        <strike val="0"/>
        <u val="none"/>
        <sz val="11"/>
        <color auto="1"/>
        <name val="Calibri"/>
      </font>
      <alignment horizontal="center" vertical="bottom" textRotation="0" wrapText="0" shrinkToFit="0" readingOrder="0"/>
      <protection locked="0" hidden="1"/>
    </dxf>
    <dxf>
      <font>
        <b/>
        <i val="0"/>
        <strike val="0"/>
        <u val="none"/>
        <sz val="11"/>
        <color theme="0"/>
        <name val="Calibri"/>
        <family val="2"/>
      </font>
      <fill>
        <patternFill patternType="solid">
          <fgColor theme="4"/>
          <bgColor theme="5"/>
        </patternFill>
      </fill>
      <border>
        <left/>
        <right/>
        <top style="thin">
          <color theme="4" tint="0.39997558519241921"/>
        </top>
        <bottom style="thin">
          <color theme="4" tint="0.39997558519241921"/>
        </bottom>
      </border>
    </dxf>
    <dxf>
      <font>
        <b val="0"/>
        <i val="0"/>
        <strike val="0"/>
        <u val="none"/>
        <sz val="11"/>
        <color auto="1"/>
        <name val="Calibri"/>
      </font>
      <alignment horizontal="center" vertical="bottom" textRotation="0" wrapText="0" shrinkToFit="0" readingOrder="0"/>
      <protection locked="0" hidden="1"/>
    </dxf>
    <dxf>
      <font>
        <b/>
        <i val="0"/>
        <strike val="0"/>
        <u val="none"/>
        <sz val="11"/>
        <color theme="0"/>
        <name val="Calibri"/>
        <family val="2"/>
      </font>
      <fill>
        <patternFill patternType="solid">
          <fgColor theme="4"/>
          <bgColor theme="5"/>
        </patternFill>
      </fill>
      <border>
        <left/>
        <right/>
        <top style="thin">
          <color theme="4" tint="0.39997558519241921"/>
        </top>
        <bottom style="thin">
          <color theme="4" tint="0.39997558519241921"/>
        </bottom>
      </border>
    </dxf>
    <dxf>
      <font>
        <b val="0"/>
        <i val="0"/>
        <strike val="0"/>
        <u val="none"/>
        <sz val="11"/>
        <color auto="1"/>
        <name val="Calibri"/>
      </font>
      <alignment horizontal="center" vertical="bottom" textRotation="0" wrapText="0" shrinkToFit="0" readingOrder="0"/>
      <protection locked="0" hidden="1"/>
    </dxf>
    <dxf>
      <font>
        <b/>
        <i val="0"/>
        <strike val="0"/>
        <u val="none"/>
        <sz val="11"/>
        <color theme="0"/>
        <name val="Calibri"/>
        <family val="2"/>
      </font>
      <fill>
        <patternFill patternType="solid">
          <fgColor theme="4"/>
          <bgColor theme="5"/>
        </patternFill>
      </fill>
      <border>
        <left/>
        <right/>
        <top style="thin">
          <color theme="4" tint="0.39997558519241921"/>
        </top>
        <bottom style="thin">
          <color theme="4" tint="0.39997558519241921"/>
        </bottom>
      </border>
    </dxf>
    <dxf>
      <font>
        <b val="0"/>
        <i val="0"/>
        <strike val="0"/>
        <u val="none"/>
        <sz val="11"/>
        <color auto="1"/>
        <name val="Calibri"/>
      </font>
      <alignment horizontal="center" vertical="bottom" textRotation="0" wrapText="0" shrinkToFit="0" readingOrder="0"/>
      <protection locked="0" hidden="1"/>
    </dxf>
    <dxf>
      <font>
        <b/>
        <i val="0"/>
        <strike val="0"/>
        <u val="none"/>
        <sz val="11"/>
        <color theme="0"/>
        <name val="Calibri"/>
        <family val="2"/>
      </font>
      <fill>
        <patternFill patternType="solid">
          <fgColor theme="4"/>
          <bgColor theme="5"/>
        </patternFill>
      </fill>
      <border>
        <left/>
        <right/>
        <top style="thin">
          <color theme="4" tint="0.39997558519241921"/>
        </top>
        <bottom style="thin">
          <color theme="4" tint="0.39997558519241921"/>
        </bottom>
      </border>
    </dxf>
    <dxf>
      <font>
        <b val="0"/>
        <i val="0"/>
        <strike val="0"/>
        <u val="none"/>
        <sz val="11"/>
        <color auto="1"/>
        <name val="Calibri"/>
      </font>
      <alignment horizontal="center" vertical="bottom" textRotation="0" wrapText="0" shrinkToFit="0" readingOrder="0"/>
      <protection locked="0" hidden="1"/>
    </dxf>
    <dxf>
      <font>
        <b/>
        <i val="0"/>
        <strike val="0"/>
        <u val="none"/>
        <sz val="11"/>
        <color theme="0"/>
        <name val="Calibri"/>
        <family val="2"/>
      </font>
      <fill>
        <patternFill patternType="solid">
          <fgColor theme="4"/>
          <bgColor theme="5"/>
        </patternFill>
      </fill>
      <border>
        <left/>
        <right/>
        <top style="thin">
          <color theme="4" tint="0.39997558519241921"/>
        </top>
        <bottom style="thin">
          <color theme="4" tint="0.39997558519241921"/>
        </bottom>
      </border>
    </dxf>
    <dxf>
      <font>
        <b val="0"/>
        <i val="0"/>
        <strike val="0"/>
        <u val="none"/>
        <sz val="11"/>
        <color auto="1"/>
        <name val="Calibri"/>
      </font>
      <alignment horizontal="center" vertical="bottom" textRotation="0" wrapText="0" shrinkToFit="0" readingOrder="0"/>
      <protection locked="0" hidden="1"/>
    </dxf>
    <dxf>
      <font>
        <b/>
        <i val="0"/>
        <strike val="0"/>
        <u val="none"/>
        <sz val="11"/>
        <color theme="0"/>
        <name val="Calibri"/>
        <family val="2"/>
      </font>
      <fill>
        <patternFill patternType="solid">
          <fgColor theme="4"/>
          <bgColor theme="5"/>
        </patternFill>
      </fill>
      <border>
        <left/>
        <right/>
        <top style="thin">
          <color theme="4" tint="0.39997558519241921"/>
        </top>
        <bottom style="thin">
          <color theme="4" tint="0.39997558519241921"/>
        </bottom>
      </border>
    </dxf>
    <dxf>
      <font>
        <b val="0"/>
        <i val="0"/>
        <strike val="0"/>
        <u val="none"/>
        <sz val="11"/>
        <color auto="1"/>
        <name val="Calibri"/>
      </font>
      <alignment horizontal="left" vertical="bottom" textRotation="0" wrapText="0" shrinkToFit="0" readingOrder="0"/>
      <protection locked="0" hidden="1"/>
    </dxf>
    <dxf>
      <font>
        <b val="0"/>
        <i val="0"/>
        <strike val="0"/>
        <u val="none"/>
        <sz val="11"/>
        <color auto="1"/>
        <name val="Calibri"/>
      </font>
      <alignment horizontal="center" vertical="bottom" textRotation="0" wrapText="0" shrinkToFit="0" readingOrder="0"/>
    </dxf>
    <dxf>
      <font>
        <b/>
        <i val="0"/>
        <strike val="0"/>
        <u val="none"/>
        <sz val="11"/>
        <color theme="0"/>
        <name val="Calibri"/>
      </font>
      <fill>
        <patternFill patternType="solid">
          <fgColor theme="4"/>
          <bgColor theme="4"/>
        </patternFill>
      </fill>
    </dxf>
    <dxf>
      <font>
        <b val="0"/>
        <color rgb="FFC00000"/>
      </font>
      <numFmt numFmtId="0" formatCode="General"/>
      <fill>
        <patternFill patternType="solid">
          <bgColor theme="0" tint="-4.9958800012207406E-2"/>
        </patternFill>
      </fill>
      <alignment horizontal="left" vertical="top" textRotation="0" wrapText="0" shrinkToFit="0" readingOrder="0"/>
      <border>
        <left style="thin">
          <color auto="1"/>
        </left>
        <right/>
        <top/>
        <bottom/>
      </border>
    </dxf>
    <dxf>
      <font>
        <b/>
        <i val="0"/>
        <strike val="0"/>
        <u val="none"/>
        <sz val="11"/>
        <color rgb="FFC00000"/>
        <name val="Calibri"/>
        <family val="2"/>
      </font>
      <fill>
        <patternFill patternType="solid">
          <bgColor theme="0" tint="-4.9958800012207406E-2"/>
        </patternFill>
      </fill>
    </dxf>
    <dxf>
      <font>
        <b val="0"/>
        <strike val="0"/>
        <u val="none"/>
        <sz val="11"/>
        <color auto="1"/>
        <name val="Calibri"/>
      </font>
      <numFmt numFmtId="0" formatCode="General"/>
      <fill>
        <patternFill patternType="solid">
          <bgColor theme="0" tint="-4.9958800012207406E-2"/>
        </patternFill>
      </fill>
      <alignment horizontal="center" vertical="bottom" textRotation="0" wrapText="0" shrinkToFit="0" readingOrder="0"/>
      <border>
        <left style="thin">
          <color auto="1"/>
        </left>
        <right/>
        <top/>
        <bottom/>
      </border>
    </dxf>
    <dxf>
      <font>
        <b/>
        <i val="0"/>
        <strike val="0"/>
        <u val="none"/>
        <sz val="11"/>
        <color auto="1"/>
        <name val="Calibri"/>
        <family val="2"/>
      </font>
      <fill>
        <patternFill patternType="solid">
          <bgColor theme="0" tint="-4.9958800012207406E-2"/>
        </patternFill>
      </fill>
      <alignment horizontal="center" vertical="bottom" textRotation="0" wrapText="0" shrinkToFit="0" readingOrder="0"/>
      <border>
        <left style="thin">
          <color auto="1"/>
        </left>
        <right/>
        <top/>
        <bottom/>
      </border>
    </dxf>
    <dxf>
      <font>
        <b val="0"/>
      </font>
      <alignment horizontal="center" vertical="bottom" textRotation="0" wrapText="0" shrinkToFit="0" readingOrder="0"/>
      <protection locked="0" hidden="1"/>
    </dxf>
    <dxf>
      <font>
        <b/>
        <i val="0"/>
        <strike val="0"/>
        <u val="none"/>
        <sz val="11"/>
        <color theme="1"/>
        <name val="Calibri"/>
        <family val="2"/>
      </font>
    </dxf>
    <dxf>
      <alignment horizontal="center" vertical="bottom" textRotation="0" wrapText="0" shrinkToFit="0" readingOrder="0"/>
      <protection locked="0" hidden="1"/>
    </dxf>
    <dxf>
      <font>
        <b/>
        <i val="0"/>
        <strike val="0"/>
        <u val="none"/>
        <sz val="11"/>
        <color theme="1"/>
        <name val="Calibri"/>
        <family val="2"/>
      </font>
    </dxf>
    <dxf>
      <font>
        <b val="0"/>
      </font>
      <alignment horizontal="center" vertical="bottom" textRotation="0" wrapText="0" shrinkToFit="0" readingOrder="0"/>
      <protection locked="0" hidden="1"/>
    </dxf>
    <dxf>
      <font>
        <b/>
        <i val="0"/>
        <strike val="0"/>
        <u val="none"/>
        <sz val="11"/>
        <color theme="1"/>
        <name val="Calibri"/>
        <family val="2"/>
      </font>
    </dxf>
    <dxf>
      <font>
        <b val="0"/>
      </font>
      <alignment horizontal="center" vertical="bottom" textRotation="0" wrapText="0" shrinkToFit="0" readingOrder="0"/>
      <protection locked="0" hidden="1"/>
    </dxf>
    <dxf>
      <font>
        <b/>
        <i val="0"/>
        <strike val="0"/>
        <u val="none"/>
        <sz val="11"/>
        <color theme="1"/>
        <name val="Calibri"/>
        <family val="2"/>
      </font>
    </dxf>
    <dxf>
      <font>
        <b val="0"/>
      </font>
      <alignment horizontal="center" vertical="bottom" textRotation="0" wrapText="0" shrinkToFit="0" readingOrder="0"/>
      <protection locked="0" hidden="1"/>
    </dxf>
    <dxf>
      <font>
        <b/>
        <i val="0"/>
        <strike val="0"/>
        <u val="none"/>
        <sz val="11"/>
        <color theme="1"/>
        <name val="Calibri"/>
        <family val="2"/>
      </font>
    </dxf>
    <dxf>
      <font>
        <b val="0"/>
      </font>
      <alignment horizontal="center" vertical="bottom" textRotation="0" wrapText="0" shrinkToFit="0" readingOrder="0"/>
      <protection locked="0" hidden="1"/>
    </dxf>
    <dxf>
      <font>
        <b/>
        <i val="0"/>
        <strike val="0"/>
        <u val="none"/>
        <sz val="11"/>
        <color theme="1"/>
        <name val="Calibri"/>
        <family val="2"/>
      </font>
    </dxf>
    <dxf>
      <font>
        <b val="0"/>
      </font>
      <alignment horizontal="center" vertical="bottom" textRotation="0" wrapText="0" shrinkToFit="0" readingOrder="0"/>
      <protection locked="0" hidden="1"/>
    </dxf>
    <dxf>
      <font>
        <b/>
        <i val="0"/>
        <strike val="0"/>
        <u val="none"/>
        <sz val="11"/>
        <color theme="1"/>
        <name val="Calibri"/>
        <family val="2"/>
      </font>
    </dxf>
    <dxf>
      <font>
        <b val="0"/>
      </font>
      <protection locked="0" hidden="1"/>
    </dxf>
    <dxf>
      <font>
        <b/>
        <i val="0"/>
        <strike val="0"/>
        <u val="none"/>
        <sz val="11"/>
        <color theme="1"/>
        <name val="Calibri"/>
        <family val="2"/>
      </font>
    </dxf>
    <dxf>
      <font>
        <b val="0"/>
      </font>
      <protection locked="0" hidden="1"/>
    </dxf>
    <dxf>
      <font>
        <b/>
        <i val="0"/>
        <strike val="0"/>
        <u val="none"/>
        <sz val="11"/>
        <color theme="1"/>
        <name val="Calibri"/>
        <family val="2"/>
      </font>
    </dxf>
    <dxf>
      <font>
        <b val="0"/>
      </font>
    </dxf>
    <dxf>
      <font>
        <b/>
        <i val="0"/>
        <strike val="0"/>
        <u val="none"/>
        <sz val="11"/>
        <color theme="1"/>
        <name val="Calibri"/>
      </font>
    </dxf>
    <dxf>
      <font>
        <b val="0"/>
        <i val="0"/>
        <strike val="0"/>
        <u val="none"/>
        <sz val="11"/>
        <color rgb="FFC00000"/>
        <name val="Calibri Light"/>
        <family val="2"/>
      </font>
      <fill>
        <patternFill patternType="solid">
          <bgColor theme="0" tint="-4.9958800012207406E-2"/>
        </patternFill>
      </fill>
      <alignment horizontal="left" vertical="top" textRotation="0" wrapText="0" shrinkToFit="0" readingOrder="0"/>
    </dxf>
    <dxf>
      <font>
        <b/>
        <i val="0"/>
        <strike val="0"/>
        <u val="none"/>
        <sz val="11"/>
        <color rgb="FFC00000"/>
        <name val="Calibri Light"/>
        <family val="2"/>
      </font>
      <fill>
        <patternFill patternType="solid">
          <bgColor theme="0" tint="-4.9958800012207406E-2"/>
        </patternFill>
      </fill>
      <alignment horizontal="left" vertical="top" textRotation="0" wrapText="0" shrinkToFit="0" readingOrder="0"/>
    </dxf>
    <dxf>
      <font>
        <b val="0"/>
        <i val="0"/>
        <strike val="0"/>
        <u val="none"/>
        <sz val="11"/>
        <color auto="1"/>
        <name val="Calibri Light"/>
        <family val="2"/>
      </font>
      <numFmt numFmtId="0" formatCode="General"/>
      <fill>
        <patternFill patternType="solid">
          <bgColor theme="0" tint="-4.9958800012207406E-2"/>
        </patternFill>
      </fill>
      <alignment horizontal="center" vertical="bottom" textRotation="0" wrapText="0" shrinkToFit="0" readingOrder="0"/>
    </dxf>
    <dxf>
      <font>
        <b/>
        <i val="0"/>
        <strike val="0"/>
        <u val="none"/>
        <sz val="11"/>
        <color auto="1"/>
        <name val="Calibri Light"/>
        <family val="2"/>
      </font>
      <fill>
        <patternFill patternType="solid">
          <fgColor theme="4"/>
          <bgColor theme="0" tint="-4.9958800012207406E-2"/>
        </patternFill>
      </fill>
      <alignment horizontal="center" vertical="bottom" textRotation="0" wrapText="0" shrinkToFit="0" readingOrder="0"/>
      <border>
        <left style="thin">
          <color auto="1"/>
        </left>
        <right style="thin">
          <color theme="4" tint="0.39997558519241921"/>
        </right>
        <top style="thin">
          <color theme="4" tint="0.39997558519241921"/>
        </top>
        <bottom style="thin">
          <color theme="4" tint="0.39997558519241921"/>
        </bottom>
      </border>
    </dxf>
    <dxf>
      <font>
        <b val="0"/>
        <i val="0"/>
        <strike val="0"/>
        <u val="none"/>
        <sz val="11"/>
        <color auto="1"/>
        <name val="Calibri Light"/>
        <family val="2"/>
      </font>
      <alignment horizontal="left" vertical="top" textRotation="0" wrapText="0" shrinkToFit="0" readingOrder="0"/>
      <protection locked="0" hidden="1"/>
    </dxf>
    <dxf>
      <font>
        <b val="0"/>
        <i val="0"/>
        <strike val="0"/>
        <u val="none"/>
        <sz val="11"/>
        <color theme="0"/>
        <name val="Calibri Light"/>
        <family val="2"/>
      </font>
      <alignment horizontal="left" vertical="bottom" textRotation="0" wrapText="0" shrinkToFit="0" readingOrder="0"/>
    </dxf>
    <dxf>
      <font>
        <b val="0"/>
        <i val="0"/>
        <strike val="0"/>
        <u val="none"/>
        <sz val="11"/>
        <color auto="1"/>
        <name val="Calibri Light"/>
        <family val="2"/>
      </font>
      <alignment horizontal="left" vertical="top" textRotation="0" wrapText="0" shrinkToFit="0" readingOrder="0"/>
      <protection locked="0" hidden="1"/>
    </dxf>
    <dxf>
      <font>
        <b val="0"/>
        <i val="0"/>
        <strike val="0"/>
        <u val="none"/>
        <sz val="11"/>
        <color theme="0"/>
        <name val="Calibri Light"/>
        <family val="2"/>
      </font>
      <alignment horizontal="left" vertical="bottom" textRotation="0" wrapText="0" shrinkToFit="0" readingOrder="0"/>
    </dxf>
    <dxf>
      <font>
        <b val="0"/>
        <i val="0"/>
        <strike val="0"/>
        <u val="none"/>
        <sz val="11"/>
        <color auto="1"/>
        <name val="Calibri Light"/>
        <family val="2"/>
      </font>
      <alignment horizontal="left" vertical="top" textRotation="0" wrapText="0" shrinkToFit="0" readingOrder="0"/>
      <protection locked="0" hidden="1"/>
    </dxf>
    <dxf>
      <font>
        <b val="0"/>
        <i val="0"/>
        <strike val="0"/>
        <u val="none"/>
        <sz val="11"/>
        <color theme="0"/>
        <name val="Calibri Light"/>
        <family val="2"/>
      </font>
      <alignment horizontal="left" vertical="bottom" textRotation="0" wrapText="0" shrinkToFit="0" readingOrder="0"/>
    </dxf>
    <dxf>
      <font>
        <b val="0"/>
        <i val="0"/>
        <strike val="0"/>
        <u val="none"/>
        <sz val="11"/>
        <color auto="1"/>
        <name val="Calibri Light"/>
        <family val="2"/>
      </font>
      <alignment horizontal="center" vertical="top" textRotation="0" wrapText="0" shrinkToFit="0" readingOrder="0"/>
      <protection locked="0" hidden="1"/>
    </dxf>
    <dxf>
      <font>
        <b val="0"/>
        <i val="0"/>
        <strike val="0"/>
        <u val="none"/>
        <sz val="11"/>
        <color theme="0"/>
        <name val="Calibri Light"/>
        <family val="2"/>
      </font>
      <alignment horizontal="left" vertical="bottom" textRotation="0" wrapText="0" shrinkToFit="0" readingOrder="0"/>
    </dxf>
    <dxf>
      <font>
        <b val="0"/>
        <i val="0"/>
        <strike val="0"/>
        <u val="none"/>
        <sz val="11"/>
        <color auto="1"/>
        <name val="Calibri Light"/>
        <family val="2"/>
      </font>
      <numFmt numFmtId="176" formatCode="m/d/yyyy"/>
      <alignment horizontal="center" vertical="top" textRotation="0" wrapText="0" shrinkToFit="0" readingOrder="0"/>
      <protection locked="0" hidden="1"/>
    </dxf>
    <dxf>
      <font>
        <b val="0"/>
        <i val="0"/>
        <strike val="0"/>
        <u val="none"/>
        <sz val="11"/>
        <color theme="0"/>
        <name val="Calibri Light"/>
        <family val="2"/>
      </font>
      <alignment horizontal="left" vertical="bottom" textRotation="0" wrapText="0" shrinkToFit="0" readingOrder="0"/>
    </dxf>
    <dxf>
      <font>
        <b val="0"/>
        <i val="0"/>
        <strike val="0"/>
        <u val="none"/>
        <sz val="11"/>
        <color auto="1"/>
        <name val="Calibri Light"/>
        <family val="2"/>
      </font>
      <numFmt numFmtId="176" formatCode="m/d/yyyy"/>
      <alignment horizontal="center" vertical="top" textRotation="0" wrapText="0" shrinkToFit="0" readingOrder="0"/>
      <protection locked="0" hidden="1"/>
    </dxf>
    <dxf>
      <font>
        <b val="0"/>
        <i val="0"/>
        <strike val="0"/>
        <u val="none"/>
        <sz val="11"/>
        <color theme="0"/>
        <name val="Calibri Light"/>
        <family val="2"/>
      </font>
      <alignment horizontal="left" vertical="bottom" textRotation="0" wrapText="0" shrinkToFit="0" readingOrder="0"/>
    </dxf>
    <dxf>
      <font>
        <b val="0"/>
        <i val="0"/>
        <strike val="0"/>
        <u val="none"/>
        <sz val="11"/>
        <color auto="1"/>
        <name val="Calibri Light"/>
        <family val="2"/>
      </font>
      <alignment horizontal="left" vertical="top" textRotation="0" wrapText="0" shrinkToFit="0" readingOrder="0"/>
      <protection locked="0" hidden="1"/>
    </dxf>
    <dxf>
      <font>
        <b val="0"/>
        <i val="0"/>
        <strike val="0"/>
        <u val="none"/>
        <sz val="11"/>
        <color theme="0"/>
        <name val="Calibri Light"/>
        <family val="2"/>
      </font>
      <alignment horizontal="left" vertical="bottom" textRotation="0" wrapText="0" shrinkToFit="0" readingOrder="0"/>
    </dxf>
    <dxf>
      <font>
        <b val="0"/>
        <i val="0"/>
        <strike val="0"/>
        <u val="none"/>
        <sz val="11"/>
        <color auto="1"/>
        <name val="Calibri Light"/>
        <family val="2"/>
      </font>
      <alignment horizontal="left" vertical="top" textRotation="0" wrapText="0" shrinkToFit="0" readingOrder="0"/>
      <protection locked="0" hidden="1"/>
    </dxf>
    <dxf>
      <font>
        <b val="0"/>
        <i val="0"/>
        <strike val="0"/>
        <u val="none"/>
        <sz val="11"/>
        <color theme="0"/>
        <name val="Calibri Light"/>
        <family val="2"/>
      </font>
      <alignment horizontal="left" vertical="bottom" textRotation="0" wrapText="0" shrinkToFit="0" readingOrder="0"/>
    </dxf>
    <dxf>
      <font>
        <strike val="0"/>
        <name val="Calibri Light"/>
        <family val="2"/>
      </font>
      <alignment horizontal="left" vertical="top" textRotation="0" wrapText="0" shrinkToFit="0" readingOrder="0"/>
      <protection locked="0" hidden="1"/>
    </dxf>
    <dxf>
      <font>
        <b/>
        <i val="0"/>
        <strike val="0"/>
        <u val="none"/>
        <sz val="11"/>
        <color theme="0"/>
        <name val="Calibri Light"/>
        <family val="2"/>
      </font>
      <alignment horizontal="left" vertical="bottom" textRotation="0" wrapText="0" shrinkToFit="0" readingOrder="0"/>
    </dxf>
    <dxf>
      <font>
        <b val="0"/>
        <i val="0"/>
        <strike val="0"/>
        <u val="none"/>
        <sz val="11"/>
        <color auto="1"/>
        <name val="Calibri Light"/>
        <family val="2"/>
      </font>
      <alignment horizontal="center" vertical="bottom" textRotation="0" wrapText="0" shrinkToFit="0" readingOrder="0"/>
    </dxf>
    <dxf>
      <font>
        <b val="0"/>
        <i val="0"/>
        <strike val="0"/>
        <u val="none"/>
        <sz val="11"/>
        <color auto="1"/>
        <name val="Calibri Light"/>
        <family val="2"/>
      </font>
      <alignment horizontal="center" vertical="bottom" textRotation="0" wrapText="0" shrinkToFit="0" readingOrder="0"/>
    </dxf>
    <dxf>
      <font>
        <b val="0"/>
        <strike val="0"/>
        <name val="Calibri Light"/>
        <family val="2"/>
      </font>
      <alignment horizontal="left" vertical="top" textRotation="0" wrapText="0" shrinkToFit="0" readingOrder="0"/>
    </dxf>
    <dxf>
      <font>
        <b/>
        <i val="0"/>
        <strike val="0"/>
        <u val="none"/>
        <sz val="11"/>
        <color rgb="FFC00000"/>
        <name val="Calibri Light"/>
        <family val="2"/>
      </font>
      <fill>
        <patternFill patternType="solid">
          <bgColor theme="0" tint="-4.9958800012207406E-2"/>
        </patternFill>
      </fill>
      <alignment horizontal="left" vertical="top" textRotation="0" wrapText="0" shrinkToFit="0" readingOrder="0"/>
    </dxf>
    <dxf>
      <font>
        <b val="0"/>
        <strike val="0"/>
        <u val="none"/>
        <sz val="11"/>
        <color auto="1"/>
        <name val="Calibri Light"/>
        <family val="2"/>
      </font>
      <numFmt numFmtId="0" formatCode="General"/>
      <fill>
        <patternFill patternType="solid">
          <bgColor theme="0" tint="-4.9958800012207406E-2"/>
        </patternFill>
      </fill>
      <alignment horizontal="center" vertical="bottom" textRotation="0" wrapText="0" shrinkToFit="0" readingOrder="0"/>
    </dxf>
    <dxf>
      <font>
        <b val="0"/>
        <i val="0"/>
        <strike val="0"/>
        <u val="none"/>
        <sz val="11"/>
        <color auto="1"/>
        <name val="Calibri Light"/>
        <family val="2"/>
      </font>
      <fill>
        <patternFill patternType="solid">
          <bgColor theme="0" tint="-4.9958800012207406E-2"/>
        </patternFill>
      </fill>
      <alignment horizontal="center" vertical="bottom" textRotation="0" wrapText="0" shrinkToFit="0" readingOrder="0"/>
      <border>
        <left style="thin">
          <color auto="1"/>
        </left>
        <right/>
        <top/>
        <bottom/>
      </border>
    </dxf>
    <dxf>
      <font>
        <b val="0"/>
        <i val="0"/>
        <strike val="0"/>
        <u val="none"/>
        <sz val="11"/>
        <color theme="1"/>
        <name val="Calibri Light"/>
        <family val="2"/>
      </font>
      <alignment horizontal="center" vertical="top" textRotation="0" wrapText="1" shrinkToFit="0" readingOrder="0"/>
      <protection locked="0" hidden="1"/>
    </dxf>
    <dxf>
      <font>
        <b val="0"/>
        <i val="0"/>
        <strike val="0"/>
        <u val="none"/>
        <sz val="11"/>
        <color theme="1"/>
        <name val="Calibri Light"/>
        <family val="2"/>
      </font>
      <alignment horizontal="center" vertical="bottom" textRotation="0" wrapText="0" shrinkToFit="0" readingOrder="0"/>
    </dxf>
    <dxf>
      <font>
        <b val="0"/>
        <strike val="0"/>
        <name val="Calibri Light"/>
        <family val="2"/>
      </font>
      <alignment horizontal="center" vertical="top" textRotation="0" wrapText="1" shrinkToFit="0" readingOrder="0"/>
      <protection locked="0" hidden="1"/>
    </dxf>
    <dxf>
      <font>
        <b val="0"/>
        <i val="0"/>
        <strike val="0"/>
        <u val="none"/>
        <sz val="11"/>
        <color theme="1"/>
        <name val="Calibri Light"/>
        <family val="2"/>
      </font>
      <alignment horizontal="center" vertical="bottom" textRotation="0" wrapText="0" shrinkToFit="0" readingOrder="0"/>
    </dxf>
    <dxf>
      <font>
        <b val="0"/>
        <strike val="0"/>
        <name val="Calibri Light"/>
        <family val="2"/>
      </font>
      <numFmt numFmtId="0" formatCode="General"/>
      <alignment horizontal="center" vertical="top" textRotation="0" wrapText="0" shrinkToFit="0" readingOrder="0"/>
      <protection locked="0" hidden="1"/>
    </dxf>
    <dxf>
      <font>
        <b val="0"/>
        <i val="0"/>
        <strike val="0"/>
        <u val="none"/>
        <sz val="11"/>
        <color theme="1"/>
        <name val="Calibri Light"/>
        <family val="2"/>
      </font>
    </dxf>
    <dxf>
      <font>
        <b val="0"/>
        <strike val="0"/>
        <name val="Calibri Light"/>
        <family val="2"/>
      </font>
      <numFmt numFmtId="0" formatCode="General"/>
      <alignment horizontal="center" vertical="top" textRotation="0" wrapText="0" shrinkToFit="0" readingOrder="0"/>
      <protection locked="0" hidden="1"/>
    </dxf>
    <dxf>
      <font>
        <b val="0"/>
        <i val="0"/>
        <strike val="0"/>
        <u val="none"/>
        <sz val="11"/>
        <color theme="1"/>
        <name val="Calibri Light"/>
        <family val="2"/>
      </font>
    </dxf>
    <dxf>
      <font>
        <b val="0"/>
        <strike val="0"/>
        <name val="Calibri Light"/>
        <family val="2"/>
      </font>
      <numFmt numFmtId="176" formatCode="m/d/yyyy"/>
      <alignment horizontal="center" vertical="top" textRotation="0" wrapText="0" shrinkToFit="0" readingOrder="0"/>
      <protection locked="0" hidden="1"/>
    </dxf>
    <dxf>
      <font>
        <b/>
        <i val="0"/>
        <strike val="0"/>
        <u val="none"/>
        <sz val="11"/>
        <color theme="0"/>
        <name val="Calibri Light"/>
        <family val="2"/>
      </font>
      <fill>
        <patternFill patternType="solid">
          <fgColor theme="4"/>
          <bgColor theme="4"/>
        </patternFill>
      </fill>
      <border>
        <left/>
        <right/>
        <top style="thin">
          <color theme="4" tint="0.39997558519241921"/>
        </top>
        <bottom style="thin">
          <color theme="4" tint="0.39997558519241921"/>
        </bottom>
      </border>
    </dxf>
    <dxf>
      <font>
        <b val="0"/>
        <strike val="0"/>
        <name val="Calibri Light"/>
        <family val="2"/>
      </font>
      <alignment horizontal="center" vertical="top" textRotation="0" wrapText="0" shrinkToFit="0" readingOrder="0"/>
      <protection locked="0" hidden="1"/>
    </dxf>
    <dxf>
      <font>
        <b/>
        <i val="0"/>
        <strike val="0"/>
        <u val="none"/>
        <sz val="11"/>
        <color theme="0"/>
        <name val="Calibri Light"/>
        <family val="2"/>
      </font>
      <fill>
        <patternFill patternType="solid">
          <fgColor theme="4"/>
          <bgColor theme="4"/>
        </patternFill>
      </fill>
      <border>
        <left/>
        <right/>
        <top style="thin">
          <color theme="4" tint="0.39997558519241921"/>
        </top>
        <bottom style="thin">
          <color theme="4" tint="0.39997558519241921"/>
        </bottom>
      </border>
    </dxf>
    <dxf>
      <font>
        <b val="0"/>
        <strike val="0"/>
        <name val="Calibri Light"/>
        <family val="2"/>
      </font>
      <alignment horizontal="left" vertical="top" textRotation="0" wrapText="0" shrinkToFit="0" readingOrder="0"/>
      <protection locked="0" hidden="1"/>
    </dxf>
    <dxf>
      <font>
        <b val="0"/>
        <i val="0"/>
        <strike val="0"/>
        <u val="none"/>
        <sz val="11"/>
        <color theme="1"/>
        <name val="Calibri Light"/>
        <family val="2"/>
      </font>
    </dxf>
    <dxf>
      <font>
        <b val="0"/>
        <strike val="0"/>
        <name val="Calibri Light"/>
        <family val="2"/>
      </font>
      <alignment vertical="top" textRotation="0" wrapText="0" shrinkToFit="0" readingOrder="0"/>
      <protection locked="0" hidden="1"/>
    </dxf>
    <dxf>
      <font>
        <b val="0"/>
        <i val="0"/>
        <strike val="0"/>
        <u val="none"/>
        <sz val="11"/>
        <color theme="1"/>
        <name val="Calibri Light"/>
        <family val="2"/>
      </font>
    </dxf>
    <dxf>
      <font>
        <b val="0"/>
        <strike val="0"/>
        <name val="Calibri Light"/>
        <family val="2"/>
      </font>
      <alignment vertical="top" textRotation="0" wrapText="0" shrinkToFit="0" readingOrder="0"/>
      <protection locked="0" hidden="1"/>
    </dxf>
    <dxf>
      <font>
        <b val="0"/>
        <i val="0"/>
        <strike val="0"/>
        <u val="none"/>
        <sz val="11"/>
        <color theme="1"/>
        <name val="Calibri Light"/>
        <family val="2"/>
      </font>
    </dxf>
    <dxf>
      <font>
        <b val="0"/>
        <strike val="0"/>
        <name val="Calibri Light"/>
        <family val="2"/>
      </font>
    </dxf>
    <dxf>
      <font>
        <strike val="0"/>
        <name val="Calibri Light"/>
        <family val="2"/>
      </font>
    </dxf>
    <dxf>
      <font>
        <b val="0"/>
        <strike val="0"/>
        <name val="Calibri Light"/>
        <family val="2"/>
      </font>
      <alignment horizontal="left" vertical="top" textRotation="0" wrapText="0" shrinkToFit="0" readingOrder="0"/>
    </dxf>
    <dxf>
      <font>
        <b/>
        <i val="0"/>
        <strike val="0"/>
        <u val="none"/>
        <sz val="11"/>
        <color rgb="FFC00000"/>
        <name val="Calibri Light"/>
        <family val="2"/>
      </font>
      <fill>
        <patternFill patternType="solid">
          <bgColor theme="0" tint="-4.9958800012207406E-2"/>
        </patternFill>
      </fill>
      <alignment horizontal="left" vertical="top" textRotation="0" wrapText="0" shrinkToFit="0" readingOrder="0"/>
    </dxf>
    <dxf>
      <font>
        <b val="0"/>
        <strike val="0"/>
        <u val="none"/>
        <sz val="11"/>
        <color auto="1"/>
        <name val="Calibri Light"/>
        <family val="2"/>
      </font>
      <numFmt numFmtId="0" formatCode="General"/>
      <fill>
        <patternFill patternType="solid">
          <bgColor theme="0" tint="-4.9958800012207406E-2"/>
        </patternFill>
      </fill>
      <alignment horizontal="center" vertical="bottom" textRotation="0" wrapText="0" shrinkToFit="0" readingOrder="0"/>
    </dxf>
    <dxf>
      <font>
        <b/>
        <i val="0"/>
        <strike val="0"/>
        <u val="none"/>
        <sz val="11"/>
        <color auto="1"/>
        <name val="Calibri Light"/>
        <family val="2"/>
      </font>
      <fill>
        <patternFill patternType="solid">
          <fgColor theme="4"/>
          <bgColor theme="0" tint="-4.9958800012207406E-2"/>
        </patternFill>
      </fill>
      <alignment horizontal="center" vertical="bottom" textRotation="0" wrapText="0" shrinkToFit="0" readingOrder="0"/>
      <border>
        <left style="thin">
          <color auto="1"/>
        </left>
        <right style="thin">
          <color theme="4" tint="0.39997558519241921"/>
        </right>
        <top style="thin">
          <color theme="4" tint="0.39997558519241921"/>
        </top>
        <bottom style="thin">
          <color theme="4" tint="0.39997558519241921"/>
        </bottom>
      </border>
    </dxf>
    <dxf>
      <font>
        <b val="0"/>
        <i val="0"/>
        <strike val="0"/>
        <u val="none"/>
        <sz val="11"/>
        <color theme="1"/>
        <name val="Calibri Light"/>
        <family val="2"/>
      </font>
      <fill>
        <patternFill>
          <bgColor rgb="FF5B9BD5"/>
        </patternFill>
      </fill>
      <alignment horizontal="center" vertical="top" textRotation="0" wrapText="1" shrinkToFit="0" readingOrder="0"/>
      <protection locked="0" hidden="1"/>
    </dxf>
    <dxf>
      <font>
        <b val="0"/>
        <i val="0"/>
        <strike val="0"/>
        <u val="none"/>
        <sz val="11"/>
        <color theme="1"/>
        <name val="Calibri Light"/>
        <family val="2"/>
      </font>
      <alignment horizontal="center" vertical="bottom" textRotation="0" wrapText="0" shrinkToFit="0" readingOrder="0"/>
    </dxf>
    <dxf>
      <font>
        <b val="0"/>
        <strike val="0"/>
        <name val="Calibri Light"/>
        <family val="2"/>
      </font>
      <alignment horizontal="center" vertical="top" textRotation="0" wrapText="1" shrinkToFit="0" readingOrder="0"/>
      <protection locked="0" hidden="1"/>
    </dxf>
    <dxf>
      <font>
        <b val="0"/>
        <i val="0"/>
        <strike val="0"/>
        <u val="none"/>
        <sz val="11"/>
        <color theme="1"/>
        <name val="Calibri Light"/>
        <family val="2"/>
      </font>
      <alignment horizontal="center" vertical="bottom" textRotation="0" wrapText="0" shrinkToFit="0" readingOrder="0"/>
    </dxf>
    <dxf>
      <font>
        <b val="0"/>
        <strike val="0"/>
        <name val="Calibri Light"/>
        <family val="2"/>
      </font>
      <alignment horizontal="center" vertical="top" textRotation="0" wrapText="0" shrinkToFit="0" readingOrder="0"/>
      <protection locked="0" hidden="1"/>
    </dxf>
    <dxf>
      <font>
        <b/>
        <i val="0"/>
        <strike val="0"/>
        <u val="none"/>
        <sz val="11"/>
        <color theme="0"/>
        <name val="Calibri Light"/>
        <family val="2"/>
      </font>
      <fill>
        <patternFill patternType="solid">
          <fgColor theme="4"/>
          <bgColor theme="4"/>
        </patternFill>
      </fill>
      <border>
        <left/>
        <right/>
        <top/>
        <bottom style="thin">
          <color theme="4" tint="0.39997558519241921"/>
        </bottom>
      </border>
    </dxf>
    <dxf>
      <font>
        <b val="0"/>
        <strike val="0"/>
        <name val="Calibri Light"/>
        <family val="2"/>
      </font>
      <alignment horizontal="center" vertical="top" textRotation="0" wrapText="0" shrinkToFit="0" readingOrder="0"/>
      <protection locked="0" hidden="1"/>
    </dxf>
    <dxf>
      <font>
        <b val="0"/>
        <i val="0"/>
        <strike val="0"/>
        <u val="none"/>
        <sz val="11"/>
        <color theme="1"/>
        <name val="Calibri Light"/>
        <family val="2"/>
      </font>
      <alignment horizontal="center" vertical="bottom" textRotation="0" wrapText="0" shrinkToFit="0" readingOrder="0"/>
    </dxf>
    <dxf>
      <font>
        <b val="0"/>
        <strike val="0"/>
        <name val="Calibri Light"/>
        <family val="2"/>
      </font>
      <numFmt numFmtId="176" formatCode="m/d/yyyy"/>
      <fill>
        <patternFill patternType="solid">
          <bgColor theme="3" tint="0.79995117038483843"/>
        </patternFill>
      </fill>
      <alignment horizontal="center" vertical="top" textRotation="0" wrapText="0" shrinkToFit="0" readingOrder="0"/>
      <protection locked="0" hidden="1"/>
    </dxf>
    <dxf>
      <font>
        <b val="0"/>
        <i val="0"/>
        <strike val="0"/>
        <u val="none"/>
        <sz val="11"/>
        <color theme="1"/>
        <name val="Calibri Light"/>
        <family val="2"/>
      </font>
      <alignment horizontal="center" vertical="bottom" textRotation="0" wrapText="0" shrinkToFit="0" readingOrder="0"/>
    </dxf>
    <dxf>
      <font>
        <b val="0"/>
        <strike val="0"/>
        <name val="Calibri Light"/>
        <family val="2"/>
      </font>
      <numFmt numFmtId="176" formatCode="m/d/yyyy"/>
      <alignment horizontal="center" vertical="top" textRotation="0" wrapText="0" shrinkToFit="0" readingOrder="0"/>
      <protection locked="0" hidden="1"/>
    </dxf>
    <dxf>
      <font>
        <b val="0"/>
        <i val="0"/>
        <strike val="0"/>
        <u val="none"/>
        <sz val="11"/>
        <color theme="1"/>
        <name val="Calibri Light"/>
        <family val="2"/>
      </font>
      <alignment horizontal="left" vertical="bottom" textRotation="0" wrapText="0" shrinkToFit="0" readingOrder="0"/>
    </dxf>
    <dxf>
      <font>
        <b val="0"/>
        <strike val="0"/>
        <name val="Calibri Light"/>
        <family val="2"/>
      </font>
      <alignment horizontal="left" vertical="top" textRotation="0" wrapText="0" shrinkToFit="0" readingOrder="0"/>
      <protection locked="0" hidden="1"/>
    </dxf>
    <dxf>
      <font>
        <b val="0"/>
        <i val="0"/>
        <strike val="0"/>
        <u val="none"/>
        <sz val="11"/>
        <color theme="1"/>
        <name val="Calibri Light"/>
        <family val="2"/>
      </font>
    </dxf>
    <dxf>
      <font>
        <b val="0"/>
        <strike val="0"/>
        <name val="Calibri Light"/>
        <family val="2"/>
      </font>
      <alignment vertical="top" textRotation="0" wrapText="0" shrinkToFit="0" readingOrder="0"/>
      <protection locked="0" hidden="1"/>
    </dxf>
    <dxf>
      <font>
        <b val="0"/>
        <i val="0"/>
        <strike val="0"/>
        <u val="none"/>
        <sz val="11"/>
        <color theme="1"/>
        <name val="Calibri Light"/>
        <family val="2"/>
      </font>
    </dxf>
    <dxf>
      <font>
        <b val="0"/>
        <strike val="0"/>
        <name val="Calibri Light"/>
        <family val="2"/>
      </font>
      <alignment vertical="top" textRotation="0" wrapText="0" shrinkToFit="0" readingOrder="0"/>
      <protection locked="0" hidden="1"/>
    </dxf>
    <dxf>
      <font>
        <b val="0"/>
        <i val="0"/>
        <strike val="0"/>
        <u val="none"/>
        <sz val="11"/>
        <color theme="1"/>
        <name val="Calibri Light"/>
        <family val="2"/>
      </font>
    </dxf>
    <dxf>
      <font>
        <b val="0"/>
        <strike val="0"/>
        <name val="Calibri Light"/>
        <family val="2"/>
      </font>
    </dxf>
    <dxf>
      <font>
        <strike val="0"/>
        <name val="Calibri Light"/>
        <family val="2"/>
      </font>
    </dxf>
    <dxf>
      <font>
        <b val="0"/>
        <strike val="0"/>
        <u val="none"/>
        <sz val="11"/>
        <color rgb="FFC00000"/>
        <name val="Calibri Light"/>
        <family val="2"/>
      </font>
      <fill>
        <patternFill patternType="solid">
          <bgColor theme="0" tint="-4.9958800012207406E-2"/>
        </patternFill>
      </fill>
      <alignment horizontal="left" vertical="top" textRotation="0" wrapText="0" shrinkToFit="0" readingOrder="0"/>
    </dxf>
    <dxf>
      <font>
        <b/>
        <i val="0"/>
        <strike val="0"/>
        <u val="none"/>
        <sz val="11"/>
        <color rgb="FFC00000"/>
        <name val="Calibri Light"/>
        <family val="2"/>
      </font>
      <fill>
        <patternFill patternType="solid">
          <bgColor theme="0" tint="-4.9958800012207406E-2"/>
        </patternFill>
      </fill>
      <alignment horizontal="left" vertical="top" textRotation="0" wrapText="0" shrinkToFit="0" readingOrder="0"/>
    </dxf>
    <dxf>
      <font>
        <b val="0"/>
        <strike val="0"/>
        <u val="none"/>
        <sz val="11"/>
        <color auto="1"/>
        <name val="Calibri Light"/>
        <family val="2"/>
      </font>
      <numFmt numFmtId="0" formatCode="General"/>
      <fill>
        <patternFill patternType="solid">
          <bgColor theme="0" tint="-4.9958800012207406E-2"/>
        </patternFill>
      </fill>
      <alignment horizontal="center" vertical="bottom" textRotation="0" wrapText="0" shrinkToFit="0" readingOrder="0"/>
    </dxf>
    <dxf>
      <font>
        <b/>
        <i val="0"/>
        <strike val="0"/>
        <u val="none"/>
        <sz val="11"/>
        <color auto="1"/>
        <name val="Calibri Light"/>
        <family val="2"/>
      </font>
      <fill>
        <patternFill patternType="solid">
          <fgColor theme="4"/>
          <bgColor theme="0" tint="-4.9958800012207406E-2"/>
        </patternFill>
      </fill>
      <alignment horizontal="center" vertical="bottom" textRotation="0" wrapText="0" shrinkToFit="0" readingOrder="0"/>
      <border>
        <left style="thin">
          <color auto="1"/>
        </left>
        <right style="thin">
          <color theme="4" tint="0.39997558519241921"/>
        </right>
        <top style="thin">
          <color theme="4" tint="0.39997558519241921"/>
        </top>
        <bottom style="thin">
          <color theme="4" tint="0.39997558519241921"/>
        </bottom>
      </border>
    </dxf>
    <dxf>
      <font>
        <b val="0"/>
        <strike val="0"/>
        <u val="none"/>
        <sz val="11"/>
        <color auto="1"/>
        <name val="Calibri Light"/>
        <family val="2"/>
      </font>
      <alignment horizontal="left" vertical="top" textRotation="0" wrapText="0" shrinkToFit="0" readingOrder="0"/>
      <protection locked="0" hidden="1"/>
    </dxf>
    <dxf>
      <font>
        <b/>
        <i val="0"/>
        <strike val="0"/>
        <u val="none"/>
        <sz val="11"/>
        <color theme="0"/>
        <name val="Calibri Light"/>
        <family val="2"/>
      </font>
      <fill>
        <patternFill patternType="solid">
          <fgColor theme="4"/>
          <bgColor theme="4"/>
        </patternFill>
      </fill>
      <border>
        <left/>
        <right/>
        <top style="thin">
          <color theme="4" tint="0.39997558519241921"/>
        </top>
        <bottom style="thin">
          <color theme="4" tint="0.39997558519241921"/>
        </bottom>
      </border>
    </dxf>
    <dxf>
      <font>
        <b val="0"/>
        <i val="0"/>
        <strike val="0"/>
        <u val="none"/>
        <sz val="11"/>
        <color auto="1"/>
        <name val="Calibri Light"/>
        <family val="2"/>
      </font>
      <alignment horizontal="left" vertical="top" textRotation="0" wrapText="0" shrinkToFit="0" readingOrder="0"/>
      <protection locked="0" hidden="1"/>
    </dxf>
    <dxf>
      <font>
        <b/>
        <i val="0"/>
        <strike val="0"/>
        <u val="none"/>
        <sz val="11"/>
        <color theme="0"/>
        <name val="Calibri Light"/>
        <family val="2"/>
      </font>
      <fill>
        <patternFill patternType="solid">
          <fgColor theme="4"/>
          <bgColor theme="4"/>
        </patternFill>
      </fill>
      <border>
        <left/>
        <right/>
        <top style="thin">
          <color theme="4" tint="0.39997558519241921"/>
        </top>
        <bottom style="thin">
          <color theme="4" tint="0.39997558519241921"/>
        </bottom>
      </border>
    </dxf>
    <dxf>
      <font>
        <b val="0"/>
        <strike val="0"/>
        <u val="none"/>
        <sz val="11"/>
        <color auto="1"/>
        <name val="Calibri Light"/>
        <family val="2"/>
      </font>
      <alignment horizontal="left" vertical="top" textRotation="0" wrapText="0" shrinkToFit="0" readingOrder="0"/>
      <protection locked="0" hidden="1"/>
    </dxf>
    <dxf>
      <font>
        <b/>
        <i val="0"/>
        <strike val="0"/>
        <u val="none"/>
        <sz val="11"/>
        <color theme="0"/>
        <name val="Calibri Light"/>
        <family val="2"/>
      </font>
      <fill>
        <patternFill patternType="solid">
          <fgColor theme="4"/>
          <bgColor theme="4"/>
        </patternFill>
      </fill>
      <border>
        <left/>
        <right/>
        <top style="thin">
          <color theme="4" tint="0.39997558519241921"/>
        </top>
        <bottom style="thin">
          <color theme="4" tint="0.39997558519241921"/>
        </bottom>
      </border>
    </dxf>
    <dxf>
      <font>
        <b val="0"/>
        <strike val="0"/>
        <u val="none"/>
        <sz val="11"/>
        <color auto="1"/>
        <name val="Calibri Light"/>
        <family val="2"/>
      </font>
      <alignment horizontal="center" vertical="top" textRotation="0" wrapText="0" shrinkToFit="0" readingOrder="0"/>
      <protection locked="0" hidden="1"/>
    </dxf>
    <dxf>
      <font>
        <b/>
        <i val="0"/>
        <strike val="0"/>
        <u val="none"/>
        <sz val="11"/>
        <color theme="0"/>
        <name val="Calibri Light"/>
        <family val="2"/>
      </font>
      <fill>
        <patternFill patternType="solid">
          <fgColor theme="4"/>
          <bgColor theme="4"/>
        </patternFill>
      </fill>
      <border>
        <left/>
        <right/>
        <top style="thin">
          <color theme="4" tint="0.39997558519241921"/>
        </top>
        <bottom style="thin">
          <color theme="4" tint="0.39997558519241921"/>
        </bottom>
      </border>
    </dxf>
    <dxf>
      <font>
        <b val="0"/>
        <strike val="0"/>
        <u val="none"/>
        <sz val="11"/>
        <color auto="1"/>
        <name val="Calibri Light"/>
        <family val="2"/>
      </font>
      <numFmt numFmtId="176" formatCode="m/d/yyyy"/>
      <alignment horizontal="center" vertical="top" textRotation="0" wrapText="0" shrinkToFit="0" readingOrder="0"/>
      <protection locked="0" hidden="1"/>
    </dxf>
    <dxf>
      <font>
        <b/>
        <i val="0"/>
        <strike val="0"/>
        <u val="none"/>
        <sz val="11"/>
        <color theme="0"/>
        <name val="Calibri Light"/>
        <family val="2"/>
      </font>
      <fill>
        <patternFill patternType="solid">
          <fgColor theme="4"/>
          <bgColor theme="4"/>
        </patternFill>
      </fill>
      <border>
        <left/>
        <right/>
        <top style="thin">
          <color theme="4" tint="0.39997558519241921"/>
        </top>
        <bottom style="thin">
          <color theme="4" tint="0.39997558519241921"/>
        </bottom>
      </border>
    </dxf>
    <dxf>
      <font>
        <b val="0"/>
        <strike val="0"/>
        <u val="none"/>
        <sz val="11"/>
        <color auto="1"/>
        <name val="Calibri Light"/>
        <family val="2"/>
      </font>
      <numFmt numFmtId="176" formatCode="m/d/yyyy"/>
      <alignment horizontal="center" vertical="top" textRotation="0" wrapText="0" shrinkToFit="0" readingOrder="0"/>
      <protection locked="0" hidden="1"/>
    </dxf>
    <dxf>
      <font>
        <b/>
        <i val="0"/>
        <strike val="0"/>
        <u val="none"/>
        <sz val="11"/>
        <color theme="0"/>
        <name val="Calibri Light"/>
        <family val="2"/>
      </font>
      <fill>
        <patternFill patternType="solid">
          <fgColor theme="4"/>
          <bgColor theme="4"/>
        </patternFill>
      </fill>
      <border>
        <left/>
        <right/>
        <top style="thin">
          <color theme="4" tint="0.39997558519241921"/>
        </top>
        <bottom style="thin">
          <color theme="4" tint="0.39997558519241921"/>
        </bottom>
      </border>
    </dxf>
    <dxf>
      <font>
        <b val="0"/>
        <strike val="0"/>
        <u val="none"/>
        <sz val="11"/>
        <color auto="1"/>
        <name val="Calibri Light"/>
        <family val="2"/>
      </font>
      <alignment horizontal="left" vertical="top" textRotation="0" wrapText="0" shrinkToFit="0" readingOrder="0"/>
      <protection locked="0" hidden="1"/>
    </dxf>
    <dxf>
      <font>
        <b/>
        <i val="0"/>
        <strike val="0"/>
        <u val="none"/>
        <sz val="11"/>
        <color theme="0"/>
        <name val="Calibri Light"/>
        <family val="2"/>
      </font>
      <fill>
        <patternFill patternType="solid">
          <fgColor theme="4"/>
          <bgColor theme="4"/>
        </patternFill>
      </fill>
      <border>
        <left/>
        <right/>
        <top style="thin">
          <color theme="4" tint="0.39997558519241921"/>
        </top>
        <bottom style="thin">
          <color theme="4" tint="0.39997558519241921"/>
        </bottom>
      </border>
    </dxf>
    <dxf>
      <font>
        <b val="0"/>
        <strike val="0"/>
        <u val="none"/>
        <sz val="11"/>
        <color auto="1"/>
        <name val="Calibri Light"/>
        <family val="2"/>
      </font>
      <alignment horizontal="left" vertical="top" textRotation="0" wrapText="0" shrinkToFit="0" readingOrder="0"/>
      <protection locked="0" hidden="1"/>
    </dxf>
    <dxf>
      <font>
        <b/>
        <i val="0"/>
        <strike val="0"/>
        <u val="none"/>
        <sz val="11"/>
        <color theme="0"/>
        <name val="Calibri Light"/>
        <family val="2"/>
      </font>
      <fill>
        <patternFill patternType="solid">
          <fgColor theme="4"/>
          <bgColor theme="4"/>
        </patternFill>
      </fill>
      <border>
        <left/>
        <right/>
        <top style="thin">
          <color theme="4" tint="0.39997558519241921"/>
        </top>
        <bottom style="thin">
          <color theme="4" tint="0.39997558519241921"/>
        </bottom>
      </border>
    </dxf>
    <dxf>
      <font>
        <b val="0"/>
        <strike val="0"/>
        <u val="none"/>
        <sz val="11"/>
        <color auto="1"/>
        <name val="Calibri Light"/>
        <family val="2"/>
      </font>
      <alignment horizontal="left" vertical="top" textRotation="0" wrapText="0" shrinkToFit="0" readingOrder="0"/>
      <protection locked="0" hidden="1"/>
    </dxf>
    <dxf>
      <font>
        <b val="0"/>
        <i val="0"/>
        <strike val="0"/>
        <u val="none"/>
        <sz val="11"/>
        <color theme="1"/>
        <name val="Calibri Light"/>
        <family val="2"/>
      </font>
    </dxf>
    <dxf>
      <font>
        <b val="0"/>
        <strike val="0"/>
        <u val="none"/>
        <sz val="11"/>
        <color auto="1"/>
        <name val="Calibri Light"/>
        <family val="2"/>
      </font>
      <alignment horizontal="center" vertical="bottom" textRotation="0" wrapText="0" shrinkToFit="0" readingOrder="0"/>
    </dxf>
    <dxf>
      <font>
        <b/>
        <i val="0"/>
        <strike val="0"/>
        <u val="none"/>
        <sz val="11"/>
        <color theme="0"/>
        <name val="Calibri Light"/>
        <family val="2"/>
      </font>
      <fill>
        <patternFill patternType="solid">
          <fgColor theme="4"/>
          <bgColor theme="4"/>
        </patternFill>
      </fill>
    </dxf>
    <dxf>
      <font>
        <b val="0"/>
        <strike val="0"/>
        <u val="none"/>
        <sz val="11"/>
        <color rgb="FFC00000"/>
        <name val="Calibri Light"/>
        <family val="2"/>
      </font>
      <numFmt numFmtId="0" formatCode="General"/>
      <fill>
        <patternFill patternType="solid">
          <bgColor theme="0" tint="-4.9958800012207406E-2"/>
        </patternFill>
      </fill>
      <alignment horizontal="left" vertical="top" textRotation="0" wrapText="0" shrinkToFit="0" readingOrder="0"/>
    </dxf>
    <dxf>
      <font>
        <b/>
        <i val="0"/>
        <strike val="0"/>
        <u val="none"/>
        <sz val="11"/>
        <color rgb="FFC00000"/>
        <name val="Calibri Light"/>
        <family val="2"/>
      </font>
      <fill>
        <patternFill patternType="solid">
          <bgColor theme="0" tint="-4.9958800012207406E-2"/>
        </patternFill>
      </fill>
      <alignment horizontal="left" vertical="top" textRotation="0" wrapText="0" shrinkToFit="0" readingOrder="0"/>
    </dxf>
    <dxf>
      <font>
        <b val="0"/>
        <strike val="0"/>
        <u val="none"/>
        <sz val="11"/>
        <color auto="1"/>
        <name val="Calibri Light"/>
        <family val="2"/>
      </font>
      <numFmt numFmtId="0" formatCode="General"/>
      <fill>
        <patternFill>
          <bgColor theme="0" tint="-4.9958800012207406E-2"/>
        </patternFill>
      </fill>
      <alignment horizontal="center" vertical="bottom" textRotation="0" wrapText="0" shrinkToFit="0" readingOrder="0"/>
    </dxf>
    <dxf>
      <font>
        <b/>
        <i val="0"/>
        <strike val="0"/>
        <u val="none"/>
        <sz val="11"/>
        <color auto="1"/>
        <name val="Calibri Light"/>
        <family val="2"/>
      </font>
      <fill>
        <patternFill patternType="solid">
          <bgColor theme="0" tint="-4.9958800012207406E-2"/>
        </patternFill>
      </fill>
      <alignment horizontal="center" vertical="bottom" textRotation="0" wrapText="0" shrinkToFit="0" readingOrder="0"/>
      <border>
        <left style="thin">
          <color auto="1"/>
        </left>
        <right/>
        <top/>
        <bottom/>
      </border>
    </dxf>
    <dxf>
      <font>
        <b val="0"/>
        <strike val="0"/>
        <name val="Calibri Light"/>
        <family val="2"/>
      </font>
      <alignment horizontal="left" vertical="top" textRotation="0" wrapText="0" shrinkToFit="0" readingOrder="0"/>
      <protection locked="0" hidden="1"/>
    </dxf>
    <dxf>
      <font>
        <b/>
        <i val="0"/>
        <strike val="0"/>
        <u val="none"/>
        <sz val="11"/>
        <color theme="1"/>
        <name val="Calibri Light"/>
        <family val="2"/>
      </font>
    </dxf>
    <dxf>
      <font>
        <b val="0"/>
        <i val="0"/>
        <strike val="0"/>
        <u val="none"/>
        <sz val="11"/>
        <color theme="1"/>
        <name val="Calibri Light"/>
        <family val="2"/>
      </font>
      <alignment horizontal="left" vertical="top" textRotation="0" wrapText="0" shrinkToFit="0" readingOrder="0"/>
      <protection locked="0" hidden="1"/>
    </dxf>
    <dxf>
      <font>
        <b/>
        <i val="0"/>
        <strike val="0"/>
        <u val="none"/>
        <sz val="11"/>
        <color theme="1"/>
        <name val="Calibri Light"/>
        <family val="2"/>
      </font>
    </dxf>
    <dxf>
      <font>
        <b val="0"/>
        <strike val="0"/>
        <name val="Calibri Light"/>
        <family val="2"/>
      </font>
      <alignment horizontal="left" vertical="top" textRotation="0" wrapText="0" shrinkToFit="0" readingOrder="0"/>
      <protection locked="0" hidden="1"/>
    </dxf>
    <dxf>
      <font>
        <b/>
        <i val="0"/>
        <strike val="0"/>
        <u val="none"/>
        <sz val="11"/>
        <color theme="1"/>
        <name val="Calibri Light"/>
        <family val="2"/>
      </font>
    </dxf>
    <dxf>
      <font>
        <b val="0"/>
        <strike val="0"/>
        <name val="Calibri Light"/>
        <family val="2"/>
      </font>
      <alignment horizontal="center" vertical="top" textRotation="0" wrapText="0" shrinkToFit="0" readingOrder="0"/>
      <protection locked="0" hidden="1"/>
    </dxf>
    <dxf>
      <font>
        <b/>
        <i val="0"/>
        <strike val="0"/>
        <u val="none"/>
        <sz val="11"/>
        <color theme="1"/>
        <name val="Calibri Light"/>
        <family val="2"/>
      </font>
    </dxf>
    <dxf>
      <font>
        <b val="0"/>
        <strike val="0"/>
        <name val="Calibri Light"/>
        <family val="2"/>
      </font>
      <numFmt numFmtId="176" formatCode="m/d/yyyy"/>
      <alignment horizontal="center" vertical="top" textRotation="0" wrapText="0" shrinkToFit="0" readingOrder="0"/>
      <protection locked="0" hidden="1"/>
    </dxf>
    <dxf>
      <font>
        <b/>
        <i val="0"/>
        <strike val="0"/>
        <u val="none"/>
        <sz val="11"/>
        <color theme="1"/>
        <name val="Calibri Light"/>
        <family val="2"/>
      </font>
    </dxf>
    <dxf>
      <font>
        <b val="0"/>
        <strike val="0"/>
        <name val="Calibri Light"/>
        <family val="2"/>
      </font>
      <numFmt numFmtId="176" formatCode="m/d/yyyy"/>
      <alignment horizontal="center" vertical="top" textRotation="0" wrapText="0" shrinkToFit="0" readingOrder="0"/>
      <protection locked="0" hidden="1"/>
    </dxf>
    <dxf>
      <font>
        <b/>
        <i val="0"/>
        <strike val="0"/>
        <u val="none"/>
        <sz val="11"/>
        <color theme="1"/>
        <name val="Calibri Light"/>
        <family val="2"/>
      </font>
    </dxf>
    <dxf>
      <font>
        <b val="0"/>
        <strike val="0"/>
        <name val="Calibri Light"/>
        <family val="2"/>
      </font>
      <alignment horizontal="left" vertical="top" textRotation="0" wrapText="0" shrinkToFit="0" readingOrder="0"/>
      <protection locked="0" hidden="1"/>
    </dxf>
    <dxf>
      <font>
        <b/>
        <i val="0"/>
        <strike val="0"/>
        <u val="none"/>
        <sz val="11"/>
        <color theme="1"/>
        <name val="Calibri Light"/>
        <family val="2"/>
      </font>
    </dxf>
    <dxf>
      <font>
        <b val="0"/>
        <strike val="0"/>
        <name val="Calibri Light"/>
        <family val="2"/>
      </font>
      <alignment horizontal="left" vertical="top" textRotation="0" wrapText="0" shrinkToFit="0" readingOrder="0"/>
      <protection locked="0" hidden="1"/>
    </dxf>
    <dxf>
      <font>
        <b/>
        <i val="0"/>
        <strike val="0"/>
        <u val="none"/>
        <sz val="11"/>
        <color theme="1"/>
        <name val="Calibri Light"/>
        <family val="2"/>
      </font>
    </dxf>
    <dxf>
      <font>
        <b val="0"/>
        <strike val="0"/>
        <name val="Calibri Light"/>
        <family val="2"/>
      </font>
      <alignment horizontal="left" vertical="top" textRotation="0" wrapText="0" shrinkToFit="0" readingOrder="0"/>
      <protection locked="0" hidden="1"/>
    </dxf>
    <dxf>
      <font>
        <b/>
        <i val="0"/>
        <strike val="0"/>
        <u val="none"/>
        <sz val="11"/>
        <color theme="1"/>
        <name val="Calibri Light"/>
        <family val="2"/>
      </font>
    </dxf>
    <dxf>
      <font>
        <b val="0"/>
        <strike val="0"/>
        <name val="Calibri Light"/>
        <family val="2"/>
      </font>
    </dxf>
    <dxf>
      <font>
        <b/>
        <i val="0"/>
        <strike val="0"/>
        <u val="none"/>
        <sz val="11"/>
        <color theme="1"/>
        <name val="Calibri Light"/>
        <family val="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customXml" Target="../customXml/item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sheetMetadata" Target="metadata.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theme" Target="theme/theme1.xml"/><Relationship Id="rId105"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Dictionary!$B$571</c:f>
          <c:strCache>
            <c:ptCount val="1"/>
            <c:pt idx="0">
              <c:v>PM Auslastung</c:v>
            </c:pt>
          </c:strCache>
        </c:strRef>
      </c:tx>
      <c:overlay val="0"/>
      <c:spPr>
        <a:noFill/>
        <a:ln w="6350">
          <a:noFill/>
        </a:ln>
        <a:effectLst/>
      </c:spPr>
      <c:txPr>
        <a:bodyPr rot="0" vert="horz" wrap="square"/>
        <a:lstStyle/>
        <a:p>
          <a:pPr>
            <a:defRPr lang="en-US" sz="1400" b="1" i="0" u="non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strRef>
              <c:f>EXP!$S$9</c:f>
              <c:strCache>
                <c:ptCount val="1"/>
              </c:strCache>
            </c:strRef>
          </c:tx>
          <c:spPr>
            <a:solidFill>
              <a:schemeClr val="accent1"/>
            </a:solidFill>
            <a:ln w="6350">
              <a:noFill/>
            </a:ln>
            <a:effectLst/>
          </c:spPr>
          <c:cat>
            <c:strRef>
              <c:f>EXP!$T$7:$JJ$7</c:f>
              <c:strCache>
                <c:ptCount val="251"/>
                <c:pt idx="1">
                  <c:v>#VALUE!</c:v>
                </c:pt>
                <c:pt idx="2">
                  <c:v>#VALUE!</c:v>
                </c:pt>
                <c:pt idx="3">
                  <c:v>#VALUE!</c:v>
                </c:pt>
                <c:pt idx="4">
                  <c:v>#VALUE!</c:v>
                </c:pt>
                <c:pt idx="5">
                  <c:v>#VALUE!</c:v>
                </c:pt>
                <c:pt idx="6">
                  <c:v>#VALUE!</c:v>
                </c:pt>
                <c:pt idx="7">
                  <c:v>#VALUE!</c:v>
                </c:pt>
                <c:pt idx="8">
                  <c:v>#VALUE!</c:v>
                </c:pt>
                <c:pt idx="9">
                  <c:v>#VALUE!</c:v>
                </c:pt>
                <c:pt idx="10">
                  <c:v>#VALUE!</c:v>
                </c:pt>
                <c:pt idx="11">
                  <c:v>#VALUE!</c:v>
                </c:pt>
                <c:pt idx="12">
                  <c:v>#VALUE!</c:v>
                </c:pt>
                <c:pt idx="13">
                  <c:v>#VALUE!</c:v>
                </c:pt>
                <c:pt idx="14">
                  <c:v>#VALUE!</c:v>
                </c:pt>
                <c:pt idx="15">
                  <c:v>#VALUE!</c:v>
                </c:pt>
                <c:pt idx="16">
                  <c:v>#VALUE!</c:v>
                </c:pt>
                <c:pt idx="17">
                  <c:v>#VALUE!</c:v>
                </c:pt>
                <c:pt idx="18">
                  <c:v>#VALUE!</c:v>
                </c:pt>
                <c:pt idx="19">
                  <c:v>#VALUE!</c:v>
                </c:pt>
                <c:pt idx="20">
                  <c:v>#VALUE!</c:v>
                </c:pt>
                <c:pt idx="21">
                  <c:v>#VALUE!</c:v>
                </c:pt>
                <c:pt idx="22">
                  <c:v>#VALUE!</c:v>
                </c:pt>
                <c:pt idx="23">
                  <c:v>#VALUE!</c:v>
                </c:pt>
                <c:pt idx="24">
                  <c:v>#VALUE!</c:v>
                </c:pt>
                <c:pt idx="25">
                  <c:v>#VALUE!</c:v>
                </c:pt>
                <c:pt idx="26">
                  <c:v>#VALUE!</c:v>
                </c:pt>
                <c:pt idx="27">
                  <c:v>#VALUE!</c:v>
                </c:pt>
                <c:pt idx="28">
                  <c:v>#VALUE!</c:v>
                </c:pt>
                <c:pt idx="29">
                  <c:v>#VALUE!</c:v>
                </c:pt>
                <c:pt idx="30">
                  <c:v>#VALUE!</c:v>
                </c:pt>
                <c:pt idx="31">
                  <c:v>#VALUE!</c:v>
                </c:pt>
                <c:pt idx="32">
                  <c:v>#VALUE!</c:v>
                </c:pt>
                <c:pt idx="33">
                  <c:v>#VALUE!</c:v>
                </c:pt>
                <c:pt idx="34">
                  <c:v>#VALUE!</c:v>
                </c:pt>
                <c:pt idx="35">
                  <c:v>#VALUE!</c:v>
                </c:pt>
                <c:pt idx="36">
                  <c:v>#VALUE!</c:v>
                </c:pt>
                <c:pt idx="37">
                  <c:v>#VALUE!</c:v>
                </c:pt>
                <c:pt idx="38">
                  <c:v>#VALUE!</c:v>
                </c:pt>
                <c:pt idx="39">
                  <c:v>#VALUE!</c:v>
                </c:pt>
                <c:pt idx="40">
                  <c:v>#VALUE!</c:v>
                </c:pt>
                <c:pt idx="41">
                  <c:v>#VALUE!</c:v>
                </c:pt>
                <c:pt idx="42">
                  <c:v>#VALUE!</c:v>
                </c:pt>
                <c:pt idx="43">
                  <c:v>#VALUE!</c:v>
                </c:pt>
                <c:pt idx="44">
                  <c:v>#VALUE!</c:v>
                </c:pt>
                <c:pt idx="45">
                  <c:v>#VALUE!</c:v>
                </c:pt>
                <c:pt idx="46">
                  <c:v>#VALUE!</c:v>
                </c:pt>
                <c:pt idx="47">
                  <c:v>#VALUE!</c:v>
                </c:pt>
                <c:pt idx="48">
                  <c:v>#VALUE!</c:v>
                </c:pt>
                <c:pt idx="49">
                  <c:v>#VALUE!</c:v>
                </c:pt>
                <c:pt idx="50">
                  <c:v>#VALUE!</c:v>
                </c:pt>
                <c:pt idx="51">
                  <c:v>#VALUE!</c:v>
                </c:pt>
                <c:pt idx="52">
                  <c:v>#VALUE!</c:v>
                </c:pt>
                <c:pt idx="53">
                  <c:v>#VALUE!</c:v>
                </c:pt>
                <c:pt idx="54">
                  <c:v>#VALUE!</c:v>
                </c:pt>
                <c:pt idx="55">
                  <c:v>#VALUE!</c:v>
                </c:pt>
                <c:pt idx="56">
                  <c:v>#VALUE!</c:v>
                </c:pt>
                <c:pt idx="57">
                  <c:v>#VALUE!</c:v>
                </c:pt>
                <c:pt idx="58">
                  <c:v>#VALUE!</c:v>
                </c:pt>
                <c:pt idx="59">
                  <c:v>#VALUE!</c:v>
                </c:pt>
                <c:pt idx="60">
                  <c:v>#VALUE!</c:v>
                </c:pt>
                <c:pt idx="61">
                  <c:v>#VALUE!</c:v>
                </c:pt>
                <c:pt idx="62">
                  <c:v>#VALUE!</c:v>
                </c:pt>
                <c:pt idx="63">
                  <c:v>#VALUE!</c:v>
                </c:pt>
                <c:pt idx="64">
                  <c:v>#VALUE!</c:v>
                </c:pt>
                <c:pt idx="65">
                  <c:v>#VALUE!</c:v>
                </c:pt>
                <c:pt idx="66">
                  <c:v>#VALUE!</c:v>
                </c:pt>
                <c:pt idx="67">
                  <c:v>#VALUE!</c:v>
                </c:pt>
                <c:pt idx="68">
                  <c:v>#VALUE!</c:v>
                </c:pt>
                <c:pt idx="69">
                  <c:v>#VALUE!</c:v>
                </c:pt>
                <c:pt idx="70">
                  <c:v>#VALUE!</c:v>
                </c:pt>
                <c:pt idx="71">
                  <c:v>#VALUE!</c:v>
                </c:pt>
                <c:pt idx="72">
                  <c:v>#VALUE!</c:v>
                </c:pt>
                <c:pt idx="73">
                  <c:v>#VALUE!</c:v>
                </c:pt>
                <c:pt idx="74">
                  <c:v>#VALUE!</c:v>
                </c:pt>
                <c:pt idx="75">
                  <c:v>#VALUE!</c:v>
                </c:pt>
                <c:pt idx="76">
                  <c:v>#VALUE!</c:v>
                </c:pt>
                <c:pt idx="77">
                  <c:v>#VALUE!</c:v>
                </c:pt>
                <c:pt idx="78">
                  <c:v>#VALUE!</c:v>
                </c:pt>
                <c:pt idx="79">
                  <c:v>#VALUE!</c:v>
                </c:pt>
                <c:pt idx="80">
                  <c:v>#VALUE!</c:v>
                </c:pt>
                <c:pt idx="81">
                  <c:v>#VALUE!</c:v>
                </c:pt>
                <c:pt idx="82">
                  <c:v>#VALUE!</c:v>
                </c:pt>
                <c:pt idx="83">
                  <c:v>#VALUE!</c:v>
                </c:pt>
                <c:pt idx="84">
                  <c:v>#VALUE!</c:v>
                </c:pt>
                <c:pt idx="85">
                  <c:v>#VALUE!</c:v>
                </c:pt>
                <c:pt idx="86">
                  <c:v>#VALUE!</c:v>
                </c:pt>
                <c:pt idx="87">
                  <c:v>#VALUE!</c:v>
                </c:pt>
                <c:pt idx="88">
                  <c:v>#VALUE!</c:v>
                </c:pt>
                <c:pt idx="89">
                  <c:v>#VALUE!</c:v>
                </c:pt>
                <c:pt idx="90">
                  <c:v>#VALUE!</c:v>
                </c:pt>
                <c:pt idx="91">
                  <c:v>#VALUE!</c:v>
                </c:pt>
                <c:pt idx="92">
                  <c:v>#VALUE!</c:v>
                </c:pt>
                <c:pt idx="93">
                  <c:v>#VALUE!</c:v>
                </c:pt>
                <c:pt idx="94">
                  <c:v>#VALUE!</c:v>
                </c:pt>
                <c:pt idx="95">
                  <c:v>#VALUE!</c:v>
                </c:pt>
                <c:pt idx="96">
                  <c:v>#VALUE!</c:v>
                </c:pt>
                <c:pt idx="97">
                  <c:v>#VALUE!</c:v>
                </c:pt>
                <c:pt idx="98">
                  <c:v>#VALUE!</c:v>
                </c:pt>
                <c:pt idx="99">
                  <c:v>#VALUE!</c:v>
                </c:pt>
                <c:pt idx="100">
                  <c:v>#VALUE!</c:v>
                </c:pt>
                <c:pt idx="101">
                  <c:v>#VALUE!</c:v>
                </c:pt>
                <c:pt idx="102">
                  <c:v>#VALUE!</c:v>
                </c:pt>
                <c:pt idx="103">
                  <c:v>#VALUE!</c:v>
                </c:pt>
                <c:pt idx="104">
                  <c:v>#VALUE!</c:v>
                </c:pt>
                <c:pt idx="105">
                  <c:v>#VALUE!</c:v>
                </c:pt>
                <c:pt idx="106">
                  <c:v>#VALUE!</c:v>
                </c:pt>
                <c:pt idx="107">
                  <c:v>#VALUE!</c:v>
                </c:pt>
                <c:pt idx="108">
                  <c:v>#VALUE!</c:v>
                </c:pt>
                <c:pt idx="109">
                  <c:v>#VALUE!</c:v>
                </c:pt>
                <c:pt idx="110">
                  <c:v>#VALUE!</c:v>
                </c:pt>
                <c:pt idx="111">
                  <c:v>#VALUE!</c:v>
                </c:pt>
                <c:pt idx="112">
                  <c:v>#VALUE!</c:v>
                </c:pt>
                <c:pt idx="113">
                  <c:v>#VALUE!</c:v>
                </c:pt>
                <c:pt idx="114">
                  <c:v>#VALUE!</c:v>
                </c:pt>
                <c:pt idx="115">
                  <c:v>#VALUE!</c:v>
                </c:pt>
                <c:pt idx="116">
                  <c:v>#VALUE!</c:v>
                </c:pt>
                <c:pt idx="117">
                  <c:v>#VALUE!</c:v>
                </c:pt>
                <c:pt idx="118">
                  <c:v>#VALUE!</c:v>
                </c:pt>
                <c:pt idx="119">
                  <c:v>#VALUE!</c:v>
                </c:pt>
                <c:pt idx="120">
                  <c:v>#VALUE!</c:v>
                </c:pt>
                <c:pt idx="121">
                  <c:v>#VALUE!</c:v>
                </c:pt>
                <c:pt idx="122">
                  <c:v>#VALUE!</c:v>
                </c:pt>
                <c:pt idx="123">
                  <c:v>#VALUE!</c:v>
                </c:pt>
                <c:pt idx="124">
                  <c:v>#VALUE!</c:v>
                </c:pt>
                <c:pt idx="125">
                  <c:v>#VALUE!</c:v>
                </c:pt>
                <c:pt idx="126">
                  <c:v>#VALUE!</c:v>
                </c:pt>
                <c:pt idx="127">
                  <c:v>#VALUE!</c:v>
                </c:pt>
                <c:pt idx="128">
                  <c:v>#VALUE!</c:v>
                </c:pt>
                <c:pt idx="129">
                  <c:v>#VALUE!</c:v>
                </c:pt>
                <c:pt idx="130">
                  <c:v>#VALUE!</c:v>
                </c:pt>
                <c:pt idx="131">
                  <c:v>#VALUE!</c:v>
                </c:pt>
                <c:pt idx="132">
                  <c:v>#VALUE!</c:v>
                </c:pt>
                <c:pt idx="133">
                  <c:v>#VALUE!</c:v>
                </c:pt>
                <c:pt idx="134">
                  <c:v>#VALUE!</c:v>
                </c:pt>
                <c:pt idx="135">
                  <c:v>#VALUE!</c:v>
                </c:pt>
                <c:pt idx="136">
                  <c:v>#VALUE!</c:v>
                </c:pt>
                <c:pt idx="137">
                  <c:v>#VALUE!</c:v>
                </c:pt>
                <c:pt idx="138">
                  <c:v>#VALUE!</c:v>
                </c:pt>
                <c:pt idx="139">
                  <c:v>#VALUE!</c:v>
                </c:pt>
                <c:pt idx="140">
                  <c:v>#VALUE!</c:v>
                </c:pt>
                <c:pt idx="141">
                  <c:v>#VALUE!</c:v>
                </c:pt>
                <c:pt idx="142">
                  <c:v>#VALUE!</c:v>
                </c:pt>
                <c:pt idx="143">
                  <c:v>#VALUE!</c:v>
                </c:pt>
                <c:pt idx="144">
                  <c:v>#VALUE!</c:v>
                </c:pt>
                <c:pt idx="145">
                  <c:v>#VALUE!</c:v>
                </c:pt>
                <c:pt idx="146">
                  <c:v>#VALUE!</c:v>
                </c:pt>
                <c:pt idx="147">
                  <c:v>#VALUE!</c:v>
                </c:pt>
                <c:pt idx="148">
                  <c:v>#VALUE!</c:v>
                </c:pt>
                <c:pt idx="149">
                  <c:v>#VALUE!</c:v>
                </c:pt>
                <c:pt idx="150">
                  <c:v>#VALUE!</c:v>
                </c:pt>
                <c:pt idx="151">
                  <c:v>#VALUE!</c:v>
                </c:pt>
                <c:pt idx="152">
                  <c:v>#VALUE!</c:v>
                </c:pt>
                <c:pt idx="153">
                  <c:v>#VALUE!</c:v>
                </c:pt>
                <c:pt idx="154">
                  <c:v>#VALUE!</c:v>
                </c:pt>
                <c:pt idx="155">
                  <c:v>#VALUE!</c:v>
                </c:pt>
                <c:pt idx="156">
                  <c:v>#VALUE!</c:v>
                </c:pt>
                <c:pt idx="157">
                  <c:v>#VALUE!</c:v>
                </c:pt>
                <c:pt idx="158">
                  <c:v>#VALUE!</c:v>
                </c:pt>
                <c:pt idx="159">
                  <c:v>#VALUE!</c:v>
                </c:pt>
                <c:pt idx="160">
                  <c:v>#VALUE!</c:v>
                </c:pt>
                <c:pt idx="161">
                  <c:v>#VALUE!</c:v>
                </c:pt>
                <c:pt idx="162">
                  <c:v>#VALUE!</c:v>
                </c:pt>
                <c:pt idx="163">
                  <c:v>#VALUE!</c:v>
                </c:pt>
                <c:pt idx="164">
                  <c:v>#VALUE!</c:v>
                </c:pt>
                <c:pt idx="165">
                  <c:v>#VALUE!</c:v>
                </c:pt>
                <c:pt idx="166">
                  <c:v>#VALUE!</c:v>
                </c:pt>
                <c:pt idx="167">
                  <c:v>#VALUE!</c:v>
                </c:pt>
                <c:pt idx="168">
                  <c:v>#VALUE!</c:v>
                </c:pt>
                <c:pt idx="169">
                  <c:v>#VALUE!</c:v>
                </c:pt>
                <c:pt idx="170">
                  <c:v>#VALUE!</c:v>
                </c:pt>
                <c:pt idx="171">
                  <c:v>#VALUE!</c:v>
                </c:pt>
                <c:pt idx="172">
                  <c:v>#VALUE!</c:v>
                </c:pt>
                <c:pt idx="173">
                  <c:v>#VALUE!</c:v>
                </c:pt>
                <c:pt idx="174">
                  <c:v>#VALUE!</c:v>
                </c:pt>
                <c:pt idx="175">
                  <c:v>#VALUE!</c:v>
                </c:pt>
                <c:pt idx="176">
                  <c:v>#VALUE!</c:v>
                </c:pt>
                <c:pt idx="177">
                  <c:v>#VALUE!</c:v>
                </c:pt>
                <c:pt idx="178">
                  <c:v>#VALUE!</c:v>
                </c:pt>
                <c:pt idx="179">
                  <c:v>#VALUE!</c:v>
                </c:pt>
                <c:pt idx="180">
                  <c:v>#VALUE!</c:v>
                </c:pt>
                <c:pt idx="181">
                  <c:v>#VALUE!</c:v>
                </c:pt>
                <c:pt idx="182">
                  <c:v>#VALUE!</c:v>
                </c:pt>
                <c:pt idx="183">
                  <c:v>#VALUE!</c:v>
                </c:pt>
                <c:pt idx="184">
                  <c:v>#VALUE!</c:v>
                </c:pt>
                <c:pt idx="185">
                  <c:v>#VALUE!</c:v>
                </c:pt>
                <c:pt idx="186">
                  <c:v>#VALUE!</c:v>
                </c:pt>
                <c:pt idx="187">
                  <c:v>#VALUE!</c:v>
                </c:pt>
                <c:pt idx="188">
                  <c:v>#VALUE!</c:v>
                </c:pt>
                <c:pt idx="189">
                  <c:v>#VALUE!</c:v>
                </c:pt>
                <c:pt idx="190">
                  <c:v>#VALUE!</c:v>
                </c:pt>
                <c:pt idx="191">
                  <c:v>#VALUE!</c:v>
                </c:pt>
                <c:pt idx="192">
                  <c:v>#VALUE!</c:v>
                </c:pt>
                <c:pt idx="193">
                  <c:v>#VALUE!</c:v>
                </c:pt>
                <c:pt idx="194">
                  <c:v>#VALUE!</c:v>
                </c:pt>
                <c:pt idx="195">
                  <c:v>#VALUE!</c:v>
                </c:pt>
                <c:pt idx="196">
                  <c:v>#VALUE!</c:v>
                </c:pt>
                <c:pt idx="197">
                  <c:v>#VALUE!</c:v>
                </c:pt>
                <c:pt idx="198">
                  <c:v>#VALUE!</c:v>
                </c:pt>
                <c:pt idx="199">
                  <c:v>#VALUE!</c:v>
                </c:pt>
                <c:pt idx="200">
                  <c:v>#VALUE!</c:v>
                </c:pt>
                <c:pt idx="201">
                  <c:v>#VALUE!</c:v>
                </c:pt>
                <c:pt idx="202">
                  <c:v>#VALUE!</c:v>
                </c:pt>
                <c:pt idx="203">
                  <c:v>#VALUE!</c:v>
                </c:pt>
                <c:pt idx="204">
                  <c:v>#VALUE!</c:v>
                </c:pt>
                <c:pt idx="205">
                  <c:v>#VALUE!</c:v>
                </c:pt>
                <c:pt idx="206">
                  <c:v>#VALUE!</c:v>
                </c:pt>
                <c:pt idx="207">
                  <c:v>#VALUE!</c:v>
                </c:pt>
                <c:pt idx="208">
                  <c:v>#VALUE!</c:v>
                </c:pt>
                <c:pt idx="209">
                  <c:v>#VALUE!</c:v>
                </c:pt>
                <c:pt idx="210">
                  <c:v>#VALUE!</c:v>
                </c:pt>
                <c:pt idx="211">
                  <c:v>#VALUE!</c:v>
                </c:pt>
                <c:pt idx="212">
                  <c:v>#VALUE!</c:v>
                </c:pt>
                <c:pt idx="213">
                  <c:v>#VALUE!</c:v>
                </c:pt>
                <c:pt idx="214">
                  <c:v>#VALUE!</c:v>
                </c:pt>
                <c:pt idx="215">
                  <c:v>#VALUE!</c:v>
                </c:pt>
                <c:pt idx="216">
                  <c:v>#VALUE!</c:v>
                </c:pt>
                <c:pt idx="217">
                  <c:v>#VALUE!</c:v>
                </c:pt>
                <c:pt idx="218">
                  <c:v>#VALUE!</c:v>
                </c:pt>
                <c:pt idx="219">
                  <c:v>#VALUE!</c:v>
                </c:pt>
                <c:pt idx="220">
                  <c:v>#VALUE!</c:v>
                </c:pt>
                <c:pt idx="221">
                  <c:v>#VALUE!</c:v>
                </c:pt>
                <c:pt idx="222">
                  <c:v>#VALUE!</c:v>
                </c:pt>
                <c:pt idx="223">
                  <c:v>#VALUE!</c:v>
                </c:pt>
                <c:pt idx="224">
                  <c:v>#VALUE!</c:v>
                </c:pt>
                <c:pt idx="225">
                  <c:v>#VALUE!</c:v>
                </c:pt>
                <c:pt idx="226">
                  <c:v>#VALUE!</c:v>
                </c:pt>
                <c:pt idx="227">
                  <c:v>#VALUE!</c:v>
                </c:pt>
                <c:pt idx="228">
                  <c:v>#VALUE!</c:v>
                </c:pt>
                <c:pt idx="229">
                  <c:v>#VALUE!</c:v>
                </c:pt>
                <c:pt idx="230">
                  <c:v>#VALUE!</c:v>
                </c:pt>
                <c:pt idx="231">
                  <c:v>#VALUE!</c:v>
                </c:pt>
                <c:pt idx="232">
                  <c:v>#VALUE!</c:v>
                </c:pt>
                <c:pt idx="233">
                  <c:v>#VALUE!</c:v>
                </c:pt>
                <c:pt idx="234">
                  <c:v>#VALUE!</c:v>
                </c:pt>
                <c:pt idx="235">
                  <c:v>#VALUE!</c:v>
                </c:pt>
                <c:pt idx="236">
                  <c:v>#VALUE!</c:v>
                </c:pt>
                <c:pt idx="237">
                  <c:v>#VALUE!</c:v>
                </c:pt>
                <c:pt idx="238">
                  <c:v>#VALUE!</c:v>
                </c:pt>
                <c:pt idx="239">
                  <c:v>#VALUE!</c:v>
                </c:pt>
                <c:pt idx="240">
                  <c:v>#VALUE!</c:v>
                </c:pt>
                <c:pt idx="241">
                  <c:v>#VALUE!</c:v>
                </c:pt>
                <c:pt idx="242">
                  <c:v>#VALUE!</c:v>
                </c:pt>
                <c:pt idx="243">
                  <c:v>#VALUE!</c:v>
                </c:pt>
                <c:pt idx="244">
                  <c:v>#VALUE!</c:v>
                </c:pt>
                <c:pt idx="245">
                  <c:v>#VALUE!</c:v>
                </c:pt>
                <c:pt idx="246">
                  <c:v>#VALUE!</c:v>
                </c:pt>
                <c:pt idx="247">
                  <c:v>#VALUE!</c:v>
                </c:pt>
                <c:pt idx="248">
                  <c:v>#VALUE!</c:v>
                </c:pt>
                <c:pt idx="249">
                  <c:v>#VALUE!</c:v>
                </c:pt>
                <c:pt idx="250">
                  <c:v>#VALUE!</c:v>
                </c:pt>
              </c:strCache>
            </c:strRef>
          </c:cat>
          <c:val>
            <c:numRef>
              <c:f>EXP!$T$9:$JJ$9</c:f>
              <c:numCache>
                <c:formatCode>0%</c:formatCode>
                <c:ptCount val="2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numCache>
            </c:numRef>
          </c:val>
          <c:extLst>
            <c:ext xmlns:c16="http://schemas.microsoft.com/office/drawing/2014/chart" uri="{C3380CC4-5D6E-409C-BE32-E72D297353CC}">
              <c16:uniqueId val="{00000000-7642-4CF9-9137-A7C777D0CFF9}"/>
            </c:ext>
          </c:extLst>
        </c:ser>
        <c:ser>
          <c:idx val="1"/>
          <c:order val="1"/>
          <c:tx>
            <c:strRef>
              <c:f>EXP!$S$10</c:f>
              <c:strCache>
                <c:ptCount val="1"/>
              </c:strCache>
            </c:strRef>
          </c:tx>
          <c:spPr>
            <a:solidFill>
              <a:schemeClr val="accent2"/>
            </a:solidFill>
            <a:ln w="6350">
              <a:noFill/>
            </a:ln>
            <a:effectLst/>
          </c:spPr>
          <c:cat>
            <c:strRef>
              <c:f>EXP!$T$7:$JJ$7</c:f>
              <c:strCache>
                <c:ptCount val="251"/>
                <c:pt idx="1">
                  <c:v>#VALUE!</c:v>
                </c:pt>
                <c:pt idx="2">
                  <c:v>#VALUE!</c:v>
                </c:pt>
                <c:pt idx="3">
                  <c:v>#VALUE!</c:v>
                </c:pt>
                <c:pt idx="4">
                  <c:v>#VALUE!</c:v>
                </c:pt>
                <c:pt idx="5">
                  <c:v>#VALUE!</c:v>
                </c:pt>
                <c:pt idx="6">
                  <c:v>#VALUE!</c:v>
                </c:pt>
                <c:pt idx="7">
                  <c:v>#VALUE!</c:v>
                </c:pt>
                <c:pt idx="8">
                  <c:v>#VALUE!</c:v>
                </c:pt>
                <c:pt idx="9">
                  <c:v>#VALUE!</c:v>
                </c:pt>
                <c:pt idx="10">
                  <c:v>#VALUE!</c:v>
                </c:pt>
                <c:pt idx="11">
                  <c:v>#VALUE!</c:v>
                </c:pt>
                <c:pt idx="12">
                  <c:v>#VALUE!</c:v>
                </c:pt>
                <c:pt idx="13">
                  <c:v>#VALUE!</c:v>
                </c:pt>
                <c:pt idx="14">
                  <c:v>#VALUE!</c:v>
                </c:pt>
                <c:pt idx="15">
                  <c:v>#VALUE!</c:v>
                </c:pt>
                <c:pt idx="16">
                  <c:v>#VALUE!</c:v>
                </c:pt>
                <c:pt idx="17">
                  <c:v>#VALUE!</c:v>
                </c:pt>
                <c:pt idx="18">
                  <c:v>#VALUE!</c:v>
                </c:pt>
                <c:pt idx="19">
                  <c:v>#VALUE!</c:v>
                </c:pt>
                <c:pt idx="20">
                  <c:v>#VALUE!</c:v>
                </c:pt>
                <c:pt idx="21">
                  <c:v>#VALUE!</c:v>
                </c:pt>
                <c:pt idx="22">
                  <c:v>#VALUE!</c:v>
                </c:pt>
                <c:pt idx="23">
                  <c:v>#VALUE!</c:v>
                </c:pt>
                <c:pt idx="24">
                  <c:v>#VALUE!</c:v>
                </c:pt>
                <c:pt idx="25">
                  <c:v>#VALUE!</c:v>
                </c:pt>
                <c:pt idx="26">
                  <c:v>#VALUE!</c:v>
                </c:pt>
                <c:pt idx="27">
                  <c:v>#VALUE!</c:v>
                </c:pt>
                <c:pt idx="28">
                  <c:v>#VALUE!</c:v>
                </c:pt>
                <c:pt idx="29">
                  <c:v>#VALUE!</c:v>
                </c:pt>
                <c:pt idx="30">
                  <c:v>#VALUE!</c:v>
                </c:pt>
                <c:pt idx="31">
                  <c:v>#VALUE!</c:v>
                </c:pt>
                <c:pt idx="32">
                  <c:v>#VALUE!</c:v>
                </c:pt>
                <c:pt idx="33">
                  <c:v>#VALUE!</c:v>
                </c:pt>
                <c:pt idx="34">
                  <c:v>#VALUE!</c:v>
                </c:pt>
                <c:pt idx="35">
                  <c:v>#VALUE!</c:v>
                </c:pt>
                <c:pt idx="36">
                  <c:v>#VALUE!</c:v>
                </c:pt>
                <c:pt idx="37">
                  <c:v>#VALUE!</c:v>
                </c:pt>
                <c:pt idx="38">
                  <c:v>#VALUE!</c:v>
                </c:pt>
                <c:pt idx="39">
                  <c:v>#VALUE!</c:v>
                </c:pt>
                <c:pt idx="40">
                  <c:v>#VALUE!</c:v>
                </c:pt>
                <c:pt idx="41">
                  <c:v>#VALUE!</c:v>
                </c:pt>
                <c:pt idx="42">
                  <c:v>#VALUE!</c:v>
                </c:pt>
                <c:pt idx="43">
                  <c:v>#VALUE!</c:v>
                </c:pt>
                <c:pt idx="44">
                  <c:v>#VALUE!</c:v>
                </c:pt>
                <c:pt idx="45">
                  <c:v>#VALUE!</c:v>
                </c:pt>
                <c:pt idx="46">
                  <c:v>#VALUE!</c:v>
                </c:pt>
                <c:pt idx="47">
                  <c:v>#VALUE!</c:v>
                </c:pt>
                <c:pt idx="48">
                  <c:v>#VALUE!</c:v>
                </c:pt>
                <c:pt idx="49">
                  <c:v>#VALUE!</c:v>
                </c:pt>
                <c:pt idx="50">
                  <c:v>#VALUE!</c:v>
                </c:pt>
                <c:pt idx="51">
                  <c:v>#VALUE!</c:v>
                </c:pt>
                <c:pt idx="52">
                  <c:v>#VALUE!</c:v>
                </c:pt>
                <c:pt idx="53">
                  <c:v>#VALUE!</c:v>
                </c:pt>
                <c:pt idx="54">
                  <c:v>#VALUE!</c:v>
                </c:pt>
                <c:pt idx="55">
                  <c:v>#VALUE!</c:v>
                </c:pt>
                <c:pt idx="56">
                  <c:v>#VALUE!</c:v>
                </c:pt>
                <c:pt idx="57">
                  <c:v>#VALUE!</c:v>
                </c:pt>
                <c:pt idx="58">
                  <c:v>#VALUE!</c:v>
                </c:pt>
                <c:pt idx="59">
                  <c:v>#VALUE!</c:v>
                </c:pt>
                <c:pt idx="60">
                  <c:v>#VALUE!</c:v>
                </c:pt>
                <c:pt idx="61">
                  <c:v>#VALUE!</c:v>
                </c:pt>
                <c:pt idx="62">
                  <c:v>#VALUE!</c:v>
                </c:pt>
                <c:pt idx="63">
                  <c:v>#VALUE!</c:v>
                </c:pt>
                <c:pt idx="64">
                  <c:v>#VALUE!</c:v>
                </c:pt>
                <c:pt idx="65">
                  <c:v>#VALUE!</c:v>
                </c:pt>
                <c:pt idx="66">
                  <c:v>#VALUE!</c:v>
                </c:pt>
                <c:pt idx="67">
                  <c:v>#VALUE!</c:v>
                </c:pt>
                <c:pt idx="68">
                  <c:v>#VALUE!</c:v>
                </c:pt>
                <c:pt idx="69">
                  <c:v>#VALUE!</c:v>
                </c:pt>
                <c:pt idx="70">
                  <c:v>#VALUE!</c:v>
                </c:pt>
                <c:pt idx="71">
                  <c:v>#VALUE!</c:v>
                </c:pt>
                <c:pt idx="72">
                  <c:v>#VALUE!</c:v>
                </c:pt>
                <c:pt idx="73">
                  <c:v>#VALUE!</c:v>
                </c:pt>
                <c:pt idx="74">
                  <c:v>#VALUE!</c:v>
                </c:pt>
                <c:pt idx="75">
                  <c:v>#VALUE!</c:v>
                </c:pt>
                <c:pt idx="76">
                  <c:v>#VALUE!</c:v>
                </c:pt>
                <c:pt idx="77">
                  <c:v>#VALUE!</c:v>
                </c:pt>
                <c:pt idx="78">
                  <c:v>#VALUE!</c:v>
                </c:pt>
                <c:pt idx="79">
                  <c:v>#VALUE!</c:v>
                </c:pt>
                <c:pt idx="80">
                  <c:v>#VALUE!</c:v>
                </c:pt>
                <c:pt idx="81">
                  <c:v>#VALUE!</c:v>
                </c:pt>
                <c:pt idx="82">
                  <c:v>#VALUE!</c:v>
                </c:pt>
                <c:pt idx="83">
                  <c:v>#VALUE!</c:v>
                </c:pt>
                <c:pt idx="84">
                  <c:v>#VALUE!</c:v>
                </c:pt>
                <c:pt idx="85">
                  <c:v>#VALUE!</c:v>
                </c:pt>
                <c:pt idx="86">
                  <c:v>#VALUE!</c:v>
                </c:pt>
                <c:pt idx="87">
                  <c:v>#VALUE!</c:v>
                </c:pt>
                <c:pt idx="88">
                  <c:v>#VALUE!</c:v>
                </c:pt>
                <c:pt idx="89">
                  <c:v>#VALUE!</c:v>
                </c:pt>
                <c:pt idx="90">
                  <c:v>#VALUE!</c:v>
                </c:pt>
                <c:pt idx="91">
                  <c:v>#VALUE!</c:v>
                </c:pt>
                <c:pt idx="92">
                  <c:v>#VALUE!</c:v>
                </c:pt>
                <c:pt idx="93">
                  <c:v>#VALUE!</c:v>
                </c:pt>
                <c:pt idx="94">
                  <c:v>#VALUE!</c:v>
                </c:pt>
                <c:pt idx="95">
                  <c:v>#VALUE!</c:v>
                </c:pt>
                <c:pt idx="96">
                  <c:v>#VALUE!</c:v>
                </c:pt>
                <c:pt idx="97">
                  <c:v>#VALUE!</c:v>
                </c:pt>
                <c:pt idx="98">
                  <c:v>#VALUE!</c:v>
                </c:pt>
                <c:pt idx="99">
                  <c:v>#VALUE!</c:v>
                </c:pt>
                <c:pt idx="100">
                  <c:v>#VALUE!</c:v>
                </c:pt>
                <c:pt idx="101">
                  <c:v>#VALUE!</c:v>
                </c:pt>
                <c:pt idx="102">
                  <c:v>#VALUE!</c:v>
                </c:pt>
                <c:pt idx="103">
                  <c:v>#VALUE!</c:v>
                </c:pt>
                <c:pt idx="104">
                  <c:v>#VALUE!</c:v>
                </c:pt>
                <c:pt idx="105">
                  <c:v>#VALUE!</c:v>
                </c:pt>
                <c:pt idx="106">
                  <c:v>#VALUE!</c:v>
                </c:pt>
                <c:pt idx="107">
                  <c:v>#VALUE!</c:v>
                </c:pt>
                <c:pt idx="108">
                  <c:v>#VALUE!</c:v>
                </c:pt>
                <c:pt idx="109">
                  <c:v>#VALUE!</c:v>
                </c:pt>
                <c:pt idx="110">
                  <c:v>#VALUE!</c:v>
                </c:pt>
                <c:pt idx="111">
                  <c:v>#VALUE!</c:v>
                </c:pt>
                <c:pt idx="112">
                  <c:v>#VALUE!</c:v>
                </c:pt>
                <c:pt idx="113">
                  <c:v>#VALUE!</c:v>
                </c:pt>
                <c:pt idx="114">
                  <c:v>#VALUE!</c:v>
                </c:pt>
                <c:pt idx="115">
                  <c:v>#VALUE!</c:v>
                </c:pt>
                <c:pt idx="116">
                  <c:v>#VALUE!</c:v>
                </c:pt>
                <c:pt idx="117">
                  <c:v>#VALUE!</c:v>
                </c:pt>
                <c:pt idx="118">
                  <c:v>#VALUE!</c:v>
                </c:pt>
                <c:pt idx="119">
                  <c:v>#VALUE!</c:v>
                </c:pt>
                <c:pt idx="120">
                  <c:v>#VALUE!</c:v>
                </c:pt>
                <c:pt idx="121">
                  <c:v>#VALUE!</c:v>
                </c:pt>
                <c:pt idx="122">
                  <c:v>#VALUE!</c:v>
                </c:pt>
                <c:pt idx="123">
                  <c:v>#VALUE!</c:v>
                </c:pt>
                <c:pt idx="124">
                  <c:v>#VALUE!</c:v>
                </c:pt>
                <c:pt idx="125">
                  <c:v>#VALUE!</c:v>
                </c:pt>
                <c:pt idx="126">
                  <c:v>#VALUE!</c:v>
                </c:pt>
                <c:pt idx="127">
                  <c:v>#VALUE!</c:v>
                </c:pt>
                <c:pt idx="128">
                  <c:v>#VALUE!</c:v>
                </c:pt>
                <c:pt idx="129">
                  <c:v>#VALUE!</c:v>
                </c:pt>
                <c:pt idx="130">
                  <c:v>#VALUE!</c:v>
                </c:pt>
                <c:pt idx="131">
                  <c:v>#VALUE!</c:v>
                </c:pt>
                <c:pt idx="132">
                  <c:v>#VALUE!</c:v>
                </c:pt>
                <c:pt idx="133">
                  <c:v>#VALUE!</c:v>
                </c:pt>
                <c:pt idx="134">
                  <c:v>#VALUE!</c:v>
                </c:pt>
                <c:pt idx="135">
                  <c:v>#VALUE!</c:v>
                </c:pt>
                <c:pt idx="136">
                  <c:v>#VALUE!</c:v>
                </c:pt>
                <c:pt idx="137">
                  <c:v>#VALUE!</c:v>
                </c:pt>
                <c:pt idx="138">
                  <c:v>#VALUE!</c:v>
                </c:pt>
                <c:pt idx="139">
                  <c:v>#VALUE!</c:v>
                </c:pt>
                <c:pt idx="140">
                  <c:v>#VALUE!</c:v>
                </c:pt>
                <c:pt idx="141">
                  <c:v>#VALUE!</c:v>
                </c:pt>
                <c:pt idx="142">
                  <c:v>#VALUE!</c:v>
                </c:pt>
                <c:pt idx="143">
                  <c:v>#VALUE!</c:v>
                </c:pt>
                <c:pt idx="144">
                  <c:v>#VALUE!</c:v>
                </c:pt>
                <c:pt idx="145">
                  <c:v>#VALUE!</c:v>
                </c:pt>
                <c:pt idx="146">
                  <c:v>#VALUE!</c:v>
                </c:pt>
                <c:pt idx="147">
                  <c:v>#VALUE!</c:v>
                </c:pt>
                <c:pt idx="148">
                  <c:v>#VALUE!</c:v>
                </c:pt>
                <c:pt idx="149">
                  <c:v>#VALUE!</c:v>
                </c:pt>
                <c:pt idx="150">
                  <c:v>#VALUE!</c:v>
                </c:pt>
                <c:pt idx="151">
                  <c:v>#VALUE!</c:v>
                </c:pt>
                <c:pt idx="152">
                  <c:v>#VALUE!</c:v>
                </c:pt>
                <c:pt idx="153">
                  <c:v>#VALUE!</c:v>
                </c:pt>
                <c:pt idx="154">
                  <c:v>#VALUE!</c:v>
                </c:pt>
                <c:pt idx="155">
                  <c:v>#VALUE!</c:v>
                </c:pt>
                <c:pt idx="156">
                  <c:v>#VALUE!</c:v>
                </c:pt>
                <c:pt idx="157">
                  <c:v>#VALUE!</c:v>
                </c:pt>
                <c:pt idx="158">
                  <c:v>#VALUE!</c:v>
                </c:pt>
                <c:pt idx="159">
                  <c:v>#VALUE!</c:v>
                </c:pt>
                <c:pt idx="160">
                  <c:v>#VALUE!</c:v>
                </c:pt>
                <c:pt idx="161">
                  <c:v>#VALUE!</c:v>
                </c:pt>
                <c:pt idx="162">
                  <c:v>#VALUE!</c:v>
                </c:pt>
                <c:pt idx="163">
                  <c:v>#VALUE!</c:v>
                </c:pt>
                <c:pt idx="164">
                  <c:v>#VALUE!</c:v>
                </c:pt>
                <c:pt idx="165">
                  <c:v>#VALUE!</c:v>
                </c:pt>
                <c:pt idx="166">
                  <c:v>#VALUE!</c:v>
                </c:pt>
                <c:pt idx="167">
                  <c:v>#VALUE!</c:v>
                </c:pt>
                <c:pt idx="168">
                  <c:v>#VALUE!</c:v>
                </c:pt>
                <c:pt idx="169">
                  <c:v>#VALUE!</c:v>
                </c:pt>
                <c:pt idx="170">
                  <c:v>#VALUE!</c:v>
                </c:pt>
                <c:pt idx="171">
                  <c:v>#VALUE!</c:v>
                </c:pt>
                <c:pt idx="172">
                  <c:v>#VALUE!</c:v>
                </c:pt>
                <c:pt idx="173">
                  <c:v>#VALUE!</c:v>
                </c:pt>
                <c:pt idx="174">
                  <c:v>#VALUE!</c:v>
                </c:pt>
                <c:pt idx="175">
                  <c:v>#VALUE!</c:v>
                </c:pt>
                <c:pt idx="176">
                  <c:v>#VALUE!</c:v>
                </c:pt>
                <c:pt idx="177">
                  <c:v>#VALUE!</c:v>
                </c:pt>
                <c:pt idx="178">
                  <c:v>#VALUE!</c:v>
                </c:pt>
                <c:pt idx="179">
                  <c:v>#VALUE!</c:v>
                </c:pt>
                <c:pt idx="180">
                  <c:v>#VALUE!</c:v>
                </c:pt>
                <c:pt idx="181">
                  <c:v>#VALUE!</c:v>
                </c:pt>
                <c:pt idx="182">
                  <c:v>#VALUE!</c:v>
                </c:pt>
                <c:pt idx="183">
                  <c:v>#VALUE!</c:v>
                </c:pt>
                <c:pt idx="184">
                  <c:v>#VALUE!</c:v>
                </c:pt>
                <c:pt idx="185">
                  <c:v>#VALUE!</c:v>
                </c:pt>
                <c:pt idx="186">
                  <c:v>#VALUE!</c:v>
                </c:pt>
                <c:pt idx="187">
                  <c:v>#VALUE!</c:v>
                </c:pt>
                <c:pt idx="188">
                  <c:v>#VALUE!</c:v>
                </c:pt>
                <c:pt idx="189">
                  <c:v>#VALUE!</c:v>
                </c:pt>
                <c:pt idx="190">
                  <c:v>#VALUE!</c:v>
                </c:pt>
                <c:pt idx="191">
                  <c:v>#VALUE!</c:v>
                </c:pt>
                <c:pt idx="192">
                  <c:v>#VALUE!</c:v>
                </c:pt>
                <c:pt idx="193">
                  <c:v>#VALUE!</c:v>
                </c:pt>
                <c:pt idx="194">
                  <c:v>#VALUE!</c:v>
                </c:pt>
                <c:pt idx="195">
                  <c:v>#VALUE!</c:v>
                </c:pt>
                <c:pt idx="196">
                  <c:v>#VALUE!</c:v>
                </c:pt>
                <c:pt idx="197">
                  <c:v>#VALUE!</c:v>
                </c:pt>
                <c:pt idx="198">
                  <c:v>#VALUE!</c:v>
                </c:pt>
                <c:pt idx="199">
                  <c:v>#VALUE!</c:v>
                </c:pt>
                <c:pt idx="200">
                  <c:v>#VALUE!</c:v>
                </c:pt>
                <c:pt idx="201">
                  <c:v>#VALUE!</c:v>
                </c:pt>
                <c:pt idx="202">
                  <c:v>#VALUE!</c:v>
                </c:pt>
                <c:pt idx="203">
                  <c:v>#VALUE!</c:v>
                </c:pt>
                <c:pt idx="204">
                  <c:v>#VALUE!</c:v>
                </c:pt>
                <c:pt idx="205">
                  <c:v>#VALUE!</c:v>
                </c:pt>
                <c:pt idx="206">
                  <c:v>#VALUE!</c:v>
                </c:pt>
                <c:pt idx="207">
                  <c:v>#VALUE!</c:v>
                </c:pt>
                <c:pt idx="208">
                  <c:v>#VALUE!</c:v>
                </c:pt>
                <c:pt idx="209">
                  <c:v>#VALUE!</c:v>
                </c:pt>
                <c:pt idx="210">
                  <c:v>#VALUE!</c:v>
                </c:pt>
                <c:pt idx="211">
                  <c:v>#VALUE!</c:v>
                </c:pt>
                <c:pt idx="212">
                  <c:v>#VALUE!</c:v>
                </c:pt>
                <c:pt idx="213">
                  <c:v>#VALUE!</c:v>
                </c:pt>
                <c:pt idx="214">
                  <c:v>#VALUE!</c:v>
                </c:pt>
                <c:pt idx="215">
                  <c:v>#VALUE!</c:v>
                </c:pt>
                <c:pt idx="216">
                  <c:v>#VALUE!</c:v>
                </c:pt>
                <c:pt idx="217">
                  <c:v>#VALUE!</c:v>
                </c:pt>
                <c:pt idx="218">
                  <c:v>#VALUE!</c:v>
                </c:pt>
                <c:pt idx="219">
                  <c:v>#VALUE!</c:v>
                </c:pt>
                <c:pt idx="220">
                  <c:v>#VALUE!</c:v>
                </c:pt>
                <c:pt idx="221">
                  <c:v>#VALUE!</c:v>
                </c:pt>
                <c:pt idx="222">
                  <c:v>#VALUE!</c:v>
                </c:pt>
                <c:pt idx="223">
                  <c:v>#VALUE!</c:v>
                </c:pt>
                <c:pt idx="224">
                  <c:v>#VALUE!</c:v>
                </c:pt>
                <c:pt idx="225">
                  <c:v>#VALUE!</c:v>
                </c:pt>
                <c:pt idx="226">
                  <c:v>#VALUE!</c:v>
                </c:pt>
                <c:pt idx="227">
                  <c:v>#VALUE!</c:v>
                </c:pt>
                <c:pt idx="228">
                  <c:v>#VALUE!</c:v>
                </c:pt>
                <c:pt idx="229">
                  <c:v>#VALUE!</c:v>
                </c:pt>
                <c:pt idx="230">
                  <c:v>#VALUE!</c:v>
                </c:pt>
                <c:pt idx="231">
                  <c:v>#VALUE!</c:v>
                </c:pt>
                <c:pt idx="232">
                  <c:v>#VALUE!</c:v>
                </c:pt>
                <c:pt idx="233">
                  <c:v>#VALUE!</c:v>
                </c:pt>
                <c:pt idx="234">
                  <c:v>#VALUE!</c:v>
                </c:pt>
                <c:pt idx="235">
                  <c:v>#VALUE!</c:v>
                </c:pt>
                <c:pt idx="236">
                  <c:v>#VALUE!</c:v>
                </c:pt>
                <c:pt idx="237">
                  <c:v>#VALUE!</c:v>
                </c:pt>
                <c:pt idx="238">
                  <c:v>#VALUE!</c:v>
                </c:pt>
                <c:pt idx="239">
                  <c:v>#VALUE!</c:v>
                </c:pt>
                <c:pt idx="240">
                  <c:v>#VALUE!</c:v>
                </c:pt>
                <c:pt idx="241">
                  <c:v>#VALUE!</c:v>
                </c:pt>
                <c:pt idx="242">
                  <c:v>#VALUE!</c:v>
                </c:pt>
                <c:pt idx="243">
                  <c:v>#VALUE!</c:v>
                </c:pt>
                <c:pt idx="244">
                  <c:v>#VALUE!</c:v>
                </c:pt>
                <c:pt idx="245">
                  <c:v>#VALUE!</c:v>
                </c:pt>
                <c:pt idx="246">
                  <c:v>#VALUE!</c:v>
                </c:pt>
                <c:pt idx="247">
                  <c:v>#VALUE!</c:v>
                </c:pt>
                <c:pt idx="248">
                  <c:v>#VALUE!</c:v>
                </c:pt>
                <c:pt idx="249">
                  <c:v>#VALUE!</c:v>
                </c:pt>
                <c:pt idx="250">
                  <c:v>#VALUE!</c:v>
                </c:pt>
              </c:strCache>
            </c:strRef>
          </c:cat>
          <c:val>
            <c:numRef>
              <c:f>EXP!$T$10:$JJ$10</c:f>
              <c:numCache>
                <c:formatCode>0%</c:formatCode>
                <c:ptCount val="2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numCache>
            </c:numRef>
          </c:val>
          <c:extLst>
            <c:ext xmlns:c16="http://schemas.microsoft.com/office/drawing/2014/chart" uri="{C3380CC4-5D6E-409C-BE32-E72D297353CC}">
              <c16:uniqueId val="{00000001-7642-4CF9-9137-A7C777D0CFF9}"/>
            </c:ext>
          </c:extLst>
        </c:ser>
        <c:ser>
          <c:idx val="2"/>
          <c:order val="2"/>
          <c:tx>
            <c:strRef>
              <c:f>EXP!$S$11</c:f>
              <c:strCache>
                <c:ptCount val="1"/>
              </c:strCache>
            </c:strRef>
          </c:tx>
          <c:spPr>
            <a:solidFill>
              <a:schemeClr val="accent3"/>
            </a:solidFill>
            <a:ln w="6350">
              <a:noFill/>
            </a:ln>
            <a:effectLst/>
          </c:spPr>
          <c:cat>
            <c:strRef>
              <c:f>EXP!$T$7:$JJ$7</c:f>
              <c:strCache>
                <c:ptCount val="251"/>
                <c:pt idx="1">
                  <c:v>#VALUE!</c:v>
                </c:pt>
                <c:pt idx="2">
                  <c:v>#VALUE!</c:v>
                </c:pt>
                <c:pt idx="3">
                  <c:v>#VALUE!</c:v>
                </c:pt>
                <c:pt idx="4">
                  <c:v>#VALUE!</c:v>
                </c:pt>
                <c:pt idx="5">
                  <c:v>#VALUE!</c:v>
                </c:pt>
                <c:pt idx="6">
                  <c:v>#VALUE!</c:v>
                </c:pt>
                <c:pt idx="7">
                  <c:v>#VALUE!</c:v>
                </c:pt>
                <c:pt idx="8">
                  <c:v>#VALUE!</c:v>
                </c:pt>
                <c:pt idx="9">
                  <c:v>#VALUE!</c:v>
                </c:pt>
                <c:pt idx="10">
                  <c:v>#VALUE!</c:v>
                </c:pt>
                <c:pt idx="11">
                  <c:v>#VALUE!</c:v>
                </c:pt>
                <c:pt idx="12">
                  <c:v>#VALUE!</c:v>
                </c:pt>
                <c:pt idx="13">
                  <c:v>#VALUE!</c:v>
                </c:pt>
                <c:pt idx="14">
                  <c:v>#VALUE!</c:v>
                </c:pt>
                <c:pt idx="15">
                  <c:v>#VALUE!</c:v>
                </c:pt>
                <c:pt idx="16">
                  <c:v>#VALUE!</c:v>
                </c:pt>
                <c:pt idx="17">
                  <c:v>#VALUE!</c:v>
                </c:pt>
                <c:pt idx="18">
                  <c:v>#VALUE!</c:v>
                </c:pt>
                <c:pt idx="19">
                  <c:v>#VALUE!</c:v>
                </c:pt>
                <c:pt idx="20">
                  <c:v>#VALUE!</c:v>
                </c:pt>
                <c:pt idx="21">
                  <c:v>#VALUE!</c:v>
                </c:pt>
                <c:pt idx="22">
                  <c:v>#VALUE!</c:v>
                </c:pt>
                <c:pt idx="23">
                  <c:v>#VALUE!</c:v>
                </c:pt>
                <c:pt idx="24">
                  <c:v>#VALUE!</c:v>
                </c:pt>
                <c:pt idx="25">
                  <c:v>#VALUE!</c:v>
                </c:pt>
                <c:pt idx="26">
                  <c:v>#VALUE!</c:v>
                </c:pt>
                <c:pt idx="27">
                  <c:v>#VALUE!</c:v>
                </c:pt>
                <c:pt idx="28">
                  <c:v>#VALUE!</c:v>
                </c:pt>
                <c:pt idx="29">
                  <c:v>#VALUE!</c:v>
                </c:pt>
                <c:pt idx="30">
                  <c:v>#VALUE!</c:v>
                </c:pt>
                <c:pt idx="31">
                  <c:v>#VALUE!</c:v>
                </c:pt>
                <c:pt idx="32">
                  <c:v>#VALUE!</c:v>
                </c:pt>
                <c:pt idx="33">
                  <c:v>#VALUE!</c:v>
                </c:pt>
                <c:pt idx="34">
                  <c:v>#VALUE!</c:v>
                </c:pt>
                <c:pt idx="35">
                  <c:v>#VALUE!</c:v>
                </c:pt>
                <c:pt idx="36">
                  <c:v>#VALUE!</c:v>
                </c:pt>
                <c:pt idx="37">
                  <c:v>#VALUE!</c:v>
                </c:pt>
                <c:pt idx="38">
                  <c:v>#VALUE!</c:v>
                </c:pt>
                <c:pt idx="39">
                  <c:v>#VALUE!</c:v>
                </c:pt>
                <c:pt idx="40">
                  <c:v>#VALUE!</c:v>
                </c:pt>
                <c:pt idx="41">
                  <c:v>#VALUE!</c:v>
                </c:pt>
                <c:pt idx="42">
                  <c:v>#VALUE!</c:v>
                </c:pt>
                <c:pt idx="43">
                  <c:v>#VALUE!</c:v>
                </c:pt>
                <c:pt idx="44">
                  <c:v>#VALUE!</c:v>
                </c:pt>
                <c:pt idx="45">
                  <c:v>#VALUE!</c:v>
                </c:pt>
                <c:pt idx="46">
                  <c:v>#VALUE!</c:v>
                </c:pt>
                <c:pt idx="47">
                  <c:v>#VALUE!</c:v>
                </c:pt>
                <c:pt idx="48">
                  <c:v>#VALUE!</c:v>
                </c:pt>
                <c:pt idx="49">
                  <c:v>#VALUE!</c:v>
                </c:pt>
                <c:pt idx="50">
                  <c:v>#VALUE!</c:v>
                </c:pt>
                <c:pt idx="51">
                  <c:v>#VALUE!</c:v>
                </c:pt>
                <c:pt idx="52">
                  <c:v>#VALUE!</c:v>
                </c:pt>
                <c:pt idx="53">
                  <c:v>#VALUE!</c:v>
                </c:pt>
                <c:pt idx="54">
                  <c:v>#VALUE!</c:v>
                </c:pt>
                <c:pt idx="55">
                  <c:v>#VALUE!</c:v>
                </c:pt>
                <c:pt idx="56">
                  <c:v>#VALUE!</c:v>
                </c:pt>
                <c:pt idx="57">
                  <c:v>#VALUE!</c:v>
                </c:pt>
                <c:pt idx="58">
                  <c:v>#VALUE!</c:v>
                </c:pt>
                <c:pt idx="59">
                  <c:v>#VALUE!</c:v>
                </c:pt>
                <c:pt idx="60">
                  <c:v>#VALUE!</c:v>
                </c:pt>
                <c:pt idx="61">
                  <c:v>#VALUE!</c:v>
                </c:pt>
                <c:pt idx="62">
                  <c:v>#VALUE!</c:v>
                </c:pt>
                <c:pt idx="63">
                  <c:v>#VALUE!</c:v>
                </c:pt>
                <c:pt idx="64">
                  <c:v>#VALUE!</c:v>
                </c:pt>
                <c:pt idx="65">
                  <c:v>#VALUE!</c:v>
                </c:pt>
                <c:pt idx="66">
                  <c:v>#VALUE!</c:v>
                </c:pt>
                <c:pt idx="67">
                  <c:v>#VALUE!</c:v>
                </c:pt>
                <c:pt idx="68">
                  <c:v>#VALUE!</c:v>
                </c:pt>
                <c:pt idx="69">
                  <c:v>#VALUE!</c:v>
                </c:pt>
                <c:pt idx="70">
                  <c:v>#VALUE!</c:v>
                </c:pt>
                <c:pt idx="71">
                  <c:v>#VALUE!</c:v>
                </c:pt>
                <c:pt idx="72">
                  <c:v>#VALUE!</c:v>
                </c:pt>
                <c:pt idx="73">
                  <c:v>#VALUE!</c:v>
                </c:pt>
                <c:pt idx="74">
                  <c:v>#VALUE!</c:v>
                </c:pt>
                <c:pt idx="75">
                  <c:v>#VALUE!</c:v>
                </c:pt>
                <c:pt idx="76">
                  <c:v>#VALUE!</c:v>
                </c:pt>
                <c:pt idx="77">
                  <c:v>#VALUE!</c:v>
                </c:pt>
                <c:pt idx="78">
                  <c:v>#VALUE!</c:v>
                </c:pt>
                <c:pt idx="79">
                  <c:v>#VALUE!</c:v>
                </c:pt>
                <c:pt idx="80">
                  <c:v>#VALUE!</c:v>
                </c:pt>
                <c:pt idx="81">
                  <c:v>#VALUE!</c:v>
                </c:pt>
                <c:pt idx="82">
                  <c:v>#VALUE!</c:v>
                </c:pt>
                <c:pt idx="83">
                  <c:v>#VALUE!</c:v>
                </c:pt>
                <c:pt idx="84">
                  <c:v>#VALUE!</c:v>
                </c:pt>
                <c:pt idx="85">
                  <c:v>#VALUE!</c:v>
                </c:pt>
                <c:pt idx="86">
                  <c:v>#VALUE!</c:v>
                </c:pt>
                <c:pt idx="87">
                  <c:v>#VALUE!</c:v>
                </c:pt>
                <c:pt idx="88">
                  <c:v>#VALUE!</c:v>
                </c:pt>
                <c:pt idx="89">
                  <c:v>#VALUE!</c:v>
                </c:pt>
                <c:pt idx="90">
                  <c:v>#VALUE!</c:v>
                </c:pt>
                <c:pt idx="91">
                  <c:v>#VALUE!</c:v>
                </c:pt>
                <c:pt idx="92">
                  <c:v>#VALUE!</c:v>
                </c:pt>
                <c:pt idx="93">
                  <c:v>#VALUE!</c:v>
                </c:pt>
                <c:pt idx="94">
                  <c:v>#VALUE!</c:v>
                </c:pt>
                <c:pt idx="95">
                  <c:v>#VALUE!</c:v>
                </c:pt>
                <c:pt idx="96">
                  <c:v>#VALUE!</c:v>
                </c:pt>
                <c:pt idx="97">
                  <c:v>#VALUE!</c:v>
                </c:pt>
                <c:pt idx="98">
                  <c:v>#VALUE!</c:v>
                </c:pt>
                <c:pt idx="99">
                  <c:v>#VALUE!</c:v>
                </c:pt>
                <c:pt idx="100">
                  <c:v>#VALUE!</c:v>
                </c:pt>
                <c:pt idx="101">
                  <c:v>#VALUE!</c:v>
                </c:pt>
                <c:pt idx="102">
                  <c:v>#VALUE!</c:v>
                </c:pt>
                <c:pt idx="103">
                  <c:v>#VALUE!</c:v>
                </c:pt>
                <c:pt idx="104">
                  <c:v>#VALUE!</c:v>
                </c:pt>
                <c:pt idx="105">
                  <c:v>#VALUE!</c:v>
                </c:pt>
                <c:pt idx="106">
                  <c:v>#VALUE!</c:v>
                </c:pt>
                <c:pt idx="107">
                  <c:v>#VALUE!</c:v>
                </c:pt>
                <c:pt idx="108">
                  <c:v>#VALUE!</c:v>
                </c:pt>
                <c:pt idx="109">
                  <c:v>#VALUE!</c:v>
                </c:pt>
                <c:pt idx="110">
                  <c:v>#VALUE!</c:v>
                </c:pt>
                <c:pt idx="111">
                  <c:v>#VALUE!</c:v>
                </c:pt>
                <c:pt idx="112">
                  <c:v>#VALUE!</c:v>
                </c:pt>
                <c:pt idx="113">
                  <c:v>#VALUE!</c:v>
                </c:pt>
                <c:pt idx="114">
                  <c:v>#VALUE!</c:v>
                </c:pt>
                <c:pt idx="115">
                  <c:v>#VALUE!</c:v>
                </c:pt>
                <c:pt idx="116">
                  <c:v>#VALUE!</c:v>
                </c:pt>
                <c:pt idx="117">
                  <c:v>#VALUE!</c:v>
                </c:pt>
                <c:pt idx="118">
                  <c:v>#VALUE!</c:v>
                </c:pt>
                <c:pt idx="119">
                  <c:v>#VALUE!</c:v>
                </c:pt>
                <c:pt idx="120">
                  <c:v>#VALUE!</c:v>
                </c:pt>
                <c:pt idx="121">
                  <c:v>#VALUE!</c:v>
                </c:pt>
                <c:pt idx="122">
                  <c:v>#VALUE!</c:v>
                </c:pt>
                <c:pt idx="123">
                  <c:v>#VALUE!</c:v>
                </c:pt>
                <c:pt idx="124">
                  <c:v>#VALUE!</c:v>
                </c:pt>
                <c:pt idx="125">
                  <c:v>#VALUE!</c:v>
                </c:pt>
                <c:pt idx="126">
                  <c:v>#VALUE!</c:v>
                </c:pt>
                <c:pt idx="127">
                  <c:v>#VALUE!</c:v>
                </c:pt>
                <c:pt idx="128">
                  <c:v>#VALUE!</c:v>
                </c:pt>
                <c:pt idx="129">
                  <c:v>#VALUE!</c:v>
                </c:pt>
                <c:pt idx="130">
                  <c:v>#VALUE!</c:v>
                </c:pt>
                <c:pt idx="131">
                  <c:v>#VALUE!</c:v>
                </c:pt>
                <c:pt idx="132">
                  <c:v>#VALUE!</c:v>
                </c:pt>
                <c:pt idx="133">
                  <c:v>#VALUE!</c:v>
                </c:pt>
                <c:pt idx="134">
                  <c:v>#VALUE!</c:v>
                </c:pt>
                <c:pt idx="135">
                  <c:v>#VALUE!</c:v>
                </c:pt>
                <c:pt idx="136">
                  <c:v>#VALUE!</c:v>
                </c:pt>
                <c:pt idx="137">
                  <c:v>#VALUE!</c:v>
                </c:pt>
                <c:pt idx="138">
                  <c:v>#VALUE!</c:v>
                </c:pt>
                <c:pt idx="139">
                  <c:v>#VALUE!</c:v>
                </c:pt>
                <c:pt idx="140">
                  <c:v>#VALUE!</c:v>
                </c:pt>
                <c:pt idx="141">
                  <c:v>#VALUE!</c:v>
                </c:pt>
                <c:pt idx="142">
                  <c:v>#VALUE!</c:v>
                </c:pt>
                <c:pt idx="143">
                  <c:v>#VALUE!</c:v>
                </c:pt>
                <c:pt idx="144">
                  <c:v>#VALUE!</c:v>
                </c:pt>
                <c:pt idx="145">
                  <c:v>#VALUE!</c:v>
                </c:pt>
                <c:pt idx="146">
                  <c:v>#VALUE!</c:v>
                </c:pt>
                <c:pt idx="147">
                  <c:v>#VALUE!</c:v>
                </c:pt>
                <c:pt idx="148">
                  <c:v>#VALUE!</c:v>
                </c:pt>
                <c:pt idx="149">
                  <c:v>#VALUE!</c:v>
                </c:pt>
                <c:pt idx="150">
                  <c:v>#VALUE!</c:v>
                </c:pt>
                <c:pt idx="151">
                  <c:v>#VALUE!</c:v>
                </c:pt>
                <c:pt idx="152">
                  <c:v>#VALUE!</c:v>
                </c:pt>
                <c:pt idx="153">
                  <c:v>#VALUE!</c:v>
                </c:pt>
                <c:pt idx="154">
                  <c:v>#VALUE!</c:v>
                </c:pt>
                <c:pt idx="155">
                  <c:v>#VALUE!</c:v>
                </c:pt>
                <c:pt idx="156">
                  <c:v>#VALUE!</c:v>
                </c:pt>
                <c:pt idx="157">
                  <c:v>#VALUE!</c:v>
                </c:pt>
                <c:pt idx="158">
                  <c:v>#VALUE!</c:v>
                </c:pt>
                <c:pt idx="159">
                  <c:v>#VALUE!</c:v>
                </c:pt>
                <c:pt idx="160">
                  <c:v>#VALUE!</c:v>
                </c:pt>
                <c:pt idx="161">
                  <c:v>#VALUE!</c:v>
                </c:pt>
                <c:pt idx="162">
                  <c:v>#VALUE!</c:v>
                </c:pt>
                <c:pt idx="163">
                  <c:v>#VALUE!</c:v>
                </c:pt>
                <c:pt idx="164">
                  <c:v>#VALUE!</c:v>
                </c:pt>
                <c:pt idx="165">
                  <c:v>#VALUE!</c:v>
                </c:pt>
                <c:pt idx="166">
                  <c:v>#VALUE!</c:v>
                </c:pt>
                <c:pt idx="167">
                  <c:v>#VALUE!</c:v>
                </c:pt>
                <c:pt idx="168">
                  <c:v>#VALUE!</c:v>
                </c:pt>
                <c:pt idx="169">
                  <c:v>#VALUE!</c:v>
                </c:pt>
                <c:pt idx="170">
                  <c:v>#VALUE!</c:v>
                </c:pt>
                <c:pt idx="171">
                  <c:v>#VALUE!</c:v>
                </c:pt>
                <c:pt idx="172">
                  <c:v>#VALUE!</c:v>
                </c:pt>
                <c:pt idx="173">
                  <c:v>#VALUE!</c:v>
                </c:pt>
                <c:pt idx="174">
                  <c:v>#VALUE!</c:v>
                </c:pt>
                <c:pt idx="175">
                  <c:v>#VALUE!</c:v>
                </c:pt>
                <c:pt idx="176">
                  <c:v>#VALUE!</c:v>
                </c:pt>
                <c:pt idx="177">
                  <c:v>#VALUE!</c:v>
                </c:pt>
                <c:pt idx="178">
                  <c:v>#VALUE!</c:v>
                </c:pt>
                <c:pt idx="179">
                  <c:v>#VALUE!</c:v>
                </c:pt>
                <c:pt idx="180">
                  <c:v>#VALUE!</c:v>
                </c:pt>
                <c:pt idx="181">
                  <c:v>#VALUE!</c:v>
                </c:pt>
                <c:pt idx="182">
                  <c:v>#VALUE!</c:v>
                </c:pt>
                <c:pt idx="183">
                  <c:v>#VALUE!</c:v>
                </c:pt>
                <c:pt idx="184">
                  <c:v>#VALUE!</c:v>
                </c:pt>
                <c:pt idx="185">
                  <c:v>#VALUE!</c:v>
                </c:pt>
                <c:pt idx="186">
                  <c:v>#VALUE!</c:v>
                </c:pt>
                <c:pt idx="187">
                  <c:v>#VALUE!</c:v>
                </c:pt>
                <c:pt idx="188">
                  <c:v>#VALUE!</c:v>
                </c:pt>
                <c:pt idx="189">
                  <c:v>#VALUE!</c:v>
                </c:pt>
                <c:pt idx="190">
                  <c:v>#VALUE!</c:v>
                </c:pt>
                <c:pt idx="191">
                  <c:v>#VALUE!</c:v>
                </c:pt>
                <c:pt idx="192">
                  <c:v>#VALUE!</c:v>
                </c:pt>
                <c:pt idx="193">
                  <c:v>#VALUE!</c:v>
                </c:pt>
                <c:pt idx="194">
                  <c:v>#VALUE!</c:v>
                </c:pt>
                <c:pt idx="195">
                  <c:v>#VALUE!</c:v>
                </c:pt>
                <c:pt idx="196">
                  <c:v>#VALUE!</c:v>
                </c:pt>
                <c:pt idx="197">
                  <c:v>#VALUE!</c:v>
                </c:pt>
                <c:pt idx="198">
                  <c:v>#VALUE!</c:v>
                </c:pt>
                <c:pt idx="199">
                  <c:v>#VALUE!</c:v>
                </c:pt>
                <c:pt idx="200">
                  <c:v>#VALUE!</c:v>
                </c:pt>
                <c:pt idx="201">
                  <c:v>#VALUE!</c:v>
                </c:pt>
                <c:pt idx="202">
                  <c:v>#VALUE!</c:v>
                </c:pt>
                <c:pt idx="203">
                  <c:v>#VALUE!</c:v>
                </c:pt>
                <c:pt idx="204">
                  <c:v>#VALUE!</c:v>
                </c:pt>
                <c:pt idx="205">
                  <c:v>#VALUE!</c:v>
                </c:pt>
                <c:pt idx="206">
                  <c:v>#VALUE!</c:v>
                </c:pt>
                <c:pt idx="207">
                  <c:v>#VALUE!</c:v>
                </c:pt>
                <c:pt idx="208">
                  <c:v>#VALUE!</c:v>
                </c:pt>
                <c:pt idx="209">
                  <c:v>#VALUE!</c:v>
                </c:pt>
                <c:pt idx="210">
                  <c:v>#VALUE!</c:v>
                </c:pt>
                <c:pt idx="211">
                  <c:v>#VALUE!</c:v>
                </c:pt>
                <c:pt idx="212">
                  <c:v>#VALUE!</c:v>
                </c:pt>
                <c:pt idx="213">
                  <c:v>#VALUE!</c:v>
                </c:pt>
                <c:pt idx="214">
                  <c:v>#VALUE!</c:v>
                </c:pt>
                <c:pt idx="215">
                  <c:v>#VALUE!</c:v>
                </c:pt>
                <c:pt idx="216">
                  <c:v>#VALUE!</c:v>
                </c:pt>
                <c:pt idx="217">
                  <c:v>#VALUE!</c:v>
                </c:pt>
                <c:pt idx="218">
                  <c:v>#VALUE!</c:v>
                </c:pt>
                <c:pt idx="219">
                  <c:v>#VALUE!</c:v>
                </c:pt>
                <c:pt idx="220">
                  <c:v>#VALUE!</c:v>
                </c:pt>
                <c:pt idx="221">
                  <c:v>#VALUE!</c:v>
                </c:pt>
                <c:pt idx="222">
                  <c:v>#VALUE!</c:v>
                </c:pt>
                <c:pt idx="223">
                  <c:v>#VALUE!</c:v>
                </c:pt>
                <c:pt idx="224">
                  <c:v>#VALUE!</c:v>
                </c:pt>
                <c:pt idx="225">
                  <c:v>#VALUE!</c:v>
                </c:pt>
                <c:pt idx="226">
                  <c:v>#VALUE!</c:v>
                </c:pt>
                <c:pt idx="227">
                  <c:v>#VALUE!</c:v>
                </c:pt>
                <c:pt idx="228">
                  <c:v>#VALUE!</c:v>
                </c:pt>
                <c:pt idx="229">
                  <c:v>#VALUE!</c:v>
                </c:pt>
                <c:pt idx="230">
                  <c:v>#VALUE!</c:v>
                </c:pt>
                <c:pt idx="231">
                  <c:v>#VALUE!</c:v>
                </c:pt>
                <c:pt idx="232">
                  <c:v>#VALUE!</c:v>
                </c:pt>
                <c:pt idx="233">
                  <c:v>#VALUE!</c:v>
                </c:pt>
                <c:pt idx="234">
                  <c:v>#VALUE!</c:v>
                </c:pt>
                <c:pt idx="235">
                  <c:v>#VALUE!</c:v>
                </c:pt>
                <c:pt idx="236">
                  <c:v>#VALUE!</c:v>
                </c:pt>
                <c:pt idx="237">
                  <c:v>#VALUE!</c:v>
                </c:pt>
                <c:pt idx="238">
                  <c:v>#VALUE!</c:v>
                </c:pt>
                <c:pt idx="239">
                  <c:v>#VALUE!</c:v>
                </c:pt>
                <c:pt idx="240">
                  <c:v>#VALUE!</c:v>
                </c:pt>
                <c:pt idx="241">
                  <c:v>#VALUE!</c:v>
                </c:pt>
                <c:pt idx="242">
                  <c:v>#VALUE!</c:v>
                </c:pt>
                <c:pt idx="243">
                  <c:v>#VALUE!</c:v>
                </c:pt>
                <c:pt idx="244">
                  <c:v>#VALUE!</c:v>
                </c:pt>
                <c:pt idx="245">
                  <c:v>#VALUE!</c:v>
                </c:pt>
                <c:pt idx="246">
                  <c:v>#VALUE!</c:v>
                </c:pt>
                <c:pt idx="247">
                  <c:v>#VALUE!</c:v>
                </c:pt>
                <c:pt idx="248">
                  <c:v>#VALUE!</c:v>
                </c:pt>
                <c:pt idx="249">
                  <c:v>#VALUE!</c:v>
                </c:pt>
                <c:pt idx="250">
                  <c:v>#VALUE!</c:v>
                </c:pt>
              </c:strCache>
            </c:strRef>
          </c:cat>
          <c:val>
            <c:numRef>
              <c:f>EXP!$T$11:$JJ$11</c:f>
              <c:numCache>
                <c:formatCode>0%</c:formatCode>
                <c:ptCount val="2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numCache>
            </c:numRef>
          </c:val>
          <c:extLst>
            <c:ext xmlns:c16="http://schemas.microsoft.com/office/drawing/2014/chart" uri="{C3380CC4-5D6E-409C-BE32-E72D297353CC}">
              <c16:uniqueId val="{00000002-7642-4CF9-9137-A7C777D0CFF9}"/>
            </c:ext>
          </c:extLst>
        </c:ser>
        <c:ser>
          <c:idx val="3"/>
          <c:order val="3"/>
          <c:tx>
            <c:strRef>
              <c:f>EXP!$S$12</c:f>
              <c:strCache>
                <c:ptCount val="1"/>
              </c:strCache>
            </c:strRef>
          </c:tx>
          <c:spPr>
            <a:solidFill>
              <a:schemeClr val="accent4"/>
            </a:solidFill>
            <a:ln w="6350">
              <a:noFill/>
            </a:ln>
            <a:effectLst/>
          </c:spPr>
          <c:cat>
            <c:strRef>
              <c:f>EXP!$T$7:$JJ$7</c:f>
              <c:strCache>
                <c:ptCount val="251"/>
                <c:pt idx="1">
                  <c:v>#VALUE!</c:v>
                </c:pt>
                <c:pt idx="2">
                  <c:v>#VALUE!</c:v>
                </c:pt>
                <c:pt idx="3">
                  <c:v>#VALUE!</c:v>
                </c:pt>
                <c:pt idx="4">
                  <c:v>#VALUE!</c:v>
                </c:pt>
                <c:pt idx="5">
                  <c:v>#VALUE!</c:v>
                </c:pt>
                <c:pt idx="6">
                  <c:v>#VALUE!</c:v>
                </c:pt>
                <c:pt idx="7">
                  <c:v>#VALUE!</c:v>
                </c:pt>
                <c:pt idx="8">
                  <c:v>#VALUE!</c:v>
                </c:pt>
                <c:pt idx="9">
                  <c:v>#VALUE!</c:v>
                </c:pt>
                <c:pt idx="10">
                  <c:v>#VALUE!</c:v>
                </c:pt>
                <c:pt idx="11">
                  <c:v>#VALUE!</c:v>
                </c:pt>
                <c:pt idx="12">
                  <c:v>#VALUE!</c:v>
                </c:pt>
                <c:pt idx="13">
                  <c:v>#VALUE!</c:v>
                </c:pt>
                <c:pt idx="14">
                  <c:v>#VALUE!</c:v>
                </c:pt>
                <c:pt idx="15">
                  <c:v>#VALUE!</c:v>
                </c:pt>
                <c:pt idx="16">
                  <c:v>#VALUE!</c:v>
                </c:pt>
                <c:pt idx="17">
                  <c:v>#VALUE!</c:v>
                </c:pt>
                <c:pt idx="18">
                  <c:v>#VALUE!</c:v>
                </c:pt>
                <c:pt idx="19">
                  <c:v>#VALUE!</c:v>
                </c:pt>
                <c:pt idx="20">
                  <c:v>#VALUE!</c:v>
                </c:pt>
                <c:pt idx="21">
                  <c:v>#VALUE!</c:v>
                </c:pt>
                <c:pt idx="22">
                  <c:v>#VALUE!</c:v>
                </c:pt>
                <c:pt idx="23">
                  <c:v>#VALUE!</c:v>
                </c:pt>
                <c:pt idx="24">
                  <c:v>#VALUE!</c:v>
                </c:pt>
                <c:pt idx="25">
                  <c:v>#VALUE!</c:v>
                </c:pt>
                <c:pt idx="26">
                  <c:v>#VALUE!</c:v>
                </c:pt>
                <c:pt idx="27">
                  <c:v>#VALUE!</c:v>
                </c:pt>
                <c:pt idx="28">
                  <c:v>#VALUE!</c:v>
                </c:pt>
                <c:pt idx="29">
                  <c:v>#VALUE!</c:v>
                </c:pt>
                <c:pt idx="30">
                  <c:v>#VALUE!</c:v>
                </c:pt>
                <c:pt idx="31">
                  <c:v>#VALUE!</c:v>
                </c:pt>
                <c:pt idx="32">
                  <c:v>#VALUE!</c:v>
                </c:pt>
                <c:pt idx="33">
                  <c:v>#VALUE!</c:v>
                </c:pt>
                <c:pt idx="34">
                  <c:v>#VALUE!</c:v>
                </c:pt>
                <c:pt idx="35">
                  <c:v>#VALUE!</c:v>
                </c:pt>
                <c:pt idx="36">
                  <c:v>#VALUE!</c:v>
                </c:pt>
                <c:pt idx="37">
                  <c:v>#VALUE!</c:v>
                </c:pt>
                <c:pt idx="38">
                  <c:v>#VALUE!</c:v>
                </c:pt>
                <c:pt idx="39">
                  <c:v>#VALUE!</c:v>
                </c:pt>
                <c:pt idx="40">
                  <c:v>#VALUE!</c:v>
                </c:pt>
                <c:pt idx="41">
                  <c:v>#VALUE!</c:v>
                </c:pt>
                <c:pt idx="42">
                  <c:v>#VALUE!</c:v>
                </c:pt>
                <c:pt idx="43">
                  <c:v>#VALUE!</c:v>
                </c:pt>
                <c:pt idx="44">
                  <c:v>#VALUE!</c:v>
                </c:pt>
                <c:pt idx="45">
                  <c:v>#VALUE!</c:v>
                </c:pt>
                <c:pt idx="46">
                  <c:v>#VALUE!</c:v>
                </c:pt>
                <c:pt idx="47">
                  <c:v>#VALUE!</c:v>
                </c:pt>
                <c:pt idx="48">
                  <c:v>#VALUE!</c:v>
                </c:pt>
                <c:pt idx="49">
                  <c:v>#VALUE!</c:v>
                </c:pt>
                <c:pt idx="50">
                  <c:v>#VALUE!</c:v>
                </c:pt>
                <c:pt idx="51">
                  <c:v>#VALUE!</c:v>
                </c:pt>
                <c:pt idx="52">
                  <c:v>#VALUE!</c:v>
                </c:pt>
                <c:pt idx="53">
                  <c:v>#VALUE!</c:v>
                </c:pt>
                <c:pt idx="54">
                  <c:v>#VALUE!</c:v>
                </c:pt>
                <c:pt idx="55">
                  <c:v>#VALUE!</c:v>
                </c:pt>
                <c:pt idx="56">
                  <c:v>#VALUE!</c:v>
                </c:pt>
                <c:pt idx="57">
                  <c:v>#VALUE!</c:v>
                </c:pt>
                <c:pt idx="58">
                  <c:v>#VALUE!</c:v>
                </c:pt>
                <c:pt idx="59">
                  <c:v>#VALUE!</c:v>
                </c:pt>
                <c:pt idx="60">
                  <c:v>#VALUE!</c:v>
                </c:pt>
                <c:pt idx="61">
                  <c:v>#VALUE!</c:v>
                </c:pt>
                <c:pt idx="62">
                  <c:v>#VALUE!</c:v>
                </c:pt>
                <c:pt idx="63">
                  <c:v>#VALUE!</c:v>
                </c:pt>
                <c:pt idx="64">
                  <c:v>#VALUE!</c:v>
                </c:pt>
                <c:pt idx="65">
                  <c:v>#VALUE!</c:v>
                </c:pt>
                <c:pt idx="66">
                  <c:v>#VALUE!</c:v>
                </c:pt>
                <c:pt idx="67">
                  <c:v>#VALUE!</c:v>
                </c:pt>
                <c:pt idx="68">
                  <c:v>#VALUE!</c:v>
                </c:pt>
                <c:pt idx="69">
                  <c:v>#VALUE!</c:v>
                </c:pt>
                <c:pt idx="70">
                  <c:v>#VALUE!</c:v>
                </c:pt>
                <c:pt idx="71">
                  <c:v>#VALUE!</c:v>
                </c:pt>
                <c:pt idx="72">
                  <c:v>#VALUE!</c:v>
                </c:pt>
                <c:pt idx="73">
                  <c:v>#VALUE!</c:v>
                </c:pt>
                <c:pt idx="74">
                  <c:v>#VALUE!</c:v>
                </c:pt>
                <c:pt idx="75">
                  <c:v>#VALUE!</c:v>
                </c:pt>
                <c:pt idx="76">
                  <c:v>#VALUE!</c:v>
                </c:pt>
                <c:pt idx="77">
                  <c:v>#VALUE!</c:v>
                </c:pt>
                <c:pt idx="78">
                  <c:v>#VALUE!</c:v>
                </c:pt>
                <c:pt idx="79">
                  <c:v>#VALUE!</c:v>
                </c:pt>
                <c:pt idx="80">
                  <c:v>#VALUE!</c:v>
                </c:pt>
                <c:pt idx="81">
                  <c:v>#VALUE!</c:v>
                </c:pt>
                <c:pt idx="82">
                  <c:v>#VALUE!</c:v>
                </c:pt>
                <c:pt idx="83">
                  <c:v>#VALUE!</c:v>
                </c:pt>
                <c:pt idx="84">
                  <c:v>#VALUE!</c:v>
                </c:pt>
                <c:pt idx="85">
                  <c:v>#VALUE!</c:v>
                </c:pt>
                <c:pt idx="86">
                  <c:v>#VALUE!</c:v>
                </c:pt>
                <c:pt idx="87">
                  <c:v>#VALUE!</c:v>
                </c:pt>
                <c:pt idx="88">
                  <c:v>#VALUE!</c:v>
                </c:pt>
                <c:pt idx="89">
                  <c:v>#VALUE!</c:v>
                </c:pt>
                <c:pt idx="90">
                  <c:v>#VALUE!</c:v>
                </c:pt>
                <c:pt idx="91">
                  <c:v>#VALUE!</c:v>
                </c:pt>
                <c:pt idx="92">
                  <c:v>#VALUE!</c:v>
                </c:pt>
                <c:pt idx="93">
                  <c:v>#VALUE!</c:v>
                </c:pt>
                <c:pt idx="94">
                  <c:v>#VALUE!</c:v>
                </c:pt>
                <c:pt idx="95">
                  <c:v>#VALUE!</c:v>
                </c:pt>
                <c:pt idx="96">
                  <c:v>#VALUE!</c:v>
                </c:pt>
                <c:pt idx="97">
                  <c:v>#VALUE!</c:v>
                </c:pt>
                <c:pt idx="98">
                  <c:v>#VALUE!</c:v>
                </c:pt>
                <c:pt idx="99">
                  <c:v>#VALUE!</c:v>
                </c:pt>
                <c:pt idx="100">
                  <c:v>#VALUE!</c:v>
                </c:pt>
                <c:pt idx="101">
                  <c:v>#VALUE!</c:v>
                </c:pt>
                <c:pt idx="102">
                  <c:v>#VALUE!</c:v>
                </c:pt>
                <c:pt idx="103">
                  <c:v>#VALUE!</c:v>
                </c:pt>
                <c:pt idx="104">
                  <c:v>#VALUE!</c:v>
                </c:pt>
                <c:pt idx="105">
                  <c:v>#VALUE!</c:v>
                </c:pt>
                <c:pt idx="106">
                  <c:v>#VALUE!</c:v>
                </c:pt>
                <c:pt idx="107">
                  <c:v>#VALUE!</c:v>
                </c:pt>
                <c:pt idx="108">
                  <c:v>#VALUE!</c:v>
                </c:pt>
                <c:pt idx="109">
                  <c:v>#VALUE!</c:v>
                </c:pt>
                <c:pt idx="110">
                  <c:v>#VALUE!</c:v>
                </c:pt>
                <c:pt idx="111">
                  <c:v>#VALUE!</c:v>
                </c:pt>
                <c:pt idx="112">
                  <c:v>#VALUE!</c:v>
                </c:pt>
                <c:pt idx="113">
                  <c:v>#VALUE!</c:v>
                </c:pt>
                <c:pt idx="114">
                  <c:v>#VALUE!</c:v>
                </c:pt>
                <c:pt idx="115">
                  <c:v>#VALUE!</c:v>
                </c:pt>
                <c:pt idx="116">
                  <c:v>#VALUE!</c:v>
                </c:pt>
                <c:pt idx="117">
                  <c:v>#VALUE!</c:v>
                </c:pt>
                <c:pt idx="118">
                  <c:v>#VALUE!</c:v>
                </c:pt>
                <c:pt idx="119">
                  <c:v>#VALUE!</c:v>
                </c:pt>
                <c:pt idx="120">
                  <c:v>#VALUE!</c:v>
                </c:pt>
                <c:pt idx="121">
                  <c:v>#VALUE!</c:v>
                </c:pt>
                <c:pt idx="122">
                  <c:v>#VALUE!</c:v>
                </c:pt>
                <c:pt idx="123">
                  <c:v>#VALUE!</c:v>
                </c:pt>
                <c:pt idx="124">
                  <c:v>#VALUE!</c:v>
                </c:pt>
                <c:pt idx="125">
                  <c:v>#VALUE!</c:v>
                </c:pt>
                <c:pt idx="126">
                  <c:v>#VALUE!</c:v>
                </c:pt>
                <c:pt idx="127">
                  <c:v>#VALUE!</c:v>
                </c:pt>
                <c:pt idx="128">
                  <c:v>#VALUE!</c:v>
                </c:pt>
                <c:pt idx="129">
                  <c:v>#VALUE!</c:v>
                </c:pt>
                <c:pt idx="130">
                  <c:v>#VALUE!</c:v>
                </c:pt>
                <c:pt idx="131">
                  <c:v>#VALUE!</c:v>
                </c:pt>
                <c:pt idx="132">
                  <c:v>#VALUE!</c:v>
                </c:pt>
                <c:pt idx="133">
                  <c:v>#VALUE!</c:v>
                </c:pt>
                <c:pt idx="134">
                  <c:v>#VALUE!</c:v>
                </c:pt>
                <c:pt idx="135">
                  <c:v>#VALUE!</c:v>
                </c:pt>
                <c:pt idx="136">
                  <c:v>#VALUE!</c:v>
                </c:pt>
                <c:pt idx="137">
                  <c:v>#VALUE!</c:v>
                </c:pt>
                <c:pt idx="138">
                  <c:v>#VALUE!</c:v>
                </c:pt>
                <c:pt idx="139">
                  <c:v>#VALUE!</c:v>
                </c:pt>
                <c:pt idx="140">
                  <c:v>#VALUE!</c:v>
                </c:pt>
                <c:pt idx="141">
                  <c:v>#VALUE!</c:v>
                </c:pt>
                <c:pt idx="142">
                  <c:v>#VALUE!</c:v>
                </c:pt>
                <c:pt idx="143">
                  <c:v>#VALUE!</c:v>
                </c:pt>
                <c:pt idx="144">
                  <c:v>#VALUE!</c:v>
                </c:pt>
                <c:pt idx="145">
                  <c:v>#VALUE!</c:v>
                </c:pt>
                <c:pt idx="146">
                  <c:v>#VALUE!</c:v>
                </c:pt>
                <c:pt idx="147">
                  <c:v>#VALUE!</c:v>
                </c:pt>
                <c:pt idx="148">
                  <c:v>#VALUE!</c:v>
                </c:pt>
                <c:pt idx="149">
                  <c:v>#VALUE!</c:v>
                </c:pt>
                <c:pt idx="150">
                  <c:v>#VALUE!</c:v>
                </c:pt>
                <c:pt idx="151">
                  <c:v>#VALUE!</c:v>
                </c:pt>
                <c:pt idx="152">
                  <c:v>#VALUE!</c:v>
                </c:pt>
                <c:pt idx="153">
                  <c:v>#VALUE!</c:v>
                </c:pt>
                <c:pt idx="154">
                  <c:v>#VALUE!</c:v>
                </c:pt>
                <c:pt idx="155">
                  <c:v>#VALUE!</c:v>
                </c:pt>
                <c:pt idx="156">
                  <c:v>#VALUE!</c:v>
                </c:pt>
                <c:pt idx="157">
                  <c:v>#VALUE!</c:v>
                </c:pt>
                <c:pt idx="158">
                  <c:v>#VALUE!</c:v>
                </c:pt>
                <c:pt idx="159">
                  <c:v>#VALUE!</c:v>
                </c:pt>
                <c:pt idx="160">
                  <c:v>#VALUE!</c:v>
                </c:pt>
                <c:pt idx="161">
                  <c:v>#VALUE!</c:v>
                </c:pt>
                <c:pt idx="162">
                  <c:v>#VALUE!</c:v>
                </c:pt>
                <c:pt idx="163">
                  <c:v>#VALUE!</c:v>
                </c:pt>
                <c:pt idx="164">
                  <c:v>#VALUE!</c:v>
                </c:pt>
                <c:pt idx="165">
                  <c:v>#VALUE!</c:v>
                </c:pt>
                <c:pt idx="166">
                  <c:v>#VALUE!</c:v>
                </c:pt>
                <c:pt idx="167">
                  <c:v>#VALUE!</c:v>
                </c:pt>
                <c:pt idx="168">
                  <c:v>#VALUE!</c:v>
                </c:pt>
                <c:pt idx="169">
                  <c:v>#VALUE!</c:v>
                </c:pt>
                <c:pt idx="170">
                  <c:v>#VALUE!</c:v>
                </c:pt>
                <c:pt idx="171">
                  <c:v>#VALUE!</c:v>
                </c:pt>
                <c:pt idx="172">
                  <c:v>#VALUE!</c:v>
                </c:pt>
                <c:pt idx="173">
                  <c:v>#VALUE!</c:v>
                </c:pt>
                <c:pt idx="174">
                  <c:v>#VALUE!</c:v>
                </c:pt>
                <c:pt idx="175">
                  <c:v>#VALUE!</c:v>
                </c:pt>
                <c:pt idx="176">
                  <c:v>#VALUE!</c:v>
                </c:pt>
                <c:pt idx="177">
                  <c:v>#VALUE!</c:v>
                </c:pt>
                <c:pt idx="178">
                  <c:v>#VALUE!</c:v>
                </c:pt>
                <c:pt idx="179">
                  <c:v>#VALUE!</c:v>
                </c:pt>
                <c:pt idx="180">
                  <c:v>#VALUE!</c:v>
                </c:pt>
                <c:pt idx="181">
                  <c:v>#VALUE!</c:v>
                </c:pt>
                <c:pt idx="182">
                  <c:v>#VALUE!</c:v>
                </c:pt>
                <c:pt idx="183">
                  <c:v>#VALUE!</c:v>
                </c:pt>
                <c:pt idx="184">
                  <c:v>#VALUE!</c:v>
                </c:pt>
                <c:pt idx="185">
                  <c:v>#VALUE!</c:v>
                </c:pt>
                <c:pt idx="186">
                  <c:v>#VALUE!</c:v>
                </c:pt>
                <c:pt idx="187">
                  <c:v>#VALUE!</c:v>
                </c:pt>
                <c:pt idx="188">
                  <c:v>#VALUE!</c:v>
                </c:pt>
                <c:pt idx="189">
                  <c:v>#VALUE!</c:v>
                </c:pt>
                <c:pt idx="190">
                  <c:v>#VALUE!</c:v>
                </c:pt>
                <c:pt idx="191">
                  <c:v>#VALUE!</c:v>
                </c:pt>
                <c:pt idx="192">
                  <c:v>#VALUE!</c:v>
                </c:pt>
                <c:pt idx="193">
                  <c:v>#VALUE!</c:v>
                </c:pt>
                <c:pt idx="194">
                  <c:v>#VALUE!</c:v>
                </c:pt>
                <c:pt idx="195">
                  <c:v>#VALUE!</c:v>
                </c:pt>
                <c:pt idx="196">
                  <c:v>#VALUE!</c:v>
                </c:pt>
                <c:pt idx="197">
                  <c:v>#VALUE!</c:v>
                </c:pt>
                <c:pt idx="198">
                  <c:v>#VALUE!</c:v>
                </c:pt>
                <c:pt idx="199">
                  <c:v>#VALUE!</c:v>
                </c:pt>
                <c:pt idx="200">
                  <c:v>#VALUE!</c:v>
                </c:pt>
                <c:pt idx="201">
                  <c:v>#VALUE!</c:v>
                </c:pt>
                <c:pt idx="202">
                  <c:v>#VALUE!</c:v>
                </c:pt>
                <c:pt idx="203">
                  <c:v>#VALUE!</c:v>
                </c:pt>
                <c:pt idx="204">
                  <c:v>#VALUE!</c:v>
                </c:pt>
                <c:pt idx="205">
                  <c:v>#VALUE!</c:v>
                </c:pt>
                <c:pt idx="206">
                  <c:v>#VALUE!</c:v>
                </c:pt>
                <c:pt idx="207">
                  <c:v>#VALUE!</c:v>
                </c:pt>
                <c:pt idx="208">
                  <c:v>#VALUE!</c:v>
                </c:pt>
                <c:pt idx="209">
                  <c:v>#VALUE!</c:v>
                </c:pt>
                <c:pt idx="210">
                  <c:v>#VALUE!</c:v>
                </c:pt>
                <c:pt idx="211">
                  <c:v>#VALUE!</c:v>
                </c:pt>
                <c:pt idx="212">
                  <c:v>#VALUE!</c:v>
                </c:pt>
                <c:pt idx="213">
                  <c:v>#VALUE!</c:v>
                </c:pt>
                <c:pt idx="214">
                  <c:v>#VALUE!</c:v>
                </c:pt>
                <c:pt idx="215">
                  <c:v>#VALUE!</c:v>
                </c:pt>
                <c:pt idx="216">
                  <c:v>#VALUE!</c:v>
                </c:pt>
                <c:pt idx="217">
                  <c:v>#VALUE!</c:v>
                </c:pt>
                <c:pt idx="218">
                  <c:v>#VALUE!</c:v>
                </c:pt>
                <c:pt idx="219">
                  <c:v>#VALUE!</c:v>
                </c:pt>
                <c:pt idx="220">
                  <c:v>#VALUE!</c:v>
                </c:pt>
                <c:pt idx="221">
                  <c:v>#VALUE!</c:v>
                </c:pt>
                <c:pt idx="222">
                  <c:v>#VALUE!</c:v>
                </c:pt>
                <c:pt idx="223">
                  <c:v>#VALUE!</c:v>
                </c:pt>
                <c:pt idx="224">
                  <c:v>#VALUE!</c:v>
                </c:pt>
                <c:pt idx="225">
                  <c:v>#VALUE!</c:v>
                </c:pt>
                <c:pt idx="226">
                  <c:v>#VALUE!</c:v>
                </c:pt>
                <c:pt idx="227">
                  <c:v>#VALUE!</c:v>
                </c:pt>
                <c:pt idx="228">
                  <c:v>#VALUE!</c:v>
                </c:pt>
                <c:pt idx="229">
                  <c:v>#VALUE!</c:v>
                </c:pt>
                <c:pt idx="230">
                  <c:v>#VALUE!</c:v>
                </c:pt>
                <c:pt idx="231">
                  <c:v>#VALUE!</c:v>
                </c:pt>
                <c:pt idx="232">
                  <c:v>#VALUE!</c:v>
                </c:pt>
                <c:pt idx="233">
                  <c:v>#VALUE!</c:v>
                </c:pt>
                <c:pt idx="234">
                  <c:v>#VALUE!</c:v>
                </c:pt>
                <c:pt idx="235">
                  <c:v>#VALUE!</c:v>
                </c:pt>
                <c:pt idx="236">
                  <c:v>#VALUE!</c:v>
                </c:pt>
                <c:pt idx="237">
                  <c:v>#VALUE!</c:v>
                </c:pt>
                <c:pt idx="238">
                  <c:v>#VALUE!</c:v>
                </c:pt>
                <c:pt idx="239">
                  <c:v>#VALUE!</c:v>
                </c:pt>
                <c:pt idx="240">
                  <c:v>#VALUE!</c:v>
                </c:pt>
                <c:pt idx="241">
                  <c:v>#VALUE!</c:v>
                </c:pt>
                <c:pt idx="242">
                  <c:v>#VALUE!</c:v>
                </c:pt>
                <c:pt idx="243">
                  <c:v>#VALUE!</c:v>
                </c:pt>
                <c:pt idx="244">
                  <c:v>#VALUE!</c:v>
                </c:pt>
                <c:pt idx="245">
                  <c:v>#VALUE!</c:v>
                </c:pt>
                <c:pt idx="246">
                  <c:v>#VALUE!</c:v>
                </c:pt>
                <c:pt idx="247">
                  <c:v>#VALUE!</c:v>
                </c:pt>
                <c:pt idx="248">
                  <c:v>#VALUE!</c:v>
                </c:pt>
                <c:pt idx="249">
                  <c:v>#VALUE!</c:v>
                </c:pt>
                <c:pt idx="250">
                  <c:v>#VALUE!</c:v>
                </c:pt>
              </c:strCache>
            </c:strRef>
          </c:cat>
          <c:val>
            <c:numRef>
              <c:f>EXP!$T$12:$JJ$12</c:f>
              <c:numCache>
                <c:formatCode>0%</c:formatCode>
                <c:ptCount val="2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numCache>
            </c:numRef>
          </c:val>
          <c:extLst>
            <c:ext xmlns:c16="http://schemas.microsoft.com/office/drawing/2014/chart" uri="{C3380CC4-5D6E-409C-BE32-E72D297353CC}">
              <c16:uniqueId val="{00000003-7642-4CF9-9137-A7C777D0CFF9}"/>
            </c:ext>
          </c:extLst>
        </c:ser>
        <c:ser>
          <c:idx val="4"/>
          <c:order val="4"/>
          <c:tx>
            <c:strRef>
              <c:f>EXP!$S$13</c:f>
              <c:strCache>
                <c:ptCount val="1"/>
              </c:strCache>
            </c:strRef>
          </c:tx>
          <c:spPr>
            <a:solidFill>
              <a:schemeClr val="accent5"/>
            </a:solidFill>
            <a:ln w="6350">
              <a:noFill/>
            </a:ln>
            <a:effectLst/>
          </c:spPr>
          <c:cat>
            <c:strRef>
              <c:f>EXP!$T$7:$JJ$7</c:f>
              <c:strCache>
                <c:ptCount val="251"/>
                <c:pt idx="1">
                  <c:v>#VALUE!</c:v>
                </c:pt>
                <c:pt idx="2">
                  <c:v>#VALUE!</c:v>
                </c:pt>
                <c:pt idx="3">
                  <c:v>#VALUE!</c:v>
                </c:pt>
                <c:pt idx="4">
                  <c:v>#VALUE!</c:v>
                </c:pt>
                <c:pt idx="5">
                  <c:v>#VALUE!</c:v>
                </c:pt>
                <c:pt idx="6">
                  <c:v>#VALUE!</c:v>
                </c:pt>
                <c:pt idx="7">
                  <c:v>#VALUE!</c:v>
                </c:pt>
                <c:pt idx="8">
                  <c:v>#VALUE!</c:v>
                </c:pt>
                <c:pt idx="9">
                  <c:v>#VALUE!</c:v>
                </c:pt>
                <c:pt idx="10">
                  <c:v>#VALUE!</c:v>
                </c:pt>
                <c:pt idx="11">
                  <c:v>#VALUE!</c:v>
                </c:pt>
                <c:pt idx="12">
                  <c:v>#VALUE!</c:v>
                </c:pt>
                <c:pt idx="13">
                  <c:v>#VALUE!</c:v>
                </c:pt>
                <c:pt idx="14">
                  <c:v>#VALUE!</c:v>
                </c:pt>
                <c:pt idx="15">
                  <c:v>#VALUE!</c:v>
                </c:pt>
                <c:pt idx="16">
                  <c:v>#VALUE!</c:v>
                </c:pt>
                <c:pt idx="17">
                  <c:v>#VALUE!</c:v>
                </c:pt>
                <c:pt idx="18">
                  <c:v>#VALUE!</c:v>
                </c:pt>
                <c:pt idx="19">
                  <c:v>#VALUE!</c:v>
                </c:pt>
                <c:pt idx="20">
                  <c:v>#VALUE!</c:v>
                </c:pt>
                <c:pt idx="21">
                  <c:v>#VALUE!</c:v>
                </c:pt>
                <c:pt idx="22">
                  <c:v>#VALUE!</c:v>
                </c:pt>
                <c:pt idx="23">
                  <c:v>#VALUE!</c:v>
                </c:pt>
                <c:pt idx="24">
                  <c:v>#VALUE!</c:v>
                </c:pt>
                <c:pt idx="25">
                  <c:v>#VALUE!</c:v>
                </c:pt>
                <c:pt idx="26">
                  <c:v>#VALUE!</c:v>
                </c:pt>
                <c:pt idx="27">
                  <c:v>#VALUE!</c:v>
                </c:pt>
                <c:pt idx="28">
                  <c:v>#VALUE!</c:v>
                </c:pt>
                <c:pt idx="29">
                  <c:v>#VALUE!</c:v>
                </c:pt>
                <c:pt idx="30">
                  <c:v>#VALUE!</c:v>
                </c:pt>
                <c:pt idx="31">
                  <c:v>#VALUE!</c:v>
                </c:pt>
                <c:pt idx="32">
                  <c:v>#VALUE!</c:v>
                </c:pt>
                <c:pt idx="33">
                  <c:v>#VALUE!</c:v>
                </c:pt>
                <c:pt idx="34">
                  <c:v>#VALUE!</c:v>
                </c:pt>
                <c:pt idx="35">
                  <c:v>#VALUE!</c:v>
                </c:pt>
                <c:pt idx="36">
                  <c:v>#VALUE!</c:v>
                </c:pt>
                <c:pt idx="37">
                  <c:v>#VALUE!</c:v>
                </c:pt>
                <c:pt idx="38">
                  <c:v>#VALUE!</c:v>
                </c:pt>
                <c:pt idx="39">
                  <c:v>#VALUE!</c:v>
                </c:pt>
                <c:pt idx="40">
                  <c:v>#VALUE!</c:v>
                </c:pt>
                <c:pt idx="41">
                  <c:v>#VALUE!</c:v>
                </c:pt>
                <c:pt idx="42">
                  <c:v>#VALUE!</c:v>
                </c:pt>
                <c:pt idx="43">
                  <c:v>#VALUE!</c:v>
                </c:pt>
                <c:pt idx="44">
                  <c:v>#VALUE!</c:v>
                </c:pt>
                <c:pt idx="45">
                  <c:v>#VALUE!</c:v>
                </c:pt>
                <c:pt idx="46">
                  <c:v>#VALUE!</c:v>
                </c:pt>
                <c:pt idx="47">
                  <c:v>#VALUE!</c:v>
                </c:pt>
                <c:pt idx="48">
                  <c:v>#VALUE!</c:v>
                </c:pt>
                <c:pt idx="49">
                  <c:v>#VALUE!</c:v>
                </c:pt>
                <c:pt idx="50">
                  <c:v>#VALUE!</c:v>
                </c:pt>
                <c:pt idx="51">
                  <c:v>#VALUE!</c:v>
                </c:pt>
                <c:pt idx="52">
                  <c:v>#VALUE!</c:v>
                </c:pt>
                <c:pt idx="53">
                  <c:v>#VALUE!</c:v>
                </c:pt>
                <c:pt idx="54">
                  <c:v>#VALUE!</c:v>
                </c:pt>
                <c:pt idx="55">
                  <c:v>#VALUE!</c:v>
                </c:pt>
                <c:pt idx="56">
                  <c:v>#VALUE!</c:v>
                </c:pt>
                <c:pt idx="57">
                  <c:v>#VALUE!</c:v>
                </c:pt>
                <c:pt idx="58">
                  <c:v>#VALUE!</c:v>
                </c:pt>
                <c:pt idx="59">
                  <c:v>#VALUE!</c:v>
                </c:pt>
                <c:pt idx="60">
                  <c:v>#VALUE!</c:v>
                </c:pt>
                <c:pt idx="61">
                  <c:v>#VALUE!</c:v>
                </c:pt>
                <c:pt idx="62">
                  <c:v>#VALUE!</c:v>
                </c:pt>
                <c:pt idx="63">
                  <c:v>#VALUE!</c:v>
                </c:pt>
                <c:pt idx="64">
                  <c:v>#VALUE!</c:v>
                </c:pt>
                <c:pt idx="65">
                  <c:v>#VALUE!</c:v>
                </c:pt>
                <c:pt idx="66">
                  <c:v>#VALUE!</c:v>
                </c:pt>
                <c:pt idx="67">
                  <c:v>#VALUE!</c:v>
                </c:pt>
                <c:pt idx="68">
                  <c:v>#VALUE!</c:v>
                </c:pt>
                <c:pt idx="69">
                  <c:v>#VALUE!</c:v>
                </c:pt>
                <c:pt idx="70">
                  <c:v>#VALUE!</c:v>
                </c:pt>
                <c:pt idx="71">
                  <c:v>#VALUE!</c:v>
                </c:pt>
                <c:pt idx="72">
                  <c:v>#VALUE!</c:v>
                </c:pt>
                <c:pt idx="73">
                  <c:v>#VALUE!</c:v>
                </c:pt>
                <c:pt idx="74">
                  <c:v>#VALUE!</c:v>
                </c:pt>
                <c:pt idx="75">
                  <c:v>#VALUE!</c:v>
                </c:pt>
                <c:pt idx="76">
                  <c:v>#VALUE!</c:v>
                </c:pt>
                <c:pt idx="77">
                  <c:v>#VALUE!</c:v>
                </c:pt>
                <c:pt idx="78">
                  <c:v>#VALUE!</c:v>
                </c:pt>
                <c:pt idx="79">
                  <c:v>#VALUE!</c:v>
                </c:pt>
                <c:pt idx="80">
                  <c:v>#VALUE!</c:v>
                </c:pt>
                <c:pt idx="81">
                  <c:v>#VALUE!</c:v>
                </c:pt>
                <c:pt idx="82">
                  <c:v>#VALUE!</c:v>
                </c:pt>
                <c:pt idx="83">
                  <c:v>#VALUE!</c:v>
                </c:pt>
                <c:pt idx="84">
                  <c:v>#VALUE!</c:v>
                </c:pt>
                <c:pt idx="85">
                  <c:v>#VALUE!</c:v>
                </c:pt>
                <c:pt idx="86">
                  <c:v>#VALUE!</c:v>
                </c:pt>
                <c:pt idx="87">
                  <c:v>#VALUE!</c:v>
                </c:pt>
                <c:pt idx="88">
                  <c:v>#VALUE!</c:v>
                </c:pt>
                <c:pt idx="89">
                  <c:v>#VALUE!</c:v>
                </c:pt>
                <c:pt idx="90">
                  <c:v>#VALUE!</c:v>
                </c:pt>
                <c:pt idx="91">
                  <c:v>#VALUE!</c:v>
                </c:pt>
                <c:pt idx="92">
                  <c:v>#VALUE!</c:v>
                </c:pt>
                <c:pt idx="93">
                  <c:v>#VALUE!</c:v>
                </c:pt>
                <c:pt idx="94">
                  <c:v>#VALUE!</c:v>
                </c:pt>
                <c:pt idx="95">
                  <c:v>#VALUE!</c:v>
                </c:pt>
                <c:pt idx="96">
                  <c:v>#VALUE!</c:v>
                </c:pt>
                <c:pt idx="97">
                  <c:v>#VALUE!</c:v>
                </c:pt>
                <c:pt idx="98">
                  <c:v>#VALUE!</c:v>
                </c:pt>
                <c:pt idx="99">
                  <c:v>#VALUE!</c:v>
                </c:pt>
                <c:pt idx="100">
                  <c:v>#VALUE!</c:v>
                </c:pt>
                <c:pt idx="101">
                  <c:v>#VALUE!</c:v>
                </c:pt>
                <c:pt idx="102">
                  <c:v>#VALUE!</c:v>
                </c:pt>
                <c:pt idx="103">
                  <c:v>#VALUE!</c:v>
                </c:pt>
                <c:pt idx="104">
                  <c:v>#VALUE!</c:v>
                </c:pt>
                <c:pt idx="105">
                  <c:v>#VALUE!</c:v>
                </c:pt>
                <c:pt idx="106">
                  <c:v>#VALUE!</c:v>
                </c:pt>
                <c:pt idx="107">
                  <c:v>#VALUE!</c:v>
                </c:pt>
                <c:pt idx="108">
                  <c:v>#VALUE!</c:v>
                </c:pt>
                <c:pt idx="109">
                  <c:v>#VALUE!</c:v>
                </c:pt>
                <c:pt idx="110">
                  <c:v>#VALUE!</c:v>
                </c:pt>
                <c:pt idx="111">
                  <c:v>#VALUE!</c:v>
                </c:pt>
                <c:pt idx="112">
                  <c:v>#VALUE!</c:v>
                </c:pt>
                <c:pt idx="113">
                  <c:v>#VALUE!</c:v>
                </c:pt>
                <c:pt idx="114">
                  <c:v>#VALUE!</c:v>
                </c:pt>
                <c:pt idx="115">
                  <c:v>#VALUE!</c:v>
                </c:pt>
                <c:pt idx="116">
                  <c:v>#VALUE!</c:v>
                </c:pt>
                <c:pt idx="117">
                  <c:v>#VALUE!</c:v>
                </c:pt>
                <c:pt idx="118">
                  <c:v>#VALUE!</c:v>
                </c:pt>
                <c:pt idx="119">
                  <c:v>#VALUE!</c:v>
                </c:pt>
                <c:pt idx="120">
                  <c:v>#VALUE!</c:v>
                </c:pt>
                <c:pt idx="121">
                  <c:v>#VALUE!</c:v>
                </c:pt>
                <c:pt idx="122">
                  <c:v>#VALUE!</c:v>
                </c:pt>
                <c:pt idx="123">
                  <c:v>#VALUE!</c:v>
                </c:pt>
                <c:pt idx="124">
                  <c:v>#VALUE!</c:v>
                </c:pt>
                <c:pt idx="125">
                  <c:v>#VALUE!</c:v>
                </c:pt>
                <c:pt idx="126">
                  <c:v>#VALUE!</c:v>
                </c:pt>
                <c:pt idx="127">
                  <c:v>#VALUE!</c:v>
                </c:pt>
                <c:pt idx="128">
                  <c:v>#VALUE!</c:v>
                </c:pt>
                <c:pt idx="129">
                  <c:v>#VALUE!</c:v>
                </c:pt>
                <c:pt idx="130">
                  <c:v>#VALUE!</c:v>
                </c:pt>
                <c:pt idx="131">
                  <c:v>#VALUE!</c:v>
                </c:pt>
                <c:pt idx="132">
                  <c:v>#VALUE!</c:v>
                </c:pt>
                <c:pt idx="133">
                  <c:v>#VALUE!</c:v>
                </c:pt>
                <c:pt idx="134">
                  <c:v>#VALUE!</c:v>
                </c:pt>
                <c:pt idx="135">
                  <c:v>#VALUE!</c:v>
                </c:pt>
                <c:pt idx="136">
                  <c:v>#VALUE!</c:v>
                </c:pt>
                <c:pt idx="137">
                  <c:v>#VALUE!</c:v>
                </c:pt>
                <c:pt idx="138">
                  <c:v>#VALUE!</c:v>
                </c:pt>
                <c:pt idx="139">
                  <c:v>#VALUE!</c:v>
                </c:pt>
                <c:pt idx="140">
                  <c:v>#VALUE!</c:v>
                </c:pt>
                <c:pt idx="141">
                  <c:v>#VALUE!</c:v>
                </c:pt>
                <c:pt idx="142">
                  <c:v>#VALUE!</c:v>
                </c:pt>
                <c:pt idx="143">
                  <c:v>#VALUE!</c:v>
                </c:pt>
                <c:pt idx="144">
                  <c:v>#VALUE!</c:v>
                </c:pt>
                <c:pt idx="145">
                  <c:v>#VALUE!</c:v>
                </c:pt>
                <c:pt idx="146">
                  <c:v>#VALUE!</c:v>
                </c:pt>
                <c:pt idx="147">
                  <c:v>#VALUE!</c:v>
                </c:pt>
                <c:pt idx="148">
                  <c:v>#VALUE!</c:v>
                </c:pt>
                <c:pt idx="149">
                  <c:v>#VALUE!</c:v>
                </c:pt>
                <c:pt idx="150">
                  <c:v>#VALUE!</c:v>
                </c:pt>
                <c:pt idx="151">
                  <c:v>#VALUE!</c:v>
                </c:pt>
                <c:pt idx="152">
                  <c:v>#VALUE!</c:v>
                </c:pt>
                <c:pt idx="153">
                  <c:v>#VALUE!</c:v>
                </c:pt>
                <c:pt idx="154">
                  <c:v>#VALUE!</c:v>
                </c:pt>
                <c:pt idx="155">
                  <c:v>#VALUE!</c:v>
                </c:pt>
                <c:pt idx="156">
                  <c:v>#VALUE!</c:v>
                </c:pt>
                <c:pt idx="157">
                  <c:v>#VALUE!</c:v>
                </c:pt>
                <c:pt idx="158">
                  <c:v>#VALUE!</c:v>
                </c:pt>
                <c:pt idx="159">
                  <c:v>#VALUE!</c:v>
                </c:pt>
                <c:pt idx="160">
                  <c:v>#VALUE!</c:v>
                </c:pt>
                <c:pt idx="161">
                  <c:v>#VALUE!</c:v>
                </c:pt>
                <c:pt idx="162">
                  <c:v>#VALUE!</c:v>
                </c:pt>
                <c:pt idx="163">
                  <c:v>#VALUE!</c:v>
                </c:pt>
                <c:pt idx="164">
                  <c:v>#VALUE!</c:v>
                </c:pt>
                <c:pt idx="165">
                  <c:v>#VALUE!</c:v>
                </c:pt>
                <c:pt idx="166">
                  <c:v>#VALUE!</c:v>
                </c:pt>
                <c:pt idx="167">
                  <c:v>#VALUE!</c:v>
                </c:pt>
                <c:pt idx="168">
                  <c:v>#VALUE!</c:v>
                </c:pt>
                <c:pt idx="169">
                  <c:v>#VALUE!</c:v>
                </c:pt>
                <c:pt idx="170">
                  <c:v>#VALUE!</c:v>
                </c:pt>
                <c:pt idx="171">
                  <c:v>#VALUE!</c:v>
                </c:pt>
                <c:pt idx="172">
                  <c:v>#VALUE!</c:v>
                </c:pt>
                <c:pt idx="173">
                  <c:v>#VALUE!</c:v>
                </c:pt>
                <c:pt idx="174">
                  <c:v>#VALUE!</c:v>
                </c:pt>
                <c:pt idx="175">
                  <c:v>#VALUE!</c:v>
                </c:pt>
                <c:pt idx="176">
                  <c:v>#VALUE!</c:v>
                </c:pt>
                <c:pt idx="177">
                  <c:v>#VALUE!</c:v>
                </c:pt>
                <c:pt idx="178">
                  <c:v>#VALUE!</c:v>
                </c:pt>
                <c:pt idx="179">
                  <c:v>#VALUE!</c:v>
                </c:pt>
                <c:pt idx="180">
                  <c:v>#VALUE!</c:v>
                </c:pt>
                <c:pt idx="181">
                  <c:v>#VALUE!</c:v>
                </c:pt>
                <c:pt idx="182">
                  <c:v>#VALUE!</c:v>
                </c:pt>
                <c:pt idx="183">
                  <c:v>#VALUE!</c:v>
                </c:pt>
                <c:pt idx="184">
                  <c:v>#VALUE!</c:v>
                </c:pt>
                <c:pt idx="185">
                  <c:v>#VALUE!</c:v>
                </c:pt>
                <c:pt idx="186">
                  <c:v>#VALUE!</c:v>
                </c:pt>
                <c:pt idx="187">
                  <c:v>#VALUE!</c:v>
                </c:pt>
                <c:pt idx="188">
                  <c:v>#VALUE!</c:v>
                </c:pt>
                <c:pt idx="189">
                  <c:v>#VALUE!</c:v>
                </c:pt>
                <c:pt idx="190">
                  <c:v>#VALUE!</c:v>
                </c:pt>
                <c:pt idx="191">
                  <c:v>#VALUE!</c:v>
                </c:pt>
                <c:pt idx="192">
                  <c:v>#VALUE!</c:v>
                </c:pt>
                <c:pt idx="193">
                  <c:v>#VALUE!</c:v>
                </c:pt>
                <c:pt idx="194">
                  <c:v>#VALUE!</c:v>
                </c:pt>
                <c:pt idx="195">
                  <c:v>#VALUE!</c:v>
                </c:pt>
                <c:pt idx="196">
                  <c:v>#VALUE!</c:v>
                </c:pt>
                <c:pt idx="197">
                  <c:v>#VALUE!</c:v>
                </c:pt>
                <c:pt idx="198">
                  <c:v>#VALUE!</c:v>
                </c:pt>
                <c:pt idx="199">
                  <c:v>#VALUE!</c:v>
                </c:pt>
                <c:pt idx="200">
                  <c:v>#VALUE!</c:v>
                </c:pt>
                <c:pt idx="201">
                  <c:v>#VALUE!</c:v>
                </c:pt>
                <c:pt idx="202">
                  <c:v>#VALUE!</c:v>
                </c:pt>
                <c:pt idx="203">
                  <c:v>#VALUE!</c:v>
                </c:pt>
                <c:pt idx="204">
                  <c:v>#VALUE!</c:v>
                </c:pt>
                <c:pt idx="205">
                  <c:v>#VALUE!</c:v>
                </c:pt>
                <c:pt idx="206">
                  <c:v>#VALUE!</c:v>
                </c:pt>
                <c:pt idx="207">
                  <c:v>#VALUE!</c:v>
                </c:pt>
                <c:pt idx="208">
                  <c:v>#VALUE!</c:v>
                </c:pt>
                <c:pt idx="209">
                  <c:v>#VALUE!</c:v>
                </c:pt>
                <c:pt idx="210">
                  <c:v>#VALUE!</c:v>
                </c:pt>
                <c:pt idx="211">
                  <c:v>#VALUE!</c:v>
                </c:pt>
                <c:pt idx="212">
                  <c:v>#VALUE!</c:v>
                </c:pt>
                <c:pt idx="213">
                  <c:v>#VALUE!</c:v>
                </c:pt>
                <c:pt idx="214">
                  <c:v>#VALUE!</c:v>
                </c:pt>
                <c:pt idx="215">
                  <c:v>#VALUE!</c:v>
                </c:pt>
                <c:pt idx="216">
                  <c:v>#VALUE!</c:v>
                </c:pt>
                <c:pt idx="217">
                  <c:v>#VALUE!</c:v>
                </c:pt>
                <c:pt idx="218">
                  <c:v>#VALUE!</c:v>
                </c:pt>
                <c:pt idx="219">
                  <c:v>#VALUE!</c:v>
                </c:pt>
                <c:pt idx="220">
                  <c:v>#VALUE!</c:v>
                </c:pt>
                <c:pt idx="221">
                  <c:v>#VALUE!</c:v>
                </c:pt>
                <c:pt idx="222">
                  <c:v>#VALUE!</c:v>
                </c:pt>
                <c:pt idx="223">
                  <c:v>#VALUE!</c:v>
                </c:pt>
                <c:pt idx="224">
                  <c:v>#VALUE!</c:v>
                </c:pt>
                <c:pt idx="225">
                  <c:v>#VALUE!</c:v>
                </c:pt>
                <c:pt idx="226">
                  <c:v>#VALUE!</c:v>
                </c:pt>
                <c:pt idx="227">
                  <c:v>#VALUE!</c:v>
                </c:pt>
                <c:pt idx="228">
                  <c:v>#VALUE!</c:v>
                </c:pt>
                <c:pt idx="229">
                  <c:v>#VALUE!</c:v>
                </c:pt>
                <c:pt idx="230">
                  <c:v>#VALUE!</c:v>
                </c:pt>
                <c:pt idx="231">
                  <c:v>#VALUE!</c:v>
                </c:pt>
                <c:pt idx="232">
                  <c:v>#VALUE!</c:v>
                </c:pt>
                <c:pt idx="233">
                  <c:v>#VALUE!</c:v>
                </c:pt>
                <c:pt idx="234">
                  <c:v>#VALUE!</c:v>
                </c:pt>
                <c:pt idx="235">
                  <c:v>#VALUE!</c:v>
                </c:pt>
                <c:pt idx="236">
                  <c:v>#VALUE!</c:v>
                </c:pt>
                <c:pt idx="237">
                  <c:v>#VALUE!</c:v>
                </c:pt>
                <c:pt idx="238">
                  <c:v>#VALUE!</c:v>
                </c:pt>
                <c:pt idx="239">
                  <c:v>#VALUE!</c:v>
                </c:pt>
                <c:pt idx="240">
                  <c:v>#VALUE!</c:v>
                </c:pt>
                <c:pt idx="241">
                  <c:v>#VALUE!</c:v>
                </c:pt>
                <c:pt idx="242">
                  <c:v>#VALUE!</c:v>
                </c:pt>
                <c:pt idx="243">
                  <c:v>#VALUE!</c:v>
                </c:pt>
                <c:pt idx="244">
                  <c:v>#VALUE!</c:v>
                </c:pt>
                <c:pt idx="245">
                  <c:v>#VALUE!</c:v>
                </c:pt>
                <c:pt idx="246">
                  <c:v>#VALUE!</c:v>
                </c:pt>
                <c:pt idx="247">
                  <c:v>#VALUE!</c:v>
                </c:pt>
                <c:pt idx="248">
                  <c:v>#VALUE!</c:v>
                </c:pt>
                <c:pt idx="249">
                  <c:v>#VALUE!</c:v>
                </c:pt>
                <c:pt idx="250">
                  <c:v>#VALUE!</c:v>
                </c:pt>
              </c:strCache>
            </c:strRef>
          </c:cat>
          <c:val>
            <c:numRef>
              <c:f>EXP!$T$13:$JJ$13</c:f>
              <c:numCache>
                <c:formatCode>0%</c:formatCode>
                <c:ptCount val="2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numCache>
            </c:numRef>
          </c:val>
          <c:extLst>
            <c:ext xmlns:c16="http://schemas.microsoft.com/office/drawing/2014/chart" uri="{C3380CC4-5D6E-409C-BE32-E72D297353CC}">
              <c16:uniqueId val="{00000004-7642-4CF9-9137-A7C777D0CFF9}"/>
            </c:ext>
          </c:extLst>
        </c:ser>
        <c:ser>
          <c:idx val="5"/>
          <c:order val="5"/>
          <c:tx>
            <c:strRef>
              <c:f>EXP!$S$14</c:f>
              <c:strCache>
                <c:ptCount val="1"/>
              </c:strCache>
            </c:strRef>
          </c:tx>
          <c:spPr>
            <a:solidFill>
              <a:schemeClr val="accent6"/>
            </a:solidFill>
            <a:ln w="6350">
              <a:noFill/>
            </a:ln>
            <a:effectLst/>
          </c:spPr>
          <c:cat>
            <c:strRef>
              <c:f>EXP!$T$7:$JJ$7</c:f>
              <c:strCache>
                <c:ptCount val="251"/>
                <c:pt idx="1">
                  <c:v>#VALUE!</c:v>
                </c:pt>
                <c:pt idx="2">
                  <c:v>#VALUE!</c:v>
                </c:pt>
                <c:pt idx="3">
                  <c:v>#VALUE!</c:v>
                </c:pt>
                <c:pt idx="4">
                  <c:v>#VALUE!</c:v>
                </c:pt>
                <c:pt idx="5">
                  <c:v>#VALUE!</c:v>
                </c:pt>
                <c:pt idx="6">
                  <c:v>#VALUE!</c:v>
                </c:pt>
                <c:pt idx="7">
                  <c:v>#VALUE!</c:v>
                </c:pt>
                <c:pt idx="8">
                  <c:v>#VALUE!</c:v>
                </c:pt>
                <c:pt idx="9">
                  <c:v>#VALUE!</c:v>
                </c:pt>
                <c:pt idx="10">
                  <c:v>#VALUE!</c:v>
                </c:pt>
                <c:pt idx="11">
                  <c:v>#VALUE!</c:v>
                </c:pt>
                <c:pt idx="12">
                  <c:v>#VALUE!</c:v>
                </c:pt>
                <c:pt idx="13">
                  <c:v>#VALUE!</c:v>
                </c:pt>
                <c:pt idx="14">
                  <c:v>#VALUE!</c:v>
                </c:pt>
                <c:pt idx="15">
                  <c:v>#VALUE!</c:v>
                </c:pt>
                <c:pt idx="16">
                  <c:v>#VALUE!</c:v>
                </c:pt>
                <c:pt idx="17">
                  <c:v>#VALUE!</c:v>
                </c:pt>
                <c:pt idx="18">
                  <c:v>#VALUE!</c:v>
                </c:pt>
                <c:pt idx="19">
                  <c:v>#VALUE!</c:v>
                </c:pt>
                <c:pt idx="20">
                  <c:v>#VALUE!</c:v>
                </c:pt>
                <c:pt idx="21">
                  <c:v>#VALUE!</c:v>
                </c:pt>
                <c:pt idx="22">
                  <c:v>#VALUE!</c:v>
                </c:pt>
                <c:pt idx="23">
                  <c:v>#VALUE!</c:v>
                </c:pt>
                <c:pt idx="24">
                  <c:v>#VALUE!</c:v>
                </c:pt>
                <c:pt idx="25">
                  <c:v>#VALUE!</c:v>
                </c:pt>
                <c:pt idx="26">
                  <c:v>#VALUE!</c:v>
                </c:pt>
                <c:pt idx="27">
                  <c:v>#VALUE!</c:v>
                </c:pt>
                <c:pt idx="28">
                  <c:v>#VALUE!</c:v>
                </c:pt>
                <c:pt idx="29">
                  <c:v>#VALUE!</c:v>
                </c:pt>
                <c:pt idx="30">
                  <c:v>#VALUE!</c:v>
                </c:pt>
                <c:pt idx="31">
                  <c:v>#VALUE!</c:v>
                </c:pt>
                <c:pt idx="32">
                  <c:v>#VALUE!</c:v>
                </c:pt>
                <c:pt idx="33">
                  <c:v>#VALUE!</c:v>
                </c:pt>
                <c:pt idx="34">
                  <c:v>#VALUE!</c:v>
                </c:pt>
                <c:pt idx="35">
                  <c:v>#VALUE!</c:v>
                </c:pt>
                <c:pt idx="36">
                  <c:v>#VALUE!</c:v>
                </c:pt>
                <c:pt idx="37">
                  <c:v>#VALUE!</c:v>
                </c:pt>
                <c:pt idx="38">
                  <c:v>#VALUE!</c:v>
                </c:pt>
                <c:pt idx="39">
                  <c:v>#VALUE!</c:v>
                </c:pt>
                <c:pt idx="40">
                  <c:v>#VALUE!</c:v>
                </c:pt>
                <c:pt idx="41">
                  <c:v>#VALUE!</c:v>
                </c:pt>
                <c:pt idx="42">
                  <c:v>#VALUE!</c:v>
                </c:pt>
                <c:pt idx="43">
                  <c:v>#VALUE!</c:v>
                </c:pt>
                <c:pt idx="44">
                  <c:v>#VALUE!</c:v>
                </c:pt>
                <c:pt idx="45">
                  <c:v>#VALUE!</c:v>
                </c:pt>
                <c:pt idx="46">
                  <c:v>#VALUE!</c:v>
                </c:pt>
                <c:pt idx="47">
                  <c:v>#VALUE!</c:v>
                </c:pt>
                <c:pt idx="48">
                  <c:v>#VALUE!</c:v>
                </c:pt>
                <c:pt idx="49">
                  <c:v>#VALUE!</c:v>
                </c:pt>
                <c:pt idx="50">
                  <c:v>#VALUE!</c:v>
                </c:pt>
                <c:pt idx="51">
                  <c:v>#VALUE!</c:v>
                </c:pt>
                <c:pt idx="52">
                  <c:v>#VALUE!</c:v>
                </c:pt>
                <c:pt idx="53">
                  <c:v>#VALUE!</c:v>
                </c:pt>
                <c:pt idx="54">
                  <c:v>#VALUE!</c:v>
                </c:pt>
                <c:pt idx="55">
                  <c:v>#VALUE!</c:v>
                </c:pt>
                <c:pt idx="56">
                  <c:v>#VALUE!</c:v>
                </c:pt>
                <c:pt idx="57">
                  <c:v>#VALUE!</c:v>
                </c:pt>
                <c:pt idx="58">
                  <c:v>#VALUE!</c:v>
                </c:pt>
                <c:pt idx="59">
                  <c:v>#VALUE!</c:v>
                </c:pt>
                <c:pt idx="60">
                  <c:v>#VALUE!</c:v>
                </c:pt>
                <c:pt idx="61">
                  <c:v>#VALUE!</c:v>
                </c:pt>
                <c:pt idx="62">
                  <c:v>#VALUE!</c:v>
                </c:pt>
                <c:pt idx="63">
                  <c:v>#VALUE!</c:v>
                </c:pt>
                <c:pt idx="64">
                  <c:v>#VALUE!</c:v>
                </c:pt>
                <c:pt idx="65">
                  <c:v>#VALUE!</c:v>
                </c:pt>
                <c:pt idx="66">
                  <c:v>#VALUE!</c:v>
                </c:pt>
                <c:pt idx="67">
                  <c:v>#VALUE!</c:v>
                </c:pt>
                <c:pt idx="68">
                  <c:v>#VALUE!</c:v>
                </c:pt>
                <c:pt idx="69">
                  <c:v>#VALUE!</c:v>
                </c:pt>
                <c:pt idx="70">
                  <c:v>#VALUE!</c:v>
                </c:pt>
                <c:pt idx="71">
                  <c:v>#VALUE!</c:v>
                </c:pt>
                <c:pt idx="72">
                  <c:v>#VALUE!</c:v>
                </c:pt>
                <c:pt idx="73">
                  <c:v>#VALUE!</c:v>
                </c:pt>
                <c:pt idx="74">
                  <c:v>#VALUE!</c:v>
                </c:pt>
                <c:pt idx="75">
                  <c:v>#VALUE!</c:v>
                </c:pt>
                <c:pt idx="76">
                  <c:v>#VALUE!</c:v>
                </c:pt>
                <c:pt idx="77">
                  <c:v>#VALUE!</c:v>
                </c:pt>
                <c:pt idx="78">
                  <c:v>#VALUE!</c:v>
                </c:pt>
                <c:pt idx="79">
                  <c:v>#VALUE!</c:v>
                </c:pt>
                <c:pt idx="80">
                  <c:v>#VALUE!</c:v>
                </c:pt>
                <c:pt idx="81">
                  <c:v>#VALUE!</c:v>
                </c:pt>
                <c:pt idx="82">
                  <c:v>#VALUE!</c:v>
                </c:pt>
                <c:pt idx="83">
                  <c:v>#VALUE!</c:v>
                </c:pt>
                <c:pt idx="84">
                  <c:v>#VALUE!</c:v>
                </c:pt>
                <c:pt idx="85">
                  <c:v>#VALUE!</c:v>
                </c:pt>
                <c:pt idx="86">
                  <c:v>#VALUE!</c:v>
                </c:pt>
                <c:pt idx="87">
                  <c:v>#VALUE!</c:v>
                </c:pt>
                <c:pt idx="88">
                  <c:v>#VALUE!</c:v>
                </c:pt>
                <c:pt idx="89">
                  <c:v>#VALUE!</c:v>
                </c:pt>
                <c:pt idx="90">
                  <c:v>#VALUE!</c:v>
                </c:pt>
                <c:pt idx="91">
                  <c:v>#VALUE!</c:v>
                </c:pt>
                <c:pt idx="92">
                  <c:v>#VALUE!</c:v>
                </c:pt>
                <c:pt idx="93">
                  <c:v>#VALUE!</c:v>
                </c:pt>
                <c:pt idx="94">
                  <c:v>#VALUE!</c:v>
                </c:pt>
                <c:pt idx="95">
                  <c:v>#VALUE!</c:v>
                </c:pt>
                <c:pt idx="96">
                  <c:v>#VALUE!</c:v>
                </c:pt>
                <c:pt idx="97">
                  <c:v>#VALUE!</c:v>
                </c:pt>
                <c:pt idx="98">
                  <c:v>#VALUE!</c:v>
                </c:pt>
                <c:pt idx="99">
                  <c:v>#VALUE!</c:v>
                </c:pt>
                <c:pt idx="100">
                  <c:v>#VALUE!</c:v>
                </c:pt>
                <c:pt idx="101">
                  <c:v>#VALUE!</c:v>
                </c:pt>
                <c:pt idx="102">
                  <c:v>#VALUE!</c:v>
                </c:pt>
                <c:pt idx="103">
                  <c:v>#VALUE!</c:v>
                </c:pt>
                <c:pt idx="104">
                  <c:v>#VALUE!</c:v>
                </c:pt>
                <c:pt idx="105">
                  <c:v>#VALUE!</c:v>
                </c:pt>
                <c:pt idx="106">
                  <c:v>#VALUE!</c:v>
                </c:pt>
                <c:pt idx="107">
                  <c:v>#VALUE!</c:v>
                </c:pt>
                <c:pt idx="108">
                  <c:v>#VALUE!</c:v>
                </c:pt>
                <c:pt idx="109">
                  <c:v>#VALUE!</c:v>
                </c:pt>
                <c:pt idx="110">
                  <c:v>#VALUE!</c:v>
                </c:pt>
                <c:pt idx="111">
                  <c:v>#VALUE!</c:v>
                </c:pt>
                <c:pt idx="112">
                  <c:v>#VALUE!</c:v>
                </c:pt>
                <c:pt idx="113">
                  <c:v>#VALUE!</c:v>
                </c:pt>
                <c:pt idx="114">
                  <c:v>#VALUE!</c:v>
                </c:pt>
                <c:pt idx="115">
                  <c:v>#VALUE!</c:v>
                </c:pt>
                <c:pt idx="116">
                  <c:v>#VALUE!</c:v>
                </c:pt>
                <c:pt idx="117">
                  <c:v>#VALUE!</c:v>
                </c:pt>
                <c:pt idx="118">
                  <c:v>#VALUE!</c:v>
                </c:pt>
                <c:pt idx="119">
                  <c:v>#VALUE!</c:v>
                </c:pt>
                <c:pt idx="120">
                  <c:v>#VALUE!</c:v>
                </c:pt>
                <c:pt idx="121">
                  <c:v>#VALUE!</c:v>
                </c:pt>
                <c:pt idx="122">
                  <c:v>#VALUE!</c:v>
                </c:pt>
                <c:pt idx="123">
                  <c:v>#VALUE!</c:v>
                </c:pt>
                <c:pt idx="124">
                  <c:v>#VALUE!</c:v>
                </c:pt>
                <c:pt idx="125">
                  <c:v>#VALUE!</c:v>
                </c:pt>
                <c:pt idx="126">
                  <c:v>#VALUE!</c:v>
                </c:pt>
                <c:pt idx="127">
                  <c:v>#VALUE!</c:v>
                </c:pt>
                <c:pt idx="128">
                  <c:v>#VALUE!</c:v>
                </c:pt>
                <c:pt idx="129">
                  <c:v>#VALUE!</c:v>
                </c:pt>
                <c:pt idx="130">
                  <c:v>#VALUE!</c:v>
                </c:pt>
                <c:pt idx="131">
                  <c:v>#VALUE!</c:v>
                </c:pt>
                <c:pt idx="132">
                  <c:v>#VALUE!</c:v>
                </c:pt>
                <c:pt idx="133">
                  <c:v>#VALUE!</c:v>
                </c:pt>
                <c:pt idx="134">
                  <c:v>#VALUE!</c:v>
                </c:pt>
                <c:pt idx="135">
                  <c:v>#VALUE!</c:v>
                </c:pt>
                <c:pt idx="136">
                  <c:v>#VALUE!</c:v>
                </c:pt>
                <c:pt idx="137">
                  <c:v>#VALUE!</c:v>
                </c:pt>
                <c:pt idx="138">
                  <c:v>#VALUE!</c:v>
                </c:pt>
                <c:pt idx="139">
                  <c:v>#VALUE!</c:v>
                </c:pt>
                <c:pt idx="140">
                  <c:v>#VALUE!</c:v>
                </c:pt>
                <c:pt idx="141">
                  <c:v>#VALUE!</c:v>
                </c:pt>
                <c:pt idx="142">
                  <c:v>#VALUE!</c:v>
                </c:pt>
                <c:pt idx="143">
                  <c:v>#VALUE!</c:v>
                </c:pt>
                <c:pt idx="144">
                  <c:v>#VALUE!</c:v>
                </c:pt>
                <c:pt idx="145">
                  <c:v>#VALUE!</c:v>
                </c:pt>
                <c:pt idx="146">
                  <c:v>#VALUE!</c:v>
                </c:pt>
                <c:pt idx="147">
                  <c:v>#VALUE!</c:v>
                </c:pt>
                <c:pt idx="148">
                  <c:v>#VALUE!</c:v>
                </c:pt>
                <c:pt idx="149">
                  <c:v>#VALUE!</c:v>
                </c:pt>
                <c:pt idx="150">
                  <c:v>#VALUE!</c:v>
                </c:pt>
                <c:pt idx="151">
                  <c:v>#VALUE!</c:v>
                </c:pt>
                <c:pt idx="152">
                  <c:v>#VALUE!</c:v>
                </c:pt>
                <c:pt idx="153">
                  <c:v>#VALUE!</c:v>
                </c:pt>
                <c:pt idx="154">
                  <c:v>#VALUE!</c:v>
                </c:pt>
                <c:pt idx="155">
                  <c:v>#VALUE!</c:v>
                </c:pt>
                <c:pt idx="156">
                  <c:v>#VALUE!</c:v>
                </c:pt>
                <c:pt idx="157">
                  <c:v>#VALUE!</c:v>
                </c:pt>
                <c:pt idx="158">
                  <c:v>#VALUE!</c:v>
                </c:pt>
                <c:pt idx="159">
                  <c:v>#VALUE!</c:v>
                </c:pt>
                <c:pt idx="160">
                  <c:v>#VALUE!</c:v>
                </c:pt>
                <c:pt idx="161">
                  <c:v>#VALUE!</c:v>
                </c:pt>
                <c:pt idx="162">
                  <c:v>#VALUE!</c:v>
                </c:pt>
                <c:pt idx="163">
                  <c:v>#VALUE!</c:v>
                </c:pt>
                <c:pt idx="164">
                  <c:v>#VALUE!</c:v>
                </c:pt>
                <c:pt idx="165">
                  <c:v>#VALUE!</c:v>
                </c:pt>
                <c:pt idx="166">
                  <c:v>#VALUE!</c:v>
                </c:pt>
                <c:pt idx="167">
                  <c:v>#VALUE!</c:v>
                </c:pt>
                <c:pt idx="168">
                  <c:v>#VALUE!</c:v>
                </c:pt>
                <c:pt idx="169">
                  <c:v>#VALUE!</c:v>
                </c:pt>
                <c:pt idx="170">
                  <c:v>#VALUE!</c:v>
                </c:pt>
                <c:pt idx="171">
                  <c:v>#VALUE!</c:v>
                </c:pt>
                <c:pt idx="172">
                  <c:v>#VALUE!</c:v>
                </c:pt>
                <c:pt idx="173">
                  <c:v>#VALUE!</c:v>
                </c:pt>
                <c:pt idx="174">
                  <c:v>#VALUE!</c:v>
                </c:pt>
                <c:pt idx="175">
                  <c:v>#VALUE!</c:v>
                </c:pt>
                <c:pt idx="176">
                  <c:v>#VALUE!</c:v>
                </c:pt>
                <c:pt idx="177">
                  <c:v>#VALUE!</c:v>
                </c:pt>
                <c:pt idx="178">
                  <c:v>#VALUE!</c:v>
                </c:pt>
                <c:pt idx="179">
                  <c:v>#VALUE!</c:v>
                </c:pt>
                <c:pt idx="180">
                  <c:v>#VALUE!</c:v>
                </c:pt>
                <c:pt idx="181">
                  <c:v>#VALUE!</c:v>
                </c:pt>
                <c:pt idx="182">
                  <c:v>#VALUE!</c:v>
                </c:pt>
                <c:pt idx="183">
                  <c:v>#VALUE!</c:v>
                </c:pt>
                <c:pt idx="184">
                  <c:v>#VALUE!</c:v>
                </c:pt>
                <c:pt idx="185">
                  <c:v>#VALUE!</c:v>
                </c:pt>
                <c:pt idx="186">
                  <c:v>#VALUE!</c:v>
                </c:pt>
                <c:pt idx="187">
                  <c:v>#VALUE!</c:v>
                </c:pt>
                <c:pt idx="188">
                  <c:v>#VALUE!</c:v>
                </c:pt>
                <c:pt idx="189">
                  <c:v>#VALUE!</c:v>
                </c:pt>
                <c:pt idx="190">
                  <c:v>#VALUE!</c:v>
                </c:pt>
                <c:pt idx="191">
                  <c:v>#VALUE!</c:v>
                </c:pt>
                <c:pt idx="192">
                  <c:v>#VALUE!</c:v>
                </c:pt>
                <c:pt idx="193">
                  <c:v>#VALUE!</c:v>
                </c:pt>
                <c:pt idx="194">
                  <c:v>#VALUE!</c:v>
                </c:pt>
                <c:pt idx="195">
                  <c:v>#VALUE!</c:v>
                </c:pt>
                <c:pt idx="196">
                  <c:v>#VALUE!</c:v>
                </c:pt>
                <c:pt idx="197">
                  <c:v>#VALUE!</c:v>
                </c:pt>
                <c:pt idx="198">
                  <c:v>#VALUE!</c:v>
                </c:pt>
                <c:pt idx="199">
                  <c:v>#VALUE!</c:v>
                </c:pt>
                <c:pt idx="200">
                  <c:v>#VALUE!</c:v>
                </c:pt>
                <c:pt idx="201">
                  <c:v>#VALUE!</c:v>
                </c:pt>
                <c:pt idx="202">
                  <c:v>#VALUE!</c:v>
                </c:pt>
                <c:pt idx="203">
                  <c:v>#VALUE!</c:v>
                </c:pt>
                <c:pt idx="204">
                  <c:v>#VALUE!</c:v>
                </c:pt>
                <c:pt idx="205">
                  <c:v>#VALUE!</c:v>
                </c:pt>
                <c:pt idx="206">
                  <c:v>#VALUE!</c:v>
                </c:pt>
                <c:pt idx="207">
                  <c:v>#VALUE!</c:v>
                </c:pt>
                <c:pt idx="208">
                  <c:v>#VALUE!</c:v>
                </c:pt>
                <c:pt idx="209">
                  <c:v>#VALUE!</c:v>
                </c:pt>
                <c:pt idx="210">
                  <c:v>#VALUE!</c:v>
                </c:pt>
                <c:pt idx="211">
                  <c:v>#VALUE!</c:v>
                </c:pt>
                <c:pt idx="212">
                  <c:v>#VALUE!</c:v>
                </c:pt>
                <c:pt idx="213">
                  <c:v>#VALUE!</c:v>
                </c:pt>
                <c:pt idx="214">
                  <c:v>#VALUE!</c:v>
                </c:pt>
                <c:pt idx="215">
                  <c:v>#VALUE!</c:v>
                </c:pt>
                <c:pt idx="216">
                  <c:v>#VALUE!</c:v>
                </c:pt>
                <c:pt idx="217">
                  <c:v>#VALUE!</c:v>
                </c:pt>
                <c:pt idx="218">
                  <c:v>#VALUE!</c:v>
                </c:pt>
                <c:pt idx="219">
                  <c:v>#VALUE!</c:v>
                </c:pt>
                <c:pt idx="220">
                  <c:v>#VALUE!</c:v>
                </c:pt>
                <c:pt idx="221">
                  <c:v>#VALUE!</c:v>
                </c:pt>
                <c:pt idx="222">
                  <c:v>#VALUE!</c:v>
                </c:pt>
                <c:pt idx="223">
                  <c:v>#VALUE!</c:v>
                </c:pt>
                <c:pt idx="224">
                  <c:v>#VALUE!</c:v>
                </c:pt>
                <c:pt idx="225">
                  <c:v>#VALUE!</c:v>
                </c:pt>
                <c:pt idx="226">
                  <c:v>#VALUE!</c:v>
                </c:pt>
                <c:pt idx="227">
                  <c:v>#VALUE!</c:v>
                </c:pt>
                <c:pt idx="228">
                  <c:v>#VALUE!</c:v>
                </c:pt>
                <c:pt idx="229">
                  <c:v>#VALUE!</c:v>
                </c:pt>
                <c:pt idx="230">
                  <c:v>#VALUE!</c:v>
                </c:pt>
                <c:pt idx="231">
                  <c:v>#VALUE!</c:v>
                </c:pt>
                <c:pt idx="232">
                  <c:v>#VALUE!</c:v>
                </c:pt>
                <c:pt idx="233">
                  <c:v>#VALUE!</c:v>
                </c:pt>
                <c:pt idx="234">
                  <c:v>#VALUE!</c:v>
                </c:pt>
                <c:pt idx="235">
                  <c:v>#VALUE!</c:v>
                </c:pt>
                <c:pt idx="236">
                  <c:v>#VALUE!</c:v>
                </c:pt>
                <c:pt idx="237">
                  <c:v>#VALUE!</c:v>
                </c:pt>
                <c:pt idx="238">
                  <c:v>#VALUE!</c:v>
                </c:pt>
                <c:pt idx="239">
                  <c:v>#VALUE!</c:v>
                </c:pt>
                <c:pt idx="240">
                  <c:v>#VALUE!</c:v>
                </c:pt>
                <c:pt idx="241">
                  <c:v>#VALUE!</c:v>
                </c:pt>
                <c:pt idx="242">
                  <c:v>#VALUE!</c:v>
                </c:pt>
                <c:pt idx="243">
                  <c:v>#VALUE!</c:v>
                </c:pt>
                <c:pt idx="244">
                  <c:v>#VALUE!</c:v>
                </c:pt>
                <c:pt idx="245">
                  <c:v>#VALUE!</c:v>
                </c:pt>
                <c:pt idx="246">
                  <c:v>#VALUE!</c:v>
                </c:pt>
                <c:pt idx="247">
                  <c:v>#VALUE!</c:v>
                </c:pt>
                <c:pt idx="248">
                  <c:v>#VALUE!</c:v>
                </c:pt>
                <c:pt idx="249">
                  <c:v>#VALUE!</c:v>
                </c:pt>
                <c:pt idx="250">
                  <c:v>#VALUE!</c:v>
                </c:pt>
              </c:strCache>
            </c:strRef>
          </c:cat>
          <c:val>
            <c:numRef>
              <c:f>EXP!$T$14:$JJ$14</c:f>
              <c:numCache>
                <c:formatCode>0%</c:formatCode>
                <c:ptCount val="2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numCache>
            </c:numRef>
          </c:val>
          <c:extLst>
            <c:ext xmlns:c16="http://schemas.microsoft.com/office/drawing/2014/chart" uri="{C3380CC4-5D6E-409C-BE32-E72D297353CC}">
              <c16:uniqueId val="{00000005-7642-4CF9-9137-A7C777D0CFF9}"/>
            </c:ext>
          </c:extLst>
        </c:ser>
        <c:ser>
          <c:idx val="6"/>
          <c:order val="6"/>
          <c:tx>
            <c:strRef>
              <c:f>EXP!$S$15</c:f>
              <c:strCache>
                <c:ptCount val="1"/>
              </c:strCache>
            </c:strRef>
          </c:tx>
          <c:spPr>
            <a:solidFill>
              <a:schemeClr val="accent1">
                <a:lumMod val="60000"/>
              </a:schemeClr>
            </a:solidFill>
            <a:ln w="6350">
              <a:noFill/>
            </a:ln>
            <a:effectLst/>
          </c:spPr>
          <c:cat>
            <c:strRef>
              <c:f>EXP!$T$7:$JJ$7</c:f>
              <c:strCache>
                <c:ptCount val="251"/>
                <c:pt idx="1">
                  <c:v>#VALUE!</c:v>
                </c:pt>
                <c:pt idx="2">
                  <c:v>#VALUE!</c:v>
                </c:pt>
                <c:pt idx="3">
                  <c:v>#VALUE!</c:v>
                </c:pt>
                <c:pt idx="4">
                  <c:v>#VALUE!</c:v>
                </c:pt>
                <c:pt idx="5">
                  <c:v>#VALUE!</c:v>
                </c:pt>
                <c:pt idx="6">
                  <c:v>#VALUE!</c:v>
                </c:pt>
                <c:pt idx="7">
                  <c:v>#VALUE!</c:v>
                </c:pt>
                <c:pt idx="8">
                  <c:v>#VALUE!</c:v>
                </c:pt>
                <c:pt idx="9">
                  <c:v>#VALUE!</c:v>
                </c:pt>
                <c:pt idx="10">
                  <c:v>#VALUE!</c:v>
                </c:pt>
                <c:pt idx="11">
                  <c:v>#VALUE!</c:v>
                </c:pt>
                <c:pt idx="12">
                  <c:v>#VALUE!</c:v>
                </c:pt>
                <c:pt idx="13">
                  <c:v>#VALUE!</c:v>
                </c:pt>
                <c:pt idx="14">
                  <c:v>#VALUE!</c:v>
                </c:pt>
                <c:pt idx="15">
                  <c:v>#VALUE!</c:v>
                </c:pt>
                <c:pt idx="16">
                  <c:v>#VALUE!</c:v>
                </c:pt>
                <c:pt idx="17">
                  <c:v>#VALUE!</c:v>
                </c:pt>
                <c:pt idx="18">
                  <c:v>#VALUE!</c:v>
                </c:pt>
                <c:pt idx="19">
                  <c:v>#VALUE!</c:v>
                </c:pt>
                <c:pt idx="20">
                  <c:v>#VALUE!</c:v>
                </c:pt>
                <c:pt idx="21">
                  <c:v>#VALUE!</c:v>
                </c:pt>
                <c:pt idx="22">
                  <c:v>#VALUE!</c:v>
                </c:pt>
                <c:pt idx="23">
                  <c:v>#VALUE!</c:v>
                </c:pt>
                <c:pt idx="24">
                  <c:v>#VALUE!</c:v>
                </c:pt>
                <c:pt idx="25">
                  <c:v>#VALUE!</c:v>
                </c:pt>
                <c:pt idx="26">
                  <c:v>#VALUE!</c:v>
                </c:pt>
                <c:pt idx="27">
                  <c:v>#VALUE!</c:v>
                </c:pt>
                <c:pt idx="28">
                  <c:v>#VALUE!</c:v>
                </c:pt>
                <c:pt idx="29">
                  <c:v>#VALUE!</c:v>
                </c:pt>
                <c:pt idx="30">
                  <c:v>#VALUE!</c:v>
                </c:pt>
                <c:pt idx="31">
                  <c:v>#VALUE!</c:v>
                </c:pt>
                <c:pt idx="32">
                  <c:v>#VALUE!</c:v>
                </c:pt>
                <c:pt idx="33">
                  <c:v>#VALUE!</c:v>
                </c:pt>
                <c:pt idx="34">
                  <c:v>#VALUE!</c:v>
                </c:pt>
                <c:pt idx="35">
                  <c:v>#VALUE!</c:v>
                </c:pt>
                <c:pt idx="36">
                  <c:v>#VALUE!</c:v>
                </c:pt>
                <c:pt idx="37">
                  <c:v>#VALUE!</c:v>
                </c:pt>
                <c:pt idx="38">
                  <c:v>#VALUE!</c:v>
                </c:pt>
                <c:pt idx="39">
                  <c:v>#VALUE!</c:v>
                </c:pt>
                <c:pt idx="40">
                  <c:v>#VALUE!</c:v>
                </c:pt>
                <c:pt idx="41">
                  <c:v>#VALUE!</c:v>
                </c:pt>
                <c:pt idx="42">
                  <c:v>#VALUE!</c:v>
                </c:pt>
                <c:pt idx="43">
                  <c:v>#VALUE!</c:v>
                </c:pt>
                <c:pt idx="44">
                  <c:v>#VALUE!</c:v>
                </c:pt>
                <c:pt idx="45">
                  <c:v>#VALUE!</c:v>
                </c:pt>
                <c:pt idx="46">
                  <c:v>#VALUE!</c:v>
                </c:pt>
                <c:pt idx="47">
                  <c:v>#VALUE!</c:v>
                </c:pt>
                <c:pt idx="48">
                  <c:v>#VALUE!</c:v>
                </c:pt>
                <c:pt idx="49">
                  <c:v>#VALUE!</c:v>
                </c:pt>
                <c:pt idx="50">
                  <c:v>#VALUE!</c:v>
                </c:pt>
                <c:pt idx="51">
                  <c:v>#VALUE!</c:v>
                </c:pt>
                <c:pt idx="52">
                  <c:v>#VALUE!</c:v>
                </c:pt>
                <c:pt idx="53">
                  <c:v>#VALUE!</c:v>
                </c:pt>
                <c:pt idx="54">
                  <c:v>#VALUE!</c:v>
                </c:pt>
                <c:pt idx="55">
                  <c:v>#VALUE!</c:v>
                </c:pt>
                <c:pt idx="56">
                  <c:v>#VALUE!</c:v>
                </c:pt>
                <c:pt idx="57">
                  <c:v>#VALUE!</c:v>
                </c:pt>
                <c:pt idx="58">
                  <c:v>#VALUE!</c:v>
                </c:pt>
                <c:pt idx="59">
                  <c:v>#VALUE!</c:v>
                </c:pt>
                <c:pt idx="60">
                  <c:v>#VALUE!</c:v>
                </c:pt>
                <c:pt idx="61">
                  <c:v>#VALUE!</c:v>
                </c:pt>
                <c:pt idx="62">
                  <c:v>#VALUE!</c:v>
                </c:pt>
                <c:pt idx="63">
                  <c:v>#VALUE!</c:v>
                </c:pt>
                <c:pt idx="64">
                  <c:v>#VALUE!</c:v>
                </c:pt>
                <c:pt idx="65">
                  <c:v>#VALUE!</c:v>
                </c:pt>
                <c:pt idx="66">
                  <c:v>#VALUE!</c:v>
                </c:pt>
                <c:pt idx="67">
                  <c:v>#VALUE!</c:v>
                </c:pt>
                <c:pt idx="68">
                  <c:v>#VALUE!</c:v>
                </c:pt>
                <c:pt idx="69">
                  <c:v>#VALUE!</c:v>
                </c:pt>
                <c:pt idx="70">
                  <c:v>#VALUE!</c:v>
                </c:pt>
                <c:pt idx="71">
                  <c:v>#VALUE!</c:v>
                </c:pt>
                <c:pt idx="72">
                  <c:v>#VALUE!</c:v>
                </c:pt>
                <c:pt idx="73">
                  <c:v>#VALUE!</c:v>
                </c:pt>
                <c:pt idx="74">
                  <c:v>#VALUE!</c:v>
                </c:pt>
                <c:pt idx="75">
                  <c:v>#VALUE!</c:v>
                </c:pt>
                <c:pt idx="76">
                  <c:v>#VALUE!</c:v>
                </c:pt>
                <c:pt idx="77">
                  <c:v>#VALUE!</c:v>
                </c:pt>
                <c:pt idx="78">
                  <c:v>#VALUE!</c:v>
                </c:pt>
                <c:pt idx="79">
                  <c:v>#VALUE!</c:v>
                </c:pt>
                <c:pt idx="80">
                  <c:v>#VALUE!</c:v>
                </c:pt>
                <c:pt idx="81">
                  <c:v>#VALUE!</c:v>
                </c:pt>
                <c:pt idx="82">
                  <c:v>#VALUE!</c:v>
                </c:pt>
                <c:pt idx="83">
                  <c:v>#VALUE!</c:v>
                </c:pt>
                <c:pt idx="84">
                  <c:v>#VALUE!</c:v>
                </c:pt>
                <c:pt idx="85">
                  <c:v>#VALUE!</c:v>
                </c:pt>
                <c:pt idx="86">
                  <c:v>#VALUE!</c:v>
                </c:pt>
                <c:pt idx="87">
                  <c:v>#VALUE!</c:v>
                </c:pt>
                <c:pt idx="88">
                  <c:v>#VALUE!</c:v>
                </c:pt>
                <c:pt idx="89">
                  <c:v>#VALUE!</c:v>
                </c:pt>
                <c:pt idx="90">
                  <c:v>#VALUE!</c:v>
                </c:pt>
                <c:pt idx="91">
                  <c:v>#VALUE!</c:v>
                </c:pt>
                <c:pt idx="92">
                  <c:v>#VALUE!</c:v>
                </c:pt>
                <c:pt idx="93">
                  <c:v>#VALUE!</c:v>
                </c:pt>
                <c:pt idx="94">
                  <c:v>#VALUE!</c:v>
                </c:pt>
                <c:pt idx="95">
                  <c:v>#VALUE!</c:v>
                </c:pt>
                <c:pt idx="96">
                  <c:v>#VALUE!</c:v>
                </c:pt>
                <c:pt idx="97">
                  <c:v>#VALUE!</c:v>
                </c:pt>
                <c:pt idx="98">
                  <c:v>#VALUE!</c:v>
                </c:pt>
                <c:pt idx="99">
                  <c:v>#VALUE!</c:v>
                </c:pt>
                <c:pt idx="100">
                  <c:v>#VALUE!</c:v>
                </c:pt>
                <c:pt idx="101">
                  <c:v>#VALUE!</c:v>
                </c:pt>
                <c:pt idx="102">
                  <c:v>#VALUE!</c:v>
                </c:pt>
                <c:pt idx="103">
                  <c:v>#VALUE!</c:v>
                </c:pt>
                <c:pt idx="104">
                  <c:v>#VALUE!</c:v>
                </c:pt>
                <c:pt idx="105">
                  <c:v>#VALUE!</c:v>
                </c:pt>
                <c:pt idx="106">
                  <c:v>#VALUE!</c:v>
                </c:pt>
                <c:pt idx="107">
                  <c:v>#VALUE!</c:v>
                </c:pt>
                <c:pt idx="108">
                  <c:v>#VALUE!</c:v>
                </c:pt>
                <c:pt idx="109">
                  <c:v>#VALUE!</c:v>
                </c:pt>
                <c:pt idx="110">
                  <c:v>#VALUE!</c:v>
                </c:pt>
                <c:pt idx="111">
                  <c:v>#VALUE!</c:v>
                </c:pt>
                <c:pt idx="112">
                  <c:v>#VALUE!</c:v>
                </c:pt>
                <c:pt idx="113">
                  <c:v>#VALUE!</c:v>
                </c:pt>
                <c:pt idx="114">
                  <c:v>#VALUE!</c:v>
                </c:pt>
                <c:pt idx="115">
                  <c:v>#VALUE!</c:v>
                </c:pt>
                <c:pt idx="116">
                  <c:v>#VALUE!</c:v>
                </c:pt>
                <c:pt idx="117">
                  <c:v>#VALUE!</c:v>
                </c:pt>
                <c:pt idx="118">
                  <c:v>#VALUE!</c:v>
                </c:pt>
                <c:pt idx="119">
                  <c:v>#VALUE!</c:v>
                </c:pt>
                <c:pt idx="120">
                  <c:v>#VALUE!</c:v>
                </c:pt>
                <c:pt idx="121">
                  <c:v>#VALUE!</c:v>
                </c:pt>
                <c:pt idx="122">
                  <c:v>#VALUE!</c:v>
                </c:pt>
                <c:pt idx="123">
                  <c:v>#VALUE!</c:v>
                </c:pt>
                <c:pt idx="124">
                  <c:v>#VALUE!</c:v>
                </c:pt>
                <c:pt idx="125">
                  <c:v>#VALUE!</c:v>
                </c:pt>
                <c:pt idx="126">
                  <c:v>#VALUE!</c:v>
                </c:pt>
                <c:pt idx="127">
                  <c:v>#VALUE!</c:v>
                </c:pt>
                <c:pt idx="128">
                  <c:v>#VALUE!</c:v>
                </c:pt>
                <c:pt idx="129">
                  <c:v>#VALUE!</c:v>
                </c:pt>
                <c:pt idx="130">
                  <c:v>#VALUE!</c:v>
                </c:pt>
                <c:pt idx="131">
                  <c:v>#VALUE!</c:v>
                </c:pt>
                <c:pt idx="132">
                  <c:v>#VALUE!</c:v>
                </c:pt>
                <c:pt idx="133">
                  <c:v>#VALUE!</c:v>
                </c:pt>
                <c:pt idx="134">
                  <c:v>#VALUE!</c:v>
                </c:pt>
                <c:pt idx="135">
                  <c:v>#VALUE!</c:v>
                </c:pt>
                <c:pt idx="136">
                  <c:v>#VALUE!</c:v>
                </c:pt>
                <c:pt idx="137">
                  <c:v>#VALUE!</c:v>
                </c:pt>
                <c:pt idx="138">
                  <c:v>#VALUE!</c:v>
                </c:pt>
                <c:pt idx="139">
                  <c:v>#VALUE!</c:v>
                </c:pt>
                <c:pt idx="140">
                  <c:v>#VALUE!</c:v>
                </c:pt>
                <c:pt idx="141">
                  <c:v>#VALUE!</c:v>
                </c:pt>
                <c:pt idx="142">
                  <c:v>#VALUE!</c:v>
                </c:pt>
                <c:pt idx="143">
                  <c:v>#VALUE!</c:v>
                </c:pt>
                <c:pt idx="144">
                  <c:v>#VALUE!</c:v>
                </c:pt>
                <c:pt idx="145">
                  <c:v>#VALUE!</c:v>
                </c:pt>
                <c:pt idx="146">
                  <c:v>#VALUE!</c:v>
                </c:pt>
                <c:pt idx="147">
                  <c:v>#VALUE!</c:v>
                </c:pt>
                <c:pt idx="148">
                  <c:v>#VALUE!</c:v>
                </c:pt>
                <c:pt idx="149">
                  <c:v>#VALUE!</c:v>
                </c:pt>
                <c:pt idx="150">
                  <c:v>#VALUE!</c:v>
                </c:pt>
                <c:pt idx="151">
                  <c:v>#VALUE!</c:v>
                </c:pt>
                <c:pt idx="152">
                  <c:v>#VALUE!</c:v>
                </c:pt>
                <c:pt idx="153">
                  <c:v>#VALUE!</c:v>
                </c:pt>
                <c:pt idx="154">
                  <c:v>#VALUE!</c:v>
                </c:pt>
                <c:pt idx="155">
                  <c:v>#VALUE!</c:v>
                </c:pt>
                <c:pt idx="156">
                  <c:v>#VALUE!</c:v>
                </c:pt>
                <c:pt idx="157">
                  <c:v>#VALUE!</c:v>
                </c:pt>
                <c:pt idx="158">
                  <c:v>#VALUE!</c:v>
                </c:pt>
                <c:pt idx="159">
                  <c:v>#VALUE!</c:v>
                </c:pt>
                <c:pt idx="160">
                  <c:v>#VALUE!</c:v>
                </c:pt>
                <c:pt idx="161">
                  <c:v>#VALUE!</c:v>
                </c:pt>
                <c:pt idx="162">
                  <c:v>#VALUE!</c:v>
                </c:pt>
                <c:pt idx="163">
                  <c:v>#VALUE!</c:v>
                </c:pt>
                <c:pt idx="164">
                  <c:v>#VALUE!</c:v>
                </c:pt>
                <c:pt idx="165">
                  <c:v>#VALUE!</c:v>
                </c:pt>
                <c:pt idx="166">
                  <c:v>#VALUE!</c:v>
                </c:pt>
                <c:pt idx="167">
                  <c:v>#VALUE!</c:v>
                </c:pt>
                <c:pt idx="168">
                  <c:v>#VALUE!</c:v>
                </c:pt>
                <c:pt idx="169">
                  <c:v>#VALUE!</c:v>
                </c:pt>
                <c:pt idx="170">
                  <c:v>#VALUE!</c:v>
                </c:pt>
                <c:pt idx="171">
                  <c:v>#VALUE!</c:v>
                </c:pt>
                <c:pt idx="172">
                  <c:v>#VALUE!</c:v>
                </c:pt>
                <c:pt idx="173">
                  <c:v>#VALUE!</c:v>
                </c:pt>
                <c:pt idx="174">
                  <c:v>#VALUE!</c:v>
                </c:pt>
                <c:pt idx="175">
                  <c:v>#VALUE!</c:v>
                </c:pt>
                <c:pt idx="176">
                  <c:v>#VALUE!</c:v>
                </c:pt>
                <c:pt idx="177">
                  <c:v>#VALUE!</c:v>
                </c:pt>
                <c:pt idx="178">
                  <c:v>#VALUE!</c:v>
                </c:pt>
                <c:pt idx="179">
                  <c:v>#VALUE!</c:v>
                </c:pt>
                <c:pt idx="180">
                  <c:v>#VALUE!</c:v>
                </c:pt>
                <c:pt idx="181">
                  <c:v>#VALUE!</c:v>
                </c:pt>
                <c:pt idx="182">
                  <c:v>#VALUE!</c:v>
                </c:pt>
                <c:pt idx="183">
                  <c:v>#VALUE!</c:v>
                </c:pt>
                <c:pt idx="184">
                  <c:v>#VALUE!</c:v>
                </c:pt>
                <c:pt idx="185">
                  <c:v>#VALUE!</c:v>
                </c:pt>
                <c:pt idx="186">
                  <c:v>#VALUE!</c:v>
                </c:pt>
                <c:pt idx="187">
                  <c:v>#VALUE!</c:v>
                </c:pt>
                <c:pt idx="188">
                  <c:v>#VALUE!</c:v>
                </c:pt>
                <c:pt idx="189">
                  <c:v>#VALUE!</c:v>
                </c:pt>
                <c:pt idx="190">
                  <c:v>#VALUE!</c:v>
                </c:pt>
                <c:pt idx="191">
                  <c:v>#VALUE!</c:v>
                </c:pt>
                <c:pt idx="192">
                  <c:v>#VALUE!</c:v>
                </c:pt>
                <c:pt idx="193">
                  <c:v>#VALUE!</c:v>
                </c:pt>
                <c:pt idx="194">
                  <c:v>#VALUE!</c:v>
                </c:pt>
                <c:pt idx="195">
                  <c:v>#VALUE!</c:v>
                </c:pt>
                <c:pt idx="196">
                  <c:v>#VALUE!</c:v>
                </c:pt>
                <c:pt idx="197">
                  <c:v>#VALUE!</c:v>
                </c:pt>
                <c:pt idx="198">
                  <c:v>#VALUE!</c:v>
                </c:pt>
                <c:pt idx="199">
                  <c:v>#VALUE!</c:v>
                </c:pt>
                <c:pt idx="200">
                  <c:v>#VALUE!</c:v>
                </c:pt>
                <c:pt idx="201">
                  <c:v>#VALUE!</c:v>
                </c:pt>
                <c:pt idx="202">
                  <c:v>#VALUE!</c:v>
                </c:pt>
                <c:pt idx="203">
                  <c:v>#VALUE!</c:v>
                </c:pt>
                <c:pt idx="204">
                  <c:v>#VALUE!</c:v>
                </c:pt>
                <c:pt idx="205">
                  <c:v>#VALUE!</c:v>
                </c:pt>
                <c:pt idx="206">
                  <c:v>#VALUE!</c:v>
                </c:pt>
                <c:pt idx="207">
                  <c:v>#VALUE!</c:v>
                </c:pt>
                <c:pt idx="208">
                  <c:v>#VALUE!</c:v>
                </c:pt>
                <c:pt idx="209">
                  <c:v>#VALUE!</c:v>
                </c:pt>
                <c:pt idx="210">
                  <c:v>#VALUE!</c:v>
                </c:pt>
                <c:pt idx="211">
                  <c:v>#VALUE!</c:v>
                </c:pt>
                <c:pt idx="212">
                  <c:v>#VALUE!</c:v>
                </c:pt>
                <c:pt idx="213">
                  <c:v>#VALUE!</c:v>
                </c:pt>
                <c:pt idx="214">
                  <c:v>#VALUE!</c:v>
                </c:pt>
                <c:pt idx="215">
                  <c:v>#VALUE!</c:v>
                </c:pt>
                <c:pt idx="216">
                  <c:v>#VALUE!</c:v>
                </c:pt>
                <c:pt idx="217">
                  <c:v>#VALUE!</c:v>
                </c:pt>
                <c:pt idx="218">
                  <c:v>#VALUE!</c:v>
                </c:pt>
                <c:pt idx="219">
                  <c:v>#VALUE!</c:v>
                </c:pt>
                <c:pt idx="220">
                  <c:v>#VALUE!</c:v>
                </c:pt>
                <c:pt idx="221">
                  <c:v>#VALUE!</c:v>
                </c:pt>
                <c:pt idx="222">
                  <c:v>#VALUE!</c:v>
                </c:pt>
                <c:pt idx="223">
                  <c:v>#VALUE!</c:v>
                </c:pt>
                <c:pt idx="224">
                  <c:v>#VALUE!</c:v>
                </c:pt>
                <c:pt idx="225">
                  <c:v>#VALUE!</c:v>
                </c:pt>
                <c:pt idx="226">
                  <c:v>#VALUE!</c:v>
                </c:pt>
                <c:pt idx="227">
                  <c:v>#VALUE!</c:v>
                </c:pt>
                <c:pt idx="228">
                  <c:v>#VALUE!</c:v>
                </c:pt>
                <c:pt idx="229">
                  <c:v>#VALUE!</c:v>
                </c:pt>
                <c:pt idx="230">
                  <c:v>#VALUE!</c:v>
                </c:pt>
                <c:pt idx="231">
                  <c:v>#VALUE!</c:v>
                </c:pt>
                <c:pt idx="232">
                  <c:v>#VALUE!</c:v>
                </c:pt>
                <c:pt idx="233">
                  <c:v>#VALUE!</c:v>
                </c:pt>
                <c:pt idx="234">
                  <c:v>#VALUE!</c:v>
                </c:pt>
                <c:pt idx="235">
                  <c:v>#VALUE!</c:v>
                </c:pt>
                <c:pt idx="236">
                  <c:v>#VALUE!</c:v>
                </c:pt>
                <c:pt idx="237">
                  <c:v>#VALUE!</c:v>
                </c:pt>
                <c:pt idx="238">
                  <c:v>#VALUE!</c:v>
                </c:pt>
                <c:pt idx="239">
                  <c:v>#VALUE!</c:v>
                </c:pt>
                <c:pt idx="240">
                  <c:v>#VALUE!</c:v>
                </c:pt>
                <c:pt idx="241">
                  <c:v>#VALUE!</c:v>
                </c:pt>
                <c:pt idx="242">
                  <c:v>#VALUE!</c:v>
                </c:pt>
                <c:pt idx="243">
                  <c:v>#VALUE!</c:v>
                </c:pt>
                <c:pt idx="244">
                  <c:v>#VALUE!</c:v>
                </c:pt>
                <c:pt idx="245">
                  <c:v>#VALUE!</c:v>
                </c:pt>
                <c:pt idx="246">
                  <c:v>#VALUE!</c:v>
                </c:pt>
                <c:pt idx="247">
                  <c:v>#VALUE!</c:v>
                </c:pt>
                <c:pt idx="248">
                  <c:v>#VALUE!</c:v>
                </c:pt>
                <c:pt idx="249">
                  <c:v>#VALUE!</c:v>
                </c:pt>
                <c:pt idx="250">
                  <c:v>#VALUE!</c:v>
                </c:pt>
              </c:strCache>
            </c:strRef>
          </c:cat>
          <c:val>
            <c:numRef>
              <c:f>EXP!$T$15:$JJ$15</c:f>
              <c:numCache>
                <c:formatCode>0%</c:formatCode>
                <c:ptCount val="2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numCache>
            </c:numRef>
          </c:val>
          <c:extLst>
            <c:ext xmlns:c16="http://schemas.microsoft.com/office/drawing/2014/chart" uri="{C3380CC4-5D6E-409C-BE32-E72D297353CC}">
              <c16:uniqueId val="{00000006-7642-4CF9-9137-A7C777D0CFF9}"/>
            </c:ext>
          </c:extLst>
        </c:ser>
        <c:ser>
          <c:idx val="7"/>
          <c:order val="7"/>
          <c:tx>
            <c:strRef>
              <c:f>EXP!$S$16</c:f>
              <c:strCache>
                <c:ptCount val="1"/>
              </c:strCache>
            </c:strRef>
          </c:tx>
          <c:spPr>
            <a:solidFill>
              <a:schemeClr val="accent2">
                <a:lumMod val="60000"/>
              </a:schemeClr>
            </a:solidFill>
            <a:ln w="6350">
              <a:noFill/>
            </a:ln>
            <a:effectLst/>
          </c:spPr>
          <c:cat>
            <c:strRef>
              <c:f>EXP!$T$7:$JJ$7</c:f>
              <c:strCache>
                <c:ptCount val="251"/>
                <c:pt idx="1">
                  <c:v>#VALUE!</c:v>
                </c:pt>
                <c:pt idx="2">
                  <c:v>#VALUE!</c:v>
                </c:pt>
                <c:pt idx="3">
                  <c:v>#VALUE!</c:v>
                </c:pt>
                <c:pt idx="4">
                  <c:v>#VALUE!</c:v>
                </c:pt>
                <c:pt idx="5">
                  <c:v>#VALUE!</c:v>
                </c:pt>
                <c:pt idx="6">
                  <c:v>#VALUE!</c:v>
                </c:pt>
                <c:pt idx="7">
                  <c:v>#VALUE!</c:v>
                </c:pt>
                <c:pt idx="8">
                  <c:v>#VALUE!</c:v>
                </c:pt>
                <c:pt idx="9">
                  <c:v>#VALUE!</c:v>
                </c:pt>
                <c:pt idx="10">
                  <c:v>#VALUE!</c:v>
                </c:pt>
                <c:pt idx="11">
                  <c:v>#VALUE!</c:v>
                </c:pt>
                <c:pt idx="12">
                  <c:v>#VALUE!</c:v>
                </c:pt>
                <c:pt idx="13">
                  <c:v>#VALUE!</c:v>
                </c:pt>
                <c:pt idx="14">
                  <c:v>#VALUE!</c:v>
                </c:pt>
                <c:pt idx="15">
                  <c:v>#VALUE!</c:v>
                </c:pt>
                <c:pt idx="16">
                  <c:v>#VALUE!</c:v>
                </c:pt>
                <c:pt idx="17">
                  <c:v>#VALUE!</c:v>
                </c:pt>
                <c:pt idx="18">
                  <c:v>#VALUE!</c:v>
                </c:pt>
                <c:pt idx="19">
                  <c:v>#VALUE!</c:v>
                </c:pt>
                <c:pt idx="20">
                  <c:v>#VALUE!</c:v>
                </c:pt>
                <c:pt idx="21">
                  <c:v>#VALUE!</c:v>
                </c:pt>
                <c:pt idx="22">
                  <c:v>#VALUE!</c:v>
                </c:pt>
                <c:pt idx="23">
                  <c:v>#VALUE!</c:v>
                </c:pt>
                <c:pt idx="24">
                  <c:v>#VALUE!</c:v>
                </c:pt>
                <c:pt idx="25">
                  <c:v>#VALUE!</c:v>
                </c:pt>
                <c:pt idx="26">
                  <c:v>#VALUE!</c:v>
                </c:pt>
                <c:pt idx="27">
                  <c:v>#VALUE!</c:v>
                </c:pt>
                <c:pt idx="28">
                  <c:v>#VALUE!</c:v>
                </c:pt>
                <c:pt idx="29">
                  <c:v>#VALUE!</c:v>
                </c:pt>
                <c:pt idx="30">
                  <c:v>#VALUE!</c:v>
                </c:pt>
                <c:pt idx="31">
                  <c:v>#VALUE!</c:v>
                </c:pt>
                <c:pt idx="32">
                  <c:v>#VALUE!</c:v>
                </c:pt>
                <c:pt idx="33">
                  <c:v>#VALUE!</c:v>
                </c:pt>
                <c:pt idx="34">
                  <c:v>#VALUE!</c:v>
                </c:pt>
                <c:pt idx="35">
                  <c:v>#VALUE!</c:v>
                </c:pt>
                <c:pt idx="36">
                  <c:v>#VALUE!</c:v>
                </c:pt>
                <c:pt idx="37">
                  <c:v>#VALUE!</c:v>
                </c:pt>
                <c:pt idx="38">
                  <c:v>#VALUE!</c:v>
                </c:pt>
                <c:pt idx="39">
                  <c:v>#VALUE!</c:v>
                </c:pt>
                <c:pt idx="40">
                  <c:v>#VALUE!</c:v>
                </c:pt>
                <c:pt idx="41">
                  <c:v>#VALUE!</c:v>
                </c:pt>
                <c:pt idx="42">
                  <c:v>#VALUE!</c:v>
                </c:pt>
                <c:pt idx="43">
                  <c:v>#VALUE!</c:v>
                </c:pt>
                <c:pt idx="44">
                  <c:v>#VALUE!</c:v>
                </c:pt>
                <c:pt idx="45">
                  <c:v>#VALUE!</c:v>
                </c:pt>
                <c:pt idx="46">
                  <c:v>#VALUE!</c:v>
                </c:pt>
                <c:pt idx="47">
                  <c:v>#VALUE!</c:v>
                </c:pt>
                <c:pt idx="48">
                  <c:v>#VALUE!</c:v>
                </c:pt>
                <c:pt idx="49">
                  <c:v>#VALUE!</c:v>
                </c:pt>
                <c:pt idx="50">
                  <c:v>#VALUE!</c:v>
                </c:pt>
                <c:pt idx="51">
                  <c:v>#VALUE!</c:v>
                </c:pt>
                <c:pt idx="52">
                  <c:v>#VALUE!</c:v>
                </c:pt>
                <c:pt idx="53">
                  <c:v>#VALUE!</c:v>
                </c:pt>
                <c:pt idx="54">
                  <c:v>#VALUE!</c:v>
                </c:pt>
                <c:pt idx="55">
                  <c:v>#VALUE!</c:v>
                </c:pt>
                <c:pt idx="56">
                  <c:v>#VALUE!</c:v>
                </c:pt>
                <c:pt idx="57">
                  <c:v>#VALUE!</c:v>
                </c:pt>
                <c:pt idx="58">
                  <c:v>#VALUE!</c:v>
                </c:pt>
                <c:pt idx="59">
                  <c:v>#VALUE!</c:v>
                </c:pt>
                <c:pt idx="60">
                  <c:v>#VALUE!</c:v>
                </c:pt>
                <c:pt idx="61">
                  <c:v>#VALUE!</c:v>
                </c:pt>
                <c:pt idx="62">
                  <c:v>#VALUE!</c:v>
                </c:pt>
                <c:pt idx="63">
                  <c:v>#VALUE!</c:v>
                </c:pt>
                <c:pt idx="64">
                  <c:v>#VALUE!</c:v>
                </c:pt>
                <c:pt idx="65">
                  <c:v>#VALUE!</c:v>
                </c:pt>
                <c:pt idx="66">
                  <c:v>#VALUE!</c:v>
                </c:pt>
                <c:pt idx="67">
                  <c:v>#VALUE!</c:v>
                </c:pt>
                <c:pt idx="68">
                  <c:v>#VALUE!</c:v>
                </c:pt>
                <c:pt idx="69">
                  <c:v>#VALUE!</c:v>
                </c:pt>
                <c:pt idx="70">
                  <c:v>#VALUE!</c:v>
                </c:pt>
                <c:pt idx="71">
                  <c:v>#VALUE!</c:v>
                </c:pt>
                <c:pt idx="72">
                  <c:v>#VALUE!</c:v>
                </c:pt>
                <c:pt idx="73">
                  <c:v>#VALUE!</c:v>
                </c:pt>
                <c:pt idx="74">
                  <c:v>#VALUE!</c:v>
                </c:pt>
                <c:pt idx="75">
                  <c:v>#VALUE!</c:v>
                </c:pt>
                <c:pt idx="76">
                  <c:v>#VALUE!</c:v>
                </c:pt>
                <c:pt idx="77">
                  <c:v>#VALUE!</c:v>
                </c:pt>
                <c:pt idx="78">
                  <c:v>#VALUE!</c:v>
                </c:pt>
                <c:pt idx="79">
                  <c:v>#VALUE!</c:v>
                </c:pt>
                <c:pt idx="80">
                  <c:v>#VALUE!</c:v>
                </c:pt>
                <c:pt idx="81">
                  <c:v>#VALUE!</c:v>
                </c:pt>
                <c:pt idx="82">
                  <c:v>#VALUE!</c:v>
                </c:pt>
                <c:pt idx="83">
                  <c:v>#VALUE!</c:v>
                </c:pt>
                <c:pt idx="84">
                  <c:v>#VALUE!</c:v>
                </c:pt>
                <c:pt idx="85">
                  <c:v>#VALUE!</c:v>
                </c:pt>
                <c:pt idx="86">
                  <c:v>#VALUE!</c:v>
                </c:pt>
                <c:pt idx="87">
                  <c:v>#VALUE!</c:v>
                </c:pt>
                <c:pt idx="88">
                  <c:v>#VALUE!</c:v>
                </c:pt>
                <c:pt idx="89">
                  <c:v>#VALUE!</c:v>
                </c:pt>
                <c:pt idx="90">
                  <c:v>#VALUE!</c:v>
                </c:pt>
                <c:pt idx="91">
                  <c:v>#VALUE!</c:v>
                </c:pt>
                <c:pt idx="92">
                  <c:v>#VALUE!</c:v>
                </c:pt>
                <c:pt idx="93">
                  <c:v>#VALUE!</c:v>
                </c:pt>
                <c:pt idx="94">
                  <c:v>#VALUE!</c:v>
                </c:pt>
                <c:pt idx="95">
                  <c:v>#VALUE!</c:v>
                </c:pt>
                <c:pt idx="96">
                  <c:v>#VALUE!</c:v>
                </c:pt>
                <c:pt idx="97">
                  <c:v>#VALUE!</c:v>
                </c:pt>
                <c:pt idx="98">
                  <c:v>#VALUE!</c:v>
                </c:pt>
                <c:pt idx="99">
                  <c:v>#VALUE!</c:v>
                </c:pt>
                <c:pt idx="100">
                  <c:v>#VALUE!</c:v>
                </c:pt>
                <c:pt idx="101">
                  <c:v>#VALUE!</c:v>
                </c:pt>
                <c:pt idx="102">
                  <c:v>#VALUE!</c:v>
                </c:pt>
                <c:pt idx="103">
                  <c:v>#VALUE!</c:v>
                </c:pt>
                <c:pt idx="104">
                  <c:v>#VALUE!</c:v>
                </c:pt>
                <c:pt idx="105">
                  <c:v>#VALUE!</c:v>
                </c:pt>
                <c:pt idx="106">
                  <c:v>#VALUE!</c:v>
                </c:pt>
                <c:pt idx="107">
                  <c:v>#VALUE!</c:v>
                </c:pt>
                <c:pt idx="108">
                  <c:v>#VALUE!</c:v>
                </c:pt>
                <c:pt idx="109">
                  <c:v>#VALUE!</c:v>
                </c:pt>
                <c:pt idx="110">
                  <c:v>#VALUE!</c:v>
                </c:pt>
                <c:pt idx="111">
                  <c:v>#VALUE!</c:v>
                </c:pt>
                <c:pt idx="112">
                  <c:v>#VALUE!</c:v>
                </c:pt>
                <c:pt idx="113">
                  <c:v>#VALUE!</c:v>
                </c:pt>
                <c:pt idx="114">
                  <c:v>#VALUE!</c:v>
                </c:pt>
                <c:pt idx="115">
                  <c:v>#VALUE!</c:v>
                </c:pt>
                <c:pt idx="116">
                  <c:v>#VALUE!</c:v>
                </c:pt>
                <c:pt idx="117">
                  <c:v>#VALUE!</c:v>
                </c:pt>
                <c:pt idx="118">
                  <c:v>#VALUE!</c:v>
                </c:pt>
                <c:pt idx="119">
                  <c:v>#VALUE!</c:v>
                </c:pt>
                <c:pt idx="120">
                  <c:v>#VALUE!</c:v>
                </c:pt>
                <c:pt idx="121">
                  <c:v>#VALUE!</c:v>
                </c:pt>
                <c:pt idx="122">
                  <c:v>#VALUE!</c:v>
                </c:pt>
                <c:pt idx="123">
                  <c:v>#VALUE!</c:v>
                </c:pt>
                <c:pt idx="124">
                  <c:v>#VALUE!</c:v>
                </c:pt>
                <c:pt idx="125">
                  <c:v>#VALUE!</c:v>
                </c:pt>
                <c:pt idx="126">
                  <c:v>#VALUE!</c:v>
                </c:pt>
                <c:pt idx="127">
                  <c:v>#VALUE!</c:v>
                </c:pt>
                <c:pt idx="128">
                  <c:v>#VALUE!</c:v>
                </c:pt>
                <c:pt idx="129">
                  <c:v>#VALUE!</c:v>
                </c:pt>
                <c:pt idx="130">
                  <c:v>#VALUE!</c:v>
                </c:pt>
                <c:pt idx="131">
                  <c:v>#VALUE!</c:v>
                </c:pt>
                <c:pt idx="132">
                  <c:v>#VALUE!</c:v>
                </c:pt>
                <c:pt idx="133">
                  <c:v>#VALUE!</c:v>
                </c:pt>
                <c:pt idx="134">
                  <c:v>#VALUE!</c:v>
                </c:pt>
                <c:pt idx="135">
                  <c:v>#VALUE!</c:v>
                </c:pt>
                <c:pt idx="136">
                  <c:v>#VALUE!</c:v>
                </c:pt>
                <c:pt idx="137">
                  <c:v>#VALUE!</c:v>
                </c:pt>
                <c:pt idx="138">
                  <c:v>#VALUE!</c:v>
                </c:pt>
                <c:pt idx="139">
                  <c:v>#VALUE!</c:v>
                </c:pt>
                <c:pt idx="140">
                  <c:v>#VALUE!</c:v>
                </c:pt>
                <c:pt idx="141">
                  <c:v>#VALUE!</c:v>
                </c:pt>
                <c:pt idx="142">
                  <c:v>#VALUE!</c:v>
                </c:pt>
                <c:pt idx="143">
                  <c:v>#VALUE!</c:v>
                </c:pt>
                <c:pt idx="144">
                  <c:v>#VALUE!</c:v>
                </c:pt>
                <c:pt idx="145">
                  <c:v>#VALUE!</c:v>
                </c:pt>
                <c:pt idx="146">
                  <c:v>#VALUE!</c:v>
                </c:pt>
                <c:pt idx="147">
                  <c:v>#VALUE!</c:v>
                </c:pt>
                <c:pt idx="148">
                  <c:v>#VALUE!</c:v>
                </c:pt>
                <c:pt idx="149">
                  <c:v>#VALUE!</c:v>
                </c:pt>
                <c:pt idx="150">
                  <c:v>#VALUE!</c:v>
                </c:pt>
                <c:pt idx="151">
                  <c:v>#VALUE!</c:v>
                </c:pt>
                <c:pt idx="152">
                  <c:v>#VALUE!</c:v>
                </c:pt>
                <c:pt idx="153">
                  <c:v>#VALUE!</c:v>
                </c:pt>
                <c:pt idx="154">
                  <c:v>#VALUE!</c:v>
                </c:pt>
                <c:pt idx="155">
                  <c:v>#VALUE!</c:v>
                </c:pt>
                <c:pt idx="156">
                  <c:v>#VALUE!</c:v>
                </c:pt>
                <c:pt idx="157">
                  <c:v>#VALUE!</c:v>
                </c:pt>
                <c:pt idx="158">
                  <c:v>#VALUE!</c:v>
                </c:pt>
                <c:pt idx="159">
                  <c:v>#VALUE!</c:v>
                </c:pt>
                <c:pt idx="160">
                  <c:v>#VALUE!</c:v>
                </c:pt>
                <c:pt idx="161">
                  <c:v>#VALUE!</c:v>
                </c:pt>
                <c:pt idx="162">
                  <c:v>#VALUE!</c:v>
                </c:pt>
                <c:pt idx="163">
                  <c:v>#VALUE!</c:v>
                </c:pt>
                <c:pt idx="164">
                  <c:v>#VALUE!</c:v>
                </c:pt>
                <c:pt idx="165">
                  <c:v>#VALUE!</c:v>
                </c:pt>
                <c:pt idx="166">
                  <c:v>#VALUE!</c:v>
                </c:pt>
                <c:pt idx="167">
                  <c:v>#VALUE!</c:v>
                </c:pt>
                <c:pt idx="168">
                  <c:v>#VALUE!</c:v>
                </c:pt>
                <c:pt idx="169">
                  <c:v>#VALUE!</c:v>
                </c:pt>
                <c:pt idx="170">
                  <c:v>#VALUE!</c:v>
                </c:pt>
                <c:pt idx="171">
                  <c:v>#VALUE!</c:v>
                </c:pt>
                <c:pt idx="172">
                  <c:v>#VALUE!</c:v>
                </c:pt>
                <c:pt idx="173">
                  <c:v>#VALUE!</c:v>
                </c:pt>
                <c:pt idx="174">
                  <c:v>#VALUE!</c:v>
                </c:pt>
                <c:pt idx="175">
                  <c:v>#VALUE!</c:v>
                </c:pt>
                <c:pt idx="176">
                  <c:v>#VALUE!</c:v>
                </c:pt>
                <c:pt idx="177">
                  <c:v>#VALUE!</c:v>
                </c:pt>
                <c:pt idx="178">
                  <c:v>#VALUE!</c:v>
                </c:pt>
                <c:pt idx="179">
                  <c:v>#VALUE!</c:v>
                </c:pt>
                <c:pt idx="180">
                  <c:v>#VALUE!</c:v>
                </c:pt>
                <c:pt idx="181">
                  <c:v>#VALUE!</c:v>
                </c:pt>
                <c:pt idx="182">
                  <c:v>#VALUE!</c:v>
                </c:pt>
                <c:pt idx="183">
                  <c:v>#VALUE!</c:v>
                </c:pt>
                <c:pt idx="184">
                  <c:v>#VALUE!</c:v>
                </c:pt>
                <c:pt idx="185">
                  <c:v>#VALUE!</c:v>
                </c:pt>
                <c:pt idx="186">
                  <c:v>#VALUE!</c:v>
                </c:pt>
                <c:pt idx="187">
                  <c:v>#VALUE!</c:v>
                </c:pt>
                <c:pt idx="188">
                  <c:v>#VALUE!</c:v>
                </c:pt>
                <c:pt idx="189">
                  <c:v>#VALUE!</c:v>
                </c:pt>
                <c:pt idx="190">
                  <c:v>#VALUE!</c:v>
                </c:pt>
                <c:pt idx="191">
                  <c:v>#VALUE!</c:v>
                </c:pt>
                <c:pt idx="192">
                  <c:v>#VALUE!</c:v>
                </c:pt>
                <c:pt idx="193">
                  <c:v>#VALUE!</c:v>
                </c:pt>
                <c:pt idx="194">
                  <c:v>#VALUE!</c:v>
                </c:pt>
                <c:pt idx="195">
                  <c:v>#VALUE!</c:v>
                </c:pt>
                <c:pt idx="196">
                  <c:v>#VALUE!</c:v>
                </c:pt>
                <c:pt idx="197">
                  <c:v>#VALUE!</c:v>
                </c:pt>
                <c:pt idx="198">
                  <c:v>#VALUE!</c:v>
                </c:pt>
                <c:pt idx="199">
                  <c:v>#VALUE!</c:v>
                </c:pt>
                <c:pt idx="200">
                  <c:v>#VALUE!</c:v>
                </c:pt>
                <c:pt idx="201">
                  <c:v>#VALUE!</c:v>
                </c:pt>
                <c:pt idx="202">
                  <c:v>#VALUE!</c:v>
                </c:pt>
                <c:pt idx="203">
                  <c:v>#VALUE!</c:v>
                </c:pt>
                <c:pt idx="204">
                  <c:v>#VALUE!</c:v>
                </c:pt>
                <c:pt idx="205">
                  <c:v>#VALUE!</c:v>
                </c:pt>
                <c:pt idx="206">
                  <c:v>#VALUE!</c:v>
                </c:pt>
                <c:pt idx="207">
                  <c:v>#VALUE!</c:v>
                </c:pt>
                <c:pt idx="208">
                  <c:v>#VALUE!</c:v>
                </c:pt>
                <c:pt idx="209">
                  <c:v>#VALUE!</c:v>
                </c:pt>
                <c:pt idx="210">
                  <c:v>#VALUE!</c:v>
                </c:pt>
                <c:pt idx="211">
                  <c:v>#VALUE!</c:v>
                </c:pt>
                <c:pt idx="212">
                  <c:v>#VALUE!</c:v>
                </c:pt>
                <c:pt idx="213">
                  <c:v>#VALUE!</c:v>
                </c:pt>
                <c:pt idx="214">
                  <c:v>#VALUE!</c:v>
                </c:pt>
                <c:pt idx="215">
                  <c:v>#VALUE!</c:v>
                </c:pt>
                <c:pt idx="216">
                  <c:v>#VALUE!</c:v>
                </c:pt>
                <c:pt idx="217">
                  <c:v>#VALUE!</c:v>
                </c:pt>
                <c:pt idx="218">
                  <c:v>#VALUE!</c:v>
                </c:pt>
                <c:pt idx="219">
                  <c:v>#VALUE!</c:v>
                </c:pt>
                <c:pt idx="220">
                  <c:v>#VALUE!</c:v>
                </c:pt>
                <c:pt idx="221">
                  <c:v>#VALUE!</c:v>
                </c:pt>
                <c:pt idx="222">
                  <c:v>#VALUE!</c:v>
                </c:pt>
                <c:pt idx="223">
                  <c:v>#VALUE!</c:v>
                </c:pt>
                <c:pt idx="224">
                  <c:v>#VALUE!</c:v>
                </c:pt>
                <c:pt idx="225">
                  <c:v>#VALUE!</c:v>
                </c:pt>
                <c:pt idx="226">
                  <c:v>#VALUE!</c:v>
                </c:pt>
                <c:pt idx="227">
                  <c:v>#VALUE!</c:v>
                </c:pt>
                <c:pt idx="228">
                  <c:v>#VALUE!</c:v>
                </c:pt>
                <c:pt idx="229">
                  <c:v>#VALUE!</c:v>
                </c:pt>
                <c:pt idx="230">
                  <c:v>#VALUE!</c:v>
                </c:pt>
                <c:pt idx="231">
                  <c:v>#VALUE!</c:v>
                </c:pt>
                <c:pt idx="232">
                  <c:v>#VALUE!</c:v>
                </c:pt>
                <c:pt idx="233">
                  <c:v>#VALUE!</c:v>
                </c:pt>
                <c:pt idx="234">
                  <c:v>#VALUE!</c:v>
                </c:pt>
                <c:pt idx="235">
                  <c:v>#VALUE!</c:v>
                </c:pt>
                <c:pt idx="236">
                  <c:v>#VALUE!</c:v>
                </c:pt>
                <c:pt idx="237">
                  <c:v>#VALUE!</c:v>
                </c:pt>
                <c:pt idx="238">
                  <c:v>#VALUE!</c:v>
                </c:pt>
                <c:pt idx="239">
                  <c:v>#VALUE!</c:v>
                </c:pt>
                <c:pt idx="240">
                  <c:v>#VALUE!</c:v>
                </c:pt>
                <c:pt idx="241">
                  <c:v>#VALUE!</c:v>
                </c:pt>
                <c:pt idx="242">
                  <c:v>#VALUE!</c:v>
                </c:pt>
                <c:pt idx="243">
                  <c:v>#VALUE!</c:v>
                </c:pt>
                <c:pt idx="244">
                  <c:v>#VALUE!</c:v>
                </c:pt>
                <c:pt idx="245">
                  <c:v>#VALUE!</c:v>
                </c:pt>
                <c:pt idx="246">
                  <c:v>#VALUE!</c:v>
                </c:pt>
                <c:pt idx="247">
                  <c:v>#VALUE!</c:v>
                </c:pt>
                <c:pt idx="248">
                  <c:v>#VALUE!</c:v>
                </c:pt>
                <c:pt idx="249">
                  <c:v>#VALUE!</c:v>
                </c:pt>
                <c:pt idx="250">
                  <c:v>#VALUE!</c:v>
                </c:pt>
              </c:strCache>
            </c:strRef>
          </c:cat>
          <c:val>
            <c:numRef>
              <c:f>EXP!$T$16:$JJ$16</c:f>
              <c:numCache>
                <c:formatCode>0%</c:formatCode>
                <c:ptCount val="2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numCache>
            </c:numRef>
          </c:val>
          <c:extLst>
            <c:ext xmlns:c16="http://schemas.microsoft.com/office/drawing/2014/chart" uri="{C3380CC4-5D6E-409C-BE32-E72D297353CC}">
              <c16:uniqueId val="{00000007-7642-4CF9-9137-A7C777D0CFF9}"/>
            </c:ext>
          </c:extLst>
        </c:ser>
        <c:ser>
          <c:idx val="8"/>
          <c:order val="8"/>
          <c:tx>
            <c:strRef>
              <c:f>EXP!$S$17</c:f>
              <c:strCache>
                <c:ptCount val="1"/>
              </c:strCache>
            </c:strRef>
          </c:tx>
          <c:spPr>
            <a:solidFill>
              <a:schemeClr val="accent3">
                <a:lumMod val="60000"/>
              </a:schemeClr>
            </a:solidFill>
            <a:ln w="6350">
              <a:noFill/>
            </a:ln>
            <a:effectLst/>
          </c:spPr>
          <c:cat>
            <c:strRef>
              <c:f>EXP!$T$7:$JJ$7</c:f>
              <c:strCache>
                <c:ptCount val="251"/>
                <c:pt idx="1">
                  <c:v>#VALUE!</c:v>
                </c:pt>
                <c:pt idx="2">
                  <c:v>#VALUE!</c:v>
                </c:pt>
                <c:pt idx="3">
                  <c:v>#VALUE!</c:v>
                </c:pt>
                <c:pt idx="4">
                  <c:v>#VALUE!</c:v>
                </c:pt>
                <c:pt idx="5">
                  <c:v>#VALUE!</c:v>
                </c:pt>
                <c:pt idx="6">
                  <c:v>#VALUE!</c:v>
                </c:pt>
                <c:pt idx="7">
                  <c:v>#VALUE!</c:v>
                </c:pt>
                <c:pt idx="8">
                  <c:v>#VALUE!</c:v>
                </c:pt>
                <c:pt idx="9">
                  <c:v>#VALUE!</c:v>
                </c:pt>
                <c:pt idx="10">
                  <c:v>#VALUE!</c:v>
                </c:pt>
                <c:pt idx="11">
                  <c:v>#VALUE!</c:v>
                </c:pt>
                <c:pt idx="12">
                  <c:v>#VALUE!</c:v>
                </c:pt>
                <c:pt idx="13">
                  <c:v>#VALUE!</c:v>
                </c:pt>
                <c:pt idx="14">
                  <c:v>#VALUE!</c:v>
                </c:pt>
                <c:pt idx="15">
                  <c:v>#VALUE!</c:v>
                </c:pt>
                <c:pt idx="16">
                  <c:v>#VALUE!</c:v>
                </c:pt>
                <c:pt idx="17">
                  <c:v>#VALUE!</c:v>
                </c:pt>
                <c:pt idx="18">
                  <c:v>#VALUE!</c:v>
                </c:pt>
                <c:pt idx="19">
                  <c:v>#VALUE!</c:v>
                </c:pt>
                <c:pt idx="20">
                  <c:v>#VALUE!</c:v>
                </c:pt>
                <c:pt idx="21">
                  <c:v>#VALUE!</c:v>
                </c:pt>
                <c:pt idx="22">
                  <c:v>#VALUE!</c:v>
                </c:pt>
                <c:pt idx="23">
                  <c:v>#VALUE!</c:v>
                </c:pt>
                <c:pt idx="24">
                  <c:v>#VALUE!</c:v>
                </c:pt>
                <c:pt idx="25">
                  <c:v>#VALUE!</c:v>
                </c:pt>
                <c:pt idx="26">
                  <c:v>#VALUE!</c:v>
                </c:pt>
                <c:pt idx="27">
                  <c:v>#VALUE!</c:v>
                </c:pt>
                <c:pt idx="28">
                  <c:v>#VALUE!</c:v>
                </c:pt>
                <c:pt idx="29">
                  <c:v>#VALUE!</c:v>
                </c:pt>
                <c:pt idx="30">
                  <c:v>#VALUE!</c:v>
                </c:pt>
                <c:pt idx="31">
                  <c:v>#VALUE!</c:v>
                </c:pt>
                <c:pt idx="32">
                  <c:v>#VALUE!</c:v>
                </c:pt>
                <c:pt idx="33">
                  <c:v>#VALUE!</c:v>
                </c:pt>
                <c:pt idx="34">
                  <c:v>#VALUE!</c:v>
                </c:pt>
                <c:pt idx="35">
                  <c:v>#VALUE!</c:v>
                </c:pt>
                <c:pt idx="36">
                  <c:v>#VALUE!</c:v>
                </c:pt>
                <c:pt idx="37">
                  <c:v>#VALUE!</c:v>
                </c:pt>
                <c:pt idx="38">
                  <c:v>#VALUE!</c:v>
                </c:pt>
                <c:pt idx="39">
                  <c:v>#VALUE!</c:v>
                </c:pt>
                <c:pt idx="40">
                  <c:v>#VALUE!</c:v>
                </c:pt>
                <c:pt idx="41">
                  <c:v>#VALUE!</c:v>
                </c:pt>
                <c:pt idx="42">
                  <c:v>#VALUE!</c:v>
                </c:pt>
                <c:pt idx="43">
                  <c:v>#VALUE!</c:v>
                </c:pt>
                <c:pt idx="44">
                  <c:v>#VALUE!</c:v>
                </c:pt>
                <c:pt idx="45">
                  <c:v>#VALUE!</c:v>
                </c:pt>
                <c:pt idx="46">
                  <c:v>#VALUE!</c:v>
                </c:pt>
                <c:pt idx="47">
                  <c:v>#VALUE!</c:v>
                </c:pt>
                <c:pt idx="48">
                  <c:v>#VALUE!</c:v>
                </c:pt>
                <c:pt idx="49">
                  <c:v>#VALUE!</c:v>
                </c:pt>
                <c:pt idx="50">
                  <c:v>#VALUE!</c:v>
                </c:pt>
                <c:pt idx="51">
                  <c:v>#VALUE!</c:v>
                </c:pt>
                <c:pt idx="52">
                  <c:v>#VALUE!</c:v>
                </c:pt>
                <c:pt idx="53">
                  <c:v>#VALUE!</c:v>
                </c:pt>
                <c:pt idx="54">
                  <c:v>#VALUE!</c:v>
                </c:pt>
                <c:pt idx="55">
                  <c:v>#VALUE!</c:v>
                </c:pt>
                <c:pt idx="56">
                  <c:v>#VALUE!</c:v>
                </c:pt>
                <c:pt idx="57">
                  <c:v>#VALUE!</c:v>
                </c:pt>
                <c:pt idx="58">
                  <c:v>#VALUE!</c:v>
                </c:pt>
                <c:pt idx="59">
                  <c:v>#VALUE!</c:v>
                </c:pt>
                <c:pt idx="60">
                  <c:v>#VALUE!</c:v>
                </c:pt>
                <c:pt idx="61">
                  <c:v>#VALUE!</c:v>
                </c:pt>
                <c:pt idx="62">
                  <c:v>#VALUE!</c:v>
                </c:pt>
                <c:pt idx="63">
                  <c:v>#VALUE!</c:v>
                </c:pt>
                <c:pt idx="64">
                  <c:v>#VALUE!</c:v>
                </c:pt>
                <c:pt idx="65">
                  <c:v>#VALUE!</c:v>
                </c:pt>
                <c:pt idx="66">
                  <c:v>#VALUE!</c:v>
                </c:pt>
                <c:pt idx="67">
                  <c:v>#VALUE!</c:v>
                </c:pt>
                <c:pt idx="68">
                  <c:v>#VALUE!</c:v>
                </c:pt>
                <c:pt idx="69">
                  <c:v>#VALUE!</c:v>
                </c:pt>
                <c:pt idx="70">
                  <c:v>#VALUE!</c:v>
                </c:pt>
                <c:pt idx="71">
                  <c:v>#VALUE!</c:v>
                </c:pt>
                <c:pt idx="72">
                  <c:v>#VALUE!</c:v>
                </c:pt>
                <c:pt idx="73">
                  <c:v>#VALUE!</c:v>
                </c:pt>
                <c:pt idx="74">
                  <c:v>#VALUE!</c:v>
                </c:pt>
                <c:pt idx="75">
                  <c:v>#VALUE!</c:v>
                </c:pt>
                <c:pt idx="76">
                  <c:v>#VALUE!</c:v>
                </c:pt>
                <c:pt idx="77">
                  <c:v>#VALUE!</c:v>
                </c:pt>
                <c:pt idx="78">
                  <c:v>#VALUE!</c:v>
                </c:pt>
                <c:pt idx="79">
                  <c:v>#VALUE!</c:v>
                </c:pt>
                <c:pt idx="80">
                  <c:v>#VALUE!</c:v>
                </c:pt>
                <c:pt idx="81">
                  <c:v>#VALUE!</c:v>
                </c:pt>
                <c:pt idx="82">
                  <c:v>#VALUE!</c:v>
                </c:pt>
                <c:pt idx="83">
                  <c:v>#VALUE!</c:v>
                </c:pt>
                <c:pt idx="84">
                  <c:v>#VALUE!</c:v>
                </c:pt>
                <c:pt idx="85">
                  <c:v>#VALUE!</c:v>
                </c:pt>
                <c:pt idx="86">
                  <c:v>#VALUE!</c:v>
                </c:pt>
                <c:pt idx="87">
                  <c:v>#VALUE!</c:v>
                </c:pt>
                <c:pt idx="88">
                  <c:v>#VALUE!</c:v>
                </c:pt>
                <c:pt idx="89">
                  <c:v>#VALUE!</c:v>
                </c:pt>
                <c:pt idx="90">
                  <c:v>#VALUE!</c:v>
                </c:pt>
                <c:pt idx="91">
                  <c:v>#VALUE!</c:v>
                </c:pt>
                <c:pt idx="92">
                  <c:v>#VALUE!</c:v>
                </c:pt>
                <c:pt idx="93">
                  <c:v>#VALUE!</c:v>
                </c:pt>
                <c:pt idx="94">
                  <c:v>#VALUE!</c:v>
                </c:pt>
                <c:pt idx="95">
                  <c:v>#VALUE!</c:v>
                </c:pt>
                <c:pt idx="96">
                  <c:v>#VALUE!</c:v>
                </c:pt>
                <c:pt idx="97">
                  <c:v>#VALUE!</c:v>
                </c:pt>
                <c:pt idx="98">
                  <c:v>#VALUE!</c:v>
                </c:pt>
                <c:pt idx="99">
                  <c:v>#VALUE!</c:v>
                </c:pt>
                <c:pt idx="100">
                  <c:v>#VALUE!</c:v>
                </c:pt>
                <c:pt idx="101">
                  <c:v>#VALUE!</c:v>
                </c:pt>
                <c:pt idx="102">
                  <c:v>#VALUE!</c:v>
                </c:pt>
                <c:pt idx="103">
                  <c:v>#VALUE!</c:v>
                </c:pt>
                <c:pt idx="104">
                  <c:v>#VALUE!</c:v>
                </c:pt>
                <c:pt idx="105">
                  <c:v>#VALUE!</c:v>
                </c:pt>
                <c:pt idx="106">
                  <c:v>#VALUE!</c:v>
                </c:pt>
                <c:pt idx="107">
                  <c:v>#VALUE!</c:v>
                </c:pt>
                <c:pt idx="108">
                  <c:v>#VALUE!</c:v>
                </c:pt>
                <c:pt idx="109">
                  <c:v>#VALUE!</c:v>
                </c:pt>
                <c:pt idx="110">
                  <c:v>#VALUE!</c:v>
                </c:pt>
                <c:pt idx="111">
                  <c:v>#VALUE!</c:v>
                </c:pt>
                <c:pt idx="112">
                  <c:v>#VALUE!</c:v>
                </c:pt>
                <c:pt idx="113">
                  <c:v>#VALUE!</c:v>
                </c:pt>
                <c:pt idx="114">
                  <c:v>#VALUE!</c:v>
                </c:pt>
                <c:pt idx="115">
                  <c:v>#VALUE!</c:v>
                </c:pt>
                <c:pt idx="116">
                  <c:v>#VALUE!</c:v>
                </c:pt>
                <c:pt idx="117">
                  <c:v>#VALUE!</c:v>
                </c:pt>
                <c:pt idx="118">
                  <c:v>#VALUE!</c:v>
                </c:pt>
                <c:pt idx="119">
                  <c:v>#VALUE!</c:v>
                </c:pt>
                <c:pt idx="120">
                  <c:v>#VALUE!</c:v>
                </c:pt>
                <c:pt idx="121">
                  <c:v>#VALUE!</c:v>
                </c:pt>
                <c:pt idx="122">
                  <c:v>#VALUE!</c:v>
                </c:pt>
                <c:pt idx="123">
                  <c:v>#VALUE!</c:v>
                </c:pt>
                <c:pt idx="124">
                  <c:v>#VALUE!</c:v>
                </c:pt>
                <c:pt idx="125">
                  <c:v>#VALUE!</c:v>
                </c:pt>
                <c:pt idx="126">
                  <c:v>#VALUE!</c:v>
                </c:pt>
                <c:pt idx="127">
                  <c:v>#VALUE!</c:v>
                </c:pt>
                <c:pt idx="128">
                  <c:v>#VALUE!</c:v>
                </c:pt>
                <c:pt idx="129">
                  <c:v>#VALUE!</c:v>
                </c:pt>
                <c:pt idx="130">
                  <c:v>#VALUE!</c:v>
                </c:pt>
                <c:pt idx="131">
                  <c:v>#VALUE!</c:v>
                </c:pt>
                <c:pt idx="132">
                  <c:v>#VALUE!</c:v>
                </c:pt>
                <c:pt idx="133">
                  <c:v>#VALUE!</c:v>
                </c:pt>
                <c:pt idx="134">
                  <c:v>#VALUE!</c:v>
                </c:pt>
                <c:pt idx="135">
                  <c:v>#VALUE!</c:v>
                </c:pt>
                <c:pt idx="136">
                  <c:v>#VALUE!</c:v>
                </c:pt>
                <c:pt idx="137">
                  <c:v>#VALUE!</c:v>
                </c:pt>
                <c:pt idx="138">
                  <c:v>#VALUE!</c:v>
                </c:pt>
                <c:pt idx="139">
                  <c:v>#VALUE!</c:v>
                </c:pt>
                <c:pt idx="140">
                  <c:v>#VALUE!</c:v>
                </c:pt>
                <c:pt idx="141">
                  <c:v>#VALUE!</c:v>
                </c:pt>
                <c:pt idx="142">
                  <c:v>#VALUE!</c:v>
                </c:pt>
                <c:pt idx="143">
                  <c:v>#VALUE!</c:v>
                </c:pt>
                <c:pt idx="144">
                  <c:v>#VALUE!</c:v>
                </c:pt>
                <c:pt idx="145">
                  <c:v>#VALUE!</c:v>
                </c:pt>
                <c:pt idx="146">
                  <c:v>#VALUE!</c:v>
                </c:pt>
                <c:pt idx="147">
                  <c:v>#VALUE!</c:v>
                </c:pt>
                <c:pt idx="148">
                  <c:v>#VALUE!</c:v>
                </c:pt>
                <c:pt idx="149">
                  <c:v>#VALUE!</c:v>
                </c:pt>
                <c:pt idx="150">
                  <c:v>#VALUE!</c:v>
                </c:pt>
                <c:pt idx="151">
                  <c:v>#VALUE!</c:v>
                </c:pt>
                <c:pt idx="152">
                  <c:v>#VALUE!</c:v>
                </c:pt>
                <c:pt idx="153">
                  <c:v>#VALUE!</c:v>
                </c:pt>
                <c:pt idx="154">
                  <c:v>#VALUE!</c:v>
                </c:pt>
                <c:pt idx="155">
                  <c:v>#VALUE!</c:v>
                </c:pt>
                <c:pt idx="156">
                  <c:v>#VALUE!</c:v>
                </c:pt>
                <c:pt idx="157">
                  <c:v>#VALUE!</c:v>
                </c:pt>
                <c:pt idx="158">
                  <c:v>#VALUE!</c:v>
                </c:pt>
                <c:pt idx="159">
                  <c:v>#VALUE!</c:v>
                </c:pt>
                <c:pt idx="160">
                  <c:v>#VALUE!</c:v>
                </c:pt>
                <c:pt idx="161">
                  <c:v>#VALUE!</c:v>
                </c:pt>
                <c:pt idx="162">
                  <c:v>#VALUE!</c:v>
                </c:pt>
                <c:pt idx="163">
                  <c:v>#VALUE!</c:v>
                </c:pt>
                <c:pt idx="164">
                  <c:v>#VALUE!</c:v>
                </c:pt>
                <c:pt idx="165">
                  <c:v>#VALUE!</c:v>
                </c:pt>
                <c:pt idx="166">
                  <c:v>#VALUE!</c:v>
                </c:pt>
                <c:pt idx="167">
                  <c:v>#VALUE!</c:v>
                </c:pt>
                <c:pt idx="168">
                  <c:v>#VALUE!</c:v>
                </c:pt>
                <c:pt idx="169">
                  <c:v>#VALUE!</c:v>
                </c:pt>
                <c:pt idx="170">
                  <c:v>#VALUE!</c:v>
                </c:pt>
                <c:pt idx="171">
                  <c:v>#VALUE!</c:v>
                </c:pt>
                <c:pt idx="172">
                  <c:v>#VALUE!</c:v>
                </c:pt>
                <c:pt idx="173">
                  <c:v>#VALUE!</c:v>
                </c:pt>
                <c:pt idx="174">
                  <c:v>#VALUE!</c:v>
                </c:pt>
                <c:pt idx="175">
                  <c:v>#VALUE!</c:v>
                </c:pt>
                <c:pt idx="176">
                  <c:v>#VALUE!</c:v>
                </c:pt>
                <c:pt idx="177">
                  <c:v>#VALUE!</c:v>
                </c:pt>
                <c:pt idx="178">
                  <c:v>#VALUE!</c:v>
                </c:pt>
                <c:pt idx="179">
                  <c:v>#VALUE!</c:v>
                </c:pt>
                <c:pt idx="180">
                  <c:v>#VALUE!</c:v>
                </c:pt>
                <c:pt idx="181">
                  <c:v>#VALUE!</c:v>
                </c:pt>
                <c:pt idx="182">
                  <c:v>#VALUE!</c:v>
                </c:pt>
                <c:pt idx="183">
                  <c:v>#VALUE!</c:v>
                </c:pt>
                <c:pt idx="184">
                  <c:v>#VALUE!</c:v>
                </c:pt>
                <c:pt idx="185">
                  <c:v>#VALUE!</c:v>
                </c:pt>
                <c:pt idx="186">
                  <c:v>#VALUE!</c:v>
                </c:pt>
                <c:pt idx="187">
                  <c:v>#VALUE!</c:v>
                </c:pt>
                <c:pt idx="188">
                  <c:v>#VALUE!</c:v>
                </c:pt>
                <c:pt idx="189">
                  <c:v>#VALUE!</c:v>
                </c:pt>
                <c:pt idx="190">
                  <c:v>#VALUE!</c:v>
                </c:pt>
                <c:pt idx="191">
                  <c:v>#VALUE!</c:v>
                </c:pt>
                <c:pt idx="192">
                  <c:v>#VALUE!</c:v>
                </c:pt>
                <c:pt idx="193">
                  <c:v>#VALUE!</c:v>
                </c:pt>
                <c:pt idx="194">
                  <c:v>#VALUE!</c:v>
                </c:pt>
                <c:pt idx="195">
                  <c:v>#VALUE!</c:v>
                </c:pt>
                <c:pt idx="196">
                  <c:v>#VALUE!</c:v>
                </c:pt>
                <c:pt idx="197">
                  <c:v>#VALUE!</c:v>
                </c:pt>
                <c:pt idx="198">
                  <c:v>#VALUE!</c:v>
                </c:pt>
                <c:pt idx="199">
                  <c:v>#VALUE!</c:v>
                </c:pt>
                <c:pt idx="200">
                  <c:v>#VALUE!</c:v>
                </c:pt>
                <c:pt idx="201">
                  <c:v>#VALUE!</c:v>
                </c:pt>
                <c:pt idx="202">
                  <c:v>#VALUE!</c:v>
                </c:pt>
                <c:pt idx="203">
                  <c:v>#VALUE!</c:v>
                </c:pt>
                <c:pt idx="204">
                  <c:v>#VALUE!</c:v>
                </c:pt>
                <c:pt idx="205">
                  <c:v>#VALUE!</c:v>
                </c:pt>
                <c:pt idx="206">
                  <c:v>#VALUE!</c:v>
                </c:pt>
                <c:pt idx="207">
                  <c:v>#VALUE!</c:v>
                </c:pt>
                <c:pt idx="208">
                  <c:v>#VALUE!</c:v>
                </c:pt>
                <c:pt idx="209">
                  <c:v>#VALUE!</c:v>
                </c:pt>
                <c:pt idx="210">
                  <c:v>#VALUE!</c:v>
                </c:pt>
                <c:pt idx="211">
                  <c:v>#VALUE!</c:v>
                </c:pt>
                <c:pt idx="212">
                  <c:v>#VALUE!</c:v>
                </c:pt>
                <c:pt idx="213">
                  <c:v>#VALUE!</c:v>
                </c:pt>
                <c:pt idx="214">
                  <c:v>#VALUE!</c:v>
                </c:pt>
                <c:pt idx="215">
                  <c:v>#VALUE!</c:v>
                </c:pt>
                <c:pt idx="216">
                  <c:v>#VALUE!</c:v>
                </c:pt>
                <c:pt idx="217">
                  <c:v>#VALUE!</c:v>
                </c:pt>
                <c:pt idx="218">
                  <c:v>#VALUE!</c:v>
                </c:pt>
                <c:pt idx="219">
                  <c:v>#VALUE!</c:v>
                </c:pt>
                <c:pt idx="220">
                  <c:v>#VALUE!</c:v>
                </c:pt>
                <c:pt idx="221">
                  <c:v>#VALUE!</c:v>
                </c:pt>
                <c:pt idx="222">
                  <c:v>#VALUE!</c:v>
                </c:pt>
                <c:pt idx="223">
                  <c:v>#VALUE!</c:v>
                </c:pt>
                <c:pt idx="224">
                  <c:v>#VALUE!</c:v>
                </c:pt>
                <c:pt idx="225">
                  <c:v>#VALUE!</c:v>
                </c:pt>
                <c:pt idx="226">
                  <c:v>#VALUE!</c:v>
                </c:pt>
                <c:pt idx="227">
                  <c:v>#VALUE!</c:v>
                </c:pt>
                <c:pt idx="228">
                  <c:v>#VALUE!</c:v>
                </c:pt>
                <c:pt idx="229">
                  <c:v>#VALUE!</c:v>
                </c:pt>
                <c:pt idx="230">
                  <c:v>#VALUE!</c:v>
                </c:pt>
                <c:pt idx="231">
                  <c:v>#VALUE!</c:v>
                </c:pt>
                <c:pt idx="232">
                  <c:v>#VALUE!</c:v>
                </c:pt>
                <c:pt idx="233">
                  <c:v>#VALUE!</c:v>
                </c:pt>
                <c:pt idx="234">
                  <c:v>#VALUE!</c:v>
                </c:pt>
                <c:pt idx="235">
                  <c:v>#VALUE!</c:v>
                </c:pt>
                <c:pt idx="236">
                  <c:v>#VALUE!</c:v>
                </c:pt>
                <c:pt idx="237">
                  <c:v>#VALUE!</c:v>
                </c:pt>
                <c:pt idx="238">
                  <c:v>#VALUE!</c:v>
                </c:pt>
                <c:pt idx="239">
                  <c:v>#VALUE!</c:v>
                </c:pt>
                <c:pt idx="240">
                  <c:v>#VALUE!</c:v>
                </c:pt>
                <c:pt idx="241">
                  <c:v>#VALUE!</c:v>
                </c:pt>
                <c:pt idx="242">
                  <c:v>#VALUE!</c:v>
                </c:pt>
                <c:pt idx="243">
                  <c:v>#VALUE!</c:v>
                </c:pt>
                <c:pt idx="244">
                  <c:v>#VALUE!</c:v>
                </c:pt>
                <c:pt idx="245">
                  <c:v>#VALUE!</c:v>
                </c:pt>
                <c:pt idx="246">
                  <c:v>#VALUE!</c:v>
                </c:pt>
                <c:pt idx="247">
                  <c:v>#VALUE!</c:v>
                </c:pt>
                <c:pt idx="248">
                  <c:v>#VALUE!</c:v>
                </c:pt>
                <c:pt idx="249">
                  <c:v>#VALUE!</c:v>
                </c:pt>
                <c:pt idx="250">
                  <c:v>#VALUE!</c:v>
                </c:pt>
              </c:strCache>
            </c:strRef>
          </c:cat>
          <c:val>
            <c:numRef>
              <c:f>EXP!$T$17:$JJ$17</c:f>
              <c:numCache>
                <c:formatCode>0%</c:formatCode>
                <c:ptCount val="2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numCache>
            </c:numRef>
          </c:val>
          <c:extLst>
            <c:ext xmlns:c16="http://schemas.microsoft.com/office/drawing/2014/chart" uri="{C3380CC4-5D6E-409C-BE32-E72D297353CC}">
              <c16:uniqueId val="{00000008-7642-4CF9-9137-A7C777D0CFF9}"/>
            </c:ext>
          </c:extLst>
        </c:ser>
        <c:ser>
          <c:idx val="9"/>
          <c:order val="9"/>
          <c:tx>
            <c:strRef>
              <c:f>EXP!$S$18</c:f>
              <c:strCache>
                <c:ptCount val="1"/>
              </c:strCache>
            </c:strRef>
          </c:tx>
          <c:spPr>
            <a:solidFill>
              <a:schemeClr val="accent4">
                <a:lumMod val="60000"/>
              </a:schemeClr>
            </a:solidFill>
            <a:ln w="6350">
              <a:noFill/>
            </a:ln>
            <a:effectLst/>
          </c:spPr>
          <c:cat>
            <c:strRef>
              <c:f>EXP!$T$7:$JJ$7</c:f>
              <c:strCache>
                <c:ptCount val="251"/>
                <c:pt idx="1">
                  <c:v>#VALUE!</c:v>
                </c:pt>
                <c:pt idx="2">
                  <c:v>#VALUE!</c:v>
                </c:pt>
                <c:pt idx="3">
                  <c:v>#VALUE!</c:v>
                </c:pt>
                <c:pt idx="4">
                  <c:v>#VALUE!</c:v>
                </c:pt>
                <c:pt idx="5">
                  <c:v>#VALUE!</c:v>
                </c:pt>
                <c:pt idx="6">
                  <c:v>#VALUE!</c:v>
                </c:pt>
                <c:pt idx="7">
                  <c:v>#VALUE!</c:v>
                </c:pt>
                <c:pt idx="8">
                  <c:v>#VALUE!</c:v>
                </c:pt>
                <c:pt idx="9">
                  <c:v>#VALUE!</c:v>
                </c:pt>
                <c:pt idx="10">
                  <c:v>#VALUE!</c:v>
                </c:pt>
                <c:pt idx="11">
                  <c:v>#VALUE!</c:v>
                </c:pt>
                <c:pt idx="12">
                  <c:v>#VALUE!</c:v>
                </c:pt>
                <c:pt idx="13">
                  <c:v>#VALUE!</c:v>
                </c:pt>
                <c:pt idx="14">
                  <c:v>#VALUE!</c:v>
                </c:pt>
                <c:pt idx="15">
                  <c:v>#VALUE!</c:v>
                </c:pt>
                <c:pt idx="16">
                  <c:v>#VALUE!</c:v>
                </c:pt>
                <c:pt idx="17">
                  <c:v>#VALUE!</c:v>
                </c:pt>
                <c:pt idx="18">
                  <c:v>#VALUE!</c:v>
                </c:pt>
                <c:pt idx="19">
                  <c:v>#VALUE!</c:v>
                </c:pt>
                <c:pt idx="20">
                  <c:v>#VALUE!</c:v>
                </c:pt>
                <c:pt idx="21">
                  <c:v>#VALUE!</c:v>
                </c:pt>
                <c:pt idx="22">
                  <c:v>#VALUE!</c:v>
                </c:pt>
                <c:pt idx="23">
                  <c:v>#VALUE!</c:v>
                </c:pt>
                <c:pt idx="24">
                  <c:v>#VALUE!</c:v>
                </c:pt>
                <c:pt idx="25">
                  <c:v>#VALUE!</c:v>
                </c:pt>
                <c:pt idx="26">
                  <c:v>#VALUE!</c:v>
                </c:pt>
                <c:pt idx="27">
                  <c:v>#VALUE!</c:v>
                </c:pt>
                <c:pt idx="28">
                  <c:v>#VALUE!</c:v>
                </c:pt>
                <c:pt idx="29">
                  <c:v>#VALUE!</c:v>
                </c:pt>
                <c:pt idx="30">
                  <c:v>#VALUE!</c:v>
                </c:pt>
                <c:pt idx="31">
                  <c:v>#VALUE!</c:v>
                </c:pt>
                <c:pt idx="32">
                  <c:v>#VALUE!</c:v>
                </c:pt>
                <c:pt idx="33">
                  <c:v>#VALUE!</c:v>
                </c:pt>
                <c:pt idx="34">
                  <c:v>#VALUE!</c:v>
                </c:pt>
                <c:pt idx="35">
                  <c:v>#VALUE!</c:v>
                </c:pt>
                <c:pt idx="36">
                  <c:v>#VALUE!</c:v>
                </c:pt>
                <c:pt idx="37">
                  <c:v>#VALUE!</c:v>
                </c:pt>
                <c:pt idx="38">
                  <c:v>#VALUE!</c:v>
                </c:pt>
                <c:pt idx="39">
                  <c:v>#VALUE!</c:v>
                </c:pt>
                <c:pt idx="40">
                  <c:v>#VALUE!</c:v>
                </c:pt>
                <c:pt idx="41">
                  <c:v>#VALUE!</c:v>
                </c:pt>
                <c:pt idx="42">
                  <c:v>#VALUE!</c:v>
                </c:pt>
                <c:pt idx="43">
                  <c:v>#VALUE!</c:v>
                </c:pt>
                <c:pt idx="44">
                  <c:v>#VALUE!</c:v>
                </c:pt>
                <c:pt idx="45">
                  <c:v>#VALUE!</c:v>
                </c:pt>
                <c:pt idx="46">
                  <c:v>#VALUE!</c:v>
                </c:pt>
                <c:pt idx="47">
                  <c:v>#VALUE!</c:v>
                </c:pt>
                <c:pt idx="48">
                  <c:v>#VALUE!</c:v>
                </c:pt>
                <c:pt idx="49">
                  <c:v>#VALUE!</c:v>
                </c:pt>
                <c:pt idx="50">
                  <c:v>#VALUE!</c:v>
                </c:pt>
                <c:pt idx="51">
                  <c:v>#VALUE!</c:v>
                </c:pt>
                <c:pt idx="52">
                  <c:v>#VALUE!</c:v>
                </c:pt>
                <c:pt idx="53">
                  <c:v>#VALUE!</c:v>
                </c:pt>
                <c:pt idx="54">
                  <c:v>#VALUE!</c:v>
                </c:pt>
                <c:pt idx="55">
                  <c:v>#VALUE!</c:v>
                </c:pt>
                <c:pt idx="56">
                  <c:v>#VALUE!</c:v>
                </c:pt>
                <c:pt idx="57">
                  <c:v>#VALUE!</c:v>
                </c:pt>
                <c:pt idx="58">
                  <c:v>#VALUE!</c:v>
                </c:pt>
                <c:pt idx="59">
                  <c:v>#VALUE!</c:v>
                </c:pt>
                <c:pt idx="60">
                  <c:v>#VALUE!</c:v>
                </c:pt>
                <c:pt idx="61">
                  <c:v>#VALUE!</c:v>
                </c:pt>
                <c:pt idx="62">
                  <c:v>#VALUE!</c:v>
                </c:pt>
                <c:pt idx="63">
                  <c:v>#VALUE!</c:v>
                </c:pt>
                <c:pt idx="64">
                  <c:v>#VALUE!</c:v>
                </c:pt>
                <c:pt idx="65">
                  <c:v>#VALUE!</c:v>
                </c:pt>
                <c:pt idx="66">
                  <c:v>#VALUE!</c:v>
                </c:pt>
                <c:pt idx="67">
                  <c:v>#VALUE!</c:v>
                </c:pt>
                <c:pt idx="68">
                  <c:v>#VALUE!</c:v>
                </c:pt>
                <c:pt idx="69">
                  <c:v>#VALUE!</c:v>
                </c:pt>
                <c:pt idx="70">
                  <c:v>#VALUE!</c:v>
                </c:pt>
                <c:pt idx="71">
                  <c:v>#VALUE!</c:v>
                </c:pt>
                <c:pt idx="72">
                  <c:v>#VALUE!</c:v>
                </c:pt>
                <c:pt idx="73">
                  <c:v>#VALUE!</c:v>
                </c:pt>
                <c:pt idx="74">
                  <c:v>#VALUE!</c:v>
                </c:pt>
                <c:pt idx="75">
                  <c:v>#VALUE!</c:v>
                </c:pt>
                <c:pt idx="76">
                  <c:v>#VALUE!</c:v>
                </c:pt>
                <c:pt idx="77">
                  <c:v>#VALUE!</c:v>
                </c:pt>
                <c:pt idx="78">
                  <c:v>#VALUE!</c:v>
                </c:pt>
                <c:pt idx="79">
                  <c:v>#VALUE!</c:v>
                </c:pt>
                <c:pt idx="80">
                  <c:v>#VALUE!</c:v>
                </c:pt>
                <c:pt idx="81">
                  <c:v>#VALUE!</c:v>
                </c:pt>
                <c:pt idx="82">
                  <c:v>#VALUE!</c:v>
                </c:pt>
                <c:pt idx="83">
                  <c:v>#VALUE!</c:v>
                </c:pt>
                <c:pt idx="84">
                  <c:v>#VALUE!</c:v>
                </c:pt>
                <c:pt idx="85">
                  <c:v>#VALUE!</c:v>
                </c:pt>
                <c:pt idx="86">
                  <c:v>#VALUE!</c:v>
                </c:pt>
                <c:pt idx="87">
                  <c:v>#VALUE!</c:v>
                </c:pt>
                <c:pt idx="88">
                  <c:v>#VALUE!</c:v>
                </c:pt>
                <c:pt idx="89">
                  <c:v>#VALUE!</c:v>
                </c:pt>
                <c:pt idx="90">
                  <c:v>#VALUE!</c:v>
                </c:pt>
                <c:pt idx="91">
                  <c:v>#VALUE!</c:v>
                </c:pt>
                <c:pt idx="92">
                  <c:v>#VALUE!</c:v>
                </c:pt>
                <c:pt idx="93">
                  <c:v>#VALUE!</c:v>
                </c:pt>
                <c:pt idx="94">
                  <c:v>#VALUE!</c:v>
                </c:pt>
                <c:pt idx="95">
                  <c:v>#VALUE!</c:v>
                </c:pt>
                <c:pt idx="96">
                  <c:v>#VALUE!</c:v>
                </c:pt>
                <c:pt idx="97">
                  <c:v>#VALUE!</c:v>
                </c:pt>
                <c:pt idx="98">
                  <c:v>#VALUE!</c:v>
                </c:pt>
                <c:pt idx="99">
                  <c:v>#VALUE!</c:v>
                </c:pt>
                <c:pt idx="100">
                  <c:v>#VALUE!</c:v>
                </c:pt>
                <c:pt idx="101">
                  <c:v>#VALUE!</c:v>
                </c:pt>
                <c:pt idx="102">
                  <c:v>#VALUE!</c:v>
                </c:pt>
                <c:pt idx="103">
                  <c:v>#VALUE!</c:v>
                </c:pt>
                <c:pt idx="104">
                  <c:v>#VALUE!</c:v>
                </c:pt>
                <c:pt idx="105">
                  <c:v>#VALUE!</c:v>
                </c:pt>
                <c:pt idx="106">
                  <c:v>#VALUE!</c:v>
                </c:pt>
                <c:pt idx="107">
                  <c:v>#VALUE!</c:v>
                </c:pt>
                <c:pt idx="108">
                  <c:v>#VALUE!</c:v>
                </c:pt>
                <c:pt idx="109">
                  <c:v>#VALUE!</c:v>
                </c:pt>
                <c:pt idx="110">
                  <c:v>#VALUE!</c:v>
                </c:pt>
                <c:pt idx="111">
                  <c:v>#VALUE!</c:v>
                </c:pt>
                <c:pt idx="112">
                  <c:v>#VALUE!</c:v>
                </c:pt>
                <c:pt idx="113">
                  <c:v>#VALUE!</c:v>
                </c:pt>
                <c:pt idx="114">
                  <c:v>#VALUE!</c:v>
                </c:pt>
                <c:pt idx="115">
                  <c:v>#VALUE!</c:v>
                </c:pt>
                <c:pt idx="116">
                  <c:v>#VALUE!</c:v>
                </c:pt>
                <c:pt idx="117">
                  <c:v>#VALUE!</c:v>
                </c:pt>
                <c:pt idx="118">
                  <c:v>#VALUE!</c:v>
                </c:pt>
                <c:pt idx="119">
                  <c:v>#VALUE!</c:v>
                </c:pt>
                <c:pt idx="120">
                  <c:v>#VALUE!</c:v>
                </c:pt>
                <c:pt idx="121">
                  <c:v>#VALUE!</c:v>
                </c:pt>
                <c:pt idx="122">
                  <c:v>#VALUE!</c:v>
                </c:pt>
                <c:pt idx="123">
                  <c:v>#VALUE!</c:v>
                </c:pt>
                <c:pt idx="124">
                  <c:v>#VALUE!</c:v>
                </c:pt>
                <c:pt idx="125">
                  <c:v>#VALUE!</c:v>
                </c:pt>
                <c:pt idx="126">
                  <c:v>#VALUE!</c:v>
                </c:pt>
                <c:pt idx="127">
                  <c:v>#VALUE!</c:v>
                </c:pt>
                <c:pt idx="128">
                  <c:v>#VALUE!</c:v>
                </c:pt>
                <c:pt idx="129">
                  <c:v>#VALUE!</c:v>
                </c:pt>
                <c:pt idx="130">
                  <c:v>#VALUE!</c:v>
                </c:pt>
                <c:pt idx="131">
                  <c:v>#VALUE!</c:v>
                </c:pt>
                <c:pt idx="132">
                  <c:v>#VALUE!</c:v>
                </c:pt>
                <c:pt idx="133">
                  <c:v>#VALUE!</c:v>
                </c:pt>
                <c:pt idx="134">
                  <c:v>#VALUE!</c:v>
                </c:pt>
                <c:pt idx="135">
                  <c:v>#VALUE!</c:v>
                </c:pt>
                <c:pt idx="136">
                  <c:v>#VALUE!</c:v>
                </c:pt>
                <c:pt idx="137">
                  <c:v>#VALUE!</c:v>
                </c:pt>
                <c:pt idx="138">
                  <c:v>#VALUE!</c:v>
                </c:pt>
                <c:pt idx="139">
                  <c:v>#VALUE!</c:v>
                </c:pt>
                <c:pt idx="140">
                  <c:v>#VALUE!</c:v>
                </c:pt>
                <c:pt idx="141">
                  <c:v>#VALUE!</c:v>
                </c:pt>
                <c:pt idx="142">
                  <c:v>#VALUE!</c:v>
                </c:pt>
                <c:pt idx="143">
                  <c:v>#VALUE!</c:v>
                </c:pt>
                <c:pt idx="144">
                  <c:v>#VALUE!</c:v>
                </c:pt>
                <c:pt idx="145">
                  <c:v>#VALUE!</c:v>
                </c:pt>
                <c:pt idx="146">
                  <c:v>#VALUE!</c:v>
                </c:pt>
                <c:pt idx="147">
                  <c:v>#VALUE!</c:v>
                </c:pt>
                <c:pt idx="148">
                  <c:v>#VALUE!</c:v>
                </c:pt>
                <c:pt idx="149">
                  <c:v>#VALUE!</c:v>
                </c:pt>
                <c:pt idx="150">
                  <c:v>#VALUE!</c:v>
                </c:pt>
                <c:pt idx="151">
                  <c:v>#VALUE!</c:v>
                </c:pt>
                <c:pt idx="152">
                  <c:v>#VALUE!</c:v>
                </c:pt>
                <c:pt idx="153">
                  <c:v>#VALUE!</c:v>
                </c:pt>
                <c:pt idx="154">
                  <c:v>#VALUE!</c:v>
                </c:pt>
                <c:pt idx="155">
                  <c:v>#VALUE!</c:v>
                </c:pt>
                <c:pt idx="156">
                  <c:v>#VALUE!</c:v>
                </c:pt>
                <c:pt idx="157">
                  <c:v>#VALUE!</c:v>
                </c:pt>
                <c:pt idx="158">
                  <c:v>#VALUE!</c:v>
                </c:pt>
                <c:pt idx="159">
                  <c:v>#VALUE!</c:v>
                </c:pt>
                <c:pt idx="160">
                  <c:v>#VALUE!</c:v>
                </c:pt>
                <c:pt idx="161">
                  <c:v>#VALUE!</c:v>
                </c:pt>
                <c:pt idx="162">
                  <c:v>#VALUE!</c:v>
                </c:pt>
                <c:pt idx="163">
                  <c:v>#VALUE!</c:v>
                </c:pt>
                <c:pt idx="164">
                  <c:v>#VALUE!</c:v>
                </c:pt>
                <c:pt idx="165">
                  <c:v>#VALUE!</c:v>
                </c:pt>
                <c:pt idx="166">
                  <c:v>#VALUE!</c:v>
                </c:pt>
                <c:pt idx="167">
                  <c:v>#VALUE!</c:v>
                </c:pt>
                <c:pt idx="168">
                  <c:v>#VALUE!</c:v>
                </c:pt>
                <c:pt idx="169">
                  <c:v>#VALUE!</c:v>
                </c:pt>
                <c:pt idx="170">
                  <c:v>#VALUE!</c:v>
                </c:pt>
                <c:pt idx="171">
                  <c:v>#VALUE!</c:v>
                </c:pt>
                <c:pt idx="172">
                  <c:v>#VALUE!</c:v>
                </c:pt>
                <c:pt idx="173">
                  <c:v>#VALUE!</c:v>
                </c:pt>
                <c:pt idx="174">
                  <c:v>#VALUE!</c:v>
                </c:pt>
                <c:pt idx="175">
                  <c:v>#VALUE!</c:v>
                </c:pt>
                <c:pt idx="176">
                  <c:v>#VALUE!</c:v>
                </c:pt>
                <c:pt idx="177">
                  <c:v>#VALUE!</c:v>
                </c:pt>
                <c:pt idx="178">
                  <c:v>#VALUE!</c:v>
                </c:pt>
                <c:pt idx="179">
                  <c:v>#VALUE!</c:v>
                </c:pt>
                <c:pt idx="180">
                  <c:v>#VALUE!</c:v>
                </c:pt>
                <c:pt idx="181">
                  <c:v>#VALUE!</c:v>
                </c:pt>
                <c:pt idx="182">
                  <c:v>#VALUE!</c:v>
                </c:pt>
                <c:pt idx="183">
                  <c:v>#VALUE!</c:v>
                </c:pt>
                <c:pt idx="184">
                  <c:v>#VALUE!</c:v>
                </c:pt>
                <c:pt idx="185">
                  <c:v>#VALUE!</c:v>
                </c:pt>
                <c:pt idx="186">
                  <c:v>#VALUE!</c:v>
                </c:pt>
                <c:pt idx="187">
                  <c:v>#VALUE!</c:v>
                </c:pt>
                <c:pt idx="188">
                  <c:v>#VALUE!</c:v>
                </c:pt>
                <c:pt idx="189">
                  <c:v>#VALUE!</c:v>
                </c:pt>
                <c:pt idx="190">
                  <c:v>#VALUE!</c:v>
                </c:pt>
                <c:pt idx="191">
                  <c:v>#VALUE!</c:v>
                </c:pt>
                <c:pt idx="192">
                  <c:v>#VALUE!</c:v>
                </c:pt>
                <c:pt idx="193">
                  <c:v>#VALUE!</c:v>
                </c:pt>
                <c:pt idx="194">
                  <c:v>#VALUE!</c:v>
                </c:pt>
                <c:pt idx="195">
                  <c:v>#VALUE!</c:v>
                </c:pt>
                <c:pt idx="196">
                  <c:v>#VALUE!</c:v>
                </c:pt>
                <c:pt idx="197">
                  <c:v>#VALUE!</c:v>
                </c:pt>
                <c:pt idx="198">
                  <c:v>#VALUE!</c:v>
                </c:pt>
                <c:pt idx="199">
                  <c:v>#VALUE!</c:v>
                </c:pt>
                <c:pt idx="200">
                  <c:v>#VALUE!</c:v>
                </c:pt>
                <c:pt idx="201">
                  <c:v>#VALUE!</c:v>
                </c:pt>
                <c:pt idx="202">
                  <c:v>#VALUE!</c:v>
                </c:pt>
                <c:pt idx="203">
                  <c:v>#VALUE!</c:v>
                </c:pt>
                <c:pt idx="204">
                  <c:v>#VALUE!</c:v>
                </c:pt>
                <c:pt idx="205">
                  <c:v>#VALUE!</c:v>
                </c:pt>
                <c:pt idx="206">
                  <c:v>#VALUE!</c:v>
                </c:pt>
                <c:pt idx="207">
                  <c:v>#VALUE!</c:v>
                </c:pt>
                <c:pt idx="208">
                  <c:v>#VALUE!</c:v>
                </c:pt>
                <c:pt idx="209">
                  <c:v>#VALUE!</c:v>
                </c:pt>
                <c:pt idx="210">
                  <c:v>#VALUE!</c:v>
                </c:pt>
                <c:pt idx="211">
                  <c:v>#VALUE!</c:v>
                </c:pt>
                <c:pt idx="212">
                  <c:v>#VALUE!</c:v>
                </c:pt>
                <c:pt idx="213">
                  <c:v>#VALUE!</c:v>
                </c:pt>
                <c:pt idx="214">
                  <c:v>#VALUE!</c:v>
                </c:pt>
                <c:pt idx="215">
                  <c:v>#VALUE!</c:v>
                </c:pt>
                <c:pt idx="216">
                  <c:v>#VALUE!</c:v>
                </c:pt>
                <c:pt idx="217">
                  <c:v>#VALUE!</c:v>
                </c:pt>
                <c:pt idx="218">
                  <c:v>#VALUE!</c:v>
                </c:pt>
                <c:pt idx="219">
                  <c:v>#VALUE!</c:v>
                </c:pt>
                <c:pt idx="220">
                  <c:v>#VALUE!</c:v>
                </c:pt>
                <c:pt idx="221">
                  <c:v>#VALUE!</c:v>
                </c:pt>
                <c:pt idx="222">
                  <c:v>#VALUE!</c:v>
                </c:pt>
                <c:pt idx="223">
                  <c:v>#VALUE!</c:v>
                </c:pt>
                <c:pt idx="224">
                  <c:v>#VALUE!</c:v>
                </c:pt>
                <c:pt idx="225">
                  <c:v>#VALUE!</c:v>
                </c:pt>
                <c:pt idx="226">
                  <c:v>#VALUE!</c:v>
                </c:pt>
                <c:pt idx="227">
                  <c:v>#VALUE!</c:v>
                </c:pt>
                <c:pt idx="228">
                  <c:v>#VALUE!</c:v>
                </c:pt>
                <c:pt idx="229">
                  <c:v>#VALUE!</c:v>
                </c:pt>
                <c:pt idx="230">
                  <c:v>#VALUE!</c:v>
                </c:pt>
                <c:pt idx="231">
                  <c:v>#VALUE!</c:v>
                </c:pt>
                <c:pt idx="232">
                  <c:v>#VALUE!</c:v>
                </c:pt>
                <c:pt idx="233">
                  <c:v>#VALUE!</c:v>
                </c:pt>
                <c:pt idx="234">
                  <c:v>#VALUE!</c:v>
                </c:pt>
                <c:pt idx="235">
                  <c:v>#VALUE!</c:v>
                </c:pt>
                <c:pt idx="236">
                  <c:v>#VALUE!</c:v>
                </c:pt>
                <c:pt idx="237">
                  <c:v>#VALUE!</c:v>
                </c:pt>
                <c:pt idx="238">
                  <c:v>#VALUE!</c:v>
                </c:pt>
                <c:pt idx="239">
                  <c:v>#VALUE!</c:v>
                </c:pt>
                <c:pt idx="240">
                  <c:v>#VALUE!</c:v>
                </c:pt>
                <c:pt idx="241">
                  <c:v>#VALUE!</c:v>
                </c:pt>
                <c:pt idx="242">
                  <c:v>#VALUE!</c:v>
                </c:pt>
                <c:pt idx="243">
                  <c:v>#VALUE!</c:v>
                </c:pt>
                <c:pt idx="244">
                  <c:v>#VALUE!</c:v>
                </c:pt>
                <c:pt idx="245">
                  <c:v>#VALUE!</c:v>
                </c:pt>
                <c:pt idx="246">
                  <c:v>#VALUE!</c:v>
                </c:pt>
                <c:pt idx="247">
                  <c:v>#VALUE!</c:v>
                </c:pt>
                <c:pt idx="248">
                  <c:v>#VALUE!</c:v>
                </c:pt>
                <c:pt idx="249">
                  <c:v>#VALUE!</c:v>
                </c:pt>
                <c:pt idx="250">
                  <c:v>#VALUE!</c:v>
                </c:pt>
              </c:strCache>
            </c:strRef>
          </c:cat>
          <c:val>
            <c:numRef>
              <c:f>EXP!$T$18:$JJ$18</c:f>
              <c:numCache>
                <c:formatCode>0%</c:formatCode>
                <c:ptCount val="2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numCache>
            </c:numRef>
          </c:val>
          <c:extLst>
            <c:ext xmlns:c16="http://schemas.microsoft.com/office/drawing/2014/chart" uri="{C3380CC4-5D6E-409C-BE32-E72D297353CC}">
              <c16:uniqueId val="{00000009-7642-4CF9-9137-A7C777D0CFF9}"/>
            </c:ext>
          </c:extLst>
        </c:ser>
        <c:ser>
          <c:idx val="10"/>
          <c:order val="10"/>
          <c:tx>
            <c:strRef>
              <c:f>EXP!$S$19</c:f>
              <c:strCache>
                <c:ptCount val="1"/>
              </c:strCache>
            </c:strRef>
          </c:tx>
          <c:spPr>
            <a:solidFill>
              <a:schemeClr val="accent5">
                <a:lumMod val="60000"/>
              </a:schemeClr>
            </a:solidFill>
            <a:ln w="6350">
              <a:noFill/>
            </a:ln>
            <a:effectLst/>
          </c:spPr>
          <c:cat>
            <c:strRef>
              <c:f>EXP!$T$7:$JJ$7</c:f>
              <c:strCache>
                <c:ptCount val="251"/>
                <c:pt idx="1">
                  <c:v>#VALUE!</c:v>
                </c:pt>
                <c:pt idx="2">
                  <c:v>#VALUE!</c:v>
                </c:pt>
                <c:pt idx="3">
                  <c:v>#VALUE!</c:v>
                </c:pt>
                <c:pt idx="4">
                  <c:v>#VALUE!</c:v>
                </c:pt>
                <c:pt idx="5">
                  <c:v>#VALUE!</c:v>
                </c:pt>
                <c:pt idx="6">
                  <c:v>#VALUE!</c:v>
                </c:pt>
                <c:pt idx="7">
                  <c:v>#VALUE!</c:v>
                </c:pt>
                <c:pt idx="8">
                  <c:v>#VALUE!</c:v>
                </c:pt>
                <c:pt idx="9">
                  <c:v>#VALUE!</c:v>
                </c:pt>
                <c:pt idx="10">
                  <c:v>#VALUE!</c:v>
                </c:pt>
                <c:pt idx="11">
                  <c:v>#VALUE!</c:v>
                </c:pt>
                <c:pt idx="12">
                  <c:v>#VALUE!</c:v>
                </c:pt>
                <c:pt idx="13">
                  <c:v>#VALUE!</c:v>
                </c:pt>
                <c:pt idx="14">
                  <c:v>#VALUE!</c:v>
                </c:pt>
                <c:pt idx="15">
                  <c:v>#VALUE!</c:v>
                </c:pt>
                <c:pt idx="16">
                  <c:v>#VALUE!</c:v>
                </c:pt>
                <c:pt idx="17">
                  <c:v>#VALUE!</c:v>
                </c:pt>
                <c:pt idx="18">
                  <c:v>#VALUE!</c:v>
                </c:pt>
                <c:pt idx="19">
                  <c:v>#VALUE!</c:v>
                </c:pt>
                <c:pt idx="20">
                  <c:v>#VALUE!</c:v>
                </c:pt>
                <c:pt idx="21">
                  <c:v>#VALUE!</c:v>
                </c:pt>
                <c:pt idx="22">
                  <c:v>#VALUE!</c:v>
                </c:pt>
                <c:pt idx="23">
                  <c:v>#VALUE!</c:v>
                </c:pt>
                <c:pt idx="24">
                  <c:v>#VALUE!</c:v>
                </c:pt>
                <c:pt idx="25">
                  <c:v>#VALUE!</c:v>
                </c:pt>
                <c:pt idx="26">
                  <c:v>#VALUE!</c:v>
                </c:pt>
                <c:pt idx="27">
                  <c:v>#VALUE!</c:v>
                </c:pt>
                <c:pt idx="28">
                  <c:v>#VALUE!</c:v>
                </c:pt>
                <c:pt idx="29">
                  <c:v>#VALUE!</c:v>
                </c:pt>
                <c:pt idx="30">
                  <c:v>#VALUE!</c:v>
                </c:pt>
                <c:pt idx="31">
                  <c:v>#VALUE!</c:v>
                </c:pt>
                <c:pt idx="32">
                  <c:v>#VALUE!</c:v>
                </c:pt>
                <c:pt idx="33">
                  <c:v>#VALUE!</c:v>
                </c:pt>
                <c:pt idx="34">
                  <c:v>#VALUE!</c:v>
                </c:pt>
                <c:pt idx="35">
                  <c:v>#VALUE!</c:v>
                </c:pt>
                <c:pt idx="36">
                  <c:v>#VALUE!</c:v>
                </c:pt>
                <c:pt idx="37">
                  <c:v>#VALUE!</c:v>
                </c:pt>
                <c:pt idx="38">
                  <c:v>#VALUE!</c:v>
                </c:pt>
                <c:pt idx="39">
                  <c:v>#VALUE!</c:v>
                </c:pt>
                <c:pt idx="40">
                  <c:v>#VALUE!</c:v>
                </c:pt>
                <c:pt idx="41">
                  <c:v>#VALUE!</c:v>
                </c:pt>
                <c:pt idx="42">
                  <c:v>#VALUE!</c:v>
                </c:pt>
                <c:pt idx="43">
                  <c:v>#VALUE!</c:v>
                </c:pt>
                <c:pt idx="44">
                  <c:v>#VALUE!</c:v>
                </c:pt>
                <c:pt idx="45">
                  <c:v>#VALUE!</c:v>
                </c:pt>
                <c:pt idx="46">
                  <c:v>#VALUE!</c:v>
                </c:pt>
                <c:pt idx="47">
                  <c:v>#VALUE!</c:v>
                </c:pt>
                <c:pt idx="48">
                  <c:v>#VALUE!</c:v>
                </c:pt>
                <c:pt idx="49">
                  <c:v>#VALUE!</c:v>
                </c:pt>
                <c:pt idx="50">
                  <c:v>#VALUE!</c:v>
                </c:pt>
                <c:pt idx="51">
                  <c:v>#VALUE!</c:v>
                </c:pt>
                <c:pt idx="52">
                  <c:v>#VALUE!</c:v>
                </c:pt>
                <c:pt idx="53">
                  <c:v>#VALUE!</c:v>
                </c:pt>
                <c:pt idx="54">
                  <c:v>#VALUE!</c:v>
                </c:pt>
                <c:pt idx="55">
                  <c:v>#VALUE!</c:v>
                </c:pt>
                <c:pt idx="56">
                  <c:v>#VALUE!</c:v>
                </c:pt>
                <c:pt idx="57">
                  <c:v>#VALUE!</c:v>
                </c:pt>
                <c:pt idx="58">
                  <c:v>#VALUE!</c:v>
                </c:pt>
                <c:pt idx="59">
                  <c:v>#VALUE!</c:v>
                </c:pt>
                <c:pt idx="60">
                  <c:v>#VALUE!</c:v>
                </c:pt>
                <c:pt idx="61">
                  <c:v>#VALUE!</c:v>
                </c:pt>
                <c:pt idx="62">
                  <c:v>#VALUE!</c:v>
                </c:pt>
                <c:pt idx="63">
                  <c:v>#VALUE!</c:v>
                </c:pt>
                <c:pt idx="64">
                  <c:v>#VALUE!</c:v>
                </c:pt>
                <c:pt idx="65">
                  <c:v>#VALUE!</c:v>
                </c:pt>
                <c:pt idx="66">
                  <c:v>#VALUE!</c:v>
                </c:pt>
                <c:pt idx="67">
                  <c:v>#VALUE!</c:v>
                </c:pt>
                <c:pt idx="68">
                  <c:v>#VALUE!</c:v>
                </c:pt>
                <c:pt idx="69">
                  <c:v>#VALUE!</c:v>
                </c:pt>
                <c:pt idx="70">
                  <c:v>#VALUE!</c:v>
                </c:pt>
                <c:pt idx="71">
                  <c:v>#VALUE!</c:v>
                </c:pt>
                <c:pt idx="72">
                  <c:v>#VALUE!</c:v>
                </c:pt>
                <c:pt idx="73">
                  <c:v>#VALUE!</c:v>
                </c:pt>
                <c:pt idx="74">
                  <c:v>#VALUE!</c:v>
                </c:pt>
                <c:pt idx="75">
                  <c:v>#VALUE!</c:v>
                </c:pt>
                <c:pt idx="76">
                  <c:v>#VALUE!</c:v>
                </c:pt>
                <c:pt idx="77">
                  <c:v>#VALUE!</c:v>
                </c:pt>
                <c:pt idx="78">
                  <c:v>#VALUE!</c:v>
                </c:pt>
                <c:pt idx="79">
                  <c:v>#VALUE!</c:v>
                </c:pt>
                <c:pt idx="80">
                  <c:v>#VALUE!</c:v>
                </c:pt>
                <c:pt idx="81">
                  <c:v>#VALUE!</c:v>
                </c:pt>
                <c:pt idx="82">
                  <c:v>#VALUE!</c:v>
                </c:pt>
                <c:pt idx="83">
                  <c:v>#VALUE!</c:v>
                </c:pt>
                <c:pt idx="84">
                  <c:v>#VALUE!</c:v>
                </c:pt>
                <c:pt idx="85">
                  <c:v>#VALUE!</c:v>
                </c:pt>
                <c:pt idx="86">
                  <c:v>#VALUE!</c:v>
                </c:pt>
                <c:pt idx="87">
                  <c:v>#VALUE!</c:v>
                </c:pt>
                <c:pt idx="88">
                  <c:v>#VALUE!</c:v>
                </c:pt>
                <c:pt idx="89">
                  <c:v>#VALUE!</c:v>
                </c:pt>
                <c:pt idx="90">
                  <c:v>#VALUE!</c:v>
                </c:pt>
                <c:pt idx="91">
                  <c:v>#VALUE!</c:v>
                </c:pt>
                <c:pt idx="92">
                  <c:v>#VALUE!</c:v>
                </c:pt>
                <c:pt idx="93">
                  <c:v>#VALUE!</c:v>
                </c:pt>
                <c:pt idx="94">
                  <c:v>#VALUE!</c:v>
                </c:pt>
                <c:pt idx="95">
                  <c:v>#VALUE!</c:v>
                </c:pt>
                <c:pt idx="96">
                  <c:v>#VALUE!</c:v>
                </c:pt>
                <c:pt idx="97">
                  <c:v>#VALUE!</c:v>
                </c:pt>
                <c:pt idx="98">
                  <c:v>#VALUE!</c:v>
                </c:pt>
                <c:pt idx="99">
                  <c:v>#VALUE!</c:v>
                </c:pt>
                <c:pt idx="100">
                  <c:v>#VALUE!</c:v>
                </c:pt>
                <c:pt idx="101">
                  <c:v>#VALUE!</c:v>
                </c:pt>
                <c:pt idx="102">
                  <c:v>#VALUE!</c:v>
                </c:pt>
                <c:pt idx="103">
                  <c:v>#VALUE!</c:v>
                </c:pt>
                <c:pt idx="104">
                  <c:v>#VALUE!</c:v>
                </c:pt>
                <c:pt idx="105">
                  <c:v>#VALUE!</c:v>
                </c:pt>
                <c:pt idx="106">
                  <c:v>#VALUE!</c:v>
                </c:pt>
                <c:pt idx="107">
                  <c:v>#VALUE!</c:v>
                </c:pt>
                <c:pt idx="108">
                  <c:v>#VALUE!</c:v>
                </c:pt>
                <c:pt idx="109">
                  <c:v>#VALUE!</c:v>
                </c:pt>
                <c:pt idx="110">
                  <c:v>#VALUE!</c:v>
                </c:pt>
                <c:pt idx="111">
                  <c:v>#VALUE!</c:v>
                </c:pt>
                <c:pt idx="112">
                  <c:v>#VALUE!</c:v>
                </c:pt>
                <c:pt idx="113">
                  <c:v>#VALUE!</c:v>
                </c:pt>
                <c:pt idx="114">
                  <c:v>#VALUE!</c:v>
                </c:pt>
                <c:pt idx="115">
                  <c:v>#VALUE!</c:v>
                </c:pt>
                <c:pt idx="116">
                  <c:v>#VALUE!</c:v>
                </c:pt>
                <c:pt idx="117">
                  <c:v>#VALUE!</c:v>
                </c:pt>
                <c:pt idx="118">
                  <c:v>#VALUE!</c:v>
                </c:pt>
                <c:pt idx="119">
                  <c:v>#VALUE!</c:v>
                </c:pt>
                <c:pt idx="120">
                  <c:v>#VALUE!</c:v>
                </c:pt>
                <c:pt idx="121">
                  <c:v>#VALUE!</c:v>
                </c:pt>
                <c:pt idx="122">
                  <c:v>#VALUE!</c:v>
                </c:pt>
                <c:pt idx="123">
                  <c:v>#VALUE!</c:v>
                </c:pt>
                <c:pt idx="124">
                  <c:v>#VALUE!</c:v>
                </c:pt>
                <c:pt idx="125">
                  <c:v>#VALUE!</c:v>
                </c:pt>
                <c:pt idx="126">
                  <c:v>#VALUE!</c:v>
                </c:pt>
                <c:pt idx="127">
                  <c:v>#VALUE!</c:v>
                </c:pt>
                <c:pt idx="128">
                  <c:v>#VALUE!</c:v>
                </c:pt>
                <c:pt idx="129">
                  <c:v>#VALUE!</c:v>
                </c:pt>
                <c:pt idx="130">
                  <c:v>#VALUE!</c:v>
                </c:pt>
                <c:pt idx="131">
                  <c:v>#VALUE!</c:v>
                </c:pt>
                <c:pt idx="132">
                  <c:v>#VALUE!</c:v>
                </c:pt>
                <c:pt idx="133">
                  <c:v>#VALUE!</c:v>
                </c:pt>
                <c:pt idx="134">
                  <c:v>#VALUE!</c:v>
                </c:pt>
                <c:pt idx="135">
                  <c:v>#VALUE!</c:v>
                </c:pt>
                <c:pt idx="136">
                  <c:v>#VALUE!</c:v>
                </c:pt>
                <c:pt idx="137">
                  <c:v>#VALUE!</c:v>
                </c:pt>
                <c:pt idx="138">
                  <c:v>#VALUE!</c:v>
                </c:pt>
                <c:pt idx="139">
                  <c:v>#VALUE!</c:v>
                </c:pt>
                <c:pt idx="140">
                  <c:v>#VALUE!</c:v>
                </c:pt>
                <c:pt idx="141">
                  <c:v>#VALUE!</c:v>
                </c:pt>
                <c:pt idx="142">
                  <c:v>#VALUE!</c:v>
                </c:pt>
                <c:pt idx="143">
                  <c:v>#VALUE!</c:v>
                </c:pt>
                <c:pt idx="144">
                  <c:v>#VALUE!</c:v>
                </c:pt>
                <c:pt idx="145">
                  <c:v>#VALUE!</c:v>
                </c:pt>
                <c:pt idx="146">
                  <c:v>#VALUE!</c:v>
                </c:pt>
                <c:pt idx="147">
                  <c:v>#VALUE!</c:v>
                </c:pt>
                <c:pt idx="148">
                  <c:v>#VALUE!</c:v>
                </c:pt>
                <c:pt idx="149">
                  <c:v>#VALUE!</c:v>
                </c:pt>
                <c:pt idx="150">
                  <c:v>#VALUE!</c:v>
                </c:pt>
                <c:pt idx="151">
                  <c:v>#VALUE!</c:v>
                </c:pt>
                <c:pt idx="152">
                  <c:v>#VALUE!</c:v>
                </c:pt>
                <c:pt idx="153">
                  <c:v>#VALUE!</c:v>
                </c:pt>
                <c:pt idx="154">
                  <c:v>#VALUE!</c:v>
                </c:pt>
                <c:pt idx="155">
                  <c:v>#VALUE!</c:v>
                </c:pt>
                <c:pt idx="156">
                  <c:v>#VALUE!</c:v>
                </c:pt>
                <c:pt idx="157">
                  <c:v>#VALUE!</c:v>
                </c:pt>
                <c:pt idx="158">
                  <c:v>#VALUE!</c:v>
                </c:pt>
                <c:pt idx="159">
                  <c:v>#VALUE!</c:v>
                </c:pt>
                <c:pt idx="160">
                  <c:v>#VALUE!</c:v>
                </c:pt>
                <c:pt idx="161">
                  <c:v>#VALUE!</c:v>
                </c:pt>
                <c:pt idx="162">
                  <c:v>#VALUE!</c:v>
                </c:pt>
                <c:pt idx="163">
                  <c:v>#VALUE!</c:v>
                </c:pt>
                <c:pt idx="164">
                  <c:v>#VALUE!</c:v>
                </c:pt>
                <c:pt idx="165">
                  <c:v>#VALUE!</c:v>
                </c:pt>
                <c:pt idx="166">
                  <c:v>#VALUE!</c:v>
                </c:pt>
                <c:pt idx="167">
                  <c:v>#VALUE!</c:v>
                </c:pt>
                <c:pt idx="168">
                  <c:v>#VALUE!</c:v>
                </c:pt>
                <c:pt idx="169">
                  <c:v>#VALUE!</c:v>
                </c:pt>
                <c:pt idx="170">
                  <c:v>#VALUE!</c:v>
                </c:pt>
                <c:pt idx="171">
                  <c:v>#VALUE!</c:v>
                </c:pt>
                <c:pt idx="172">
                  <c:v>#VALUE!</c:v>
                </c:pt>
                <c:pt idx="173">
                  <c:v>#VALUE!</c:v>
                </c:pt>
                <c:pt idx="174">
                  <c:v>#VALUE!</c:v>
                </c:pt>
                <c:pt idx="175">
                  <c:v>#VALUE!</c:v>
                </c:pt>
                <c:pt idx="176">
                  <c:v>#VALUE!</c:v>
                </c:pt>
                <c:pt idx="177">
                  <c:v>#VALUE!</c:v>
                </c:pt>
                <c:pt idx="178">
                  <c:v>#VALUE!</c:v>
                </c:pt>
                <c:pt idx="179">
                  <c:v>#VALUE!</c:v>
                </c:pt>
                <c:pt idx="180">
                  <c:v>#VALUE!</c:v>
                </c:pt>
                <c:pt idx="181">
                  <c:v>#VALUE!</c:v>
                </c:pt>
                <c:pt idx="182">
                  <c:v>#VALUE!</c:v>
                </c:pt>
                <c:pt idx="183">
                  <c:v>#VALUE!</c:v>
                </c:pt>
                <c:pt idx="184">
                  <c:v>#VALUE!</c:v>
                </c:pt>
                <c:pt idx="185">
                  <c:v>#VALUE!</c:v>
                </c:pt>
                <c:pt idx="186">
                  <c:v>#VALUE!</c:v>
                </c:pt>
                <c:pt idx="187">
                  <c:v>#VALUE!</c:v>
                </c:pt>
                <c:pt idx="188">
                  <c:v>#VALUE!</c:v>
                </c:pt>
                <c:pt idx="189">
                  <c:v>#VALUE!</c:v>
                </c:pt>
                <c:pt idx="190">
                  <c:v>#VALUE!</c:v>
                </c:pt>
                <c:pt idx="191">
                  <c:v>#VALUE!</c:v>
                </c:pt>
                <c:pt idx="192">
                  <c:v>#VALUE!</c:v>
                </c:pt>
                <c:pt idx="193">
                  <c:v>#VALUE!</c:v>
                </c:pt>
                <c:pt idx="194">
                  <c:v>#VALUE!</c:v>
                </c:pt>
                <c:pt idx="195">
                  <c:v>#VALUE!</c:v>
                </c:pt>
                <c:pt idx="196">
                  <c:v>#VALUE!</c:v>
                </c:pt>
                <c:pt idx="197">
                  <c:v>#VALUE!</c:v>
                </c:pt>
                <c:pt idx="198">
                  <c:v>#VALUE!</c:v>
                </c:pt>
                <c:pt idx="199">
                  <c:v>#VALUE!</c:v>
                </c:pt>
                <c:pt idx="200">
                  <c:v>#VALUE!</c:v>
                </c:pt>
                <c:pt idx="201">
                  <c:v>#VALUE!</c:v>
                </c:pt>
                <c:pt idx="202">
                  <c:v>#VALUE!</c:v>
                </c:pt>
                <c:pt idx="203">
                  <c:v>#VALUE!</c:v>
                </c:pt>
                <c:pt idx="204">
                  <c:v>#VALUE!</c:v>
                </c:pt>
                <c:pt idx="205">
                  <c:v>#VALUE!</c:v>
                </c:pt>
                <c:pt idx="206">
                  <c:v>#VALUE!</c:v>
                </c:pt>
                <c:pt idx="207">
                  <c:v>#VALUE!</c:v>
                </c:pt>
                <c:pt idx="208">
                  <c:v>#VALUE!</c:v>
                </c:pt>
                <c:pt idx="209">
                  <c:v>#VALUE!</c:v>
                </c:pt>
                <c:pt idx="210">
                  <c:v>#VALUE!</c:v>
                </c:pt>
                <c:pt idx="211">
                  <c:v>#VALUE!</c:v>
                </c:pt>
                <c:pt idx="212">
                  <c:v>#VALUE!</c:v>
                </c:pt>
                <c:pt idx="213">
                  <c:v>#VALUE!</c:v>
                </c:pt>
                <c:pt idx="214">
                  <c:v>#VALUE!</c:v>
                </c:pt>
                <c:pt idx="215">
                  <c:v>#VALUE!</c:v>
                </c:pt>
                <c:pt idx="216">
                  <c:v>#VALUE!</c:v>
                </c:pt>
                <c:pt idx="217">
                  <c:v>#VALUE!</c:v>
                </c:pt>
                <c:pt idx="218">
                  <c:v>#VALUE!</c:v>
                </c:pt>
                <c:pt idx="219">
                  <c:v>#VALUE!</c:v>
                </c:pt>
                <c:pt idx="220">
                  <c:v>#VALUE!</c:v>
                </c:pt>
                <c:pt idx="221">
                  <c:v>#VALUE!</c:v>
                </c:pt>
                <c:pt idx="222">
                  <c:v>#VALUE!</c:v>
                </c:pt>
                <c:pt idx="223">
                  <c:v>#VALUE!</c:v>
                </c:pt>
                <c:pt idx="224">
                  <c:v>#VALUE!</c:v>
                </c:pt>
                <c:pt idx="225">
                  <c:v>#VALUE!</c:v>
                </c:pt>
                <c:pt idx="226">
                  <c:v>#VALUE!</c:v>
                </c:pt>
                <c:pt idx="227">
                  <c:v>#VALUE!</c:v>
                </c:pt>
                <c:pt idx="228">
                  <c:v>#VALUE!</c:v>
                </c:pt>
                <c:pt idx="229">
                  <c:v>#VALUE!</c:v>
                </c:pt>
                <c:pt idx="230">
                  <c:v>#VALUE!</c:v>
                </c:pt>
                <c:pt idx="231">
                  <c:v>#VALUE!</c:v>
                </c:pt>
                <c:pt idx="232">
                  <c:v>#VALUE!</c:v>
                </c:pt>
                <c:pt idx="233">
                  <c:v>#VALUE!</c:v>
                </c:pt>
                <c:pt idx="234">
                  <c:v>#VALUE!</c:v>
                </c:pt>
                <c:pt idx="235">
                  <c:v>#VALUE!</c:v>
                </c:pt>
                <c:pt idx="236">
                  <c:v>#VALUE!</c:v>
                </c:pt>
                <c:pt idx="237">
                  <c:v>#VALUE!</c:v>
                </c:pt>
                <c:pt idx="238">
                  <c:v>#VALUE!</c:v>
                </c:pt>
                <c:pt idx="239">
                  <c:v>#VALUE!</c:v>
                </c:pt>
                <c:pt idx="240">
                  <c:v>#VALUE!</c:v>
                </c:pt>
                <c:pt idx="241">
                  <c:v>#VALUE!</c:v>
                </c:pt>
                <c:pt idx="242">
                  <c:v>#VALUE!</c:v>
                </c:pt>
                <c:pt idx="243">
                  <c:v>#VALUE!</c:v>
                </c:pt>
                <c:pt idx="244">
                  <c:v>#VALUE!</c:v>
                </c:pt>
                <c:pt idx="245">
                  <c:v>#VALUE!</c:v>
                </c:pt>
                <c:pt idx="246">
                  <c:v>#VALUE!</c:v>
                </c:pt>
                <c:pt idx="247">
                  <c:v>#VALUE!</c:v>
                </c:pt>
                <c:pt idx="248">
                  <c:v>#VALUE!</c:v>
                </c:pt>
                <c:pt idx="249">
                  <c:v>#VALUE!</c:v>
                </c:pt>
                <c:pt idx="250">
                  <c:v>#VALUE!</c:v>
                </c:pt>
              </c:strCache>
            </c:strRef>
          </c:cat>
          <c:val>
            <c:numRef>
              <c:f>EXP!$T$19:$JJ$19</c:f>
              <c:numCache>
                <c:formatCode>0%</c:formatCode>
                <c:ptCount val="2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numCache>
            </c:numRef>
          </c:val>
          <c:extLst>
            <c:ext xmlns:c16="http://schemas.microsoft.com/office/drawing/2014/chart" uri="{C3380CC4-5D6E-409C-BE32-E72D297353CC}">
              <c16:uniqueId val="{0000000A-7642-4CF9-9137-A7C777D0CFF9}"/>
            </c:ext>
          </c:extLst>
        </c:ser>
        <c:ser>
          <c:idx val="11"/>
          <c:order val="11"/>
          <c:tx>
            <c:strRef>
              <c:f>EXP!$S$20</c:f>
              <c:strCache>
                <c:ptCount val="1"/>
              </c:strCache>
            </c:strRef>
          </c:tx>
          <c:spPr>
            <a:solidFill>
              <a:schemeClr val="accent6">
                <a:lumMod val="60000"/>
              </a:schemeClr>
            </a:solidFill>
            <a:ln w="6350">
              <a:noFill/>
            </a:ln>
            <a:effectLst/>
          </c:spPr>
          <c:cat>
            <c:strRef>
              <c:f>EXP!$T$7:$JJ$7</c:f>
              <c:strCache>
                <c:ptCount val="251"/>
                <c:pt idx="1">
                  <c:v>#VALUE!</c:v>
                </c:pt>
                <c:pt idx="2">
                  <c:v>#VALUE!</c:v>
                </c:pt>
                <c:pt idx="3">
                  <c:v>#VALUE!</c:v>
                </c:pt>
                <c:pt idx="4">
                  <c:v>#VALUE!</c:v>
                </c:pt>
                <c:pt idx="5">
                  <c:v>#VALUE!</c:v>
                </c:pt>
                <c:pt idx="6">
                  <c:v>#VALUE!</c:v>
                </c:pt>
                <c:pt idx="7">
                  <c:v>#VALUE!</c:v>
                </c:pt>
                <c:pt idx="8">
                  <c:v>#VALUE!</c:v>
                </c:pt>
                <c:pt idx="9">
                  <c:v>#VALUE!</c:v>
                </c:pt>
                <c:pt idx="10">
                  <c:v>#VALUE!</c:v>
                </c:pt>
                <c:pt idx="11">
                  <c:v>#VALUE!</c:v>
                </c:pt>
                <c:pt idx="12">
                  <c:v>#VALUE!</c:v>
                </c:pt>
                <c:pt idx="13">
                  <c:v>#VALUE!</c:v>
                </c:pt>
                <c:pt idx="14">
                  <c:v>#VALUE!</c:v>
                </c:pt>
                <c:pt idx="15">
                  <c:v>#VALUE!</c:v>
                </c:pt>
                <c:pt idx="16">
                  <c:v>#VALUE!</c:v>
                </c:pt>
                <c:pt idx="17">
                  <c:v>#VALUE!</c:v>
                </c:pt>
                <c:pt idx="18">
                  <c:v>#VALUE!</c:v>
                </c:pt>
                <c:pt idx="19">
                  <c:v>#VALUE!</c:v>
                </c:pt>
                <c:pt idx="20">
                  <c:v>#VALUE!</c:v>
                </c:pt>
                <c:pt idx="21">
                  <c:v>#VALUE!</c:v>
                </c:pt>
                <c:pt idx="22">
                  <c:v>#VALUE!</c:v>
                </c:pt>
                <c:pt idx="23">
                  <c:v>#VALUE!</c:v>
                </c:pt>
                <c:pt idx="24">
                  <c:v>#VALUE!</c:v>
                </c:pt>
                <c:pt idx="25">
                  <c:v>#VALUE!</c:v>
                </c:pt>
                <c:pt idx="26">
                  <c:v>#VALUE!</c:v>
                </c:pt>
                <c:pt idx="27">
                  <c:v>#VALUE!</c:v>
                </c:pt>
                <c:pt idx="28">
                  <c:v>#VALUE!</c:v>
                </c:pt>
                <c:pt idx="29">
                  <c:v>#VALUE!</c:v>
                </c:pt>
                <c:pt idx="30">
                  <c:v>#VALUE!</c:v>
                </c:pt>
                <c:pt idx="31">
                  <c:v>#VALUE!</c:v>
                </c:pt>
                <c:pt idx="32">
                  <c:v>#VALUE!</c:v>
                </c:pt>
                <c:pt idx="33">
                  <c:v>#VALUE!</c:v>
                </c:pt>
                <c:pt idx="34">
                  <c:v>#VALUE!</c:v>
                </c:pt>
                <c:pt idx="35">
                  <c:v>#VALUE!</c:v>
                </c:pt>
                <c:pt idx="36">
                  <c:v>#VALUE!</c:v>
                </c:pt>
                <c:pt idx="37">
                  <c:v>#VALUE!</c:v>
                </c:pt>
                <c:pt idx="38">
                  <c:v>#VALUE!</c:v>
                </c:pt>
                <c:pt idx="39">
                  <c:v>#VALUE!</c:v>
                </c:pt>
                <c:pt idx="40">
                  <c:v>#VALUE!</c:v>
                </c:pt>
                <c:pt idx="41">
                  <c:v>#VALUE!</c:v>
                </c:pt>
                <c:pt idx="42">
                  <c:v>#VALUE!</c:v>
                </c:pt>
                <c:pt idx="43">
                  <c:v>#VALUE!</c:v>
                </c:pt>
                <c:pt idx="44">
                  <c:v>#VALUE!</c:v>
                </c:pt>
                <c:pt idx="45">
                  <c:v>#VALUE!</c:v>
                </c:pt>
                <c:pt idx="46">
                  <c:v>#VALUE!</c:v>
                </c:pt>
                <c:pt idx="47">
                  <c:v>#VALUE!</c:v>
                </c:pt>
                <c:pt idx="48">
                  <c:v>#VALUE!</c:v>
                </c:pt>
                <c:pt idx="49">
                  <c:v>#VALUE!</c:v>
                </c:pt>
                <c:pt idx="50">
                  <c:v>#VALUE!</c:v>
                </c:pt>
                <c:pt idx="51">
                  <c:v>#VALUE!</c:v>
                </c:pt>
                <c:pt idx="52">
                  <c:v>#VALUE!</c:v>
                </c:pt>
                <c:pt idx="53">
                  <c:v>#VALUE!</c:v>
                </c:pt>
                <c:pt idx="54">
                  <c:v>#VALUE!</c:v>
                </c:pt>
                <c:pt idx="55">
                  <c:v>#VALUE!</c:v>
                </c:pt>
                <c:pt idx="56">
                  <c:v>#VALUE!</c:v>
                </c:pt>
                <c:pt idx="57">
                  <c:v>#VALUE!</c:v>
                </c:pt>
                <c:pt idx="58">
                  <c:v>#VALUE!</c:v>
                </c:pt>
                <c:pt idx="59">
                  <c:v>#VALUE!</c:v>
                </c:pt>
                <c:pt idx="60">
                  <c:v>#VALUE!</c:v>
                </c:pt>
                <c:pt idx="61">
                  <c:v>#VALUE!</c:v>
                </c:pt>
                <c:pt idx="62">
                  <c:v>#VALUE!</c:v>
                </c:pt>
                <c:pt idx="63">
                  <c:v>#VALUE!</c:v>
                </c:pt>
                <c:pt idx="64">
                  <c:v>#VALUE!</c:v>
                </c:pt>
                <c:pt idx="65">
                  <c:v>#VALUE!</c:v>
                </c:pt>
                <c:pt idx="66">
                  <c:v>#VALUE!</c:v>
                </c:pt>
                <c:pt idx="67">
                  <c:v>#VALUE!</c:v>
                </c:pt>
                <c:pt idx="68">
                  <c:v>#VALUE!</c:v>
                </c:pt>
                <c:pt idx="69">
                  <c:v>#VALUE!</c:v>
                </c:pt>
                <c:pt idx="70">
                  <c:v>#VALUE!</c:v>
                </c:pt>
                <c:pt idx="71">
                  <c:v>#VALUE!</c:v>
                </c:pt>
                <c:pt idx="72">
                  <c:v>#VALUE!</c:v>
                </c:pt>
                <c:pt idx="73">
                  <c:v>#VALUE!</c:v>
                </c:pt>
                <c:pt idx="74">
                  <c:v>#VALUE!</c:v>
                </c:pt>
                <c:pt idx="75">
                  <c:v>#VALUE!</c:v>
                </c:pt>
                <c:pt idx="76">
                  <c:v>#VALUE!</c:v>
                </c:pt>
                <c:pt idx="77">
                  <c:v>#VALUE!</c:v>
                </c:pt>
                <c:pt idx="78">
                  <c:v>#VALUE!</c:v>
                </c:pt>
                <c:pt idx="79">
                  <c:v>#VALUE!</c:v>
                </c:pt>
                <c:pt idx="80">
                  <c:v>#VALUE!</c:v>
                </c:pt>
                <c:pt idx="81">
                  <c:v>#VALUE!</c:v>
                </c:pt>
                <c:pt idx="82">
                  <c:v>#VALUE!</c:v>
                </c:pt>
                <c:pt idx="83">
                  <c:v>#VALUE!</c:v>
                </c:pt>
                <c:pt idx="84">
                  <c:v>#VALUE!</c:v>
                </c:pt>
                <c:pt idx="85">
                  <c:v>#VALUE!</c:v>
                </c:pt>
                <c:pt idx="86">
                  <c:v>#VALUE!</c:v>
                </c:pt>
                <c:pt idx="87">
                  <c:v>#VALUE!</c:v>
                </c:pt>
                <c:pt idx="88">
                  <c:v>#VALUE!</c:v>
                </c:pt>
                <c:pt idx="89">
                  <c:v>#VALUE!</c:v>
                </c:pt>
                <c:pt idx="90">
                  <c:v>#VALUE!</c:v>
                </c:pt>
                <c:pt idx="91">
                  <c:v>#VALUE!</c:v>
                </c:pt>
                <c:pt idx="92">
                  <c:v>#VALUE!</c:v>
                </c:pt>
                <c:pt idx="93">
                  <c:v>#VALUE!</c:v>
                </c:pt>
                <c:pt idx="94">
                  <c:v>#VALUE!</c:v>
                </c:pt>
                <c:pt idx="95">
                  <c:v>#VALUE!</c:v>
                </c:pt>
                <c:pt idx="96">
                  <c:v>#VALUE!</c:v>
                </c:pt>
                <c:pt idx="97">
                  <c:v>#VALUE!</c:v>
                </c:pt>
                <c:pt idx="98">
                  <c:v>#VALUE!</c:v>
                </c:pt>
                <c:pt idx="99">
                  <c:v>#VALUE!</c:v>
                </c:pt>
                <c:pt idx="100">
                  <c:v>#VALUE!</c:v>
                </c:pt>
                <c:pt idx="101">
                  <c:v>#VALUE!</c:v>
                </c:pt>
                <c:pt idx="102">
                  <c:v>#VALUE!</c:v>
                </c:pt>
                <c:pt idx="103">
                  <c:v>#VALUE!</c:v>
                </c:pt>
                <c:pt idx="104">
                  <c:v>#VALUE!</c:v>
                </c:pt>
                <c:pt idx="105">
                  <c:v>#VALUE!</c:v>
                </c:pt>
                <c:pt idx="106">
                  <c:v>#VALUE!</c:v>
                </c:pt>
                <c:pt idx="107">
                  <c:v>#VALUE!</c:v>
                </c:pt>
                <c:pt idx="108">
                  <c:v>#VALUE!</c:v>
                </c:pt>
                <c:pt idx="109">
                  <c:v>#VALUE!</c:v>
                </c:pt>
                <c:pt idx="110">
                  <c:v>#VALUE!</c:v>
                </c:pt>
                <c:pt idx="111">
                  <c:v>#VALUE!</c:v>
                </c:pt>
                <c:pt idx="112">
                  <c:v>#VALUE!</c:v>
                </c:pt>
                <c:pt idx="113">
                  <c:v>#VALUE!</c:v>
                </c:pt>
                <c:pt idx="114">
                  <c:v>#VALUE!</c:v>
                </c:pt>
                <c:pt idx="115">
                  <c:v>#VALUE!</c:v>
                </c:pt>
                <c:pt idx="116">
                  <c:v>#VALUE!</c:v>
                </c:pt>
                <c:pt idx="117">
                  <c:v>#VALUE!</c:v>
                </c:pt>
                <c:pt idx="118">
                  <c:v>#VALUE!</c:v>
                </c:pt>
                <c:pt idx="119">
                  <c:v>#VALUE!</c:v>
                </c:pt>
                <c:pt idx="120">
                  <c:v>#VALUE!</c:v>
                </c:pt>
                <c:pt idx="121">
                  <c:v>#VALUE!</c:v>
                </c:pt>
                <c:pt idx="122">
                  <c:v>#VALUE!</c:v>
                </c:pt>
                <c:pt idx="123">
                  <c:v>#VALUE!</c:v>
                </c:pt>
                <c:pt idx="124">
                  <c:v>#VALUE!</c:v>
                </c:pt>
                <c:pt idx="125">
                  <c:v>#VALUE!</c:v>
                </c:pt>
                <c:pt idx="126">
                  <c:v>#VALUE!</c:v>
                </c:pt>
                <c:pt idx="127">
                  <c:v>#VALUE!</c:v>
                </c:pt>
                <c:pt idx="128">
                  <c:v>#VALUE!</c:v>
                </c:pt>
                <c:pt idx="129">
                  <c:v>#VALUE!</c:v>
                </c:pt>
                <c:pt idx="130">
                  <c:v>#VALUE!</c:v>
                </c:pt>
                <c:pt idx="131">
                  <c:v>#VALUE!</c:v>
                </c:pt>
                <c:pt idx="132">
                  <c:v>#VALUE!</c:v>
                </c:pt>
                <c:pt idx="133">
                  <c:v>#VALUE!</c:v>
                </c:pt>
                <c:pt idx="134">
                  <c:v>#VALUE!</c:v>
                </c:pt>
                <c:pt idx="135">
                  <c:v>#VALUE!</c:v>
                </c:pt>
                <c:pt idx="136">
                  <c:v>#VALUE!</c:v>
                </c:pt>
                <c:pt idx="137">
                  <c:v>#VALUE!</c:v>
                </c:pt>
                <c:pt idx="138">
                  <c:v>#VALUE!</c:v>
                </c:pt>
                <c:pt idx="139">
                  <c:v>#VALUE!</c:v>
                </c:pt>
                <c:pt idx="140">
                  <c:v>#VALUE!</c:v>
                </c:pt>
                <c:pt idx="141">
                  <c:v>#VALUE!</c:v>
                </c:pt>
                <c:pt idx="142">
                  <c:v>#VALUE!</c:v>
                </c:pt>
                <c:pt idx="143">
                  <c:v>#VALUE!</c:v>
                </c:pt>
                <c:pt idx="144">
                  <c:v>#VALUE!</c:v>
                </c:pt>
                <c:pt idx="145">
                  <c:v>#VALUE!</c:v>
                </c:pt>
                <c:pt idx="146">
                  <c:v>#VALUE!</c:v>
                </c:pt>
                <c:pt idx="147">
                  <c:v>#VALUE!</c:v>
                </c:pt>
                <c:pt idx="148">
                  <c:v>#VALUE!</c:v>
                </c:pt>
                <c:pt idx="149">
                  <c:v>#VALUE!</c:v>
                </c:pt>
                <c:pt idx="150">
                  <c:v>#VALUE!</c:v>
                </c:pt>
                <c:pt idx="151">
                  <c:v>#VALUE!</c:v>
                </c:pt>
                <c:pt idx="152">
                  <c:v>#VALUE!</c:v>
                </c:pt>
                <c:pt idx="153">
                  <c:v>#VALUE!</c:v>
                </c:pt>
                <c:pt idx="154">
                  <c:v>#VALUE!</c:v>
                </c:pt>
                <c:pt idx="155">
                  <c:v>#VALUE!</c:v>
                </c:pt>
                <c:pt idx="156">
                  <c:v>#VALUE!</c:v>
                </c:pt>
                <c:pt idx="157">
                  <c:v>#VALUE!</c:v>
                </c:pt>
                <c:pt idx="158">
                  <c:v>#VALUE!</c:v>
                </c:pt>
                <c:pt idx="159">
                  <c:v>#VALUE!</c:v>
                </c:pt>
                <c:pt idx="160">
                  <c:v>#VALUE!</c:v>
                </c:pt>
                <c:pt idx="161">
                  <c:v>#VALUE!</c:v>
                </c:pt>
                <c:pt idx="162">
                  <c:v>#VALUE!</c:v>
                </c:pt>
                <c:pt idx="163">
                  <c:v>#VALUE!</c:v>
                </c:pt>
                <c:pt idx="164">
                  <c:v>#VALUE!</c:v>
                </c:pt>
                <c:pt idx="165">
                  <c:v>#VALUE!</c:v>
                </c:pt>
                <c:pt idx="166">
                  <c:v>#VALUE!</c:v>
                </c:pt>
                <c:pt idx="167">
                  <c:v>#VALUE!</c:v>
                </c:pt>
                <c:pt idx="168">
                  <c:v>#VALUE!</c:v>
                </c:pt>
                <c:pt idx="169">
                  <c:v>#VALUE!</c:v>
                </c:pt>
                <c:pt idx="170">
                  <c:v>#VALUE!</c:v>
                </c:pt>
                <c:pt idx="171">
                  <c:v>#VALUE!</c:v>
                </c:pt>
                <c:pt idx="172">
                  <c:v>#VALUE!</c:v>
                </c:pt>
                <c:pt idx="173">
                  <c:v>#VALUE!</c:v>
                </c:pt>
                <c:pt idx="174">
                  <c:v>#VALUE!</c:v>
                </c:pt>
                <c:pt idx="175">
                  <c:v>#VALUE!</c:v>
                </c:pt>
                <c:pt idx="176">
                  <c:v>#VALUE!</c:v>
                </c:pt>
                <c:pt idx="177">
                  <c:v>#VALUE!</c:v>
                </c:pt>
                <c:pt idx="178">
                  <c:v>#VALUE!</c:v>
                </c:pt>
                <c:pt idx="179">
                  <c:v>#VALUE!</c:v>
                </c:pt>
                <c:pt idx="180">
                  <c:v>#VALUE!</c:v>
                </c:pt>
                <c:pt idx="181">
                  <c:v>#VALUE!</c:v>
                </c:pt>
                <c:pt idx="182">
                  <c:v>#VALUE!</c:v>
                </c:pt>
                <c:pt idx="183">
                  <c:v>#VALUE!</c:v>
                </c:pt>
                <c:pt idx="184">
                  <c:v>#VALUE!</c:v>
                </c:pt>
                <c:pt idx="185">
                  <c:v>#VALUE!</c:v>
                </c:pt>
                <c:pt idx="186">
                  <c:v>#VALUE!</c:v>
                </c:pt>
                <c:pt idx="187">
                  <c:v>#VALUE!</c:v>
                </c:pt>
                <c:pt idx="188">
                  <c:v>#VALUE!</c:v>
                </c:pt>
                <c:pt idx="189">
                  <c:v>#VALUE!</c:v>
                </c:pt>
                <c:pt idx="190">
                  <c:v>#VALUE!</c:v>
                </c:pt>
                <c:pt idx="191">
                  <c:v>#VALUE!</c:v>
                </c:pt>
                <c:pt idx="192">
                  <c:v>#VALUE!</c:v>
                </c:pt>
                <c:pt idx="193">
                  <c:v>#VALUE!</c:v>
                </c:pt>
                <c:pt idx="194">
                  <c:v>#VALUE!</c:v>
                </c:pt>
                <c:pt idx="195">
                  <c:v>#VALUE!</c:v>
                </c:pt>
                <c:pt idx="196">
                  <c:v>#VALUE!</c:v>
                </c:pt>
                <c:pt idx="197">
                  <c:v>#VALUE!</c:v>
                </c:pt>
                <c:pt idx="198">
                  <c:v>#VALUE!</c:v>
                </c:pt>
                <c:pt idx="199">
                  <c:v>#VALUE!</c:v>
                </c:pt>
                <c:pt idx="200">
                  <c:v>#VALUE!</c:v>
                </c:pt>
                <c:pt idx="201">
                  <c:v>#VALUE!</c:v>
                </c:pt>
                <c:pt idx="202">
                  <c:v>#VALUE!</c:v>
                </c:pt>
                <c:pt idx="203">
                  <c:v>#VALUE!</c:v>
                </c:pt>
                <c:pt idx="204">
                  <c:v>#VALUE!</c:v>
                </c:pt>
                <c:pt idx="205">
                  <c:v>#VALUE!</c:v>
                </c:pt>
                <c:pt idx="206">
                  <c:v>#VALUE!</c:v>
                </c:pt>
                <c:pt idx="207">
                  <c:v>#VALUE!</c:v>
                </c:pt>
                <c:pt idx="208">
                  <c:v>#VALUE!</c:v>
                </c:pt>
                <c:pt idx="209">
                  <c:v>#VALUE!</c:v>
                </c:pt>
                <c:pt idx="210">
                  <c:v>#VALUE!</c:v>
                </c:pt>
                <c:pt idx="211">
                  <c:v>#VALUE!</c:v>
                </c:pt>
                <c:pt idx="212">
                  <c:v>#VALUE!</c:v>
                </c:pt>
                <c:pt idx="213">
                  <c:v>#VALUE!</c:v>
                </c:pt>
                <c:pt idx="214">
                  <c:v>#VALUE!</c:v>
                </c:pt>
                <c:pt idx="215">
                  <c:v>#VALUE!</c:v>
                </c:pt>
                <c:pt idx="216">
                  <c:v>#VALUE!</c:v>
                </c:pt>
                <c:pt idx="217">
                  <c:v>#VALUE!</c:v>
                </c:pt>
                <c:pt idx="218">
                  <c:v>#VALUE!</c:v>
                </c:pt>
                <c:pt idx="219">
                  <c:v>#VALUE!</c:v>
                </c:pt>
                <c:pt idx="220">
                  <c:v>#VALUE!</c:v>
                </c:pt>
                <c:pt idx="221">
                  <c:v>#VALUE!</c:v>
                </c:pt>
                <c:pt idx="222">
                  <c:v>#VALUE!</c:v>
                </c:pt>
                <c:pt idx="223">
                  <c:v>#VALUE!</c:v>
                </c:pt>
                <c:pt idx="224">
                  <c:v>#VALUE!</c:v>
                </c:pt>
                <c:pt idx="225">
                  <c:v>#VALUE!</c:v>
                </c:pt>
                <c:pt idx="226">
                  <c:v>#VALUE!</c:v>
                </c:pt>
                <c:pt idx="227">
                  <c:v>#VALUE!</c:v>
                </c:pt>
                <c:pt idx="228">
                  <c:v>#VALUE!</c:v>
                </c:pt>
                <c:pt idx="229">
                  <c:v>#VALUE!</c:v>
                </c:pt>
                <c:pt idx="230">
                  <c:v>#VALUE!</c:v>
                </c:pt>
                <c:pt idx="231">
                  <c:v>#VALUE!</c:v>
                </c:pt>
                <c:pt idx="232">
                  <c:v>#VALUE!</c:v>
                </c:pt>
                <c:pt idx="233">
                  <c:v>#VALUE!</c:v>
                </c:pt>
                <c:pt idx="234">
                  <c:v>#VALUE!</c:v>
                </c:pt>
                <c:pt idx="235">
                  <c:v>#VALUE!</c:v>
                </c:pt>
                <c:pt idx="236">
                  <c:v>#VALUE!</c:v>
                </c:pt>
                <c:pt idx="237">
                  <c:v>#VALUE!</c:v>
                </c:pt>
                <c:pt idx="238">
                  <c:v>#VALUE!</c:v>
                </c:pt>
                <c:pt idx="239">
                  <c:v>#VALUE!</c:v>
                </c:pt>
                <c:pt idx="240">
                  <c:v>#VALUE!</c:v>
                </c:pt>
                <c:pt idx="241">
                  <c:v>#VALUE!</c:v>
                </c:pt>
                <c:pt idx="242">
                  <c:v>#VALUE!</c:v>
                </c:pt>
                <c:pt idx="243">
                  <c:v>#VALUE!</c:v>
                </c:pt>
                <c:pt idx="244">
                  <c:v>#VALUE!</c:v>
                </c:pt>
                <c:pt idx="245">
                  <c:v>#VALUE!</c:v>
                </c:pt>
                <c:pt idx="246">
                  <c:v>#VALUE!</c:v>
                </c:pt>
                <c:pt idx="247">
                  <c:v>#VALUE!</c:v>
                </c:pt>
                <c:pt idx="248">
                  <c:v>#VALUE!</c:v>
                </c:pt>
                <c:pt idx="249">
                  <c:v>#VALUE!</c:v>
                </c:pt>
                <c:pt idx="250">
                  <c:v>#VALUE!</c:v>
                </c:pt>
              </c:strCache>
            </c:strRef>
          </c:cat>
          <c:val>
            <c:numRef>
              <c:f>EXP!$T$20:$JJ$20</c:f>
              <c:numCache>
                <c:formatCode>0%</c:formatCode>
                <c:ptCount val="2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numCache>
            </c:numRef>
          </c:val>
          <c:extLst>
            <c:ext xmlns:c16="http://schemas.microsoft.com/office/drawing/2014/chart" uri="{C3380CC4-5D6E-409C-BE32-E72D297353CC}">
              <c16:uniqueId val="{0000000B-7642-4CF9-9137-A7C777D0CFF9}"/>
            </c:ext>
          </c:extLst>
        </c:ser>
        <c:ser>
          <c:idx val="12"/>
          <c:order val="12"/>
          <c:tx>
            <c:strRef>
              <c:f>EXP!$S$21</c:f>
              <c:strCache>
                <c:ptCount val="1"/>
              </c:strCache>
            </c:strRef>
          </c:tx>
          <c:spPr>
            <a:solidFill>
              <a:schemeClr val="accent1">
                <a:lumMod val="80000"/>
                <a:lumOff val="20000"/>
              </a:schemeClr>
            </a:solidFill>
            <a:ln w="6350">
              <a:noFill/>
            </a:ln>
            <a:effectLst/>
          </c:spPr>
          <c:cat>
            <c:strRef>
              <c:f>EXP!$T$7:$JJ$7</c:f>
              <c:strCache>
                <c:ptCount val="251"/>
                <c:pt idx="1">
                  <c:v>#VALUE!</c:v>
                </c:pt>
                <c:pt idx="2">
                  <c:v>#VALUE!</c:v>
                </c:pt>
                <c:pt idx="3">
                  <c:v>#VALUE!</c:v>
                </c:pt>
                <c:pt idx="4">
                  <c:v>#VALUE!</c:v>
                </c:pt>
                <c:pt idx="5">
                  <c:v>#VALUE!</c:v>
                </c:pt>
                <c:pt idx="6">
                  <c:v>#VALUE!</c:v>
                </c:pt>
                <c:pt idx="7">
                  <c:v>#VALUE!</c:v>
                </c:pt>
                <c:pt idx="8">
                  <c:v>#VALUE!</c:v>
                </c:pt>
                <c:pt idx="9">
                  <c:v>#VALUE!</c:v>
                </c:pt>
                <c:pt idx="10">
                  <c:v>#VALUE!</c:v>
                </c:pt>
                <c:pt idx="11">
                  <c:v>#VALUE!</c:v>
                </c:pt>
                <c:pt idx="12">
                  <c:v>#VALUE!</c:v>
                </c:pt>
                <c:pt idx="13">
                  <c:v>#VALUE!</c:v>
                </c:pt>
                <c:pt idx="14">
                  <c:v>#VALUE!</c:v>
                </c:pt>
                <c:pt idx="15">
                  <c:v>#VALUE!</c:v>
                </c:pt>
                <c:pt idx="16">
                  <c:v>#VALUE!</c:v>
                </c:pt>
                <c:pt idx="17">
                  <c:v>#VALUE!</c:v>
                </c:pt>
                <c:pt idx="18">
                  <c:v>#VALUE!</c:v>
                </c:pt>
                <c:pt idx="19">
                  <c:v>#VALUE!</c:v>
                </c:pt>
                <c:pt idx="20">
                  <c:v>#VALUE!</c:v>
                </c:pt>
                <c:pt idx="21">
                  <c:v>#VALUE!</c:v>
                </c:pt>
                <c:pt idx="22">
                  <c:v>#VALUE!</c:v>
                </c:pt>
                <c:pt idx="23">
                  <c:v>#VALUE!</c:v>
                </c:pt>
                <c:pt idx="24">
                  <c:v>#VALUE!</c:v>
                </c:pt>
                <c:pt idx="25">
                  <c:v>#VALUE!</c:v>
                </c:pt>
                <c:pt idx="26">
                  <c:v>#VALUE!</c:v>
                </c:pt>
                <c:pt idx="27">
                  <c:v>#VALUE!</c:v>
                </c:pt>
                <c:pt idx="28">
                  <c:v>#VALUE!</c:v>
                </c:pt>
                <c:pt idx="29">
                  <c:v>#VALUE!</c:v>
                </c:pt>
                <c:pt idx="30">
                  <c:v>#VALUE!</c:v>
                </c:pt>
                <c:pt idx="31">
                  <c:v>#VALUE!</c:v>
                </c:pt>
                <c:pt idx="32">
                  <c:v>#VALUE!</c:v>
                </c:pt>
                <c:pt idx="33">
                  <c:v>#VALUE!</c:v>
                </c:pt>
                <c:pt idx="34">
                  <c:v>#VALUE!</c:v>
                </c:pt>
                <c:pt idx="35">
                  <c:v>#VALUE!</c:v>
                </c:pt>
                <c:pt idx="36">
                  <c:v>#VALUE!</c:v>
                </c:pt>
                <c:pt idx="37">
                  <c:v>#VALUE!</c:v>
                </c:pt>
                <c:pt idx="38">
                  <c:v>#VALUE!</c:v>
                </c:pt>
                <c:pt idx="39">
                  <c:v>#VALUE!</c:v>
                </c:pt>
                <c:pt idx="40">
                  <c:v>#VALUE!</c:v>
                </c:pt>
                <c:pt idx="41">
                  <c:v>#VALUE!</c:v>
                </c:pt>
                <c:pt idx="42">
                  <c:v>#VALUE!</c:v>
                </c:pt>
                <c:pt idx="43">
                  <c:v>#VALUE!</c:v>
                </c:pt>
                <c:pt idx="44">
                  <c:v>#VALUE!</c:v>
                </c:pt>
                <c:pt idx="45">
                  <c:v>#VALUE!</c:v>
                </c:pt>
                <c:pt idx="46">
                  <c:v>#VALUE!</c:v>
                </c:pt>
                <c:pt idx="47">
                  <c:v>#VALUE!</c:v>
                </c:pt>
                <c:pt idx="48">
                  <c:v>#VALUE!</c:v>
                </c:pt>
                <c:pt idx="49">
                  <c:v>#VALUE!</c:v>
                </c:pt>
                <c:pt idx="50">
                  <c:v>#VALUE!</c:v>
                </c:pt>
                <c:pt idx="51">
                  <c:v>#VALUE!</c:v>
                </c:pt>
                <c:pt idx="52">
                  <c:v>#VALUE!</c:v>
                </c:pt>
                <c:pt idx="53">
                  <c:v>#VALUE!</c:v>
                </c:pt>
                <c:pt idx="54">
                  <c:v>#VALUE!</c:v>
                </c:pt>
                <c:pt idx="55">
                  <c:v>#VALUE!</c:v>
                </c:pt>
                <c:pt idx="56">
                  <c:v>#VALUE!</c:v>
                </c:pt>
                <c:pt idx="57">
                  <c:v>#VALUE!</c:v>
                </c:pt>
                <c:pt idx="58">
                  <c:v>#VALUE!</c:v>
                </c:pt>
                <c:pt idx="59">
                  <c:v>#VALUE!</c:v>
                </c:pt>
                <c:pt idx="60">
                  <c:v>#VALUE!</c:v>
                </c:pt>
                <c:pt idx="61">
                  <c:v>#VALUE!</c:v>
                </c:pt>
                <c:pt idx="62">
                  <c:v>#VALUE!</c:v>
                </c:pt>
                <c:pt idx="63">
                  <c:v>#VALUE!</c:v>
                </c:pt>
                <c:pt idx="64">
                  <c:v>#VALUE!</c:v>
                </c:pt>
                <c:pt idx="65">
                  <c:v>#VALUE!</c:v>
                </c:pt>
                <c:pt idx="66">
                  <c:v>#VALUE!</c:v>
                </c:pt>
                <c:pt idx="67">
                  <c:v>#VALUE!</c:v>
                </c:pt>
                <c:pt idx="68">
                  <c:v>#VALUE!</c:v>
                </c:pt>
                <c:pt idx="69">
                  <c:v>#VALUE!</c:v>
                </c:pt>
                <c:pt idx="70">
                  <c:v>#VALUE!</c:v>
                </c:pt>
                <c:pt idx="71">
                  <c:v>#VALUE!</c:v>
                </c:pt>
                <c:pt idx="72">
                  <c:v>#VALUE!</c:v>
                </c:pt>
                <c:pt idx="73">
                  <c:v>#VALUE!</c:v>
                </c:pt>
                <c:pt idx="74">
                  <c:v>#VALUE!</c:v>
                </c:pt>
                <c:pt idx="75">
                  <c:v>#VALUE!</c:v>
                </c:pt>
                <c:pt idx="76">
                  <c:v>#VALUE!</c:v>
                </c:pt>
                <c:pt idx="77">
                  <c:v>#VALUE!</c:v>
                </c:pt>
                <c:pt idx="78">
                  <c:v>#VALUE!</c:v>
                </c:pt>
                <c:pt idx="79">
                  <c:v>#VALUE!</c:v>
                </c:pt>
                <c:pt idx="80">
                  <c:v>#VALUE!</c:v>
                </c:pt>
                <c:pt idx="81">
                  <c:v>#VALUE!</c:v>
                </c:pt>
                <c:pt idx="82">
                  <c:v>#VALUE!</c:v>
                </c:pt>
                <c:pt idx="83">
                  <c:v>#VALUE!</c:v>
                </c:pt>
                <c:pt idx="84">
                  <c:v>#VALUE!</c:v>
                </c:pt>
                <c:pt idx="85">
                  <c:v>#VALUE!</c:v>
                </c:pt>
                <c:pt idx="86">
                  <c:v>#VALUE!</c:v>
                </c:pt>
                <c:pt idx="87">
                  <c:v>#VALUE!</c:v>
                </c:pt>
                <c:pt idx="88">
                  <c:v>#VALUE!</c:v>
                </c:pt>
                <c:pt idx="89">
                  <c:v>#VALUE!</c:v>
                </c:pt>
                <c:pt idx="90">
                  <c:v>#VALUE!</c:v>
                </c:pt>
                <c:pt idx="91">
                  <c:v>#VALUE!</c:v>
                </c:pt>
                <c:pt idx="92">
                  <c:v>#VALUE!</c:v>
                </c:pt>
                <c:pt idx="93">
                  <c:v>#VALUE!</c:v>
                </c:pt>
                <c:pt idx="94">
                  <c:v>#VALUE!</c:v>
                </c:pt>
                <c:pt idx="95">
                  <c:v>#VALUE!</c:v>
                </c:pt>
                <c:pt idx="96">
                  <c:v>#VALUE!</c:v>
                </c:pt>
                <c:pt idx="97">
                  <c:v>#VALUE!</c:v>
                </c:pt>
                <c:pt idx="98">
                  <c:v>#VALUE!</c:v>
                </c:pt>
                <c:pt idx="99">
                  <c:v>#VALUE!</c:v>
                </c:pt>
                <c:pt idx="100">
                  <c:v>#VALUE!</c:v>
                </c:pt>
                <c:pt idx="101">
                  <c:v>#VALUE!</c:v>
                </c:pt>
                <c:pt idx="102">
                  <c:v>#VALUE!</c:v>
                </c:pt>
                <c:pt idx="103">
                  <c:v>#VALUE!</c:v>
                </c:pt>
                <c:pt idx="104">
                  <c:v>#VALUE!</c:v>
                </c:pt>
                <c:pt idx="105">
                  <c:v>#VALUE!</c:v>
                </c:pt>
                <c:pt idx="106">
                  <c:v>#VALUE!</c:v>
                </c:pt>
                <c:pt idx="107">
                  <c:v>#VALUE!</c:v>
                </c:pt>
                <c:pt idx="108">
                  <c:v>#VALUE!</c:v>
                </c:pt>
                <c:pt idx="109">
                  <c:v>#VALUE!</c:v>
                </c:pt>
                <c:pt idx="110">
                  <c:v>#VALUE!</c:v>
                </c:pt>
                <c:pt idx="111">
                  <c:v>#VALUE!</c:v>
                </c:pt>
                <c:pt idx="112">
                  <c:v>#VALUE!</c:v>
                </c:pt>
                <c:pt idx="113">
                  <c:v>#VALUE!</c:v>
                </c:pt>
                <c:pt idx="114">
                  <c:v>#VALUE!</c:v>
                </c:pt>
                <c:pt idx="115">
                  <c:v>#VALUE!</c:v>
                </c:pt>
                <c:pt idx="116">
                  <c:v>#VALUE!</c:v>
                </c:pt>
                <c:pt idx="117">
                  <c:v>#VALUE!</c:v>
                </c:pt>
                <c:pt idx="118">
                  <c:v>#VALUE!</c:v>
                </c:pt>
                <c:pt idx="119">
                  <c:v>#VALUE!</c:v>
                </c:pt>
                <c:pt idx="120">
                  <c:v>#VALUE!</c:v>
                </c:pt>
                <c:pt idx="121">
                  <c:v>#VALUE!</c:v>
                </c:pt>
                <c:pt idx="122">
                  <c:v>#VALUE!</c:v>
                </c:pt>
                <c:pt idx="123">
                  <c:v>#VALUE!</c:v>
                </c:pt>
                <c:pt idx="124">
                  <c:v>#VALUE!</c:v>
                </c:pt>
                <c:pt idx="125">
                  <c:v>#VALUE!</c:v>
                </c:pt>
                <c:pt idx="126">
                  <c:v>#VALUE!</c:v>
                </c:pt>
                <c:pt idx="127">
                  <c:v>#VALUE!</c:v>
                </c:pt>
                <c:pt idx="128">
                  <c:v>#VALUE!</c:v>
                </c:pt>
                <c:pt idx="129">
                  <c:v>#VALUE!</c:v>
                </c:pt>
                <c:pt idx="130">
                  <c:v>#VALUE!</c:v>
                </c:pt>
                <c:pt idx="131">
                  <c:v>#VALUE!</c:v>
                </c:pt>
                <c:pt idx="132">
                  <c:v>#VALUE!</c:v>
                </c:pt>
                <c:pt idx="133">
                  <c:v>#VALUE!</c:v>
                </c:pt>
                <c:pt idx="134">
                  <c:v>#VALUE!</c:v>
                </c:pt>
                <c:pt idx="135">
                  <c:v>#VALUE!</c:v>
                </c:pt>
                <c:pt idx="136">
                  <c:v>#VALUE!</c:v>
                </c:pt>
                <c:pt idx="137">
                  <c:v>#VALUE!</c:v>
                </c:pt>
                <c:pt idx="138">
                  <c:v>#VALUE!</c:v>
                </c:pt>
                <c:pt idx="139">
                  <c:v>#VALUE!</c:v>
                </c:pt>
                <c:pt idx="140">
                  <c:v>#VALUE!</c:v>
                </c:pt>
                <c:pt idx="141">
                  <c:v>#VALUE!</c:v>
                </c:pt>
                <c:pt idx="142">
                  <c:v>#VALUE!</c:v>
                </c:pt>
                <c:pt idx="143">
                  <c:v>#VALUE!</c:v>
                </c:pt>
                <c:pt idx="144">
                  <c:v>#VALUE!</c:v>
                </c:pt>
                <c:pt idx="145">
                  <c:v>#VALUE!</c:v>
                </c:pt>
                <c:pt idx="146">
                  <c:v>#VALUE!</c:v>
                </c:pt>
                <c:pt idx="147">
                  <c:v>#VALUE!</c:v>
                </c:pt>
                <c:pt idx="148">
                  <c:v>#VALUE!</c:v>
                </c:pt>
                <c:pt idx="149">
                  <c:v>#VALUE!</c:v>
                </c:pt>
                <c:pt idx="150">
                  <c:v>#VALUE!</c:v>
                </c:pt>
                <c:pt idx="151">
                  <c:v>#VALUE!</c:v>
                </c:pt>
                <c:pt idx="152">
                  <c:v>#VALUE!</c:v>
                </c:pt>
                <c:pt idx="153">
                  <c:v>#VALUE!</c:v>
                </c:pt>
                <c:pt idx="154">
                  <c:v>#VALUE!</c:v>
                </c:pt>
                <c:pt idx="155">
                  <c:v>#VALUE!</c:v>
                </c:pt>
                <c:pt idx="156">
                  <c:v>#VALUE!</c:v>
                </c:pt>
                <c:pt idx="157">
                  <c:v>#VALUE!</c:v>
                </c:pt>
                <c:pt idx="158">
                  <c:v>#VALUE!</c:v>
                </c:pt>
                <c:pt idx="159">
                  <c:v>#VALUE!</c:v>
                </c:pt>
                <c:pt idx="160">
                  <c:v>#VALUE!</c:v>
                </c:pt>
                <c:pt idx="161">
                  <c:v>#VALUE!</c:v>
                </c:pt>
                <c:pt idx="162">
                  <c:v>#VALUE!</c:v>
                </c:pt>
                <c:pt idx="163">
                  <c:v>#VALUE!</c:v>
                </c:pt>
                <c:pt idx="164">
                  <c:v>#VALUE!</c:v>
                </c:pt>
                <c:pt idx="165">
                  <c:v>#VALUE!</c:v>
                </c:pt>
                <c:pt idx="166">
                  <c:v>#VALUE!</c:v>
                </c:pt>
                <c:pt idx="167">
                  <c:v>#VALUE!</c:v>
                </c:pt>
                <c:pt idx="168">
                  <c:v>#VALUE!</c:v>
                </c:pt>
                <c:pt idx="169">
                  <c:v>#VALUE!</c:v>
                </c:pt>
                <c:pt idx="170">
                  <c:v>#VALUE!</c:v>
                </c:pt>
                <c:pt idx="171">
                  <c:v>#VALUE!</c:v>
                </c:pt>
                <c:pt idx="172">
                  <c:v>#VALUE!</c:v>
                </c:pt>
                <c:pt idx="173">
                  <c:v>#VALUE!</c:v>
                </c:pt>
                <c:pt idx="174">
                  <c:v>#VALUE!</c:v>
                </c:pt>
                <c:pt idx="175">
                  <c:v>#VALUE!</c:v>
                </c:pt>
                <c:pt idx="176">
                  <c:v>#VALUE!</c:v>
                </c:pt>
                <c:pt idx="177">
                  <c:v>#VALUE!</c:v>
                </c:pt>
                <c:pt idx="178">
                  <c:v>#VALUE!</c:v>
                </c:pt>
                <c:pt idx="179">
                  <c:v>#VALUE!</c:v>
                </c:pt>
                <c:pt idx="180">
                  <c:v>#VALUE!</c:v>
                </c:pt>
                <c:pt idx="181">
                  <c:v>#VALUE!</c:v>
                </c:pt>
                <c:pt idx="182">
                  <c:v>#VALUE!</c:v>
                </c:pt>
                <c:pt idx="183">
                  <c:v>#VALUE!</c:v>
                </c:pt>
                <c:pt idx="184">
                  <c:v>#VALUE!</c:v>
                </c:pt>
                <c:pt idx="185">
                  <c:v>#VALUE!</c:v>
                </c:pt>
                <c:pt idx="186">
                  <c:v>#VALUE!</c:v>
                </c:pt>
                <c:pt idx="187">
                  <c:v>#VALUE!</c:v>
                </c:pt>
                <c:pt idx="188">
                  <c:v>#VALUE!</c:v>
                </c:pt>
                <c:pt idx="189">
                  <c:v>#VALUE!</c:v>
                </c:pt>
                <c:pt idx="190">
                  <c:v>#VALUE!</c:v>
                </c:pt>
                <c:pt idx="191">
                  <c:v>#VALUE!</c:v>
                </c:pt>
                <c:pt idx="192">
                  <c:v>#VALUE!</c:v>
                </c:pt>
                <c:pt idx="193">
                  <c:v>#VALUE!</c:v>
                </c:pt>
                <c:pt idx="194">
                  <c:v>#VALUE!</c:v>
                </c:pt>
                <c:pt idx="195">
                  <c:v>#VALUE!</c:v>
                </c:pt>
                <c:pt idx="196">
                  <c:v>#VALUE!</c:v>
                </c:pt>
                <c:pt idx="197">
                  <c:v>#VALUE!</c:v>
                </c:pt>
                <c:pt idx="198">
                  <c:v>#VALUE!</c:v>
                </c:pt>
                <c:pt idx="199">
                  <c:v>#VALUE!</c:v>
                </c:pt>
                <c:pt idx="200">
                  <c:v>#VALUE!</c:v>
                </c:pt>
                <c:pt idx="201">
                  <c:v>#VALUE!</c:v>
                </c:pt>
                <c:pt idx="202">
                  <c:v>#VALUE!</c:v>
                </c:pt>
                <c:pt idx="203">
                  <c:v>#VALUE!</c:v>
                </c:pt>
                <c:pt idx="204">
                  <c:v>#VALUE!</c:v>
                </c:pt>
                <c:pt idx="205">
                  <c:v>#VALUE!</c:v>
                </c:pt>
                <c:pt idx="206">
                  <c:v>#VALUE!</c:v>
                </c:pt>
                <c:pt idx="207">
                  <c:v>#VALUE!</c:v>
                </c:pt>
                <c:pt idx="208">
                  <c:v>#VALUE!</c:v>
                </c:pt>
                <c:pt idx="209">
                  <c:v>#VALUE!</c:v>
                </c:pt>
                <c:pt idx="210">
                  <c:v>#VALUE!</c:v>
                </c:pt>
                <c:pt idx="211">
                  <c:v>#VALUE!</c:v>
                </c:pt>
                <c:pt idx="212">
                  <c:v>#VALUE!</c:v>
                </c:pt>
                <c:pt idx="213">
                  <c:v>#VALUE!</c:v>
                </c:pt>
                <c:pt idx="214">
                  <c:v>#VALUE!</c:v>
                </c:pt>
                <c:pt idx="215">
                  <c:v>#VALUE!</c:v>
                </c:pt>
                <c:pt idx="216">
                  <c:v>#VALUE!</c:v>
                </c:pt>
                <c:pt idx="217">
                  <c:v>#VALUE!</c:v>
                </c:pt>
                <c:pt idx="218">
                  <c:v>#VALUE!</c:v>
                </c:pt>
                <c:pt idx="219">
                  <c:v>#VALUE!</c:v>
                </c:pt>
                <c:pt idx="220">
                  <c:v>#VALUE!</c:v>
                </c:pt>
                <c:pt idx="221">
                  <c:v>#VALUE!</c:v>
                </c:pt>
                <c:pt idx="222">
                  <c:v>#VALUE!</c:v>
                </c:pt>
                <c:pt idx="223">
                  <c:v>#VALUE!</c:v>
                </c:pt>
                <c:pt idx="224">
                  <c:v>#VALUE!</c:v>
                </c:pt>
                <c:pt idx="225">
                  <c:v>#VALUE!</c:v>
                </c:pt>
                <c:pt idx="226">
                  <c:v>#VALUE!</c:v>
                </c:pt>
                <c:pt idx="227">
                  <c:v>#VALUE!</c:v>
                </c:pt>
                <c:pt idx="228">
                  <c:v>#VALUE!</c:v>
                </c:pt>
                <c:pt idx="229">
                  <c:v>#VALUE!</c:v>
                </c:pt>
                <c:pt idx="230">
                  <c:v>#VALUE!</c:v>
                </c:pt>
                <c:pt idx="231">
                  <c:v>#VALUE!</c:v>
                </c:pt>
                <c:pt idx="232">
                  <c:v>#VALUE!</c:v>
                </c:pt>
                <c:pt idx="233">
                  <c:v>#VALUE!</c:v>
                </c:pt>
                <c:pt idx="234">
                  <c:v>#VALUE!</c:v>
                </c:pt>
                <c:pt idx="235">
                  <c:v>#VALUE!</c:v>
                </c:pt>
                <c:pt idx="236">
                  <c:v>#VALUE!</c:v>
                </c:pt>
                <c:pt idx="237">
                  <c:v>#VALUE!</c:v>
                </c:pt>
                <c:pt idx="238">
                  <c:v>#VALUE!</c:v>
                </c:pt>
                <c:pt idx="239">
                  <c:v>#VALUE!</c:v>
                </c:pt>
                <c:pt idx="240">
                  <c:v>#VALUE!</c:v>
                </c:pt>
                <c:pt idx="241">
                  <c:v>#VALUE!</c:v>
                </c:pt>
                <c:pt idx="242">
                  <c:v>#VALUE!</c:v>
                </c:pt>
                <c:pt idx="243">
                  <c:v>#VALUE!</c:v>
                </c:pt>
                <c:pt idx="244">
                  <c:v>#VALUE!</c:v>
                </c:pt>
                <c:pt idx="245">
                  <c:v>#VALUE!</c:v>
                </c:pt>
                <c:pt idx="246">
                  <c:v>#VALUE!</c:v>
                </c:pt>
                <c:pt idx="247">
                  <c:v>#VALUE!</c:v>
                </c:pt>
                <c:pt idx="248">
                  <c:v>#VALUE!</c:v>
                </c:pt>
                <c:pt idx="249">
                  <c:v>#VALUE!</c:v>
                </c:pt>
                <c:pt idx="250">
                  <c:v>#VALUE!</c:v>
                </c:pt>
              </c:strCache>
            </c:strRef>
          </c:cat>
          <c:val>
            <c:numRef>
              <c:f>EXP!$T$21:$JJ$21</c:f>
              <c:numCache>
                <c:formatCode>0%</c:formatCode>
                <c:ptCount val="2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numCache>
            </c:numRef>
          </c:val>
          <c:extLst>
            <c:ext xmlns:c16="http://schemas.microsoft.com/office/drawing/2014/chart" uri="{C3380CC4-5D6E-409C-BE32-E72D297353CC}">
              <c16:uniqueId val="{0000000C-7642-4CF9-9137-A7C777D0CFF9}"/>
            </c:ext>
          </c:extLst>
        </c:ser>
        <c:ser>
          <c:idx val="13"/>
          <c:order val="13"/>
          <c:tx>
            <c:strRef>
              <c:f>EXP!$S$22</c:f>
              <c:strCache>
                <c:ptCount val="1"/>
              </c:strCache>
            </c:strRef>
          </c:tx>
          <c:spPr>
            <a:solidFill>
              <a:schemeClr val="accent2">
                <a:lumMod val="80000"/>
                <a:lumOff val="20000"/>
              </a:schemeClr>
            </a:solidFill>
            <a:ln w="6350">
              <a:noFill/>
            </a:ln>
            <a:effectLst/>
          </c:spPr>
          <c:cat>
            <c:strRef>
              <c:f>EXP!$T$7:$JJ$7</c:f>
              <c:strCache>
                <c:ptCount val="251"/>
                <c:pt idx="1">
                  <c:v>#VALUE!</c:v>
                </c:pt>
                <c:pt idx="2">
                  <c:v>#VALUE!</c:v>
                </c:pt>
                <c:pt idx="3">
                  <c:v>#VALUE!</c:v>
                </c:pt>
                <c:pt idx="4">
                  <c:v>#VALUE!</c:v>
                </c:pt>
                <c:pt idx="5">
                  <c:v>#VALUE!</c:v>
                </c:pt>
                <c:pt idx="6">
                  <c:v>#VALUE!</c:v>
                </c:pt>
                <c:pt idx="7">
                  <c:v>#VALUE!</c:v>
                </c:pt>
                <c:pt idx="8">
                  <c:v>#VALUE!</c:v>
                </c:pt>
                <c:pt idx="9">
                  <c:v>#VALUE!</c:v>
                </c:pt>
                <c:pt idx="10">
                  <c:v>#VALUE!</c:v>
                </c:pt>
                <c:pt idx="11">
                  <c:v>#VALUE!</c:v>
                </c:pt>
                <c:pt idx="12">
                  <c:v>#VALUE!</c:v>
                </c:pt>
                <c:pt idx="13">
                  <c:v>#VALUE!</c:v>
                </c:pt>
                <c:pt idx="14">
                  <c:v>#VALUE!</c:v>
                </c:pt>
                <c:pt idx="15">
                  <c:v>#VALUE!</c:v>
                </c:pt>
                <c:pt idx="16">
                  <c:v>#VALUE!</c:v>
                </c:pt>
                <c:pt idx="17">
                  <c:v>#VALUE!</c:v>
                </c:pt>
                <c:pt idx="18">
                  <c:v>#VALUE!</c:v>
                </c:pt>
                <c:pt idx="19">
                  <c:v>#VALUE!</c:v>
                </c:pt>
                <c:pt idx="20">
                  <c:v>#VALUE!</c:v>
                </c:pt>
                <c:pt idx="21">
                  <c:v>#VALUE!</c:v>
                </c:pt>
                <c:pt idx="22">
                  <c:v>#VALUE!</c:v>
                </c:pt>
                <c:pt idx="23">
                  <c:v>#VALUE!</c:v>
                </c:pt>
                <c:pt idx="24">
                  <c:v>#VALUE!</c:v>
                </c:pt>
                <c:pt idx="25">
                  <c:v>#VALUE!</c:v>
                </c:pt>
                <c:pt idx="26">
                  <c:v>#VALUE!</c:v>
                </c:pt>
                <c:pt idx="27">
                  <c:v>#VALUE!</c:v>
                </c:pt>
                <c:pt idx="28">
                  <c:v>#VALUE!</c:v>
                </c:pt>
                <c:pt idx="29">
                  <c:v>#VALUE!</c:v>
                </c:pt>
                <c:pt idx="30">
                  <c:v>#VALUE!</c:v>
                </c:pt>
                <c:pt idx="31">
                  <c:v>#VALUE!</c:v>
                </c:pt>
                <c:pt idx="32">
                  <c:v>#VALUE!</c:v>
                </c:pt>
                <c:pt idx="33">
                  <c:v>#VALUE!</c:v>
                </c:pt>
                <c:pt idx="34">
                  <c:v>#VALUE!</c:v>
                </c:pt>
                <c:pt idx="35">
                  <c:v>#VALUE!</c:v>
                </c:pt>
                <c:pt idx="36">
                  <c:v>#VALUE!</c:v>
                </c:pt>
                <c:pt idx="37">
                  <c:v>#VALUE!</c:v>
                </c:pt>
                <c:pt idx="38">
                  <c:v>#VALUE!</c:v>
                </c:pt>
                <c:pt idx="39">
                  <c:v>#VALUE!</c:v>
                </c:pt>
                <c:pt idx="40">
                  <c:v>#VALUE!</c:v>
                </c:pt>
                <c:pt idx="41">
                  <c:v>#VALUE!</c:v>
                </c:pt>
                <c:pt idx="42">
                  <c:v>#VALUE!</c:v>
                </c:pt>
                <c:pt idx="43">
                  <c:v>#VALUE!</c:v>
                </c:pt>
                <c:pt idx="44">
                  <c:v>#VALUE!</c:v>
                </c:pt>
                <c:pt idx="45">
                  <c:v>#VALUE!</c:v>
                </c:pt>
                <c:pt idx="46">
                  <c:v>#VALUE!</c:v>
                </c:pt>
                <c:pt idx="47">
                  <c:v>#VALUE!</c:v>
                </c:pt>
                <c:pt idx="48">
                  <c:v>#VALUE!</c:v>
                </c:pt>
                <c:pt idx="49">
                  <c:v>#VALUE!</c:v>
                </c:pt>
                <c:pt idx="50">
                  <c:v>#VALUE!</c:v>
                </c:pt>
                <c:pt idx="51">
                  <c:v>#VALUE!</c:v>
                </c:pt>
                <c:pt idx="52">
                  <c:v>#VALUE!</c:v>
                </c:pt>
                <c:pt idx="53">
                  <c:v>#VALUE!</c:v>
                </c:pt>
                <c:pt idx="54">
                  <c:v>#VALUE!</c:v>
                </c:pt>
                <c:pt idx="55">
                  <c:v>#VALUE!</c:v>
                </c:pt>
                <c:pt idx="56">
                  <c:v>#VALUE!</c:v>
                </c:pt>
                <c:pt idx="57">
                  <c:v>#VALUE!</c:v>
                </c:pt>
                <c:pt idx="58">
                  <c:v>#VALUE!</c:v>
                </c:pt>
                <c:pt idx="59">
                  <c:v>#VALUE!</c:v>
                </c:pt>
                <c:pt idx="60">
                  <c:v>#VALUE!</c:v>
                </c:pt>
                <c:pt idx="61">
                  <c:v>#VALUE!</c:v>
                </c:pt>
                <c:pt idx="62">
                  <c:v>#VALUE!</c:v>
                </c:pt>
                <c:pt idx="63">
                  <c:v>#VALUE!</c:v>
                </c:pt>
                <c:pt idx="64">
                  <c:v>#VALUE!</c:v>
                </c:pt>
                <c:pt idx="65">
                  <c:v>#VALUE!</c:v>
                </c:pt>
                <c:pt idx="66">
                  <c:v>#VALUE!</c:v>
                </c:pt>
                <c:pt idx="67">
                  <c:v>#VALUE!</c:v>
                </c:pt>
                <c:pt idx="68">
                  <c:v>#VALUE!</c:v>
                </c:pt>
                <c:pt idx="69">
                  <c:v>#VALUE!</c:v>
                </c:pt>
                <c:pt idx="70">
                  <c:v>#VALUE!</c:v>
                </c:pt>
                <c:pt idx="71">
                  <c:v>#VALUE!</c:v>
                </c:pt>
                <c:pt idx="72">
                  <c:v>#VALUE!</c:v>
                </c:pt>
                <c:pt idx="73">
                  <c:v>#VALUE!</c:v>
                </c:pt>
                <c:pt idx="74">
                  <c:v>#VALUE!</c:v>
                </c:pt>
                <c:pt idx="75">
                  <c:v>#VALUE!</c:v>
                </c:pt>
                <c:pt idx="76">
                  <c:v>#VALUE!</c:v>
                </c:pt>
                <c:pt idx="77">
                  <c:v>#VALUE!</c:v>
                </c:pt>
                <c:pt idx="78">
                  <c:v>#VALUE!</c:v>
                </c:pt>
                <c:pt idx="79">
                  <c:v>#VALUE!</c:v>
                </c:pt>
                <c:pt idx="80">
                  <c:v>#VALUE!</c:v>
                </c:pt>
                <c:pt idx="81">
                  <c:v>#VALUE!</c:v>
                </c:pt>
                <c:pt idx="82">
                  <c:v>#VALUE!</c:v>
                </c:pt>
                <c:pt idx="83">
                  <c:v>#VALUE!</c:v>
                </c:pt>
                <c:pt idx="84">
                  <c:v>#VALUE!</c:v>
                </c:pt>
                <c:pt idx="85">
                  <c:v>#VALUE!</c:v>
                </c:pt>
                <c:pt idx="86">
                  <c:v>#VALUE!</c:v>
                </c:pt>
                <c:pt idx="87">
                  <c:v>#VALUE!</c:v>
                </c:pt>
                <c:pt idx="88">
                  <c:v>#VALUE!</c:v>
                </c:pt>
                <c:pt idx="89">
                  <c:v>#VALUE!</c:v>
                </c:pt>
                <c:pt idx="90">
                  <c:v>#VALUE!</c:v>
                </c:pt>
                <c:pt idx="91">
                  <c:v>#VALUE!</c:v>
                </c:pt>
                <c:pt idx="92">
                  <c:v>#VALUE!</c:v>
                </c:pt>
                <c:pt idx="93">
                  <c:v>#VALUE!</c:v>
                </c:pt>
                <c:pt idx="94">
                  <c:v>#VALUE!</c:v>
                </c:pt>
                <c:pt idx="95">
                  <c:v>#VALUE!</c:v>
                </c:pt>
                <c:pt idx="96">
                  <c:v>#VALUE!</c:v>
                </c:pt>
                <c:pt idx="97">
                  <c:v>#VALUE!</c:v>
                </c:pt>
                <c:pt idx="98">
                  <c:v>#VALUE!</c:v>
                </c:pt>
                <c:pt idx="99">
                  <c:v>#VALUE!</c:v>
                </c:pt>
                <c:pt idx="100">
                  <c:v>#VALUE!</c:v>
                </c:pt>
                <c:pt idx="101">
                  <c:v>#VALUE!</c:v>
                </c:pt>
                <c:pt idx="102">
                  <c:v>#VALUE!</c:v>
                </c:pt>
                <c:pt idx="103">
                  <c:v>#VALUE!</c:v>
                </c:pt>
                <c:pt idx="104">
                  <c:v>#VALUE!</c:v>
                </c:pt>
                <c:pt idx="105">
                  <c:v>#VALUE!</c:v>
                </c:pt>
                <c:pt idx="106">
                  <c:v>#VALUE!</c:v>
                </c:pt>
                <c:pt idx="107">
                  <c:v>#VALUE!</c:v>
                </c:pt>
                <c:pt idx="108">
                  <c:v>#VALUE!</c:v>
                </c:pt>
                <c:pt idx="109">
                  <c:v>#VALUE!</c:v>
                </c:pt>
                <c:pt idx="110">
                  <c:v>#VALUE!</c:v>
                </c:pt>
                <c:pt idx="111">
                  <c:v>#VALUE!</c:v>
                </c:pt>
                <c:pt idx="112">
                  <c:v>#VALUE!</c:v>
                </c:pt>
                <c:pt idx="113">
                  <c:v>#VALUE!</c:v>
                </c:pt>
                <c:pt idx="114">
                  <c:v>#VALUE!</c:v>
                </c:pt>
                <c:pt idx="115">
                  <c:v>#VALUE!</c:v>
                </c:pt>
                <c:pt idx="116">
                  <c:v>#VALUE!</c:v>
                </c:pt>
                <c:pt idx="117">
                  <c:v>#VALUE!</c:v>
                </c:pt>
                <c:pt idx="118">
                  <c:v>#VALUE!</c:v>
                </c:pt>
                <c:pt idx="119">
                  <c:v>#VALUE!</c:v>
                </c:pt>
                <c:pt idx="120">
                  <c:v>#VALUE!</c:v>
                </c:pt>
                <c:pt idx="121">
                  <c:v>#VALUE!</c:v>
                </c:pt>
                <c:pt idx="122">
                  <c:v>#VALUE!</c:v>
                </c:pt>
                <c:pt idx="123">
                  <c:v>#VALUE!</c:v>
                </c:pt>
                <c:pt idx="124">
                  <c:v>#VALUE!</c:v>
                </c:pt>
                <c:pt idx="125">
                  <c:v>#VALUE!</c:v>
                </c:pt>
                <c:pt idx="126">
                  <c:v>#VALUE!</c:v>
                </c:pt>
                <c:pt idx="127">
                  <c:v>#VALUE!</c:v>
                </c:pt>
                <c:pt idx="128">
                  <c:v>#VALUE!</c:v>
                </c:pt>
                <c:pt idx="129">
                  <c:v>#VALUE!</c:v>
                </c:pt>
                <c:pt idx="130">
                  <c:v>#VALUE!</c:v>
                </c:pt>
                <c:pt idx="131">
                  <c:v>#VALUE!</c:v>
                </c:pt>
                <c:pt idx="132">
                  <c:v>#VALUE!</c:v>
                </c:pt>
                <c:pt idx="133">
                  <c:v>#VALUE!</c:v>
                </c:pt>
                <c:pt idx="134">
                  <c:v>#VALUE!</c:v>
                </c:pt>
                <c:pt idx="135">
                  <c:v>#VALUE!</c:v>
                </c:pt>
                <c:pt idx="136">
                  <c:v>#VALUE!</c:v>
                </c:pt>
                <c:pt idx="137">
                  <c:v>#VALUE!</c:v>
                </c:pt>
                <c:pt idx="138">
                  <c:v>#VALUE!</c:v>
                </c:pt>
                <c:pt idx="139">
                  <c:v>#VALUE!</c:v>
                </c:pt>
                <c:pt idx="140">
                  <c:v>#VALUE!</c:v>
                </c:pt>
                <c:pt idx="141">
                  <c:v>#VALUE!</c:v>
                </c:pt>
                <c:pt idx="142">
                  <c:v>#VALUE!</c:v>
                </c:pt>
                <c:pt idx="143">
                  <c:v>#VALUE!</c:v>
                </c:pt>
                <c:pt idx="144">
                  <c:v>#VALUE!</c:v>
                </c:pt>
                <c:pt idx="145">
                  <c:v>#VALUE!</c:v>
                </c:pt>
                <c:pt idx="146">
                  <c:v>#VALUE!</c:v>
                </c:pt>
                <c:pt idx="147">
                  <c:v>#VALUE!</c:v>
                </c:pt>
                <c:pt idx="148">
                  <c:v>#VALUE!</c:v>
                </c:pt>
                <c:pt idx="149">
                  <c:v>#VALUE!</c:v>
                </c:pt>
                <c:pt idx="150">
                  <c:v>#VALUE!</c:v>
                </c:pt>
                <c:pt idx="151">
                  <c:v>#VALUE!</c:v>
                </c:pt>
                <c:pt idx="152">
                  <c:v>#VALUE!</c:v>
                </c:pt>
                <c:pt idx="153">
                  <c:v>#VALUE!</c:v>
                </c:pt>
                <c:pt idx="154">
                  <c:v>#VALUE!</c:v>
                </c:pt>
                <c:pt idx="155">
                  <c:v>#VALUE!</c:v>
                </c:pt>
                <c:pt idx="156">
                  <c:v>#VALUE!</c:v>
                </c:pt>
                <c:pt idx="157">
                  <c:v>#VALUE!</c:v>
                </c:pt>
                <c:pt idx="158">
                  <c:v>#VALUE!</c:v>
                </c:pt>
                <c:pt idx="159">
                  <c:v>#VALUE!</c:v>
                </c:pt>
                <c:pt idx="160">
                  <c:v>#VALUE!</c:v>
                </c:pt>
                <c:pt idx="161">
                  <c:v>#VALUE!</c:v>
                </c:pt>
                <c:pt idx="162">
                  <c:v>#VALUE!</c:v>
                </c:pt>
                <c:pt idx="163">
                  <c:v>#VALUE!</c:v>
                </c:pt>
                <c:pt idx="164">
                  <c:v>#VALUE!</c:v>
                </c:pt>
                <c:pt idx="165">
                  <c:v>#VALUE!</c:v>
                </c:pt>
                <c:pt idx="166">
                  <c:v>#VALUE!</c:v>
                </c:pt>
                <c:pt idx="167">
                  <c:v>#VALUE!</c:v>
                </c:pt>
                <c:pt idx="168">
                  <c:v>#VALUE!</c:v>
                </c:pt>
                <c:pt idx="169">
                  <c:v>#VALUE!</c:v>
                </c:pt>
                <c:pt idx="170">
                  <c:v>#VALUE!</c:v>
                </c:pt>
                <c:pt idx="171">
                  <c:v>#VALUE!</c:v>
                </c:pt>
                <c:pt idx="172">
                  <c:v>#VALUE!</c:v>
                </c:pt>
                <c:pt idx="173">
                  <c:v>#VALUE!</c:v>
                </c:pt>
                <c:pt idx="174">
                  <c:v>#VALUE!</c:v>
                </c:pt>
                <c:pt idx="175">
                  <c:v>#VALUE!</c:v>
                </c:pt>
                <c:pt idx="176">
                  <c:v>#VALUE!</c:v>
                </c:pt>
                <c:pt idx="177">
                  <c:v>#VALUE!</c:v>
                </c:pt>
                <c:pt idx="178">
                  <c:v>#VALUE!</c:v>
                </c:pt>
                <c:pt idx="179">
                  <c:v>#VALUE!</c:v>
                </c:pt>
                <c:pt idx="180">
                  <c:v>#VALUE!</c:v>
                </c:pt>
                <c:pt idx="181">
                  <c:v>#VALUE!</c:v>
                </c:pt>
                <c:pt idx="182">
                  <c:v>#VALUE!</c:v>
                </c:pt>
                <c:pt idx="183">
                  <c:v>#VALUE!</c:v>
                </c:pt>
                <c:pt idx="184">
                  <c:v>#VALUE!</c:v>
                </c:pt>
                <c:pt idx="185">
                  <c:v>#VALUE!</c:v>
                </c:pt>
                <c:pt idx="186">
                  <c:v>#VALUE!</c:v>
                </c:pt>
                <c:pt idx="187">
                  <c:v>#VALUE!</c:v>
                </c:pt>
                <c:pt idx="188">
                  <c:v>#VALUE!</c:v>
                </c:pt>
                <c:pt idx="189">
                  <c:v>#VALUE!</c:v>
                </c:pt>
                <c:pt idx="190">
                  <c:v>#VALUE!</c:v>
                </c:pt>
                <c:pt idx="191">
                  <c:v>#VALUE!</c:v>
                </c:pt>
                <c:pt idx="192">
                  <c:v>#VALUE!</c:v>
                </c:pt>
                <c:pt idx="193">
                  <c:v>#VALUE!</c:v>
                </c:pt>
                <c:pt idx="194">
                  <c:v>#VALUE!</c:v>
                </c:pt>
                <c:pt idx="195">
                  <c:v>#VALUE!</c:v>
                </c:pt>
                <c:pt idx="196">
                  <c:v>#VALUE!</c:v>
                </c:pt>
                <c:pt idx="197">
                  <c:v>#VALUE!</c:v>
                </c:pt>
                <c:pt idx="198">
                  <c:v>#VALUE!</c:v>
                </c:pt>
                <c:pt idx="199">
                  <c:v>#VALUE!</c:v>
                </c:pt>
                <c:pt idx="200">
                  <c:v>#VALUE!</c:v>
                </c:pt>
                <c:pt idx="201">
                  <c:v>#VALUE!</c:v>
                </c:pt>
                <c:pt idx="202">
                  <c:v>#VALUE!</c:v>
                </c:pt>
                <c:pt idx="203">
                  <c:v>#VALUE!</c:v>
                </c:pt>
                <c:pt idx="204">
                  <c:v>#VALUE!</c:v>
                </c:pt>
                <c:pt idx="205">
                  <c:v>#VALUE!</c:v>
                </c:pt>
                <c:pt idx="206">
                  <c:v>#VALUE!</c:v>
                </c:pt>
                <c:pt idx="207">
                  <c:v>#VALUE!</c:v>
                </c:pt>
                <c:pt idx="208">
                  <c:v>#VALUE!</c:v>
                </c:pt>
                <c:pt idx="209">
                  <c:v>#VALUE!</c:v>
                </c:pt>
                <c:pt idx="210">
                  <c:v>#VALUE!</c:v>
                </c:pt>
                <c:pt idx="211">
                  <c:v>#VALUE!</c:v>
                </c:pt>
                <c:pt idx="212">
                  <c:v>#VALUE!</c:v>
                </c:pt>
                <c:pt idx="213">
                  <c:v>#VALUE!</c:v>
                </c:pt>
                <c:pt idx="214">
                  <c:v>#VALUE!</c:v>
                </c:pt>
                <c:pt idx="215">
                  <c:v>#VALUE!</c:v>
                </c:pt>
                <c:pt idx="216">
                  <c:v>#VALUE!</c:v>
                </c:pt>
                <c:pt idx="217">
                  <c:v>#VALUE!</c:v>
                </c:pt>
                <c:pt idx="218">
                  <c:v>#VALUE!</c:v>
                </c:pt>
                <c:pt idx="219">
                  <c:v>#VALUE!</c:v>
                </c:pt>
                <c:pt idx="220">
                  <c:v>#VALUE!</c:v>
                </c:pt>
                <c:pt idx="221">
                  <c:v>#VALUE!</c:v>
                </c:pt>
                <c:pt idx="222">
                  <c:v>#VALUE!</c:v>
                </c:pt>
                <c:pt idx="223">
                  <c:v>#VALUE!</c:v>
                </c:pt>
                <c:pt idx="224">
                  <c:v>#VALUE!</c:v>
                </c:pt>
                <c:pt idx="225">
                  <c:v>#VALUE!</c:v>
                </c:pt>
                <c:pt idx="226">
                  <c:v>#VALUE!</c:v>
                </c:pt>
                <c:pt idx="227">
                  <c:v>#VALUE!</c:v>
                </c:pt>
                <c:pt idx="228">
                  <c:v>#VALUE!</c:v>
                </c:pt>
                <c:pt idx="229">
                  <c:v>#VALUE!</c:v>
                </c:pt>
                <c:pt idx="230">
                  <c:v>#VALUE!</c:v>
                </c:pt>
                <c:pt idx="231">
                  <c:v>#VALUE!</c:v>
                </c:pt>
                <c:pt idx="232">
                  <c:v>#VALUE!</c:v>
                </c:pt>
                <c:pt idx="233">
                  <c:v>#VALUE!</c:v>
                </c:pt>
                <c:pt idx="234">
                  <c:v>#VALUE!</c:v>
                </c:pt>
                <c:pt idx="235">
                  <c:v>#VALUE!</c:v>
                </c:pt>
                <c:pt idx="236">
                  <c:v>#VALUE!</c:v>
                </c:pt>
                <c:pt idx="237">
                  <c:v>#VALUE!</c:v>
                </c:pt>
                <c:pt idx="238">
                  <c:v>#VALUE!</c:v>
                </c:pt>
                <c:pt idx="239">
                  <c:v>#VALUE!</c:v>
                </c:pt>
                <c:pt idx="240">
                  <c:v>#VALUE!</c:v>
                </c:pt>
                <c:pt idx="241">
                  <c:v>#VALUE!</c:v>
                </c:pt>
                <c:pt idx="242">
                  <c:v>#VALUE!</c:v>
                </c:pt>
                <c:pt idx="243">
                  <c:v>#VALUE!</c:v>
                </c:pt>
                <c:pt idx="244">
                  <c:v>#VALUE!</c:v>
                </c:pt>
                <c:pt idx="245">
                  <c:v>#VALUE!</c:v>
                </c:pt>
                <c:pt idx="246">
                  <c:v>#VALUE!</c:v>
                </c:pt>
                <c:pt idx="247">
                  <c:v>#VALUE!</c:v>
                </c:pt>
                <c:pt idx="248">
                  <c:v>#VALUE!</c:v>
                </c:pt>
                <c:pt idx="249">
                  <c:v>#VALUE!</c:v>
                </c:pt>
                <c:pt idx="250">
                  <c:v>#VALUE!</c:v>
                </c:pt>
              </c:strCache>
            </c:strRef>
          </c:cat>
          <c:val>
            <c:numRef>
              <c:f>EXP!$T$22:$JJ$22</c:f>
              <c:numCache>
                <c:formatCode>0%</c:formatCode>
                <c:ptCount val="2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numCache>
            </c:numRef>
          </c:val>
          <c:extLst>
            <c:ext xmlns:c16="http://schemas.microsoft.com/office/drawing/2014/chart" uri="{C3380CC4-5D6E-409C-BE32-E72D297353CC}">
              <c16:uniqueId val="{0000000D-7642-4CF9-9137-A7C777D0CFF9}"/>
            </c:ext>
          </c:extLst>
        </c:ser>
        <c:ser>
          <c:idx val="14"/>
          <c:order val="14"/>
          <c:tx>
            <c:strRef>
              <c:f>EXP!$S$23</c:f>
              <c:strCache>
                <c:ptCount val="1"/>
              </c:strCache>
            </c:strRef>
          </c:tx>
          <c:spPr>
            <a:solidFill>
              <a:schemeClr val="accent3">
                <a:lumMod val="80000"/>
                <a:lumOff val="20000"/>
              </a:schemeClr>
            </a:solidFill>
            <a:ln w="6350">
              <a:noFill/>
            </a:ln>
            <a:effectLst/>
          </c:spPr>
          <c:cat>
            <c:strRef>
              <c:f>EXP!$T$7:$JJ$7</c:f>
              <c:strCache>
                <c:ptCount val="251"/>
                <c:pt idx="1">
                  <c:v>#VALUE!</c:v>
                </c:pt>
                <c:pt idx="2">
                  <c:v>#VALUE!</c:v>
                </c:pt>
                <c:pt idx="3">
                  <c:v>#VALUE!</c:v>
                </c:pt>
                <c:pt idx="4">
                  <c:v>#VALUE!</c:v>
                </c:pt>
                <c:pt idx="5">
                  <c:v>#VALUE!</c:v>
                </c:pt>
                <c:pt idx="6">
                  <c:v>#VALUE!</c:v>
                </c:pt>
                <c:pt idx="7">
                  <c:v>#VALUE!</c:v>
                </c:pt>
                <c:pt idx="8">
                  <c:v>#VALUE!</c:v>
                </c:pt>
                <c:pt idx="9">
                  <c:v>#VALUE!</c:v>
                </c:pt>
                <c:pt idx="10">
                  <c:v>#VALUE!</c:v>
                </c:pt>
                <c:pt idx="11">
                  <c:v>#VALUE!</c:v>
                </c:pt>
                <c:pt idx="12">
                  <c:v>#VALUE!</c:v>
                </c:pt>
                <c:pt idx="13">
                  <c:v>#VALUE!</c:v>
                </c:pt>
                <c:pt idx="14">
                  <c:v>#VALUE!</c:v>
                </c:pt>
                <c:pt idx="15">
                  <c:v>#VALUE!</c:v>
                </c:pt>
                <c:pt idx="16">
                  <c:v>#VALUE!</c:v>
                </c:pt>
                <c:pt idx="17">
                  <c:v>#VALUE!</c:v>
                </c:pt>
                <c:pt idx="18">
                  <c:v>#VALUE!</c:v>
                </c:pt>
                <c:pt idx="19">
                  <c:v>#VALUE!</c:v>
                </c:pt>
                <c:pt idx="20">
                  <c:v>#VALUE!</c:v>
                </c:pt>
                <c:pt idx="21">
                  <c:v>#VALUE!</c:v>
                </c:pt>
                <c:pt idx="22">
                  <c:v>#VALUE!</c:v>
                </c:pt>
                <c:pt idx="23">
                  <c:v>#VALUE!</c:v>
                </c:pt>
                <c:pt idx="24">
                  <c:v>#VALUE!</c:v>
                </c:pt>
                <c:pt idx="25">
                  <c:v>#VALUE!</c:v>
                </c:pt>
                <c:pt idx="26">
                  <c:v>#VALUE!</c:v>
                </c:pt>
                <c:pt idx="27">
                  <c:v>#VALUE!</c:v>
                </c:pt>
                <c:pt idx="28">
                  <c:v>#VALUE!</c:v>
                </c:pt>
                <c:pt idx="29">
                  <c:v>#VALUE!</c:v>
                </c:pt>
                <c:pt idx="30">
                  <c:v>#VALUE!</c:v>
                </c:pt>
                <c:pt idx="31">
                  <c:v>#VALUE!</c:v>
                </c:pt>
                <c:pt idx="32">
                  <c:v>#VALUE!</c:v>
                </c:pt>
                <c:pt idx="33">
                  <c:v>#VALUE!</c:v>
                </c:pt>
                <c:pt idx="34">
                  <c:v>#VALUE!</c:v>
                </c:pt>
                <c:pt idx="35">
                  <c:v>#VALUE!</c:v>
                </c:pt>
                <c:pt idx="36">
                  <c:v>#VALUE!</c:v>
                </c:pt>
                <c:pt idx="37">
                  <c:v>#VALUE!</c:v>
                </c:pt>
                <c:pt idx="38">
                  <c:v>#VALUE!</c:v>
                </c:pt>
                <c:pt idx="39">
                  <c:v>#VALUE!</c:v>
                </c:pt>
                <c:pt idx="40">
                  <c:v>#VALUE!</c:v>
                </c:pt>
                <c:pt idx="41">
                  <c:v>#VALUE!</c:v>
                </c:pt>
                <c:pt idx="42">
                  <c:v>#VALUE!</c:v>
                </c:pt>
                <c:pt idx="43">
                  <c:v>#VALUE!</c:v>
                </c:pt>
                <c:pt idx="44">
                  <c:v>#VALUE!</c:v>
                </c:pt>
                <c:pt idx="45">
                  <c:v>#VALUE!</c:v>
                </c:pt>
                <c:pt idx="46">
                  <c:v>#VALUE!</c:v>
                </c:pt>
                <c:pt idx="47">
                  <c:v>#VALUE!</c:v>
                </c:pt>
                <c:pt idx="48">
                  <c:v>#VALUE!</c:v>
                </c:pt>
                <c:pt idx="49">
                  <c:v>#VALUE!</c:v>
                </c:pt>
                <c:pt idx="50">
                  <c:v>#VALUE!</c:v>
                </c:pt>
                <c:pt idx="51">
                  <c:v>#VALUE!</c:v>
                </c:pt>
                <c:pt idx="52">
                  <c:v>#VALUE!</c:v>
                </c:pt>
                <c:pt idx="53">
                  <c:v>#VALUE!</c:v>
                </c:pt>
                <c:pt idx="54">
                  <c:v>#VALUE!</c:v>
                </c:pt>
                <c:pt idx="55">
                  <c:v>#VALUE!</c:v>
                </c:pt>
                <c:pt idx="56">
                  <c:v>#VALUE!</c:v>
                </c:pt>
                <c:pt idx="57">
                  <c:v>#VALUE!</c:v>
                </c:pt>
                <c:pt idx="58">
                  <c:v>#VALUE!</c:v>
                </c:pt>
                <c:pt idx="59">
                  <c:v>#VALUE!</c:v>
                </c:pt>
                <c:pt idx="60">
                  <c:v>#VALUE!</c:v>
                </c:pt>
                <c:pt idx="61">
                  <c:v>#VALUE!</c:v>
                </c:pt>
                <c:pt idx="62">
                  <c:v>#VALUE!</c:v>
                </c:pt>
                <c:pt idx="63">
                  <c:v>#VALUE!</c:v>
                </c:pt>
                <c:pt idx="64">
                  <c:v>#VALUE!</c:v>
                </c:pt>
                <c:pt idx="65">
                  <c:v>#VALUE!</c:v>
                </c:pt>
                <c:pt idx="66">
                  <c:v>#VALUE!</c:v>
                </c:pt>
                <c:pt idx="67">
                  <c:v>#VALUE!</c:v>
                </c:pt>
                <c:pt idx="68">
                  <c:v>#VALUE!</c:v>
                </c:pt>
                <c:pt idx="69">
                  <c:v>#VALUE!</c:v>
                </c:pt>
                <c:pt idx="70">
                  <c:v>#VALUE!</c:v>
                </c:pt>
                <c:pt idx="71">
                  <c:v>#VALUE!</c:v>
                </c:pt>
                <c:pt idx="72">
                  <c:v>#VALUE!</c:v>
                </c:pt>
                <c:pt idx="73">
                  <c:v>#VALUE!</c:v>
                </c:pt>
                <c:pt idx="74">
                  <c:v>#VALUE!</c:v>
                </c:pt>
                <c:pt idx="75">
                  <c:v>#VALUE!</c:v>
                </c:pt>
                <c:pt idx="76">
                  <c:v>#VALUE!</c:v>
                </c:pt>
                <c:pt idx="77">
                  <c:v>#VALUE!</c:v>
                </c:pt>
                <c:pt idx="78">
                  <c:v>#VALUE!</c:v>
                </c:pt>
                <c:pt idx="79">
                  <c:v>#VALUE!</c:v>
                </c:pt>
                <c:pt idx="80">
                  <c:v>#VALUE!</c:v>
                </c:pt>
                <c:pt idx="81">
                  <c:v>#VALUE!</c:v>
                </c:pt>
                <c:pt idx="82">
                  <c:v>#VALUE!</c:v>
                </c:pt>
                <c:pt idx="83">
                  <c:v>#VALUE!</c:v>
                </c:pt>
                <c:pt idx="84">
                  <c:v>#VALUE!</c:v>
                </c:pt>
                <c:pt idx="85">
                  <c:v>#VALUE!</c:v>
                </c:pt>
                <c:pt idx="86">
                  <c:v>#VALUE!</c:v>
                </c:pt>
                <c:pt idx="87">
                  <c:v>#VALUE!</c:v>
                </c:pt>
                <c:pt idx="88">
                  <c:v>#VALUE!</c:v>
                </c:pt>
                <c:pt idx="89">
                  <c:v>#VALUE!</c:v>
                </c:pt>
                <c:pt idx="90">
                  <c:v>#VALUE!</c:v>
                </c:pt>
                <c:pt idx="91">
                  <c:v>#VALUE!</c:v>
                </c:pt>
                <c:pt idx="92">
                  <c:v>#VALUE!</c:v>
                </c:pt>
                <c:pt idx="93">
                  <c:v>#VALUE!</c:v>
                </c:pt>
                <c:pt idx="94">
                  <c:v>#VALUE!</c:v>
                </c:pt>
                <c:pt idx="95">
                  <c:v>#VALUE!</c:v>
                </c:pt>
                <c:pt idx="96">
                  <c:v>#VALUE!</c:v>
                </c:pt>
                <c:pt idx="97">
                  <c:v>#VALUE!</c:v>
                </c:pt>
                <c:pt idx="98">
                  <c:v>#VALUE!</c:v>
                </c:pt>
                <c:pt idx="99">
                  <c:v>#VALUE!</c:v>
                </c:pt>
                <c:pt idx="100">
                  <c:v>#VALUE!</c:v>
                </c:pt>
                <c:pt idx="101">
                  <c:v>#VALUE!</c:v>
                </c:pt>
                <c:pt idx="102">
                  <c:v>#VALUE!</c:v>
                </c:pt>
                <c:pt idx="103">
                  <c:v>#VALUE!</c:v>
                </c:pt>
                <c:pt idx="104">
                  <c:v>#VALUE!</c:v>
                </c:pt>
                <c:pt idx="105">
                  <c:v>#VALUE!</c:v>
                </c:pt>
                <c:pt idx="106">
                  <c:v>#VALUE!</c:v>
                </c:pt>
                <c:pt idx="107">
                  <c:v>#VALUE!</c:v>
                </c:pt>
                <c:pt idx="108">
                  <c:v>#VALUE!</c:v>
                </c:pt>
                <c:pt idx="109">
                  <c:v>#VALUE!</c:v>
                </c:pt>
                <c:pt idx="110">
                  <c:v>#VALUE!</c:v>
                </c:pt>
                <c:pt idx="111">
                  <c:v>#VALUE!</c:v>
                </c:pt>
                <c:pt idx="112">
                  <c:v>#VALUE!</c:v>
                </c:pt>
                <c:pt idx="113">
                  <c:v>#VALUE!</c:v>
                </c:pt>
                <c:pt idx="114">
                  <c:v>#VALUE!</c:v>
                </c:pt>
                <c:pt idx="115">
                  <c:v>#VALUE!</c:v>
                </c:pt>
                <c:pt idx="116">
                  <c:v>#VALUE!</c:v>
                </c:pt>
                <c:pt idx="117">
                  <c:v>#VALUE!</c:v>
                </c:pt>
                <c:pt idx="118">
                  <c:v>#VALUE!</c:v>
                </c:pt>
                <c:pt idx="119">
                  <c:v>#VALUE!</c:v>
                </c:pt>
                <c:pt idx="120">
                  <c:v>#VALUE!</c:v>
                </c:pt>
                <c:pt idx="121">
                  <c:v>#VALUE!</c:v>
                </c:pt>
                <c:pt idx="122">
                  <c:v>#VALUE!</c:v>
                </c:pt>
                <c:pt idx="123">
                  <c:v>#VALUE!</c:v>
                </c:pt>
                <c:pt idx="124">
                  <c:v>#VALUE!</c:v>
                </c:pt>
                <c:pt idx="125">
                  <c:v>#VALUE!</c:v>
                </c:pt>
                <c:pt idx="126">
                  <c:v>#VALUE!</c:v>
                </c:pt>
                <c:pt idx="127">
                  <c:v>#VALUE!</c:v>
                </c:pt>
                <c:pt idx="128">
                  <c:v>#VALUE!</c:v>
                </c:pt>
                <c:pt idx="129">
                  <c:v>#VALUE!</c:v>
                </c:pt>
                <c:pt idx="130">
                  <c:v>#VALUE!</c:v>
                </c:pt>
                <c:pt idx="131">
                  <c:v>#VALUE!</c:v>
                </c:pt>
                <c:pt idx="132">
                  <c:v>#VALUE!</c:v>
                </c:pt>
                <c:pt idx="133">
                  <c:v>#VALUE!</c:v>
                </c:pt>
                <c:pt idx="134">
                  <c:v>#VALUE!</c:v>
                </c:pt>
                <c:pt idx="135">
                  <c:v>#VALUE!</c:v>
                </c:pt>
                <c:pt idx="136">
                  <c:v>#VALUE!</c:v>
                </c:pt>
                <c:pt idx="137">
                  <c:v>#VALUE!</c:v>
                </c:pt>
                <c:pt idx="138">
                  <c:v>#VALUE!</c:v>
                </c:pt>
                <c:pt idx="139">
                  <c:v>#VALUE!</c:v>
                </c:pt>
                <c:pt idx="140">
                  <c:v>#VALUE!</c:v>
                </c:pt>
                <c:pt idx="141">
                  <c:v>#VALUE!</c:v>
                </c:pt>
                <c:pt idx="142">
                  <c:v>#VALUE!</c:v>
                </c:pt>
                <c:pt idx="143">
                  <c:v>#VALUE!</c:v>
                </c:pt>
                <c:pt idx="144">
                  <c:v>#VALUE!</c:v>
                </c:pt>
                <c:pt idx="145">
                  <c:v>#VALUE!</c:v>
                </c:pt>
                <c:pt idx="146">
                  <c:v>#VALUE!</c:v>
                </c:pt>
                <c:pt idx="147">
                  <c:v>#VALUE!</c:v>
                </c:pt>
                <c:pt idx="148">
                  <c:v>#VALUE!</c:v>
                </c:pt>
                <c:pt idx="149">
                  <c:v>#VALUE!</c:v>
                </c:pt>
                <c:pt idx="150">
                  <c:v>#VALUE!</c:v>
                </c:pt>
                <c:pt idx="151">
                  <c:v>#VALUE!</c:v>
                </c:pt>
                <c:pt idx="152">
                  <c:v>#VALUE!</c:v>
                </c:pt>
                <c:pt idx="153">
                  <c:v>#VALUE!</c:v>
                </c:pt>
                <c:pt idx="154">
                  <c:v>#VALUE!</c:v>
                </c:pt>
                <c:pt idx="155">
                  <c:v>#VALUE!</c:v>
                </c:pt>
                <c:pt idx="156">
                  <c:v>#VALUE!</c:v>
                </c:pt>
                <c:pt idx="157">
                  <c:v>#VALUE!</c:v>
                </c:pt>
                <c:pt idx="158">
                  <c:v>#VALUE!</c:v>
                </c:pt>
                <c:pt idx="159">
                  <c:v>#VALUE!</c:v>
                </c:pt>
                <c:pt idx="160">
                  <c:v>#VALUE!</c:v>
                </c:pt>
                <c:pt idx="161">
                  <c:v>#VALUE!</c:v>
                </c:pt>
                <c:pt idx="162">
                  <c:v>#VALUE!</c:v>
                </c:pt>
                <c:pt idx="163">
                  <c:v>#VALUE!</c:v>
                </c:pt>
                <c:pt idx="164">
                  <c:v>#VALUE!</c:v>
                </c:pt>
                <c:pt idx="165">
                  <c:v>#VALUE!</c:v>
                </c:pt>
                <c:pt idx="166">
                  <c:v>#VALUE!</c:v>
                </c:pt>
                <c:pt idx="167">
                  <c:v>#VALUE!</c:v>
                </c:pt>
                <c:pt idx="168">
                  <c:v>#VALUE!</c:v>
                </c:pt>
                <c:pt idx="169">
                  <c:v>#VALUE!</c:v>
                </c:pt>
                <c:pt idx="170">
                  <c:v>#VALUE!</c:v>
                </c:pt>
                <c:pt idx="171">
                  <c:v>#VALUE!</c:v>
                </c:pt>
                <c:pt idx="172">
                  <c:v>#VALUE!</c:v>
                </c:pt>
                <c:pt idx="173">
                  <c:v>#VALUE!</c:v>
                </c:pt>
                <c:pt idx="174">
                  <c:v>#VALUE!</c:v>
                </c:pt>
                <c:pt idx="175">
                  <c:v>#VALUE!</c:v>
                </c:pt>
                <c:pt idx="176">
                  <c:v>#VALUE!</c:v>
                </c:pt>
                <c:pt idx="177">
                  <c:v>#VALUE!</c:v>
                </c:pt>
                <c:pt idx="178">
                  <c:v>#VALUE!</c:v>
                </c:pt>
                <c:pt idx="179">
                  <c:v>#VALUE!</c:v>
                </c:pt>
                <c:pt idx="180">
                  <c:v>#VALUE!</c:v>
                </c:pt>
                <c:pt idx="181">
                  <c:v>#VALUE!</c:v>
                </c:pt>
                <c:pt idx="182">
                  <c:v>#VALUE!</c:v>
                </c:pt>
                <c:pt idx="183">
                  <c:v>#VALUE!</c:v>
                </c:pt>
                <c:pt idx="184">
                  <c:v>#VALUE!</c:v>
                </c:pt>
                <c:pt idx="185">
                  <c:v>#VALUE!</c:v>
                </c:pt>
                <c:pt idx="186">
                  <c:v>#VALUE!</c:v>
                </c:pt>
                <c:pt idx="187">
                  <c:v>#VALUE!</c:v>
                </c:pt>
                <c:pt idx="188">
                  <c:v>#VALUE!</c:v>
                </c:pt>
                <c:pt idx="189">
                  <c:v>#VALUE!</c:v>
                </c:pt>
                <c:pt idx="190">
                  <c:v>#VALUE!</c:v>
                </c:pt>
                <c:pt idx="191">
                  <c:v>#VALUE!</c:v>
                </c:pt>
                <c:pt idx="192">
                  <c:v>#VALUE!</c:v>
                </c:pt>
                <c:pt idx="193">
                  <c:v>#VALUE!</c:v>
                </c:pt>
                <c:pt idx="194">
                  <c:v>#VALUE!</c:v>
                </c:pt>
                <c:pt idx="195">
                  <c:v>#VALUE!</c:v>
                </c:pt>
                <c:pt idx="196">
                  <c:v>#VALUE!</c:v>
                </c:pt>
                <c:pt idx="197">
                  <c:v>#VALUE!</c:v>
                </c:pt>
                <c:pt idx="198">
                  <c:v>#VALUE!</c:v>
                </c:pt>
                <c:pt idx="199">
                  <c:v>#VALUE!</c:v>
                </c:pt>
                <c:pt idx="200">
                  <c:v>#VALUE!</c:v>
                </c:pt>
                <c:pt idx="201">
                  <c:v>#VALUE!</c:v>
                </c:pt>
                <c:pt idx="202">
                  <c:v>#VALUE!</c:v>
                </c:pt>
                <c:pt idx="203">
                  <c:v>#VALUE!</c:v>
                </c:pt>
                <c:pt idx="204">
                  <c:v>#VALUE!</c:v>
                </c:pt>
                <c:pt idx="205">
                  <c:v>#VALUE!</c:v>
                </c:pt>
                <c:pt idx="206">
                  <c:v>#VALUE!</c:v>
                </c:pt>
                <c:pt idx="207">
                  <c:v>#VALUE!</c:v>
                </c:pt>
                <c:pt idx="208">
                  <c:v>#VALUE!</c:v>
                </c:pt>
                <c:pt idx="209">
                  <c:v>#VALUE!</c:v>
                </c:pt>
                <c:pt idx="210">
                  <c:v>#VALUE!</c:v>
                </c:pt>
                <c:pt idx="211">
                  <c:v>#VALUE!</c:v>
                </c:pt>
                <c:pt idx="212">
                  <c:v>#VALUE!</c:v>
                </c:pt>
                <c:pt idx="213">
                  <c:v>#VALUE!</c:v>
                </c:pt>
                <c:pt idx="214">
                  <c:v>#VALUE!</c:v>
                </c:pt>
                <c:pt idx="215">
                  <c:v>#VALUE!</c:v>
                </c:pt>
                <c:pt idx="216">
                  <c:v>#VALUE!</c:v>
                </c:pt>
                <c:pt idx="217">
                  <c:v>#VALUE!</c:v>
                </c:pt>
                <c:pt idx="218">
                  <c:v>#VALUE!</c:v>
                </c:pt>
                <c:pt idx="219">
                  <c:v>#VALUE!</c:v>
                </c:pt>
                <c:pt idx="220">
                  <c:v>#VALUE!</c:v>
                </c:pt>
                <c:pt idx="221">
                  <c:v>#VALUE!</c:v>
                </c:pt>
                <c:pt idx="222">
                  <c:v>#VALUE!</c:v>
                </c:pt>
                <c:pt idx="223">
                  <c:v>#VALUE!</c:v>
                </c:pt>
                <c:pt idx="224">
                  <c:v>#VALUE!</c:v>
                </c:pt>
                <c:pt idx="225">
                  <c:v>#VALUE!</c:v>
                </c:pt>
                <c:pt idx="226">
                  <c:v>#VALUE!</c:v>
                </c:pt>
                <c:pt idx="227">
                  <c:v>#VALUE!</c:v>
                </c:pt>
                <c:pt idx="228">
                  <c:v>#VALUE!</c:v>
                </c:pt>
                <c:pt idx="229">
                  <c:v>#VALUE!</c:v>
                </c:pt>
                <c:pt idx="230">
                  <c:v>#VALUE!</c:v>
                </c:pt>
                <c:pt idx="231">
                  <c:v>#VALUE!</c:v>
                </c:pt>
                <c:pt idx="232">
                  <c:v>#VALUE!</c:v>
                </c:pt>
                <c:pt idx="233">
                  <c:v>#VALUE!</c:v>
                </c:pt>
                <c:pt idx="234">
                  <c:v>#VALUE!</c:v>
                </c:pt>
                <c:pt idx="235">
                  <c:v>#VALUE!</c:v>
                </c:pt>
                <c:pt idx="236">
                  <c:v>#VALUE!</c:v>
                </c:pt>
                <c:pt idx="237">
                  <c:v>#VALUE!</c:v>
                </c:pt>
                <c:pt idx="238">
                  <c:v>#VALUE!</c:v>
                </c:pt>
                <c:pt idx="239">
                  <c:v>#VALUE!</c:v>
                </c:pt>
                <c:pt idx="240">
                  <c:v>#VALUE!</c:v>
                </c:pt>
                <c:pt idx="241">
                  <c:v>#VALUE!</c:v>
                </c:pt>
                <c:pt idx="242">
                  <c:v>#VALUE!</c:v>
                </c:pt>
                <c:pt idx="243">
                  <c:v>#VALUE!</c:v>
                </c:pt>
                <c:pt idx="244">
                  <c:v>#VALUE!</c:v>
                </c:pt>
                <c:pt idx="245">
                  <c:v>#VALUE!</c:v>
                </c:pt>
                <c:pt idx="246">
                  <c:v>#VALUE!</c:v>
                </c:pt>
                <c:pt idx="247">
                  <c:v>#VALUE!</c:v>
                </c:pt>
                <c:pt idx="248">
                  <c:v>#VALUE!</c:v>
                </c:pt>
                <c:pt idx="249">
                  <c:v>#VALUE!</c:v>
                </c:pt>
                <c:pt idx="250">
                  <c:v>#VALUE!</c:v>
                </c:pt>
              </c:strCache>
            </c:strRef>
          </c:cat>
          <c:val>
            <c:numRef>
              <c:f>EXP!$T$23:$JJ$23</c:f>
              <c:numCache>
                <c:formatCode>0%</c:formatCode>
                <c:ptCount val="2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numCache>
            </c:numRef>
          </c:val>
          <c:extLst>
            <c:ext xmlns:c16="http://schemas.microsoft.com/office/drawing/2014/chart" uri="{C3380CC4-5D6E-409C-BE32-E72D297353CC}">
              <c16:uniqueId val="{0000000E-7642-4CF9-9137-A7C777D0CFF9}"/>
            </c:ext>
          </c:extLst>
        </c:ser>
        <c:ser>
          <c:idx val="15"/>
          <c:order val="15"/>
          <c:tx>
            <c:strRef>
              <c:f>EXP!$S$24</c:f>
              <c:strCache>
                <c:ptCount val="1"/>
              </c:strCache>
            </c:strRef>
          </c:tx>
          <c:spPr>
            <a:solidFill>
              <a:schemeClr val="accent4">
                <a:lumMod val="80000"/>
                <a:lumOff val="20000"/>
              </a:schemeClr>
            </a:solidFill>
            <a:ln w="6350">
              <a:noFill/>
            </a:ln>
            <a:effectLst/>
          </c:spPr>
          <c:cat>
            <c:strRef>
              <c:f>EXP!$T$7:$JJ$7</c:f>
              <c:strCache>
                <c:ptCount val="251"/>
                <c:pt idx="1">
                  <c:v>#VALUE!</c:v>
                </c:pt>
                <c:pt idx="2">
                  <c:v>#VALUE!</c:v>
                </c:pt>
                <c:pt idx="3">
                  <c:v>#VALUE!</c:v>
                </c:pt>
                <c:pt idx="4">
                  <c:v>#VALUE!</c:v>
                </c:pt>
                <c:pt idx="5">
                  <c:v>#VALUE!</c:v>
                </c:pt>
                <c:pt idx="6">
                  <c:v>#VALUE!</c:v>
                </c:pt>
                <c:pt idx="7">
                  <c:v>#VALUE!</c:v>
                </c:pt>
                <c:pt idx="8">
                  <c:v>#VALUE!</c:v>
                </c:pt>
                <c:pt idx="9">
                  <c:v>#VALUE!</c:v>
                </c:pt>
                <c:pt idx="10">
                  <c:v>#VALUE!</c:v>
                </c:pt>
                <c:pt idx="11">
                  <c:v>#VALUE!</c:v>
                </c:pt>
                <c:pt idx="12">
                  <c:v>#VALUE!</c:v>
                </c:pt>
                <c:pt idx="13">
                  <c:v>#VALUE!</c:v>
                </c:pt>
                <c:pt idx="14">
                  <c:v>#VALUE!</c:v>
                </c:pt>
                <c:pt idx="15">
                  <c:v>#VALUE!</c:v>
                </c:pt>
                <c:pt idx="16">
                  <c:v>#VALUE!</c:v>
                </c:pt>
                <c:pt idx="17">
                  <c:v>#VALUE!</c:v>
                </c:pt>
                <c:pt idx="18">
                  <c:v>#VALUE!</c:v>
                </c:pt>
                <c:pt idx="19">
                  <c:v>#VALUE!</c:v>
                </c:pt>
                <c:pt idx="20">
                  <c:v>#VALUE!</c:v>
                </c:pt>
                <c:pt idx="21">
                  <c:v>#VALUE!</c:v>
                </c:pt>
                <c:pt idx="22">
                  <c:v>#VALUE!</c:v>
                </c:pt>
                <c:pt idx="23">
                  <c:v>#VALUE!</c:v>
                </c:pt>
                <c:pt idx="24">
                  <c:v>#VALUE!</c:v>
                </c:pt>
                <c:pt idx="25">
                  <c:v>#VALUE!</c:v>
                </c:pt>
                <c:pt idx="26">
                  <c:v>#VALUE!</c:v>
                </c:pt>
                <c:pt idx="27">
                  <c:v>#VALUE!</c:v>
                </c:pt>
                <c:pt idx="28">
                  <c:v>#VALUE!</c:v>
                </c:pt>
                <c:pt idx="29">
                  <c:v>#VALUE!</c:v>
                </c:pt>
                <c:pt idx="30">
                  <c:v>#VALUE!</c:v>
                </c:pt>
                <c:pt idx="31">
                  <c:v>#VALUE!</c:v>
                </c:pt>
                <c:pt idx="32">
                  <c:v>#VALUE!</c:v>
                </c:pt>
                <c:pt idx="33">
                  <c:v>#VALUE!</c:v>
                </c:pt>
                <c:pt idx="34">
                  <c:v>#VALUE!</c:v>
                </c:pt>
                <c:pt idx="35">
                  <c:v>#VALUE!</c:v>
                </c:pt>
                <c:pt idx="36">
                  <c:v>#VALUE!</c:v>
                </c:pt>
                <c:pt idx="37">
                  <c:v>#VALUE!</c:v>
                </c:pt>
                <c:pt idx="38">
                  <c:v>#VALUE!</c:v>
                </c:pt>
                <c:pt idx="39">
                  <c:v>#VALUE!</c:v>
                </c:pt>
                <c:pt idx="40">
                  <c:v>#VALUE!</c:v>
                </c:pt>
                <c:pt idx="41">
                  <c:v>#VALUE!</c:v>
                </c:pt>
                <c:pt idx="42">
                  <c:v>#VALUE!</c:v>
                </c:pt>
                <c:pt idx="43">
                  <c:v>#VALUE!</c:v>
                </c:pt>
                <c:pt idx="44">
                  <c:v>#VALUE!</c:v>
                </c:pt>
                <c:pt idx="45">
                  <c:v>#VALUE!</c:v>
                </c:pt>
                <c:pt idx="46">
                  <c:v>#VALUE!</c:v>
                </c:pt>
                <c:pt idx="47">
                  <c:v>#VALUE!</c:v>
                </c:pt>
                <c:pt idx="48">
                  <c:v>#VALUE!</c:v>
                </c:pt>
                <c:pt idx="49">
                  <c:v>#VALUE!</c:v>
                </c:pt>
                <c:pt idx="50">
                  <c:v>#VALUE!</c:v>
                </c:pt>
                <c:pt idx="51">
                  <c:v>#VALUE!</c:v>
                </c:pt>
                <c:pt idx="52">
                  <c:v>#VALUE!</c:v>
                </c:pt>
                <c:pt idx="53">
                  <c:v>#VALUE!</c:v>
                </c:pt>
                <c:pt idx="54">
                  <c:v>#VALUE!</c:v>
                </c:pt>
                <c:pt idx="55">
                  <c:v>#VALUE!</c:v>
                </c:pt>
                <c:pt idx="56">
                  <c:v>#VALUE!</c:v>
                </c:pt>
                <c:pt idx="57">
                  <c:v>#VALUE!</c:v>
                </c:pt>
                <c:pt idx="58">
                  <c:v>#VALUE!</c:v>
                </c:pt>
                <c:pt idx="59">
                  <c:v>#VALUE!</c:v>
                </c:pt>
                <c:pt idx="60">
                  <c:v>#VALUE!</c:v>
                </c:pt>
                <c:pt idx="61">
                  <c:v>#VALUE!</c:v>
                </c:pt>
                <c:pt idx="62">
                  <c:v>#VALUE!</c:v>
                </c:pt>
                <c:pt idx="63">
                  <c:v>#VALUE!</c:v>
                </c:pt>
                <c:pt idx="64">
                  <c:v>#VALUE!</c:v>
                </c:pt>
                <c:pt idx="65">
                  <c:v>#VALUE!</c:v>
                </c:pt>
                <c:pt idx="66">
                  <c:v>#VALUE!</c:v>
                </c:pt>
                <c:pt idx="67">
                  <c:v>#VALUE!</c:v>
                </c:pt>
                <c:pt idx="68">
                  <c:v>#VALUE!</c:v>
                </c:pt>
                <c:pt idx="69">
                  <c:v>#VALUE!</c:v>
                </c:pt>
                <c:pt idx="70">
                  <c:v>#VALUE!</c:v>
                </c:pt>
                <c:pt idx="71">
                  <c:v>#VALUE!</c:v>
                </c:pt>
                <c:pt idx="72">
                  <c:v>#VALUE!</c:v>
                </c:pt>
                <c:pt idx="73">
                  <c:v>#VALUE!</c:v>
                </c:pt>
                <c:pt idx="74">
                  <c:v>#VALUE!</c:v>
                </c:pt>
                <c:pt idx="75">
                  <c:v>#VALUE!</c:v>
                </c:pt>
                <c:pt idx="76">
                  <c:v>#VALUE!</c:v>
                </c:pt>
                <c:pt idx="77">
                  <c:v>#VALUE!</c:v>
                </c:pt>
                <c:pt idx="78">
                  <c:v>#VALUE!</c:v>
                </c:pt>
                <c:pt idx="79">
                  <c:v>#VALUE!</c:v>
                </c:pt>
                <c:pt idx="80">
                  <c:v>#VALUE!</c:v>
                </c:pt>
                <c:pt idx="81">
                  <c:v>#VALUE!</c:v>
                </c:pt>
                <c:pt idx="82">
                  <c:v>#VALUE!</c:v>
                </c:pt>
                <c:pt idx="83">
                  <c:v>#VALUE!</c:v>
                </c:pt>
                <c:pt idx="84">
                  <c:v>#VALUE!</c:v>
                </c:pt>
                <c:pt idx="85">
                  <c:v>#VALUE!</c:v>
                </c:pt>
                <c:pt idx="86">
                  <c:v>#VALUE!</c:v>
                </c:pt>
                <c:pt idx="87">
                  <c:v>#VALUE!</c:v>
                </c:pt>
                <c:pt idx="88">
                  <c:v>#VALUE!</c:v>
                </c:pt>
                <c:pt idx="89">
                  <c:v>#VALUE!</c:v>
                </c:pt>
                <c:pt idx="90">
                  <c:v>#VALUE!</c:v>
                </c:pt>
                <c:pt idx="91">
                  <c:v>#VALUE!</c:v>
                </c:pt>
                <c:pt idx="92">
                  <c:v>#VALUE!</c:v>
                </c:pt>
                <c:pt idx="93">
                  <c:v>#VALUE!</c:v>
                </c:pt>
                <c:pt idx="94">
                  <c:v>#VALUE!</c:v>
                </c:pt>
                <c:pt idx="95">
                  <c:v>#VALUE!</c:v>
                </c:pt>
                <c:pt idx="96">
                  <c:v>#VALUE!</c:v>
                </c:pt>
                <c:pt idx="97">
                  <c:v>#VALUE!</c:v>
                </c:pt>
                <c:pt idx="98">
                  <c:v>#VALUE!</c:v>
                </c:pt>
                <c:pt idx="99">
                  <c:v>#VALUE!</c:v>
                </c:pt>
                <c:pt idx="100">
                  <c:v>#VALUE!</c:v>
                </c:pt>
                <c:pt idx="101">
                  <c:v>#VALUE!</c:v>
                </c:pt>
                <c:pt idx="102">
                  <c:v>#VALUE!</c:v>
                </c:pt>
                <c:pt idx="103">
                  <c:v>#VALUE!</c:v>
                </c:pt>
                <c:pt idx="104">
                  <c:v>#VALUE!</c:v>
                </c:pt>
                <c:pt idx="105">
                  <c:v>#VALUE!</c:v>
                </c:pt>
                <c:pt idx="106">
                  <c:v>#VALUE!</c:v>
                </c:pt>
                <c:pt idx="107">
                  <c:v>#VALUE!</c:v>
                </c:pt>
                <c:pt idx="108">
                  <c:v>#VALUE!</c:v>
                </c:pt>
                <c:pt idx="109">
                  <c:v>#VALUE!</c:v>
                </c:pt>
                <c:pt idx="110">
                  <c:v>#VALUE!</c:v>
                </c:pt>
                <c:pt idx="111">
                  <c:v>#VALUE!</c:v>
                </c:pt>
                <c:pt idx="112">
                  <c:v>#VALUE!</c:v>
                </c:pt>
                <c:pt idx="113">
                  <c:v>#VALUE!</c:v>
                </c:pt>
                <c:pt idx="114">
                  <c:v>#VALUE!</c:v>
                </c:pt>
                <c:pt idx="115">
                  <c:v>#VALUE!</c:v>
                </c:pt>
                <c:pt idx="116">
                  <c:v>#VALUE!</c:v>
                </c:pt>
                <c:pt idx="117">
                  <c:v>#VALUE!</c:v>
                </c:pt>
                <c:pt idx="118">
                  <c:v>#VALUE!</c:v>
                </c:pt>
                <c:pt idx="119">
                  <c:v>#VALUE!</c:v>
                </c:pt>
                <c:pt idx="120">
                  <c:v>#VALUE!</c:v>
                </c:pt>
                <c:pt idx="121">
                  <c:v>#VALUE!</c:v>
                </c:pt>
                <c:pt idx="122">
                  <c:v>#VALUE!</c:v>
                </c:pt>
                <c:pt idx="123">
                  <c:v>#VALUE!</c:v>
                </c:pt>
                <c:pt idx="124">
                  <c:v>#VALUE!</c:v>
                </c:pt>
                <c:pt idx="125">
                  <c:v>#VALUE!</c:v>
                </c:pt>
                <c:pt idx="126">
                  <c:v>#VALUE!</c:v>
                </c:pt>
                <c:pt idx="127">
                  <c:v>#VALUE!</c:v>
                </c:pt>
                <c:pt idx="128">
                  <c:v>#VALUE!</c:v>
                </c:pt>
                <c:pt idx="129">
                  <c:v>#VALUE!</c:v>
                </c:pt>
                <c:pt idx="130">
                  <c:v>#VALUE!</c:v>
                </c:pt>
                <c:pt idx="131">
                  <c:v>#VALUE!</c:v>
                </c:pt>
                <c:pt idx="132">
                  <c:v>#VALUE!</c:v>
                </c:pt>
                <c:pt idx="133">
                  <c:v>#VALUE!</c:v>
                </c:pt>
                <c:pt idx="134">
                  <c:v>#VALUE!</c:v>
                </c:pt>
                <c:pt idx="135">
                  <c:v>#VALUE!</c:v>
                </c:pt>
                <c:pt idx="136">
                  <c:v>#VALUE!</c:v>
                </c:pt>
                <c:pt idx="137">
                  <c:v>#VALUE!</c:v>
                </c:pt>
                <c:pt idx="138">
                  <c:v>#VALUE!</c:v>
                </c:pt>
                <c:pt idx="139">
                  <c:v>#VALUE!</c:v>
                </c:pt>
                <c:pt idx="140">
                  <c:v>#VALUE!</c:v>
                </c:pt>
                <c:pt idx="141">
                  <c:v>#VALUE!</c:v>
                </c:pt>
                <c:pt idx="142">
                  <c:v>#VALUE!</c:v>
                </c:pt>
                <c:pt idx="143">
                  <c:v>#VALUE!</c:v>
                </c:pt>
                <c:pt idx="144">
                  <c:v>#VALUE!</c:v>
                </c:pt>
                <c:pt idx="145">
                  <c:v>#VALUE!</c:v>
                </c:pt>
                <c:pt idx="146">
                  <c:v>#VALUE!</c:v>
                </c:pt>
                <c:pt idx="147">
                  <c:v>#VALUE!</c:v>
                </c:pt>
                <c:pt idx="148">
                  <c:v>#VALUE!</c:v>
                </c:pt>
                <c:pt idx="149">
                  <c:v>#VALUE!</c:v>
                </c:pt>
                <c:pt idx="150">
                  <c:v>#VALUE!</c:v>
                </c:pt>
                <c:pt idx="151">
                  <c:v>#VALUE!</c:v>
                </c:pt>
                <c:pt idx="152">
                  <c:v>#VALUE!</c:v>
                </c:pt>
                <c:pt idx="153">
                  <c:v>#VALUE!</c:v>
                </c:pt>
                <c:pt idx="154">
                  <c:v>#VALUE!</c:v>
                </c:pt>
                <c:pt idx="155">
                  <c:v>#VALUE!</c:v>
                </c:pt>
                <c:pt idx="156">
                  <c:v>#VALUE!</c:v>
                </c:pt>
                <c:pt idx="157">
                  <c:v>#VALUE!</c:v>
                </c:pt>
                <c:pt idx="158">
                  <c:v>#VALUE!</c:v>
                </c:pt>
                <c:pt idx="159">
                  <c:v>#VALUE!</c:v>
                </c:pt>
                <c:pt idx="160">
                  <c:v>#VALUE!</c:v>
                </c:pt>
                <c:pt idx="161">
                  <c:v>#VALUE!</c:v>
                </c:pt>
                <c:pt idx="162">
                  <c:v>#VALUE!</c:v>
                </c:pt>
                <c:pt idx="163">
                  <c:v>#VALUE!</c:v>
                </c:pt>
                <c:pt idx="164">
                  <c:v>#VALUE!</c:v>
                </c:pt>
                <c:pt idx="165">
                  <c:v>#VALUE!</c:v>
                </c:pt>
                <c:pt idx="166">
                  <c:v>#VALUE!</c:v>
                </c:pt>
                <c:pt idx="167">
                  <c:v>#VALUE!</c:v>
                </c:pt>
                <c:pt idx="168">
                  <c:v>#VALUE!</c:v>
                </c:pt>
                <c:pt idx="169">
                  <c:v>#VALUE!</c:v>
                </c:pt>
                <c:pt idx="170">
                  <c:v>#VALUE!</c:v>
                </c:pt>
                <c:pt idx="171">
                  <c:v>#VALUE!</c:v>
                </c:pt>
                <c:pt idx="172">
                  <c:v>#VALUE!</c:v>
                </c:pt>
                <c:pt idx="173">
                  <c:v>#VALUE!</c:v>
                </c:pt>
                <c:pt idx="174">
                  <c:v>#VALUE!</c:v>
                </c:pt>
                <c:pt idx="175">
                  <c:v>#VALUE!</c:v>
                </c:pt>
                <c:pt idx="176">
                  <c:v>#VALUE!</c:v>
                </c:pt>
                <c:pt idx="177">
                  <c:v>#VALUE!</c:v>
                </c:pt>
                <c:pt idx="178">
                  <c:v>#VALUE!</c:v>
                </c:pt>
                <c:pt idx="179">
                  <c:v>#VALUE!</c:v>
                </c:pt>
                <c:pt idx="180">
                  <c:v>#VALUE!</c:v>
                </c:pt>
                <c:pt idx="181">
                  <c:v>#VALUE!</c:v>
                </c:pt>
                <c:pt idx="182">
                  <c:v>#VALUE!</c:v>
                </c:pt>
                <c:pt idx="183">
                  <c:v>#VALUE!</c:v>
                </c:pt>
                <c:pt idx="184">
                  <c:v>#VALUE!</c:v>
                </c:pt>
                <c:pt idx="185">
                  <c:v>#VALUE!</c:v>
                </c:pt>
                <c:pt idx="186">
                  <c:v>#VALUE!</c:v>
                </c:pt>
                <c:pt idx="187">
                  <c:v>#VALUE!</c:v>
                </c:pt>
                <c:pt idx="188">
                  <c:v>#VALUE!</c:v>
                </c:pt>
                <c:pt idx="189">
                  <c:v>#VALUE!</c:v>
                </c:pt>
                <c:pt idx="190">
                  <c:v>#VALUE!</c:v>
                </c:pt>
                <c:pt idx="191">
                  <c:v>#VALUE!</c:v>
                </c:pt>
                <c:pt idx="192">
                  <c:v>#VALUE!</c:v>
                </c:pt>
                <c:pt idx="193">
                  <c:v>#VALUE!</c:v>
                </c:pt>
                <c:pt idx="194">
                  <c:v>#VALUE!</c:v>
                </c:pt>
                <c:pt idx="195">
                  <c:v>#VALUE!</c:v>
                </c:pt>
                <c:pt idx="196">
                  <c:v>#VALUE!</c:v>
                </c:pt>
                <c:pt idx="197">
                  <c:v>#VALUE!</c:v>
                </c:pt>
                <c:pt idx="198">
                  <c:v>#VALUE!</c:v>
                </c:pt>
                <c:pt idx="199">
                  <c:v>#VALUE!</c:v>
                </c:pt>
                <c:pt idx="200">
                  <c:v>#VALUE!</c:v>
                </c:pt>
                <c:pt idx="201">
                  <c:v>#VALUE!</c:v>
                </c:pt>
                <c:pt idx="202">
                  <c:v>#VALUE!</c:v>
                </c:pt>
                <c:pt idx="203">
                  <c:v>#VALUE!</c:v>
                </c:pt>
                <c:pt idx="204">
                  <c:v>#VALUE!</c:v>
                </c:pt>
                <c:pt idx="205">
                  <c:v>#VALUE!</c:v>
                </c:pt>
                <c:pt idx="206">
                  <c:v>#VALUE!</c:v>
                </c:pt>
                <c:pt idx="207">
                  <c:v>#VALUE!</c:v>
                </c:pt>
                <c:pt idx="208">
                  <c:v>#VALUE!</c:v>
                </c:pt>
                <c:pt idx="209">
                  <c:v>#VALUE!</c:v>
                </c:pt>
                <c:pt idx="210">
                  <c:v>#VALUE!</c:v>
                </c:pt>
                <c:pt idx="211">
                  <c:v>#VALUE!</c:v>
                </c:pt>
                <c:pt idx="212">
                  <c:v>#VALUE!</c:v>
                </c:pt>
                <c:pt idx="213">
                  <c:v>#VALUE!</c:v>
                </c:pt>
                <c:pt idx="214">
                  <c:v>#VALUE!</c:v>
                </c:pt>
                <c:pt idx="215">
                  <c:v>#VALUE!</c:v>
                </c:pt>
                <c:pt idx="216">
                  <c:v>#VALUE!</c:v>
                </c:pt>
                <c:pt idx="217">
                  <c:v>#VALUE!</c:v>
                </c:pt>
                <c:pt idx="218">
                  <c:v>#VALUE!</c:v>
                </c:pt>
                <c:pt idx="219">
                  <c:v>#VALUE!</c:v>
                </c:pt>
                <c:pt idx="220">
                  <c:v>#VALUE!</c:v>
                </c:pt>
                <c:pt idx="221">
                  <c:v>#VALUE!</c:v>
                </c:pt>
                <c:pt idx="222">
                  <c:v>#VALUE!</c:v>
                </c:pt>
                <c:pt idx="223">
                  <c:v>#VALUE!</c:v>
                </c:pt>
                <c:pt idx="224">
                  <c:v>#VALUE!</c:v>
                </c:pt>
                <c:pt idx="225">
                  <c:v>#VALUE!</c:v>
                </c:pt>
                <c:pt idx="226">
                  <c:v>#VALUE!</c:v>
                </c:pt>
                <c:pt idx="227">
                  <c:v>#VALUE!</c:v>
                </c:pt>
                <c:pt idx="228">
                  <c:v>#VALUE!</c:v>
                </c:pt>
                <c:pt idx="229">
                  <c:v>#VALUE!</c:v>
                </c:pt>
                <c:pt idx="230">
                  <c:v>#VALUE!</c:v>
                </c:pt>
                <c:pt idx="231">
                  <c:v>#VALUE!</c:v>
                </c:pt>
                <c:pt idx="232">
                  <c:v>#VALUE!</c:v>
                </c:pt>
                <c:pt idx="233">
                  <c:v>#VALUE!</c:v>
                </c:pt>
                <c:pt idx="234">
                  <c:v>#VALUE!</c:v>
                </c:pt>
                <c:pt idx="235">
                  <c:v>#VALUE!</c:v>
                </c:pt>
                <c:pt idx="236">
                  <c:v>#VALUE!</c:v>
                </c:pt>
                <c:pt idx="237">
                  <c:v>#VALUE!</c:v>
                </c:pt>
                <c:pt idx="238">
                  <c:v>#VALUE!</c:v>
                </c:pt>
                <c:pt idx="239">
                  <c:v>#VALUE!</c:v>
                </c:pt>
                <c:pt idx="240">
                  <c:v>#VALUE!</c:v>
                </c:pt>
                <c:pt idx="241">
                  <c:v>#VALUE!</c:v>
                </c:pt>
                <c:pt idx="242">
                  <c:v>#VALUE!</c:v>
                </c:pt>
                <c:pt idx="243">
                  <c:v>#VALUE!</c:v>
                </c:pt>
                <c:pt idx="244">
                  <c:v>#VALUE!</c:v>
                </c:pt>
                <c:pt idx="245">
                  <c:v>#VALUE!</c:v>
                </c:pt>
                <c:pt idx="246">
                  <c:v>#VALUE!</c:v>
                </c:pt>
                <c:pt idx="247">
                  <c:v>#VALUE!</c:v>
                </c:pt>
                <c:pt idx="248">
                  <c:v>#VALUE!</c:v>
                </c:pt>
                <c:pt idx="249">
                  <c:v>#VALUE!</c:v>
                </c:pt>
                <c:pt idx="250">
                  <c:v>#VALUE!</c:v>
                </c:pt>
              </c:strCache>
            </c:strRef>
          </c:cat>
          <c:val>
            <c:numRef>
              <c:f>EXP!$T$24:$JJ$24</c:f>
              <c:numCache>
                <c:formatCode>0%</c:formatCode>
                <c:ptCount val="2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numCache>
            </c:numRef>
          </c:val>
          <c:extLst>
            <c:ext xmlns:c16="http://schemas.microsoft.com/office/drawing/2014/chart" uri="{C3380CC4-5D6E-409C-BE32-E72D297353CC}">
              <c16:uniqueId val="{0000000F-7642-4CF9-9137-A7C777D0CFF9}"/>
            </c:ext>
          </c:extLst>
        </c:ser>
        <c:ser>
          <c:idx val="16"/>
          <c:order val="16"/>
          <c:tx>
            <c:strRef>
              <c:f>EXP!$S$25</c:f>
              <c:strCache>
                <c:ptCount val="1"/>
              </c:strCache>
            </c:strRef>
          </c:tx>
          <c:spPr>
            <a:solidFill>
              <a:schemeClr val="accent5">
                <a:lumMod val="80000"/>
                <a:lumOff val="20000"/>
              </a:schemeClr>
            </a:solidFill>
            <a:ln w="6350">
              <a:noFill/>
            </a:ln>
            <a:effectLst/>
          </c:spPr>
          <c:cat>
            <c:strRef>
              <c:f>EXP!$T$7:$JJ$7</c:f>
              <c:strCache>
                <c:ptCount val="251"/>
                <c:pt idx="1">
                  <c:v>#VALUE!</c:v>
                </c:pt>
                <c:pt idx="2">
                  <c:v>#VALUE!</c:v>
                </c:pt>
                <c:pt idx="3">
                  <c:v>#VALUE!</c:v>
                </c:pt>
                <c:pt idx="4">
                  <c:v>#VALUE!</c:v>
                </c:pt>
                <c:pt idx="5">
                  <c:v>#VALUE!</c:v>
                </c:pt>
                <c:pt idx="6">
                  <c:v>#VALUE!</c:v>
                </c:pt>
                <c:pt idx="7">
                  <c:v>#VALUE!</c:v>
                </c:pt>
                <c:pt idx="8">
                  <c:v>#VALUE!</c:v>
                </c:pt>
                <c:pt idx="9">
                  <c:v>#VALUE!</c:v>
                </c:pt>
                <c:pt idx="10">
                  <c:v>#VALUE!</c:v>
                </c:pt>
                <c:pt idx="11">
                  <c:v>#VALUE!</c:v>
                </c:pt>
                <c:pt idx="12">
                  <c:v>#VALUE!</c:v>
                </c:pt>
                <c:pt idx="13">
                  <c:v>#VALUE!</c:v>
                </c:pt>
                <c:pt idx="14">
                  <c:v>#VALUE!</c:v>
                </c:pt>
                <c:pt idx="15">
                  <c:v>#VALUE!</c:v>
                </c:pt>
                <c:pt idx="16">
                  <c:v>#VALUE!</c:v>
                </c:pt>
                <c:pt idx="17">
                  <c:v>#VALUE!</c:v>
                </c:pt>
                <c:pt idx="18">
                  <c:v>#VALUE!</c:v>
                </c:pt>
                <c:pt idx="19">
                  <c:v>#VALUE!</c:v>
                </c:pt>
                <c:pt idx="20">
                  <c:v>#VALUE!</c:v>
                </c:pt>
                <c:pt idx="21">
                  <c:v>#VALUE!</c:v>
                </c:pt>
                <c:pt idx="22">
                  <c:v>#VALUE!</c:v>
                </c:pt>
                <c:pt idx="23">
                  <c:v>#VALUE!</c:v>
                </c:pt>
                <c:pt idx="24">
                  <c:v>#VALUE!</c:v>
                </c:pt>
                <c:pt idx="25">
                  <c:v>#VALUE!</c:v>
                </c:pt>
                <c:pt idx="26">
                  <c:v>#VALUE!</c:v>
                </c:pt>
                <c:pt idx="27">
                  <c:v>#VALUE!</c:v>
                </c:pt>
                <c:pt idx="28">
                  <c:v>#VALUE!</c:v>
                </c:pt>
                <c:pt idx="29">
                  <c:v>#VALUE!</c:v>
                </c:pt>
                <c:pt idx="30">
                  <c:v>#VALUE!</c:v>
                </c:pt>
                <c:pt idx="31">
                  <c:v>#VALUE!</c:v>
                </c:pt>
                <c:pt idx="32">
                  <c:v>#VALUE!</c:v>
                </c:pt>
                <c:pt idx="33">
                  <c:v>#VALUE!</c:v>
                </c:pt>
                <c:pt idx="34">
                  <c:v>#VALUE!</c:v>
                </c:pt>
                <c:pt idx="35">
                  <c:v>#VALUE!</c:v>
                </c:pt>
                <c:pt idx="36">
                  <c:v>#VALUE!</c:v>
                </c:pt>
                <c:pt idx="37">
                  <c:v>#VALUE!</c:v>
                </c:pt>
                <c:pt idx="38">
                  <c:v>#VALUE!</c:v>
                </c:pt>
                <c:pt idx="39">
                  <c:v>#VALUE!</c:v>
                </c:pt>
                <c:pt idx="40">
                  <c:v>#VALUE!</c:v>
                </c:pt>
                <c:pt idx="41">
                  <c:v>#VALUE!</c:v>
                </c:pt>
                <c:pt idx="42">
                  <c:v>#VALUE!</c:v>
                </c:pt>
                <c:pt idx="43">
                  <c:v>#VALUE!</c:v>
                </c:pt>
                <c:pt idx="44">
                  <c:v>#VALUE!</c:v>
                </c:pt>
                <c:pt idx="45">
                  <c:v>#VALUE!</c:v>
                </c:pt>
                <c:pt idx="46">
                  <c:v>#VALUE!</c:v>
                </c:pt>
                <c:pt idx="47">
                  <c:v>#VALUE!</c:v>
                </c:pt>
                <c:pt idx="48">
                  <c:v>#VALUE!</c:v>
                </c:pt>
                <c:pt idx="49">
                  <c:v>#VALUE!</c:v>
                </c:pt>
                <c:pt idx="50">
                  <c:v>#VALUE!</c:v>
                </c:pt>
                <c:pt idx="51">
                  <c:v>#VALUE!</c:v>
                </c:pt>
                <c:pt idx="52">
                  <c:v>#VALUE!</c:v>
                </c:pt>
                <c:pt idx="53">
                  <c:v>#VALUE!</c:v>
                </c:pt>
                <c:pt idx="54">
                  <c:v>#VALUE!</c:v>
                </c:pt>
                <c:pt idx="55">
                  <c:v>#VALUE!</c:v>
                </c:pt>
                <c:pt idx="56">
                  <c:v>#VALUE!</c:v>
                </c:pt>
                <c:pt idx="57">
                  <c:v>#VALUE!</c:v>
                </c:pt>
                <c:pt idx="58">
                  <c:v>#VALUE!</c:v>
                </c:pt>
                <c:pt idx="59">
                  <c:v>#VALUE!</c:v>
                </c:pt>
                <c:pt idx="60">
                  <c:v>#VALUE!</c:v>
                </c:pt>
                <c:pt idx="61">
                  <c:v>#VALUE!</c:v>
                </c:pt>
                <c:pt idx="62">
                  <c:v>#VALUE!</c:v>
                </c:pt>
                <c:pt idx="63">
                  <c:v>#VALUE!</c:v>
                </c:pt>
                <c:pt idx="64">
                  <c:v>#VALUE!</c:v>
                </c:pt>
                <c:pt idx="65">
                  <c:v>#VALUE!</c:v>
                </c:pt>
                <c:pt idx="66">
                  <c:v>#VALUE!</c:v>
                </c:pt>
                <c:pt idx="67">
                  <c:v>#VALUE!</c:v>
                </c:pt>
                <c:pt idx="68">
                  <c:v>#VALUE!</c:v>
                </c:pt>
                <c:pt idx="69">
                  <c:v>#VALUE!</c:v>
                </c:pt>
                <c:pt idx="70">
                  <c:v>#VALUE!</c:v>
                </c:pt>
                <c:pt idx="71">
                  <c:v>#VALUE!</c:v>
                </c:pt>
                <c:pt idx="72">
                  <c:v>#VALUE!</c:v>
                </c:pt>
                <c:pt idx="73">
                  <c:v>#VALUE!</c:v>
                </c:pt>
                <c:pt idx="74">
                  <c:v>#VALUE!</c:v>
                </c:pt>
                <c:pt idx="75">
                  <c:v>#VALUE!</c:v>
                </c:pt>
                <c:pt idx="76">
                  <c:v>#VALUE!</c:v>
                </c:pt>
                <c:pt idx="77">
                  <c:v>#VALUE!</c:v>
                </c:pt>
                <c:pt idx="78">
                  <c:v>#VALUE!</c:v>
                </c:pt>
                <c:pt idx="79">
                  <c:v>#VALUE!</c:v>
                </c:pt>
                <c:pt idx="80">
                  <c:v>#VALUE!</c:v>
                </c:pt>
                <c:pt idx="81">
                  <c:v>#VALUE!</c:v>
                </c:pt>
                <c:pt idx="82">
                  <c:v>#VALUE!</c:v>
                </c:pt>
                <c:pt idx="83">
                  <c:v>#VALUE!</c:v>
                </c:pt>
                <c:pt idx="84">
                  <c:v>#VALUE!</c:v>
                </c:pt>
                <c:pt idx="85">
                  <c:v>#VALUE!</c:v>
                </c:pt>
                <c:pt idx="86">
                  <c:v>#VALUE!</c:v>
                </c:pt>
                <c:pt idx="87">
                  <c:v>#VALUE!</c:v>
                </c:pt>
                <c:pt idx="88">
                  <c:v>#VALUE!</c:v>
                </c:pt>
                <c:pt idx="89">
                  <c:v>#VALUE!</c:v>
                </c:pt>
                <c:pt idx="90">
                  <c:v>#VALUE!</c:v>
                </c:pt>
                <c:pt idx="91">
                  <c:v>#VALUE!</c:v>
                </c:pt>
                <c:pt idx="92">
                  <c:v>#VALUE!</c:v>
                </c:pt>
                <c:pt idx="93">
                  <c:v>#VALUE!</c:v>
                </c:pt>
                <c:pt idx="94">
                  <c:v>#VALUE!</c:v>
                </c:pt>
                <c:pt idx="95">
                  <c:v>#VALUE!</c:v>
                </c:pt>
                <c:pt idx="96">
                  <c:v>#VALUE!</c:v>
                </c:pt>
                <c:pt idx="97">
                  <c:v>#VALUE!</c:v>
                </c:pt>
                <c:pt idx="98">
                  <c:v>#VALUE!</c:v>
                </c:pt>
                <c:pt idx="99">
                  <c:v>#VALUE!</c:v>
                </c:pt>
                <c:pt idx="100">
                  <c:v>#VALUE!</c:v>
                </c:pt>
                <c:pt idx="101">
                  <c:v>#VALUE!</c:v>
                </c:pt>
                <c:pt idx="102">
                  <c:v>#VALUE!</c:v>
                </c:pt>
                <c:pt idx="103">
                  <c:v>#VALUE!</c:v>
                </c:pt>
                <c:pt idx="104">
                  <c:v>#VALUE!</c:v>
                </c:pt>
                <c:pt idx="105">
                  <c:v>#VALUE!</c:v>
                </c:pt>
                <c:pt idx="106">
                  <c:v>#VALUE!</c:v>
                </c:pt>
                <c:pt idx="107">
                  <c:v>#VALUE!</c:v>
                </c:pt>
                <c:pt idx="108">
                  <c:v>#VALUE!</c:v>
                </c:pt>
                <c:pt idx="109">
                  <c:v>#VALUE!</c:v>
                </c:pt>
                <c:pt idx="110">
                  <c:v>#VALUE!</c:v>
                </c:pt>
                <c:pt idx="111">
                  <c:v>#VALUE!</c:v>
                </c:pt>
                <c:pt idx="112">
                  <c:v>#VALUE!</c:v>
                </c:pt>
                <c:pt idx="113">
                  <c:v>#VALUE!</c:v>
                </c:pt>
                <c:pt idx="114">
                  <c:v>#VALUE!</c:v>
                </c:pt>
                <c:pt idx="115">
                  <c:v>#VALUE!</c:v>
                </c:pt>
                <c:pt idx="116">
                  <c:v>#VALUE!</c:v>
                </c:pt>
                <c:pt idx="117">
                  <c:v>#VALUE!</c:v>
                </c:pt>
                <c:pt idx="118">
                  <c:v>#VALUE!</c:v>
                </c:pt>
                <c:pt idx="119">
                  <c:v>#VALUE!</c:v>
                </c:pt>
                <c:pt idx="120">
                  <c:v>#VALUE!</c:v>
                </c:pt>
                <c:pt idx="121">
                  <c:v>#VALUE!</c:v>
                </c:pt>
                <c:pt idx="122">
                  <c:v>#VALUE!</c:v>
                </c:pt>
                <c:pt idx="123">
                  <c:v>#VALUE!</c:v>
                </c:pt>
                <c:pt idx="124">
                  <c:v>#VALUE!</c:v>
                </c:pt>
                <c:pt idx="125">
                  <c:v>#VALUE!</c:v>
                </c:pt>
                <c:pt idx="126">
                  <c:v>#VALUE!</c:v>
                </c:pt>
                <c:pt idx="127">
                  <c:v>#VALUE!</c:v>
                </c:pt>
                <c:pt idx="128">
                  <c:v>#VALUE!</c:v>
                </c:pt>
                <c:pt idx="129">
                  <c:v>#VALUE!</c:v>
                </c:pt>
                <c:pt idx="130">
                  <c:v>#VALUE!</c:v>
                </c:pt>
                <c:pt idx="131">
                  <c:v>#VALUE!</c:v>
                </c:pt>
                <c:pt idx="132">
                  <c:v>#VALUE!</c:v>
                </c:pt>
                <c:pt idx="133">
                  <c:v>#VALUE!</c:v>
                </c:pt>
                <c:pt idx="134">
                  <c:v>#VALUE!</c:v>
                </c:pt>
                <c:pt idx="135">
                  <c:v>#VALUE!</c:v>
                </c:pt>
                <c:pt idx="136">
                  <c:v>#VALUE!</c:v>
                </c:pt>
                <c:pt idx="137">
                  <c:v>#VALUE!</c:v>
                </c:pt>
                <c:pt idx="138">
                  <c:v>#VALUE!</c:v>
                </c:pt>
                <c:pt idx="139">
                  <c:v>#VALUE!</c:v>
                </c:pt>
                <c:pt idx="140">
                  <c:v>#VALUE!</c:v>
                </c:pt>
                <c:pt idx="141">
                  <c:v>#VALUE!</c:v>
                </c:pt>
                <c:pt idx="142">
                  <c:v>#VALUE!</c:v>
                </c:pt>
                <c:pt idx="143">
                  <c:v>#VALUE!</c:v>
                </c:pt>
                <c:pt idx="144">
                  <c:v>#VALUE!</c:v>
                </c:pt>
                <c:pt idx="145">
                  <c:v>#VALUE!</c:v>
                </c:pt>
                <c:pt idx="146">
                  <c:v>#VALUE!</c:v>
                </c:pt>
                <c:pt idx="147">
                  <c:v>#VALUE!</c:v>
                </c:pt>
                <c:pt idx="148">
                  <c:v>#VALUE!</c:v>
                </c:pt>
                <c:pt idx="149">
                  <c:v>#VALUE!</c:v>
                </c:pt>
                <c:pt idx="150">
                  <c:v>#VALUE!</c:v>
                </c:pt>
                <c:pt idx="151">
                  <c:v>#VALUE!</c:v>
                </c:pt>
                <c:pt idx="152">
                  <c:v>#VALUE!</c:v>
                </c:pt>
                <c:pt idx="153">
                  <c:v>#VALUE!</c:v>
                </c:pt>
                <c:pt idx="154">
                  <c:v>#VALUE!</c:v>
                </c:pt>
                <c:pt idx="155">
                  <c:v>#VALUE!</c:v>
                </c:pt>
                <c:pt idx="156">
                  <c:v>#VALUE!</c:v>
                </c:pt>
                <c:pt idx="157">
                  <c:v>#VALUE!</c:v>
                </c:pt>
                <c:pt idx="158">
                  <c:v>#VALUE!</c:v>
                </c:pt>
                <c:pt idx="159">
                  <c:v>#VALUE!</c:v>
                </c:pt>
                <c:pt idx="160">
                  <c:v>#VALUE!</c:v>
                </c:pt>
                <c:pt idx="161">
                  <c:v>#VALUE!</c:v>
                </c:pt>
                <c:pt idx="162">
                  <c:v>#VALUE!</c:v>
                </c:pt>
                <c:pt idx="163">
                  <c:v>#VALUE!</c:v>
                </c:pt>
                <c:pt idx="164">
                  <c:v>#VALUE!</c:v>
                </c:pt>
                <c:pt idx="165">
                  <c:v>#VALUE!</c:v>
                </c:pt>
                <c:pt idx="166">
                  <c:v>#VALUE!</c:v>
                </c:pt>
                <c:pt idx="167">
                  <c:v>#VALUE!</c:v>
                </c:pt>
                <c:pt idx="168">
                  <c:v>#VALUE!</c:v>
                </c:pt>
                <c:pt idx="169">
                  <c:v>#VALUE!</c:v>
                </c:pt>
                <c:pt idx="170">
                  <c:v>#VALUE!</c:v>
                </c:pt>
                <c:pt idx="171">
                  <c:v>#VALUE!</c:v>
                </c:pt>
                <c:pt idx="172">
                  <c:v>#VALUE!</c:v>
                </c:pt>
                <c:pt idx="173">
                  <c:v>#VALUE!</c:v>
                </c:pt>
                <c:pt idx="174">
                  <c:v>#VALUE!</c:v>
                </c:pt>
                <c:pt idx="175">
                  <c:v>#VALUE!</c:v>
                </c:pt>
                <c:pt idx="176">
                  <c:v>#VALUE!</c:v>
                </c:pt>
                <c:pt idx="177">
                  <c:v>#VALUE!</c:v>
                </c:pt>
                <c:pt idx="178">
                  <c:v>#VALUE!</c:v>
                </c:pt>
                <c:pt idx="179">
                  <c:v>#VALUE!</c:v>
                </c:pt>
                <c:pt idx="180">
                  <c:v>#VALUE!</c:v>
                </c:pt>
                <c:pt idx="181">
                  <c:v>#VALUE!</c:v>
                </c:pt>
                <c:pt idx="182">
                  <c:v>#VALUE!</c:v>
                </c:pt>
                <c:pt idx="183">
                  <c:v>#VALUE!</c:v>
                </c:pt>
                <c:pt idx="184">
                  <c:v>#VALUE!</c:v>
                </c:pt>
                <c:pt idx="185">
                  <c:v>#VALUE!</c:v>
                </c:pt>
                <c:pt idx="186">
                  <c:v>#VALUE!</c:v>
                </c:pt>
                <c:pt idx="187">
                  <c:v>#VALUE!</c:v>
                </c:pt>
                <c:pt idx="188">
                  <c:v>#VALUE!</c:v>
                </c:pt>
                <c:pt idx="189">
                  <c:v>#VALUE!</c:v>
                </c:pt>
                <c:pt idx="190">
                  <c:v>#VALUE!</c:v>
                </c:pt>
                <c:pt idx="191">
                  <c:v>#VALUE!</c:v>
                </c:pt>
                <c:pt idx="192">
                  <c:v>#VALUE!</c:v>
                </c:pt>
                <c:pt idx="193">
                  <c:v>#VALUE!</c:v>
                </c:pt>
                <c:pt idx="194">
                  <c:v>#VALUE!</c:v>
                </c:pt>
                <c:pt idx="195">
                  <c:v>#VALUE!</c:v>
                </c:pt>
                <c:pt idx="196">
                  <c:v>#VALUE!</c:v>
                </c:pt>
                <c:pt idx="197">
                  <c:v>#VALUE!</c:v>
                </c:pt>
                <c:pt idx="198">
                  <c:v>#VALUE!</c:v>
                </c:pt>
                <c:pt idx="199">
                  <c:v>#VALUE!</c:v>
                </c:pt>
                <c:pt idx="200">
                  <c:v>#VALUE!</c:v>
                </c:pt>
                <c:pt idx="201">
                  <c:v>#VALUE!</c:v>
                </c:pt>
                <c:pt idx="202">
                  <c:v>#VALUE!</c:v>
                </c:pt>
                <c:pt idx="203">
                  <c:v>#VALUE!</c:v>
                </c:pt>
                <c:pt idx="204">
                  <c:v>#VALUE!</c:v>
                </c:pt>
                <c:pt idx="205">
                  <c:v>#VALUE!</c:v>
                </c:pt>
                <c:pt idx="206">
                  <c:v>#VALUE!</c:v>
                </c:pt>
                <c:pt idx="207">
                  <c:v>#VALUE!</c:v>
                </c:pt>
                <c:pt idx="208">
                  <c:v>#VALUE!</c:v>
                </c:pt>
                <c:pt idx="209">
                  <c:v>#VALUE!</c:v>
                </c:pt>
                <c:pt idx="210">
                  <c:v>#VALUE!</c:v>
                </c:pt>
                <c:pt idx="211">
                  <c:v>#VALUE!</c:v>
                </c:pt>
                <c:pt idx="212">
                  <c:v>#VALUE!</c:v>
                </c:pt>
                <c:pt idx="213">
                  <c:v>#VALUE!</c:v>
                </c:pt>
                <c:pt idx="214">
                  <c:v>#VALUE!</c:v>
                </c:pt>
                <c:pt idx="215">
                  <c:v>#VALUE!</c:v>
                </c:pt>
                <c:pt idx="216">
                  <c:v>#VALUE!</c:v>
                </c:pt>
                <c:pt idx="217">
                  <c:v>#VALUE!</c:v>
                </c:pt>
                <c:pt idx="218">
                  <c:v>#VALUE!</c:v>
                </c:pt>
                <c:pt idx="219">
                  <c:v>#VALUE!</c:v>
                </c:pt>
                <c:pt idx="220">
                  <c:v>#VALUE!</c:v>
                </c:pt>
                <c:pt idx="221">
                  <c:v>#VALUE!</c:v>
                </c:pt>
                <c:pt idx="222">
                  <c:v>#VALUE!</c:v>
                </c:pt>
                <c:pt idx="223">
                  <c:v>#VALUE!</c:v>
                </c:pt>
                <c:pt idx="224">
                  <c:v>#VALUE!</c:v>
                </c:pt>
                <c:pt idx="225">
                  <c:v>#VALUE!</c:v>
                </c:pt>
                <c:pt idx="226">
                  <c:v>#VALUE!</c:v>
                </c:pt>
                <c:pt idx="227">
                  <c:v>#VALUE!</c:v>
                </c:pt>
                <c:pt idx="228">
                  <c:v>#VALUE!</c:v>
                </c:pt>
                <c:pt idx="229">
                  <c:v>#VALUE!</c:v>
                </c:pt>
                <c:pt idx="230">
                  <c:v>#VALUE!</c:v>
                </c:pt>
                <c:pt idx="231">
                  <c:v>#VALUE!</c:v>
                </c:pt>
                <c:pt idx="232">
                  <c:v>#VALUE!</c:v>
                </c:pt>
                <c:pt idx="233">
                  <c:v>#VALUE!</c:v>
                </c:pt>
                <c:pt idx="234">
                  <c:v>#VALUE!</c:v>
                </c:pt>
                <c:pt idx="235">
                  <c:v>#VALUE!</c:v>
                </c:pt>
                <c:pt idx="236">
                  <c:v>#VALUE!</c:v>
                </c:pt>
                <c:pt idx="237">
                  <c:v>#VALUE!</c:v>
                </c:pt>
                <c:pt idx="238">
                  <c:v>#VALUE!</c:v>
                </c:pt>
                <c:pt idx="239">
                  <c:v>#VALUE!</c:v>
                </c:pt>
                <c:pt idx="240">
                  <c:v>#VALUE!</c:v>
                </c:pt>
                <c:pt idx="241">
                  <c:v>#VALUE!</c:v>
                </c:pt>
                <c:pt idx="242">
                  <c:v>#VALUE!</c:v>
                </c:pt>
                <c:pt idx="243">
                  <c:v>#VALUE!</c:v>
                </c:pt>
                <c:pt idx="244">
                  <c:v>#VALUE!</c:v>
                </c:pt>
                <c:pt idx="245">
                  <c:v>#VALUE!</c:v>
                </c:pt>
                <c:pt idx="246">
                  <c:v>#VALUE!</c:v>
                </c:pt>
                <c:pt idx="247">
                  <c:v>#VALUE!</c:v>
                </c:pt>
                <c:pt idx="248">
                  <c:v>#VALUE!</c:v>
                </c:pt>
                <c:pt idx="249">
                  <c:v>#VALUE!</c:v>
                </c:pt>
                <c:pt idx="250">
                  <c:v>#VALUE!</c:v>
                </c:pt>
              </c:strCache>
            </c:strRef>
          </c:cat>
          <c:val>
            <c:numRef>
              <c:f>EXP!$T$25:$JJ$25</c:f>
              <c:numCache>
                <c:formatCode>0%</c:formatCode>
                <c:ptCount val="2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numCache>
            </c:numRef>
          </c:val>
          <c:extLst>
            <c:ext xmlns:c16="http://schemas.microsoft.com/office/drawing/2014/chart" uri="{C3380CC4-5D6E-409C-BE32-E72D297353CC}">
              <c16:uniqueId val="{00000010-7642-4CF9-9137-A7C777D0CFF9}"/>
            </c:ext>
          </c:extLst>
        </c:ser>
        <c:dLbls>
          <c:showLegendKey val="0"/>
          <c:showVal val="0"/>
          <c:showCatName val="0"/>
          <c:showSerName val="0"/>
          <c:showPercent val="0"/>
          <c:showBubbleSize val="0"/>
        </c:dLbls>
        <c:axId val="21170186"/>
        <c:axId val="13134304"/>
      </c:areaChart>
      <c:catAx>
        <c:axId val="21170186"/>
        <c:scaling>
          <c:orientation val="minMax"/>
        </c:scaling>
        <c:delete val="0"/>
        <c:axPos val="b"/>
        <c:numFmt formatCode="General" sourceLinked="1"/>
        <c:majorTickMark val="out"/>
        <c:minorTickMark val="none"/>
        <c:tickLblPos val="nextTo"/>
        <c:spPr>
          <a:noFill/>
          <a:ln w="9525" cap="flat" cmpd="sng">
            <a:solidFill>
              <a:schemeClr val="tx1">
                <a:lumMod val="15000"/>
                <a:lumOff val="85000"/>
              </a:schemeClr>
            </a:solidFill>
            <a:round/>
          </a:ln>
          <a:effectLst/>
        </c:spPr>
        <c:txPr>
          <a:bodyPr rot="-60000000" spcFirstLastPara="1" vertOverflow="ellipsis" vert="horz" wrap="square" anchor="ctr" anchorCtr="1"/>
          <a:lstStyle/>
          <a:p>
            <a:pPr>
              <a:defRPr lang="en-US" sz="900" b="0" i="0" u="none" kern="1200" baseline="0">
                <a:solidFill>
                  <a:schemeClr val="tx1">
                    <a:lumMod val="65000"/>
                    <a:lumOff val="35000"/>
                  </a:schemeClr>
                </a:solidFill>
                <a:latin typeface="+mn-lt"/>
                <a:ea typeface="+mn-ea"/>
                <a:cs typeface="+mn-cs"/>
              </a:defRPr>
            </a:pPr>
            <a:endParaRPr lang="en-US"/>
          </a:p>
        </c:txPr>
        <c:crossAx val="13134304"/>
        <c:crosses val="autoZero"/>
        <c:auto val="1"/>
        <c:lblAlgn val="ctr"/>
        <c:lblOffset val="100"/>
        <c:noMultiLvlLbl val="1"/>
      </c:catAx>
      <c:valAx>
        <c:axId val="13134304"/>
        <c:scaling>
          <c:orientation val="minMax"/>
        </c:scaling>
        <c:delete val="0"/>
        <c:axPos val="l"/>
        <c:majorGridlines>
          <c:spPr>
            <a:ln w="9525" cap="flat" cmpd="sng">
              <a:solidFill>
                <a:schemeClr val="tx1">
                  <a:lumMod val="15000"/>
                  <a:lumOff val="85000"/>
                </a:schemeClr>
              </a:solidFill>
              <a:round/>
            </a:ln>
            <a:effectLst/>
          </c:spPr>
        </c:majorGridlines>
        <c:numFmt formatCode="0%" sourceLinked="1"/>
        <c:majorTickMark val="none"/>
        <c:minorTickMark val="none"/>
        <c:tickLblPos val="nextTo"/>
        <c:spPr>
          <a:noFill/>
          <a:ln w="6350">
            <a:noFill/>
          </a:ln>
          <a:effectLst/>
        </c:spPr>
        <c:txPr>
          <a:bodyPr rot="-60000000" spcFirstLastPara="1" vertOverflow="ellipsis" vert="horz" wrap="square" anchor="ctr" anchorCtr="1"/>
          <a:lstStyle/>
          <a:p>
            <a:pPr>
              <a:defRPr lang="en-US" sz="900" b="0" i="0" u="none" kern="1200" baseline="0">
                <a:solidFill>
                  <a:schemeClr val="tx1">
                    <a:lumMod val="65000"/>
                    <a:lumOff val="35000"/>
                  </a:schemeClr>
                </a:solidFill>
                <a:latin typeface="+mn-lt"/>
                <a:ea typeface="+mn-ea"/>
                <a:cs typeface="+mn-cs"/>
              </a:defRPr>
            </a:pPr>
            <a:endParaRPr lang="en-US"/>
          </a:p>
        </c:txPr>
        <c:crossAx val="21170186"/>
        <c:crosses val="autoZero"/>
        <c:crossBetween val="midCat"/>
      </c:valAx>
      <c:spPr>
        <a:noFill/>
        <a:ln w="6350">
          <a:noFill/>
        </a:ln>
        <a:effectLst/>
      </c:spPr>
    </c:plotArea>
    <c:plotVisOnly val="1"/>
    <c:dispBlanksAs val="zero"/>
    <c:showDLblsOverMax val="0"/>
  </c:chart>
  <c:spPr>
    <a:solidFill>
      <a:schemeClr val="bg1"/>
    </a:solidFill>
    <a:ln w="9525" cap="flat" cmpd="sng">
      <a:solidFill>
        <a:schemeClr val="tx1">
          <a:lumMod val="15000"/>
          <a:lumOff val="85000"/>
        </a:schemeClr>
      </a:solidFill>
      <a:round/>
    </a:ln>
    <a:effectLst/>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13</xdr:col>
      <xdr:colOff>154782</xdr:colOff>
      <xdr:row>8</xdr:row>
      <xdr:rowOff>0</xdr:rowOff>
    </xdr:from>
    <xdr:to>
      <xdr:col>22</xdr:col>
      <xdr:colOff>547687</xdr:colOff>
      <xdr:row>29</xdr:row>
      <xdr:rowOff>0</xdr:rowOff>
    </xdr:to>
    <xdr:pic>
      <xdr:nvPicPr>
        <xdr:cNvPr id="2" name="Picture 3">
          <a:extLst>
            <a:ext uri="{FF2B5EF4-FFF2-40B4-BE49-F238E27FC236}">
              <a16:creationId xmlns:a16="http://schemas.microsoft.com/office/drawing/2014/main" id="{48B26E0F-DC4D-42AB-BA1D-2C68C0A228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15716250" y="1876425"/>
          <a:ext cx="0" cy="501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30647</xdr:colOff>
      <xdr:row>43</xdr:row>
      <xdr:rowOff>48454</xdr:rowOff>
    </xdr:from>
    <xdr:to>
      <xdr:col>2</xdr:col>
      <xdr:colOff>2692208</xdr:colOff>
      <xdr:row>45</xdr:row>
      <xdr:rowOff>155134</xdr:rowOff>
    </xdr:to>
    <xdr:grpSp>
      <xdr:nvGrpSpPr>
        <xdr:cNvPr id="2" name="Group 1">
          <a:extLst>
            <a:ext uri="{FF2B5EF4-FFF2-40B4-BE49-F238E27FC236}">
              <a16:creationId xmlns:a16="http://schemas.microsoft.com/office/drawing/2014/main" id="{8DD9765D-BF2F-4C36-96FE-525AB9AF3050}"/>
            </a:ext>
          </a:extLst>
        </xdr:cNvPr>
        <xdr:cNvGrpSpPr>
          <a:grpSpLocks/>
        </xdr:cNvGrpSpPr>
      </xdr:nvGrpSpPr>
      <xdr:grpSpPr>
        <a:xfrm>
          <a:off x="697397" y="12129329"/>
          <a:ext cx="3534686" cy="487680"/>
          <a:chOff x="624417" y="9154583"/>
          <a:chExt cx="2388235" cy="487680"/>
        </a:xfrm>
      </xdr:grpSpPr>
      <xdr:pic>
        <xdr:nvPicPr>
          <xdr:cNvPr id="3" name="Bild 210">
            <a:extLst>
              <a:ext uri="{FF2B5EF4-FFF2-40B4-BE49-F238E27FC236}">
                <a16:creationId xmlns:a16="http://schemas.microsoft.com/office/drawing/2014/main" id="{1B89BBD5-E2BB-AA1F-7696-17B8CFD343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624417" y="9263168"/>
            <a:ext cx="581350" cy="247650"/>
          </a:xfrm>
          <a:prstGeom prst="rect">
            <a:avLst/>
          </a:prstGeom>
          <a:noFill/>
          <a:ln>
            <a:noFill/>
          </a:ln>
        </xdr:spPr>
      </xdr:pic>
      <xdr:sp macro="" textlink="">
        <xdr:nvSpPr>
          <xdr:cNvPr id="4" name="Text Box 211">
            <a:extLst>
              <a:ext uri="{FF2B5EF4-FFF2-40B4-BE49-F238E27FC236}">
                <a16:creationId xmlns:a16="http://schemas.microsoft.com/office/drawing/2014/main" id="{8DD4020D-E114-CB9D-5184-93F260E082E2}"/>
              </a:ext>
            </a:extLst>
          </xdr:cNvPr>
          <xdr:cNvSpPr txBox="1">
            <a:spLocks noChangeArrowheads="1"/>
          </xdr:cNvSpPr>
        </xdr:nvSpPr>
        <xdr:spPr bwMode="auto">
          <a:xfrm>
            <a:off x="1300057" y="9156488"/>
            <a:ext cx="1285875" cy="4857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anchor="t" anchorCtr="0" upright="1">
            <a:noAutofit/>
          </a:bodyPr>
          <a:lstStyle/>
          <a:p>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PM-ZERT ist die Zertifizierungsstelle der </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GPM Deutsche Gesellschaft</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für Projektmanagement e. V.</a:t>
            </a:r>
            <a:endParaRPr lang="en-GB" sz="1000">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pic>
        <xdr:nvPicPr>
          <xdr:cNvPr id="5" name="Bild 212">
            <a:extLst>
              <a:ext uri="{FF2B5EF4-FFF2-40B4-BE49-F238E27FC236}">
                <a16:creationId xmlns:a16="http://schemas.microsoft.com/office/drawing/2014/main" id="{A0EC408D-1BD2-BAA8-F13D-7439D29457F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bwMode="auto">
          <a:xfrm>
            <a:off x="2456392" y="9154583"/>
            <a:ext cx="556260" cy="470535"/>
          </a:xfrm>
          <a:prstGeom prst="rect">
            <a:avLst/>
          </a:prstGeom>
          <a:noFill/>
          <a:ln>
            <a:noFill/>
          </a:ln>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30647</xdr:colOff>
      <xdr:row>43</xdr:row>
      <xdr:rowOff>48454</xdr:rowOff>
    </xdr:from>
    <xdr:to>
      <xdr:col>2</xdr:col>
      <xdr:colOff>2692208</xdr:colOff>
      <xdr:row>45</xdr:row>
      <xdr:rowOff>155134</xdr:rowOff>
    </xdr:to>
    <xdr:grpSp>
      <xdr:nvGrpSpPr>
        <xdr:cNvPr id="2" name="Group 1">
          <a:extLst>
            <a:ext uri="{FF2B5EF4-FFF2-40B4-BE49-F238E27FC236}">
              <a16:creationId xmlns:a16="http://schemas.microsoft.com/office/drawing/2014/main" id="{685CA5C3-72FF-48B2-94E5-2F47F1314E79}"/>
            </a:ext>
          </a:extLst>
        </xdr:cNvPr>
        <xdr:cNvGrpSpPr>
          <a:grpSpLocks/>
        </xdr:cNvGrpSpPr>
      </xdr:nvGrpSpPr>
      <xdr:grpSpPr>
        <a:xfrm>
          <a:off x="697397" y="12129329"/>
          <a:ext cx="3534686" cy="487680"/>
          <a:chOff x="624417" y="9154583"/>
          <a:chExt cx="2388235" cy="487680"/>
        </a:xfrm>
      </xdr:grpSpPr>
      <xdr:pic>
        <xdr:nvPicPr>
          <xdr:cNvPr id="3" name="Bild 210">
            <a:extLst>
              <a:ext uri="{FF2B5EF4-FFF2-40B4-BE49-F238E27FC236}">
                <a16:creationId xmlns:a16="http://schemas.microsoft.com/office/drawing/2014/main" id="{BA2DE58F-48DB-FF36-22FD-94468E6167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624417" y="9263168"/>
            <a:ext cx="581350" cy="247650"/>
          </a:xfrm>
          <a:prstGeom prst="rect">
            <a:avLst/>
          </a:prstGeom>
          <a:noFill/>
          <a:ln>
            <a:noFill/>
          </a:ln>
        </xdr:spPr>
      </xdr:pic>
      <xdr:sp macro="" textlink="">
        <xdr:nvSpPr>
          <xdr:cNvPr id="4" name="Text Box 211">
            <a:extLst>
              <a:ext uri="{FF2B5EF4-FFF2-40B4-BE49-F238E27FC236}">
                <a16:creationId xmlns:a16="http://schemas.microsoft.com/office/drawing/2014/main" id="{8FC45A30-E7CE-EADD-F059-7B9754B8A824}"/>
              </a:ext>
            </a:extLst>
          </xdr:cNvPr>
          <xdr:cNvSpPr txBox="1">
            <a:spLocks noChangeArrowheads="1"/>
          </xdr:cNvSpPr>
        </xdr:nvSpPr>
        <xdr:spPr bwMode="auto">
          <a:xfrm>
            <a:off x="1300057" y="9156488"/>
            <a:ext cx="1285875" cy="4857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anchor="t" anchorCtr="0" upright="1">
            <a:noAutofit/>
          </a:bodyPr>
          <a:lstStyle/>
          <a:p>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PM-ZERT ist die Zertifizierungsstelle der </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GPM Deutsche Gesellschaft</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für Projektmanagement e. V.</a:t>
            </a:r>
            <a:endParaRPr lang="en-GB" sz="1000">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pic>
        <xdr:nvPicPr>
          <xdr:cNvPr id="5" name="Bild 212">
            <a:extLst>
              <a:ext uri="{FF2B5EF4-FFF2-40B4-BE49-F238E27FC236}">
                <a16:creationId xmlns:a16="http://schemas.microsoft.com/office/drawing/2014/main" id="{42560F3F-5348-7F6E-93AD-9E76E2FB7A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bwMode="auto">
          <a:xfrm>
            <a:off x="2456392" y="9154583"/>
            <a:ext cx="556260" cy="470535"/>
          </a:xfrm>
          <a:prstGeom prst="rect">
            <a:avLst/>
          </a:prstGeom>
          <a:noFill/>
          <a:ln>
            <a:noFill/>
          </a:ln>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30647</xdr:colOff>
      <xdr:row>43</xdr:row>
      <xdr:rowOff>48454</xdr:rowOff>
    </xdr:from>
    <xdr:to>
      <xdr:col>2</xdr:col>
      <xdr:colOff>2692208</xdr:colOff>
      <xdr:row>45</xdr:row>
      <xdr:rowOff>155134</xdr:rowOff>
    </xdr:to>
    <xdr:grpSp>
      <xdr:nvGrpSpPr>
        <xdr:cNvPr id="2" name="Group 1">
          <a:extLst>
            <a:ext uri="{FF2B5EF4-FFF2-40B4-BE49-F238E27FC236}">
              <a16:creationId xmlns:a16="http://schemas.microsoft.com/office/drawing/2014/main" id="{D3AF049E-16D2-4B22-90F0-1164C61DE36C}"/>
            </a:ext>
          </a:extLst>
        </xdr:cNvPr>
        <xdr:cNvGrpSpPr>
          <a:grpSpLocks/>
        </xdr:cNvGrpSpPr>
      </xdr:nvGrpSpPr>
      <xdr:grpSpPr>
        <a:xfrm>
          <a:off x="697397" y="12129329"/>
          <a:ext cx="3534686" cy="487680"/>
          <a:chOff x="624417" y="9154583"/>
          <a:chExt cx="2388235" cy="487680"/>
        </a:xfrm>
      </xdr:grpSpPr>
      <xdr:pic>
        <xdr:nvPicPr>
          <xdr:cNvPr id="3" name="Bild 210">
            <a:extLst>
              <a:ext uri="{FF2B5EF4-FFF2-40B4-BE49-F238E27FC236}">
                <a16:creationId xmlns:a16="http://schemas.microsoft.com/office/drawing/2014/main" id="{C49BB765-EA76-42F0-9F37-6DCC64D1C6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624417" y="9263168"/>
            <a:ext cx="581350" cy="247650"/>
          </a:xfrm>
          <a:prstGeom prst="rect">
            <a:avLst/>
          </a:prstGeom>
          <a:noFill/>
          <a:ln>
            <a:noFill/>
          </a:ln>
        </xdr:spPr>
      </xdr:pic>
      <xdr:sp macro="" textlink="">
        <xdr:nvSpPr>
          <xdr:cNvPr id="4" name="Text Box 211">
            <a:extLst>
              <a:ext uri="{FF2B5EF4-FFF2-40B4-BE49-F238E27FC236}">
                <a16:creationId xmlns:a16="http://schemas.microsoft.com/office/drawing/2014/main" id="{A812307F-FABC-BB31-E396-78B8AF9D0ACA}"/>
              </a:ext>
            </a:extLst>
          </xdr:cNvPr>
          <xdr:cNvSpPr txBox="1">
            <a:spLocks noChangeArrowheads="1"/>
          </xdr:cNvSpPr>
        </xdr:nvSpPr>
        <xdr:spPr bwMode="auto">
          <a:xfrm>
            <a:off x="1300057" y="9156488"/>
            <a:ext cx="1285875" cy="4857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anchor="t" anchorCtr="0" upright="1">
            <a:noAutofit/>
          </a:bodyPr>
          <a:lstStyle/>
          <a:p>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PM-ZERT ist die Zertifizierungsstelle der </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GPM Deutsche Gesellschaft</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für Projektmanagement e. V.</a:t>
            </a:r>
            <a:endParaRPr lang="en-GB" sz="1000">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pic>
        <xdr:nvPicPr>
          <xdr:cNvPr id="5" name="Bild 212">
            <a:extLst>
              <a:ext uri="{FF2B5EF4-FFF2-40B4-BE49-F238E27FC236}">
                <a16:creationId xmlns:a16="http://schemas.microsoft.com/office/drawing/2014/main" id="{530F0730-F705-579D-92E3-5B98C4435D7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bwMode="auto">
          <a:xfrm>
            <a:off x="2456392" y="9154583"/>
            <a:ext cx="556260" cy="470535"/>
          </a:xfrm>
          <a:prstGeom prst="rect">
            <a:avLst/>
          </a:prstGeom>
          <a:noFill/>
          <a:ln>
            <a:noFill/>
          </a:ln>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30647</xdr:colOff>
      <xdr:row>43</xdr:row>
      <xdr:rowOff>48454</xdr:rowOff>
    </xdr:from>
    <xdr:to>
      <xdr:col>2</xdr:col>
      <xdr:colOff>2692208</xdr:colOff>
      <xdr:row>45</xdr:row>
      <xdr:rowOff>155134</xdr:rowOff>
    </xdr:to>
    <xdr:grpSp>
      <xdr:nvGrpSpPr>
        <xdr:cNvPr id="2" name="Group 1">
          <a:extLst>
            <a:ext uri="{FF2B5EF4-FFF2-40B4-BE49-F238E27FC236}">
              <a16:creationId xmlns:a16="http://schemas.microsoft.com/office/drawing/2014/main" id="{8FE00E4A-FC0E-4271-BB9C-355C597341BD}"/>
            </a:ext>
          </a:extLst>
        </xdr:cNvPr>
        <xdr:cNvGrpSpPr>
          <a:grpSpLocks/>
        </xdr:cNvGrpSpPr>
      </xdr:nvGrpSpPr>
      <xdr:grpSpPr>
        <a:xfrm>
          <a:off x="697397" y="12129329"/>
          <a:ext cx="3534686" cy="487680"/>
          <a:chOff x="624417" y="9154583"/>
          <a:chExt cx="2388235" cy="487680"/>
        </a:xfrm>
      </xdr:grpSpPr>
      <xdr:pic>
        <xdr:nvPicPr>
          <xdr:cNvPr id="3" name="Bild 210">
            <a:extLst>
              <a:ext uri="{FF2B5EF4-FFF2-40B4-BE49-F238E27FC236}">
                <a16:creationId xmlns:a16="http://schemas.microsoft.com/office/drawing/2014/main" id="{E926F7D7-F521-FC13-26A4-00B9D7F017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624417" y="9263168"/>
            <a:ext cx="581350" cy="247650"/>
          </a:xfrm>
          <a:prstGeom prst="rect">
            <a:avLst/>
          </a:prstGeom>
          <a:noFill/>
          <a:ln>
            <a:noFill/>
          </a:ln>
        </xdr:spPr>
      </xdr:pic>
      <xdr:sp macro="" textlink="">
        <xdr:nvSpPr>
          <xdr:cNvPr id="4" name="Text Box 211">
            <a:extLst>
              <a:ext uri="{FF2B5EF4-FFF2-40B4-BE49-F238E27FC236}">
                <a16:creationId xmlns:a16="http://schemas.microsoft.com/office/drawing/2014/main" id="{8C75A2C2-0A23-33B3-02E9-C9629F043683}"/>
              </a:ext>
            </a:extLst>
          </xdr:cNvPr>
          <xdr:cNvSpPr txBox="1">
            <a:spLocks noChangeArrowheads="1"/>
          </xdr:cNvSpPr>
        </xdr:nvSpPr>
        <xdr:spPr bwMode="auto">
          <a:xfrm>
            <a:off x="1300057" y="9156488"/>
            <a:ext cx="1285875" cy="4857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anchor="t" anchorCtr="0" upright="1">
            <a:noAutofit/>
          </a:bodyPr>
          <a:lstStyle/>
          <a:p>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PM-ZERT ist die Zertifizierungsstelle der </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GPM Deutsche Gesellschaft</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für Projektmanagement e. V.</a:t>
            </a:r>
            <a:endParaRPr lang="en-GB" sz="1000">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pic>
        <xdr:nvPicPr>
          <xdr:cNvPr id="5" name="Bild 212">
            <a:extLst>
              <a:ext uri="{FF2B5EF4-FFF2-40B4-BE49-F238E27FC236}">
                <a16:creationId xmlns:a16="http://schemas.microsoft.com/office/drawing/2014/main" id="{19877B41-71B3-C532-8974-5AAD4804AE3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bwMode="auto">
          <a:xfrm>
            <a:off x="2456392" y="9154583"/>
            <a:ext cx="556260" cy="470535"/>
          </a:xfrm>
          <a:prstGeom prst="rect">
            <a:avLst/>
          </a:prstGeom>
          <a:noFill/>
          <a:ln>
            <a:noFill/>
          </a:ln>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30647</xdr:colOff>
      <xdr:row>43</xdr:row>
      <xdr:rowOff>48454</xdr:rowOff>
    </xdr:from>
    <xdr:to>
      <xdr:col>2</xdr:col>
      <xdr:colOff>2692208</xdr:colOff>
      <xdr:row>45</xdr:row>
      <xdr:rowOff>155134</xdr:rowOff>
    </xdr:to>
    <xdr:grpSp>
      <xdr:nvGrpSpPr>
        <xdr:cNvPr id="2" name="Group 1">
          <a:extLst>
            <a:ext uri="{FF2B5EF4-FFF2-40B4-BE49-F238E27FC236}">
              <a16:creationId xmlns:a16="http://schemas.microsoft.com/office/drawing/2014/main" id="{F50549B3-63B8-4441-AEA1-E0C4478C7ACA}"/>
            </a:ext>
          </a:extLst>
        </xdr:cNvPr>
        <xdr:cNvGrpSpPr>
          <a:grpSpLocks/>
        </xdr:cNvGrpSpPr>
      </xdr:nvGrpSpPr>
      <xdr:grpSpPr>
        <a:xfrm>
          <a:off x="697397" y="12129329"/>
          <a:ext cx="3534686" cy="487680"/>
          <a:chOff x="624417" y="9154583"/>
          <a:chExt cx="2388235" cy="487680"/>
        </a:xfrm>
      </xdr:grpSpPr>
      <xdr:pic>
        <xdr:nvPicPr>
          <xdr:cNvPr id="3" name="Bild 210">
            <a:extLst>
              <a:ext uri="{FF2B5EF4-FFF2-40B4-BE49-F238E27FC236}">
                <a16:creationId xmlns:a16="http://schemas.microsoft.com/office/drawing/2014/main" id="{9573D48C-7CFB-E4E5-53C3-77786A3000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624417" y="9263168"/>
            <a:ext cx="581350" cy="247650"/>
          </a:xfrm>
          <a:prstGeom prst="rect">
            <a:avLst/>
          </a:prstGeom>
          <a:noFill/>
          <a:ln>
            <a:noFill/>
          </a:ln>
        </xdr:spPr>
      </xdr:pic>
      <xdr:sp macro="" textlink="">
        <xdr:nvSpPr>
          <xdr:cNvPr id="4" name="Text Box 211">
            <a:extLst>
              <a:ext uri="{FF2B5EF4-FFF2-40B4-BE49-F238E27FC236}">
                <a16:creationId xmlns:a16="http://schemas.microsoft.com/office/drawing/2014/main" id="{EE3E11FB-3592-121B-28AA-03CF50A0C12B}"/>
              </a:ext>
            </a:extLst>
          </xdr:cNvPr>
          <xdr:cNvSpPr txBox="1">
            <a:spLocks noChangeArrowheads="1"/>
          </xdr:cNvSpPr>
        </xdr:nvSpPr>
        <xdr:spPr bwMode="auto">
          <a:xfrm>
            <a:off x="1300057" y="9156488"/>
            <a:ext cx="1285875" cy="4857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anchor="t" anchorCtr="0" upright="1">
            <a:noAutofit/>
          </a:bodyPr>
          <a:lstStyle/>
          <a:p>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PM-ZERT ist die Zertifizierungsstelle der </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GPM Deutsche Gesellschaft</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für Projektmanagement e. V.</a:t>
            </a:r>
            <a:endParaRPr lang="en-GB" sz="1000">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pic>
        <xdr:nvPicPr>
          <xdr:cNvPr id="5" name="Bild 212">
            <a:extLst>
              <a:ext uri="{FF2B5EF4-FFF2-40B4-BE49-F238E27FC236}">
                <a16:creationId xmlns:a16="http://schemas.microsoft.com/office/drawing/2014/main" id="{978D12FB-907A-580E-F240-079B8A9F70B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bwMode="auto">
          <a:xfrm>
            <a:off x="2456392" y="9154583"/>
            <a:ext cx="556260" cy="470535"/>
          </a:xfrm>
          <a:prstGeom prst="rect">
            <a:avLst/>
          </a:prstGeom>
          <a:noFill/>
          <a:ln>
            <a:noFill/>
          </a:ln>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30647</xdr:colOff>
      <xdr:row>43</xdr:row>
      <xdr:rowOff>48454</xdr:rowOff>
    </xdr:from>
    <xdr:to>
      <xdr:col>2</xdr:col>
      <xdr:colOff>2692208</xdr:colOff>
      <xdr:row>45</xdr:row>
      <xdr:rowOff>155134</xdr:rowOff>
    </xdr:to>
    <xdr:grpSp>
      <xdr:nvGrpSpPr>
        <xdr:cNvPr id="2" name="Group 1">
          <a:extLst>
            <a:ext uri="{FF2B5EF4-FFF2-40B4-BE49-F238E27FC236}">
              <a16:creationId xmlns:a16="http://schemas.microsoft.com/office/drawing/2014/main" id="{CA760DC9-2C26-446E-A7F4-C90046D7527A}"/>
            </a:ext>
          </a:extLst>
        </xdr:cNvPr>
        <xdr:cNvGrpSpPr>
          <a:grpSpLocks/>
        </xdr:cNvGrpSpPr>
      </xdr:nvGrpSpPr>
      <xdr:grpSpPr>
        <a:xfrm>
          <a:off x="697397" y="12129329"/>
          <a:ext cx="3534686" cy="487680"/>
          <a:chOff x="624417" y="9154583"/>
          <a:chExt cx="2388235" cy="487680"/>
        </a:xfrm>
      </xdr:grpSpPr>
      <xdr:pic>
        <xdr:nvPicPr>
          <xdr:cNvPr id="3" name="Bild 210">
            <a:extLst>
              <a:ext uri="{FF2B5EF4-FFF2-40B4-BE49-F238E27FC236}">
                <a16:creationId xmlns:a16="http://schemas.microsoft.com/office/drawing/2014/main" id="{92E36A2C-1FD4-DA91-B250-8E070B7F06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624417" y="9263168"/>
            <a:ext cx="581350" cy="247650"/>
          </a:xfrm>
          <a:prstGeom prst="rect">
            <a:avLst/>
          </a:prstGeom>
          <a:noFill/>
          <a:ln>
            <a:noFill/>
          </a:ln>
        </xdr:spPr>
      </xdr:pic>
      <xdr:sp macro="" textlink="">
        <xdr:nvSpPr>
          <xdr:cNvPr id="4" name="Text Box 211">
            <a:extLst>
              <a:ext uri="{FF2B5EF4-FFF2-40B4-BE49-F238E27FC236}">
                <a16:creationId xmlns:a16="http://schemas.microsoft.com/office/drawing/2014/main" id="{010D21E7-F692-C47F-A72E-A5EFB9D04C63}"/>
              </a:ext>
            </a:extLst>
          </xdr:cNvPr>
          <xdr:cNvSpPr txBox="1">
            <a:spLocks noChangeArrowheads="1"/>
          </xdr:cNvSpPr>
        </xdr:nvSpPr>
        <xdr:spPr bwMode="auto">
          <a:xfrm>
            <a:off x="1300057" y="9156488"/>
            <a:ext cx="1285875" cy="4857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anchor="t" anchorCtr="0" upright="1">
            <a:noAutofit/>
          </a:bodyPr>
          <a:lstStyle/>
          <a:p>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PM-ZERT ist die Zertifizierungsstelle der </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GPM Deutsche Gesellschaft</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für Projektmanagement e. V.</a:t>
            </a:r>
            <a:endParaRPr lang="en-GB" sz="1000">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pic>
        <xdr:nvPicPr>
          <xdr:cNvPr id="5" name="Bild 212">
            <a:extLst>
              <a:ext uri="{FF2B5EF4-FFF2-40B4-BE49-F238E27FC236}">
                <a16:creationId xmlns:a16="http://schemas.microsoft.com/office/drawing/2014/main" id="{05F77F08-A41B-4160-A9FA-B4789A834F7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bwMode="auto">
          <a:xfrm>
            <a:off x="2456392" y="9154583"/>
            <a:ext cx="556260" cy="470535"/>
          </a:xfrm>
          <a:prstGeom prst="rect">
            <a:avLst/>
          </a:prstGeom>
          <a:noFill/>
          <a:ln>
            <a:noFill/>
          </a:ln>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30647</xdr:colOff>
      <xdr:row>43</xdr:row>
      <xdr:rowOff>48454</xdr:rowOff>
    </xdr:from>
    <xdr:to>
      <xdr:col>2</xdr:col>
      <xdr:colOff>2692208</xdr:colOff>
      <xdr:row>45</xdr:row>
      <xdr:rowOff>155134</xdr:rowOff>
    </xdr:to>
    <xdr:grpSp>
      <xdr:nvGrpSpPr>
        <xdr:cNvPr id="2" name="Group 1">
          <a:extLst>
            <a:ext uri="{FF2B5EF4-FFF2-40B4-BE49-F238E27FC236}">
              <a16:creationId xmlns:a16="http://schemas.microsoft.com/office/drawing/2014/main" id="{ACD17EBC-4138-41E6-864F-77208CEA4AFF}"/>
            </a:ext>
          </a:extLst>
        </xdr:cNvPr>
        <xdr:cNvGrpSpPr>
          <a:grpSpLocks/>
        </xdr:cNvGrpSpPr>
      </xdr:nvGrpSpPr>
      <xdr:grpSpPr>
        <a:xfrm>
          <a:off x="697397" y="12129329"/>
          <a:ext cx="3534686" cy="487680"/>
          <a:chOff x="624417" y="9154583"/>
          <a:chExt cx="2388235" cy="487680"/>
        </a:xfrm>
      </xdr:grpSpPr>
      <xdr:pic>
        <xdr:nvPicPr>
          <xdr:cNvPr id="3" name="Bild 210">
            <a:extLst>
              <a:ext uri="{FF2B5EF4-FFF2-40B4-BE49-F238E27FC236}">
                <a16:creationId xmlns:a16="http://schemas.microsoft.com/office/drawing/2014/main" id="{60298E99-E333-9B07-50B8-BC1C7BE694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624417" y="9263168"/>
            <a:ext cx="581350" cy="247650"/>
          </a:xfrm>
          <a:prstGeom prst="rect">
            <a:avLst/>
          </a:prstGeom>
          <a:noFill/>
          <a:ln>
            <a:noFill/>
          </a:ln>
        </xdr:spPr>
      </xdr:pic>
      <xdr:sp macro="" textlink="">
        <xdr:nvSpPr>
          <xdr:cNvPr id="4" name="Text Box 211">
            <a:extLst>
              <a:ext uri="{FF2B5EF4-FFF2-40B4-BE49-F238E27FC236}">
                <a16:creationId xmlns:a16="http://schemas.microsoft.com/office/drawing/2014/main" id="{89605B69-1271-9253-110A-1EB01AA0E27F}"/>
              </a:ext>
            </a:extLst>
          </xdr:cNvPr>
          <xdr:cNvSpPr txBox="1">
            <a:spLocks noChangeArrowheads="1"/>
          </xdr:cNvSpPr>
        </xdr:nvSpPr>
        <xdr:spPr bwMode="auto">
          <a:xfrm>
            <a:off x="1300057" y="9156488"/>
            <a:ext cx="1285875" cy="4857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anchor="t" anchorCtr="0" upright="1">
            <a:noAutofit/>
          </a:bodyPr>
          <a:lstStyle/>
          <a:p>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PM-ZERT ist die Zertifizierungsstelle der </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GPM Deutsche Gesellschaft</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für Projektmanagement e. V.</a:t>
            </a:r>
            <a:endParaRPr lang="en-GB" sz="1000">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pic>
        <xdr:nvPicPr>
          <xdr:cNvPr id="5" name="Bild 212">
            <a:extLst>
              <a:ext uri="{FF2B5EF4-FFF2-40B4-BE49-F238E27FC236}">
                <a16:creationId xmlns:a16="http://schemas.microsoft.com/office/drawing/2014/main" id="{9ADEE0BF-6513-A0AE-F634-4D0E472309B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bwMode="auto">
          <a:xfrm>
            <a:off x="2456392" y="9154583"/>
            <a:ext cx="556260" cy="470535"/>
          </a:xfrm>
          <a:prstGeom prst="rect">
            <a:avLst/>
          </a:prstGeom>
          <a:noFill/>
          <a:ln>
            <a:noFill/>
          </a:ln>
        </xdr:spPr>
      </xdr:pic>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30647</xdr:colOff>
      <xdr:row>43</xdr:row>
      <xdr:rowOff>48454</xdr:rowOff>
    </xdr:from>
    <xdr:to>
      <xdr:col>2</xdr:col>
      <xdr:colOff>2692208</xdr:colOff>
      <xdr:row>45</xdr:row>
      <xdr:rowOff>155134</xdr:rowOff>
    </xdr:to>
    <xdr:grpSp>
      <xdr:nvGrpSpPr>
        <xdr:cNvPr id="2" name="Group 1">
          <a:extLst>
            <a:ext uri="{FF2B5EF4-FFF2-40B4-BE49-F238E27FC236}">
              <a16:creationId xmlns:a16="http://schemas.microsoft.com/office/drawing/2014/main" id="{3A7E69A0-2C2F-4592-ACF9-163CB10E0E0A}"/>
            </a:ext>
          </a:extLst>
        </xdr:cNvPr>
        <xdr:cNvGrpSpPr>
          <a:grpSpLocks/>
        </xdr:cNvGrpSpPr>
      </xdr:nvGrpSpPr>
      <xdr:grpSpPr>
        <a:xfrm>
          <a:off x="697397" y="12129329"/>
          <a:ext cx="3534686" cy="487680"/>
          <a:chOff x="624417" y="9154583"/>
          <a:chExt cx="2388235" cy="487680"/>
        </a:xfrm>
      </xdr:grpSpPr>
      <xdr:pic>
        <xdr:nvPicPr>
          <xdr:cNvPr id="3" name="Bild 210">
            <a:extLst>
              <a:ext uri="{FF2B5EF4-FFF2-40B4-BE49-F238E27FC236}">
                <a16:creationId xmlns:a16="http://schemas.microsoft.com/office/drawing/2014/main" id="{1305AA45-0185-83AF-437D-E696473D7A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624417" y="9263168"/>
            <a:ext cx="581350" cy="247650"/>
          </a:xfrm>
          <a:prstGeom prst="rect">
            <a:avLst/>
          </a:prstGeom>
          <a:noFill/>
          <a:ln>
            <a:noFill/>
          </a:ln>
        </xdr:spPr>
      </xdr:pic>
      <xdr:sp macro="" textlink="">
        <xdr:nvSpPr>
          <xdr:cNvPr id="4" name="Text Box 211">
            <a:extLst>
              <a:ext uri="{FF2B5EF4-FFF2-40B4-BE49-F238E27FC236}">
                <a16:creationId xmlns:a16="http://schemas.microsoft.com/office/drawing/2014/main" id="{C7E4F003-A137-C5E5-EA39-A10C22C4BB04}"/>
              </a:ext>
            </a:extLst>
          </xdr:cNvPr>
          <xdr:cNvSpPr txBox="1">
            <a:spLocks noChangeArrowheads="1"/>
          </xdr:cNvSpPr>
        </xdr:nvSpPr>
        <xdr:spPr bwMode="auto">
          <a:xfrm>
            <a:off x="1300057" y="9156488"/>
            <a:ext cx="1285875" cy="4857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anchor="t" anchorCtr="0" upright="1">
            <a:noAutofit/>
          </a:bodyPr>
          <a:lstStyle/>
          <a:p>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PM-ZERT ist die Zertifizierungsstelle der </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GPM Deutsche Gesellschaft</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für Projektmanagement e. V.</a:t>
            </a:r>
            <a:endParaRPr lang="en-GB" sz="1000">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pic>
        <xdr:nvPicPr>
          <xdr:cNvPr id="5" name="Bild 212">
            <a:extLst>
              <a:ext uri="{FF2B5EF4-FFF2-40B4-BE49-F238E27FC236}">
                <a16:creationId xmlns:a16="http://schemas.microsoft.com/office/drawing/2014/main" id="{605A6B6B-D5D6-FBC3-8E6D-9234713EBA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bwMode="auto">
          <a:xfrm>
            <a:off x="2456392" y="9154583"/>
            <a:ext cx="556260" cy="470535"/>
          </a:xfrm>
          <a:prstGeom prst="rect">
            <a:avLst/>
          </a:prstGeom>
          <a:noFill/>
          <a:ln>
            <a:noFill/>
          </a:ln>
        </xdr:spPr>
      </xdr:pic>
    </xdr:grp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30647</xdr:colOff>
      <xdr:row>43</xdr:row>
      <xdr:rowOff>48454</xdr:rowOff>
    </xdr:from>
    <xdr:to>
      <xdr:col>2</xdr:col>
      <xdr:colOff>2692208</xdr:colOff>
      <xdr:row>45</xdr:row>
      <xdr:rowOff>155134</xdr:rowOff>
    </xdr:to>
    <xdr:grpSp>
      <xdr:nvGrpSpPr>
        <xdr:cNvPr id="2" name="Group 1">
          <a:extLst>
            <a:ext uri="{FF2B5EF4-FFF2-40B4-BE49-F238E27FC236}">
              <a16:creationId xmlns:a16="http://schemas.microsoft.com/office/drawing/2014/main" id="{5DEF0E32-94D5-4972-BB36-2072AA696206}"/>
            </a:ext>
          </a:extLst>
        </xdr:cNvPr>
        <xdr:cNvGrpSpPr>
          <a:grpSpLocks/>
        </xdr:cNvGrpSpPr>
      </xdr:nvGrpSpPr>
      <xdr:grpSpPr>
        <a:xfrm>
          <a:off x="697397" y="12129329"/>
          <a:ext cx="3534686" cy="487680"/>
          <a:chOff x="624417" y="9154583"/>
          <a:chExt cx="2388235" cy="487680"/>
        </a:xfrm>
      </xdr:grpSpPr>
      <xdr:pic>
        <xdr:nvPicPr>
          <xdr:cNvPr id="3" name="Bild 210">
            <a:extLst>
              <a:ext uri="{FF2B5EF4-FFF2-40B4-BE49-F238E27FC236}">
                <a16:creationId xmlns:a16="http://schemas.microsoft.com/office/drawing/2014/main" id="{4F24E22D-8206-4876-FDA0-1DBA87209C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624417" y="9263168"/>
            <a:ext cx="581350" cy="247650"/>
          </a:xfrm>
          <a:prstGeom prst="rect">
            <a:avLst/>
          </a:prstGeom>
          <a:noFill/>
          <a:ln>
            <a:noFill/>
          </a:ln>
        </xdr:spPr>
      </xdr:pic>
      <xdr:sp macro="" textlink="">
        <xdr:nvSpPr>
          <xdr:cNvPr id="4" name="Text Box 211">
            <a:extLst>
              <a:ext uri="{FF2B5EF4-FFF2-40B4-BE49-F238E27FC236}">
                <a16:creationId xmlns:a16="http://schemas.microsoft.com/office/drawing/2014/main" id="{5FDEDC7A-D375-2AAA-0E82-515B5FC8147A}"/>
              </a:ext>
            </a:extLst>
          </xdr:cNvPr>
          <xdr:cNvSpPr txBox="1">
            <a:spLocks noChangeArrowheads="1"/>
          </xdr:cNvSpPr>
        </xdr:nvSpPr>
        <xdr:spPr bwMode="auto">
          <a:xfrm>
            <a:off x="1300057" y="9156488"/>
            <a:ext cx="1285875" cy="4857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anchor="t" anchorCtr="0" upright="1">
            <a:noAutofit/>
          </a:bodyPr>
          <a:lstStyle/>
          <a:p>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PM-ZERT ist die Zertifizierungsstelle der </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GPM Deutsche Gesellschaft</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für Projektmanagement e. V.</a:t>
            </a:r>
            <a:endParaRPr lang="en-GB" sz="1000">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pic>
        <xdr:nvPicPr>
          <xdr:cNvPr id="5" name="Bild 212">
            <a:extLst>
              <a:ext uri="{FF2B5EF4-FFF2-40B4-BE49-F238E27FC236}">
                <a16:creationId xmlns:a16="http://schemas.microsoft.com/office/drawing/2014/main" id="{75733824-DC9F-1BD3-F12B-507E1B1F891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bwMode="auto">
          <a:xfrm>
            <a:off x="2456392" y="9154583"/>
            <a:ext cx="556260" cy="470535"/>
          </a:xfrm>
          <a:prstGeom prst="rect">
            <a:avLst/>
          </a:prstGeom>
          <a:noFill/>
          <a:ln>
            <a:noFill/>
          </a:ln>
        </xdr:spPr>
      </xdr:pic>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30647</xdr:colOff>
      <xdr:row>43</xdr:row>
      <xdr:rowOff>48454</xdr:rowOff>
    </xdr:from>
    <xdr:to>
      <xdr:col>2</xdr:col>
      <xdr:colOff>2692208</xdr:colOff>
      <xdr:row>45</xdr:row>
      <xdr:rowOff>155134</xdr:rowOff>
    </xdr:to>
    <xdr:grpSp>
      <xdr:nvGrpSpPr>
        <xdr:cNvPr id="2" name="Group 1">
          <a:extLst>
            <a:ext uri="{FF2B5EF4-FFF2-40B4-BE49-F238E27FC236}">
              <a16:creationId xmlns:a16="http://schemas.microsoft.com/office/drawing/2014/main" id="{76694370-BA8D-46DB-A8A7-5C236B0E91BD}"/>
            </a:ext>
          </a:extLst>
        </xdr:cNvPr>
        <xdr:cNvGrpSpPr>
          <a:grpSpLocks/>
        </xdr:cNvGrpSpPr>
      </xdr:nvGrpSpPr>
      <xdr:grpSpPr>
        <a:xfrm>
          <a:off x="697397" y="12129329"/>
          <a:ext cx="3534686" cy="487680"/>
          <a:chOff x="624417" y="9154583"/>
          <a:chExt cx="2388235" cy="487680"/>
        </a:xfrm>
      </xdr:grpSpPr>
      <xdr:pic>
        <xdr:nvPicPr>
          <xdr:cNvPr id="3" name="Bild 210">
            <a:extLst>
              <a:ext uri="{FF2B5EF4-FFF2-40B4-BE49-F238E27FC236}">
                <a16:creationId xmlns:a16="http://schemas.microsoft.com/office/drawing/2014/main" id="{07027C95-460C-3923-ED3B-BAEE076D6B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624417" y="9263168"/>
            <a:ext cx="581350" cy="247650"/>
          </a:xfrm>
          <a:prstGeom prst="rect">
            <a:avLst/>
          </a:prstGeom>
          <a:noFill/>
          <a:ln>
            <a:noFill/>
          </a:ln>
        </xdr:spPr>
      </xdr:pic>
      <xdr:sp macro="" textlink="">
        <xdr:nvSpPr>
          <xdr:cNvPr id="4" name="Text Box 211">
            <a:extLst>
              <a:ext uri="{FF2B5EF4-FFF2-40B4-BE49-F238E27FC236}">
                <a16:creationId xmlns:a16="http://schemas.microsoft.com/office/drawing/2014/main" id="{9FF3EFF9-861A-4410-94FB-FE1EBD1D577D}"/>
              </a:ext>
            </a:extLst>
          </xdr:cNvPr>
          <xdr:cNvSpPr txBox="1">
            <a:spLocks noChangeArrowheads="1"/>
          </xdr:cNvSpPr>
        </xdr:nvSpPr>
        <xdr:spPr bwMode="auto">
          <a:xfrm>
            <a:off x="1300057" y="9156488"/>
            <a:ext cx="1285875" cy="4857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anchor="t" anchorCtr="0" upright="1">
            <a:noAutofit/>
          </a:bodyPr>
          <a:lstStyle/>
          <a:p>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PM-ZERT ist die Zertifizierungsstelle der </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GPM Deutsche Gesellschaft</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für Projektmanagement e. V.</a:t>
            </a:r>
            <a:endParaRPr lang="en-GB" sz="1000">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pic>
        <xdr:nvPicPr>
          <xdr:cNvPr id="5" name="Bild 212">
            <a:extLst>
              <a:ext uri="{FF2B5EF4-FFF2-40B4-BE49-F238E27FC236}">
                <a16:creationId xmlns:a16="http://schemas.microsoft.com/office/drawing/2014/main" id="{083DCE1E-E857-D4DD-8E85-451A7C4BB34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bwMode="auto">
          <a:xfrm>
            <a:off x="2456392" y="9154583"/>
            <a:ext cx="556260" cy="470535"/>
          </a:xfrm>
          <a:prstGeom prst="rect">
            <a:avLst/>
          </a:prstGeom>
          <a:noFill/>
          <a:ln>
            <a:no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172745</xdr:colOff>
      <xdr:row>0</xdr:row>
      <xdr:rowOff>235324</xdr:rowOff>
    </xdr:from>
    <xdr:to>
      <xdr:col>15</xdr:col>
      <xdr:colOff>393277</xdr:colOff>
      <xdr:row>0</xdr:row>
      <xdr:rowOff>749373</xdr:rowOff>
    </xdr:to>
    <xdr:pic>
      <xdr:nvPicPr>
        <xdr:cNvPr id="2" name="Bild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18183225" y="238125"/>
          <a:ext cx="1495425" cy="514350"/>
        </a:xfrm>
        <a:prstGeom prst="rect">
          <a:avLst/>
        </a:prstGeom>
        <a:noFill/>
        <a:ln>
          <a:noFill/>
        </a:ln>
      </xdr:spPr>
    </xdr:pic>
    <xdr:clientData/>
  </xdr:twoCellAnchor>
  <xdr:twoCellAnchor editAs="oneCell">
    <xdr:from>
      <xdr:col>4</xdr:col>
      <xdr:colOff>28573</xdr:colOff>
      <xdr:row>4</xdr:row>
      <xdr:rowOff>28574</xdr:rowOff>
    </xdr:from>
    <xdr:to>
      <xdr:col>4</xdr:col>
      <xdr:colOff>480060</xdr:colOff>
      <xdr:row>4</xdr:row>
      <xdr:rowOff>249873</xdr:rowOff>
    </xdr:to>
    <xdr:pic>
      <xdr:nvPicPr>
        <xdr:cNvPr id="5" name="Picture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bwMode="auto">
        <a:xfrm>
          <a:off x="4752975" y="1714500"/>
          <a:ext cx="447675"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30647</xdr:colOff>
      <xdr:row>43</xdr:row>
      <xdr:rowOff>48454</xdr:rowOff>
    </xdr:from>
    <xdr:to>
      <xdr:col>2</xdr:col>
      <xdr:colOff>2692208</xdr:colOff>
      <xdr:row>45</xdr:row>
      <xdr:rowOff>155134</xdr:rowOff>
    </xdr:to>
    <xdr:grpSp>
      <xdr:nvGrpSpPr>
        <xdr:cNvPr id="2" name="Group 1">
          <a:extLst>
            <a:ext uri="{FF2B5EF4-FFF2-40B4-BE49-F238E27FC236}">
              <a16:creationId xmlns:a16="http://schemas.microsoft.com/office/drawing/2014/main" id="{60C1169D-DB4E-4DD7-A550-2D9A7D6155BF}"/>
            </a:ext>
          </a:extLst>
        </xdr:cNvPr>
        <xdr:cNvGrpSpPr>
          <a:grpSpLocks/>
        </xdr:cNvGrpSpPr>
      </xdr:nvGrpSpPr>
      <xdr:grpSpPr>
        <a:xfrm>
          <a:off x="697397" y="12129329"/>
          <a:ext cx="3534686" cy="487680"/>
          <a:chOff x="624417" y="9154583"/>
          <a:chExt cx="2388235" cy="487680"/>
        </a:xfrm>
      </xdr:grpSpPr>
      <xdr:pic>
        <xdr:nvPicPr>
          <xdr:cNvPr id="3" name="Bild 210">
            <a:extLst>
              <a:ext uri="{FF2B5EF4-FFF2-40B4-BE49-F238E27FC236}">
                <a16:creationId xmlns:a16="http://schemas.microsoft.com/office/drawing/2014/main" id="{C4A166AB-852A-ACC8-8DCC-6A08857171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624417" y="9263168"/>
            <a:ext cx="581350" cy="247650"/>
          </a:xfrm>
          <a:prstGeom prst="rect">
            <a:avLst/>
          </a:prstGeom>
          <a:noFill/>
          <a:ln>
            <a:noFill/>
          </a:ln>
        </xdr:spPr>
      </xdr:pic>
      <xdr:sp macro="" textlink="">
        <xdr:nvSpPr>
          <xdr:cNvPr id="4" name="Text Box 211">
            <a:extLst>
              <a:ext uri="{FF2B5EF4-FFF2-40B4-BE49-F238E27FC236}">
                <a16:creationId xmlns:a16="http://schemas.microsoft.com/office/drawing/2014/main" id="{8F2A990C-8B0D-639E-E116-68F3C4DBF750}"/>
              </a:ext>
            </a:extLst>
          </xdr:cNvPr>
          <xdr:cNvSpPr txBox="1">
            <a:spLocks noChangeArrowheads="1"/>
          </xdr:cNvSpPr>
        </xdr:nvSpPr>
        <xdr:spPr bwMode="auto">
          <a:xfrm>
            <a:off x="1300057" y="9156488"/>
            <a:ext cx="1285875" cy="4857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anchor="t" anchorCtr="0" upright="1">
            <a:noAutofit/>
          </a:bodyPr>
          <a:lstStyle/>
          <a:p>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PM-ZERT ist die Zertifizierungsstelle der </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GPM Deutsche Gesellschaft</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für Projektmanagement e. V.</a:t>
            </a:r>
            <a:endParaRPr lang="en-GB" sz="1000">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pic>
        <xdr:nvPicPr>
          <xdr:cNvPr id="5" name="Bild 212">
            <a:extLst>
              <a:ext uri="{FF2B5EF4-FFF2-40B4-BE49-F238E27FC236}">
                <a16:creationId xmlns:a16="http://schemas.microsoft.com/office/drawing/2014/main" id="{75A77658-3BCF-6D9F-CF04-957F96D5797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bwMode="auto">
          <a:xfrm>
            <a:off x="2456392" y="9154583"/>
            <a:ext cx="556260" cy="470535"/>
          </a:xfrm>
          <a:prstGeom prst="rect">
            <a:avLst/>
          </a:prstGeom>
          <a:noFill/>
          <a:ln>
            <a:noFill/>
          </a:ln>
        </xdr:spPr>
      </xdr:pic>
    </xdr:grpSp>
    <xdr:clientData/>
  </xdr:twoCellAnchor>
</xdr:wsDr>
</file>

<file path=xl/drawings/drawing21.xml><?xml version="1.0" encoding="utf-8"?>
<xdr:wsDr xmlns:xdr="http://schemas.openxmlformats.org/drawingml/2006/spreadsheetDrawing" xmlns:a="http://schemas.openxmlformats.org/drawingml/2006/main">
  <xdr:twoCellAnchor editAs="oneCell">
    <xdr:from>
      <xdr:col>10</xdr:col>
      <xdr:colOff>130969</xdr:colOff>
      <xdr:row>1</xdr:row>
      <xdr:rowOff>23812</xdr:rowOff>
    </xdr:from>
    <xdr:to>
      <xdr:col>11</xdr:col>
      <xdr:colOff>383382</xdr:colOff>
      <xdr:row>5</xdr:row>
      <xdr:rowOff>0</xdr:rowOff>
    </xdr:to>
    <xdr:pic>
      <xdr:nvPicPr>
        <xdr:cNvPr id="3" name="Bild 1">
          <a:extLst>
            <a:ext uri="{FF2B5EF4-FFF2-40B4-BE49-F238E27FC236}">
              <a16:creationId xmlns:a16="http://schemas.microsoft.com/office/drawing/2014/main" id="{00000000-0008-0000-4C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11668125" y="285750"/>
          <a:ext cx="1095375" cy="781050"/>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723900</xdr:colOff>
      <xdr:row>0</xdr:row>
      <xdr:rowOff>85725</xdr:rowOff>
    </xdr:from>
    <xdr:to>
      <xdr:col>10</xdr:col>
      <xdr:colOff>933450</xdr:colOff>
      <xdr:row>0</xdr:row>
      <xdr:rowOff>85725</xdr:rowOff>
    </xdr:to>
    <xdr:sp macro="" textlink="">
      <xdr:nvSpPr>
        <xdr:cNvPr id="2" name="Line 17">
          <a:extLst>
            <a:ext uri="{FF2B5EF4-FFF2-40B4-BE49-F238E27FC236}">
              <a16:creationId xmlns:a16="http://schemas.microsoft.com/office/drawing/2014/main" id="{00000000-0008-0000-4D00-000002000000}"/>
            </a:ext>
          </a:extLst>
        </xdr:cNvPr>
        <xdr:cNvSpPr>
          <a:spLocks noChangeShapeType="1"/>
        </xdr:cNvSpPr>
      </xdr:nvSpPr>
      <xdr:spPr bwMode="auto">
        <a:xfrm>
          <a:off x="0" y="85725"/>
          <a:ext cx="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723900</xdr:colOff>
      <xdr:row>0</xdr:row>
      <xdr:rowOff>85725</xdr:rowOff>
    </xdr:from>
    <xdr:to>
      <xdr:col>10</xdr:col>
      <xdr:colOff>933450</xdr:colOff>
      <xdr:row>0</xdr:row>
      <xdr:rowOff>85725</xdr:rowOff>
    </xdr:to>
    <xdr:sp macro="" textlink="">
      <xdr:nvSpPr>
        <xdr:cNvPr id="3" name="Line 17">
          <a:extLst>
            <a:ext uri="{FF2B5EF4-FFF2-40B4-BE49-F238E27FC236}">
              <a16:creationId xmlns:a16="http://schemas.microsoft.com/office/drawing/2014/main" id="{00000000-0008-0000-4D00-000003000000}"/>
            </a:ext>
          </a:extLst>
        </xdr:cNvPr>
        <xdr:cNvSpPr>
          <a:spLocks noChangeShapeType="1"/>
        </xdr:cNvSpPr>
      </xdr:nvSpPr>
      <xdr:spPr bwMode="auto">
        <a:xfrm>
          <a:off x="0" y="85725"/>
          <a:ext cx="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723900</xdr:colOff>
      <xdr:row>0</xdr:row>
      <xdr:rowOff>85725</xdr:rowOff>
    </xdr:from>
    <xdr:to>
      <xdr:col>10</xdr:col>
      <xdr:colOff>933450</xdr:colOff>
      <xdr:row>0</xdr:row>
      <xdr:rowOff>85725</xdr:rowOff>
    </xdr:to>
    <xdr:sp macro="" textlink="">
      <xdr:nvSpPr>
        <xdr:cNvPr id="4" name="Line 17">
          <a:extLst>
            <a:ext uri="{FF2B5EF4-FFF2-40B4-BE49-F238E27FC236}">
              <a16:creationId xmlns:a16="http://schemas.microsoft.com/office/drawing/2014/main" id="{00000000-0008-0000-4D00-000004000000}"/>
            </a:ext>
          </a:extLst>
        </xdr:cNvPr>
        <xdr:cNvSpPr>
          <a:spLocks noChangeShapeType="1"/>
        </xdr:cNvSpPr>
      </xdr:nvSpPr>
      <xdr:spPr bwMode="auto">
        <a:xfrm>
          <a:off x="0" y="85725"/>
          <a:ext cx="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wsDr>
</file>

<file path=xl/drawings/drawing23.xml><?xml version="1.0" encoding="utf-8"?>
<xdr:wsDr xmlns:xdr="http://schemas.openxmlformats.org/drawingml/2006/spreadsheetDrawing" xmlns:a="http://schemas.openxmlformats.org/drawingml/2006/main">
  <xdr:twoCellAnchor>
    <xdr:from>
      <xdr:col>4</xdr:col>
      <xdr:colOff>542925</xdr:colOff>
      <xdr:row>5</xdr:row>
      <xdr:rowOff>19050</xdr:rowOff>
    </xdr:from>
    <xdr:to>
      <xdr:col>6</xdr:col>
      <xdr:colOff>571500</xdr:colOff>
      <xdr:row>6</xdr:row>
      <xdr:rowOff>19050</xdr:rowOff>
    </xdr:to>
    <xdr:grpSp>
      <xdr:nvGrpSpPr>
        <xdr:cNvPr id="6" name="Group 5">
          <a:extLst>
            <a:ext uri="{FF2B5EF4-FFF2-40B4-BE49-F238E27FC236}">
              <a16:creationId xmlns:a16="http://schemas.microsoft.com/office/drawing/2014/main" id="{00000000-0008-0000-5100-000006000000}"/>
            </a:ext>
          </a:extLst>
        </xdr:cNvPr>
        <xdr:cNvGrpSpPr>
          <a:grpSpLocks/>
        </xdr:cNvGrpSpPr>
      </xdr:nvGrpSpPr>
      <xdr:grpSpPr>
        <a:xfrm>
          <a:off x="5305425" y="1463675"/>
          <a:ext cx="1441450" cy="238125"/>
          <a:chOff x="4705350" y="1476375"/>
          <a:chExt cx="1257300" cy="238125"/>
        </a:xfrm>
      </xdr:grpSpPr>
      <xdr:cxnSp macro="">
        <xdr:nvCxnSpPr>
          <xdr:cNvPr id="4" name="Straight Arrow Connector 3">
            <a:extLst>
              <a:ext uri="{FF2B5EF4-FFF2-40B4-BE49-F238E27FC236}">
                <a16:creationId xmlns:a16="http://schemas.microsoft.com/office/drawing/2014/main" id="{00000000-0008-0000-5100-000004000000}"/>
              </a:ext>
            </a:extLst>
          </xdr:cNvPr>
          <xdr:cNvCxnSpPr/>
        </xdr:nvCxnSpPr>
        <xdr:spPr>
          <a:xfrm>
            <a:off x="4705350" y="1476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 name="Straight Arrow Connector 4">
            <a:extLst>
              <a:ext uri="{FF2B5EF4-FFF2-40B4-BE49-F238E27FC236}">
                <a16:creationId xmlns:a16="http://schemas.microsoft.com/office/drawing/2014/main" id="{00000000-0008-0000-5100-000005000000}"/>
              </a:ext>
            </a:extLst>
          </xdr:cNvPr>
          <xdr:cNvCxnSpPr/>
        </xdr:nvCxnSpPr>
        <xdr:spPr>
          <a:xfrm>
            <a:off x="5962650" y="1476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542925</xdr:colOff>
      <xdr:row>7</xdr:row>
      <xdr:rowOff>9524</xdr:rowOff>
    </xdr:from>
    <xdr:to>
      <xdr:col>6</xdr:col>
      <xdr:colOff>571500</xdr:colOff>
      <xdr:row>8</xdr:row>
      <xdr:rowOff>9524</xdr:rowOff>
    </xdr:to>
    <xdr:grpSp>
      <xdr:nvGrpSpPr>
        <xdr:cNvPr id="7" name="Group 6">
          <a:extLst>
            <a:ext uri="{FF2B5EF4-FFF2-40B4-BE49-F238E27FC236}">
              <a16:creationId xmlns:a16="http://schemas.microsoft.com/office/drawing/2014/main" id="{00000000-0008-0000-5100-000007000000}"/>
            </a:ext>
          </a:extLst>
        </xdr:cNvPr>
        <xdr:cNvGrpSpPr>
          <a:grpSpLocks/>
        </xdr:cNvGrpSpPr>
      </xdr:nvGrpSpPr>
      <xdr:grpSpPr>
        <a:xfrm>
          <a:off x="5305425" y="1914524"/>
          <a:ext cx="1441450" cy="127000"/>
          <a:chOff x="4705350" y="1476375"/>
          <a:chExt cx="1257300" cy="238125"/>
        </a:xfrm>
      </xdr:grpSpPr>
      <xdr:cxnSp macro="">
        <xdr:nvCxnSpPr>
          <xdr:cNvPr id="8" name="Straight Arrow Connector 7">
            <a:extLst>
              <a:ext uri="{FF2B5EF4-FFF2-40B4-BE49-F238E27FC236}">
                <a16:creationId xmlns:a16="http://schemas.microsoft.com/office/drawing/2014/main" id="{00000000-0008-0000-5100-000008000000}"/>
              </a:ext>
            </a:extLst>
          </xdr:cNvPr>
          <xdr:cNvCxnSpPr/>
        </xdr:nvCxnSpPr>
        <xdr:spPr>
          <a:xfrm>
            <a:off x="4705350" y="1476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9" name="Straight Arrow Connector 8">
            <a:extLst>
              <a:ext uri="{FF2B5EF4-FFF2-40B4-BE49-F238E27FC236}">
                <a16:creationId xmlns:a16="http://schemas.microsoft.com/office/drawing/2014/main" id="{00000000-0008-0000-5100-000009000000}"/>
              </a:ext>
            </a:extLst>
          </xdr:cNvPr>
          <xdr:cNvCxnSpPr/>
        </xdr:nvCxnSpPr>
        <xdr:spPr>
          <a:xfrm>
            <a:off x="5962650" y="1476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4.xml><?xml version="1.0" encoding="utf-8"?>
<xdr:wsDr xmlns:xdr="http://schemas.openxmlformats.org/drawingml/2006/spreadsheetDrawing" xmlns:a="http://schemas.openxmlformats.org/drawingml/2006/main">
  <xdr:twoCellAnchor>
    <xdr:from>
      <xdr:col>2</xdr:col>
      <xdr:colOff>1470660</xdr:colOff>
      <xdr:row>0</xdr:row>
      <xdr:rowOff>0</xdr:rowOff>
    </xdr:from>
    <xdr:to>
      <xdr:col>3</xdr:col>
      <xdr:colOff>198120</xdr:colOff>
      <xdr:row>4</xdr:row>
      <xdr:rowOff>53340</xdr:rowOff>
    </xdr:to>
    <xdr:pic>
      <xdr:nvPicPr>
        <xdr:cNvPr id="2" name="Bild 1">
          <a:extLst>
            <a:ext uri="{FF2B5EF4-FFF2-40B4-BE49-F238E27FC236}">
              <a16:creationId xmlns:a16="http://schemas.microsoft.com/office/drawing/2014/main" id="{00000000-0008-0000-5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5943600" y="0"/>
          <a:ext cx="112395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16</xdr:col>
      <xdr:colOff>25854</xdr:colOff>
      <xdr:row>7</xdr:row>
      <xdr:rowOff>47624</xdr:rowOff>
    </xdr:from>
    <xdr:to>
      <xdr:col>16</xdr:col>
      <xdr:colOff>4597854</xdr:colOff>
      <xdr:row>21</xdr:row>
      <xdr:rowOff>123824</xdr:rowOff>
    </xdr:to>
    <xdr:graphicFrame macro="">
      <xdr:nvGraphicFramePr>
        <xdr:cNvPr id="2" name="Diagramm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30647</xdr:colOff>
      <xdr:row>43</xdr:row>
      <xdr:rowOff>48454</xdr:rowOff>
    </xdr:from>
    <xdr:to>
      <xdr:col>2</xdr:col>
      <xdr:colOff>2692208</xdr:colOff>
      <xdr:row>45</xdr:row>
      <xdr:rowOff>155134</xdr:rowOff>
    </xdr:to>
    <xdr:grpSp>
      <xdr:nvGrpSpPr>
        <xdr:cNvPr id="2" name="Group 1">
          <a:extLst>
            <a:ext uri="{FF2B5EF4-FFF2-40B4-BE49-F238E27FC236}">
              <a16:creationId xmlns:a16="http://schemas.microsoft.com/office/drawing/2014/main" id="{00000000-0008-0000-0A00-000002000000}"/>
            </a:ext>
          </a:extLst>
        </xdr:cNvPr>
        <xdr:cNvGrpSpPr>
          <a:grpSpLocks/>
        </xdr:cNvGrpSpPr>
      </xdr:nvGrpSpPr>
      <xdr:grpSpPr>
        <a:xfrm>
          <a:off x="697397" y="12129329"/>
          <a:ext cx="3534686" cy="487680"/>
          <a:chOff x="624417" y="9154583"/>
          <a:chExt cx="2388235" cy="487680"/>
        </a:xfrm>
      </xdr:grpSpPr>
      <xdr:pic>
        <xdr:nvPicPr>
          <xdr:cNvPr id="3" name="Bild 210">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624417" y="9263168"/>
            <a:ext cx="581350" cy="247650"/>
          </a:xfrm>
          <a:prstGeom prst="rect">
            <a:avLst/>
          </a:prstGeom>
          <a:noFill/>
          <a:ln>
            <a:noFill/>
          </a:ln>
        </xdr:spPr>
      </xdr:pic>
      <xdr:sp macro="" textlink="">
        <xdr:nvSpPr>
          <xdr:cNvPr id="4" name="Text Box 211">
            <a:extLst>
              <a:ext uri="{FF2B5EF4-FFF2-40B4-BE49-F238E27FC236}">
                <a16:creationId xmlns:a16="http://schemas.microsoft.com/office/drawing/2014/main" id="{00000000-0008-0000-0A00-000004000000}"/>
              </a:ext>
            </a:extLst>
          </xdr:cNvPr>
          <xdr:cNvSpPr txBox="1">
            <a:spLocks noChangeArrowheads="1"/>
          </xdr:cNvSpPr>
        </xdr:nvSpPr>
        <xdr:spPr bwMode="auto">
          <a:xfrm>
            <a:off x="1300057" y="9156488"/>
            <a:ext cx="1285875" cy="4857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anchor="t" anchorCtr="0" upright="1">
            <a:noAutofit/>
          </a:bodyPr>
          <a:lstStyle/>
          <a:p>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PM-ZERT ist die Zertifizierungsstelle der </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GPM Deutsche Gesellschaft</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für Projektmanagement e. V.</a:t>
            </a:r>
            <a:endParaRPr lang="en-GB" sz="1000">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pic>
        <xdr:nvPicPr>
          <xdr:cNvPr id="5" name="Bild 212">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bwMode="auto">
          <a:xfrm>
            <a:off x="2456392" y="9154583"/>
            <a:ext cx="556260" cy="470535"/>
          </a:xfrm>
          <a:prstGeom prst="rect">
            <a:avLst/>
          </a:prstGeom>
          <a:noFill/>
          <a:ln>
            <a:noFill/>
          </a:ln>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30647</xdr:colOff>
      <xdr:row>43</xdr:row>
      <xdr:rowOff>48454</xdr:rowOff>
    </xdr:from>
    <xdr:to>
      <xdr:col>2</xdr:col>
      <xdr:colOff>2692208</xdr:colOff>
      <xdr:row>45</xdr:row>
      <xdr:rowOff>155134</xdr:rowOff>
    </xdr:to>
    <xdr:grpSp>
      <xdr:nvGrpSpPr>
        <xdr:cNvPr id="2" name="Group 1">
          <a:extLst>
            <a:ext uri="{FF2B5EF4-FFF2-40B4-BE49-F238E27FC236}">
              <a16:creationId xmlns:a16="http://schemas.microsoft.com/office/drawing/2014/main" id="{C40EDC22-4389-4942-B6D0-CCB1C8F98C7C}"/>
            </a:ext>
          </a:extLst>
        </xdr:cNvPr>
        <xdr:cNvGrpSpPr>
          <a:grpSpLocks/>
        </xdr:cNvGrpSpPr>
      </xdr:nvGrpSpPr>
      <xdr:grpSpPr>
        <a:xfrm>
          <a:off x="697397" y="12129329"/>
          <a:ext cx="3534686" cy="487680"/>
          <a:chOff x="624417" y="9154583"/>
          <a:chExt cx="2388235" cy="487680"/>
        </a:xfrm>
      </xdr:grpSpPr>
      <xdr:pic>
        <xdr:nvPicPr>
          <xdr:cNvPr id="3" name="Bild 210">
            <a:extLst>
              <a:ext uri="{FF2B5EF4-FFF2-40B4-BE49-F238E27FC236}">
                <a16:creationId xmlns:a16="http://schemas.microsoft.com/office/drawing/2014/main" id="{1218CB6F-96E8-9248-2991-D5004D8CCB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624417" y="9263168"/>
            <a:ext cx="581350" cy="247650"/>
          </a:xfrm>
          <a:prstGeom prst="rect">
            <a:avLst/>
          </a:prstGeom>
          <a:noFill/>
          <a:ln>
            <a:noFill/>
          </a:ln>
        </xdr:spPr>
      </xdr:pic>
      <xdr:sp macro="" textlink="">
        <xdr:nvSpPr>
          <xdr:cNvPr id="4" name="Text Box 211">
            <a:extLst>
              <a:ext uri="{FF2B5EF4-FFF2-40B4-BE49-F238E27FC236}">
                <a16:creationId xmlns:a16="http://schemas.microsoft.com/office/drawing/2014/main" id="{7F58F537-4EAD-839B-871C-44F83A71A9FB}"/>
              </a:ext>
            </a:extLst>
          </xdr:cNvPr>
          <xdr:cNvSpPr txBox="1">
            <a:spLocks noChangeArrowheads="1"/>
          </xdr:cNvSpPr>
        </xdr:nvSpPr>
        <xdr:spPr bwMode="auto">
          <a:xfrm>
            <a:off x="1300057" y="9156488"/>
            <a:ext cx="1285875" cy="4857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anchor="t" anchorCtr="0" upright="1">
            <a:noAutofit/>
          </a:bodyPr>
          <a:lstStyle/>
          <a:p>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PM-ZERT ist die Zertifizierungsstelle der </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GPM Deutsche Gesellschaft</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für Projektmanagement e. V.</a:t>
            </a:r>
            <a:endParaRPr lang="en-GB" sz="1000">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pic>
        <xdr:nvPicPr>
          <xdr:cNvPr id="5" name="Bild 212">
            <a:extLst>
              <a:ext uri="{FF2B5EF4-FFF2-40B4-BE49-F238E27FC236}">
                <a16:creationId xmlns:a16="http://schemas.microsoft.com/office/drawing/2014/main" id="{C2B3745B-836E-B5EE-A02C-5C9884E78A3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bwMode="auto">
          <a:xfrm>
            <a:off x="2456392" y="9154583"/>
            <a:ext cx="556260" cy="470535"/>
          </a:xfrm>
          <a:prstGeom prst="rect">
            <a:avLst/>
          </a:prstGeom>
          <a:noFill/>
          <a:ln>
            <a:noFill/>
          </a:ln>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30647</xdr:colOff>
      <xdr:row>43</xdr:row>
      <xdr:rowOff>48454</xdr:rowOff>
    </xdr:from>
    <xdr:to>
      <xdr:col>2</xdr:col>
      <xdr:colOff>2692208</xdr:colOff>
      <xdr:row>45</xdr:row>
      <xdr:rowOff>155134</xdr:rowOff>
    </xdr:to>
    <xdr:grpSp>
      <xdr:nvGrpSpPr>
        <xdr:cNvPr id="2" name="Group 1">
          <a:extLst>
            <a:ext uri="{FF2B5EF4-FFF2-40B4-BE49-F238E27FC236}">
              <a16:creationId xmlns:a16="http://schemas.microsoft.com/office/drawing/2014/main" id="{19E7EDDF-EB7C-4CF6-B3EF-475A2E0C2296}"/>
            </a:ext>
          </a:extLst>
        </xdr:cNvPr>
        <xdr:cNvGrpSpPr>
          <a:grpSpLocks/>
        </xdr:cNvGrpSpPr>
      </xdr:nvGrpSpPr>
      <xdr:grpSpPr>
        <a:xfrm>
          <a:off x="697397" y="12129329"/>
          <a:ext cx="3534686" cy="487680"/>
          <a:chOff x="624417" y="9154583"/>
          <a:chExt cx="2388235" cy="487680"/>
        </a:xfrm>
      </xdr:grpSpPr>
      <xdr:pic>
        <xdr:nvPicPr>
          <xdr:cNvPr id="3" name="Bild 210">
            <a:extLst>
              <a:ext uri="{FF2B5EF4-FFF2-40B4-BE49-F238E27FC236}">
                <a16:creationId xmlns:a16="http://schemas.microsoft.com/office/drawing/2014/main" id="{CE38AA5E-530A-86F6-3D84-53196CBE35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624417" y="9263168"/>
            <a:ext cx="581350" cy="247650"/>
          </a:xfrm>
          <a:prstGeom prst="rect">
            <a:avLst/>
          </a:prstGeom>
          <a:noFill/>
          <a:ln>
            <a:noFill/>
          </a:ln>
        </xdr:spPr>
      </xdr:pic>
      <xdr:sp macro="" textlink="">
        <xdr:nvSpPr>
          <xdr:cNvPr id="4" name="Text Box 211">
            <a:extLst>
              <a:ext uri="{FF2B5EF4-FFF2-40B4-BE49-F238E27FC236}">
                <a16:creationId xmlns:a16="http://schemas.microsoft.com/office/drawing/2014/main" id="{37E8F20A-2DFC-ABFF-5544-BAE5480E45EF}"/>
              </a:ext>
            </a:extLst>
          </xdr:cNvPr>
          <xdr:cNvSpPr txBox="1">
            <a:spLocks noChangeArrowheads="1"/>
          </xdr:cNvSpPr>
        </xdr:nvSpPr>
        <xdr:spPr bwMode="auto">
          <a:xfrm>
            <a:off x="1300057" y="9156488"/>
            <a:ext cx="1285875" cy="4857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anchor="t" anchorCtr="0" upright="1">
            <a:noAutofit/>
          </a:bodyPr>
          <a:lstStyle/>
          <a:p>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PM-ZERT ist die Zertifizierungsstelle der </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GPM Deutsche Gesellschaft</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für Projektmanagement e. V.</a:t>
            </a:r>
            <a:endParaRPr lang="en-GB" sz="1000">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pic>
        <xdr:nvPicPr>
          <xdr:cNvPr id="5" name="Bild 212">
            <a:extLst>
              <a:ext uri="{FF2B5EF4-FFF2-40B4-BE49-F238E27FC236}">
                <a16:creationId xmlns:a16="http://schemas.microsoft.com/office/drawing/2014/main" id="{D04E4BB4-2891-D4C4-0901-A5A3BB55136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bwMode="auto">
          <a:xfrm>
            <a:off x="2456392" y="9154583"/>
            <a:ext cx="556260" cy="470535"/>
          </a:xfrm>
          <a:prstGeom prst="rect">
            <a:avLst/>
          </a:prstGeom>
          <a:noFill/>
          <a:ln>
            <a:noFill/>
          </a:ln>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30647</xdr:colOff>
      <xdr:row>43</xdr:row>
      <xdr:rowOff>48454</xdr:rowOff>
    </xdr:from>
    <xdr:to>
      <xdr:col>2</xdr:col>
      <xdr:colOff>2692208</xdr:colOff>
      <xdr:row>45</xdr:row>
      <xdr:rowOff>155134</xdr:rowOff>
    </xdr:to>
    <xdr:grpSp>
      <xdr:nvGrpSpPr>
        <xdr:cNvPr id="2" name="Group 1">
          <a:extLst>
            <a:ext uri="{FF2B5EF4-FFF2-40B4-BE49-F238E27FC236}">
              <a16:creationId xmlns:a16="http://schemas.microsoft.com/office/drawing/2014/main" id="{05FC63A8-67CB-419E-A028-4C12B7D0CB36}"/>
            </a:ext>
          </a:extLst>
        </xdr:cNvPr>
        <xdr:cNvGrpSpPr>
          <a:grpSpLocks/>
        </xdr:cNvGrpSpPr>
      </xdr:nvGrpSpPr>
      <xdr:grpSpPr>
        <a:xfrm>
          <a:off x="697397" y="12129329"/>
          <a:ext cx="3534686" cy="487680"/>
          <a:chOff x="624417" y="9154583"/>
          <a:chExt cx="2388235" cy="487680"/>
        </a:xfrm>
      </xdr:grpSpPr>
      <xdr:pic>
        <xdr:nvPicPr>
          <xdr:cNvPr id="3" name="Bild 210">
            <a:extLst>
              <a:ext uri="{FF2B5EF4-FFF2-40B4-BE49-F238E27FC236}">
                <a16:creationId xmlns:a16="http://schemas.microsoft.com/office/drawing/2014/main" id="{D42D93DD-C4BD-3623-8A5A-D9EB225D88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624417" y="9263168"/>
            <a:ext cx="581350" cy="247650"/>
          </a:xfrm>
          <a:prstGeom prst="rect">
            <a:avLst/>
          </a:prstGeom>
          <a:noFill/>
          <a:ln>
            <a:noFill/>
          </a:ln>
        </xdr:spPr>
      </xdr:pic>
      <xdr:sp macro="" textlink="">
        <xdr:nvSpPr>
          <xdr:cNvPr id="4" name="Text Box 211">
            <a:extLst>
              <a:ext uri="{FF2B5EF4-FFF2-40B4-BE49-F238E27FC236}">
                <a16:creationId xmlns:a16="http://schemas.microsoft.com/office/drawing/2014/main" id="{334C46CD-C019-DFE7-7C1A-BA2A8FD20381}"/>
              </a:ext>
            </a:extLst>
          </xdr:cNvPr>
          <xdr:cNvSpPr txBox="1">
            <a:spLocks noChangeArrowheads="1"/>
          </xdr:cNvSpPr>
        </xdr:nvSpPr>
        <xdr:spPr bwMode="auto">
          <a:xfrm>
            <a:off x="1300057" y="9156488"/>
            <a:ext cx="1285875" cy="4857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anchor="t" anchorCtr="0" upright="1">
            <a:noAutofit/>
          </a:bodyPr>
          <a:lstStyle/>
          <a:p>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PM-ZERT ist die Zertifizierungsstelle der </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GPM Deutsche Gesellschaft</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für Projektmanagement e. V.</a:t>
            </a:r>
            <a:endParaRPr lang="en-GB" sz="1000">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pic>
        <xdr:nvPicPr>
          <xdr:cNvPr id="5" name="Bild 212">
            <a:extLst>
              <a:ext uri="{FF2B5EF4-FFF2-40B4-BE49-F238E27FC236}">
                <a16:creationId xmlns:a16="http://schemas.microsoft.com/office/drawing/2014/main" id="{5E9E3979-758D-2B7D-F982-D7FB691BC49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bwMode="auto">
          <a:xfrm>
            <a:off x="2456392" y="9154583"/>
            <a:ext cx="556260" cy="470535"/>
          </a:xfrm>
          <a:prstGeom prst="rect">
            <a:avLst/>
          </a:prstGeom>
          <a:noFill/>
          <a:ln>
            <a:noFill/>
          </a:ln>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30647</xdr:colOff>
      <xdr:row>43</xdr:row>
      <xdr:rowOff>48454</xdr:rowOff>
    </xdr:from>
    <xdr:to>
      <xdr:col>2</xdr:col>
      <xdr:colOff>2692208</xdr:colOff>
      <xdr:row>45</xdr:row>
      <xdr:rowOff>155134</xdr:rowOff>
    </xdr:to>
    <xdr:grpSp>
      <xdr:nvGrpSpPr>
        <xdr:cNvPr id="2" name="Group 1">
          <a:extLst>
            <a:ext uri="{FF2B5EF4-FFF2-40B4-BE49-F238E27FC236}">
              <a16:creationId xmlns:a16="http://schemas.microsoft.com/office/drawing/2014/main" id="{E8975C7E-A472-409C-A4FF-30F27D47DC0C}"/>
            </a:ext>
          </a:extLst>
        </xdr:cNvPr>
        <xdr:cNvGrpSpPr>
          <a:grpSpLocks/>
        </xdr:cNvGrpSpPr>
      </xdr:nvGrpSpPr>
      <xdr:grpSpPr>
        <a:xfrm>
          <a:off x="697397" y="12129329"/>
          <a:ext cx="3534686" cy="487680"/>
          <a:chOff x="624417" y="9154583"/>
          <a:chExt cx="2388235" cy="487680"/>
        </a:xfrm>
      </xdr:grpSpPr>
      <xdr:pic>
        <xdr:nvPicPr>
          <xdr:cNvPr id="3" name="Bild 210">
            <a:extLst>
              <a:ext uri="{FF2B5EF4-FFF2-40B4-BE49-F238E27FC236}">
                <a16:creationId xmlns:a16="http://schemas.microsoft.com/office/drawing/2014/main" id="{D8F4118C-99E5-D8B5-BDD2-9492FA7F26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624417" y="9263168"/>
            <a:ext cx="581350" cy="247650"/>
          </a:xfrm>
          <a:prstGeom prst="rect">
            <a:avLst/>
          </a:prstGeom>
          <a:noFill/>
          <a:ln>
            <a:noFill/>
          </a:ln>
        </xdr:spPr>
      </xdr:pic>
      <xdr:sp macro="" textlink="">
        <xdr:nvSpPr>
          <xdr:cNvPr id="4" name="Text Box 211">
            <a:extLst>
              <a:ext uri="{FF2B5EF4-FFF2-40B4-BE49-F238E27FC236}">
                <a16:creationId xmlns:a16="http://schemas.microsoft.com/office/drawing/2014/main" id="{A15C7781-94BB-ABE8-5AB4-1E5B40A80019}"/>
              </a:ext>
            </a:extLst>
          </xdr:cNvPr>
          <xdr:cNvSpPr txBox="1">
            <a:spLocks noChangeArrowheads="1"/>
          </xdr:cNvSpPr>
        </xdr:nvSpPr>
        <xdr:spPr bwMode="auto">
          <a:xfrm>
            <a:off x="1300057" y="9156488"/>
            <a:ext cx="1285875" cy="4857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anchor="t" anchorCtr="0" upright="1">
            <a:noAutofit/>
          </a:bodyPr>
          <a:lstStyle/>
          <a:p>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PM-ZERT ist die Zertifizierungsstelle der </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GPM Deutsche Gesellschaft</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für Projektmanagement e. V.</a:t>
            </a:r>
            <a:endParaRPr lang="en-GB" sz="1000">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pic>
        <xdr:nvPicPr>
          <xdr:cNvPr id="5" name="Bild 212">
            <a:extLst>
              <a:ext uri="{FF2B5EF4-FFF2-40B4-BE49-F238E27FC236}">
                <a16:creationId xmlns:a16="http://schemas.microsoft.com/office/drawing/2014/main" id="{F486A6B5-6215-53CF-9EF2-90084876C58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bwMode="auto">
          <a:xfrm>
            <a:off x="2456392" y="9154583"/>
            <a:ext cx="556260" cy="470535"/>
          </a:xfrm>
          <a:prstGeom prst="rect">
            <a:avLst/>
          </a:prstGeom>
          <a:noFill/>
          <a:ln>
            <a:noFill/>
          </a:ln>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30647</xdr:colOff>
      <xdr:row>43</xdr:row>
      <xdr:rowOff>48454</xdr:rowOff>
    </xdr:from>
    <xdr:to>
      <xdr:col>2</xdr:col>
      <xdr:colOff>2692208</xdr:colOff>
      <xdr:row>45</xdr:row>
      <xdr:rowOff>155134</xdr:rowOff>
    </xdr:to>
    <xdr:grpSp>
      <xdr:nvGrpSpPr>
        <xdr:cNvPr id="2" name="Group 1">
          <a:extLst>
            <a:ext uri="{FF2B5EF4-FFF2-40B4-BE49-F238E27FC236}">
              <a16:creationId xmlns:a16="http://schemas.microsoft.com/office/drawing/2014/main" id="{1380E92D-48FB-4287-AA30-EE4F9EBBCABE}"/>
            </a:ext>
          </a:extLst>
        </xdr:cNvPr>
        <xdr:cNvGrpSpPr>
          <a:grpSpLocks/>
        </xdr:cNvGrpSpPr>
      </xdr:nvGrpSpPr>
      <xdr:grpSpPr>
        <a:xfrm>
          <a:off x="697397" y="12129329"/>
          <a:ext cx="3534686" cy="487680"/>
          <a:chOff x="624417" y="9154583"/>
          <a:chExt cx="2388235" cy="487680"/>
        </a:xfrm>
      </xdr:grpSpPr>
      <xdr:pic>
        <xdr:nvPicPr>
          <xdr:cNvPr id="3" name="Bild 210">
            <a:extLst>
              <a:ext uri="{FF2B5EF4-FFF2-40B4-BE49-F238E27FC236}">
                <a16:creationId xmlns:a16="http://schemas.microsoft.com/office/drawing/2014/main" id="{E6EBF89D-E0EE-CB72-2369-6DAD461313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624417" y="9263168"/>
            <a:ext cx="581350" cy="247650"/>
          </a:xfrm>
          <a:prstGeom prst="rect">
            <a:avLst/>
          </a:prstGeom>
          <a:noFill/>
          <a:ln>
            <a:noFill/>
          </a:ln>
        </xdr:spPr>
      </xdr:pic>
      <xdr:sp macro="" textlink="">
        <xdr:nvSpPr>
          <xdr:cNvPr id="4" name="Text Box 211">
            <a:extLst>
              <a:ext uri="{FF2B5EF4-FFF2-40B4-BE49-F238E27FC236}">
                <a16:creationId xmlns:a16="http://schemas.microsoft.com/office/drawing/2014/main" id="{BB0A6462-1738-D900-5820-58EA8EDEB842}"/>
              </a:ext>
            </a:extLst>
          </xdr:cNvPr>
          <xdr:cNvSpPr txBox="1">
            <a:spLocks noChangeArrowheads="1"/>
          </xdr:cNvSpPr>
        </xdr:nvSpPr>
        <xdr:spPr bwMode="auto">
          <a:xfrm>
            <a:off x="1300057" y="9156488"/>
            <a:ext cx="1285875" cy="4857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anchor="t" anchorCtr="0" upright="1">
            <a:noAutofit/>
          </a:bodyPr>
          <a:lstStyle/>
          <a:p>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PM-ZERT ist die Zertifizierungsstelle der </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GPM Deutsche Gesellschaft</a:t>
            </a:r>
            <a:b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br>
            <a:r>
              <a:rPr lang="de-DE" sz="600">
                <a:solidFill>
                  <a:srgbClr val="333333"/>
                </a:solidFill>
                <a:effectLst/>
                <a:latin typeface="Arial" panose="020B0604020202020204" pitchFamily="34" charset="0"/>
                <a:ea typeface="Times New Roman" panose="02020603050405020304" pitchFamily="18" charset="0"/>
                <a:cs typeface="Arial" panose="020B0604020202020204" pitchFamily="34" charset="0"/>
              </a:rPr>
              <a:t>für Projektmanagement e. V.</a:t>
            </a:r>
            <a:endParaRPr lang="en-GB" sz="1000">
              <a:solidFill>
                <a:srgbClr val="000000"/>
              </a:solidFill>
              <a:effectLst/>
              <a:latin typeface="Arial" panose="020B0604020202020204" pitchFamily="34" charset="0"/>
              <a:ea typeface="Times New Roman" panose="02020603050405020304" pitchFamily="18" charset="0"/>
              <a:cs typeface="Times New Roman" panose="02020603050405020304" pitchFamily="18" charset="0"/>
            </a:endParaRPr>
          </a:p>
        </xdr:txBody>
      </xdr:sp>
      <xdr:pic>
        <xdr:nvPicPr>
          <xdr:cNvPr id="5" name="Bild 212">
            <a:extLst>
              <a:ext uri="{FF2B5EF4-FFF2-40B4-BE49-F238E27FC236}">
                <a16:creationId xmlns:a16="http://schemas.microsoft.com/office/drawing/2014/main" id="{80C24BF3-E326-0A82-1B5D-C3A1AF26B1D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bwMode="auto">
          <a:xfrm>
            <a:off x="2456392" y="9154583"/>
            <a:ext cx="556260" cy="470535"/>
          </a:xfrm>
          <a:prstGeom prst="rect">
            <a:avLst/>
          </a:prstGeom>
          <a:noFill/>
          <a:ln>
            <a:noFill/>
          </a:ln>
        </xdr:spPr>
      </xdr:pic>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0000000}" name="Conferences" displayName="Conferences" ref="C11:M30" headerRowCount="0" totalsRowShown="0" headerRowDxfId="999" dataDxfId="998">
  <tableColumns count="11">
    <tableColumn id="2" xr3:uid="{00000000-0010-0000-0000-000002000000}" name="Conference Name / Title" headerRowDxfId="997" dataDxfId="996"/>
    <tableColumn id="11" xr3:uid="{00000000-0010-0000-0000-00000B000000}" name="Organizer" headerRowDxfId="995" dataDxfId="994"/>
    <tableColumn id="3" xr3:uid="{00000000-0010-0000-0000-000003000000}" name="Location" headerRowDxfId="993" dataDxfId="992"/>
    <tableColumn id="5" xr3:uid="{00000000-0010-0000-0000-000005000000}" name="Start Date" headerRowDxfId="991" dataDxfId="990"/>
    <tableColumn id="6" xr3:uid="{00000000-0010-0000-0000-000006000000}" name="End Date" headerRowDxfId="989" dataDxfId="988"/>
    <tableColumn id="8" xr3:uid="{00000000-0010-0000-0000-000008000000}" name="Duration [hrs]" headerRowDxfId="987" dataDxfId="986"/>
    <tableColumn id="7" xr3:uid="{00000000-0010-0000-0000-000007000000}" name="Reference to ICB Elements" headerRowDxfId="985" dataDxfId="984"/>
    <tableColumn id="12" xr3:uid="{00000000-0010-0000-0000-00000C000000}" name="Column1" headerRowDxfId="983" dataDxfId="982"/>
    <tableColumn id="10" xr3:uid="{00000000-0010-0000-0000-00000A000000}" name="Proof / Certificate" headerRowDxfId="981" dataDxfId="980"/>
    <tableColumn id="9" xr3:uid="{00000000-0010-0000-0000-000009000000}" name="Credited Duration [hrs]" headerRowDxfId="979" dataDxfId="978">
      <calculatedColumnFormula>IF(Conferences[[#This Row],[Conference Name / Title]]="","",Checks!Q11)</calculatedColumnFormula>
    </tableColumn>
    <tableColumn id="1" xr3:uid="{00000000-0010-0000-0000-000001000000}" name="Notices" headerRowDxfId="977" dataDxfId="976">
      <calculatedColumnFormula>Checks!R11</calculatedColumnFormula>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9000000}" name="Tabelle1" displayName="Tabelle1" ref="C8:N25" totalsRowShown="0" headerRowDxfId="788" dataDxfId="787">
  <autoFilter ref="C8:N25" xr:uid="{00000000-0009-0000-0100-000001000000}"/>
  <tableColumns count="12">
    <tableColumn id="1" xr3:uid="{00000000-0010-0000-0900-000001000000}" name="Project Name" dataDxfId="786"/>
    <tableColumn id="7" xr3:uid="{00000000-0010-0000-0900-000007000000}" name="PM Category" dataDxfId="785"/>
    <tableColumn id="2" xr3:uid="{00000000-0010-0000-0900-000002000000}" name="Start Date" dataDxfId="784"/>
    <tableColumn id="3" xr3:uid="{00000000-0010-0000-0900-000003000000}" name="End Date" dataDxfId="783"/>
    <tableColumn id="4" xr3:uid="{00000000-0010-0000-0900-000004000000}" name="Duration [months]" dataDxfId="782">
      <calculatedColumnFormula>IF(C9="","",IF(Tabelle1[[#This Row],[End Date]]&lt;COV!$E$12,0,IF(COV!E$12="","",IF(Tabelle1[[#This Row],[End Date]]-Tabelle1[[#This Row],[Start Date]]&gt;0,IF(F9&lt;COV!E$11,(F9-IF(E9&lt;COV!E$12,COV!E$12,Tabelle1[[#This Row],[Start Date]])),(COV!E$11-IF(E9&lt;COV!E$12,COV!E$12,Tabelle1[[#This Row],[Start Date]])))/365*12,""))))</calculatedColumnFormula>
    </tableColumn>
    <tableColumn id="9" xr3:uid="{00000000-0010-0000-0900-000009000000}" name="Role" dataDxfId="781"/>
    <tableColumn id="5" xr3:uid="{00000000-0010-0000-0900-000005000000}" name="Avg. time spent in resp. Role" dataDxfId="780"/>
    <tableColumn id="13" xr3:uid="{00000000-0010-0000-0900-00000D000000}" name="ESR Indicator" dataDxfId="779"/>
    <tableColumn id="8" xr3:uid="{00000000-0010-0000-0900-000008000000}" name="PL required" dataDxfId="778" dataCellStyle="Percent">
      <calculatedColumnFormula>IF(Tabelle1[[#This Row],[Project Name]]="","",IF(OR(Tabelle1[[#This Row],[PM Category]]=CAT_A_NAME,Tabelle1[[#This Row],[PM Category]]=CAT_B_NAME,Tabelle1[[#This Row],[PM Category]]=CAT_C_NAME,Tabelle1[[#This Row],[PM Category]]=CAT_D_NAME,Tabelle1[[#This Row],[PM Category]]=CAT_E_NAME,Tabelle1[[#This Row],[PM Category]]=CAT_SPJ,Tabelle1[[#This Row],[PM Category]]=CAT_PJ,Tabelle1[[#This Row],[PM Category]]=""),"","1"))</calculatedColumnFormula>
    </tableColumn>
    <tableColumn id="10" xr3:uid="{00000000-0010-0000-0900-00000A000000}" name="Role Check" dataDxfId="777">
      <calculatedColumnFormula>IF(Tabelle1[[#This Row],[Role]]="PJM",1)+IF(Tabelle1[[#This Row],[Role]]="PGM",1)+IF(Tabelle1[[#This Row],[Role]]="PFM",1)+IF(Tabelle1[[#This Row],[Role]]="TPM",1)+IF(Tabelle1[[#This Row],[Role]]="CPM",1)</calculatedColumnFormula>
    </tableColumn>
    <tableColumn id="6" xr3:uid="{00000000-0010-0000-0900-000006000000}" name="Duration [months]2" dataDxfId="776">
      <calculatedColumnFormula>IFERROR(IF(Tabelle1[[#This Row],[Project Name]]&lt;&gt;"",IF(G9*I9&gt;0,G9,""),"")*Tabelle1[[#This Row],[Role Check]],"")</calculatedColumnFormula>
    </tableColumn>
    <tableColumn id="12" xr3:uid="{00000000-0010-0000-0900-00000C000000}" name="weighted Duration [months]" dataDxfId="775">
      <calculatedColumnFormula>IFERROR(Tabelle1[[#This Row],[Duration '[months']]]*Tabelle1[[#This Row],[Avg. time spent in resp. Role]],"")</calculatedColumnFormula>
    </tableColumn>
  </tableColumns>
  <tableStyleInfo name="TableStyleMedium7"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A000000}" name="Table3" displayName="Table3" ref="B9:M39" totalsRowShown="0" headerRowDxfId="774" dataDxfId="772" headerRowBorderDxfId="773" tableBorderDxfId="771" totalsRowBorderDxfId="770">
  <autoFilter ref="B9:M39" xr:uid="{00000000-0009-0000-0100-000003000000}"/>
  <tableColumns count="12">
    <tableColumn id="1" xr3:uid="{00000000-0010-0000-0A00-000001000000}" name="Column1" dataDxfId="769"/>
    <tableColumn id="2" xr3:uid="{00000000-0010-0000-0A00-000002000000}" name="Column2" dataDxfId="768"/>
    <tableColumn id="12" xr3:uid="{00000000-0010-0000-0A00-00000C000000}" name="Column22" dataDxfId="767"/>
    <tableColumn id="3" xr3:uid="{00000000-0010-0000-0A00-000003000000}" name="Column3" dataDxfId="766"/>
    <tableColumn id="4" xr3:uid="{00000000-0010-0000-0A00-000004000000}" name="Column4" dataDxfId="765"/>
    <tableColumn id="5" xr3:uid="{00000000-0010-0000-0A00-000005000000}" name="Column5" dataDxfId="764"/>
    <tableColumn id="6" xr3:uid="{00000000-0010-0000-0A00-000006000000}" name="Column6" dataDxfId="763"/>
    <tableColumn id="7" xr3:uid="{00000000-0010-0000-0A00-000007000000}" name="Column7" dataDxfId="762"/>
    <tableColumn id="8" xr3:uid="{00000000-0010-0000-0A00-000008000000}" name="Column8" dataDxfId="761"/>
    <tableColumn id="9" xr3:uid="{00000000-0010-0000-0A00-000009000000}" name="Column9" dataDxfId="760"/>
    <tableColumn id="10" xr3:uid="{00000000-0010-0000-0A00-00000A000000}" name="Column10" dataDxfId="759"/>
    <tableColumn id="11" xr3:uid="{00000000-0010-0000-0A00-00000B000000}" name="Column11" dataDxfId="758"/>
  </tableColumns>
  <tableStyleInfo name="TableStyleLight2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B000000}" name="Table33" displayName="Table33" ref="B9:M39" totalsRowShown="0" headerRowDxfId="757" dataDxfId="755" headerRowBorderDxfId="756" tableBorderDxfId="754" totalsRowBorderDxfId="753">
  <autoFilter ref="B9:M39" xr:uid="{00000000-0009-0000-0100-000002000000}"/>
  <tableColumns count="12">
    <tableColumn id="1" xr3:uid="{00000000-0010-0000-0B00-000001000000}" name="Column1" dataDxfId="752"/>
    <tableColumn id="2" xr3:uid="{00000000-0010-0000-0B00-000002000000}" name="Column2" dataDxfId="751"/>
    <tableColumn id="12" xr3:uid="{00000000-0010-0000-0B00-00000C000000}" name="Column22" dataDxfId="750"/>
    <tableColumn id="3" xr3:uid="{00000000-0010-0000-0B00-000003000000}" name="Column3" dataDxfId="749"/>
    <tableColumn id="4" xr3:uid="{00000000-0010-0000-0B00-000004000000}" name="Column4" dataDxfId="748"/>
    <tableColumn id="5" xr3:uid="{00000000-0010-0000-0B00-000005000000}" name="Column5" dataDxfId="747"/>
    <tableColumn id="6" xr3:uid="{00000000-0010-0000-0B00-000006000000}" name="Column6" dataDxfId="746"/>
    <tableColumn id="7" xr3:uid="{00000000-0010-0000-0B00-000007000000}" name="Column7" dataDxfId="745"/>
    <tableColumn id="8" xr3:uid="{00000000-0010-0000-0B00-000008000000}" name="Column8" dataDxfId="744"/>
    <tableColumn id="9" xr3:uid="{00000000-0010-0000-0B00-000009000000}" name="Column9" dataDxfId="743"/>
    <tableColumn id="10" xr3:uid="{00000000-0010-0000-0B00-00000A000000}" name="Column10" dataDxfId="742"/>
    <tableColumn id="11" xr3:uid="{00000000-0010-0000-0B00-00000B000000}" name="Column11" dataDxfId="741"/>
  </tableColumns>
  <tableStyleInfo name="TableStyleLight2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C000000}" name="Table35" displayName="Table35" ref="B9:M39" totalsRowShown="0" headerRowDxfId="740" dataDxfId="738" headerRowBorderDxfId="739" tableBorderDxfId="737" totalsRowBorderDxfId="736">
  <autoFilter ref="B9:M39" xr:uid="{00000000-0009-0000-0100-000004000000}"/>
  <tableColumns count="12">
    <tableColumn id="1" xr3:uid="{00000000-0010-0000-0C00-000001000000}" name="Column1" dataDxfId="735"/>
    <tableColumn id="2" xr3:uid="{00000000-0010-0000-0C00-000002000000}" name="Column2" dataDxfId="734"/>
    <tableColumn id="12" xr3:uid="{00000000-0010-0000-0C00-00000C000000}" name="Column22" dataDxfId="733"/>
    <tableColumn id="3" xr3:uid="{00000000-0010-0000-0C00-000003000000}" name="Column3" dataDxfId="732"/>
    <tableColumn id="4" xr3:uid="{00000000-0010-0000-0C00-000004000000}" name="Column4" dataDxfId="731"/>
    <tableColumn id="5" xr3:uid="{00000000-0010-0000-0C00-000005000000}" name="Column5" dataDxfId="730"/>
    <tableColumn id="6" xr3:uid="{00000000-0010-0000-0C00-000006000000}" name="Column6" dataDxfId="729"/>
    <tableColumn id="7" xr3:uid="{00000000-0010-0000-0C00-000007000000}" name="Column7" dataDxfId="728"/>
    <tableColumn id="8" xr3:uid="{00000000-0010-0000-0C00-000008000000}" name="Column8" dataDxfId="727"/>
    <tableColumn id="9" xr3:uid="{00000000-0010-0000-0C00-000009000000}" name="Column9" dataDxfId="726"/>
    <tableColumn id="10" xr3:uid="{00000000-0010-0000-0C00-00000A000000}" name="Column10" dataDxfId="725"/>
    <tableColumn id="11" xr3:uid="{00000000-0010-0000-0C00-00000B000000}" name="Column11" dataDxfId="724"/>
  </tableColumns>
  <tableStyleInfo name="TableStyleLight2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D000000}" name="Table36" displayName="Table36" ref="B9:M39" totalsRowShown="0" headerRowDxfId="723" dataDxfId="721" headerRowBorderDxfId="722" tableBorderDxfId="720" totalsRowBorderDxfId="719">
  <autoFilter ref="B9:M39" xr:uid="{00000000-0009-0000-0100-000005000000}"/>
  <tableColumns count="12">
    <tableColumn id="1" xr3:uid="{00000000-0010-0000-0D00-000001000000}" name="Column1" dataDxfId="718"/>
    <tableColumn id="2" xr3:uid="{00000000-0010-0000-0D00-000002000000}" name="Column2" dataDxfId="717"/>
    <tableColumn id="12" xr3:uid="{00000000-0010-0000-0D00-00000C000000}" name="Column22" dataDxfId="716"/>
    <tableColumn id="3" xr3:uid="{00000000-0010-0000-0D00-000003000000}" name="Column3" dataDxfId="715"/>
    <tableColumn id="4" xr3:uid="{00000000-0010-0000-0D00-000004000000}" name="Column4" dataDxfId="714"/>
    <tableColumn id="5" xr3:uid="{00000000-0010-0000-0D00-000005000000}" name="Column5" dataDxfId="713"/>
    <tableColumn id="6" xr3:uid="{00000000-0010-0000-0D00-000006000000}" name="Column6" dataDxfId="712"/>
    <tableColumn id="7" xr3:uid="{00000000-0010-0000-0D00-000007000000}" name="Column7" dataDxfId="711"/>
    <tableColumn id="8" xr3:uid="{00000000-0010-0000-0D00-000008000000}" name="Column8" dataDxfId="710"/>
    <tableColumn id="9" xr3:uid="{00000000-0010-0000-0D00-000009000000}" name="Column9" dataDxfId="709"/>
    <tableColumn id="10" xr3:uid="{00000000-0010-0000-0D00-00000A000000}" name="Column10" dataDxfId="708"/>
    <tableColumn id="11" xr3:uid="{00000000-0010-0000-0D00-00000B000000}" name="Column11" dataDxfId="707"/>
  </tableColumns>
  <tableStyleInfo name="TableStyleLight2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E000000}" name="Table37" displayName="Table37" ref="B9:M39" totalsRowShown="0" headerRowDxfId="706" dataDxfId="704" headerRowBorderDxfId="705" tableBorderDxfId="703" totalsRowBorderDxfId="702">
  <autoFilter ref="B9:M39" xr:uid="{00000000-0009-0000-0100-000006000000}"/>
  <tableColumns count="12">
    <tableColumn id="1" xr3:uid="{00000000-0010-0000-0E00-000001000000}" name="Column1" dataDxfId="701"/>
    <tableColumn id="2" xr3:uid="{00000000-0010-0000-0E00-000002000000}" name="Column2" dataDxfId="700"/>
    <tableColumn id="12" xr3:uid="{00000000-0010-0000-0E00-00000C000000}" name="Column22" dataDxfId="699"/>
    <tableColumn id="3" xr3:uid="{00000000-0010-0000-0E00-000003000000}" name="Column3" dataDxfId="698"/>
    <tableColumn id="4" xr3:uid="{00000000-0010-0000-0E00-000004000000}" name="Column4" dataDxfId="697"/>
    <tableColumn id="5" xr3:uid="{00000000-0010-0000-0E00-000005000000}" name="Column5" dataDxfId="696"/>
    <tableColumn id="6" xr3:uid="{00000000-0010-0000-0E00-000006000000}" name="Column6" dataDxfId="695"/>
    <tableColumn id="7" xr3:uid="{00000000-0010-0000-0E00-000007000000}" name="Column7" dataDxfId="694"/>
    <tableColumn id="8" xr3:uid="{00000000-0010-0000-0E00-000008000000}" name="Column8" dataDxfId="693"/>
    <tableColumn id="9" xr3:uid="{00000000-0010-0000-0E00-000009000000}" name="Column9" dataDxfId="692"/>
    <tableColumn id="10" xr3:uid="{00000000-0010-0000-0E00-00000A000000}" name="Column10" dataDxfId="691"/>
    <tableColumn id="11" xr3:uid="{00000000-0010-0000-0E00-00000B000000}" name="Column11" dataDxfId="690"/>
  </tableColumns>
  <tableStyleInfo name="TableStyleLight2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F000000}" name="Table38" displayName="Table38" ref="B9:M39" totalsRowShown="0" headerRowDxfId="689" dataDxfId="687" headerRowBorderDxfId="688" tableBorderDxfId="686" totalsRowBorderDxfId="685">
  <autoFilter ref="B9:M39" xr:uid="{00000000-0009-0000-0100-000007000000}"/>
  <tableColumns count="12">
    <tableColumn id="1" xr3:uid="{00000000-0010-0000-0F00-000001000000}" name="Column1" dataDxfId="684"/>
    <tableColumn id="2" xr3:uid="{00000000-0010-0000-0F00-000002000000}" name="Column2" dataDxfId="683"/>
    <tableColumn id="12" xr3:uid="{00000000-0010-0000-0F00-00000C000000}" name="Column22" dataDxfId="682"/>
    <tableColumn id="3" xr3:uid="{00000000-0010-0000-0F00-000003000000}" name="Column3" dataDxfId="681"/>
    <tableColumn id="4" xr3:uid="{00000000-0010-0000-0F00-000004000000}" name="Column4" dataDxfId="680"/>
    <tableColumn id="5" xr3:uid="{00000000-0010-0000-0F00-000005000000}" name="Column5" dataDxfId="679"/>
    <tableColumn id="6" xr3:uid="{00000000-0010-0000-0F00-000006000000}" name="Column6" dataDxfId="678"/>
    <tableColumn id="7" xr3:uid="{00000000-0010-0000-0F00-000007000000}" name="Column7" dataDxfId="677"/>
    <tableColumn id="8" xr3:uid="{00000000-0010-0000-0F00-000008000000}" name="Column8" dataDxfId="676"/>
    <tableColumn id="9" xr3:uid="{00000000-0010-0000-0F00-000009000000}" name="Column9" dataDxfId="675"/>
    <tableColumn id="10" xr3:uid="{00000000-0010-0000-0F00-00000A000000}" name="Column10" dataDxfId="674"/>
    <tableColumn id="11" xr3:uid="{00000000-0010-0000-0F00-00000B000000}" name="Column11" dataDxfId="673"/>
  </tableColumns>
  <tableStyleInfo name="TableStyleLight2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0000000}" name="Table314" displayName="Table314" ref="B9:M39" totalsRowShown="0" headerRowDxfId="672" dataDxfId="670" headerRowBorderDxfId="671" tableBorderDxfId="669" totalsRowBorderDxfId="668">
  <autoFilter ref="B9:M39" xr:uid="{00000000-0009-0000-0100-00000D000000}"/>
  <tableColumns count="12">
    <tableColumn id="1" xr3:uid="{00000000-0010-0000-1000-000001000000}" name="Column1" dataDxfId="667"/>
    <tableColumn id="2" xr3:uid="{00000000-0010-0000-1000-000002000000}" name="Column2" dataDxfId="666"/>
    <tableColumn id="12" xr3:uid="{00000000-0010-0000-1000-00000C000000}" name="Column22" dataDxfId="665"/>
    <tableColumn id="3" xr3:uid="{00000000-0010-0000-1000-000003000000}" name="Column3" dataDxfId="664"/>
    <tableColumn id="4" xr3:uid="{00000000-0010-0000-1000-000004000000}" name="Column4" dataDxfId="663"/>
    <tableColumn id="5" xr3:uid="{00000000-0010-0000-1000-000005000000}" name="Column5" dataDxfId="662"/>
    <tableColumn id="6" xr3:uid="{00000000-0010-0000-1000-000006000000}" name="Column6" dataDxfId="661"/>
    <tableColumn id="7" xr3:uid="{00000000-0010-0000-1000-000007000000}" name="Column7" dataDxfId="660"/>
    <tableColumn id="8" xr3:uid="{00000000-0010-0000-1000-000008000000}" name="Column8" dataDxfId="659"/>
    <tableColumn id="9" xr3:uid="{00000000-0010-0000-1000-000009000000}" name="Column9" dataDxfId="658"/>
    <tableColumn id="10" xr3:uid="{00000000-0010-0000-1000-00000A000000}" name="Column10" dataDxfId="657"/>
    <tableColumn id="11" xr3:uid="{00000000-0010-0000-1000-00000B000000}" name="Column11" dataDxfId="656"/>
  </tableColumns>
  <tableStyleInfo name="TableStyleLight2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Table319" displayName="Table319" ref="B9:M39" totalsRowShown="0" headerRowDxfId="655" dataDxfId="653" headerRowBorderDxfId="654" tableBorderDxfId="652" totalsRowBorderDxfId="651">
  <autoFilter ref="B9:M39" xr:uid="{00000000-0009-0000-0100-000012000000}"/>
  <tableColumns count="12">
    <tableColumn id="1" xr3:uid="{00000000-0010-0000-1100-000001000000}" name="Column1" dataDxfId="650"/>
    <tableColumn id="2" xr3:uid="{00000000-0010-0000-1100-000002000000}" name="Column2" dataDxfId="649"/>
    <tableColumn id="12" xr3:uid="{00000000-0010-0000-1100-00000C000000}" name="Column22" dataDxfId="648"/>
    <tableColumn id="3" xr3:uid="{00000000-0010-0000-1100-000003000000}" name="Column3" dataDxfId="647"/>
    <tableColumn id="4" xr3:uid="{00000000-0010-0000-1100-000004000000}" name="Column4" dataDxfId="646"/>
    <tableColumn id="5" xr3:uid="{00000000-0010-0000-1100-000005000000}" name="Column5" dataDxfId="645"/>
    <tableColumn id="6" xr3:uid="{00000000-0010-0000-1100-000006000000}" name="Column6" dataDxfId="644"/>
    <tableColumn id="7" xr3:uid="{00000000-0010-0000-1100-000007000000}" name="Column7" dataDxfId="643"/>
    <tableColumn id="8" xr3:uid="{00000000-0010-0000-1100-000008000000}" name="Column8" dataDxfId="642"/>
    <tableColumn id="9" xr3:uid="{00000000-0010-0000-1100-000009000000}" name="Column9" dataDxfId="641"/>
    <tableColumn id="10" xr3:uid="{00000000-0010-0000-1100-00000A000000}" name="Column10" dataDxfId="640"/>
    <tableColumn id="11" xr3:uid="{00000000-0010-0000-1100-00000B000000}" name="Column11" dataDxfId="639"/>
  </tableColumns>
  <tableStyleInfo name="TableStyleLight2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le320" displayName="Table320" ref="B9:M39" totalsRowShown="0" headerRowDxfId="638" dataDxfId="636" headerRowBorderDxfId="637" tableBorderDxfId="635" totalsRowBorderDxfId="634">
  <autoFilter ref="B9:M39" xr:uid="{00000000-0009-0000-0100-000013000000}"/>
  <tableColumns count="12">
    <tableColumn id="1" xr3:uid="{00000000-0010-0000-1200-000001000000}" name="Column1" dataDxfId="633"/>
    <tableColumn id="2" xr3:uid="{00000000-0010-0000-1200-000002000000}" name="Column2" dataDxfId="632"/>
    <tableColumn id="12" xr3:uid="{00000000-0010-0000-1200-00000C000000}" name="Column22" dataDxfId="631"/>
    <tableColumn id="3" xr3:uid="{00000000-0010-0000-1200-000003000000}" name="Column3" dataDxfId="630"/>
    <tableColumn id="4" xr3:uid="{00000000-0010-0000-1200-000004000000}" name="Column4" dataDxfId="629"/>
    <tableColumn id="5" xr3:uid="{00000000-0010-0000-1200-000005000000}" name="Column5" dataDxfId="628"/>
    <tableColumn id="6" xr3:uid="{00000000-0010-0000-1200-000006000000}" name="Column6" dataDxfId="627"/>
    <tableColumn id="7" xr3:uid="{00000000-0010-0000-1200-000007000000}" name="Column7" dataDxfId="626"/>
    <tableColumn id="8" xr3:uid="{00000000-0010-0000-1200-000008000000}" name="Column8" dataDxfId="625"/>
    <tableColumn id="9" xr3:uid="{00000000-0010-0000-1200-000009000000}" name="Column9" dataDxfId="624"/>
    <tableColumn id="10" xr3:uid="{00000000-0010-0000-1200-00000A000000}" name="Column10" dataDxfId="623"/>
    <tableColumn id="11" xr3:uid="{00000000-0010-0000-1200-00000B000000}" name="Column11" dataDxfId="622"/>
  </tableColumns>
  <tableStyleInfo name="TableStyleLight2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1000000}" name="Trainings" displayName="Trainings" ref="C34:M75" headerRowCount="0" totalsRowShown="0" headerRowDxfId="975" dataDxfId="974">
  <tableColumns count="11">
    <tableColumn id="1" xr3:uid="{00000000-0010-0000-0100-000001000000}" name="Training Name" headerRowDxfId="973" dataDxfId="972"/>
    <tableColumn id="2" xr3:uid="{00000000-0010-0000-0100-000002000000}" name="Organizer" headerRowDxfId="971" dataDxfId="970"/>
    <tableColumn id="3" xr3:uid="{00000000-0010-0000-0100-000003000000}" name="Location" headerRowDxfId="969" dataDxfId="968"/>
    <tableColumn id="4" xr3:uid="{00000000-0010-0000-0100-000004000000}" name="Start Date" headerRowDxfId="967" dataDxfId="966"/>
    <tableColumn id="5" xr3:uid="{00000000-0010-0000-0100-000005000000}" name="End Date" headerRowDxfId="965" dataDxfId="964"/>
    <tableColumn id="6" xr3:uid="{00000000-0010-0000-0100-000006000000}" name="Duration [hrs]" headerRowDxfId="963" dataDxfId="962"/>
    <tableColumn id="7" xr3:uid="{00000000-0010-0000-0100-000007000000}" name="Reference to ICB Elements" headerRowDxfId="961" dataDxfId="960"/>
    <tableColumn id="11" xr3:uid="{00000000-0010-0000-0100-00000B000000}" name="Column1" headerRowDxfId="959" dataDxfId="958"/>
    <tableColumn id="8" xr3:uid="{00000000-0010-0000-0100-000008000000}" name="Proof / Certificate" headerRowDxfId="957" dataDxfId="956"/>
    <tableColumn id="9" xr3:uid="{00000000-0010-0000-0100-000009000000}" name="Credited Duration [hrs]" headerRowDxfId="955" dataDxfId="954">
      <calculatedColumnFormula>IF(Trainings[[#This Row],[Duration '[hrs']]]*1&gt;0,Checks!Q34,"")</calculatedColumnFormula>
    </tableColumn>
    <tableColumn id="10" xr3:uid="{00000000-0010-0000-0100-00000A000000}" name="Notices" headerRowDxfId="953" dataDxfId="952">
      <calculatedColumnFormula>Checks!R34</calculatedColumnFormula>
    </tableColumn>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le321" displayName="Table321" ref="B9:M39" totalsRowShown="0" headerRowDxfId="621" dataDxfId="619" headerRowBorderDxfId="620" tableBorderDxfId="618" totalsRowBorderDxfId="617">
  <autoFilter ref="B9:M39" xr:uid="{00000000-0009-0000-0100-000014000000}"/>
  <tableColumns count="12">
    <tableColumn id="1" xr3:uid="{00000000-0010-0000-1300-000001000000}" name="Column1" dataDxfId="616"/>
    <tableColumn id="2" xr3:uid="{00000000-0010-0000-1300-000002000000}" name="Column2" dataDxfId="615"/>
    <tableColumn id="12" xr3:uid="{00000000-0010-0000-1300-00000C000000}" name="Column22" dataDxfId="614"/>
    <tableColumn id="3" xr3:uid="{00000000-0010-0000-1300-000003000000}" name="Column3" dataDxfId="613"/>
    <tableColumn id="4" xr3:uid="{00000000-0010-0000-1300-000004000000}" name="Column4" dataDxfId="612"/>
    <tableColumn id="5" xr3:uid="{00000000-0010-0000-1300-000005000000}" name="Column5" dataDxfId="611"/>
    <tableColumn id="6" xr3:uid="{00000000-0010-0000-1300-000006000000}" name="Column6" dataDxfId="610"/>
    <tableColumn id="7" xr3:uid="{00000000-0010-0000-1300-000007000000}" name="Column7" dataDxfId="609"/>
    <tableColumn id="8" xr3:uid="{00000000-0010-0000-1300-000008000000}" name="Column8" dataDxfId="608"/>
    <tableColumn id="9" xr3:uid="{00000000-0010-0000-1300-000009000000}" name="Column9" dataDxfId="607"/>
    <tableColumn id="10" xr3:uid="{00000000-0010-0000-1300-00000A000000}" name="Column10" dataDxfId="606"/>
    <tableColumn id="11" xr3:uid="{00000000-0010-0000-1300-00000B000000}" name="Column11" dataDxfId="605"/>
  </tableColumns>
  <tableStyleInfo name="TableStyleLight2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4000000}" name="Table322" displayName="Table322" ref="B9:M39" totalsRowShown="0" headerRowDxfId="604" dataDxfId="602" headerRowBorderDxfId="603" tableBorderDxfId="601" totalsRowBorderDxfId="600">
  <autoFilter ref="B9:M39" xr:uid="{00000000-0009-0000-0100-000015000000}"/>
  <tableColumns count="12">
    <tableColumn id="1" xr3:uid="{00000000-0010-0000-1400-000001000000}" name="Column1" dataDxfId="599"/>
    <tableColumn id="2" xr3:uid="{00000000-0010-0000-1400-000002000000}" name="Column2" dataDxfId="598"/>
    <tableColumn id="12" xr3:uid="{00000000-0010-0000-1400-00000C000000}" name="Column22" dataDxfId="597"/>
    <tableColumn id="3" xr3:uid="{00000000-0010-0000-1400-000003000000}" name="Column3" dataDxfId="596"/>
    <tableColumn id="4" xr3:uid="{00000000-0010-0000-1400-000004000000}" name="Column4" dataDxfId="595"/>
    <tableColumn id="5" xr3:uid="{00000000-0010-0000-1400-000005000000}" name="Column5" dataDxfId="594"/>
    <tableColumn id="6" xr3:uid="{00000000-0010-0000-1400-000006000000}" name="Column6" dataDxfId="593"/>
    <tableColumn id="7" xr3:uid="{00000000-0010-0000-1400-000007000000}" name="Column7" dataDxfId="592"/>
    <tableColumn id="8" xr3:uid="{00000000-0010-0000-1400-000008000000}" name="Column8" dataDxfId="591"/>
    <tableColumn id="9" xr3:uid="{00000000-0010-0000-1400-000009000000}" name="Column9" dataDxfId="590"/>
    <tableColumn id="10" xr3:uid="{00000000-0010-0000-1400-00000A000000}" name="Column10" dataDxfId="589"/>
    <tableColumn id="11" xr3:uid="{00000000-0010-0000-1400-00000B000000}" name="Column11" dataDxfId="588"/>
  </tableColumns>
  <tableStyleInfo name="TableStyleLight2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5000000}" name="Table323" displayName="Table323" ref="B9:M39" totalsRowShown="0" headerRowDxfId="587" dataDxfId="585" headerRowBorderDxfId="586" tableBorderDxfId="584" totalsRowBorderDxfId="583">
  <autoFilter ref="B9:M39" xr:uid="{00000000-0009-0000-0100-000016000000}"/>
  <tableColumns count="12">
    <tableColumn id="1" xr3:uid="{00000000-0010-0000-1500-000001000000}" name="Column1" dataDxfId="582"/>
    <tableColumn id="2" xr3:uid="{00000000-0010-0000-1500-000002000000}" name="Column2" dataDxfId="581"/>
    <tableColumn id="12" xr3:uid="{00000000-0010-0000-1500-00000C000000}" name="Column22" dataDxfId="580"/>
    <tableColumn id="3" xr3:uid="{00000000-0010-0000-1500-000003000000}" name="Column3" dataDxfId="579"/>
    <tableColumn id="4" xr3:uid="{00000000-0010-0000-1500-000004000000}" name="Column4" dataDxfId="578"/>
    <tableColumn id="5" xr3:uid="{00000000-0010-0000-1500-000005000000}" name="Column5" dataDxfId="577"/>
    <tableColumn id="6" xr3:uid="{00000000-0010-0000-1500-000006000000}" name="Column6" dataDxfId="576"/>
    <tableColumn id="7" xr3:uid="{00000000-0010-0000-1500-000007000000}" name="Column7" dataDxfId="575"/>
    <tableColumn id="8" xr3:uid="{00000000-0010-0000-1500-000008000000}" name="Column8" dataDxfId="574"/>
    <tableColumn id="9" xr3:uid="{00000000-0010-0000-1500-000009000000}" name="Column9" dataDxfId="573"/>
    <tableColumn id="10" xr3:uid="{00000000-0010-0000-1500-00000A000000}" name="Column10" dataDxfId="572"/>
    <tableColumn id="11" xr3:uid="{00000000-0010-0000-1500-00000B000000}" name="Column11" dataDxfId="571"/>
  </tableColumns>
  <tableStyleInfo name="TableStyleLight21"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6000000}" name="Table324" displayName="Table324" ref="B9:M39" totalsRowShown="0" headerRowDxfId="570" dataDxfId="568" headerRowBorderDxfId="569" tableBorderDxfId="567" totalsRowBorderDxfId="566">
  <autoFilter ref="B9:M39" xr:uid="{00000000-0009-0000-0100-000017000000}"/>
  <tableColumns count="12">
    <tableColumn id="1" xr3:uid="{00000000-0010-0000-1600-000001000000}" name="Column1" dataDxfId="565"/>
    <tableColumn id="2" xr3:uid="{00000000-0010-0000-1600-000002000000}" name="Column2" dataDxfId="564"/>
    <tableColumn id="12" xr3:uid="{00000000-0010-0000-1600-00000C000000}" name="Column22" dataDxfId="563"/>
    <tableColumn id="3" xr3:uid="{00000000-0010-0000-1600-000003000000}" name="Column3" dataDxfId="562"/>
    <tableColumn id="4" xr3:uid="{00000000-0010-0000-1600-000004000000}" name="Column4" dataDxfId="561"/>
    <tableColumn id="5" xr3:uid="{00000000-0010-0000-1600-000005000000}" name="Column5" dataDxfId="560"/>
    <tableColumn id="6" xr3:uid="{00000000-0010-0000-1600-000006000000}" name="Column6" dataDxfId="559"/>
    <tableColumn id="7" xr3:uid="{00000000-0010-0000-1600-000007000000}" name="Column7" dataDxfId="558"/>
    <tableColumn id="8" xr3:uid="{00000000-0010-0000-1600-000008000000}" name="Column8" dataDxfId="557"/>
    <tableColumn id="9" xr3:uid="{00000000-0010-0000-1600-000009000000}" name="Column9" dataDxfId="556"/>
    <tableColumn id="10" xr3:uid="{00000000-0010-0000-1600-00000A000000}" name="Column10" dataDxfId="555"/>
    <tableColumn id="11" xr3:uid="{00000000-0010-0000-1600-00000B000000}" name="Column11" dataDxfId="554"/>
  </tableColumns>
  <tableStyleInfo name="TableStyleLight21"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7000000}" name="Table325" displayName="Table325" ref="B9:M39" totalsRowShown="0" headerRowDxfId="553" dataDxfId="551" headerRowBorderDxfId="552" tableBorderDxfId="550" totalsRowBorderDxfId="549">
  <autoFilter ref="B9:M39" xr:uid="{00000000-0009-0000-0100-000018000000}"/>
  <tableColumns count="12">
    <tableColumn id="1" xr3:uid="{00000000-0010-0000-1700-000001000000}" name="Column1" dataDxfId="548"/>
    <tableColumn id="2" xr3:uid="{00000000-0010-0000-1700-000002000000}" name="Column2" dataDxfId="547"/>
    <tableColumn id="12" xr3:uid="{00000000-0010-0000-1700-00000C000000}" name="Column22" dataDxfId="546"/>
    <tableColumn id="3" xr3:uid="{00000000-0010-0000-1700-000003000000}" name="Column3" dataDxfId="545"/>
    <tableColumn id="4" xr3:uid="{00000000-0010-0000-1700-000004000000}" name="Column4" dataDxfId="544"/>
    <tableColumn id="5" xr3:uid="{00000000-0010-0000-1700-000005000000}" name="Column5" dataDxfId="543"/>
    <tableColumn id="6" xr3:uid="{00000000-0010-0000-1700-000006000000}" name="Column6" dataDxfId="542"/>
    <tableColumn id="7" xr3:uid="{00000000-0010-0000-1700-000007000000}" name="Column7" dataDxfId="541"/>
    <tableColumn id="8" xr3:uid="{00000000-0010-0000-1700-000008000000}" name="Column8" dataDxfId="540"/>
    <tableColumn id="9" xr3:uid="{00000000-0010-0000-1700-000009000000}" name="Column9" dataDxfId="539"/>
    <tableColumn id="10" xr3:uid="{00000000-0010-0000-1700-00000A000000}" name="Column10" dataDxfId="538"/>
    <tableColumn id="11" xr3:uid="{00000000-0010-0000-1700-00000B000000}" name="Column11" dataDxfId="537"/>
  </tableColumns>
  <tableStyleInfo name="TableStyleLight2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8000000}" name="Table326" displayName="Table326" ref="B9:M39" totalsRowShown="0" headerRowDxfId="536" dataDxfId="534" headerRowBorderDxfId="535" tableBorderDxfId="533" totalsRowBorderDxfId="532">
  <autoFilter ref="B9:M39" xr:uid="{00000000-0009-0000-0100-000019000000}"/>
  <tableColumns count="12">
    <tableColumn id="1" xr3:uid="{00000000-0010-0000-1800-000001000000}" name="Column1" dataDxfId="531"/>
    <tableColumn id="2" xr3:uid="{00000000-0010-0000-1800-000002000000}" name="Column2" dataDxfId="530"/>
    <tableColumn id="12" xr3:uid="{00000000-0010-0000-1800-00000C000000}" name="Column22" dataDxfId="529"/>
    <tableColumn id="3" xr3:uid="{00000000-0010-0000-1800-000003000000}" name="Column3" dataDxfId="528"/>
    <tableColumn id="4" xr3:uid="{00000000-0010-0000-1800-000004000000}" name="Column4" dataDxfId="527"/>
    <tableColumn id="5" xr3:uid="{00000000-0010-0000-1800-000005000000}" name="Column5" dataDxfId="526"/>
    <tableColumn id="6" xr3:uid="{00000000-0010-0000-1800-000006000000}" name="Column6" dataDxfId="525"/>
    <tableColumn id="7" xr3:uid="{00000000-0010-0000-1800-000007000000}" name="Column7" dataDxfId="524"/>
    <tableColumn id="8" xr3:uid="{00000000-0010-0000-1800-000008000000}" name="Column8" dataDxfId="523"/>
    <tableColumn id="9" xr3:uid="{00000000-0010-0000-1800-000009000000}" name="Column9" dataDxfId="522"/>
    <tableColumn id="10" xr3:uid="{00000000-0010-0000-1800-00000A000000}" name="Column10" dataDxfId="521"/>
    <tableColumn id="11" xr3:uid="{00000000-0010-0000-1800-00000B000000}" name="Column11" dataDxfId="520"/>
  </tableColumns>
  <tableStyleInfo name="TableStyleLight2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9000000}" name="Table327" displayName="Table327" ref="B9:M39" totalsRowShown="0" headerRowDxfId="519" dataDxfId="517" headerRowBorderDxfId="518" tableBorderDxfId="516" totalsRowBorderDxfId="515">
  <autoFilter ref="B9:M39" xr:uid="{00000000-0009-0000-0100-00001A000000}"/>
  <tableColumns count="12">
    <tableColumn id="1" xr3:uid="{00000000-0010-0000-1900-000001000000}" name="Column1" dataDxfId="514"/>
    <tableColumn id="2" xr3:uid="{00000000-0010-0000-1900-000002000000}" name="Column2" dataDxfId="513"/>
    <tableColumn id="12" xr3:uid="{00000000-0010-0000-1900-00000C000000}" name="Column22" dataDxfId="512"/>
    <tableColumn id="3" xr3:uid="{00000000-0010-0000-1900-000003000000}" name="Column3" dataDxfId="511"/>
    <tableColumn id="4" xr3:uid="{00000000-0010-0000-1900-000004000000}" name="Column4" dataDxfId="510"/>
    <tableColumn id="5" xr3:uid="{00000000-0010-0000-1900-000005000000}" name="Column5" dataDxfId="509"/>
    <tableColumn id="6" xr3:uid="{00000000-0010-0000-1900-000006000000}" name="Column6" dataDxfId="508"/>
    <tableColumn id="7" xr3:uid="{00000000-0010-0000-1900-000007000000}" name="Column7" dataDxfId="507"/>
    <tableColumn id="8" xr3:uid="{00000000-0010-0000-1900-000008000000}" name="Column8" dataDxfId="506"/>
    <tableColumn id="9" xr3:uid="{00000000-0010-0000-1900-000009000000}" name="Column9" dataDxfId="505"/>
    <tableColumn id="10" xr3:uid="{00000000-0010-0000-1900-00000A000000}" name="Column10" dataDxfId="504"/>
    <tableColumn id="11" xr3:uid="{00000000-0010-0000-1900-00000B000000}" name="Column11" dataDxfId="503"/>
  </tableColumns>
  <tableStyleInfo name="TableStyleLight21"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A000000}" name="Table328" displayName="Table328" ref="B9:M39" totalsRowShown="0" headerRowDxfId="502" dataDxfId="500" headerRowBorderDxfId="501" tableBorderDxfId="499" totalsRowBorderDxfId="498">
  <autoFilter ref="B9:M39" xr:uid="{00000000-0009-0000-0100-00001B000000}"/>
  <tableColumns count="12">
    <tableColumn id="1" xr3:uid="{00000000-0010-0000-1A00-000001000000}" name="Column1" dataDxfId="497"/>
    <tableColumn id="2" xr3:uid="{00000000-0010-0000-1A00-000002000000}" name="Column2" dataDxfId="496"/>
    <tableColumn id="12" xr3:uid="{00000000-0010-0000-1A00-00000C000000}" name="Column22" dataDxfId="495"/>
    <tableColumn id="3" xr3:uid="{00000000-0010-0000-1A00-000003000000}" name="Column3" dataDxfId="494"/>
    <tableColumn id="4" xr3:uid="{00000000-0010-0000-1A00-000004000000}" name="Column4" dataDxfId="493"/>
    <tableColumn id="5" xr3:uid="{00000000-0010-0000-1A00-000005000000}" name="Column5" dataDxfId="492"/>
    <tableColumn id="6" xr3:uid="{00000000-0010-0000-1A00-000006000000}" name="Column6" dataDxfId="491"/>
    <tableColumn id="7" xr3:uid="{00000000-0010-0000-1A00-000007000000}" name="Column7" dataDxfId="490"/>
    <tableColumn id="8" xr3:uid="{00000000-0010-0000-1A00-000008000000}" name="Column8" dataDxfId="489"/>
    <tableColumn id="9" xr3:uid="{00000000-0010-0000-1A00-000009000000}" name="Column9" dataDxfId="488"/>
    <tableColumn id="10" xr3:uid="{00000000-0010-0000-1A00-00000A000000}" name="Column10" dataDxfId="487"/>
    <tableColumn id="11" xr3:uid="{00000000-0010-0000-1A00-00000B000000}" name="Column11" dataDxfId="486"/>
  </tableColumns>
  <tableStyleInfo name="TableStyleLight2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2000000}" name="Books" displayName="Books" ref="C102:M108" headerRowCount="0" totalsRowShown="0" headerRowDxfId="951" dataDxfId="950">
  <tableColumns count="11">
    <tableColumn id="1" xr3:uid="{00000000-0010-0000-0200-000001000000}" name="Title / Topic" headerRowDxfId="949" dataDxfId="948"/>
    <tableColumn id="2" xr3:uid="{00000000-0010-0000-0200-000002000000}" name="Publisher" headerRowDxfId="947" dataDxfId="946"/>
    <tableColumn id="3" xr3:uid="{00000000-0010-0000-0200-000003000000}" name="City" headerRowDxfId="945" dataDxfId="944"/>
    <tableColumn id="4" xr3:uid="{00000000-0010-0000-0200-000004000000}" name="Publication Date" headerRowDxfId="943" dataDxfId="942"/>
    <tableColumn id="5" xr3:uid="{00000000-0010-0000-0200-000005000000}" name="Reading Date" headerRowDxfId="941" dataDxfId="940">
      <calculatedColumnFormula>"-"</calculatedColumnFormula>
    </tableColumn>
    <tableColumn id="6" xr3:uid="{00000000-0010-0000-0200-000006000000}" name="Pages" headerRowDxfId="939" dataDxfId="938"/>
    <tableColumn id="7" xr3:uid="{00000000-0010-0000-0200-000007000000}" name="Reference to ICB Elements" headerRowDxfId="937" dataDxfId="936"/>
    <tableColumn id="8" xr3:uid="{00000000-0010-0000-0200-000008000000}" name="Proof" headerRowDxfId="935" dataDxfId="934"/>
    <tableColumn id="11" xr3:uid="{00000000-0010-0000-0200-00000B000000}" name="Column1" headerRowDxfId="933" dataDxfId="932"/>
    <tableColumn id="9" xr3:uid="{00000000-0010-0000-0200-000009000000}" name="Credited Duration [hrs]" headerRowDxfId="931" dataDxfId="930">
      <calculatedColumnFormula>IF(Books[[#This Row],[Pages]]*1&gt;0,Checks!Q102,"")</calculatedColumnFormula>
    </tableColumn>
    <tableColumn id="10" xr3:uid="{00000000-0010-0000-0200-00000A000000}" name="Notices" headerRowDxfId="929" dataDxfId="928">
      <calculatedColumnFormula>Checks!R102</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3000000}" name="Magazines" displayName="Magazines" ref="C112:M114" headerRowCount="0" totalsRowShown="0" headerRowDxfId="927" dataDxfId="926">
  <tableColumns count="11">
    <tableColumn id="1" xr3:uid="{00000000-0010-0000-0300-000001000000}" name="Title / Topic" headerRowDxfId="925" dataDxfId="924"/>
    <tableColumn id="2" xr3:uid="{00000000-0010-0000-0300-000002000000}" name="Publisher" headerRowDxfId="923" dataDxfId="922"/>
    <tableColumn id="3" xr3:uid="{00000000-0010-0000-0300-000003000000}" name="City" headerRowDxfId="921" dataDxfId="920"/>
    <tableColumn id="4" xr3:uid="{00000000-0010-0000-0300-000004000000}" name="Start Date" headerRowDxfId="919" dataDxfId="918"/>
    <tableColumn id="5" xr3:uid="{00000000-0010-0000-0300-000005000000}" name="End Date" headerRowDxfId="917" dataDxfId="916"/>
    <tableColumn id="6" xr3:uid="{00000000-0010-0000-0300-000006000000}" name="Number of issues read" headerRowDxfId="915" dataDxfId="914">
      <calculatedColumnFormula>IF(Magazines[[#This Row],[Start Date]]="","",ROUNDDOWN((IF(Magazines[[#This Row],[End Date]]="",TODAY(),Magazines[[#This Row],[End Date]])-IF(Magazines[[#This Row],[Start Date]]&lt;COV!E9,COV!E9,Magazines[[#This Row],[Start Date]]))/365.24*12,0))</calculatedColumnFormula>
    </tableColumn>
    <tableColumn id="7" xr3:uid="{00000000-0010-0000-0300-000007000000}" name=" Reference to ICB Elements" headerRowDxfId="913" dataDxfId="912">
      <calculatedColumnFormula>"-"</calculatedColumnFormula>
    </tableColumn>
    <tableColumn id="8" xr3:uid="{00000000-0010-0000-0300-000008000000}" name="Proof" headerRowDxfId="911" dataDxfId="910"/>
    <tableColumn id="11" xr3:uid="{00000000-0010-0000-0300-00000B000000}" name="Column1" headerRowDxfId="909" dataDxfId="908"/>
    <tableColumn id="9" xr3:uid="{00000000-0010-0000-0300-000009000000}" name="Credited Duration [hrs]" headerRowDxfId="907" dataDxfId="906">
      <calculatedColumnFormula>IF(Magazines[[#This Row],[Title / Topic]]="","",Checks!Q112)</calculatedColumnFormula>
    </tableColumn>
    <tableColumn id="10" xr3:uid="{00000000-0010-0000-0300-00000A000000}" name="Notices" headerRowDxfId="905" dataDxfId="904">
      <calculatedColumnFormula>Checks!R112</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4000000}" name="Mentoring" displayName="Mentoring" ref="C79:M98" headerRowCount="0" totalsRowShown="0" headerRowDxfId="903" dataDxfId="902">
  <tableColumns count="11">
    <tableColumn id="1" xr3:uid="{00000000-0010-0000-0400-000001000000}" name="Mentor" headerRowDxfId="901" dataDxfId="900"/>
    <tableColumn id="2" xr3:uid="{00000000-0010-0000-0400-000002000000}" name="Mentor's Organization" headerRowDxfId="899" dataDxfId="898"/>
    <tableColumn id="3" xr3:uid="{00000000-0010-0000-0400-000003000000}" name="Location" headerRowDxfId="897" dataDxfId="896"/>
    <tableColumn id="4" xr3:uid="{00000000-0010-0000-0400-000004000000}" name="Start Date" headerRowDxfId="895" dataDxfId="894"/>
    <tableColumn id="5" xr3:uid="{00000000-0010-0000-0400-000005000000}" name="End Date" headerRowDxfId="893" dataDxfId="892"/>
    <tableColumn id="6" xr3:uid="{00000000-0010-0000-0400-000006000000}" name="Cumul. duration [hrs]" headerRowDxfId="891" dataDxfId="890"/>
    <tableColumn id="7" xr3:uid="{00000000-0010-0000-0400-000007000000}" name="Reference to ICB Elements" headerRowDxfId="889" dataDxfId="888"/>
    <tableColumn id="8" xr3:uid="{00000000-0010-0000-0400-000008000000}" name="Proof / Certificate" headerRowDxfId="887" dataDxfId="886"/>
    <tableColumn id="11" xr3:uid="{00000000-0010-0000-0400-00000B000000}" name="Column1" headerRowDxfId="885" dataDxfId="884"/>
    <tableColumn id="9" xr3:uid="{00000000-0010-0000-0400-000009000000}" name="Credited Duration [hrs]" headerRowDxfId="883" dataDxfId="882">
      <calculatedColumnFormula>IF(Mentoring[[#This Row],[Mentor]]="","",Checks!Q79)</calculatedColumnFormula>
    </tableColumn>
    <tableColumn id="10" xr3:uid="{00000000-0010-0000-0400-00000A000000}" name="Notices" headerRowDxfId="881" dataDxfId="880">
      <calculatedColumnFormula>Checks!R79</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5000000}" name="Tabelle28" displayName="Tabelle28" ref="C11:M20" headerRowCount="0" totalsRowShown="0" headerRowDxfId="879" dataDxfId="878">
  <tableColumns count="11">
    <tableColumn id="2" xr3:uid="{00000000-0010-0000-0500-000002000000}" name="Event Name / Title of Presentation" headerRowDxfId="877" dataDxfId="876"/>
    <tableColumn id="11" xr3:uid="{00000000-0010-0000-0500-00000B000000}" name="Target Group" headerRowDxfId="875" dataDxfId="874"/>
    <tableColumn id="3" xr3:uid="{00000000-0010-0000-0500-000003000000}" name="Location" headerRowDxfId="873" dataDxfId="872"/>
    <tableColumn id="5" xr3:uid="{00000000-0010-0000-0500-000005000000}" name="Start Date" headerRowDxfId="871" dataDxfId="870"/>
    <tableColumn id="6" xr3:uid="{00000000-0010-0000-0500-000006000000}" name="End Date" headerRowDxfId="869" dataDxfId="868"/>
    <tableColumn id="8" xr3:uid="{00000000-0010-0000-0500-000008000000}" name="Duration [hrs]" headerRowDxfId="867" dataDxfId="866"/>
    <tableColumn id="7" xr3:uid="{00000000-0010-0000-0500-000007000000}" name="Reference to ICB Elements" headerRowDxfId="865" dataDxfId="864"/>
    <tableColumn id="4" xr3:uid="{00000000-0010-0000-0500-000004000000}" name="Column1" headerRowDxfId="863" dataDxfId="862"/>
    <tableColumn id="10" xr3:uid="{00000000-0010-0000-0500-00000A000000}" name="Proof / Certificate" headerRowDxfId="861" dataDxfId="860"/>
    <tableColumn id="9" xr3:uid="{00000000-0010-0000-0500-000009000000}" name="Credited Duration [hrs]" headerRowDxfId="859" dataDxfId="858">
      <calculatedColumnFormula>IF(Tabelle28[[#This Row],[Duration '[hrs']]]*1&gt;0,Checks!Q147,"")</calculatedColumnFormula>
    </tableColumn>
    <tableColumn id="1" xr3:uid="{00000000-0010-0000-0500-000001000000}" name="Notices" headerRowDxfId="857" dataDxfId="856">
      <calculatedColumnFormula>Checks!R147</calculatedColumnFormula>
    </tableColumn>
  </tableColumns>
  <tableStyleInfo name="TableStyleMedium3"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6000000}" name="Tabelle39" displayName="Tabelle39" ref="C24:M33" headerRowCount="0" totalsRowShown="0" headerRowDxfId="855" dataDxfId="854">
  <tableColumns count="11">
    <tableColumn id="1" xr3:uid="{00000000-0010-0000-0600-000001000000}" name="Training Name" dataDxfId="853"/>
    <tableColumn id="2" xr3:uid="{00000000-0010-0000-0600-000002000000}" name="Target Group" headerRowDxfId="852" dataDxfId="851"/>
    <tableColumn id="3" xr3:uid="{00000000-0010-0000-0600-000003000000}" name="Location" headerRowDxfId="850" dataDxfId="849"/>
    <tableColumn id="4" xr3:uid="{00000000-0010-0000-0600-000004000000}" name="Start Date" headerRowDxfId="848" dataDxfId="847"/>
    <tableColumn id="5" xr3:uid="{00000000-0010-0000-0600-000005000000}" name="End Date" headerRowDxfId="846" dataDxfId="845"/>
    <tableColumn id="6" xr3:uid="{00000000-0010-0000-0600-000006000000}" name="Duration [hrs]" headerRowDxfId="844" dataDxfId="843"/>
    <tableColumn id="7" xr3:uid="{00000000-0010-0000-0600-000007000000}" name="Reference to ICB Elements" headerRowDxfId="842" dataDxfId="841"/>
    <tableColumn id="11" xr3:uid="{00000000-0010-0000-0600-00000B000000}" name="Column1" headerRowDxfId="840" dataDxfId="839"/>
    <tableColumn id="8" xr3:uid="{00000000-0010-0000-0600-000008000000}" name="Proof / Certificate" headerRowDxfId="838" dataDxfId="837"/>
    <tableColumn id="9" xr3:uid="{00000000-0010-0000-0600-000009000000}" name="Credited Duration [hrs]" headerRowDxfId="836" dataDxfId="835">
      <calculatedColumnFormula>IF(Tabelle39[[#This Row],[Duration '[hrs']]]*1&gt;0,Checks!Q122,"")</calculatedColumnFormula>
    </tableColumn>
    <tableColumn id="10" xr3:uid="{00000000-0010-0000-0600-00000A000000}" name="Notices" headerRowDxfId="834" dataDxfId="833">
      <calculatedColumnFormula>Checks!R122</calculatedColumnFormula>
    </tableColumn>
  </tableColumns>
  <tableStyleInfo name="TableStyleMedium3"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7000000}" name="Tabelle510" displayName="Tabelle510" ref="C50:M59" headerRowCount="0" totalsRowShown="0" dataDxfId="832">
  <tableColumns count="11">
    <tableColumn id="1" xr3:uid="{00000000-0010-0000-0700-000001000000}" name="Title / Topic" dataDxfId="831"/>
    <tableColumn id="2" xr3:uid="{00000000-0010-0000-0700-000002000000}" name="Publisher" dataDxfId="830"/>
    <tableColumn id="3" xr3:uid="{00000000-0010-0000-0700-000003000000}" name="City" dataDxfId="829"/>
    <tableColumn id="4" xr3:uid="{00000000-0010-0000-0700-000004000000}" name="Publication Date" headerRowDxfId="828" dataDxfId="827"/>
    <tableColumn id="5" xr3:uid="{00000000-0010-0000-0700-000005000000}" name=" " headerRowDxfId="826" dataDxfId="825"/>
    <tableColumn id="6" xr3:uid="{00000000-0010-0000-0700-000006000000}" name="Pages" headerRowDxfId="824" dataDxfId="823"/>
    <tableColumn id="7" xr3:uid="{00000000-0010-0000-0700-000007000000}" name="Reference to ICB Elements" headerRowDxfId="822" dataDxfId="821"/>
    <tableColumn id="8" xr3:uid="{00000000-0010-0000-0700-000008000000}" name="Proof" headerRowDxfId="820" dataDxfId="819"/>
    <tableColumn id="11" xr3:uid="{00000000-0010-0000-0700-00000B000000}" name="Column1" headerRowDxfId="818" dataDxfId="817"/>
    <tableColumn id="9" xr3:uid="{00000000-0010-0000-0700-000009000000}" name="Credited Duration [hrs]" headerRowDxfId="816" dataDxfId="815">
      <calculatedColumnFormula>IF(Tabelle510[[#This Row],[Pages]]*1&gt;0,Checks!Q160,"")</calculatedColumnFormula>
    </tableColumn>
    <tableColumn id="10" xr3:uid="{00000000-0010-0000-0700-00000A000000}" name="Notices" headerRowDxfId="814" dataDxfId="813">
      <calculatedColumnFormula>Checks!R160</calculatedColumnFormula>
    </tableColumn>
  </tableColumns>
  <tableStyleInfo name="TableStyleMedium3"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8000000}" name="Tabelle10" displayName="Tabelle10" ref="C37:M46" headerRowCount="0" totalsRowShown="0" headerRowDxfId="812" dataDxfId="811">
  <tableColumns count="11">
    <tableColumn id="1" xr3:uid="{00000000-0010-0000-0800-000001000000}" name="Mentee" headerRowDxfId="810" dataDxfId="809"/>
    <tableColumn id="2" xr3:uid="{00000000-0010-0000-0800-000002000000}" name="Mentees Organization" headerRowDxfId="808" dataDxfId="807"/>
    <tableColumn id="3" xr3:uid="{00000000-0010-0000-0800-000003000000}" name="Location" headerRowDxfId="806" dataDxfId="805"/>
    <tableColumn id="4" xr3:uid="{00000000-0010-0000-0800-000004000000}" name="Start Date" headerRowDxfId="804" dataDxfId="803"/>
    <tableColumn id="5" xr3:uid="{00000000-0010-0000-0800-000005000000}" name="End Date" headerRowDxfId="802" dataDxfId="801"/>
    <tableColumn id="6" xr3:uid="{00000000-0010-0000-0800-000006000000}" name="Duration [hrs]" headerRowDxfId="800" dataDxfId="799"/>
    <tableColumn id="7" xr3:uid="{00000000-0010-0000-0800-000007000000}" name="Reference to ICB Elements" headerRowDxfId="798" dataDxfId="797"/>
    <tableColumn id="8" xr3:uid="{00000000-0010-0000-0800-000008000000}" name="Proof / Certificate" headerRowDxfId="796" dataDxfId="795"/>
    <tableColumn id="11" xr3:uid="{00000000-0010-0000-0800-00000B000000}" name="Column1" headerRowDxfId="794" dataDxfId="793"/>
    <tableColumn id="9" xr3:uid="{00000000-0010-0000-0800-000009000000}" name="Credited Duration [hrs]" headerRowDxfId="792" dataDxfId="791">
      <calculatedColumnFormula>IF(Tabelle10[[#This Row],[Duration '[hrs']]]*1&gt;0,Checks!Q134,"")</calculatedColumnFormula>
    </tableColumn>
    <tableColumn id="10" xr3:uid="{00000000-0010-0000-0800-00000A000000}" name="Notices" headerRowDxfId="790" dataDxfId="789">
      <calculatedColumnFormula>Checks!R134</calculatedColumnFormula>
    </tableColumn>
  </tableColumns>
  <tableStyleInfo name="TableStyleMedium3" showFirstColumn="0" showLastColumn="0" showRowStripes="1" showColumnStripes="0"/>
</table>
</file>

<file path=xl/theme/theme1.xml><?xml version="1.0" encoding="utf-8"?>
<a:theme xmlns:a="http://schemas.openxmlformats.org/drawingml/2006/main" name="Larissa">
  <a:themeElements>
    <a:clrScheme name="Larissa">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Larissa">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6.xml"/><Relationship Id="rId7"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9.bin"/><Relationship Id="rId5" Type="http://schemas.openxmlformats.org/officeDocument/2006/relationships/comments" Target="../comments5.xml"/><Relationship Id="rId4" Type="http://schemas.openxmlformats.org/officeDocument/2006/relationships/table" Target="../tables/table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8.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10.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1.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12.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13.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4.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15.x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16.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17.x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8.xml"/><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57.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19.xml"/><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20.xml"/><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1.xml"/><Relationship Id="rId1" Type="http://schemas.openxmlformats.org/officeDocument/2006/relationships/printerSettings" Target="../printerSettings/printerSettings70.bin"/><Relationship Id="rId4" Type="http://schemas.openxmlformats.org/officeDocument/2006/relationships/comments" Target="../comments27.xml"/></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2.xml"/><Relationship Id="rId1" Type="http://schemas.openxmlformats.org/officeDocument/2006/relationships/printerSettings" Target="../printerSettings/printerSettings71.bin"/><Relationship Id="rId4" Type="http://schemas.openxmlformats.org/officeDocument/2006/relationships/comments" Target="../comments28.xml"/></Relationships>
</file>

<file path=xl/worksheets/_rels/sheet74.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79.bin"/></Relationships>
</file>

<file path=xl/worksheets/_rels/sheet82.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vmlDrawing" Target="../drawings/vmlDrawing3.vml"/><Relationship Id="rId1" Type="http://schemas.openxmlformats.org/officeDocument/2006/relationships/printerSettings" Target="../printerSettings/printerSettings7.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6.xml.rels><?xml version="1.0" encoding="UTF-8" standalone="yes"?>
<Relationships xmlns="http://schemas.openxmlformats.org/package/2006/relationships"><Relationship Id="rId2" Type="http://schemas.openxmlformats.org/officeDocument/2006/relationships/comments" Target="../comments34.xml"/><Relationship Id="rId1" Type="http://schemas.openxmlformats.org/officeDocument/2006/relationships/vmlDrawing" Target="../drawings/vmlDrawing34.vml"/></Relationships>
</file>

<file path=xl/worksheets/_rels/sheet98.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24.xml"/><Relationship Id="rId1" Type="http://schemas.openxmlformats.org/officeDocument/2006/relationships/printerSettings" Target="../printerSettings/printerSettings94.bin"/><Relationship Id="rId4" Type="http://schemas.openxmlformats.org/officeDocument/2006/relationships/comments" Target="../comments35.xml"/></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Changes"/>
  <dimension ref="A1:K75"/>
  <sheetViews>
    <sheetView topLeftCell="A36" zoomScaleSheetLayoutView="25" workbookViewId="0">
      <selection activeCell="Q45" sqref="Q45"/>
    </sheetView>
  </sheetViews>
  <sheetFormatPr baseColWidth="10" defaultColWidth="11.5" defaultRowHeight="13"/>
  <cols>
    <col min="1" max="2" width="11.5" style="188"/>
    <col min="3" max="4" width="11.5" style="93"/>
    <col min="5" max="5" width="86.83203125" style="93" customWidth="1"/>
    <col min="6" max="6" width="42.6640625" style="93" customWidth="1"/>
    <col min="7" max="7" width="0" style="93" hidden="1" customWidth="1"/>
    <col min="8" max="16384" width="11.5" style="93"/>
  </cols>
  <sheetData>
    <row r="1" spans="1:11" ht="14" thickBot="1">
      <c r="A1" s="1526" t="s">
        <v>3709</v>
      </c>
    </row>
    <row r="2" spans="1:11" s="92" customFormat="1" ht="32">
      <c r="A2" s="187" t="s">
        <v>514</v>
      </c>
      <c r="B2" s="187" t="s">
        <v>515</v>
      </c>
      <c r="C2" s="90" t="s">
        <v>708</v>
      </c>
      <c r="D2" s="90" t="s">
        <v>507</v>
      </c>
      <c r="E2" s="90" t="s">
        <v>508</v>
      </c>
      <c r="F2" s="90" t="s">
        <v>509</v>
      </c>
      <c r="G2" s="90" t="s">
        <v>510</v>
      </c>
      <c r="H2" s="90" t="s">
        <v>2503</v>
      </c>
      <c r="I2" s="91" t="s">
        <v>511</v>
      </c>
    </row>
    <row r="3" spans="1:11" ht="14">
      <c r="A3" s="170" t="s">
        <v>712</v>
      </c>
      <c r="B3" s="170">
        <v>1</v>
      </c>
      <c r="C3" s="97">
        <v>44926</v>
      </c>
      <c r="D3" s="96" t="s">
        <v>512</v>
      </c>
      <c r="E3" s="98" t="s">
        <v>713</v>
      </c>
      <c r="F3" s="96" t="s">
        <v>513</v>
      </c>
      <c r="G3" s="96" t="s">
        <v>513</v>
      </c>
      <c r="H3" s="96" t="s">
        <v>714</v>
      </c>
      <c r="I3" s="96"/>
      <c r="J3" s="96"/>
      <c r="K3" s="96"/>
    </row>
    <row r="4" spans="1:11" ht="14">
      <c r="A4" s="170" t="s">
        <v>712</v>
      </c>
      <c r="B4" s="170">
        <v>2</v>
      </c>
      <c r="C4" s="97">
        <v>44941</v>
      </c>
      <c r="D4" s="96" t="s">
        <v>512</v>
      </c>
      <c r="E4" s="98" t="s">
        <v>2301</v>
      </c>
      <c r="F4" s="96" t="s">
        <v>2302</v>
      </c>
      <c r="G4" s="96" t="s">
        <v>513</v>
      </c>
      <c r="H4" s="96" t="s">
        <v>2303</v>
      </c>
      <c r="I4" s="96"/>
      <c r="J4" s="96"/>
      <c r="K4" s="96"/>
    </row>
    <row r="5" spans="1:11" ht="32.5" customHeight="1">
      <c r="A5" s="170" t="s">
        <v>2501</v>
      </c>
      <c r="B5" s="170">
        <v>1</v>
      </c>
      <c r="C5" s="97">
        <v>45015</v>
      </c>
      <c r="D5" s="96" t="s">
        <v>512</v>
      </c>
      <c r="E5" s="98" t="s">
        <v>2502</v>
      </c>
      <c r="F5" s="96" t="s">
        <v>513</v>
      </c>
      <c r="G5" s="96" t="s">
        <v>513</v>
      </c>
      <c r="H5" s="96" t="s">
        <v>2504</v>
      </c>
      <c r="I5" s="96"/>
      <c r="J5" s="96"/>
      <c r="K5" s="96"/>
    </row>
    <row r="6" spans="1:11" ht="14">
      <c r="A6" s="170" t="s">
        <v>2501</v>
      </c>
      <c r="B6" s="170">
        <v>2</v>
      </c>
      <c r="C6" s="97">
        <v>45060</v>
      </c>
      <c r="D6" s="96" t="s">
        <v>512</v>
      </c>
      <c r="E6" s="98" t="s">
        <v>2505</v>
      </c>
      <c r="F6" s="96" t="s">
        <v>2506</v>
      </c>
      <c r="G6" s="96"/>
      <c r="H6" s="96" t="s">
        <v>2507</v>
      </c>
      <c r="I6" s="96"/>
      <c r="J6" s="96"/>
      <c r="K6" s="96"/>
    </row>
    <row r="7" spans="1:11" ht="14">
      <c r="A7" s="170" t="s">
        <v>2501</v>
      </c>
      <c r="B7" s="170">
        <v>3</v>
      </c>
      <c r="C7" s="97"/>
      <c r="D7" s="96" t="s">
        <v>512</v>
      </c>
      <c r="E7" s="98" t="s">
        <v>2787</v>
      </c>
      <c r="F7" s="96" t="s">
        <v>2789</v>
      </c>
      <c r="G7" s="96"/>
      <c r="H7" s="96" t="s">
        <v>2791</v>
      </c>
      <c r="I7" s="96"/>
      <c r="J7" s="96"/>
      <c r="K7" s="96"/>
    </row>
    <row r="8" spans="1:11" ht="14">
      <c r="A8" s="170" t="s">
        <v>2501</v>
      </c>
      <c r="B8" s="170">
        <v>4</v>
      </c>
      <c r="C8" s="97"/>
      <c r="D8" s="96" t="s">
        <v>512</v>
      </c>
      <c r="E8" s="98" t="s">
        <v>2788</v>
      </c>
      <c r="F8" s="96" t="s">
        <v>2789</v>
      </c>
      <c r="G8" s="96"/>
      <c r="H8" s="96" t="s">
        <v>2792</v>
      </c>
      <c r="I8" s="96"/>
      <c r="J8" s="96"/>
      <c r="K8" s="96"/>
    </row>
    <row r="9" spans="1:11" ht="14">
      <c r="A9" s="170" t="s">
        <v>2501</v>
      </c>
      <c r="B9" s="170">
        <v>5</v>
      </c>
      <c r="C9" s="97">
        <v>45136</v>
      </c>
      <c r="D9" s="96" t="s">
        <v>512</v>
      </c>
      <c r="E9" s="98" t="s">
        <v>2788</v>
      </c>
      <c r="F9" s="96" t="s">
        <v>2790</v>
      </c>
      <c r="G9" s="96"/>
      <c r="H9" s="96" t="s">
        <v>2792</v>
      </c>
      <c r="I9" s="96"/>
      <c r="J9" s="96"/>
      <c r="K9" s="96"/>
    </row>
    <row r="10" spans="1:11" ht="14">
      <c r="A10" s="170" t="s">
        <v>2501</v>
      </c>
      <c r="B10" s="170">
        <v>6</v>
      </c>
      <c r="C10" s="97">
        <v>45136</v>
      </c>
      <c r="D10" s="96" t="s">
        <v>512</v>
      </c>
      <c r="E10" s="98" t="s">
        <v>2848</v>
      </c>
      <c r="F10" s="96"/>
      <c r="G10" s="96"/>
      <c r="H10" s="96"/>
      <c r="I10" s="96"/>
      <c r="J10" s="96"/>
      <c r="K10" s="96"/>
    </row>
    <row r="11" spans="1:11" ht="14">
      <c r="A11" s="170" t="s">
        <v>2501</v>
      </c>
      <c r="B11" s="170">
        <v>7</v>
      </c>
      <c r="C11" s="97">
        <v>45136</v>
      </c>
      <c r="D11" s="96" t="s">
        <v>512</v>
      </c>
      <c r="E11" s="98" t="s">
        <v>2788</v>
      </c>
      <c r="F11" s="98" t="s">
        <v>2849</v>
      </c>
      <c r="G11" s="96"/>
      <c r="H11" s="96" t="s">
        <v>2850</v>
      </c>
      <c r="I11" s="96"/>
      <c r="J11" s="96"/>
      <c r="K11" s="96"/>
    </row>
    <row r="12" spans="1:11" ht="14">
      <c r="A12" s="170" t="s">
        <v>2501</v>
      </c>
      <c r="B12" s="170">
        <v>8</v>
      </c>
      <c r="C12" s="97">
        <v>45196</v>
      </c>
      <c r="D12" s="96" t="s">
        <v>512</v>
      </c>
      <c r="E12" s="98" t="s">
        <v>2863</v>
      </c>
      <c r="F12" s="96" t="s">
        <v>2864</v>
      </c>
      <c r="G12" s="96"/>
      <c r="H12" s="96" t="s">
        <v>2865</v>
      </c>
      <c r="I12" s="96"/>
      <c r="J12" s="96"/>
      <c r="K12" s="96"/>
    </row>
    <row r="13" spans="1:11" ht="28">
      <c r="A13" s="170" t="s">
        <v>2501</v>
      </c>
      <c r="B13" s="170">
        <v>9</v>
      </c>
      <c r="C13" s="97">
        <v>45213</v>
      </c>
      <c r="D13" s="96" t="s">
        <v>512</v>
      </c>
      <c r="E13" s="98" t="s">
        <v>2873</v>
      </c>
      <c r="F13" s="96" t="s">
        <v>2874</v>
      </c>
      <c r="G13" s="96"/>
      <c r="H13" s="96" t="s">
        <v>2875</v>
      </c>
      <c r="I13" s="96"/>
      <c r="J13" s="96"/>
      <c r="K13" s="96"/>
    </row>
    <row r="14" spans="1:11" ht="56">
      <c r="A14" s="170" t="s">
        <v>2501</v>
      </c>
      <c r="B14" s="170">
        <v>10</v>
      </c>
      <c r="C14" s="97">
        <v>45228</v>
      </c>
      <c r="D14" s="96" t="s">
        <v>512</v>
      </c>
      <c r="E14" s="98" t="s">
        <v>3267</v>
      </c>
      <c r="F14" s="98" t="s">
        <v>3232</v>
      </c>
      <c r="G14" s="96"/>
      <c r="H14" s="96" t="s">
        <v>3231</v>
      </c>
      <c r="I14" s="96"/>
      <c r="J14" s="96"/>
      <c r="K14" s="96"/>
    </row>
    <row r="15" spans="1:11" ht="28">
      <c r="A15" s="170" t="s">
        <v>2501</v>
      </c>
      <c r="B15" s="170">
        <v>11</v>
      </c>
      <c r="C15" s="97">
        <v>45281</v>
      </c>
      <c r="D15" s="96" t="s">
        <v>512</v>
      </c>
      <c r="E15" s="98" t="s">
        <v>3351</v>
      </c>
      <c r="F15" s="96" t="s">
        <v>3352</v>
      </c>
      <c r="G15" s="96" t="s">
        <v>513</v>
      </c>
      <c r="H15" s="96" t="s">
        <v>3353</v>
      </c>
      <c r="I15" s="96"/>
      <c r="J15" s="96"/>
      <c r="K15" s="96"/>
    </row>
    <row r="16" spans="1:11" ht="14">
      <c r="A16" s="170" t="s">
        <v>2501</v>
      </c>
      <c r="B16" s="170">
        <v>12</v>
      </c>
      <c r="C16" s="97">
        <v>45342</v>
      </c>
      <c r="D16" s="96" t="s">
        <v>512</v>
      </c>
      <c r="E16" s="98" t="s">
        <v>3428</v>
      </c>
      <c r="F16" s="96" t="s">
        <v>3429</v>
      </c>
      <c r="G16" s="96" t="s">
        <v>3429</v>
      </c>
      <c r="H16" s="96" t="s">
        <v>3430</v>
      </c>
      <c r="I16" s="96"/>
      <c r="J16" s="96"/>
      <c r="K16" s="96"/>
    </row>
    <row r="17" spans="1:11" ht="14">
      <c r="A17" s="170" t="s">
        <v>2501</v>
      </c>
      <c r="B17" s="170">
        <v>13</v>
      </c>
      <c r="C17" s="97">
        <v>45351</v>
      </c>
      <c r="D17" s="96" t="s">
        <v>512</v>
      </c>
      <c r="E17" s="98" t="s">
        <v>3431</v>
      </c>
      <c r="F17" s="96" t="s">
        <v>2864</v>
      </c>
      <c r="G17" s="96" t="s">
        <v>3432</v>
      </c>
      <c r="H17" s="96" t="s">
        <v>3353</v>
      </c>
      <c r="I17" s="96"/>
      <c r="J17" s="96"/>
      <c r="K17" s="96"/>
    </row>
    <row r="18" spans="1:11" ht="14">
      <c r="A18" s="170" t="s">
        <v>2501</v>
      </c>
      <c r="B18" s="170">
        <v>14</v>
      </c>
      <c r="C18" s="97">
        <v>45365</v>
      </c>
      <c r="D18" s="96" t="s">
        <v>512</v>
      </c>
      <c r="E18" s="98" t="s">
        <v>3434</v>
      </c>
      <c r="F18" s="96" t="s">
        <v>2864</v>
      </c>
      <c r="G18" s="96"/>
      <c r="H18" s="96" t="s">
        <v>3353</v>
      </c>
      <c r="I18" s="96"/>
      <c r="J18" s="96"/>
      <c r="K18" s="96"/>
    </row>
    <row r="19" spans="1:11" ht="14">
      <c r="A19" s="170" t="s">
        <v>2501</v>
      </c>
      <c r="B19" s="170">
        <v>15</v>
      </c>
      <c r="C19" s="97">
        <v>45379</v>
      </c>
      <c r="D19" s="96" t="s">
        <v>512</v>
      </c>
      <c r="E19" s="98" t="s">
        <v>3435</v>
      </c>
      <c r="F19" s="96" t="s">
        <v>959</v>
      </c>
      <c r="G19" s="96"/>
      <c r="H19" s="96" t="s">
        <v>3436</v>
      </c>
      <c r="I19" s="96"/>
      <c r="J19" s="96"/>
      <c r="K19" s="96"/>
    </row>
    <row r="20" spans="1:11" ht="14">
      <c r="A20" s="170" t="s">
        <v>2501</v>
      </c>
      <c r="B20" s="170">
        <v>16</v>
      </c>
      <c r="C20" s="97">
        <v>45394</v>
      </c>
      <c r="D20" s="96" t="s">
        <v>512</v>
      </c>
      <c r="E20" s="98" t="s">
        <v>3437</v>
      </c>
      <c r="F20" s="96" t="s">
        <v>3438</v>
      </c>
      <c r="G20" s="96"/>
      <c r="H20" s="96" t="s">
        <v>3439</v>
      </c>
      <c r="I20" s="96"/>
      <c r="J20" s="96"/>
      <c r="K20" s="96"/>
    </row>
    <row r="21" spans="1:11" ht="145.5" customHeight="1">
      <c r="A21" s="170" t="s">
        <v>3608</v>
      </c>
      <c r="B21" s="170">
        <v>0</v>
      </c>
      <c r="C21" s="97">
        <v>45417</v>
      </c>
      <c r="D21" s="96" t="s">
        <v>512</v>
      </c>
      <c r="E21" s="98" t="s">
        <v>3610</v>
      </c>
      <c r="F21" s="98" t="s">
        <v>3611</v>
      </c>
      <c r="G21" s="96"/>
      <c r="H21" s="96" t="s">
        <v>3609</v>
      </c>
      <c r="I21" s="96"/>
      <c r="J21" s="96"/>
      <c r="K21" s="96"/>
    </row>
    <row r="22" spans="1:11" ht="264" customHeight="1">
      <c r="A22" s="170" t="s">
        <v>3608</v>
      </c>
      <c r="B22" s="170">
        <v>1</v>
      </c>
      <c r="C22" s="97">
        <v>45427</v>
      </c>
      <c r="D22" s="96" t="s">
        <v>512</v>
      </c>
      <c r="E22" s="98" t="s">
        <v>3612</v>
      </c>
      <c r="F22" s="96"/>
      <c r="G22" s="96"/>
      <c r="H22" s="96" t="s">
        <v>3609</v>
      </c>
      <c r="I22" s="96"/>
      <c r="J22" s="96"/>
      <c r="K22" s="96"/>
    </row>
    <row r="23" spans="1:11" ht="42">
      <c r="A23" s="170" t="s">
        <v>3608</v>
      </c>
      <c r="B23" s="170">
        <v>2</v>
      </c>
      <c r="C23" s="97">
        <v>45442</v>
      </c>
      <c r="D23" s="96" t="s">
        <v>512</v>
      </c>
      <c r="E23" s="98" t="s">
        <v>3620</v>
      </c>
      <c r="F23" s="96"/>
      <c r="G23" s="96"/>
      <c r="H23" s="96" t="s">
        <v>3613</v>
      </c>
      <c r="I23" s="96"/>
      <c r="J23" s="96"/>
      <c r="K23" s="96"/>
    </row>
    <row r="24" spans="1:11" ht="56">
      <c r="A24" s="170" t="s">
        <v>3608</v>
      </c>
      <c r="B24" s="170">
        <v>3</v>
      </c>
      <c r="C24" s="97">
        <v>45447</v>
      </c>
      <c r="D24" s="96" t="s">
        <v>512</v>
      </c>
      <c r="E24" s="98" t="s">
        <v>3695</v>
      </c>
      <c r="F24" s="96"/>
      <c r="G24" s="96"/>
      <c r="H24" s="96" t="s">
        <v>3613</v>
      </c>
      <c r="I24" s="96"/>
      <c r="J24" s="96"/>
      <c r="K24" s="96"/>
    </row>
    <row r="25" spans="1:11" ht="84">
      <c r="A25" s="170" t="s">
        <v>3608</v>
      </c>
      <c r="B25" s="170">
        <v>4</v>
      </c>
      <c r="C25" s="97">
        <v>45511</v>
      </c>
      <c r="D25" s="96" t="s">
        <v>512</v>
      </c>
      <c r="E25" s="98" t="s">
        <v>3715</v>
      </c>
      <c r="F25" s="96"/>
      <c r="G25" s="96"/>
      <c r="H25" s="96" t="s">
        <v>3613</v>
      </c>
      <c r="I25" s="96"/>
      <c r="J25" s="96"/>
      <c r="K25" s="96"/>
    </row>
    <row r="26" spans="1:11" ht="42">
      <c r="A26" s="170" t="s">
        <v>3608</v>
      </c>
      <c r="B26" s="170">
        <v>5</v>
      </c>
      <c r="C26" s="97">
        <v>45522</v>
      </c>
      <c r="D26" s="96" t="s">
        <v>512</v>
      </c>
      <c r="E26" s="98" t="s">
        <v>3758</v>
      </c>
      <c r="F26" s="98" t="s">
        <v>3761</v>
      </c>
      <c r="G26" s="96"/>
      <c r="H26" s="96" t="s">
        <v>3762</v>
      </c>
      <c r="I26" s="96"/>
      <c r="J26" s="96"/>
      <c r="K26" s="96"/>
    </row>
    <row r="27" spans="1:11" ht="42">
      <c r="A27" s="170" t="s">
        <v>3608</v>
      </c>
      <c r="B27" s="170">
        <v>6</v>
      </c>
      <c r="C27" s="97">
        <v>45524</v>
      </c>
      <c r="D27" s="96" t="s">
        <v>512</v>
      </c>
      <c r="E27" s="98" t="s">
        <v>3759</v>
      </c>
      <c r="F27" s="98" t="s">
        <v>3760</v>
      </c>
      <c r="G27" s="96"/>
      <c r="H27" s="96" t="s">
        <v>3763</v>
      </c>
      <c r="I27" s="96"/>
      <c r="J27" s="96"/>
      <c r="K27" s="96"/>
    </row>
    <row r="28" spans="1:11" ht="14">
      <c r="A28" s="170" t="s">
        <v>3608</v>
      </c>
      <c r="B28" s="170">
        <v>7</v>
      </c>
      <c r="C28" s="97">
        <v>45525</v>
      </c>
      <c r="D28" s="96" t="s">
        <v>512</v>
      </c>
      <c r="E28" s="98" t="s">
        <v>3764</v>
      </c>
      <c r="F28" s="96" t="s">
        <v>3548</v>
      </c>
      <c r="G28" s="96"/>
      <c r="H28" s="96" t="s">
        <v>3763</v>
      </c>
      <c r="I28" s="96"/>
      <c r="J28" s="96"/>
      <c r="K28" s="96"/>
    </row>
    <row r="29" spans="1:11" ht="37.5" customHeight="1">
      <c r="A29" s="170" t="s">
        <v>3608</v>
      </c>
      <c r="B29" s="170">
        <v>8</v>
      </c>
      <c r="C29" s="97">
        <v>45532</v>
      </c>
      <c r="D29" s="96" t="s">
        <v>512</v>
      </c>
      <c r="E29" s="98" t="s">
        <v>3768</v>
      </c>
      <c r="F29" s="96" t="s">
        <v>3769</v>
      </c>
      <c r="G29" s="96"/>
      <c r="H29" s="96" t="s">
        <v>3763</v>
      </c>
      <c r="I29" s="96"/>
      <c r="J29" s="96"/>
      <c r="K29" s="96"/>
    </row>
    <row r="30" spans="1:11" ht="70">
      <c r="A30" s="170" t="s">
        <v>3608</v>
      </c>
      <c r="B30" s="170" t="s">
        <v>3772</v>
      </c>
      <c r="C30" s="97">
        <v>45599</v>
      </c>
      <c r="D30" s="96" t="s">
        <v>512</v>
      </c>
      <c r="E30" s="98" t="s">
        <v>3773</v>
      </c>
      <c r="F30" s="96" t="s">
        <v>3770</v>
      </c>
      <c r="G30" s="96"/>
      <c r="H30" s="96" t="s">
        <v>3771</v>
      </c>
      <c r="I30" s="96"/>
      <c r="J30" s="96"/>
      <c r="K30" s="96"/>
    </row>
    <row r="31" spans="1:11" ht="37.5" customHeight="1">
      <c r="A31" s="170" t="s">
        <v>3608</v>
      </c>
      <c r="B31" s="170" t="s">
        <v>3774</v>
      </c>
      <c r="C31" s="97">
        <v>45602</v>
      </c>
      <c r="D31" s="96" t="s">
        <v>512</v>
      </c>
      <c r="E31" s="98" t="s">
        <v>3775</v>
      </c>
      <c r="F31" s="96" t="s">
        <v>3706</v>
      </c>
      <c r="G31" s="96"/>
      <c r="H31" s="96" t="s">
        <v>3776</v>
      </c>
      <c r="I31" s="96"/>
      <c r="J31" s="96"/>
      <c r="K31" s="96"/>
    </row>
    <row r="32" spans="1:11" ht="37.5" customHeight="1">
      <c r="A32" s="170" t="s">
        <v>3608</v>
      </c>
      <c r="B32" s="170" t="s">
        <v>3777</v>
      </c>
      <c r="C32" s="97">
        <v>45615</v>
      </c>
      <c r="D32" s="96" t="s">
        <v>512</v>
      </c>
      <c r="E32" s="98" t="s">
        <v>3780</v>
      </c>
      <c r="F32" s="96" t="s">
        <v>3778</v>
      </c>
      <c r="G32" s="96"/>
      <c r="H32" s="96" t="s">
        <v>3779</v>
      </c>
      <c r="I32" s="96"/>
      <c r="J32" s="96"/>
      <c r="K32" s="96"/>
    </row>
    <row r="33" spans="1:11" ht="37.5" customHeight="1">
      <c r="A33" s="170" t="s">
        <v>3608</v>
      </c>
      <c r="B33" s="170" t="s">
        <v>3781</v>
      </c>
      <c r="C33" s="97">
        <v>45620</v>
      </c>
      <c r="D33" s="96" t="s">
        <v>512</v>
      </c>
      <c r="E33" s="98" t="s">
        <v>3782</v>
      </c>
      <c r="F33" s="96" t="s">
        <v>3784</v>
      </c>
      <c r="G33" s="96"/>
      <c r="H33" s="96" t="s">
        <v>3783</v>
      </c>
      <c r="I33" s="96"/>
      <c r="J33" s="96"/>
      <c r="K33" s="96"/>
    </row>
    <row r="34" spans="1:11" ht="37.5" customHeight="1">
      <c r="A34" s="170" t="s">
        <v>3608</v>
      </c>
      <c r="B34" s="170" t="s">
        <v>3787</v>
      </c>
      <c r="C34" s="97">
        <v>45645</v>
      </c>
      <c r="D34" s="96" t="s">
        <v>512</v>
      </c>
      <c r="E34" s="98" t="s">
        <v>3788</v>
      </c>
      <c r="F34" s="96" t="s">
        <v>3789</v>
      </c>
      <c r="G34" s="96"/>
      <c r="H34" s="96" t="s">
        <v>3790</v>
      </c>
      <c r="I34" s="96"/>
      <c r="J34" s="96"/>
      <c r="K34" s="96"/>
    </row>
    <row r="35" spans="1:11" ht="84">
      <c r="A35" s="170" t="s">
        <v>3608</v>
      </c>
      <c r="B35" s="170" t="s">
        <v>3791</v>
      </c>
      <c r="C35" s="97">
        <v>45701</v>
      </c>
      <c r="D35" s="96" t="s">
        <v>512</v>
      </c>
      <c r="E35" s="98" t="s">
        <v>3822</v>
      </c>
      <c r="F35" s="96" t="s">
        <v>3807</v>
      </c>
      <c r="G35" s="96"/>
      <c r="H35" s="96" t="s">
        <v>3809</v>
      </c>
      <c r="I35" s="96"/>
      <c r="J35" s="96"/>
      <c r="K35" s="96"/>
    </row>
    <row r="36" spans="1:11" ht="28">
      <c r="A36" s="170" t="s">
        <v>3608</v>
      </c>
      <c r="B36" s="170" t="s">
        <v>3804</v>
      </c>
      <c r="C36" s="97">
        <v>45710</v>
      </c>
      <c r="D36" s="96" t="s">
        <v>512</v>
      </c>
      <c r="E36" s="98" t="s">
        <v>3806</v>
      </c>
      <c r="F36" s="96" t="s">
        <v>3805</v>
      </c>
      <c r="G36" s="96"/>
      <c r="H36" s="96" t="s">
        <v>3808</v>
      </c>
      <c r="I36" s="96"/>
      <c r="J36" s="96"/>
      <c r="K36" s="96"/>
    </row>
    <row r="37" spans="1:11" ht="14">
      <c r="A37" s="170" t="s">
        <v>3608</v>
      </c>
      <c r="B37" s="170" t="s">
        <v>3823</v>
      </c>
      <c r="C37" s="97">
        <v>45713</v>
      </c>
      <c r="D37" s="96" t="s">
        <v>512</v>
      </c>
      <c r="E37" s="98" t="s">
        <v>3824</v>
      </c>
      <c r="F37" s="96" t="s">
        <v>1267</v>
      </c>
      <c r="G37" s="96"/>
      <c r="H37" s="96" t="s">
        <v>3825</v>
      </c>
      <c r="I37" s="96"/>
      <c r="J37" s="96"/>
      <c r="K37" s="96"/>
    </row>
    <row r="38" spans="1:11" ht="119.25" customHeight="1">
      <c r="A38" s="170" t="s">
        <v>3608</v>
      </c>
      <c r="B38" s="170" t="s">
        <v>3832</v>
      </c>
      <c r="C38" s="97">
        <v>45813</v>
      </c>
      <c r="D38" s="96" t="s">
        <v>512</v>
      </c>
      <c r="E38" s="98" t="s">
        <v>3969</v>
      </c>
      <c r="F38" s="96" t="s">
        <v>3902</v>
      </c>
      <c r="G38" s="96"/>
      <c r="H38" s="96" t="s">
        <v>4031</v>
      </c>
      <c r="I38" s="96"/>
      <c r="J38" s="96"/>
      <c r="K38" s="96"/>
    </row>
    <row r="39" spans="1:11" ht="106.5" customHeight="1">
      <c r="A39" s="170" t="s">
        <v>3608</v>
      </c>
      <c r="B39" s="170" t="s">
        <v>4036</v>
      </c>
      <c r="C39" s="97">
        <v>45897</v>
      </c>
      <c r="D39" s="96" t="s">
        <v>512</v>
      </c>
      <c r="E39" s="98" t="s">
        <v>4154</v>
      </c>
      <c r="F39" s="96" t="s">
        <v>4032</v>
      </c>
      <c r="G39" s="96"/>
      <c r="H39" s="96" t="s">
        <v>4033</v>
      </c>
      <c r="I39" s="96"/>
      <c r="J39" s="96"/>
      <c r="K39" s="96"/>
    </row>
    <row r="40" spans="1:11" ht="14">
      <c r="A40" s="170" t="s">
        <v>3608</v>
      </c>
      <c r="B40" s="170" t="s">
        <v>4035</v>
      </c>
      <c r="C40" s="97">
        <v>45909</v>
      </c>
      <c r="D40" s="96" t="s">
        <v>512</v>
      </c>
      <c r="E40" s="98" t="s">
        <v>4034</v>
      </c>
      <c r="F40" s="96" t="s">
        <v>4145</v>
      </c>
      <c r="G40" s="96"/>
      <c r="H40" s="96" t="s">
        <v>4135</v>
      </c>
      <c r="I40" s="96"/>
      <c r="J40" s="96"/>
      <c r="K40" s="96"/>
    </row>
    <row r="41" spans="1:11" ht="70">
      <c r="A41" s="170" t="s">
        <v>3608</v>
      </c>
      <c r="B41" s="170" t="s">
        <v>4143</v>
      </c>
      <c r="C41" s="97">
        <v>45919</v>
      </c>
      <c r="D41" s="96" t="s">
        <v>512</v>
      </c>
      <c r="E41" s="98" t="s">
        <v>4165</v>
      </c>
      <c r="F41" s="98" t="s">
        <v>4160</v>
      </c>
      <c r="G41" s="96"/>
      <c r="H41" s="96" t="s">
        <v>4153</v>
      </c>
      <c r="I41" s="96"/>
      <c r="J41" s="96"/>
      <c r="K41" s="96"/>
    </row>
    <row r="42" spans="1:11" ht="132.75" customHeight="1">
      <c r="A42" s="170" t="s">
        <v>3608</v>
      </c>
      <c r="B42" s="170" t="s">
        <v>4166</v>
      </c>
      <c r="C42" s="97">
        <v>45999</v>
      </c>
      <c r="D42" s="96" t="s">
        <v>512</v>
      </c>
      <c r="E42" s="98" t="s">
        <v>4174</v>
      </c>
      <c r="F42" s="98" t="s">
        <v>4175</v>
      </c>
      <c r="G42" s="96"/>
      <c r="H42" s="96" t="s">
        <v>4167</v>
      </c>
      <c r="I42" s="96"/>
      <c r="J42" s="96"/>
      <c r="K42" s="96"/>
    </row>
    <row r="43" spans="1:11" ht="14">
      <c r="A43" s="170" t="s">
        <v>3608</v>
      </c>
      <c r="B43" s="170" t="s">
        <v>4176</v>
      </c>
      <c r="C43" s="97">
        <v>46015</v>
      </c>
      <c r="D43" s="96" t="s">
        <v>512</v>
      </c>
      <c r="E43" s="98" t="s">
        <v>4177</v>
      </c>
      <c r="F43" s="96" t="s">
        <v>1267</v>
      </c>
      <c r="G43" s="96"/>
      <c r="H43" s="96" t="s">
        <v>4178</v>
      </c>
      <c r="I43" s="96"/>
      <c r="J43" s="96"/>
      <c r="K43" s="96"/>
    </row>
    <row r="44" spans="1:11" ht="14">
      <c r="A44" s="170" t="s">
        <v>3608</v>
      </c>
      <c r="B44" s="170" t="s">
        <v>4179</v>
      </c>
      <c r="C44" s="97">
        <v>45997</v>
      </c>
      <c r="D44" s="96" t="s">
        <v>512</v>
      </c>
      <c r="E44" s="98" t="s">
        <v>4180</v>
      </c>
      <c r="F44" s="96" t="s">
        <v>4181</v>
      </c>
      <c r="G44" s="96"/>
      <c r="H44" s="96" t="s">
        <v>4178</v>
      </c>
      <c r="I44" s="96"/>
      <c r="J44" s="96"/>
      <c r="K44" s="96"/>
    </row>
    <row r="45" spans="1:11" ht="224">
      <c r="A45" s="170" t="s">
        <v>3608</v>
      </c>
      <c r="B45" s="170" t="s">
        <v>4182</v>
      </c>
      <c r="C45" s="97">
        <v>46087</v>
      </c>
      <c r="D45" s="96" t="s">
        <v>512</v>
      </c>
      <c r="E45" s="98" t="s">
        <v>4216</v>
      </c>
      <c r="F45" s="98" t="s">
        <v>4214</v>
      </c>
      <c r="G45" s="96"/>
      <c r="H45" s="96" t="s">
        <v>4215</v>
      </c>
      <c r="I45" s="96"/>
      <c r="J45" s="96"/>
      <c r="K45" s="96"/>
    </row>
    <row r="46" spans="1:11">
      <c r="A46" s="170"/>
      <c r="B46" s="170"/>
      <c r="C46" s="97"/>
      <c r="D46" s="96"/>
      <c r="E46" s="98"/>
      <c r="F46" s="96"/>
      <c r="G46" s="96"/>
      <c r="H46" s="96"/>
      <c r="I46" s="96"/>
      <c r="J46" s="96"/>
      <c r="K46" s="96"/>
    </row>
    <row r="47" spans="1:11">
      <c r="A47" s="170"/>
      <c r="B47" s="170"/>
      <c r="C47" s="97"/>
      <c r="D47" s="96"/>
      <c r="E47" s="98"/>
      <c r="F47" s="96"/>
      <c r="G47" s="96"/>
      <c r="H47" s="96"/>
      <c r="I47" s="96"/>
      <c r="J47" s="96"/>
      <c r="K47" s="96"/>
    </row>
    <row r="48" spans="1:11">
      <c r="A48" s="170"/>
      <c r="B48" s="170"/>
      <c r="C48" s="97"/>
      <c r="D48" s="96"/>
      <c r="E48" s="98"/>
      <c r="F48" s="96"/>
      <c r="G48" s="96"/>
      <c r="H48" s="96"/>
      <c r="I48" s="96"/>
      <c r="J48" s="96"/>
      <c r="K48" s="96"/>
    </row>
    <row r="49" spans="1:11">
      <c r="A49" s="170"/>
      <c r="B49" s="170"/>
      <c r="C49" s="97"/>
      <c r="D49" s="96"/>
      <c r="E49" s="98"/>
      <c r="F49" s="96"/>
      <c r="G49" s="96"/>
      <c r="H49" s="96"/>
      <c r="I49" s="96"/>
      <c r="J49" s="96"/>
      <c r="K49" s="96"/>
    </row>
    <row r="50" spans="1:11">
      <c r="A50" s="170"/>
      <c r="B50" s="170"/>
      <c r="C50" s="97"/>
      <c r="D50" s="96"/>
      <c r="E50" s="98"/>
      <c r="F50" s="96"/>
      <c r="G50" s="96"/>
      <c r="H50" s="96"/>
      <c r="I50" s="96"/>
      <c r="J50" s="96"/>
      <c r="K50" s="96"/>
    </row>
    <row r="51" spans="1:11">
      <c r="A51" s="170"/>
      <c r="B51" s="170"/>
      <c r="C51" s="97"/>
      <c r="D51" s="96"/>
      <c r="E51" s="98"/>
      <c r="F51" s="96"/>
      <c r="G51" s="96"/>
      <c r="H51" s="96"/>
      <c r="I51" s="96"/>
      <c r="J51" s="96"/>
      <c r="K51" s="96"/>
    </row>
    <row r="52" spans="1:11">
      <c r="A52" s="170"/>
      <c r="B52" s="170"/>
      <c r="C52" s="97"/>
      <c r="D52" s="96"/>
      <c r="E52" s="98"/>
      <c r="F52" s="96"/>
      <c r="G52" s="96"/>
      <c r="H52" s="96"/>
      <c r="I52" s="96"/>
      <c r="J52" s="96"/>
      <c r="K52" s="96"/>
    </row>
    <row r="53" spans="1:11">
      <c r="A53" s="170"/>
      <c r="B53" s="170"/>
      <c r="C53" s="97"/>
      <c r="D53" s="96"/>
      <c r="E53" s="98"/>
      <c r="F53" s="96"/>
      <c r="G53" s="96"/>
      <c r="H53" s="96"/>
      <c r="I53" s="96"/>
      <c r="J53" s="96"/>
      <c r="K53" s="96"/>
    </row>
    <row r="54" spans="1:11">
      <c r="A54" s="170"/>
      <c r="B54" s="170"/>
      <c r="C54" s="97"/>
      <c r="D54" s="96"/>
      <c r="E54" s="98"/>
      <c r="F54" s="96"/>
      <c r="G54" s="96"/>
      <c r="H54" s="96"/>
      <c r="I54" s="96"/>
      <c r="J54" s="96"/>
      <c r="K54" s="96"/>
    </row>
    <row r="55" spans="1:11">
      <c r="A55" s="170"/>
      <c r="B55" s="170"/>
      <c r="C55" s="97"/>
      <c r="D55" s="96"/>
      <c r="E55" s="98"/>
      <c r="F55" s="96"/>
      <c r="G55" s="96"/>
      <c r="H55" s="96"/>
      <c r="I55" s="96"/>
      <c r="J55" s="96"/>
      <c r="K55" s="96"/>
    </row>
    <row r="56" spans="1:11">
      <c r="A56" s="170"/>
      <c r="B56" s="170"/>
      <c r="C56" s="97"/>
      <c r="D56" s="96"/>
      <c r="E56" s="98"/>
      <c r="F56" s="96"/>
      <c r="G56" s="96"/>
      <c r="H56" s="96"/>
      <c r="I56" s="96"/>
      <c r="J56" s="96"/>
      <c r="K56" s="96"/>
    </row>
    <row r="57" spans="1:11">
      <c r="A57" s="170"/>
      <c r="B57" s="170"/>
      <c r="C57" s="97"/>
      <c r="D57" s="96"/>
      <c r="E57" s="98"/>
      <c r="F57" s="96"/>
      <c r="G57" s="96"/>
      <c r="H57" s="96"/>
      <c r="I57" s="96"/>
      <c r="J57" s="96"/>
      <c r="K57" s="96"/>
    </row>
    <row r="58" spans="1:11" s="92" customFormat="1">
      <c r="A58" s="171"/>
      <c r="B58" s="171"/>
      <c r="C58" s="100"/>
      <c r="D58" s="99"/>
      <c r="E58" s="101"/>
      <c r="F58" s="99"/>
      <c r="G58" s="99"/>
      <c r="H58" s="99"/>
      <c r="I58" s="99"/>
      <c r="J58" s="99"/>
      <c r="K58" s="99"/>
    </row>
    <row r="62" spans="1:11">
      <c r="C62" s="94"/>
    </row>
    <row r="63" spans="1:11">
      <c r="C63" s="94"/>
    </row>
    <row r="64" spans="1:11">
      <c r="C64" s="94"/>
    </row>
    <row r="65" spans="1:3">
      <c r="C65" s="94"/>
    </row>
    <row r="66" spans="1:3">
      <c r="C66" s="94"/>
    </row>
    <row r="67" spans="1:3">
      <c r="C67" s="94"/>
    </row>
    <row r="68" spans="1:3">
      <c r="C68" s="94"/>
    </row>
    <row r="69" spans="1:3">
      <c r="C69" s="94"/>
    </row>
    <row r="70" spans="1:3">
      <c r="C70" s="94"/>
    </row>
    <row r="71" spans="1:3">
      <c r="C71" s="94"/>
    </row>
    <row r="72" spans="1:3">
      <c r="C72" s="94"/>
    </row>
    <row r="73" spans="1:3">
      <c r="C73" s="94"/>
    </row>
    <row r="74" spans="1:3">
      <c r="C74" s="94"/>
    </row>
    <row r="75" spans="1:3" s="92" customFormat="1">
      <c r="A75" s="189"/>
      <c r="B75" s="189"/>
      <c r="C75" s="95"/>
    </row>
  </sheetData>
  <sheetProtection algorithmName="SHA-512" hashValue="kbFPINLc5EwCOcG++Tl1uquBB/fDu7q+UMHllOUTRbX9G6RSCFX5CeOCYhx7Mj+4gS0JeO8pg1kfQIjqxdq4hg==" saltValue="5KB/kMls9iaAE+uscmpndw==" spinCount="100000" sheet="1" objects="1" scenarios="1" selectLockedCells="1" selectUnlockedCells="1"/>
  <pageMargins left="0.7" right="0.7" top="0.78740157499999996" bottom="0.78740157499999996" header="0.3" footer="0.3"/>
  <pageSetup paperSize="9" scale="46" orientation="portrait" r:id="rId1"/>
  <headerFooter>
    <oddFooter>&amp;LDok.-Nr./Rev./Datum
F01         /  03   / 04.12.2020
&amp;F&amp;C&amp;U&amp;A&amp;RSeite &amp;P / &amp;N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55598-FC7A-4142-A540-82437F4E3407}">
  <sheetPr codeName="Recert_Teaching">
    <tabColor theme="5"/>
  </sheetPr>
  <dimension ref="A1:S65"/>
  <sheetViews>
    <sheetView zoomScale="70" zoomScaleNormal="70" workbookViewId="0">
      <selection activeCell="C11" sqref="C11"/>
    </sheetView>
  </sheetViews>
  <sheetFormatPr baseColWidth="10" defaultColWidth="11.5" defaultRowHeight="15"/>
  <cols>
    <col min="1" max="2" width="5.5" style="89" customWidth="1"/>
    <col min="3" max="4" width="27.5" style="89" customWidth="1"/>
    <col min="5" max="5" width="11.5" style="89"/>
    <col min="6" max="6" width="22.6640625" style="89" customWidth="1"/>
    <col min="7" max="7" width="13.5" style="89" customWidth="1"/>
    <col min="8" max="8" width="19.5" style="89" customWidth="1"/>
    <col min="9" max="10" width="37.33203125" style="89" customWidth="1"/>
    <col min="11" max="11" width="35.5" style="89" customWidth="1"/>
    <col min="12" max="12" width="31.83203125" style="149" customWidth="1"/>
    <col min="13" max="13" width="42.83203125" style="89" customWidth="1"/>
    <col min="14" max="14" width="19.5" style="89" bestFit="1" customWidth="1"/>
    <col min="15" max="15" width="8.5" style="89" customWidth="1"/>
    <col min="16" max="18" width="11.5" style="89"/>
    <col min="19" max="19" width="11.5" style="89" customWidth="1"/>
    <col min="20" max="16384" width="11.5" style="89"/>
  </cols>
  <sheetData>
    <row r="1" spans="1:19" ht="17" thickBot="1">
      <c r="C1" s="459"/>
      <c r="D1" s="459"/>
      <c r="E1" s="459"/>
      <c r="F1" s="459"/>
      <c r="G1" s="459"/>
      <c r="H1" s="459"/>
      <c r="I1" s="459"/>
      <c r="J1" s="459"/>
      <c r="K1" s="459"/>
      <c r="L1" s="459"/>
      <c r="M1" s="459"/>
      <c r="N1" s="459"/>
    </row>
    <row r="2" spans="1:19" ht="7.5" customHeight="1" thickTop="1">
      <c r="C2" s="172"/>
      <c r="D2" s="172"/>
      <c r="E2" s="172"/>
      <c r="F2" s="172"/>
      <c r="G2" s="172"/>
      <c r="H2" s="172"/>
      <c r="I2" s="172"/>
      <c r="J2" s="172"/>
      <c r="K2" s="172"/>
      <c r="L2" s="172"/>
      <c r="M2" s="172"/>
      <c r="N2" s="684"/>
    </row>
    <row r="3" spans="1:19" ht="32.25" customHeight="1">
      <c r="C3" s="2046" t="str">
        <f>Dictionary!B1116</f>
        <v>Professionelle Weiterbildung: Lehren und Anderen Erfahrung vermitteln</v>
      </c>
      <c r="D3" s="2046"/>
      <c r="E3" s="2046"/>
      <c r="F3" s="2046"/>
      <c r="G3" s="2046"/>
      <c r="H3" s="2046"/>
      <c r="I3" s="2046"/>
      <c r="J3" s="2046"/>
      <c r="K3" s="2046"/>
      <c r="L3" s="2046"/>
      <c r="M3" s="2046"/>
      <c r="N3" s="2046"/>
    </row>
    <row r="4" spans="1:19">
      <c r="C4" s="172"/>
      <c r="D4" s="172"/>
      <c r="E4" s="172"/>
      <c r="F4" s="172"/>
      <c r="G4" s="172"/>
      <c r="H4" s="172"/>
      <c r="I4" s="172"/>
      <c r="J4" s="172"/>
      <c r="K4" s="172"/>
      <c r="L4" s="172"/>
      <c r="M4" s="172"/>
      <c r="N4" s="684"/>
    </row>
    <row r="5" spans="1:19" ht="16">
      <c r="C5" s="2116" t="str">
        <f>COV!E7&amp;" "&amp;COV!E6&amp;", Level "&amp;COV!E16&amp;", "&amp;COV!E17&amp;" Management, "&amp;COV!T9</f>
        <v xml:space="preserve"> , Level A, Projekt Management, Erstzertifizierung</v>
      </c>
      <c r="D5" s="2116"/>
      <c r="E5" s="2116"/>
      <c r="F5" s="2116"/>
      <c r="G5" s="2116"/>
      <c r="H5" s="2116"/>
      <c r="I5" s="2116"/>
      <c r="J5" s="2116"/>
      <c r="K5" s="2116"/>
      <c r="L5" s="154" t="str">
        <f>Dictionary!B1040</f>
        <v>Anrechenbare Gesamt-Zeit</v>
      </c>
      <c r="M5" s="713"/>
      <c r="N5" s="1745" t="str">
        <f>COV!$L$26</f>
        <v>PM ZERT</v>
      </c>
    </row>
    <row r="6" spans="1:19">
      <c r="L6" s="153">
        <f>SUM(Tabelle28[Credited Duration '[hrs']])+SUM(Tabelle39[Credited Duration '[hrs']])+SUM(Tabelle10[Credited Duration '[hrs']])+SUM(Tabelle510[Credited Duration '[hrs']])</f>
        <v>0</v>
      </c>
      <c r="N6" s="1746" t="str">
        <f>COV!$D$94</f>
        <v/>
      </c>
    </row>
    <row r="7" spans="1:19">
      <c r="L7" s="89"/>
    </row>
    <row r="9" spans="1:19" s="152" customFormat="1" ht="24">
      <c r="A9" s="2122" t="str">
        <f>Dictionary!B1117</f>
        <v>WISSEN VERMITTELN</v>
      </c>
      <c r="B9" s="757"/>
      <c r="C9" s="144" t="str">
        <f>Dictionary!B1119</f>
        <v>Präsentieren (intern und extern)</v>
      </c>
      <c r="D9" s="89"/>
      <c r="E9" s="89"/>
      <c r="F9" s="89"/>
      <c r="G9" s="89"/>
      <c r="H9" s="89"/>
      <c r="I9" s="89"/>
      <c r="J9" s="89"/>
      <c r="K9" s="89"/>
      <c r="L9" s="2123"/>
      <c r="M9" s="2124"/>
      <c r="S9" s="89"/>
    </row>
    <row r="10" spans="1:19">
      <c r="A10" s="2122"/>
      <c r="B10" s="792"/>
      <c r="C10" s="785" t="str">
        <f>Dictionary!B1124</f>
        <v>Veranstaltung / Titel der Präsentation</v>
      </c>
      <c r="D10" s="786" t="str">
        <f>Dictionary!B1125</f>
        <v>Zielgruppe</v>
      </c>
      <c r="E10" s="786" t="str">
        <f>Dictionary!B1032</f>
        <v>Ort</v>
      </c>
      <c r="F10" s="786" t="str">
        <f>Dictionary!B1033</f>
        <v>Start Datum</v>
      </c>
      <c r="G10" s="786" t="str">
        <f>Dictionary!B1034</f>
        <v>End Datum</v>
      </c>
      <c r="H10" s="786" t="str">
        <f>Dictionary!B1035</f>
        <v>Dauer (Std.)</v>
      </c>
      <c r="I10" s="786" t="str">
        <f>Dictionary!B1036&amp;" 1"</f>
        <v>ICB Element Referenz 1</v>
      </c>
      <c r="J10" s="786" t="str">
        <f>Dictionary!B1036&amp;" 2"</f>
        <v>ICB Element Referenz 2</v>
      </c>
      <c r="K10" s="786" t="str">
        <f>Dictionary!B1128</f>
        <v>Präsentationsdokument</v>
      </c>
      <c r="L10" s="787" t="str">
        <f>Dictionary!B1038</f>
        <v>Anerkennungsfähige Dauer (Std.)</v>
      </c>
      <c r="M10" s="788" t="str">
        <f>Dictionary!B1039</f>
        <v>Hinweise</v>
      </c>
    </row>
    <row r="11" spans="1:19">
      <c r="A11" s="2122"/>
      <c r="B11" s="793">
        <v>1</v>
      </c>
      <c r="C11" s="140"/>
      <c r="D11" s="140"/>
      <c r="E11" s="137"/>
      <c r="F11" s="139"/>
      <c r="G11" s="139"/>
      <c r="H11" s="137"/>
      <c r="I11" s="137"/>
      <c r="J11" s="137"/>
      <c r="K11" s="137"/>
      <c r="L11" s="136" t="str">
        <f>IF(Tabelle28[[#This Row],[Duration '[hrs']]]*1&gt;0,Checks!Q147,"")</f>
        <v/>
      </c>
      <c r="M11" s="169" t="str">
        <f>Checks!R147</f>
        <v/>
      </c>
    </row>
    <row r="12" spans="1:19">
      <c r="A12" s="2122"/>
      <c r="B12" s="793">
        <v>2</v>
      </c>
      <c r="C12" s="140"/>
      <c r="D12" s="140"/>
      <c r="E12" s="137"/>
      <c r="F12" s="139"/>
      <c r="G12" s="139"/>
      <c r="H12" s="137"/>
      <c r="I12" s="137"/>
      <c r="J12" s="137"/>
      <c r="K12" s="137"/>
      <c r="L12" s="136" t="str">
        <f>IF(Tabelle28[[#This Row],[Duration '[hrs']]]*1&gt;0,Checks!Q148,"")</f>
        <v/>
      </c>
      <c r="M12" s="169" t="str">
        <f>Checks!R148</f>
        <v/>
      </c>
    </row>
    <row r="13" spans="1:19">
      <c r="A13" s="2122"/>
      <c r="B13" s="793">
        <v>3</v>
      </c>
      <c r="C13" s="140"/>
      <c r="D13" s="140"/>
      <c r="E13" s="137"/>
      <c r="F13" s="139"/>
      <c r="G13" s="139"/>
      <c r="H13" s="137"/>
      <c r="I13" s="137"/>
      <c r="J13" s="137"/>
      <c r="K13" s="137"/>
      <c r="L13" s="136" t="str">
        <f>IF(Tabelle28[[#This Row],[Duration '[hrs']]]*1&gt;0,Checks!Q149,"")</f>
        <v/>
      </c>
      <c r="M13" s="169" t="str">
        <f>Checks!R149</f>
        <v/>
      </c>
    </row>
    <row r="14" spans="1:19">
      <c r="A14" s="2122"/>
      <c r="B14" s="793">
        <v>4</v>
      </c>
      <c r="C14" s="140"/>
      <c r="D14" s="140"/>
      <c r="E14" s="137"/>
      <c r="F14" s="139"/>
      <c r="G14" s="139"/>
      <c r="H14" s="137"/>
      <c r="I14" s="137"/>
      <c r="J14" s="137"/>
      <c r="K14" s="137"/>
      <c r="L14" s="136" t="str">
        <f>IF(Tabelle28[[#This Row],[Duration '[hrs']]]*1&gt;0,Checks!Q150,"")</f>
        <v/>
      </c>
      <c r="M14" s="169" t="str">
        <f>Checks!R150</f>
        <v/>
      </c>
    </row>
    <row r="15" spans="1:19">
      <c r="A15" s="2122"/>
      <c r="B15" s="793">
        <v>5</v>
      </c>
      <c r="C15" s="140"/>
      <c r="D15" s="140"/>
      <c r="E15" s="137"/>
      <c r="F15" s="139"/>
      <c r="G15" s="139"/>
      <c r="H15" s="137"/>
      <c r="I15" s="137"/>
      <c r="J15" s="137"/>
      <c r="K15" s="137"/>
      <c r="L15" s="136" t="str">
        <f>IF(Tabelle28[[#This Row],[Duration '[hrs']]]*1&gt;0,Checks!Q151,"")</f>
        <v/>
      </c>
      <c r="M15" s="169" t="str">
        <f>Checks!R151</f>
        <v/>
      </c>
    </row>
    <row r="16" spans="1:19">
      <c r="A16" s="2122"/>
      <c r="B16" s="793">
        <v>6</v>
      </c>
      <c r="C16" s="140"/>
      <c r="D16" s="140"/>
      <c r="E16" s="137"/>
      <c r="F16" s="139"/>
      <c r="G16" s="139"/>
      <c r="H16" s="137"/>
      <c r="I16" s="137"/>
      <c r="J16" s="137"/>
      <c r="K16" s="137"/>
      <c r="L16" s="136" t="str">
        <f>IF(Tabelle28[[#This Row],[Duration '[hrs']]]*1&gt;0,Checks!Q152,"")</f>
        <v/>
      </c>
      <c r="M16" s="169" t="str">
        <f>Checks!R152</f>
        <v/>
      </c>
    </row>
    <row r="17" spans="1:13">
      <c r="A17" s="2122"/>
      <c r="B17" s="793">
        <v>7</v>
      </c>
      <c r="C17" s="140"/>
      <c r="D17" s="140"/>
      <c r="E17" s="137"/>
      <c r="F17" s="139"/>
      <c r="G17" s="139"/>
      <c r="H17" s="137"/>
      <c r="I17" s="137"/>
      <c r="J17" s="137"/>
      <c r="K17" s="137"/>
      <c r="L17" s="136" t="str">
        <f>IF(Tabelle28[[#This Row],[Duration '[hrs']]]*1&gt;0,Checks!Q153,"")</f>
        <v/>
      </c>
      <c r="M17" s="169" t="str">
        <f>Checks!R153</f>
        <v/>
      </c>
    </row>
    <row r="18" spans="1:13">
      <c r="A18" s="2122"/>
      <c r="B18" s="793">
        <v>8</v>
      </c>
      <c r="C18" s="140"/>
      <c r="D18" s="140"/>
      <c r="E18" s="137"/>
      <c r="F18" s="139"/>
      <c r="G18" s="139"/>
      <c r="H18" s="137"/>
      <c r="I18" s="137"/>
      <c r="J18" s="137"/>
      <c r="K18" s="137"/>
      <c r="L18" s="136" t="str">
        <f>IF(Tabelle28[[#This Row],[Duration '[hrs']]]*1&gt;0,Checks!Q154,"")</f>
        <v/>
      </c>
      <c r="M18" s="169" t="str">
        <f>Checks!R154</f>
        <v/>
      </c>
    </row>
    <row r="19" spans="1:13">
      <c r="A19" s="2122"/>
      <c r="B19" s="793">
        <v>9</v>
      </c>
      <c r="C19" s="140"/>
      <c r="D19" s="140"/>
      <c r="E19" s="137"/>
      <c r="F19" s="139"/>
      <c r="G19" s="139"/>
      <c r="H19" s="137"/>
      <c r="I19" s="137"/>
      <c r="J19" s="137"/>
      <c r="K19" s="137"/>
      <c r="L19" s="136" t="str">
        <f>IF(Tabelle28[[#This Row],[Duration '[hrs']]]*1&gt;0,Checks!Q155,"")</f>
        <v/>
      </c>
      <c r="M19" s="169" t="str">
        <f>Checks!R155</f>
        <v/>
      </c>
    </row>
    <row r="20" spans="1:13">
      <c r="A20" s="2122"/>
      <c r="B20" s="793">
        <v>10</v>
      </c>
      <c r="C20" s="140"/>
      <c r="D20" s="140"/>
      <c r="E20" s="137"/>
      <c r="F20" s="139"/>
      <c r="G20" s="139"/>
      <c r="H20" s="137"/>
      <c r="I20" s="137"/>
      <c r="J20" s="137"/>
      <c r="K20" s="137"/>
      <c r="L20" s="136" t="str">
        <f>IF(Tabelle28[[#This Row],[Duration '[hrs']]]*1&gt;0,Checks!Q156,"")</f>
        <v/>
      </c>
      <c r="M20" s="169" t="str">
        <f>Checks!R156</f>
        <v/>
      </c>
    </row>
    <row r="21" spans="1:13">
      <c r="A21" s="2122"/>
      <c r="B21" s="793"/>
      <c r="L21" s="135"/>
    </row>
    <row r="22" spans="1:13" ht="24">
      <c r="A22" s="2122"/>
      <c r="B22" s="793"/>
      <c r="C22" s="144" t="str">
        <f>Dictionary!B1120</f>
        <v>Trainings geben (intern und extern)</v>
      </c>
      <c r="L22" s="2123"/>
      <c r="M22" s="2124"/>
    </row>
    <row r="23" spans="1:13">
      <c r="A23" s="2122"/>
      <c r="B23" s="793"/>
      <c r="C23" s="785" t="str">
        <f>Dictionary!B1123</f>
        <v>Name des Trainings</v>
      </c>
      <c r="D23" s="143" t="str">
        <f>D10</f>
        <v>Zielgruppe</v>
      </c>
      <c r="E23" s="143" t="str">
        <f>E10</f>
        <v>Ort</v>
      </c>
      <c r="F23" s="143" t="str">
        <f>F10</f>
        <v>Start Datum</v>
      </c>
      <c r="G23" s="143" t="str">
        <f>G10</f>
        <v>End Datum</v>
      </c>
      <c r="H23" s="143" t="str">
        <f>H10</f>
        <v>Dauer (Std.)</v>
      </c>
      <c r="I23" s="143" t="str">
        <f>Dictionary!B1036&amp;" 1"</f>
        <v>ICB Element Referenz 1</v>
      </c>
      <c r="J23" s="143" t="str">
        <f>Dictionary!B1036&amp;" 2"</f>
        <v>ICB Element Referenz 2</v>
      </c>
      <c r="K23" s="143" t="str">
        <f>Dictionary!B1129</f>
        <v>Trainingsunterlagen</v>
      </c>
      <c r="L23" s="787" t="str">
        <f>Dictionary!B1038</f>
        <v>Anerkennungsfähige Dauer (Std.)</v>
      </c>
      <c r="M23" s="788" t="str">
        <f>Dictionary!B1039</f>
        <v>Hinweise</v>
      </c>
    </row>
    <row r="24" spans="1:13">
      <c r="A24" s="2122"/>
      <c r="B24" s="793">
        <v>1</v>
      </c>
      <c r="C24" s="147"/>
      <c r="D24" s="150"/>
      <c r="E24" s="150"/>
      <c r="F24" s="151"/>
      <c r="G24" s="139"/>
      <c r="H24" s="150"/>
      <c r="I24" s="150"/>
      <c r="J24" s="150"/>
      <c r="K24" s="150"/>
      <c r="L24" s="136" t="str">
        <f>IF(Tabelle39[[#This Row],[Duration '[hrs']]]*1&gt;0,Checks!Q122,"")</f>
        <v/>
      </c>
      <c r="M24" s="169" t="str">
        <f>Checks!R122</f>
        <v/>
      </c>
    </row>
    <row r="25" spans="1:13">
      <c r="A25" s="2122"/>
      <c r="B25" s="793">
        <v>2</v>
      </c>
      <c r="C25" s="147"/>
      <c r="D25" s="145"/>
      <c r="E25" s="145"/>
      <c r="F25" s="146"/>
      <c r="G25" s="139"/>
      <c r="H25" s="145"/>
      <c r="I25" s="145"/>
      <c r="J25" s="145"/>
      <c r="K25" s="145"/>
      <c r="L25" s="136" t="str">
        <f>IF(Tabelle39[[#This Row],[Duration '[hrs']]]*1&gt;0,Checks!Q123,"")</f>
        <v/>
      </c>
      <c r="M25" s="169" t="str">
        <f>Checks!R123</f>
        <v/>
      </c>
    </row>
    <row r="26" spans="1:13">
      <c r="A26" s="2122"/>
      <c r="B26" s="793">
        <v>3</v>
      </c>
      <c r="C26" s="147"/>
      <c r="D26" s="145"/>
      <c r="E26" s="145"/>
      <c r="F26" s="146"/>
      <c r="G26" s="139"/>
      <c r="H26" s="145"/>
      <c r="I26" s="145"/>
      <c r="J26" s="145"/>
      <c r="K26" s="145"/>
      <c r="L26" s="136" t="str">
        <f>IF(Tabelle39[[#This Row],[Duration '[hrs']]]*1&gt;0,Checks!Q124,"")</f>
        <v/>
      </c>
      <c r="M26" s="169" t="str">
        <f>Checks!R124</f>
        <v/>
      </c>
    </row>
    <row r="27" spans="1:13">
      <c r="A27" s="2122"/>
      <c r="B27" s="793">
        <v>4</v>
      </c>
      <c r="C27" s="147"/>
      <c r="D27" s="145"/>
      <c r="E27" s="145"/>
      <c r="F27" s="146"/>
      <c r="G27" s="139"/>
      <c r="H27" s="145"/>
      <c r="I27" s="145"/>
      <c r="J27" s="145"/>
      <c r="K27" s="145"/>
      <c r="L27" s="136" t="str">
        <f>IF(Tabelle39[[#This Row],[Duration '[hrs']]]*1&gt;0,Checks!Q125,"")</f>
        <v/>
      </c>
      <c r="M27" s="169" t="str">
        <f>Checks!R125</f>
        <v/>
      </c>
    </row>
    <row r="28" spans="1:13">
      <c r="A28" s="2122"/>
      <c r="B28" s="793">
        <v>5</v>
      </c>
      <c r="C28" s="147"/>
      <c r="D28" s="145"/>
      <c r="E28" s="145"/>
      <c r="F28" s="146"/>
      <c r="G28" s="139"/>
      <c r="H28" s="145"/>
      <c r="I28" s="145"/>
      <c r="J28" s="145"/>
      <c r="K28" s="145"/>
      <c r="L28" s="136" t="str">
        <f>IF(Tabelle39[[#This Row],[Duration '[hrs']]]*1&gt;0,Checks!Q126,"")</f>
        <v/>
      </c>
      <c r="M28" s="169" t="str">
        <f>Checks!R126</f>
        <v/>
      </c>
    </row>
    <row r="29" spans="1:13">
      <c r="A29" s="2122"/>
      <c r="B29" s="793">
        <v>6</v>
      </c>
      <c r="C29" s="147"/>
      <c r="D29" s="150"/>
      <c r="E29" s="150"/>
      <c r="F29" s="151"/>
      <c r="G29" s="139"/>
      <c r="H29" s="150"/>
      <c r="I29" s="150"/>
      <c r="J29" s="150"/>
      <c r="K29" s="150"/>
      <c r="L29" s="136" t="str">
        <f>IF(Tabelle39[[#This Row],[Duration '[hrs']]]*1&gt;0,Checks!Q127,"")</f>
        <v/>
      </c>
      <c r="M29" s="169" t="str">
        <f>Checks!R127</f>
        <v/>
      </c>
    </row>
    <row r="30" spans="1:13">
      <c r="A30" s="2122"/>
      <c r="B30" s="793">
        <v>7</v>
      </c>
      <c r="C30" s="147"/>
      <c r="D30" s="145"/>
      <c r="E30" s="145"/>
      <c r="F30" s="146"/>
      <c r="G30" s="139"/>
      <c r="H30" s="145"/>
      <c r="I30" s="145"/>
      <c r="J30" s="145"/>
      <c r="K30" s="145"/>
      <c r="L30" s="136" t="str">
        <f>IF(Tabelle39[[#This Row],[Duration '[hrs']]]*1&gt;0,Checks!Q128,"")</f>
        <v/>
      </c>
      <c r="M30" s="169" t="str">
        <f>Checks!R128</f>
        <v/>
      </c>
    </row>
    <row r="31" spans="1:13">
      <c r="A31" s="2122"/>
      <c r="B31" s="793">
        <v>8</v>
      </c>
      <c r="C31" s="147"/>
      <c r="D31" s="145"/>
      <c r="E31" s="145"/>
      <c r="F31" s="146"/>
      <c r="G31" s="139"/>
      <c r="H31" s="145"/>
      <c r="I31" s="145"/>
      <c r="J31" s="145"/>
      <c r="K31" s="145"/>
      <c r="L31" s="136" t="str">
        <f>IF(Tabelle39[[#This Row],[Duration '[hrs']]]*1&gt;0,Checks!Q129,"")</f>
        <v/>
      </c>
      <c r="M31" s="169" t="str">
        <f>Checks!R129</f>
        <v/>
      </c>
    </row>
    <row r="32" spans="1:13">
      <c r="A32" s="2122"/>
      <c r="B32" s="793">
        <v>9</v>
      </c>
      <c r="C32" s="147"/>
      <c r="D32" s="145"/>
      <c r="E32" s="145"/>
      <c r="F32" s="146"/>
      <c r="G32" s="139"/>
      <c r="H32" s="145"/>
      <c r="I32" s="145"/>
      <c r="J32" s="145"/>
      <c r="K32" s="145"/>
      <c r="L32" s="136" t="str">
        <f>IF(Tabelle39[[#This Row],[Duration '[hrs']]]*1&gt;0,Checks!Q130,"")</f>
        <v/>
      </c>
      <c r="M32" s="169" t="str">
        <f>Checks!R130</f>
        <v/>
      </c>
    </row>
    <row r="33" spans="1:13">
      <c r="A33" s="2122"/>
      <c r="B33" s="793">
        <v>10</v>
      </c>
      <c r="C33" s="147"/>
      <c r="D33" s="145"/>
      <c r="E33" s="145"/>
      <c r="F33" s="146"/>
      <c r="G33" s="139"/>
      <c r="H33" s="145"/>
      <c r="I33" s="145"/>
      <c r="J33" s="145"/>
      <c r="K33" s="145"/>
      <c r="L33" s="136" t="str">
        <f>IF(Tabelle39[[#This Row],[Duration '[hrs']]]*1&gt;0,Checks!Q131,"")</f>
        <v/>
      </c>
      <c r="M33" s="169" t="str">
        <f>Checks!R131</f>
        <v/>
      </c>
    </row>
    <row r="34" spans="1:13">
      <c r="A34" s="2122"/>
      <c r="B34" s="793"/>
      <c r="C34" s="149"/>
      <c r="D34" s="149"/>
      <c r="E34" s="149"/>
      <c r="F34" s="149"/>
      <c r="G34" s="149"/>
      <c r="H34" s="149"/>
      <c r="I34" s="149"/>
      <c r="J34" s="149"/>
      <c r="K34" s="149"/>
      <c r="L34" s="135"/>
    </row>
    <row r="35" spans="1:13" ht="24">
      <c r="A35" s="2122"/>
      <c r="B35" s="793"/>
      <c r="C35" s="144" t="str">
        <f>Dictionary!B1121</f>
        <v>Mentor sein</v>
      </c>
      <c r="D35" s="149"/>
      <c r="E35" s="149"/>
      <c r="F35" s="149"/>
      <c r="G35" s="149"/>
      <c r="H35" s="149"/>
      <c r="I35" s="149"/>
      <c r="J35" s="149"/>
      <c r="K35" s="148"/>
      <c r="L35" s="2123"/>
      <c r="M35" s="2124"/>
    </row>
    <row r="36" spans="1:13">
      <c r="A36" s="2122"/>
      <c r="B36" s="793"/>
      <c r="C36" s="789" t="str">
        <f>Dictionary!B1126</f>
        <v>Name des Mentees</v>
      </c>
      <c r="D36" s="790" t="str">
        <f>Dictionary!B1127</f>
        <v>Organisation des Mentees</v>
      </c>
      <c r="E36" s="790" t="str">
        <f>E10</f>
        <v>Ort</v>
      </c>
      <c r="F36" s="790" t="str">
        <f>F10</f>
        <v>Start Datum</v>
      </c>
      <c r="G36" s="790" t="str">
        <f>G10</f>
        <v>End Datum</v>
      </c>
      <c r="H36" s="790" t="str">
        <f>H10</f>
        <v>Dauer (Std.)</v>
      </c>
      <c r="I36" s="790" t="str">
        <f>Dictionary!B1058</f>
        <v>Mentoring Thema</v>
      </c>
      <c r="J36" s="790" t="str">
        <f>Dictionary!B1036&amp;" 1"</f>
        <v>ICB Element Referenz 1</v>
      </c>
      <c r="K36" s="790" t="str">
        <f>Dictionary!B1036&amp;" 2"</f>
        <v>ICB Element Referenz 2</v>
      </c>
      <c r="L36" s="787" t="str">
        <f>Dictionary!B1038</f>
        <v>Anerkennungsfähige Dauer (Std.)</v>
      </c>
      <c r="M36" s="788" t="str">
        <f>Dictionary!B1039</f>
        <v>Hinweise</v>
      </c>
    </row>
    <row r="37" spans="1:13">
      <c r="A37" s="2122"/>
      <c r="B37" s="793">
        <v>1</v>
      </c>
      <c r="C37" s="147"/>
      <c r="D37" s="145"/>
      <c r="E37" s="145"/>
      <c r="F37" s="146"/>
      <c r="G37" s="139"/>
      <c r="H37" s="145"/>
      <c r="I37" s="145"/>
      <c r="J37" s="145"/>
      <c r="K37" s="145"/>
      <c r="L37" s="136" t="str">
        <f>IF(Tabelle10[[#This Row],[Duration '[hrs']]]*1&gt;0,Checks!Q134,"")</f>
        <v/>
      </c>
      <c r="M37" s="169" t="str">
        <f>Checks!R134</f>
        <v/>
      </c>
    </row>
    <row r="38" spans="1:13">
      <c r="A38" s="2122"/>
      <c r="B38" s="793">
        <v>2</v>
      </c>
      <c r="C38" s="147"/>
      <c r="D38" s="145"/>
      <c r="E38" s="145"/>
      <c r="F38" s="146"/>
      <c r="G38" s="139"/>
      <c r="H38" s="145"/>
      <c r="I38" s="145"/>
      <c r="J38" s="145"/>
      <c r="K38" s="145"/>
      <c r="L38" s="136" t="str">
        <f>IF(Tabelle10[[#This Row],[Duration '[hrs']]]*1&gt;0,Checks!Q135,"")</f>
        <v/>
      </c>
      <c r="M38" s="169" t="str">
        <f>Checks!R135</f>
        <v/>
      </c>
    </row>
    <row r="39" spans="1:13">
      <c r="A39" s="2122"/>
      <c r="B39" s="793">
        <v>3</v>
      </c>
      <c r="C39" s="147"/>
      <c r="D39" s="145"/>
      <c r="E39" s="145"/>
      <c r="F39" s="146"/>
      <c r="G39" s="139"/>
      <c r="H39" s="145"/>
      <c r="I39" s="145"/>
      <c r="J39" s="145"/>
      <c r="K39" s="145"/>
      <c r="L39" s="136" t="str">
        <f>IF(Tabelle10[[#This Row],[Duration '[hrs']]]*1&gt;0,Checks!Q136,"")</f>
        <v/>
      </c>
      <c r="M39" s="169" t="str">
        <f>Checks!R136</f>
        <v/>
      </c>
    </row>
    <row r="40" spans="1:13">
      <c r="A40" s="2122"/>
      <c r="B40" s="793">
        <v>4</v>
      </c>
      <c r="C40" s="147"/>
      <c r="D40" s="145"/>
      <c r="E40" s="145"/>
      <c r="F40" s="146"/>
      <c r="G40" s="139"/>
      <c r="H40" s="145"/>
      <c r="I40" s="145"/>
      <c r="J40" s="145"/>
      <c r="K40" s="145"/>
      <c r="L40" s="136" t="str">
        <f>IF(Tabelle10[[#This Row],[Duration '[hrs']]]*1&gt;0,Checks!Q137,"")</f>
        <v/>
      </c>
      <c r="M40" s="169" t="str">
        <f>Checks!R137</f>
        <v/>
      </c>
    </row>
    <row r="41" spans="1:13">
      <c r="A41" s="2122"/>
      <c r="B41" s="793">
        <v>5</v>
      </c>
      <c r="C41" s="147"/>
      <c r="D41" s="145"/>
      <c r="E41" s="145"/>
      <c r="F41" s="146"/>
      <c r="G41" s="139"/>
      <c r="H41" s="145"/>
      <c r="I41" s="145"/>
      <c r="J41" s="145"/>
      <c r="K41" s="145"/>
      <c r="L41" s="136" t="str">
        <f>IF(Tabelle10[[#This Row],[Duration '[hrs']]]*1&gt;0,Checks!Q138,"")</f>
        <v/>
      </c>
      <c r="M41" s="169" t="str">
        <f>Checks!R138</f>
        <v/>
      </c>
    </row>
    <row r="42" spans="1:13">
      <c r="A42" s="2122"/>
      <c r="B42" s="793">
        <v>6</v>
      </c>
      <c r="C42" s="147"/>
      <c r="D42" s="145"/>
      <c r="E42" s="145"/>
      <c r="F42" s="146"/>
      <c r="G42" s="139"/>
      <c r="H42" s="145"/>
      <c r="I42" s="145"/>
      <c r="J42" s="145"/>
      <c r="K42" s="145"/>
      <c r="L42" s="136" t="str">
        <f>IF(Tabelle10[[#This Row],[Duration '[hrs']]]*1&gt;0,Checks!Q139,"")</f>
        <v/>
      </c>
      <c r="M42" s="169" t="str">
        <f>Checks!R139</f>
        <v/>
      </c>
    </row>
    <row r="43" spans="1:13">
      <c r="A43" s="2122"/>
      <c r="B43" s="793">
        <v>7</v>
      </c>
      <c r="C43" s="147"/>
      <c r="D43" s="145"/>
      <c r="E43" s="145"/>
      <c r="F43" s="146"/>
      <c r="G43" s="139"/>
      <c r="H43" s="145"/>
      <c r="I43" s="145"/>
      <c r="J43" s="145"/>
      <c r="K43" s="145"/>
      <c r="L43" s="136" t="str">
        <f>IF(Tabelle10[[#This Row],[Duration '[hrs']]]*1&gt;0,Checks!Q140,"")</f>
        <v/>
      </c>
      <c r="M43" s="169" t="str">
        <f>Checks!R140</f>
        <v/>
      </c>
    </row>
    <row r="44" spans="1:13">
      <c r="A44" s="2122"/>
      <c r="B44" s="793">
        <v>8</v>
      </c>
      <c r="C44" s="147"/>
      <c r="D44" s="145"/>
      <c r="E44" s="145"/>
      <c r="F44" s="146"/>
      <c r="G44" s="139"/>
      <c r="H44" s="145"/>
      <c r="I44" s="145"/>
      <c r="J44" s="145"/>
      <c r="K44" s="145"/>
      <c r="L44" s="136" t="str">
        <f>IF(Tabelle10[[#This Row],[Duration '[hrs']]]*1&gt;0,Checks!Q141,"")</f>
        <v/>
      </c>
      <c r="M44" s="169" t="str">
        <f>Checks!R141</f>
        <v/>
      </c>
    </row>
    <row r="45" spans="1:13">
      <c r="A45" s="2122"/>
      <c r="B45" s="793">
        <v>9</v>
      </c>
      <c r="C45" s="147"/>
      <c r="D45" s="145"/>
      <c r="E45" s="145"/>
      <c r="F45" s="146"/>
      <c r="G45" s="139"/>
      <c r="H45" s="145"/>
      <c r="I45" s="145"/>
      <c r="J45" s="145"/>
      <c r="K45" s="145"/>
      <c r="L45" s="136" t="str">
        <f>IF(Tabelle10[[#This Row],[Duration '[hrs']]]*1&gt;0,Checks!Q142,"")</f>
        <v/>
      </c>
      <c r="M45" s="169" t="str">
        <f>Checks!R142</f>
        <v/>
      </c>
    </row>
    <row r="46" spans="1:13">
      <c r="A46" s="2122"/>
      <c r="B46" s="793">
        <v>10</v>
      </c>
      <c r="C46" s="147"/>
      <c r="D46" s="145"/>
      <c r="E46" s="145"/>
      <c r="F46" s="146"/>
      <c r="G46" s="139"/>
      <c r="H46" s="145"/>
      <c r="I46" s="145"/>
      <c r="J46" s="145"/>
      <c r="K46" s="145"/>
      <c r="L46" s="136" t="str">
        <f>IF(Tabelle10[[#This Row],[Duration '[hrs']]]*1&gt;0,Checks!Q143,"")</f>
        <v/>
      </c>
      <c r="M46" s="169" t="str">
        <f>Checks!R143</f>
        <v/>
      </c>
    </row>
    <row r="47" spans="1:13">
      <c r="A47" s="2122"/>
      <c r="B47" s="793"/>
      <c r="L47" s="135"/>
    </row>
    <row r="48" spans="1:13" ht="24">
      <c r="A48" s="2122"/>
      <c r="B48" s="793"/>
      <c r="C48" s="144" t="str">
        <f>Dictionary!B1122</f>
        <v>Eigene Veröffentlichungen (externe)</v>
      </c>
      <c r="L48" s="2123"/>
      <c r="M48" s="2124"/>
    </row>
    <row r="49" spans="1:14">
      <c r="A49" s="2122"/>
      <c r="B49" s="793"/>
      <c r="C49" s="785" t="str">
        <f>Dictionary!B1041</f>
        <v>Titel / Thema</v>
      </c>
      <c r="D49" s="786" t="str">
        <f>RCL!D101</f>
        <v>Verlag</v>
      </c>
      <c r="E49" s="790" t="str">
        <f>RCL!E101</f>
        <v>Ort</v>
      </c>
      <c r="F49" s="790" t="str">
        <f>RCL!F101</f>
        <v>Veröffentlichungsdatum</v>
      </c>
      <c r="G49" s="791" t="s">
        <v>606</v>
      </c>
      <c r="H49" s="791" t="str">
        <f>RCL!H101</f>
        <v>Seitenanzahl</v>
      </c>
      <c r="I49" s="791" t="str">
        <f>Dictionary!B1036&amp;" 1"</f>
        <v>ICB Element Referenz 1</v>
      </c>
      <c r="J49" s="791" t="str">
        <f>Dictionary!B1036&amp;" 2"</f>
        <v>ICB Element Referenz 2</v>
      </c>
      <c r="K49" s="791"/>
      <c r="L49" s="787" t="str">
        <f>Dictionary!B1038</f>
        <v>Anerkennungsfähige Dauer (Std.)</v>
      </c>
      <c r="M49" s="788" t="str">
        <f>Dictionary!B1039</f>
        <v>Hinweise</v>
      </c>
    </row>
    <row r="50" spans="1:14">
      <c r="A50" s="2122"/>
      <c r="B50" s="793">
        <v>1</v>
      </c>
      <c r="C50" s="141"/>
      <c r="D50" s="140"/>
      <c r="E50" s="137"/>
      <c r="F50" s="146"/>
      <c r="G50" s="138"/>
      <c r="H50" s="137"/>
      <c r="I50" s="137"/>
      <c r="J50" s="137"/>
      <c r="K50" s="1529"/>
      <c r="L50" s="136" t="str">
        <f>IF(Tabelle510[[#This Row],[Pages]]*1&gt;0,Checks!Q160,"")</f>
        <v/>
      </c>
      <c r="M50" s="169" t="str">
        <f>Checks!R160</f>
        <v/>
      </c>
    </row>
    <row r="51" spans="1:14">
      <c r="A51" s="2122"/>
      <c r="B51" s="793">
        <v>2</v>
      </c>
      <c r="C51" s="141"/>
      <c r="D51" s="140"/>
      <c r="E51" s="137"/>
      <c r="F51" s="146"/>
      <c r="G51" s="138"/>
      <c r="H51" s="137"/>
      <c r="I51" s="137"/>
      <c r="J51" s="137"/>
      <c r="K51" s="1529"/>
      <c r="L51" s="136" t="str">
        <f>IF(Tabelle510[[#This Row],[Pages]]*1&gt;0,Checks!Q161,"")</f>
        <v/>
      </c>
      <c r="M51" s="169" t="str">
        <f>Checks!R161</f>
        <v/>
      </c>
    </row>
    <row r="52" spans="1:14">
      <c r="A52" s="2122"/>
      <c r="B52" s="793">
        <v>3</v>
      </c>
      <c r="C52" s="141"/>
      <c r="D52" s="140"/>
      <c r="E52" s="137"/>
      <c r="F52" s="146"/>
      <c r="G52" s="138"/>
      <c r="H52" s="137"/>
      <c r="I52" s="137"/>
      <c r="J52" s="137"/>
      <c r="K52" s="1529"/>
      <c r="L52" s="136" t="str">
        <f>IF(Tabelle510[[#This Row],[Pages]]*1&gt;0,Checks!Q162,"")</f>
        <v/>
      </c>
      <c r="M52" s="169" t="str">
        <f>Checks!R162</f>
        <v/>
      </c>
    </row>
    <row r="53" spans="1:14">
      <c r="A53" s="2122"/>
      <c r="B53" s="793">
        <v>4</v>
      </c>
      <c r="C53" s="141"/>
      <c r="D53" s="140"/>
      <c r="E53" s="137"/>
      <c r="F53" s="146"/>
      <c r="G53" s="138"/>
      <c r="H53" s="137"/>
      <c r="I53" s="137"/>
      <c r="J53" s="137"/>
      <c r="K53" s="1529"/>
      <c r="L53" s="136" t="str">
        <f>IF(Tabelle510[[#This Row],[Pages]]*1&gt;0,Checks!Q163,"")</f>
        <v/>
      </c>
      <c r="M53" s="169" t="str">
        <f>Checks!R163</f>
        <v/>
      </c>
    </row>
    <row r="54" spans="1:14">
      <c r="A54" s="2122"/>
      <c r="B54" s="793">
        <v>5</v>
      </c>
      <c r="C54" s="141"/>
      <c r="D54" s="140"/>
      <c r="E54" s="137"/>
      <c r="F54" s="146"/>
      <c r="G54" s="138"/>
      <c r="H54" s="137"/>
      <c r="I54" s="137"/>
      <c r="J54" s="137"/>
      <c r="K54" s="1529"/>
      <c r="L54" s="136" t="str">
        <f>IF(Tabelle510[[#This Row],[Pages]]*1&gt;0,Checks!Q164,"")</f>
        <v/>
      </c>
      <c r="M54" s="169" t="str">
        <f>Checks!R164</f>
        <v/>
      </c>
    </row>
    <row r="55" spans="1:14">
      <c r="A55" s="2122"/>
      <c r="B55" s="793">
        <v>6</v>
      </c>
      <c r="C55" s="141"/>
      <c r="D55" s="140"/>
      <c r="E55" s="137"/>
      <c r="F55" s="146"/>
      <c r="G55" s="138"/>
      <c r="H55" s="137"/>
      <c r="I55" s="137"/>
      <c r="J55" s="137"/>
      <c r="K55" s="1529"/>
      <c r="L55" s="136" t="str">
        <f>IF(Tabelle510[[#This Row],[Pages]]*1&gt;0,Checks!Q165,"")</f>
        <v/>
      </c>
      <c r="M55" s="169" t="str">
        <f>Checks!R165</f>
        <v/>
      </c>
    </row>
    <row r="56" spans="1:14">
      <c r="B56" s="793">
        <v>7</v>
      </c>
      <c r="C56" s="141"/>
      <c r="D56" s="140"/>
      <c r="E56" s="137"/>
      <c r="F56" s="146"/>
      <c r="G56" s="138"/>
      <c r="H56" s="137"/>
      <c r="I56" s="137"/>
      <c r="J56" s="137"/>
      <c r="K56" s="1529"/>
      <c r="L56" s="136" t="str">
        <f>IF(Tabelle510[[#This Row],[Pages]]*1&gt;0,Checks!Q166,"")</f>
        <v/>
      </c>
      <c r="M56" s="169" t="str">
        <f>Checks!R166</f>
        <v/>
      </c>
    </row>
    <row r="57" spans="1:14">
      <c r="B57" s="793">
        <v>8</v>
      </c>
      <c r="C57" s="141"/>
      <c r="D57" s="140"/>
      <c r="E57" s="137"/>
      <c r="F57" s="146"/>
      <c r="G57" s="138"/>
      <c r="H57" s="137"/>
      <c r="I57" s="137"/>
      <c r="J57" s="137"/>
      <c r="K57" s="1529"/>
      <c r="L57" s="136" t="str">
        <f>IF(Tabelle510[[#This Row],[Pages]]*1&gt;0,Checks!Q167,"")</f>
        <v/>
      </c>
      <c r="M57" s="169" t="str">
        <f>Checks!R167</f>
        <v/>
      </c>
    </row>
    <row r="58" spans="1:14">
      <c r="B58" s="793">
        <v>9</v>
      </c>
      <c r="C58" s="141"/>
      <c r="D58" s="140"/>
      <c r="E58" s="137"/>
      <c r="F58" s="146"/>
      <c r="G58" s="138"/>
      <c r="H58" s="137"/>
      <c r="I58" s="137"/>
      <c r="J58" s="137"/>
      <c r="K58" s="1529"/>
      <c r="L58" s="136" t="str">
        <f>IF(Tabelle510[[#This Row],[Pages]]*1&gt;0,Checks!Q168,"")</f>
        <v/>
      </c>
      <c r="M58" s="169" t="str">
        <f>Checks!R168</f>
        <v/>
      </c>
    </row>
    <row r="59" spans="1:14">
      <c r="B59" s="793">
        <v>10</v>
      </c>
      <c r="C59" s="141"/>
      <c r="D59" s="140"/>
      <c r="E59" s="137"/>
      <c r="F59" s="146"/>
      <c r="G59" s="138"/>
      <c r="H59" s="137"/>
      <c r="I59" s="137"/>
      <c r="J59" s="137"/>
      <c r="K59" s="1529"/>
      <c r="L59" s="136" t="str">
        <f>IF(Tabelle510[[#This Row],[Pages]]*1&gt;0,Checks!Q169,"")</f>
        <v/>
      </c>
      <c r="M59" s="169" t="str">
        <f>Checks!R169</f>
        <v/>
      </c>
    </row>
    <row r="60" spans="1:14">
      <c r="L60" s="89"/>
    </row>
    <row r="62" spans="1:14" ht="17" thickBot="1">
      <c r="C62" s="460"/>
      <c r="D62" s="460"/>
      <c r="E62" s="460"/>
      <c r="F62" s="460"/>
      <c r="G62" s="460"/>
      <c r="H62" s="460"/>
      <c r="I62" s="460"/>
      <c r="J62" s="460"/>
      <c r="K62" s="460"/>
      <c r="L62" s="460"/>
      <c r="M62" s="460"/>
      <c r="N62" s="460"/>
    </row>
    <row r="63" spans="1:14" ht="16">
      <c r="C63" s="190"/>
      <c r="D63" s="190"/>
      <c r="E63" s="190"/>
      <c r="F63" s="190"/>
      <c r="G63" s="190"/>
      <c r="H63" s="190"/>
      <c r="I63" s="190"/>
      <c r="J63" s="190"/>
      <c r="K63" s="172"/>
      <c r="L63" s="172"/>
      <c r="M63" s="172"/>
      <c r="N63" s="465" t="s">
        <v>105</v>
      </c>
    </row>
    <row r="64" spans="1:14">
      <c r="C64" s="172"/>
      <c r="D64" s="172"/>
      <c r="E64" s="172"/>
      <c r="F64" s="172"/>
      <c r="G64" s="172"/>
      <c r="H64" s="172"/>
      <c r="I64" s="172"/>
      <c r="J64" s="172"/>
      <c r="K64" s="172"/>
      <c r="L64" s="172"/>
      <c r="M64" s="706"/>
      <c r="N64" s="684"/>
    </row>
    <row r="65" spans="3:14">
      <c r="C65" s="172"/>
      <c r="D65" s="172"/>
      <c r="E65" s="172"/>
      <c r="F65" s="172"/>
      <c r="G65" s="172"/>
      <c r="H65" s="172"/>
      <c r="I65" s="172"/>
      <c r="J65" s="172"/>
      <c r="K65" s="172"/>
      <c r="L65" s="172"/>
      <c r="M65" s="706"/>
      <c r="N65" s="684"/>
    </row>
  </sheetData>
  <sheetProtection algorithmName="SHA-512" hashValue="EGVoTRH8p+LBT6xegZ2Le0b/yRisTi0w2o3bTNr88qtwTrg6OW9776pPaAu8LXxSmQdHpXu8+/QOhPvpHmgKtQ==" saltValue="YbsZdH6hgCHFIVoFErPXNA==" spinCount="100000" sheet="1" objects="1" scenarios="1" selectLockedCells="1"/>
  <mergeCells count="7">
    <mergeCell ref="A9:A55"/>
    <mergeCell ref="C3:N3"/>
    <mergeCell ref="C5:K5"/>
    <mergeCell ref="L48:M48"/>
    <mergeCell ref="L35:M35"/>
    <mergeCell ref="L22:M22"/>
    <mergeCell ref="L9:M9"/>
  </mergeCells>
  <conditionalFormatting sqref="L11:L20">
    <cfRule type="cellIs" dxfId="441" priority="4" operator="equal">
      <formula>0</formula>
    </cfRule>
  </conditionalFormatting>
  <conditionalFormatting sqref="L24:L33">
    <cfRule type="cellIs" dxfId="440" priority="3" operator="equal">
      <formula>0</formula>
    </cfRule>
  </conditionalFormatting>
  <conditionalFormatting sqref="L37:L46">
    <cfRule type="cellIs" dxfId="439" priority="2" operator="equal">
      <formula>0</formula>
    </cfRule>
  </conditionalFormatting>
  <conditionalFormatting sqref="L50:L59">
    <cfRule type="cellIs" dxfId="438" priority="1" operator="equal">
      <formula>0</formula>
    </cfRule>
  </conditionalFormatting>
  <dataValidations count="2">
    <dataValidation type="date" allowBlank="1" showInputMessage="1" showErrorMessage="1" error="DE: Geben Sie ein gültiges Datum im Re-Zert Zeitraum an._x000a__x000a_EN: Enter a valid date that falls within the re-cert timeframe." sqref="F11:F20 F24:F33 F37:F46 F50:F59" xr:uid="{00000000-0002-0000-0900-000000000000}">
      <formula1>PM_EXP_START_DATE</formula1>
      <formula2>CERT_DATE_ENTRY</formula2>
    </dataValidation>
    <dataValidation type="date" operator="greaterThanOrEqual" allowBlank="1" showInputMessage="1" showErrorMessage="1" error="DE: Geben Sie ein gültiges Datum nach dem Startdatum an._x000a__x000a_EN: Enter a valid date that is greater or equal to the start date.." sqref="G11:G20 G24:G33 G37:G46" xr:uid="{00000000-0002-0000-0900-000001000000}">
      <formula1>F11</formula1>
    </dataValidation>
  </dataValidations>
  <pageMargins left="0.7" right="0.7" top="0.78740157499999996" bottom="0.78740157499999996" header="0.3" footer="0.3"/>
  <pageSetup paperSize="9" scale="46" fitToHeight="0" orientation="landscape" r:id="rId1"/>
  <headerFooter>
    <oddFooter>&amp;LDok.-Nr./Rev./Datum
F01         /  03   / 04.12.2020
&amp;F&amp;C&amp;U&amp;A&amp;RSeite &amp;P / &amp;N</oddFooter>
  </headerFooter>
  <legacyDrawing r:id="rId2"/>
  <tableParts count="4">
    <tablePart r:id="rId3"/>
    <tablePart r:id="rId4"/>
    <tablePart r:id="rId5"/>
    <tablePart r:id="rId6"/>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Experience">
    <tabColor theme="9"/>
  </sheetPr>
  <dimension ref="A1:AOG65"/>
  <sheetViews>
    <sheetView zoomScale="80" zoomScaleNormal="80" workbookViewId="0">
      <selection activeCell="C9" sqref="C9"/>
    </sheetView>
  </sheetViews>
  <sheetFormatPr baseColWidth="10" defaultColWidth="5.83203125" defaultRowHeight="15"/>
  <cols>
    <col min="1" max="2" width="5.5" style="172" customWidth="1"/>
    <col min="3" max="3" width="39.5" style="172" customWidth="1"/>
    <col min="4" max="4" width="22.5" style="173" customWidth="1"/>
    <col min="5" max="5" width="17" style="173" customWidth="1"/>
    <col min="6" max="6" width="15.5" style="173" customWidth="1"/>
    <col min="7" max="7" width="30.83203125" style="173" customWidth="1"/>
    <col min="8" max="9" width="21.33203125" style="173" customWidth="1"/>
    <col min="10" max="11" width="15.1640625" style="173" customWidth="1"/>
    <col min="12" max="12" width="15.5" style="173" hidden="1" customWidth="1"/>
    <col min="13" max="13" width="20.83203125" style="173" hidden="1" customWidth="1"/>
    <col min="14" max="14" width="28.83203125" style="173" hidden="1" customWidth="1"/>
    <col min="15" max="15" width="3.5" style="172" customWidth="1"/>
    <col min="16" max="16" width="5.33203125" style="172" customWidth="1"/>
    <col min="17" max="17" width="108.1640625" style="208" customWidth="1"/>
    <col min="18" max="18" width="5.5" style="576" customWidth="1"/>
    <col min="19" max="19" width="12.83203125" style="208" customWidth="1"/>
    <col min="20" max="20" width="13" style="208" customWidth="1"/>
    <col min="21" max="22" width="13.5" style="208" customWidth="1"/>
    <col min="23" max="270" width="11.5" style="208" bestFit="1" customWidth="1"/>
    <col min="271" max="16384" width="5.83203125" style="208"/>
  </cols>
  <sheetData>
    <row r="1" spans="1:1073" ht="21.75" customHeight="1" thickBot="1">
      <c r="B1" s="459"/>
      <c r="C1" s="459"/>
      <c r="D1" s="459"/>
      <c r="E1" s="459"/>
      <c r="F1" s="459"/>
      <c r="G1" s="459"/>
      <c r="H1" s="459"/>
      <c r="I1" s="459"/>
      <c r="J1" s="459"/>
      <c r="K1" s="459"/>
      <c r="L1" s="459"/>
      <c r="M1" s="459"/>
      <c r="N1" s="459"/>
      <c r="O1" s="459"/>
      <c r="P1" s="459"/>
    </row>
    <row r="2" spans="1:1073" ht="5.25" customHeight="1" thickTop="1">
      <c r="D2" s="172"/>
      <c r="E2" s="172"/>
      <c r="F2" s="172"/>
      <c r="G2" s="172"/>
      <c r="H2" s="172"/>
      <c r="I2" s="172"/>
      <c r="J2" s="172"/>
      <c r="K2" s="172"/>
      <c r="L2" s="172"/>
      <c r="M2" s="172"/>
      <c r="N2" s="172"/>
    </row>
    <row r="3" spans="1:1073" ht="30" customHeight="1">
      <c r="B3" s="2046" t="str">
        <f>Dictionary!B555</f>
        <v>Erfahrung in einer relevanten PM-Rolle (pro Rolle ein Listeneintrag)</v>
      </c>
      <c r="C3" s="2046"/>
      <c r="D3" s="2046"/>
      <c r="E3" s="2046"/>
      <c r="F3" s="2046"/>
      <c r="G3" s="2046"/>
      <c r="H3" s="2046"/>
      <c r="I3" s="2046"/>
      <c r="J3" s="2046"/>
      <c r="K3" s="2046"/>
      <c r="L3" s="2046"/>
      <c r="M3" s="2046"/>
      <c r="N3" s="2046"/>
      <c r="O3" s="2046"/>
      <c r="P3" s="2046"/>
      <c r="Q3" s="209"/>
      <c r="R3" s="577"/>
      <c r="S3" s="208" t="s">
        <v>15</v>
      </c>
      <c r="T3" s="208">
        <f>IFERROR(IF(T4&gt;90%,20,IF(T4&gt;80%,16,IF(T4&gt;70%,12,IF(T4&gt;60%,8,IF(T4&gt;=50%,4,0))))),0)/12</f>
        <v>0</v>
      </c>
      <c r="U3" s="208">
        <f>IFERROR(IF(U4&gt;90%,20,IF(U4&gt;80%,16,IF(U4&gt;70%,12,IF(U4&gt;60%,8,IF(U4&gt;=50%,4,0))))),0)/12</f>
        <v>0</v>
      </c>
      <c r="V3" s="208" t="e">
        <f t="shared" ref="V3:CG3" si="0">IF(V7="","",IFERROR(IF(V4&gt;90%,20,IF(V4&gt;80%,16,IF(V4&gt;70%,12,IF(V4&gt;60%,8,IF(V4&gt;=50%,4,0))))),0)/12)</f>
        <v>#VALUE!</v>
      </c>
      <c r="W3" s="208" t="e">
        <f t="shared" si="0"/>
        <v>#VALUE!</v>
      </c>
      <c r="X3" s="208" t="e">
        <f t="shared" si="0"/>
        <v>#VALUE!</v>
      </c>
      <c r="Y3" s="208" t="e">
        <f t="shared" si="0"/>
        <v>#VALUE!</v>
      </c>
      <c r="Z3" s="208" t="e">
        <f t="shared" si="0"/>
        <v>#VALUE!</v>
      </c>
      <c r="AA3" s="208" t="e">
        <f t="shared" si="0"/>
        <v>#VALUE!</v>
      </c>
      <c r="AB3" s="208" t="e">
        <f t="shared" si="0"/>
        <v>#VALUE!</v>
      </c>
      <c r="AC3" s="208" t="e">
        <f t="shared" si="0"/>
        <v>#VALUE!</v>
      </c>
      <c r="AD3" s="208" t="e">
        <f t="shared" si="0"/>
        <v>#VALUE!</v>
      </c>
      <c r="AE3" s="208" t="e">
        <f t="shared" si="0"/>
        <v>#VALUE!</v>
      </c>
      <c r="AF3" s="208" t="e">
        <f t="shared" si="0"/>
        <v>#VALUE!</v>
      </c>
      <c r="AG3" s="208" t="e">
        <f t="shared" si="0"/>
        <v>#VALUE!</v>
      </c>
      <c r="AH3" s="208" t="e">
        <f t="shared" si="0"/>
        <v>#VALUE!</v>
      </c>
      <c r="AI3" s="208" t="e">
        <f t="shared" si="0"/>
        <v>#VALUE!</v>
      </c>
      <c r="AJ3" s="208" t="e">
        <f t="shared" si="0"/>
        <v>#VALUE!</v>
      </c>
      <c r="AK3" s="208" t="e">
        <f t="shared" si="0"/>
        <v>#VALUE!</v>
      </c>
      <c r="AL3" s="208" t="e">
        <f t="shared" si="0"/>
        <v>#VALUE!</v>
      </c>
      <c r="AM3" s="208" t="e">
        <f t="shared" si="0"/>
        <v>#VALUE!</v>
      </c>
      <c r="AN3" s="208" t="e">
        <f t="shared" si="0"/>
        <v>#VALUE!</v>
      </c>
      <c r="AO3" s="208" t="e">
        <f t="shared" si="0"/>
        <v>#VALUE!</v>
      </c>
      <c r="AP3" s="208" t="e">
        <f t="shared" si="0"/>
        <v>#VALUE!</v>
      </c>
      <c r="AQ3" s="208" t="e">
        <f t="shared" si="0"/>
        <v>#VALUE!</v>
      </c>
      <c r="AR3" s="208" t="e">
        <f t="shared" si="0"/>
        <v>#VALUE!</v>
      </c>
      <c r="AS3" s="208" t="e">
        <f t="shared" si="0"/>
        <v>#VALUE!</v>
      </c>
      <c r="AT3" s="208" t="e">
        <f t="shared" si="0"/>
        <v>#VALUE!</v>
      </c>
      <c r="AU3" s="208" t="e">
        <f t="shared" si="0"/>
        <v>#VALUE!</v>
      </c>
      <c r="AV3" s="208" t="e">
        <f t="shared" si="0"/>
        <v>#VALUE!</v>
      </c>
      <c r="AW3" s="208" t="e">
        <f t="shared" si="0"/>
        <v>#VALUE!</v>
      </c>
      <c r="AX3" s="208" t="e">
        <f t="shared" si="0"/>
        <v>#VALUE!</v>
      </c>
      <c r="AY3" s="208" t="e">
        <f t="shared" si="0"/>
        <v>#VALUE!</v>
      </c>
      <c r="AZ3" s="208" t="e">
        <f t="shared" si="0"/>
        <v>#VALUE!</v>
      </c>
      <c r="BA3" s="208" t="e">
        <f t="shared" si="0"/>
        <v>#VALUE!</v>
      </c>
      <c r="BB3" s="208" t="e">
        <f t="shared" si="0"/>
        <v>#VALUE!</v>
      </c>
      <c r="BC3" s="208" t="e">
        <f t="shared" si="0"/>
        <v>#VALUE!</v>
      </c>
      <c r="BD3" s="208" t="e">
        <f t="shared" si="0"/>
        <v>#VALUE!</v>
      </c>
      <c r="BE3" s="208" t="e">
        <f t="shared" si="0"/>
        <v>#VALUE!</v>
      </c>
      <c r="BF3" s="208" t="e">
        <f t="shared" si="0"/>
        <v>#VALUE!</v>
      </c>
      <c r="BG3" s="208" t="e">
        <f t="shared" si="0"/>
        <v>#VALUE!</v>
      </c>
      <c r="BH3" s="208" t="e">
        <f t="shared" si="0"/>
        <v>#VALUE!</v>
      </c>
      <c r="BI3" s="208" t="e">
        <f t="shared" si="0"/>
        <v>#VALUE!</v>
      </c>
      <c r="BJ3" s="208" t="e">
        <f t="shared" si="0"/>
        <v>#VALUE!</v>
      </c>
      <c r="BK3" s="208" t="e">
        <f t="shared" si="0"/>
        <v>#VALUE!</v>
      </c>
      <c r="BL3" s="208" t="e">
        <f t="shared" si="0"/>
        <v>#VALUE!</v>
      </c>
      <c r="BM3" s="208" t="e">
        <f t="shared" si="0"/>
        <v>#VALUE!</v>
      </c>
      <c r="BN3" s="208" t="e">
        <f t="shared" si="0"/>
        <v>#VALUE!</v>
      </c>
      <c r="BO3" s="208" t="e">
        <f t="shared" si="0"/>
        <v>#VALUE!</v>
      </c>
      <c r="BP3" s="208" t="e">
        <f t="shared" si="0"/>
        <v>#VALUE!</v>
      </c>
      <c r="BQ3" s="208" t="e">
        <f t="shared" si="0"/>
        <v>#VALUE!</v>
      </c>
      <c r="BR3" s="208" t="e">
        <f t="shared" si="0"/>
        <v>#VALUE!</v>
      </c>
      <c r="BS3" s="208" t="e">
        <f t="shared" si="0"/>
        <v>#VALUE!</v>
      </c>
      <c r="BT3" s="208" t="e">
        <f t="shared" si="0"/>
        <v>#VALUE!</v>
      </c>
      <c r="BU3" s="208" t="e">
        <f t="shared" si="0"/>
        <v>#VALUE!</v>
      </c>
      <c r="BV3" s="208" t="e">
        <f t="shared" si="0"/>
        <v>#VALUE!</v>
      </c>
      <c r="BW3" s="208" t="e">
        <f t="shared" si="0"/>
        <v>#VALUE!</v>
      </c>
      <c r="BX3" s="208" t="e">
        <f t="shared" si="0"/>
        <v>#VALUE!</v>
      </c>
      <c r="BY3" s="208" t="e">
        <f t="shared" si="0"/>
        <v>#VALUE!</v>
      </c>
      <c r="BZ3" s="208" t="e">
        <f t="shared" si="0"/>
        <v>#VALUE!</v>
      </c>
      <c r="CA3" s="208" t="e">
        <f t="shared" si="0"/>
        <v>#VALUE!</v>
      </c>
      <c r="CB3" s="208" t="e">
        <f t="shared" si="0"/>
        <v>#VALUE!</v>
      </c>
      <c r="CC3" s="208" t="e">
        <f t="shared" si="0"/>
        <v>#VALUE!</v>
      </c>
      <c r="CD3" s="208" t="e">
        <f t="shared" si="0"/>
        <v>#VALUE!</v>
      </c>
      <c r="CE3" s="208" t="e">
        <f t="shared" si="0"/>
        <v>#VALUE!</v>
      </c>
      <c r="CF3" s="208" t="e">
        <f t="shared" si="0"/>
        <v>#VALUE!</v>
      </c>
      <c r="CG3" s="208" t="e">
        <f t="shared" si="0"/>
        <v>#VALUE!</v>
      </c>
      <c r="CH3" s="208" t="e">
        <f t="shared" ref="CH3:ES3" si="1">IF(CH7="","",IFERROR(IF(CH4&gt;90%,20,IF(CH4&gt;80%,16,IF(CH4&gt;70%,12,IF(CH4&gt;60%,8,IF(CH4&gt;=50%,4,0))))),0)/12)</f>
        <v>#VALUE!</v>
      </c>
      <c r="CI3" s="208" t="e">
        <f t="shared" si="1"/>
        <v>#VALUE!</v>
      </c>
      <c r="CJ3" s="208" t="e">
        <f t="shared" si="1"/>
        <v>#VALUE!</v>
      </c>
      <c r="CK3" s="208" t="e">
        <f t="shared" si="1"/>
        <v>#VALUE!</v>
      </c>
      <c r="CL3" s="208" t="e">
        <f t="shared" si="1"/>
        <v>#VALUE!</v>
      </c>
      <c r="CM3" s="208" t="e">
        <f t="shared" si="1"/>
        <v>#VALUE!</v>
      </c>
      <c r="CN3" s="208" t="e">
        <f t="shared" si="1"/>
        <v>#VALUE!</v>
      </c>
      <c r="CO3" s="208" t="e">
        <f t="shared" si="1"/>
        <v>#VALUE!</v>
      </c>
      <c r="CP3" s="208" t="e">
        <f t="shared" si="1"/>
        <v>#VALUE!</v>
      </c>
      <c r="CQ3" s="208" t="e">
        <f t="shared" si="1"/>
        <v>#VALUE!</v>
      </c>
      <c r="CR3" s="208" t="e">
        <f t="shared" si="1"/>
        <v>#VALUE!</v>
      </c>
      <c r="CS3" s="208" t="e">
        <f t="shared" si="1"/>
        <v>#VALUE!</v>
      </c>
      <c r="CT3" s="208" t="e">
        <f t="shared" si="1"/>
        <v>#VALUE!</v>
      </c>
      <c r="CU3" s="208" t="e">
        <f t="shared" si="1"/>
        <v>#VALUE!</v>
      </c>
      <c r="CV3" s="208" t="e">
        <f t="shared" si="1"/>
        <v>#VALUE!</v>
      </c>
      <c r="CW3" s="208" t="e">
        <f t="shared" si="1"/>
        <v>#VALUE!</v>
      </c>
      <c r="CX3" s="208" t="e">
        <f t="shared" si="1"/>
        <v>#VALUE!</v>
      </c>
      <c r="CY3" s="208" t="e">
        <f t="shared" si="1"/>
        <v>#VALUE!</v>
      </c>
      <c r="CZ3" s="208" t="e">
        <f t="shared" si="1"/>
        <v>#VALUE!</v>
      </c>
      <c r="DA3" s="208" t="e">
        <f t="shared" si="1"/>
        <v>#VALUE!</v>
      </c>
      <c r="DB3" s="208" t="e">
        <f t="shared" si="1"/>
        <v>#VALUE!</v>
      </c>
      <c r="DC3" s="208" t="e">
        <f t="shared" si="1"/>
        <v>#VALUE!</v>
      </c>
      <c r="DD3" s="208" t="e">
        <f t="shared" si="1"/>
        <v>#VALUE!</v>
      </c>
      <c r="DE3" s="208" t="e">
        <f t="shared" si="1"/>
        <v>#VALUE!</v>
      </c>
      <c r="DF3" s="208" t="e">
        <f t="shared" si="1"/>
        <v>#VALUE!</v>
      </c>
      <c r="DG3" s="208" t="e">
        <f t="shared" si="1"/>
        <v>#VALUE!</v>
      </c>
      <c r="DH3" s="208" t="e">
        <f t="shared" si="1"/>
        <v>#VALUE!</v>
      </c>
      <c r="DI3" s="208" t="e">
        <f t="shared" si="1"/>
        <v>#VALUE!</v>
      </c>
      <c r="DJ3" s="208" t="e">
        <f t="shared" si="1"/>
        <v>#VALUE!</v>
      </c>
      <c r="DK3" s="208" t="e">
        <f t="shared" si="1"/>
        <v>#VALUE!</v>
      </c>
      <c r="DL3" s="208" t="e">
        <f t="shared" si="1"/>
        <v>#VALUE!</v>
      </c>
      <c r="DM3" s="208" t="e">
        <f t="shared" si="1"/>
        <v>#VALUE!</v>
      </c>
      <c r="DN3" s="208" t="e">
        <f t="shared" si="1"/>
        <v>#VALUE!</v>
      </c>
      <c r="DO3" s="208" t="e">
        <f t="shared" si="1"/>
        <v>#VALUE!</v>
      </c>
      <c r="DP3" s="208" t="e">
        <f t="shared" si="1"/>
        <v>#VALUE!</v>
      </c>
      <c r="DQ3" s="208" t="e">
        <f t="shared" si="1"/>
        <v>#VALUE!</v>
      </c>
      <c r="DR3" s="208" t="e">
        <f t="shared" si="1"/>
        <v>#VALUE!</v>
      </c>
      <c r="DS3" s="208" t="e">
        <f t="shared" si="1"/>
        <v>#VALUE!</v>
      </c>
      <c r="DT3" s="208" t="e">
        <f t="shared" si="1"/>
        <v>#VALUE!</v>
      </c>
      <c r="DU3" s="208" t="e">
        <f t="shared" si="1"/>
        <v>#VALUE!</v>
      </c>
      <c r="DV3" s="208" t="e">
        <f t="shared" si="1"/>
        <v>#VALUE!</v>
      </c>
      <c r="DW3" s="208" t="e">
        <f t="shared" si="1"/>
        <v>#VALUE!</v>
      </c>
      <c r="DX3" s="208" t="e">
        <f t="shared" si="1"/>
        <v>#VALUE!</v>
      </c>
      <c r="DY3" s="208" t="e">
        <f t="shared" si="1"/>
        <v>#VALUE!</v>
      </c>
      <c r="DZ3" s="208" t="e">
        <f t="shared" si="1"/>
        <v>#VALUE!</v>
      </c>
      <c r="EA3" s="208" t="e">
        <f t="shared" si="1"/>
        <v>#VALUE!</v>
      </c>
      <c r="EB3" s="208" t="e">
        <f t="shared" si="1"/>
        <v>#VALUE!</v>
      </c>
      <c r="EC3" s="208" t="e">
        <f t="shared" si="1"/>
        <v>#VALUE!</v>
      </c>
      <c r="ED3" s="208" t="e">
        <f t="shared" si="1"/>
        <v>#VALUE!</v>
      </c>
      <c r="EE3" s="208" t="e">
        <f t="shared" si="1"/>
        <v>#VALUE!</v>
      </c>
      <c r="EF3" s="208" t="e">
        <f t="shared" si="1"/>
        <v>#VALUE!</v>
      </c>
      <c r="EG3" s="208" t="e">
        <f t="shared" si="1"/>
        <v>#VALUE!</v>
      </c>
      <c r="EH3" s="208" t="e">
        <f t="shared" si="1"/>
        <v>#VALUE!</v>
      </c>
      <c r="EI3" s="208" t="e">
        <f t="shared" si="1"/>
        <v>#VALUE!</v>
      </c>
      <c r="EJ3" s="208" t="e">
        <f t="shared" si="1"/>
        <v>#VALUE!</v>
      </c>
      <c r="EK3" s="208" t="e">
        <f t="shared" si="1"/>
        <v>#VALUE!</v>
      </c>
      <c r="EL3" s="208" t="e">
        <f t="shared" si="1"/>
        <v>#VALUE!</v>
      </c>
      <c r="EM3" s="208" t="e">
        <f t="shared" si="1"/>
        <v>#VALUE!</v>
      </c>
      <c r="EN3" s="208" t="e">
        <f t="shared" si="1"/>
        <v>#VALUE!</v>
      </c>
      <c r="EO3" s="208" t="e">
        <f t="shared" si="1"/>
        <v>#VALUE!</v>
      </c>
      <c r="EP3" s="208" t="e">
        <f t="shared" si="1"/>
        <v>#VALUE!</v>
      </c>
      <c r="EQ3" s="208" t="e">
        <f t="shared" si="1"/>
        <v>#VALUE!</v>
      </c>
      <c r="ER3" s="208" t="e">
        <f t="shared" si="1"/>
        <v>#VALUE!</v>
      </c>
      <c r="ES3" s="208" t="e">
        <f t="shared" si="1"/>
        <v>#VALUE!</v>
      </c>
      <c r="ET3" s="208" t="e">
        <f t="shared" ref="ET3:HE3" si="2">IF(ET7="","",IFERROR(IF(ET4&gt;90%,20,IF(ET4&gt;80%,16,IF(ET4&gt;70%,12,IF(ET4&gt;60%,8,IF(ET4&gt;=50%,4,0))))),0)/12)</f>
        <v>#VALUE!</v>
      </c>
      <c r="EU3" s="208" t="e">
        <f t="shared" si="2"/>
        <v>#VALUE!</v>
      </c>
      <c r="EV3" s="208" t="e">
        <f t="shared" si="2"/>
        <v>#VALUE!</v>
      </c>
      <c r="EW3" s="208" t="e">
        <f t="shared" si="2"/>
        <v>#VALUE!</v>
      </c>
      <c r="EX3" s="208" t="e">
        <f t="shared" si="2"/>
        <v>#VALUE!</v>
      </c>
      <c r="EY3" s="208" t="e">
        <f t="shared" si="2"/>
        <v>#VALUE!</v>
      </c>
      <c r="EZ3" s="208" t="e">
        <f t="shared" si="2"/>
        <v>#VALUE!</v>
      </c>
      <c r="FA3" s="208" t="e">
        <f t="shared" si="2"/>
        <v>#VALUE!</v>
      </c>
      <c r="FB3" s="208" t="e">
        <f t="shared" si="2"/>
        <v>#VALUE!</v>
      </c>
      <c r="FC3" s="208" t="e">
        <f t="shared" si="2"/>
        <v>#VALUE!</v>
      </c>
      <c r="FD3" s="208" t="e">
        <f t="shared" si="2"/>
        <v>#VALUE!</v>
      </c>
      <c r="FE3" s="208" t="e">
        <f t="shared" si="2"/>
        <v>#VALUE!</v>
      </c>
      <c r="FF3" s="208" t="e">
        <f t="shared" si="2"/>
        <v>#VALUE!</v>
      </c>
      <c r="FG3" s="208" t="e">
        <f t="shared" si="2"/>
        <v>#VALUE!</v>
      </c>
      <c r="FH3" s="208" t="e">
        <f t="shared" si="2"/>
        <v>#VALUE!</v>
      </c>
      <c r="FI3" s="208" t="e">
        <f t="shared" si="2"/>
        <v>#VALUE!</v>
      </c>
      <c r="FJ3" s="208" t="e">
        <f t="shared" si="2"/>
        <v>#VALUE!</v>
      </c>
      <c r="FK3" s="208" t="e">
        <f t="shared" si="2"/>
        <v>#VALUE!</v>
      </c>
      <c r="FL3" s="208" t="e">
        <f t="shared" si="2"/>
        <v>#VALUE!</v>
      </c>
      <c r="FM3" s="208" t="e">
        <f t="shared" si="2"/>
        <v>#VALUE!</v>
      </c>
      <c r="FN3" s="208" t="e">
        <f t="shared" si="2"/>
        <v>#VALUE!</v>
      </c>
      <c r="FO3" s="208" t="e">
        <f t="shared" si="2"/>
        <v>#VALUE!</v>
      </c>
      <c r="FP3" s="208" t="e">
        <f t="shared" si="2"/>
        <v>#VALUE!</v>
      </c>
      <c r="FQ3" s="208" t="e">
        <f t="shared" si="2"/>
        <v>#VALUE!</v>
      </c>
      <c r="FR3" s="208" t="e">
        <f t="shared" si="2"/>
        <v>#VALUE!</v>
      </c>
      <c r="FS3" s="208" t="e">
        <f t="shared" si="2"/>
        <v>#VALUE!</v>
      </c>
      <c r="FT3" s="208" t="e">
        <f t="shared" si="2"/>
        <v>#VALUE!</v>
      </c>
      <c r="FU3" s="208" t="e">
        <f t="shared" si="2"/>
        <v>#VALUE!</v>
      </c>
      <c r="FV3" s="208" t="e">
        <f t="shared" si="2"/>
        <v>#VALUE!</v>
      </c>
      <c r="FW3" s="208" t="e">
        <f t="shared" si="2"/>
        <v>#VALUE!</v>
      </c>
      <c r="FX3" s="208" t="e">
        <f t="shared" si="2"/>
        <v>#VALUE!</v>
      </c>
      <c r="FY3" s="208" t="e">
        <f t="shared" si="2"/>
        <v>#VALUE!</v>
      </c>
      <c r="FZ3" s="208" t="e">
        <f t="shared" si="2"/>
        <v>#VALUE!</v>
      </c>
      <c r="GA3" s="208" t="e">
        <f t="shared" si="2"/>
        <v>#VALUE!</v>
      </c>
      <c r="GB3" s="208" t="e">
        <f t="shared" si="2"/>
        <v>#VALUE!</v>
      </c>
      <c r="GC3" s="208" t="e">
        <f t="shared" si="2"/>
        <v>#VALUE!</v>
      </c>
      <c r="GD3" s="208" t="e">
        <f t="shared" si="2"/>
        <v>#VALUE!</v>
      </c>
      <c r="GE3" s="208" t="e">
        <f t="shared" si="2"/>
        <v>#VALUE!</v>
      </c>
      <c r="GF3" s="208" t="e">
        <f t="shared" si="2"/>
        <v>#VALUE!</v>
      </c>
      <c r="GG3" s="208" t="e">
        <f t="shared" si="2"/>
        <v>#VALUE!</v>
      </c>
      <c r="GH3" s="208" t="e">
        <f t="shared" si="2"/>
        <v>#VALUE!</v>
      </c>
      <c r="GI3" s="208" t="e">
        <f t="shared" si="2"/>
        <v>#VALUE!</v>
      </c>
      <c r="GJ3" s="208" t="e">
        <f t="shared" si="2"/>
        <v>#VALUE!</v>
      </c>
      <c r="GK3" s="208" t="e">
        <f t="shared" si="2"/>
        <v>#VALUE!</v>
      </c>
      <c r="GL3" s="208" t="e">
        <f t="shared" si="2"/>
        <v>#VALUE!</v>
      </c>
      <c r="GM3" s="208" t="e">
        <f t="shared" si="2"/>
        <v>#VALUE!</v>
      </c>
      <c r="GN3" s="208" t="e">
        <f t="shared" si="2"/>
        <v>#VALUE!</v>
      </c>
      <c r="GO3" s="208" t="e">
        <f t="shared" si="2"/>
        <v>#VALUE!</v>
      </c>
      <c r="GP3" s="208" t="e">
        <f t="shared" si="2"/>
        <v>#VALUE!</v>
      </c>
      <c r="GQ3" s="208" t="e">
        <f t="shared" si="2"/>
        <v>#VALUE!</v>
      </c>
      <c r="GR3" s="208" t="e">
        <f t="shared" si="2"/>
        <v>#VALUE!</v>
      </c>
      <c r="GS3" s="208" t="e">
        <f t="shared" si="2"/>
        <v>#VALUE!</v>
      </c>
      <c r="GT3" s="208" t="e">
        <f t="shared" si="2"/>
        <v>#VALUE!</v>
      </c>
      <c r="GU3" s="208" t="e">
        <f t="shared" si="2"/>
        <v>#VALUE!</v>
      </c>
      <c r="GV3" s="208" t="e">
        <f t="shared" si="2"/>
        <v>#VALUE!</v>
      </c>
      <c r="GW3" s="208" t="e">
        <f t="shared" si="2"/>
        <v>#VALUE!</v>
      </c>
      <c r="GX3" s="208" t="e">
        <f t="shared" si="2"/>
        <v>#VALUE!</v>
      </c>
      <c r="GY3" s="208" t="e">
        <f t="shared" si="2"/>
        <v>#VALUE!</v>
      </c>
      <c r="GZ3" s="208" t="e">
        <f t="shared" si="2"/>
        <v>#VALUE!</v>
      </c>
      <c r="HA3" s="208" t="e">
        <f t="shared" si="2"/>
        <v>#VALUE!</v>
      </c>
      <c r="HB3" s="208" t="e">
        <f t="shared" si="2"/>
        <v>#VALUE!</v>
      </c>
      <c r="HC3" s="208" t="e">
        <f t="shared" si="2"/>
        <v>#VALUE!</v>
      </c>
      <c r="HD3" s="208" t="e">
        <f t="shared" si="2"/>
        <v>#VALUE!</v>
      </c>
      <c r="HE3" s="208" t="e">
        <f t="shared" si="2"/>
        <v>#VALUE!</v>
      </c>
      <c r="HF3" s="208" t="e">
        <f t="shared" ref="HF3:JJ3" si="3">IF(HF7="","",IFERROR(IF(HF4&gt;90%,20,IF(HF4&gt;80%,16,IF(HF4&gt;70%,12,IF(HF4&gt;60%,8,IF(HF4&gt;=50%,4,0))))),0)/12)</f>
        <v>#VALUE!</v>
      </c>
      <c r="HG3" s="208" t="e">
        <f t="shared" si="3"/>
        <v>#VALUE!</v>
      </c>
      <c r="HH3" s="208" t="e">
        <f t="shared" si="3"/>
        <v>#VALUE!</v>
      </c>
      <c r="HI3" s="208" t="e">
        <f t="shared" si="3"/>
        <v>#VALUE!</v>
      </c>
      <c r="HJ3" s="208" t="e">
        <f t="shared" si="3"/>
        <v>#VALUE!</v>
      </c>
      <c r="HK3" s="208" t="e">
        <f t="shared" si="3"/>
        <v>#VALUE!</v>
      </c>
      <c r="HL3" s="208" t="e">
        <f t="shared" si="3"/>
        <v>#VALUE!</v>
      </c>
      <c r="HM3" s="208" t="e">
        <f t="shared" si="3"/>
        <v>#VALUE!</v>
      </c>
      <c r="HN3" s="208" t="e">
        <f t="shared" si="3"/>
        <v>#VALUE!</v>
      </c>
      <c r="HO3" s="208" t="e">
        <f t="shared" si="3"/>
        <v>#VALUE!</v>
      </c>
      <c r="HP3" s="208" t="e">
        <f t="shared" si="3"/>
        <v>#VALUE!</v>
      </c>
      <c r="HQ3" s="208" t="e">
        <f t="shared" si="3"/>
        <v>#VALUE!</v>
      </c>
      <c r="HR3" s="208" t="e">
        <f t="shared" si="3"/>
        <v>#VALUE!</v>
      </c>
      <c r="HS3" s="208" t="e">
        <f t="shared" si="3"/>
        <v>#VALUE!</v>
      </c>
      <c r="HT3" s="208" t="e">
        <f t="shared" si="3"/>
        <v>#VALUE!</v>
      </c>
      <c r="HU3" s="208" t="e">
        <f t="shared" si="3"/>
        <v>#VALUE!</v>
      </c>
      <c r="HV3" s="208" t="e">
        <f t="shared" si="3"/>
        <v>#VALUE!</v>
      </c>
      <c r="HW3" s="208" t="e">
        <f t="shared" si="3"/>
        <v>#VALUE!</v>
      </c>
      <c r="HX3" s="208" t="e">
        <f t="shared" si="3"/>
        <v>#VALUE!</v>
      </c>
      <c r="HY3" s="208" t="e">
        <f t="shared" si="3"/>
        <v>#VALUE!</v>
      </c>
      <c r="HZ3" s="208" t="e">
        <f t="shared" si="3"/>
        <v>#VALUE!</v>
      </c>
      <c r="IA3" s="208" t="e">
        <f t="shared" si="3"/>
        <v>#VALUE!</v>
      </c>
      <c r="IB3" s="208" t="e">
        <f t="shared" si="3"/>
        <v>#VALUE!</v>
      </c>
      <c r="IC3" s="208" t="e">
        <f t="shared" si="3"/>
        <v>#VALUE!</v>
      </c>
      <c r="ID3" s="208" t="e">
        <f t="shared" si="3"/>
        <v>#VALUE!</v>
      </c>
      <c r="IE3" s="208" t="e">
        <f t="shared" si="3"/>
        <v>#VALUE!</v>
      </c>
      <c r="IF3" s="208" t="e">
        <f t="shared" si="3"/>
        <v>#VALUE!</v>
      </c>
      <c r="IG3" s="208" t="e">
        <f t="shared" si="3"/>
        <v>#VALUE!</v>
      </c>
      <c r="IH3" s="208" t="e">
        <f t="shared" si="3"/>
        <v>#VALUE!</v>
      </c>
      <c r="II3" s="208" t="e">
        <f t="shared" si="3"/>
        <v>#VALUE!</v>
      </c>
      <c r="IJ3" s="208" t="e">
        <f t="shared" si="3"/>
        <v>#VALUE!</v>
      </c>
      <c r="IK3" s="208" t="e">
        <f t="shared" si="3"/>
        <v>#VALUE!</v>
      </c>
      <c r="IL3" s="208" t="e">
        <f t="shared" si="3"/>
        <v>#VALUE!</v>
      </c>
      <c r="IM3" s="208" t="e">
        <f t="shared" si="3"/>
        <v>#VALUE!</v>
      </c>
      <c r="IN3" s="208" t="e">
        <f t="shared" si="3"/>
        <v>#VALUE!</v>
      </c>
      <c r="IO3" s="208" t="e">
        <f t="shared" si="3"/>
        <v>#VALUE!</v>
      </c>
      <c r="IP3" s="208" t="e">
        <f t="shared" si="3"/>
        <v>#VALUE!</v>
      </c>
      <c r="IQ3" s="208" t="e">
        <f t="shared" si="3"/>
        <v>#VALUE!</v>
      </c>
      <c r="IR3" s="208" t="e">
        <f t="shared" si="3"/>
        <v>#VALUE!</v>
      </c>
      <c r="IS3" s="208" t="e">
        <f t="shared" si="3"/>
        <v>#VALUE!</v>
      </c>
      <c r="IT3" s="208" t="e">
        <f t="shared" si="3"/>
        <v>#VALUE!</v>
      </c>
      <c r="IU3" s="208" t="e">
        <f t="shared" si="3"/>
        <v>#VALUE!</v>
      </c>
      <c r="IV3" s="208" t="e">
        <f t="shared" si="3"/>
        <v>#VALUE!</v>
      </c>
      <c r="IW3" s="208" t="e">
        <f t="shared" si="3"/>
        <v>#VALUE!</v>
      </c>
      <c r="IX3" s="208" t="e">
        <f t="shared" si="3"/>
        <v>#VALUE!</v>
      </c>
      <c r="IY3" s="208" t="e">
        <f t="shared" si="3"/>
        <v>#VALUE!</v>
      </c>
      <c r="IZ3" s="208" t="e">
        <f t="shared" si="3"/>
        <v>#VALUE!</v>
      </c>
      <c r="JA3" s="208" t="e">
        <f t="shared" si="3"/>
        <v>#VALUE!</v>
      </c>
      <c r="JB3" s="208" t="e">
        <f t="shared" si="3"/>
        <v>#VALUE!</v>
      </c>
      <c r="JC3" s="208" t="e">
        <f t="shared" si="3"/>
        <v>#VALUE!</v>
      </c>
      <c r="JD3" s="208" t="e">
        <f t="shared" si="3"/>
        <v>#VALUE!</v>
      </c>
      <c r="JE3" s="208" t="e">
        <f t="shared" si="3"/>
        <v>#VALUE!</v>
      </c>
      <c r="JF3" s="208" t="e">
        <f t="shared" si="3"/>
        <v>#VALUE!</v>
      </c>
      <c r="JG3" s="208" t="e">
        <f t="shared" si="3"/>
        <v>#VALUE!</v>
      </c>
      <c r="JH3" s="208" t="e">
        <f t="shared" si="3"/>
        <v>#VALUE!</v>
      </c>
      <c r="JI3" s="208" t="e">
        <f t="shared" si="3"/>
        <v>#VALUE!</v>
      </c>
      <c r="JJ3" s="208" t="e">
        <f t="shared" si="3"/>
        <v>#VALUE!</v>
      </c>
    </row>
    <row r="4" spans="1:1073" ht="18.75" customHeight="1">
      <c r="Q4" s="209"/>
      <c r="S4" s="208" t="s">
        <v>1096</v>
      </c>
      <c r="T4" s="210">
        <f>SUM(T9:T25)</f>
        <v>0</v>
      </c>
      <c r="U4" s="210" t="e">
        <f>SUM(U9:U25)</f>
        <v>#VALUE!</v>
      </c>
      <c r="V4" s="210" t="e">
        <f t="shared" ref="V4:CG4" si="4">IF(V7="","",SUM(V9:V25))</f>
        <v>#VALUE!</v>
      </c>
      <c r="W4" s="210" t="e">
        <f t="shared" si="4"/>
        <v>#VALUE!</v>
      </c>
      <c r="X4" s="210" t="e">
        <f t="shared" si="4"/>
        <v>#VALUE!</v>
      </c>
      <c r="Y4" s="210" t="e">
        <f t="shared" si="4"/>
        <v>#VALUE!</v>
      </c>
      <c r="Z4" s="210" t="e">
        <f t="shared" si="4"/>
        <v>#VALUE!</v>
      </c>
      <c r="AA4" s="210" t="e">
        <f t="shared" si="4"/>
        <v>#VALUE!</v>
      </c>
      <c r="AB4" s="210" t="e">
        <f t="shared" si="4"/>
        <v>#VALUE!</v>
      </c>
      <c r="AC4" s="210" t="e">
        <f t="shared" si="4"/>
        <v>#VALUE!</v>
      </c>
      <c r="AD4" s="210" t="e">
        <f t="shared" si="4"/>
        <v>#VALUE!</v>
      </c>
      <c r="AE4" s="210" t="e">
        <f t="shared" si="4"/>
        <v>#VALUE!</v>
      </c>
      <c r="AF4" s="210" t="e">
        <f t="shared" si="4"/>
        <v>#VALUE!</v>
      </c>
      <c r="AG4" s="210" t="e">
        <f t="shared" si="4"/>
        <v>#VALUE!</v>
      </c>
      <c r="AH4" s="210" t="e">
        <f t="shared" si="4"/>
        <v>#VALUE!</v>
      </c>
      <c r="AI4" s="210" t="e">
        <f t="shared" si="4"/>
        <v>#VALUE!</v>
      </c>
      <c r="AJ4" s="210" t="e">
        <f t="shared" si="4"/>
        <v>#VALUE!</v>
      </c>
      <c r="AK4" s="210" t="e">
        <f t="shared" si="4"/>
        <v>#VALUE!</v>
      </c>
      <c r="AL4" s="210" t="e">
        <f t="shared" si="4"/>
        <v>#VALUE!</v>
      </c>
      <c r="AM4" s="210" t="e">
        <f t="shared" si="4"/>
        <v>#VALUE!</v>
      </c>
      <c r="AN4" s="210" t="e">
        <f t="shared" si="4"/>
        <v>#VALUE!</v>
      </c>
      <c r="AO4" s="210" t="e">
        <f t="shared" si="4"/>
        <v>#VALUE!</v>
      </c>
      <c r="AP4" s="210" t="e">
        <f t="shared" si="4"/>
        <v>#VALUE!</v>
      </c>
      <c r="AQ4" s="210" t="e">
        <f t="shared" si="4"/>
        <v>#VALUE!</v>
      </c>
      <c r="AR4" s="210" t="e">
        <f t="shared" si="4"/>
        <v>#VALUE!</v>
      </c>
      <c r="AS4" s="210" t="e">
        <f t="shared" si="4"/>
        <v>#VALUE!</v>
      </c>
      <c r="AT4" s="210" t="e">
        <f t="shared" si="4"/>
        <v>#VALUE!</v>
      </c>
      <c r="AU4" s="210" t="e">
        <f t="shared" si="4"/>
        <v>#VALUE!</v>
      </c>
      <c r="AV4" s="210" t="e">
        <f t="shared" si="4"/>
        <v>#VALUE!</v>
      </c>
      <c r="AW4" s="210" t="e">
        <f t="shared" si="4"/>
        <v>#VALUE!</v>
      </c>
      <c r="AX4" s="210" t="e">
        <f t="shared" si="4"/>
        <v>#VALUE!</v>
      </c>
      <c r="AY4" s="210" t="e">
        <f t="shared" si="4"/>
        <v>#VALUE!</v>
      </c>
      <c r="AZ4" s="210" t="e">
        <f t="shared" si="4"/>
        <v>#VALUE!</v>
      </c>
      <c r="BA4" s="210" t="e">
        <f t="shared" si="4"/>
        <v>#VALUE!</v>
      </c>
      <c r="BB4" s="210" t="e">
        <f t="shared" si="4"/>
        <v>#VALUE!</v>
      </c>
      <c r="BC4" s="210" t="e">
        <f t="shared" si="4"/>
        <v>#VALUE!</v>
      </c>
      <c r="BD4" s="210" t="e">
        <f t="shared" si="4"/>
        <v>#VALUE!</v>
      </c>
      <c r="BE4" s="210" t="e">
        <f t="shared" si="4"/>
        <v>#VALUE!</v>
      </c>
      <c r="BF4" s="210" t="e">
        <f t="shared" si="4"/>
        <v>#VALUE!</v>
      </c>
      <c r="BG4" s="210" t="e">
        <f t="shared" si="4"/>
        <v>#VALUE!</v>
      </c>
      <c r="BH4" s="210" t="e">
        <f t="shared" si="4"/>
        <v>#VALUE!</v>
      </c>
      <c r="BI4" s="210" t="e">
        <f t="shared" si="4"/>
        <v>#VALUE!</v>
      </c>
      <c r="BJ4" s="210" t="e">
        <f t="shared" si="4"/>
        <v>#VALUE!</v>
      </c>
      <c r="BK4" s="210" t="e">
        <f t="shared" si="4"/>
        <v>#VALUE!</v>
      </c>
      <c r="BL4" s="210" t="e">
        <f t="shared" si="4"/>
        <v>#VALUE!</v>
      </c>
      <c r="BM4" s="210" t="e">
        <f t="shared" si="4"/>
        <v>#VALUE!</v>
      </c>
      <c r="BN4" s="210" t="e">
        <f t="shared" si="4"/>
        <v>#VALUE!</v>
      </c>
      <c r="BO4" s="210" t="e">
        <f t="shared" si="4"/>
        <v>#VALUE!</v>
      </c>
      <c r="BP4" s="210" t="e">
        <f t="shared" si="4"/>
        <v>#VALUE!</v>
      </c>
      <c r="BQ4" s="210" t="e">
        <f t="shared" si="4"/>
        <v>#VALUE!</v>
      </c>
      <c r="BR4" s="210" t="e">
        <f t="shared" si="4"/>
        <v>#VALUE!</v>
      </c>
      <c r="BS4" s="210" t="e">
        <f t="shared" si="4"/>
        <v>#VALUE!</v>
      </c>
      <c r="BT4" s="210" t="e">
        <f t="shared" si="4"/>
        <v>#VALUE!</v>
      </c>
      <c r="BU4" s="210" t="e">
        <f t="shared" si="4"/>
        <v>#VALUE!</v>
      </c>
      <c r="BV4" s="210" t="e">
        <f t="shared" si="4"/>
        <v>#VALUE!</v>
      </c>
      <c r="BW4" s="210" t="e">
        <f t="shared" si="4"/>
        <v>#VALUE!</v>
      </c>
      <c r="BX4" s="210" t="e">
        <f t="shared" si="4"/>
        <v>#VALUE!</v>
      </c>
      <c r="BY4" s="210" t="e">
        <f t="shared" si="4"/>
        <v>#VALUE!</v>
      </c>
      <c r="BZ4" s="210" t="e">
        <f t="shared" si="4"/>
        <v>#VALUE!</v>
      </c>
      <c r="CA4" s="210" t="e">
        <f t="shared" si="4"/>
        <v>#VALUE!</v>
      </c>
      <c r="CB4" s="210" t="e">
        <f t="shared" si="4"/>
        <v>#VALUE!</v>
      </c>
      <c r="CC4" s="210" t="e">
        <f t="shared" si="4"/>
        <v>#VALUE!</v>
      </c>
      <c r="CD4" s="210" t="e">
        <f t="shared" si="4"/>
        <v>#VALUE!</v>
      </c>
      <c r="CE4" s="210" t="e">
        <f t="shared" si="4"/>
        <v>#VALUE!</v>
      </c>
      <c r="CF4" s="210" t="e">
        <f t="shared" si="4"/>
        <v>#VALUE!</v>
      </c>
      <c r="CG4" s="210" t="e">
        <f t="shared" si="4"/>
        <v>#VALUE!</v>
      </c>
      <c r="CH4" s="210" t="e">
        <f t="shared" ref="CH4:ES4" si="5">IF(CH7="","",SUM(CH9:CH25))</f>
        <v>#VALUE!</v>
      </c>
      <c r="CI4" s="210" t="e">
        <f t="shared" si="5"/>
        <v>#VALUE!</v>
      </c>
      <c r="CJ4" s="210" t="e">
        <f t="shared" si="5"/>
        <v>#VALUE!</v>
      </c>
      <c r="CK4" s="210" t="e">
        <f t="shared" si="5"/>
        <v>#VALUE!</v>
      </c>
      <c r="CL4" s="210" t="e">
        <f t="shared" si="5"/>
        <v>#VALUE!</v>
      </c>
      <c r="CM4" s="210" t="e">
        <f t="shared" si="5"/>
        <v>#VALUE!</v>
      </c>
      <c r="CN4" s="210" t="e">
        <f t="shared" si="5"/>
        <v>#VALUE!</v>
      </c>
      <c r="CO4" s="210" t="e">
        <f t="shared" si="5"/>
        <v>#VALUE!</v>
      </c>
      <c r="CP4" s="210" t="e">
        <f t="shared" si="5"/>
        <v>#VALUE!</v>
      </c>
      <c r="CQ4" s="210" t="e">
        <f t="shared" si="5"/>
        <v>#VALUE!</v>
      </c>
      <c r="CR4" s="210" t="e">
        <f t="shared" si="5"/>
        <v>#VALUE!</v>
      </c>
      <c r="CS4" s="210" t="e">
        <f t="shared" si="5"/>
        <v>#VALUE!</v>
      </c>
      <c r="CT4" s="210" t="e">
        <f t="shared" si="5"/>
        <v>#VALUE!</v>
      </c>
      <c r="CU4" s="210" t="e">
        <f t="shared" si="5"/>
        <v>#VALUE!</v>
      </c>
      <c r="CV4" s="210" t="e">
        <f t="shared" si="5"/>
        <v>#VALUE!</v>
      </c>
      <c r="CW4" s="210" t="e">
        <f t="shared" si="5"/>
        <v>#VALUE!</v>
      </c>
      <c r="CX4" s="210" t="e">
        <f t="shared" si="5"/>
        <v>#VALUE!</v>
      </c>
      <c r="CY4" s="210" t="e">
        <f t="shared" si="5"/>
        <v>#VALUE!</v>
      </c>
      <c r="CZ4" s="210" t="e">
        <f t="shared" si="5"/>
        <v>#VALUE!</v>
      </c>
      <c r="DA4" s="210" t="e">
        <f t="shared" si="5"/>
        <v>#VALUE!</v>
      </c>
      <c r="DB4" s="210" t="e">
        <f t="shared" si="5"/>
        <v>#VALUE!</v>
      </c>
      <c r="DC4" s="210" t="e">
        <f t="shared" si="5"/>
        <v>#VALUE!</v>
      </c>
      <c r="DD4" s="210" t="e">
        <f t="shared" si="5"/>
        <v>#VALUE!</v>
      </c>
      <c r="DE4" s="210" t="e">
        <f t="shared" si="5"/>
        <v>#VALUE!</v>
      </c>
      <c r="DF4" s="210" t="e">
        <f t="shared" si="5"/>
        <v>#VALUE!</v>
      </c>
      <c r="DG4" s="210" t="e">
        <f t="shared" si="5"/>
        <v>#VALUE!</v>
      </c>
      <c r="DH4" s="210" t="e">
        <f t="shared" si="5"/>
        <v>#VALUE!</v>
      </c>
      <c r="DI4" s="210" t="e">
        <f t="shared" si="5"/>
        <v>#VALUE!</v>
      </c>
      <c r="DJ4" s="210" t="e">
        <f t="shared" si="5"/>
        <v>#VALUE!</v>
      </c>
      <c r="DK4" s="210" t="e">
        <f t="shared" si="5"/>
        <v>#VALUE!</v>
      </c>
      <c r="DL4" s="210" t="e">
        <f t="shared" si="5"/>
        <v>#VALUE!</v>
      </c>
      <c r="DM4" s="210" t="e">
        <f t="shared" si="5"/>
        <v>#VALUE!</v>
      </c>
      <c r="DN4" s="210" t="e">
        <f t="shared" si="5"/>
        <v>#VALUE!</v>
      </c>
      <c r="DO4" s="210" t="e">
        <f t="shared" si="5"/>
        <v>#VALUE!</v>
      </c>
      <c r="DP4" s="210" t="e">
        <f t="shared" si="5"/>
        <v>#VALUE!</v>
      </c>
      <c r="DQ4" s="210" t="e">
        <f t="shared" si="5"/>
        <v>#VALUE!</v>
      </c>
      <c r="DR4" s="210" t="e">
        <f t="shared" si="5"/>
        <v>#VALUE!</v>
      </c>
      <c r="DS4" s="210" t="e">
        <f t="shared" si="5"/>
        <v>#VALUE!</v>
      </c>
      <c r="DT4" s="210" t="e">
        <f t="shared" si="5"/>
        <v>#VALUE!</v>
      </c>
      <c r="DU4" s="210" t="e">
        <f t="shared" si="5"/>
        <v>#VALUE!</v>
      </c>
      <c r="DV4" s="210" t="e">
        <f t="shared" si="5"/>
        <v>#VALUE!</v>
      </c>
      <c r="DW4" s="210" t="e">
        <f t="shared" si="5"/>
        <v>#VALUE!</v>
      </c>
      <c r="DX4" s="210" t="e">
        <f t="shared" si="5"/>
        <v>#VALUE!</v>
      </c>
      <c r="DY4" s="210" t="e">
        <f t="shared" si="5"/>
        <v>#VALUE!</v>
      </c>
      <c r="DZ4" s="210" t="e">
        <f t="shared" si="5"/>
        <v>#VALUE!</v>
      </c>
      <c r="EA4" s="210" t="e">
        <f t="shared" si="5"/>
        <v>#VALUE!</v>
      </c>
      <c r="EB4" s="210" t="e">
        <f t="shared" si="5"/>
        <v>#VALUE!</v>
      </c>
      <c r="EC4" s="210" t="e">
        <f t="shared" si="5"/>
        <v>#VALUE!</v>
      </c>
      <c r="ED4" s="210" t="e">
        <f t="shared" si="5"/>
        <v>#VALUE!</v>
      </c>
      <c r="EE4" s="210" t="e">
        <f t="shared" si="5"/>
        <v>#VALUE!</v>
      </c>
      <c r="EF4" s="210" t="e">
        <f t="shared" si="5"/>
        <v>#VALUE!</v>
      </c>
      <c r="EG4" s="210" t="e">
        <f t="shared" si="5"/>
        <v>#VALUE!</v>
      </c>
      <c r="EH4" s="210" t="e">
        <f t="shared" si="5"/>
        <v>#VALUE!</v>
      </c>
      <c r="EI4" s="210" t="e">
        <f t="shared" si="5"/>
        <v>#VALUE!</v>
      </c>
      <c r="EJ4" s="210" t="e">
        <f t="shared" si="5"/>
        <v>#VALUE!</v>
      </c>
      <c r="EK4" s="210" t="e">
        <f t="shared" si="5"/>
        <v>#VALUE!</v>
      </c>
      <c r="EL4" s="210" t="e">
        <f t="shared" si="5"/>
        <v>#VALUE!</v>
      </c>
      <c r="EM4" s="210" t="e">
        <f t="shared" si="5"/>
        <v>#VALUE!</v>
      </c>
      <c r="EN4" s="210" t="e">
        <f t="shared" si="5"/>
        <v>#VALUE!</v>
      </c>
      <c r="EO4" s="210" t="e">
        <f t="shared" si="5"/>
        <v>#VALUE!</v>
      </c>
      <c r="EP4" s="210" t="e">
        <f t="shared" si="5"/>
        <v>#VALUE!</v>
      </c>
      <c r="EQ4" s="210" t="e">
        <f t="shared" si="5"/>
        <v>#VALUE!</v>
      </c>
      <c r="ER4" s="210" t="e">
        <f t="shared" si="5"/>
        <v>#VALUE!</v>
      </c>
      <c r="ES4" s="210" t="e">
        <f t="shared" si="5"/>
        <v>#VALUE!</v>
      </c>
      <c r="ET4" s="210" t="e">
        <f t="shared" ref="ET4:HE4" si="6">IF(ET7="","",SUM(ET9:ET25))</f>
        <v>#VALUE!</v>
      </c>
      <c r="EU4" s="210" t="e">
        <f t="shared" si="6"/>
        <v>#VALUE!</v>
      </c>
      <c r="EV4" s="210" t="e">
        <f t="shared" si="6"/>
        <v>#VALUE!</v>
      </c>
      <c r="EW4" s="210" t="e">
        <f t="shared" si="6"/>
        <v>#VALUE!</v>
      </c>
      <c r="EX4" s="210" t="e">
        <f t="shared" si="6"/>
        <v>#VALUE!</v>
      </c>
      <c r="EY4" s="210" t="e">
        <f t="shared" si="6"/>
        <v>#VALUE!</v>
      </c>
      <c r="EZ4" s="210" t="e">
        <f t="shared" si="6"/>
        <v>#VALUE!</v>
      </c>
      <c r="FA4" s="210" t="e">
        <f t="shared" si="6"/>
        <v>#VALUE!</v>
      </c>
      <c r="FB4" s="210" t="e">
        <f t="shared" si="6"/>
        <v>#VALUE!</v>
      </c>
      <c r="FC4" s="210" t="e">
        <f t="shared" si="6"/>
        <v>#VALUE!</v>
      </c>
      <c r="FD4" s="210" t="e">
        <f t="shared" si="6"/>
        <v>#VALUE!</v>
      </c>
      <c r="FE4" s="210" t="e">
        <f t="shared" si="6"/>
        <v>#VALUE!</v>
      </c>
      <c r="FF4" s="210" t="e">
        <f t="shared" si="6"/>
        <v>#VALUE!</v>
      </c>
      <c r="FG4" s="210" t="e">
        <f t="shared" si="6"/>
        <v>#VALUE!</v>
      </c>
      <c r="FH4" s="210" t="e">
        <f t="shared" si="6"/>
        <v>#VALUE!</v>
      </c>
      <c r="FI4" s="210" t="e">
        <f t="shared" si="6"/>
        <v>#VALUE!</v>
      </c>
      <c r="FJ4" s="210" t="e">
        <f t="shared" si="6"/>
        <v>#VALUE!</v>
      </c>
      <c r="FK4" s="210" t="e">
        <f t="shared" si="6"/>
        <v>#VALUE!</v>
      </c>
      <c r="FL4" s="210" t="e">
        <f t="shared" si="6"/>
        <v>#VALUE!</v>
      </c>
      <c r="FM4" s="210" t="e">
        <f t="shared" si="6"/>
        <v>#VALUE!</v>
      </c>
      <c r="FN4" s="210" t="e">
        <f t="shared" si="6"/>
        <v>#VALUE!</v>
      </c>
      <c r="FO4" s="210" t="e">
        <f t="shared" si="6"/>
        <v>#VALUE!</v>
      </c>
      <c r="FP4" s="210" t="e">
        <f t="shared" si="6"/>
        <v>#VALUE!</v>
      </c>
      <c r="FQ4" s="210" t="e">
        <f t="shared" si="6"/>
        <v>#VALUE!</v>
      </c>
      <c r="FR4" s="210" t="e">
        <f t="shared" si="6"/>
        <v>#VALUE!</v>
      </c>
      <c r="FS4" s="210" t="e">
        <f t="shared" si="6"/>
        <v>#VALUE!</v>
      </c>
      <c r="FT4" s="210" t="e">
        <f t="shared" si="6"/>
        <v>#VALUE!</v>
      </c>
      <c r="FU4" s="210" t="e">
        <f t="shared" si="6"/>
        <v>#VALUE!</v>
      </c>
      <c r="FV4" s="210" t="e">
        <f t="shared" si="6"/>
        <v>#VALUE!</v>
      </c>
      <c r="FW4" s="210" t="e">
        <f t="shared" si="6"/>
        <v>#VALUE!</v>
      </c>
      <c r="FX4" s="210" t="e">
        <f t="shared" si="6"/>
        <v>#VALUE!</v>
      </c>
      <c r="FY4" s="210" t="e">
        <f t="shared" si="6"/>
        <v>#VALUE!</v>
      </c>
      <c r="FZ4" s="210" t="e">
        <f t="shared" si="6"/>
        <v>#VALUE!</v>
      </c>
      <c r="GA4" s="210" t="e">
        <f t="shared" si="6"/>
        <v>#VALUE!</v>
      </c>
      <c r="GB4" s="210" t="e">
        <f t="shared" si="6"/>
        <v>#VALUE!</v>
      </c>
      <c r="GC4" s="210" t="e">
        <f t="shared" si="6"/>
        <v>#VALUE!</v>
      </c>
      <c r="GD4" s="210" t="e">
        <f t="shared" si="6"/>
        <v>#VALUE!</v>
      </c>
      <c r="GE4" s="210" t="e">
        <f t="shared" si="6"/>
        <v>#VALUE!</v>
      </c>
      <c r="GF4" s="210" t="e">
        <f t="shared" si="6"/>
        <v>#VALUE!</v>
      </c>
      <c r="GG4" s="210" t="e">
        <f t="shared" si="6"/>
        <v>#VALUE!</v>
      </c>
      <c r="GH4" s="210" t="e">
        <f t="shared" si="6"/>
        <v>#VALUE!</v>
      </c>
      <c r="GI4" s="210" t="e">
        <f t="shared" si="6"/>
        <v>#VALUE!</v>
      </c>
      <c r="GJ4" s="210" t="e">
        <f t="shared" si="6"/>
        <v>#VALUE!</v>
      </c>
      <c r="GK4" s="210" t="e">
        <f t="shared" si="6"/>
        <v>#VALUE!</v>
      </c>
      <c r="GL4" s="210" t="e">
        <f t="shared" si="6"/>
        <v>#VALUE!</v>
      </c>
      <c r="GM4" s="210" t="e">
        <f t="shared" si="6"/>
        <v>#VALUE!</v>
      </c>
      <c r="GN4" s="210" t="e">
        <f t="shared" si="6"/>
        <v>#VALUE!</v>
      </c>
      <c r="GO4" s="210" t="e">
        <f t="shared" si="6"/>
        <v>#VALUE!</v>
      </c>
      <c r="GP4" s="210" t="e">
        <f t="shared" si="6"/>
        <v>#VALUE!</v>
      </c>
      <c r="GQ4" s="210" t="e">
        <f t="shared" si="6"/>
        <v>#VALUE!</v>
      </c>
      <c r="GR4" s="210" t="e">
        <f t="shared" si="6"/>
        <v>#VALUE!</v>
      </c>
      <c r="GS4" s="210" t="e">
        <f t="shared" si="6"/>
        <v>#VALUE!</v>
      </c>
      <c r="GT4" s="210" t="e">
        <f t="shared" si="6"/>
        <v>#VALUE!</v>
      </c>
      <c r="GU4" s="210" t="e">
        <f t="shared" si="6"/>
        <v>#VALUE!</v>
      </c>
      <c r="GV4" s="210" t="e">
        <f t="shared" si="6"/>
        <v>#VALUE!</v>
      </c>
      <c r="GW4" s="210" t="e">
        <f t="shared" si="6"/>
        <v>#VALUE!</v>
      </c>
      <c r="GX4" s="210" t="e">
        <f t="shared" si="6"/>
        <v>#VALUE!</v>
      </c>
      <c r="GY4" s="210" t="e">
        <f t="shared" si="6"/>
        <v>#VALUE!</v>
      </c>
      <c r="GZ4" s="210" t="e">
        <f t="shared" si="6"/>
        <v>#VALUE!</v>
      </c>
      <c r="HA4" s="210" t="e">
        <f t="shared" si="6"/>
        <v>#VALUE!</v>
      </c>
      <c r="HB4" s="210" t="e">
        <f t="shared" si="6"/>
        <v>#VALUE!</v>
      </c>
      <c r="HC4" s="210" t="e">
        <f t="shared" si="6"/>
        <v>#VALUE!</v>
      </c>
      <c r="HD4" s="210" t="e">
        <f t="shared" si="6"/>
        <v>#VALUE!</v>
      </c>
      <c r="HE4" s="210" t="e">
        <f t="shared" si="6"/>
        <v>#VALUE!</v>
      </c>
      <c r="HF4" s="210" t="e">
        <f t="shared" ref="HF4:JJ4" si="7">IF(HF7="","",SUM(HF9:HF25))</f>
        <v>#VALUE!</v>
      </c>
      <c r="HG4" s="210" t="e">
        <f t="shared" si="7"/>
        <v>#VALUE!</v>
      </c>
      <c r="HH4" s="210" t="e">
        <f t="shared" si="7"/>
        <v>#VALUE!</v>
      </c>
      <c r="HI4" s="210" t="e">
        <f t="shared" si="7"/>
        <v>#VALUE!</v>
      </c>
      <c r="HJ4" s="210" t="e">
        <f t="shared" si="7"/>
        <v>#VALUE!</v>
      </c>
      <c r="HK4" s="210" t="e">
        <f t="shared" si="7"/>
        <v>#VALUE!</v>
      </c>
      <c r="HL4" s="210" t="e">
        <f t="shared" si="7"/>
        <v>#VALUE!</v>
      </c>
      <c r="HM4" s="210" t="e">
        <f t="shared" si="7"/>
        <v>#VALUE!</v>
      </c>
      <c r="HN4" s="210" t="e">
        <f t="shared" si="7"/>
        <v>#VALUE!</v>
      </c>
      <c r="HO4" s="210" t="e">
        <f t="shared" si="7"/>
        <v>#VALUE!</v>
      </c>
      <c r="HP4" s="210" t="e">
        <f t="shared" si="7"/>
        <v>#VALUE!</v>
      </c>
      <c r="HQ4" s="210" t="e">
        <f t="shared" si="7"/>
        <v>#VALUE!</v>
      </c>
      <c r="HR4" s="210" t="e">
        <f t="shared" si="7"/>
        <v>#VALUE!</v>
      </c>
      <c r="HS4" s="210" t="e">
        <f t="shared" si="7"/>
        <v>#VALUE!</v>
      </c>
      <c r="HT4" s="210" t="e">
        <f t="shared" si="7"/>
        <v>#VALUE!</v>
      </c>
      <c r="HU4" s="210" t="e">
        <f t="shared" si="7"/>
        <v>#VALUE!</v>
      </c>
      <c r="HV4" s="210" t="e">
        <f t="shared" si="7"/>
        <v>#VALUE!</v>
      </c>
      <c r="HW4" s="210" t="e">
        <f t="shared" si="7"/>
        <v>#VALUE!</v>
      </c>
      <c r="HX4" s="210" t="e">
        <f t="shared" si="7"/>
        <v>#VALUE!</v>
      </c>
      <c r="HY4" s="210" t="e">
        <f t="shared" si="7"/>
        <v>#VALUE!</v>
      </c>
      <c r="HZ4" s="210" t="e">
        <f t="shared" si="7"/>
        <v>#VALUE!</v>
      </c>
      <c r="IA4" s="210" t="e">
        <f t="shared" si="7"/>
        <v>#VALUE!</v>
      </c>
      <c r="IB4" s="210" t="e">
        <f t="shared" si="7"/>
        <v>#VALUE!</v>
      </c>
      <c r="IC4" s="210" t="e">
        <f t="shared" si="7"/>
        <v>#VALUE!</v>
      </c>
      <c r="ID4" s="210" t="e">
        <f t="shared" si="7"/>
        <v>#VALUE!</v>
      </c>
      <c r="IE4" s="210" t="e">
        <f t="shared" si="7"/>
        <v>#VALUE!</v>
      </c>
      <c r="IF4" s="210" t="e">
        <f t="shared" si="7"/>
        <v>#VALUE!</v>
      </c>
      <c r="IG4" s="210" t="e">
        <f t="shared" si="7"/>
        <v>#VALUE!</v>
      </c>
      <c r="IH4" s="210" t="e">
        <f t="shared" si="7"/>
        <v>#VALUE!</v>
      </c>
      <c r="II4" s="210" t="e">
        <f t="shared" si="7"/>
        <v>#VALUE!</v>
      </c>
      <c r="IJ4" s="210" t="e">
        <f t="shared" si="7"/>
        <v>#VALUE!</v>
      </c>
      <c r="IK4" s="210" t="e">
        <f t="shared" si="7"/>
        <v>#VALUE!</v>
      </c>
      <c r="IL4" s="210" t="e">
        <f t="shared" si="7"/>
        <v>#VALUE!</v>
      </c>
      <c r="IM4" s="210" t="e">
        <f t="shared" si="7"/>
        <v>#VALUE!</v>
      </c>
      <c r="IN4" s="210" t="e">
        <f t="shared" si="7"/>
        <v>#VALUE!</v>
      </c>
      <c r="IO4" s="210" t="e">
        <f t="shared" si="7"/>
        <v>#VALUE!</v>
      </c>
      <c r="IP4" s="210" t="e">
        <f t="shared" si="7"/>
        <v>#VALUE!</v>
      </c>
      <c r="IQ4" s="210" t="e">
        <f t="shared" si="7"/>
        <v>#VALUE!</v>
      </c>
      <c r="IR4" s="210" t="e">
        <f t="shared" si="7"/>
        <v>#VALUE!</v>
      </c>
      <c r="IS4" s="210" t="e">
        <f t="shared" si="7"/>
        <v>#VALUE!</v>
      </c>
      <c r="IT4" s="210" t="e">
        <f t="shared" si="7"/>
        <v>#VALUE!</v>
      </c>
      <c r="IU4" s="210" t="e">
        <f t="shared" si="7"/>
        <v>#VALUE!</v>
      </c>
      <c r="IV4" s="210" t="e">
        <f t="shared" si="7"/>
        <v>#VALUE!</v>
      </c>
      <c r="IW4" s="210" t="e">
        <f t="shared" si="7"/>
        <v>#VALUE!</v>
      </c>
      <c r="IX4" s="210" t="e">
        <f t="shared" si="7"/>
        <v>#VALUE!</v>
      </c>
      <c r="IY4" s="210" t="e">
        <f t="shared" si="7"/>
        <v>#VALUE!</v>
      </c>
      <c r="IZ4" s="210" t="e">
        <f t="shared" si="7"/>
        <v>#VALUE!</v>
      </c>
      <c r="JA4" s="210" t="e">
        <f t="shared" si="7"/>
        <v>#VALUE!</v>
      </c>
      <c r="JB4" s="210" t="e">
        <f t="shared" si="7"/>
        <v>#VALUE!</v>
      </c>
      <c r="JC4" s="210" t="e">
        <f t="shared" si="7"/>
        <v>#VALUE!</v>
      </c>
      <c r="JD4" s="210" t="e">
        <f t="shared" si="7"/>
        <v>#VALUE!</v>
      </c>
      <c r="JE4" s="210" t="e">
        <f t="shared" si="7"/>
        <v>#VALUE!</v>
      </c>
      <c r="JF4" s="210" t="e">
        <f t="shared" si="7"/>
        <v>#VALUE!</v>
      </c>
      <c r="JG4" s="210" t="e">
        <f t="shared" si="7"/>
        <v>#VALUE!</v>
      </c>
      <c r="JH4" s="210" t="e">
        <f t="shared" si="7"/>
        <v>#VALUE!</v>
      </c>
      <c r="JI4" s="210" t="e">
        <f t="shared" si="7"/>
        <v>#VALUE!</v>
      </c>
      <c r="JJ4" s="210" t="e">
        <f t="shared" si="7"/>
        <v>#VALUE!</v>
      </c>
      <c r="JK4" s="210"/>
      <c r="JL4" s="210"/>
      <c r="JM4" s="210"/>
      <c r="JN4" s="210"/>
      <c r="JO4" s="210"/>
      <c r="JP4" s="210"/>
      <c r="JQ4" s="210"/>
      <c r="JR4" s="210"/>
      <c r="JS4" s="210"/>
      <c r="JT4" s="210"/>
      <c r="JU4" s="210"/>
      <c r="JV4" s="210"/>
      <c r="JW4" s="210"/>
      <c r="JX4" s="210"/>
      <c r="JY4" s="210"/>
      <c r="JZ4" s="210"/>
      <c r="KA4" s="210"/>
      <c r="KB4" s="210"/>
      <c r="KC4" s="210"/>
      <c r="KD4" s="210"/>
      <c r="KE4" s="210"/>
      <c r="KF4" s="210"/>
      <c r="KG4" s="210"/>
      <c r="KH4" s="210"/>
      <c r="KI4" s="210"/>
      <c r="KJ4" s="210"/>
      <c r="KK4" s="210"/>
      <c r="KL4" s="210"/>
      <c r="KM4" s="210"/>
      <c r="KN4" s="210"/>
      <c r="KO4" s="210"/>
      <c r="KP4" s="210"/>
      <c r="KQ4" s="210"/>
      <c r="KR4" s="210"/>
      <c r="KS4" s="210"/>
      <c r="KT4" s="210"/>
      <c r="KU4" s="210"/>
      <c r="KV4" s="210"/>
      <c r="KW4" s="210"/>
      <c r="KX4" s="210"/>
      <c r="KY4" s="210"/>
      <c r="KZ4" s="210"/>
      <c r="LA4" s="210"/>
      <c r="LB4" s="210"/>
      <c r="LC4" s="210"/>
      <c r="LD4" s="210"/>
      <c r="LE4" s="210"/>
      <c r="LF4" s="210"/>
      <c r="LG4" s="210"/>
      <c r="LH4" s="210"/>
      <c r="LI4" s="210"/>
      <c r="LJ4" s="210"/>
      <c r="LK4" s="210"/>
      <c r="LL4" s="210"/>
      <c r="LM4" s="210"/>
      <c r="LN4" s="210"/>
      <c r="LO4" s="210"/>
      <c r="LP4" s="210"/>
      <c r="LQ4" s="210"/>
      <c r="LR4" s="210"/>
      <c r="LS4" s="210"/>
      <c r="LT4" s="210"/>
      <c r="LU4" s="210"/>
      <c r="LV4" s="210"/>
      <c r="LW4" s="210"/>
      <c r="LX4" s="210"/>
      <c r="LY4" s="210"/>
      <c r="LZ4" s="210"/>
      <c r="MA4" s="210"/>
      <c r="MB4" s="210"/>
      <c r="MC4" s="210"/>
      <c r="MD4" s="210"/>
      <c r="ME4" s="210"/>
      <c r="MF4" s="210"/>
      <c r="MG4" s="210"/>
      <c r="MH4" s="210"/>
      <c r="MI4" s="210"/>
      <c r="MJ4" s="210"/>
      <c r="MK4" s="210"/>
      <c r="ML4" s="210"/>
      <c r="MM4" s="210"/>
      <c r="MN4" s="210"/>
      <c r="MO4" s="210"/>
      <c r="MP4" s="210"/>
      <c r="MQ4" s="210"/>
      <c r="MR4" s="210"/>
      <c r="MS4" s="210"/>
      <c r="MT4" s="210"/>
      <c r="MU4" s="210"/>
      <c r="MV4" s="210"/>
      <c r="MW4" s="210"/>
      <c r="MX4" s="210"/>
      <c r="MY4" s="210"/>
      <c r="MZ4" s="210"/>
      <c r="NA4" s="210"/>
      <c r="NB4" s="210"/>
      <c r="NC4" s="210"/>
      <c r="ND4" s="210"/>
      <c r="NE4" s="210"/>
      <c r="NF4" s="210"/>
      <c r="NG4" s="210"/>
      <c r="NH4" s="210"/>
      <c r="NI4" s="210"/>
      <c r="NJ4" s="210"/>
      <c r="NK4" s="210"/>
      <c r="NL4" s="210"/>
      <c r="NM4" s="210"/>
      <c r="NN4" s="210"/>
      <c r="NO4" s="210"/>
      <c r="NP4" s="210"/>
      <c r="NQ4" s="210"/>
      <c r="NR4" s="210"/>
      <c r="NS4" s="210"/>
      <c r="NT4" s="210"/>
      <c r="NU4" s="210"/>
      <c r="NV4" s="210"/>
      <c r="NW4" s="210"/>
      <c r="NX4" s="210"/>
      <c r="NY4" s="210"/>
      <c r="NZ4" s="210"/>
      <c r="OA4" s="210"/>
      <c r="OB4" s="210"/>
      <c r="OC4" s="210"/>
      <c r="OD4" s="210"/>
      <c r="OE4" s="210"/>
      <c r="OF4" s="210"/>
      <c r="OG4" s="210"/>
      <c r="OH4" s="210"/>
      <c r="OI4" s="210"/>
      <c r="OJ4" s="210"/>
      <c r="OK4" s="210"/>
      <c r="OL4" s="210"/>
      <c r="OM4" s="210"/>
      <c r="ON4" s="210"/>
      <c r="OO4" s="210"/>
      <c r="OP4" s="210"/>
      <c r="OQ4" s="210"/>
      <c r="OR4" s="210"/>
      <c r="OS4" s="210"/>
      <c r="OT4" s="210"/>
      <c r="OU4" s="210"/>
      <c r="OV4" s="210"/>
      <c r="OW4" s="210"/>
      <c r="OX4" s="210"/>
      <c r="OY4" s="210"/>
      <c r="OZ4" s="210"/>
      <c r="PA4" s="210"/>
      <c r="PB4" s="210"/>
      <c r="PC4" s="210"/>
      <c r="PD4" s="210"/>
      <c r="PE4" s="210"/>
      <c r="PF4" s="210"/>
      <c r="PG4" s="210"/>
      <c r="PH4" s="210"/>
      <c r="PI4" s="210"/>
      <c r="PJ4" s="210"/>
      <c r="PK4" s="210"/>
      <c r="PL4" s="210"/>
      <c r="PM4" s="210"/>
      <c r="PN4" s="210"/>
      <c r="PO4" s="210"/>
      <c r="PP4" s="210"/>
      <c r="PQ4" s="210"/>
      <c r="PR4" s="210"/>
      <c r="PS4" s="210"/>
      <c r="PT4" s="210"/>
      <c r="PU4" s="210"/>
      <c r="PV4" s="210"/>
      <c r="PW4" s="210"/>
      <c r="PX4" s="210"/>
      <c r="PY4" s="210"/>
      <c r="PZ4" s="210"/>
      <c r="QA4" s="210"/>
      <c r="QB4" s="210"/>
      <c r="QC4" s="210"/>
      <c r="QD4" s="210"/>
      <c r="QE4" s="210"/>
      <c r="QF4" s="210"/>
      <c r="QG4" s="210"/>
      <c r="QH4" s="210"/>
      <c r="QI4" s="210"/>
      <c r="QJ4" s="210"/>
      <c r="QK4" s="210"/>
      <c r="QL4" s="210"/>
      <c r="QM4" s="210"/>
      <c r="QN4" s="210"/>
      <c r="QO4" s="210"/>
      <c r="QP4" s="210"/>
      <c r="QQ4" s="210"/>
      <c r="QR4" s="210"/>
      <c r="QS4" s="210"/>
      <c r="QT4" s="210"/>
      <c r="QU4" s="210"/>
      <c r="QV4" s="210"/>
      <c r="QW4" s="210"/>
      <c r="QX4" s="210"/>
      <c r="QY4" s="210"/>
      <c r="QZ4" s="210"/>
      <c r="RA4" s="210"/>
      <c r="RB4" s="210"/>
      <c r="RC4" s="210"/>
      <c r="RD4" s="210"/>
      <c r="RE4" s="210"/>
      <c r="RF4" s="210"/>
      <c r="RG4" s="210"/>
      <c r="RH4" s="210"/>
      <c r="RI4" s="210"/>
      <c r="RJ4" s="210"/>
      <c r="RK4" s="210"/>
      <c r="RL4" s="210"/>
      <c r="RM4" s="210"/>
      <c r="RN4" s="210"/>
      <c r="RO4" s="210"/>
      <c r="RP4" s="210"/>
      <c r="RQ4" s="210"/>
      <c r="RR4" s="210"/>
      <c r="RS4" s="210"/>
      <c r="RT4" s="210"/>
      <c r="RU4" s="210"/>
      <c r="RV4" s="210"/>
      <c r="RW4" s="210"/>
      <c r="RX4" s="210"/>
      <c r="RY4" s="210"/>
      <c r="RZ4" s="210"/>
      <c r="SA4" s="210"/>
      <c r="SB4" s="210"/>
      <c r="SC4" s="210"/>
      <c r="SD4" s="210"/>
      <c r="SE4" s="210"/>
      <c r="SF4" s="210"/>
      <c r="SG4" s="210"/>
      <c r="SH4" s="210"/>
      <c r="SI4" s="210"/>
      <c r="SJ4" s="210"/>
      <c r="SK4" s="210"/>
      <c r="SL4" s="210"/>
      <c r="SM4" s="210"/>
      <c r="SN4" s="210"/>
      <c r="SO4" s="210"/>
      <c r="SP4" s="210"/>
      <c r="SQ4" s="210"/>
      <c r="SR4" s="210"/>
      <c r="SS4" s="210"/>
      <c r="ST4" s="210"/>
      <c r="SU4" s="210"/>
      <c r="SV4" s="210"/>
      <c r="SW4" s="210"/>
      <c r="SX4" s="210"/>
      <c r="SY4" s="210"/>
      <c r="SZ4" s="210"/>
      <c r="TA4" s="210"/>
      <c r="TB4" s="210"/>
      <c r="TC4" s="210"/>
      <c r="TD4" s="210"/>
      <c r="TE4" s="210"/>
      <c r="TF4" s="210"/>
      <c r="TG4" s="210"/>
      <c r="TH4" s="210"/>
      <c r="TI4" s="210"/>
      <c r="TJ4" s="210"/>
      <c r="TK4" s="210"/>
      <c r="TL4" s="210"/>
      <c r="TM4" s="210"/>
      <c r="TN4" s="210"/>
      <c r="TO4" s="210"/>
      <c r="TP4" s="210"/>
      <c r="TQ4" s="210"/>
      <c r="TR4" s="210"/>
      <c r="TS4" s="210"/>
      <c r="TT4" s="210"/>
      <c r="TU4" s="210"/>
      <c r="TV4" s="210"/>
      <c r="TW4" s="210"/>
      <c r="TX4" s="210"/>
      <c r="TY4" s="210"/>
      <c r="TZ4" s="210"/>
      <c r="UA4" s="210"/>
      <c r="UB4" s="210"/>
      <c r="UC4" s="210"/>
      <c r="UD4" s="210"/>
      <c r="UE4" s="210"/>
      <c r="UF4" s="210"/>
      <c r="UG4" s="210"/>
      <c r="UH4" s="210"/>
      <c r="UI4" s="210"/>
      <c r="UJ4" s="210"/>
      <c r="UK4" s="210"/>
      <c r="UL4" s="210"/>
      <c r="UM4" s="210"/>
      <c r="UN4" s="210"/>
      <c r="UO4" s="210"/>
      <c r="UP4" s="210"/>
      <c r="UQ4" s="210"/>
      <c r="UR4" s="210"/>
      <c r="US4" s="210"/>
      <c r="UT4" s="210"/>
      <c r="UU4" s="210"/>
      <c r="UV4" s="210"/>
      <c r="UW4" s="210"/>
      <c r="UX4" s="210"/>
      <c r="UY4" s="210"/>
      <c r="UZ4" s="210"/>
      <c r="VA4" s="210"/>
      <c r="VB4" s="210"/>
      <c r="VC4" s="210"/>
      <c r="VD4" s="210"/>
      <c r="VE4" s="210"/>
      <c r="VF4" s="210"/>
      <c r="VG4" s="210"/>
      <c r="VH4" s="210"/>
      <c r="VI4" s="210"/>
      <c r="VJ4" s="210"/>
      <c r="VK4" s="210"/>
      <c r="VL4" s="210"/>
      <c r="VM4" s="210"/>
      <c r="VN4" s="210"/>
      <c r="VO4" s="210"/>
      <c r="VP4" s="210"/>
      <c r="VQ4" s="210"/>
      <c r="VR4" s="210"/>
      <c r="VS4" s="210"/>
      <c r="VT4" s="210"/>
      <c r="VU4" s="210"/>
      <c r="VV4" s="210"/>
      <c r="VW4" s="210"/>
      <c r="VX4" s="210"/>
      <c r="VY4" s="210"/>
      <c r="VZ4" s="210"/>
      <c r="WA4" s="210"/>
      <c r="WB4" s="210"/>
      <c r="WC4" s="210"/>
      <c r="WD4" s="210"/>
      <c r="WE4" s="210"/>
      <c r="WF4" s="210"/>
      <c r="WG4" s="210"/>
      <c r="WH4" s="210"/>
      <c r="WI4" s="210"/>
      <c r="WJ4" s="210"/>
      <c r="WK4" s="210"/>
      <c r="WL4" s="210"/>
      <c r="WM4" s="210"/>
      <c r="WN4" s="210"/>
      <c r="WO4" s="210"/>
      <c r="WP4" s="210"/>
      <c r="WQ4" s="210"/>
      <c r="WR4" s="210"/>
      <c r="WS4" s="210"/>
      <c r="WT4" s="210"/>
      <c r="WU4" s="210"/>
      <c r="WV4" s="210"/>
      <c r="WW4" s="210"/>
      <c r="WX4" s="210"/>
      <c r="WY4" s="210"/>
      <c r="WZ4" s="210"/>
      <c r="XA4" s="210"/>
      <c r="XB4" s="210"/>
      <c r="XC4" s="210"/>
      <c r="XD4" s="210"/>
      <c r="XE4" s="210"/>
      <c r="XF4" s="210"/>
      <c r="XG4" s="210"/>
      <c r="XH4" s="210"/>
      <c r="XI4" s="210"/>
      <c r="XJ4" s="210"/>
      <c r="XK4" s="210"/>
      <c r="XL4" s="210"/>
      <c r="XM4" s="210"/>
      <c r="XN4" s="210"/>
      <c r="XO4" s="210"/>
      <c r="XP4" s="210"/>
      <c r="XQ4" s="210"/>
      <c r="XR4" s="210"/>
      <c r="XS4" s="210"/>
      <c r="XT4" s="210"/>
      <c r="XU4" s="210"/>
      <c r="XV4" s="210"/>
      <c r="XW4" s="210"/>
      <c r="XX4" s="210"/>
      <c r="XY4" s="210"/>
      <c r="XZ4" s="210"/>
      <c r="YA4" s="210"/>
      <c r="YB4" s="210"/>
      <c r="YC4" s="210"/>
      <c r="YD4" s="210"/>
      <c r="YE4" s="210"/>
      <c r="YF4" s="210"/>
      <c r="YG4" s="210"/>
      <c r="YH4" s="210"/>
      <c r="YI4" s="210"/>
      <c r="YJ4" s="210"/>
      <c r="YK4" s="210"/>
      <c r="YL4" s="210"/>
      <c r="YM4" s="210"/>
      <c r="YN4" s="210"/>
      <c r="YO4" s="210"/>
      <c r="YP4" s="210"/>
      <c r="YQ4" s="210"/>
      <c r="YR4" s="210"/>
      <c r="YS4" s="210"/>
      <c r="YT4" s="210"/>
      <c r="YU4" s="210"/>
      <c r="YV4" s="210"/>
      <c r="YW4" s="210"/>
      <c r="YX4" s="210"/>
      <c r="YY4" s="210"/>
      <c r="YZ4" s="210"/>
      <c r="ZA4" s="210"/>
      <c r="ZB4" s="210"/>
      <c r="ZC4" s="210"/>
      <c r="ZD4" s="210"/>
      <c r="ZE4" s="210"/>
      <c r="ZF4" s="210"/>
      <c r="ZG4" s="210"/>
      <c r="ZH4" s="210"/>
      <c r="ZI4" s="210"/>
      <c r="ZJ4" s="210"/>
      <c r="ZK4" s="210"/>
      <c r="ZL4" s="210"/>
      <c r="ZM4" s="210"/>
      <c r="ZN4" s="210"/>
      <c r="ZO4" s="210"/>
      <c r="ZP4" s="210"/>
      <c r="ZQ4" s="210"/>
      <c r="ZR4" s="210"/>
      <c r="ZS4" s="210"/>
      <c r="ZT4" s="210"/>
      <c r="ZU4" s="210"/>
      <c r="ZV4" s="210"/>
      <c r="ZW4" s="210"/>
      <c r="ZX4" s="210"/>
      <c r="ZY4" s="210"/>
      <c r="ZZ4" s="210"/>
      <c r="AAA4" s="210"/>
      <c r="AAB4" s="210"/>
      <c r="AAC4" s="210"/>
      <c r="AAD4" s="210"/>
      <c r="AAE4" s="210"/>
      <c r="AAF4" s="210"/>
      <c r="AAG4" s="210"/>
      <c r="AAH4" s="210"/>
      <c r="AAI4" s="210"/>
      <c r="AAJ4" s="210"/>
      <c r="AAK4" s="210"/>
      <c r="AAL4" s="210"/>
      <c r="AAM4" s="210"/>
      <c r="AAN4" s="210"/>
      <c r="AAO4" s="210"/>
      <c r="AAP4" s="210"/>
      <c r="AAQ4" s="210"/>
      <c r="AAR4" s="210"/>
      <c r="AAS4" s="210"/>
      <c r="AAT4" s="210"/>
      <c r="AAU4" s="210"/>
      <c r="AAV4" s="210"/>
      <c r="AAW4" s="210"/>
      <c r="AAX4" s="210"/>
      <c r="AAY4" s="210"/>
      <c r="AAZ4" s="210"/>
      <c r="ABA4" s="210"/>
      <c r="ABB4" s="210"/>
      <c r="ABC4" s="210"/>
      <c r="ABD4" s="210"/>
      <c r="ABE4" s="210"/>
      <c r="ABF4" s="210"/>
      <c r="ABG4" s="210"/>
      <c r="ABH4" s="210"/>
      <c r="ABI4" s="210"/>
      <c r="ABJ4" s="210"/>
      <c r="ABK4" s="210"/>
      <c r="ABL4" s="210"/>
      <c r="ABM4" s="210"/>
      <c r="ABN4" s="210"/>
      <c r="ABO4" s="210"/>
      <c r="ABP4" s="210"/>
      <c r="ABQ4" s="210"/>
      <c r="ABR4" s="210"/>
      <c r="ABS4" s="210"/>
      <c r="ABT4" s="210"/>
      <c r="ABU4" s="210"/>
      <c r="ABV4" s="210"/>
      <c r="ABW4" s="210"/>
      <c r="ABX4" s="210"/>
      <c r="ABY4" s="210"/>
      <c r="ABZ4" s="210"/>
      <c r="ACA4" s="210"/>
      <c r="ACB4" s="210"/>
      <c r="ACC4" s="210"/>
      <c r="ACD4" s="210"/>
      <c r="ACE4" s="210"/>
      <c r="ACF4" s="210"/>
      <c r="ACG4" s="210"/>
      <c r="ACH4" s="210"/>
      <c r="ACI4" s="210"/>
      <c r="ACJ4" s="210"/>
      <c r="ACK4" s="210"/>
      <c r="ACL4" s="210"/>
      <c r="ACM4" s="210"/>
      <c r="ACN4" s="210"/>
      <c r="ACO4" s="210"/>
      <c r="ACP4" s="210"/>
      <c r="ACQ4" s="210"/>
      <c r="ACR4" s="210"/>
      <c r="ACS4" s="210"/>
      <c r="ACT4" s="210"/>
      <c r="ACU4" s="210"/>
      <c r="ACV4" s="210"/>
      <c r="ACW4" s="210"/>
      <c r="ACX4" s="210"/>
      <c r="ACY4" s="210"/>
      <c r="ACZ4" s="210"/>
      <c r="ADA4" s="210"/>
      <c r="ADB4" s="210"/>
      <c r="ADC4" s="210"/>
      <c r="ADD4" s="210"/>
      <c r="ADE4" s="210"/>
      <c r="ADF4" s="210"/>
      <c r="ADG4" s="210"/>
      <c r="ADH4" s="210"/>
      <c r="ADI4" s="210"/>
      <c r="ADJ4" s="210"/>
      <c r="ADK4" s="210"/>
      <c r="ADL4" s="210"/>
      <c r="ADM4" s="210"/>
      <c r="ADN4" s="210"/>
      <c r="ADO4" s="210"/>
      <c r="ADP4" s="210"/>
      <c r="ADQ4" s="210"/>
      <c r="ADR4" s="210"/>
      <c r="ADS4" s="210"/>
      <c r="ADT4" s="210"/>
      <c r="ADU4" s="210"/>
      <c r="ADV4" s="210"/>
      <c r="ADW4" s="210"/>
      <c r="ADX4" s="210"/>
      <c r="ADY4" s="210"/>
      <c r="ADZ4" s="210"/>
      <c r="AEA4" s="210"/>
      <c r="AEB4" s="210"/>
      <c r="AEC4" s="210"/>
      <c r="AED4" s="210"/>
      <c r="AEE4" s="210"/>
      <c r="AEF4" s="210"/>
      <c r="AEG4" s="210"/>
      <c r="AEH4" s="210"/>
      <c r="AEI4" s="210"/>
      <c r="AEJ4" s="210"/>
      <c r="AEK4" s="210"/>
      <c r="AEL4" s="210"/>
      <c r="AEM4" s="210"/>
      <c r="AEN4" s="210"/>
      <c r="AEO4" s="210"/>
      <c r="AEP4" s="210"/>
      <c r="AEQ4" s="210"/>
      <c r="AER4" s="210"/>
      <c r="AES4" s="210"/>
      <c r="AET4" s="210"/>
      <c r="AEU4" s="210"/>
      <c r="AEV4" s="210"/>
      <c r="AEW4" s="210"/>
      <c r="AEX4" s="210"/>
      <c r="AEY4" s="210"/>
      <c r="AEZ4" s="210"/>
      <c r="AFA4" s="210"/>
      <c r="AFB4" s="210"/>
      <c r="AFC4" s="210"/>
      <c r="AFD4" s="210"/>
      <c r="AFE4" s="210"/>
      <c r="AFF4" s="210"/>
      <c r="AFG4" s="210"/>
      <c r="AFH4" s="210"/>
      <c r="AFI4" s="210"/>
      <c r="AFJ4" s="210"/>
      <c r="AFK4" s="210"/>
      <c r="AFL4" s="210"/>
      <c r="AFM4" s="210"/>
      <c r="AFN4" s="210"/>
      <c r="AFO4" s="210"/>
      <c r="AFP4" s="210"/>
      <c r="AFQ4" s="210"/>
      <c r="AFR4" s="210"/>
      <c r="AFS4" s="210"/>
      <c r="AFT4" s="210"/>
      <c r="AFU4" s="210"/>
      <c r="AFV4" s="210"/>
      <c r="AFW4" s="210"/>
      <c r="AFX4" s="210"/>
      <c r="AFY4" s="210"/>
      <c r="AFZ4" s="210"/>
      <c r="AGA4" s="210"/>
      <c r="AGB4" s="210"/>
      <c r="AGC4" s="210"/>
      <c r="AGD4" s="210"/>
      <c r="AGE4" s="210"/>
      <c r="AGF4" s="210"/>
      <c r="AGG4" s="210"/>
      <c r="AGH4" s="210"/>
      <c r="AGI4" s="210"/>
      <c r="AGJ4" s="210"/>
      <c r="AGK4" s="210"/>
      <c r="AGL4" s="210"/>
      <c r="AGM4" s="210"/>
      <c r="AGN4" s="210"/>
      <c r="AGO4" s="210"/>
      <c r="AGP4" s="210"/>
      <c r="AGQ4" s="210"/>
      <c r="AGR4" s="210"/>
      <c r="AGS4" s="210"/>
      <c r="AGT4" s="210"/>
      <c r="AGU4" s="210"/>
      <c r="AGV4" s="210"/>
      <c r="AGW4" s="210"/>
      <c r="AGX4" s="210"/>
      <c r="AGY4" s="210"/>
      <c r="AGZ4" s="210"/>
      <c r="AHA4" s="210"/>
      <c r="AHB4" s="210"/>
      <c r="AHC4" s="210"/>
      <c r="AHD4" s="210"/>
      <c r="AHE4" s="210"/>
      <c r="AHF4" s="210"/>
      <c r="AHG4" s="210"/>
      <c r="AHH4" s="210"/>
      <c r="AHI4" s="210"/>
      <c r="AHJ4" s="210"/>
      <c r="AHK4" s="210"/>
      <c r="AHL4" s="210"/>
      <c r="AHM4" s="210"/>
      <c r="AHN4" s="210"/>
      <c r="AHO4" s="210"/>
      <c r="AHP4" s="210"/>
      <c r="AHQ4" s="210"/>
      <c r="AHR4" s="210"/>
      <c r="AHS4" s="210"/>
      <c r="AHT4" s="210"/>
      <c r="AHU4" s="210"/>
      <c r="AHV4" s="210"/>
      <c r="AHW4" s="210"/>
      <c r="AHX4" s="210"/>
      <c r="AHY4" s="210"/>
      <c r="AHZ4" s="210"/>
      <c r="AIA4" s="210"/>
      <c r="AIB4" s="210"/>
      <c r="AIC4" s="210"/>
      <c r="AID4" s="210"/>
      <c r="AIE4" s="210"/>
      <c r="AIF4" s="210"/>
      <c r="AIG4" s="210"/>
      <c r="AIH4" s="210"/>
      <c r="AII4" s="210"/>
      <c r="AIJ4" s="210"/>
      <c r="AIK4" s="210"/>
      <c r="AIL4" s="210"/>
      <c r="AIM4" s="210"/>
      <c r="AIN4" s="210"/>
      <c r="AIO4" s="210"/>
      <c r="AIP4" s="210"/>
      <c r="AIQ4" s="210"/>
      <c r="AIR4" s="210"/>
      <c r="AIS4" s="210"/>
      <c r="AIT4" s="210"/>
      <c r="AIU4" s="210"/>
      <c r="AIV4" s="210"/>
      <c r="AIW4" s="210"/>
      <c r="AIX4" s="210"/>
      <c r="AIY4" s="210"/>
      <c r="AIZ4" s="210"/>
      <c r="AJA4" s="210"/>
      <c r="AJB4" s="210"/>
      <c r="AJC4" s="210"/>
      <c r="AJD4" s="210"/>
      <c r="AJE4" s="210"/>
      <c r="AJF4" s="210"/>
      <c r="AJG4" s="210"/>
      <c r="AJH4" s="210"/>
      <c r="AJI4" s="210"/>
      <c r="AJJ4" s="210"/>
      <c r="AJK4" s="210"/>
      <c r="AJL4" s="210"/>
      <c r="AJM4" s="210"/>
      <c r="AJN4" s="210"/>
      <c r="AJO4" s="210"/>
      <c r="AJP4" s="210"/>
      <c r="AJQ4" s="210"/>
      <c r="AJR4" s="210"/>
      <c r="AJS4" s="210"/>
      <c r="AJT4" s="210"/>
      <c r="AJU4" s="210"/>
      <c r="AJV4" s="210"/>
      <c r="AJW4" s="210"/>
      <c r="AJX4" s="210"/>
      <c r="AJY4" s="210"/>
      <c r="AJZ4" s="210"/>
      <c r="AKA4" s="210"/>
      <c r="AKB4" s="210"/>
      <c r="AKC4" s="210"/>
      <c r="AKD4" s="210"/>
      <c r="AKE4" s="210"/>
      <c r="AKF4" s="210"/>
      <c r="AKG4" s="210"/>
      <c r="AKH4" s="210"/>
      <c r="AKI4" s="210"/>
      <c r="AKJ4" s="210"/>
      <c r="AKK4" s="210"/>
      <c r="AKL4" s="210"/>
      <c r="AKM4" s="210"/>
      <c r="AKN4" s="210"/>
      <c r="AKO4" s="210"/>
      <c r="AKP4" s="210"/>
      <c r="AKQ4" s="210"/>
      <c r="AKR4" s="210"/>
      <c r="AKS4" s="210"/>
      <c r="AKT4" s="210"/>
      <c r="AKU4" s="210"/>
      <c r="AKV4" s="210"/>
      <c r="AKW4" s="210"/>
      <c r="AKX4" s="210"/>
      <c r="AKY4" s="210"/>
      <c r="AKZ4" s="210"/>
      <c r="ALA4" s="210"/>
      <c r="ALB4" s="210"/>
      <c r="ALC4" s="210"/>
      <c r="ALD4" s="210"/>
      <c r="ALE4" s="210"/>
      <c r="ALF4" s="210"/>
      <c r="ALG4" s="210"/>
      <c r="ALH4" s="210"/>
      <c r="ALI4" s="210"/>
      <c r="ALJ4" s="210"/>
      <c r="ALK4" s="210"/>
      <c r="ALL4" s="210"/>
      <c r="ALM4" s="210"/>
      <c r="ALN4" s="210"/>
      <c r="ALO4" s="210"/>
      <c r="ALP4" s="210"/>
      <c r="ALQ4" s="210"/>
      <c r="ALR4" s="210"/>
      <c r="ALS4" s="210"/>
      <c r="ALT4" s="210"/>
      <c r="ALU4" s="210"/>
      <c r="ALV4" s="210"/>
      <c r="ALW4" s="210"/>
      <c r="ALX4" s="210"/>
      <c r="ALY4" s="210"/>
      <c r="ALZ4" s="210"/>
      <c r="AMA4" s="210"/>
      <c r="AMB4" s="210"/>
      <c r="AMC4" s="210"/>
      <c r="AMD4" s="210"/>
      <c r="AME4" s="210"/>
      <c r="AMF4" s="210"/>
      <c r="AMG4" s="210"/>
      <c r="AMH4" s="210"/>
      <c r="AMI4" s="210"/>
      <c r="AMJ4" s="210"/>
      <c r="AMK4" s="210"/>
      <c r="AML4" s="210"/>
      <c r="AMM4" s="210"/>
      <c r="AMN4" s="210"/>
      <c r="AMO4" s="210"/>
      <c r="AMP4" s="210"/>
      <c r="AMQ4" s="210"/>
      <c r="AMR4" s="210"/>
      <c r="AMS4" s="210"/>
      <c r="AMT4" s="210"/>
      <c r="AMU4" s="210"/>
      <c r="AMV4" s="210"/>
      <c r="AMW4" s="210"/>
      <c r="AMX4" s="210"/>
      <c r="AMY4" s="210"/>
      <c r="AMZ4" s="210"/>
      <c r="ANA4" s="210"/>
      <c r="ANB4" s="210"/>
      <c r="ANC4" s="210"/>
      <c r="AND4" s="210"/>
      <c r="ANE4" s="210"/>
      <c r="ANF4" s="210"/>
      <c r="ANG4" s="210"/>
      <c r="ANH4" s="210"/>
      <c r="ANI4" s="210"/>
      <c r="ANJ4" s="210"/>
      <c r="ANK4" s="210"/>
      <c r="ANL4" s="210"/>
      <c r="ANM4" s="210"/>
      <c r="ANN4" s="210"/>
      <c r="ANO4" s="210"/>
      <c r="ANP4" s="210"/>
      <c r="ANQ4" s="210"/>
      <c r="ANR4" s="210"/>
      <c r="ANS4" s="210"/>
      <c r="ANT4" s="210"/>
      <c r="ANU4" s="210"/>
      <c r="ANV4" s="210"/>
      <c r="ANW4" s="210"/>
      <c r="ANX4" s="210"/>
      <c r="ANY4" s="210"/>
      <c r="ANZ4" s="210"/>
      <c r="AOA4" s="210"/>
      <c r="AOB4" s="210"/>
      <c r="AOC4" s="210"/>
      <c r="AOD4" s="210"/>
      <c r="AOE4" s="210"/>
      <c r="AOF4" s="210"/>
      <c r="AOG4" s="210"/>
    </row>
    <row r="5" spans="1:1073" ht="27" customHeight="1">
      <c r="B5" s="2116" t="str">
        <f>COV!E7&amp;" "&amp;COV!E6&amp;", Level "&amp;COV!E16&amp;", "&amp;COV!E17&amp;" Management, "&amp;COV!T9</f>
        <v xml:space="preserve"> , Level A, Projekt Management, Erstzertifizierung</v>
      </c>
      <c r="C5" s="2116"/>
      <c r="D5" s="2116"/>
      <c r="E5" s="2116"/>
      <c r="F5" s="2116"/>
      <c r="G5" s="2116"/>
      <c r="H5" s="2116"/>
      <c r="I5" s="2116"/>
      <c r="J5" s="2116"/>
      <c r="K5" s="2116"/>
      <c r="L5" s="2116"/>
      <c r="M5" s="2116"/>
      <c r="N5" s="2116"/>
      <c r="O5" s="2116"/>
      <c r="P5" s="2116"/>
      <c r="Q5" s="209"/>
      <c r="T5" s="210"/>
      <c r="U5" s="210"/>
      <c r="V5" s="210"/>
      <c r="W5" s="210"/>
      <c r="X5" s="210"/>
      <c r="Y5" s="210"/>
      <c r="Z5" s="210"/>
      <c r="AA5" s="210"/>
      <c r="AB5" s="210"/>
      <c r="AC5" s="210"/>
      <c r="AD5" s="210"/>
      <c r="AE5" s="210"/>
      <c r="AF5" s="210"/>
      <c r="AG5" s="210"/>
      <c r="AH5" s="210"/>
      <c r="AI5" s="210"/>
      <c r="AJ5" s="210"/>
      <c r="AK5" s="210"/>
      <c r="AL5" s="210"/>
      <c r="AM5" s="210"/>
      <c r="AN5" s="210"/>
      <c r="AO5" s="210"/>
      <c r="AP5" s="210"/>
      <c r="AQ5" s="210"/>
      <c r="AR5" s="210"/>
      <c r="AS5" s="210"/>
      <c r="AT5" s="210"/>
      <c r="AU5" s="210"/>
      <c r="AV5" s="210"/>
      <c r="AW5" s="210"/>
      <c r="AX5" s="210"/>
      <c r="AY5" s="210"/>
      <c r="AZ5" s="210"/>
      <c r="BA5" s="210"/>
      <c r="BB5" s="210"/>
      <c r="BC5" s="210"/>
      <c r="BD5" s="210"/>
      <c r="BE5" s="210"/>
      <c r="BF5" s="210"/>
      <c r="BG5" s="210"/>
      <c r="BH5" s="210"/>
      <c r="BI5" s="210"/>
      <c r="BJ5" s="210"/>
      <c r="BK5" s="210"/>
      <c r="BL5" s="210"/>
      <c r="BM5" s="210"/>
      <c r="BN5" s="210"/>
      <c r="BO5" s="210"/>
      <c r="BP5" s="210"/>
      <c r="BQ5" s="210"/>
      <c r="BR5" s="210"/>
      <c r="BS5" s="210"/>
      <c r="BT5" s="210"/>
      <c r="BU5" s="210"/>
      <c r="BV5" s="210"/>
      <c r="BW5" s="210"/>
      <c r="BX5" s="210"/>
      <c r="BY5" s="210"/>
      <c r="BZ5" s="210"/>
      <c r="CA5" s="210"/>
      <c r="CB5" s="210"/>
      <c r="CC5" s="210"/>
      <c r="CD5" s="210"/>
      <c r="CE5" s="210"/>
      <c r="CF5" s="210"/>
      <c r="CG5" s="210"/>
      <c r="CH5" s="210"/>
      <c r="CI5" s="210"/>
      <c r="CJ5" s="210"/>
      <c r="CK5" s="210"/>
      <c r="CL5" s="210"/>
      <c r="CM5" s="210"/>
      <c r="CN5" s="210"/>
      <c r="CO5" s="210"/>
      <c r="CP5" s="210"/>
      <c r="CQ5" s="210"/>
      <c r="CR5" s="210"/>
      <c r="CS5" s="210"/>
      <c r="CT5" s="210"/>
      <c r="CU5" s="210"/>
      <c r="CV5" s="210"/>
      <c r="CW5" s="210"/>
      <c r="CX5" s="210"/>
      <c r="CY5" s="210"/>
      <c r="CZ5" s="210"/>
      <c r="DA5" s="210"/>
      <c r="DB5" s="210"/>
      <c r="DC5" s="210"/>
      <c r="DD5" s="210"/>
      <c r="DE5" s="210"/>
      <c r="DF5" s="210"/>
      <c r="DG5" s="210"/>
      <c r="DH5" s="210"/>
      <c r="DI5" s="210"/>
      <c r="DJ5" s="210"/>
      <c r="DK5" s="210"/>
      <c r="DL5" s="210"/>
      <c r="DM5" s="210"/>
      <c r="DN5" s="210"/>
      <c r="DO5" s="210"/>
      <c r="DP5" s="210"/>
      <c r="DQ5" s="210"/>
      <c r="DR5" s="210"/>
      <c r="DS5" s="210"/>
      <c r="DT5" s="210"/>
      <c r="DU5" s="210"/>
      <c r="DV5" s="210"/>
      <c r="DW5" s="210"/>
      <c r="DX5" s="210"/>
      <c r="DY5" s="210"/>
      <c r="DZ5" s="210"/>
      <c r="EA5" s="210"/>
      <c r="EB5" s="210"/>
      <c r="EC5" s="210"/>
      <c r="ED5" s="210"/>
      <c r="EE5" s="210"/>
      <c r="EF5" s="210"/>
      <c r="EG5" s="210"/>
      <c r="EH5" s="210"/>
      <c r="EI5" s="210"/>
      <c r="EJ5" s="210"/>
      <c r="EK5" s="210"/>
      <c r="EL5" s="210"/>
      <c r="EM5" s="210"/>
      <c r="EN5" s="210"/>
      <c r="EO5" s="210"/>
      <c r="EP5" s="210"/>
      <c r="EQ5" s="210"/>
      <c r="ER5" s="210"/>
      <c r="ES5" s="210"/>
      <c r="ET5" s="210"/>
      <c r="EU5" s="210"/>
      <c r="EV5" s="210"/>
      <c r="EW5" s="210"/>
      <c r="EX5" s="210"/>
      <c r="EY5" s="210"/>
      <c r="EZ5" s="210"/>
      <c r="FA5" s="210"/>
      <c r="FB5" s="210"/>
      <c r="FC5" s="210"/>
      <c r="FD5" s="210"/>
      <c r="FE5" s="210"/>
      <c r="FF5" s="210"/>
      <c r="FG5" s="210"/>
      <c r="FH5" s="210"/>
      <c r="FI5" s="210"/>
      <c r="FJ5" s="210"/>
      <c r="FK5" s="210"/>
      <c r="FL5" s="210"/>
      <c r="FM5" s="210"/>
      <c r="FN5" s="210"/>
      <c r="FO5" s="210"/>
      <c r="FP5" s="210"/>
      <c r="FQ5" s="210"/>
      <c r="FR5" s="210"/>
      <c r="FS5" s="210"/>
      <c r="FT5" s="210"/>
      <c r="FU5" s="210"/>
      <c r="FV5" s="210"/>
      <c r="FW5" s="210"/>
      <c r="FX5" s="210"/>
      <c r="FY5" s="210"/>
      <c r="FZ5" s="210"/>
      <c r="GA5" s="210"/>
      <c r="GB5" s="210"/>
      <c r="GC5" s="210"/>
      <c r="GD5" s="210"/>
      <c r="GE5" s="210"/>
      <c r="GF5" s="210"/>
      <c r="GG5" s="210"/>
      <c r="GH5" s="210"/>
      <c r="GI5" s="210"/>
      <c r="GJ5" s="210"/>
      <c r="GK5" s="210"/>
      <c r="GL5" s="210"/>
      <c r="GM5" s="210"/>
      <c r="GN5" s="210"/>
      <c r="GO5" s="210"/>
      <c r="GP5" s="210"/>
      <c r="GQ5" s="210"/>
      <c r="GR5" s="210"/>
      <c r="GS5" s="210"/>
      <c r="GT5" s="210"/>
      <c r="GU5" s="210"/>
      <c r="GV5" s="210"/>
      <c r="GW5" s="210"/>
      <c r="GX5" s="210"/>
      <c r="GY5" s="210"/>
      <c r="GZ5" s="210"/>
      <c r="HA5" s="210"/>
      <c r="HB5" s="210"/>
      <c r="HC5" s="210"/>
      <c r="HD5" s="210"/>
      <c r="HE5" s="210"/>
      <c r="HF5" s="210"/>
      <c r="HG5" s="210"/>
      <c r="HH5" s="210"/>
      <c r="HI5" s="210"/>
      <c r="HJ5" s="210"/>
      <c r="HK5" s="210"/>
      <c r="HL5" s="210"/>
      <c r="HM5" s="210"/>
      <c r="HN5" s="210"/>
      <c r="HO5" s="210"/>
      <c r="HP5" s="210"/>
      <c r="HQ5" s="210"/>
      <c r="HR5" s="210"/>
      <c r="HS5" s="210"/>
      <c r="HT5" s="210"/>
      <c r="HU5" s="210"/>
      <c r="HV5" s="210"/>
      <c r="HW5" s="210"/>
      <c r="HX5" s="210"/>
      <c r="HY5" s="210"/>
      <c r="HZ5" s="210"/>
      <c r="IA5" s="210"/>
      <c r="IB5" s="210"/>
      <c r="IC5" s="210"/>
      <c r="ID5" s="210"/>
      <c r="IE5" s="210"/>
      <c r="IF5" s="210"/>
      <c r="IG5" s="210"/>
      <c r="IH5" s="210"/>
      <c r="II5" s="210"/>
      <c r="IJ5" s="210"/>
      <c r="IK5" s="210"/>
      <c r="IL5" s="210"/>
      <c r="IM5" s="210"/>
      <c r="IN5" s="210"/>
      <c r="IO5" s="210"/>
      <c r="IP5" s="210"/>
      <c r="IQ5" s="210"/>
      <c r="IR5" s="210"/>
      <c r="IS5" s="210"/>
      <c r="IT5" s="210"/>
      <c r="IU5" s="210"/>
      <c r="IV5" s="210"/>
      <c r="IW5" s="210"/>
      <c r="IX5" s="210"/>
      <c r="IY5" s="210"/>
      <c r="IZ5" s="210"/>
      <c r="JA5" s="210"/>
      <c r="JB5" s="210"/>
      <c r="JC5" s="210"/>
      <c r="JD5" s="210"/>
      <c r="JE5" s="210"/>
      <c r="JF5" s="210"/>
      <c r="JG5" s="210"/>
      <c r="JH5" s="210"/>
      <c r="JI5" s="210"/>
      <c r="JJ5" s="210"/>
      <c r="JK5" s="210"/>
      <c r="JL5" s="210"/>
      <c r="JM5" s="210"/>
      <c r="JN5" s="210"/>
      <c r="JO5" s="210"/>
      <c r="JP5" s="210"/>
      <c r="JQ5" s="210"/>
      <c r="JR5" s="210"/>
      <c r="JS5" s="210"/>
      <c r="JT5" s="210"/>
      <c r="JU5" s="210"/>
      <c r="JV5" s="210"/>
      <c r="JW5" s="210"/>
      <c r="JX5" s="210"/>
      <c r="JY5" s="210"/>
      <c r="JZ5" s="210"/>
      <c r="KA5" s="210"/>
      <c r="KB5" s="210"/>
      <c r="KC5" s="210"/>
      <c r="KD5" s="210"/>
      <c r="KE5" s="210"/>
      <c r="KF5" s="210"/>
      <c r="KG5" s="210"/>
      <c r="KH5" s="210"/>
      <c r="KI5" s="210"/>
      <c r="KJ5" s="210"/>
      <c r="KK5" s="210"/>
      <c r="KL5" s="210"/>
      <c r="KM5" s="210"/>
      <c r="KN5" s="210"/>
      <c r="KO5" s="210"/>
      <c r="KP5" s="210"/>
      <c r="KQ5" s="210"/>
      <c r="KR5" s="210"/>
      <c r="KS5" s="210"/>
      <c r="KT5" s="210"/>
      <c r="KU5" s="210"/>
      <c r="KV5" s="210"/>
      <c r="KW5" s="210"/>
      <c r="KX5" s="210"/>
      <c r="KY5" s="210"/>
      <c r="KZ5" s="210"/>
      <c r="LA5" s="210"/>
      <c r="LB5" s="210"/>
      <c r="LC5" s="210"/>
      <c r="LD5" s="210"/>
      <c r="LE5" s="210"/>
      <c r="LF5" s="210"/>
      <c r="LG5" s="210"/>
      <c r="LH5" s="210"/>
      <c r="LI5" s="210"/>
      <c r="LJ5" s="210"/>
      <c r="LK5" s="210"/>
      <c r="LL5" s="210"/>
      <c r="LM5" s="210"/>
      <c r="LN5" s="210"/>
      <c r="LO5" s="210"/>
      <c r="LP5" s="210"/>
      <c r="LQ5" s="210"/>
      <c r="LR5" s="210"/>
      <c r="LS5" s="210"/>
      <c r="LT5" s="210"/>
      <c r="LU5" s="210"/>
      <c r="LV5" s="210"/>
      <c r="LW5" s="210"/>
      <c r="LX5" s="210"/>
      <c r="LY5" s="210"/>
      <c r="LZ5" s="210"/>
      <c r="MA5" s="210"/>
      <c r="MB5" s="210"/>
      <c r="MC5" s="210"/>
      <c r="MD5" s="210"/>
      <c r="ME5" s="210"/>
      <c r="MF5" s="210"/>
      <c r="MG5" s="210"/>
      <c r="MH5" s="210"/>
      <c r="MI5" s="210"/>
      <c r="MJ5" s="210"/>
      <c r="MK5" s="210"/>
      <c r="ML5" s="210"/>
      <c r="MM5" s="210"/>
      <c r="MN5" s="210"/>
      <c r="MO5" s="210"/>
      <c r="MP5" s="210"/>
      <c r="MQ5" s="210"/>
      <c r="MR5" s="210"/>
      <c r="MS5" s="210"/>
      <c r="MT5" s="210"/>
      <c r="MU5" s="210"/>
      <c r="MV5" s="210"/>
      <c r="MW5" s="210"/>
      <c r="MX5" s="210"/>
      <c r="MY5" s="210"/>
      <c r="MZ5" s="210"/>
      <c r="NA5" s="210"/>
      <c r="NB5" s="210"/>
      <c r="NC5" s="210"/>
      <c r="ND5" s="210"/>
      <c r="NE5" s="210"/>
      <c r="NF5" s="210"/>
      <c r="NG5" s="210"/>
      <c r="NH5" s="210"/>
      <c r="NI5" s="210"/>
      <c r="NJ5" s="210"/>
      <c r="NK5" s="210"/>
      <c r="NL5" s="210"/>
      <c r="NM5" s="210"/>
      <c r="NN5" s="210"/>
      <c r="NO5" s="210"/>
      <c r="NP5" s="210"/>
      <c r="NQ5" s="210"/>
      <c r="NR5" s="210"/>
      <c r="NS5" s="210"/>
      <c r="NT5" s="210"/>
      <c r="NU5" s="210"/>
      <c r="NV5" s="210"/>
      <c r="NW5" s="210"/>
      <c r="NX5" s="210"/>
      <c r="NY5" s="210"/>
      <c r="NZ5" s="210"/>
      <c r="OA5" s="210"/>
      <c r="OB5" s="210"/>
      <c r="OC5" s="210"/>
      <c r="OD5" s="210"/>
      <c r="OE5" s="210"/>
      <c r="OF5" s="210"/>
      <c r="OG5" s="210"/>
      <c r="OH5" s="210"/>
      <c r="OI5" s="210"/>
      <c r="OJ5" s="210"/>
      <c r="OK5" s="210"/>
      <c r="OL5" s="210"/>
      <c r="OM5" s="210"/>
      <c r="ON5" s="210"/>
      <c r="OO5" s="210"/>
      <c r="OP5" s="210"/>
      <c r="OQ5" s="210"/>
      <c r="OR5" s="210"/>
      <c r="OS5" s="210"/>
      <c r="OT5" s="210"/>
      <c r="OU5" s="210"/>
      <c r="OV5" s="210"/>
      <c r="OW5" s="210"/>
      <c r="OX5" s="210"/>
      <c r="OY5" s="210"/>
      <c r="OZ5" s="210"/>
      <c r="PA5" s="210"/>
      <c r="PB5" s="210"/>
      <c r="PC5" s="210"/>
      <c r="PD5" s="210"/>
      <c r="PE5" s="210"/>
      <c r="PF5" s="210"/>
      <c r="PG5" s="210"/>
      <c r="PH5" s="210"/>
      <c r="PI5" s="210"/>
      <c r="PJ5" s="210"/>
      <c r="PK5" s="210"/>
      <c r="PL5" s="210"/>
      <c r="PM5" s="210"/>
      <c r="PN5" s="210"/>
      <c r="PO5" s="210"/>
      <c r="PP5" s="210"/>
      <c r="PQ5" s="210"/>
      <c r="PR5" s="210"/>
      <c r="PS5" s="210"/>
      <c r="PT5" s="210"/>
      <c r="PU5" s="210"/>
      <c r="PV5" s="210"/>
      <c r="PW5" s="210"/>
      <c r="PX5" s="210"/>
      <c r="PY5" s="210"/>
      <c r="PZ5" s="210"/>
      <c r="QA5" s="210"/>
      <c r="QB5" s="210"/>
      <c r="QC5" s="210"/>
      <c r="QD5" s="210"/>
      <c r="QE5" s="210"/>
      <c r="QF5" s="210"/>
      <c r="QG5" s="210"/>
      <c r="QH5" s="210"/>
      <c r="QI5" s="210"/>
      <c r="QJ5" s="210"/>
      <c r="QK5" s="210"/>
      <c r="QL5" s="210"/>
      <c r="QM5" s="210"/>
      <c r="QN5" s="210"/>
      <c r="QO5" s="210"/>
      <c r="QP5" s="210"/>
      <c r="QQ5" s="210"/>
      <c r="QR5" s="210"/>
      <c r="QS5" s="210"/>
      <c r="QT5" s="210"/>
      <c r="QU5" s="210"/>
      <c r="QV5" s="210"/>
      <c r="QW5" s="210"/>
      <c r="QX5" s="210"/>
      <c r="QY5" s="210"/>
      <c r="QZ5" s="210"/>
      <c r="RA5" s="210"/>
      <c r="RB5" s="210"/>
      <c r="RC5" s="210"/>
      <c r="RD5" s="210"/>
      <c r="RE5" s="210"/>
      <c r="RF5" s="210"/>
      <c r="RG5" s="210"/>
      <c r="RH5" s="210"/>
      <c r="RI5" s="210"/>
      <c r="RJ5" s="210"/>
      <c r="RK5" s="210"/>
      <c r="RL5" s="210"/>
      <c r="RM5" s="210"/>
      <c r="RN5" s="210"/>
      <c r="RO5" s="210"/>
      <c r="RP5" s="210"/>
      <c r="RQ5" s="210"/>
      <c r="RR5" s="210"/>
      <c r="RS5" s="210"/>
      <c r="RT5" s="210"/>
      <c r="RU5" s="210"/>
      <c r="RV5" s="210"/>
      <c r="RW5" s="210"/>
      <c r="RX5" s="210"/>
      <c r="RY5" s="210"/>
      <c r="RZ5" s="210"/>
      <c r="SA5" s="210"/>
      <c r="SB5" s="210"/>
      <c r="SC5" s="210"/>
      <c r="SD5" s="210"/>
      <c r="SE5" s="210"/>
      <c r="SF5" s="210"/>
      <c r="SG5" s="210"/>
      <c r="SH5" s="210"/>
      <c r="SI5" s="210"/>
      <c r="SJ5" s="210"/>
      <c r="SK5" s="210"/>
      <c r="SL5" s="210"/>
      <c r="SM5" s="210"/>
      <c r="SN5" s="210"/>
      <c r="SO5" s="210"/>
      <c r="SP5" s="210"/>
      <c r="SQ5" s="210"/>
      <c r="SR5" s="210"/>
      <c r="SS5" s="210"/>
      <c r="ST5" s="210"/>
      <c r="SU5" s="210"/>
      <c r="SV5" s="210"/>
      <c r="SW5" s="210"/>
      <c r="SX5" s="210"/>
      <c r="SY5" s="210"/>
      <c r="SZ5" s="210"/>
      <c r="TA5" s="210"/>
      <c r="TB5" s="210"/>
      <c r="TC5" s="210"/>
      <c r="TD5" s="210"/>
      <c r="TE5" s="210"/>
      <c r="TF5" s="210"/>
      <c r="TG5" s="210"/>
      <c r="TH5" s="210"/>
      <c r="TI5" s="210"/>
      <c r="TJ5" s="210"/>
      <c r="TK5" s="210"/>
      <c r="TL5" s="210"/>
      <c r="TM5" s="210"/>
      <c r="TN5" s="210"/>
      <c r="TO5" s="210"/>
      <c r="TP5" s="210"/>
      <c r="TQ5" s="210"/>
      <c r="TR5" s="210"/>
      <c r="TS5" s="210"/>
      <c r="TT5" s="210"/>
      <c r="TU5" s="210"/>
      <c r="TV5" s="210"/>
      <c r="TW5" s="210"/>
      <c r="TX5" s="210"/>
      <c r="TY5" s="210"/>
      <c r="TZ5" s="210"/>
      <c r="UA5" s="210"/>
      <c r="UB5" s="210"/>
      <c r="UC5" s="210"/>
      <c r="UD5" s="210"/>
      <c r="UE5" s="210"/>
      <c r="UF5" s="210"/>
      <c r="UG5" s="210"/>
      <c r="UH5" s="210"/>
      <c r="UI5" s="210"/>
      <c r="UJ5" s="210"/>
      <c r="UK5" s="210"/>
      <c r="UL5" s="210"/>
      <c r="UM5" s="210"/>
      <c r="UN5" s="210"/>
      <c r="UO5" s="210"/>
      <c r="UP5" s="210"/>
      <c r="UQ5" s="210"/>
      <c r="UR5" s="210"/>
      <c r="US5" s="210"/>
      <c r="UT5" s="210"/>
      <c r="UU5" s="210"/>
      <c r="UV5" s="210"/>
      <c r="UW5" s="210"/>
      <c r="UX5" s="210"/>
      <c r="UY5" s="210"/>
      <c r="UZ5" s="210"/>
      <c r="VA5" s="210"/>
      <c r="VB5" s="210"/>
      <c r="VC5" s="210"/>
      <c r="VD5" s="210"/>
      <c r="VE5" s="210"/>
      <c r="VF5" s="210"/>
      <c r="VG5" s="210"/>
      <c r="VH5" s="210"/>
      <c r="VI5" s="210"/>
      <c r="VJ5" s="210"/>
      <c r="VK5" s="210"/>
      <c r="VL5" s="210"/>
      <c r="VM5" s="210"/>
      <c r="VN5" s="210"/>
      <c r="VO5" s="210"/>
      <c r="VP5" s="210"/>
      <c r="VQ5" s="210"/>
      <c r="VR5" s="210"/>
      <c r="VS5" s="210"/>
      <c r="VT5" s="210"/>
      <c r="VU5" s="210"/>
      <c r="VV5" s="210"/>
      <c r="VW5" s="210"/>
      <c r="VX5" s="210"/>
      <c r="VY5" s="210"/>
      <c r="VZ5" s="210"/>
      <c r="WA5" s="210"/>
      <c r="WB5" s="210"/>
      <c r="WC5" s="210"/>
      <c r="WD5" s="210"/>
      <c r="WE5" s="210"/>
      <c r="WF5" s="210"/>
      <c r="WG5" s="210"/>
      <c r="WH5" s="210"/>
      <c r="WI5" s="210"/>
      <c r="WJ5" s="210"/>
      <c r="WK5" s="210"/>
      <c r="WL5" s="210"/>
      <c r="WM5" s="210"/>
      <c r="WN5" s="210"/>
      <c r="WO5" s="210"/>
      <c r="WP5" s="210"/>
      <c r="WQ5" s="210"/>
      <c r="WR5" s="210"/>
      <c r="WS5" s="210"/>
      <c r="WT5" s="210"/>
      <c r="WU5" s="210"/>
      <c r="WV5" s="210"/>
      <c r="WW5" s="210"/>
      <c r="WX5" s="210"/>
      <c r="WY5" s="210"/>
      <c r="WZ5" s="210"/>
      <c r="XA5" s="210"/>
      <c r="XB5" s="210"/>
      <c r="XC5" s="210"/>
      <c r="XD5" s="210"/>
      <c r="XE5" s="210"/>
      <c r="XF5" s="210"/>
      <c r="XG5" s="210"/>
      <c r="XH5" s="210"/>
      <c r="XI5" s="210"/>
      <c r="XJ5" s="210"/>
      <c r="XK5" s="210"/>
      <c r="XL5" s="210"/>
      <c r="XM5" s="210"/>
      <c r="XN5" s="210"/>
      <c r="XO5" s="210"/>
      <c r="XP5" s="210"/>
      <c r="XQ5" s="210"/>
      <c r="XR5" s="210"/>
      <c r="XS5" s="210"/>
      <c r="XT5" s="210"/>
      <c r="XU5" s="210"/>
      <c r="XV5" s="210"/>
      <c r="XW5" s="210"/>
      <c r="XX5" s="210"/>
      <c r="XY5" s="210"/>
      <c r="XZ5" s="210"/>
      <c r="YA5" s="210"/>
      <c r="YB5" s="210"/>
      <c r="YC5" s="210"/>
      <c r="YD5" s="210"/>
      <c r="YE5" s="210"/>
      <c r="YF5" s="210"/>
      <c r="YG5" s="210"/>
      <c r="YH5" s="210"/>
      <c r="YI5" s="210"/>
      <c r="YJ5" s="210"/>
      <c r="YK5" s="210"/>
      <c r="YL5" s="210"/>
      <c r="YM5" s="210"/>
      <c r="YN5" s="210"/>
      <c r="YO5" s="210"/>
      <c r="YP5" s="210"/>
      <c r="YQ5" s="210"/>
      <c r="YR5" s="210"/>
      <c r="YS5" s="210"/>
      <c r="YT5" s="210"/>
      <c r="YU5" s="210"/>
      <c r="YV5" s="210"/>
      <c r="YW5" s="210"/>
      <c r="YX5" s="210"/>
      <c r="YY5" s="210"/>
      <c r="YZ5" s="210"/>
      <c r="ZA5" s="210"/>
      <c r="ZB5" s="210"/>
      <c r="ZC5" s="210"/>
      <c r="ZD5" s="210"/>
      <c r="ZE5" s="210"/>
      <c r="ZF5" s="210"/>
      <c r="ZG5" s="210"/>
      <c r="ZH5" s="210"/>
      <c r="ZI5" s="210"/>
      <c r="ZJ5" s="210"/>
      <c r="ZK5" s="210"/>
      <c r="ZL5" s="210"/>
      <c r="ZM5" s="210"/>
      <c r="ZN5" s="210"/>
      <c r="ZO5" s="210"/>
      <c r="ZP5" s="210"/>
      <c r="ZQ5" s="210"/>
      <c r="ZR5" s="210"/>
      <c r="ZS5" s="210"/>
      <c r="ZT5" s="210"/>
      <c r="ZU5" s="210"/>
      <c r="ZV5" s="210"/>
      <c r="ZW5" s="210"/>
      <c r="ZX5" s="210"/>
      <c r="ZY5" s="210"/>
      <c r="ZZ5" s="210"/>
      <c r="AAA5" s="210"/>
      <c r="AAB5" s="210"/>
      <c r="AAC5" s="210"/>
      <c r="AAD5" s="210"/>
      <c r="AAE5" s="210"/>
      <c r="AAF5" s="210"/>
      <c r="AAG5" s="210"/>
      <c r="AAH5" s="210"/>
      <c r="AAI5" s="210"/>
      <c r="AAJ5" s="210"/>
      <c r="AAK5" s="210"/>
      <c r="AAL5" s="210"/>
      <c r="AAM5" s="210"/>
      <c r="AAN5" s="210"/>
      <c r="AAO5" s="210"/>
      <c r="AAP5" s="210"/>
      <c r="AAQ5" s="210"/>
      <c r="AAR5" s="210"/>
      <c r="AAS5" s="210"/>
      <c r="AAT5" s="210"/>
      <c r="AAU5" s="210"/>
      <c r="AAV5" s="210"/>
      <c r="AAW5" s="210"/>
      <c r="AAX5" s="210"/>
      <c r="AAY5" s="210"/>
      <c r="AAZ5" s="210"/>
      <c r="ABA5" s="210"/>
      <c r="ABB5" s="210"/>
      <c r="ABC5" s="210"/>
      <c r="ABD5" s="210"/>
      <c r="ABE5" s="210"/>
      <c r="ABF5" s="210"/>
      <c r="ABG5" s="210"/>
      <c r="ABH5" s="210"/>
      <c r="ABI5" s="210"/>
      <c r="ABJ5" s="210"/>
      <c r="ABK5" s="210"/>
      <c r="ABL5" s="210"/>
      <c r="ABM5" s="210"/>
      <c r="ABN5" s="210"/>
      <c r="ABO5" s="210"/>
      <c r="ABP5" s="210"/>
      <c r="ABQ5" s="210"/>
      <c r="ABR5" s="210"/>
      <c r="ABS5" s="210"/>
      <c r="ABT5" s="210"/>
      <c r="ABU5" s="210"/>
      <c r="ABV5" s="210"/>
      <c r="ABW5" s="210"/>
      <c r="ABX5" s="210"/>
      <c r="ABY5" s="210"/>
      <c r="ABZ5" s="210"/>
      <c r="ACA5" s="210"/>
      <c r="ACB5" s="210"/>
      <c r="ACC5" s="210"/>
      <c r="ACD5" s="210"/>
      <c r="ACE5" s="210"/>
      <c r="ACF5" s="210"/>
      <c r="ACG5" s="210"/>
      <c r="ACH5" s="210"/>
      <c r="ACI5" s="210"/>
      <c r="ACJ5" s="210"/>
      <c r="ACK5" s="210"/>
      <c r="ACL5" s="210"/>
      <c r="ACM5" s="210"/>
      <c r="ACN5" s="210"/>
      <c r="ACO5" s="210"/>
      <c r="ACP5" s="210"/>
      <c r="ACQ5" s="210"/>
      <c r="ACR5" s="210"/>
      <c r="ACS5" s="210"/>
      <c r="ACT5" s="210"/>
      <c r="ACU5" s="210"/>
      <c r="ACV5" s="210"/>
      <c r="ACW5" s="210"/>
      <c r="ACX5" s="210"/>
      <c r="ACY5" s="210"/>
      <c r="ACZ5" s="210"/>
      <c r="ADA5" s="210"/>
      <c r="ADB5" s="210"/>
      <c r="ADC5" s="210"/>
      <c r="ADD5" s="210"/>
      <c r="ADE5" s="210"/>
      <c r="ADF5" s="210"/>
      <c r="ADG5" s="210"/>
      <c r="ADH5" s="210"/>
      <c r="ADI5" s="210"/>
      <c r="ADJ5" s="210"/>
      <c r="ADK5" s="210"/>
      <c r="ADL5" s="210"/>
      <c r="ADM5" s="210"/>
      <c r="ADN5" s="210"/>
      <c r="ADO5" s="210"/>
      <c r="ADP5" s="210"/>
      <c r="ADQ5" s="210"/>
      <c r="ADR5" s="210"/>
      <c r="ADS5" s="210"/>
      <c r="ADT5" s="210"/>
      <c r="ADU5" s="210"/>
      <c r="ADV5" s="210"/>
      <c r="ADW5" s="210"/>
      <c r="ADX5" s="210"/>
      <c r="ADY5" s="210"/>
      <c r="ADZ5" s="210"/>
      <c r="AEA5" s="210"/>
      <c r="AEB5" s="210"/>
      <c r="AEC5" s="210"/>
      <c r="AED5" s="210"/>
      <c r="AEE5" s="210"/>
      <c r="AEF5" s="210"/>
      <c r="AEG5" s="210"/>
      <c r="AEH5" s="210"/>
      <c r="AEI5" s="210"/>
      <c r="AEJ5" s="210"/>
      <c r="AEK5" s="210"/>
      <c r="AEL5" s="210"/>
      <c r="AEM5" s="210"/>
      <c r="AEN5" s="210"/>
      <c r="AEO5" s="210"/>
      <c r="AEP5" s="210"/>
      <c r="AEQ5" s="210"/>
      <c r="AER5" s="210"/>
      <c r="AES5" s="210"/>
      <c r="AET5" s="210"/>
      <c r="AEU5" s="210"/>
      <c r="AEV5" s="210"/>
      <c r="AEW5" s="210"/>
      <c r="AEX5" s="210"/>
      <c r="AEY5" s="210"/>
      <c r="AEZ5" s="210"/>
      <c r="AFA5" s="210"/>
      <c r="AFB5" s="210"/>
      <c r="AFC5" s="210"/>
      <c r="AFD5" s="210"/>
      <c r="AFE5" s="210"/>
      <c r="AFF5" s="210"/>
      <c r="AFG5" s="210"/>
      <c r="AFH5" s="210"/>
      <c r="AFI5" s="210"/>
      <c r="AFJ5" s="210"/>
      <c r="AFK5" s="210"/>
      <c r="AFL5" s="210"/>
      <c r="AFM5" s="210"/>
      <c r="AFN5" s="210"/>
      <c r="AFO5" s="210"/>
      <c r="AFP5" s="210"/>
      <c r="AFQ5" s="210"/>
      <c r="AFR5" s="210"/>
      <c r="AFS5" s="210"/>
      <c r="AFT5" s="210"/>
      <c r="AFU5" s="210"/>
      <c r="AFV5" s="210"/>
      <c r="AFW5" s="210"/>
      <c r="AFX5" s="210"/>
      <c r="AFY5" s="210"/>
      <c r="AFZ5" s="210"/>
      <c r="AGA5" s="210"/>
      <c r="AGB5" s="210"/>
      <c r="AGC5" s="210"/>
      <c r="AGD5" s="210"/>
      <c r="AGE5" s="210"/>
      <c r="AGF5" s="210"/>
      <c r="AGG5" s="210"/>
      <c r="AGH5" s="210"/>
      <c r="AGI5" s="210"/>
      <c r="AGJ5" s="210"/>
      <c r="AGK5" s="210"/>
      <c r="AGL5" s="210"/>
      <c r="AGM5" s="210"/>
      <c r="AGN5" s="210"/>
      <c r="AGO5" s="210"/>
      <c r="AGP5" s="210"/>
      <c r="AGQ5" s="210"/>
      <c r="AGR5" s="210"/>
      <c r="AGS5" s="210"/>
      <c r="AGT5" s="210"/>
      <c r="AGU5" s="210"/>
      <c r="AGV5" s="210"/>
      <c r="AGW5" s="210"/>
      <c r="AGX5" s="210"/>
      <c r="AGY5" s="210"/>
      <c r="AGZ5" s="210"/>
      <c r="AHA5" s="210"/>
      <c r="AHB5" s="210"/>
      <c r="AHC5" s="210"/>
      <c r="AHD5" s="210"/>
      <c r="AHE5" s="210"/>
      <c r="AHF5" s="210"/>
      <c r="AHG5" s="210"/>
      <c r="AHH5" s="210"/>
      <c r="AHI5" s="210"/>
      <c r="AHJ5" s="210"/>
      <c r="AHK5" s="210"/>
      <c r="AHL5" s="210"/>
      <c r="AHM5" s="210"/>
      <c r="AHN5" s="210"/>
      <c r="AHO5" s="210"/>
      <c r="AHP5" s="210"/>
      <c r="AHQ5" s="210"/>
      <c r="AHR5" s="210"/>
      <c r="AHS5" s="210"/>
      <c r="AHT5" s="210"/>
      <c r="AHU5" s="210"/>
      <c r="AHV5" s="210"/>
      <c r="AHW5" s="210"/>
      <c r="AHX5" s="210"/>
      <c r="AHY5" s="210"/>
      <c r="AHZ5" s="210"/>
      <c r="AIA5" s="210"/>
      <c r="AIB5" s="210"/>
      <c r="AIC5" s="210"/>
      <c r="AID5" s="210"/>
      <c r="AIE5" s="210"/>
      <c r="AIF5" s="210"/>
      <c r="AIG5" s="210"/>
      <c r="AIH5" s="210"/>
      <c r="AII5" s="210"/>
      <c r="AIJ5" s="210"/>
      <c r="AIK5" s="210"/>
      <c r="AIL5" s="210"/>
      <c r="AIM5" s="210"/>
      <c r="AIN5" s="210"/>
      <c r="AIO5" s="210"/>
      <c r="AIP5" s="210"/>
      <c r="AIQ5" s="210"/>
      <c r="AIR5" s="210"/>
      <c r="AIS5" s="210"/>
      <c r="AIT5" s="210"/>
      <c r="AIU5" s="210"/>
      <c r="AIV5" s="210"/>
      <c r="AIW5" s="210"/>
      <c r="AIX5" s="210"/>
      <c r="AIY5" s="210"/>
      <c r="AIZ5" s="210"/>
      <c r="AJA5" s="210"/>
      <c r="AJB5" s="210"/>
      <c r="AJC5" s="210"/>
      <c r="AJD5" s="210"/>
      <c r="AJE5" s="210"/>
      <c r="AJF5" s="210"/>
      <c r="AJG5" s="210"/>
      <c r="AJH5" s="210"/>
      <c r="AJI5" s="210"/>
      <c r="AJJ5" s="210"/>
      <c r="AJK5" s="210"/>
      <c r="AJL5" s="210"/>
      <c r="AJM5" s="210"/>
      <c r="AJN5" s="210"/>
      <c r="AJO5" s="210"/>
      <c r="AJP5" s="210"/>
      <c r="AJQ5" s="210"/>
      <c r="AJR5" s="210"/>
      <c r="AJS5" s="210"/>
      <c r="AJT5" s="210"/>
      <c r="AJU5" s="210"/>
      <c r="AJV5" s="210"/>
      <c r="AJW5" s="210"/>
      <c r="AJX5" s="210"/>
      <c r="AJY5" s="210"/>
      <c r="AJZ5" s="210"/>
      <c r="AKA5" s="210"/>
      <c r="AKB5" s="210"/>
      <c r="AKC5" s="210"/>
      <c r="AKD5" s="210"/>
      <c r="AKE5" s="210"/>
      <c r="AKF5" s="210"/>
      <c r="AKG5" s="210"/>
      <c r="AKH5" s="210"/>
      <c r="AKI5" s="210"/>
      <c r="AKJ5" s="210"/>
      <c r="AKK5" s="210"/>
      <c r="AKL5" s="210"/>
      <c r="AKM5" s="210"/>
      <c r="AKN5" s="210"/>
      <c r="AKO5" s="210"/>
      <c r="AKP5" s="210"/>
      <c r="AKQ5" s="210"/>
      <c r="AKR5" s="210"/>
      <c r="AKS5" s="210"/>
      <c r="AKT5" s="210"/>
      <c r="AKU5" s="210"/>
      <c r="AKV5" s="210"/>
      <c r="AKW5" s="210"/>
      <c r="AKX5" s="210"/>
      <c r="AKY5" s="210"/>
      <c r="AKZ5" s="210"/>
      <c r="ALA5" s="210"/>
      <c r="ALB5" s="210"/>
      <c r="ALC5" s="210"/>
      <c r="ALD5" s="210"/>
      <c r="ALE5" s="210"/>
      <c r="ALF5" s="210"/>
      <c r="ALG5" s="210"/>
      <c r="ALH5" s="210"/>
      <c r="ALI5" s="210"/>
      <c r="ALJ5" s="210"/>
      <c r="ALK5" s="210"/>
      <c r="ALL5" s="210"/>
      <c r="ALM5" s="210"/>
      <c r="ALN5" s="210"/>
      <c r="ALO5" s="210"/>
      <c r="ALP5" s="210"/>
      <c r="ALQ5" s="210"/>
      <c r="ALR5" s="210"/>
      <c r="ALS5" s="210"/>
      <c r="ALT5" s="210"/>
      <c r="ALU5" s="210"/>
      <c r="ALV5" s="210"/>
      <c r="ALW5" s="210"/>
      <c r="ALX5" s="210"/>
      <c r="ALY5" s="210"/>
      <c r="ALZ5" s="210"/>
      <c r="AMA5" s="210"/>
      <c r="AMB5" s="210"/>
      <c r="AMC5" s="210"/>
      <c r="AMD5" s="210"/>
      <c r="AME5" s="210"/>
      <c r="AMF5" s="210"/>
      <c r="AMG5" s="210"/>
      <c r="AMH5" s="210"/>
      <c r="AMI5" s="210"/>
      <c r="AMJ5" s="210"/>
      <c r="AMK5" s="210"/>
      <c r="AML5" s="210"/>
      <c r="AMM5" s="210"/>
      <c r="AMN5" s="210"/>
      <c r="AMO5" s="210"/>
      <c r="AMP5" s="210"/>
      <c r="AMQ5" s="210"/>
      <c r="AMR5" s="210"/>
      <c r="AMS5" s="210"/>
      <c r="AMT5" s="210"/>
      <c r="AMU5" s="210"/>
      <c r="AMV5" s="210"/>
      <c r="AMW5" s="210"/>
      <c r="AMX5" s="210"/>
      <c r="AMY5" s="210"/>
      <c r="AMZ5" s="210"/>
      <c r="ANA5" s="210"/>
      <c r="ANB5" s="210"/>
      <c r="ANC5" s="210"/>
      <c r="AND5" s="210"/>
      <c r="ANE5" s="210"/>
      <c r="ANF5" s="210"/>
      <c r="ANG5" s="210"/>
      <c r="ANH5" s="210"/>
      <c r="ANI5" s="210"/>
      <c r="ANJ5" s="210"/>
      <c r="ANK5" s="210"/>
      <c r="ANL5" s="210"/>
      <c r="ANM5" s="210"/>
      <c r="ANN5" s="210"/>
      <c r="ANO5" s="210"/>
      <c r="ANP5" s="210"/>
      <c r="ANQ5" s="210"/>
      <c r="ANR5" s="210"/>
      <c r="ANS5" s="210"/>
      <c r="ANT5" s="210"/>
      <c r="ANU5" s="210"/>
      <c r="ANV5" s="210"/>
      <c r="ANW5" s="210"/>
      <c r="ANX5" s="210"/>
      <c r="ANY5" s="210"/>
      <c r="ANZ5" s="210"/>
      <c r="AOA5" s="210"/>
      <c r="AOB5" s="210"/>
      <c r="AOC5" s="210"/>
      <c r="AOD5" s="210"/>
      <c r="AOE5" s="210"/>
      <c r="AOF5" s="210"/>
      <c r="AOG5" s="210"/>
    </row>
    <row r="6" spans="1:1073" s="544" customFormat="1" ht="24" customHeight="1">
      <c r="A6" s="2127" t="str">
        <f>Dictionary!B583</f>
        <v>EIGENE ERFAHRUNG</v>
      </c>
      <c r="B6" s="2128"/>
      <c r="C6" s="2128"/>
      <c r="D6" s="2128"/>
      <c r="E6" s="2128"/>
      <c r="F6" s="2128"/>
      <c r="G6" s="2128"/>
      <c r="H6" s="2128"/>
      <c r="I6" s="2128"/>
      <c r="J6" s="2128"/>
      <c r="K6" s="2128"/>
      <c r="L6" s="2128"/>
      <c r="M6" s="173"/>
      <c r="N6" s="173"/>
      <c r="O6" s="211"/>
      <c r="P6" s="211"/>
      <c r="Q6" s="212" t="e">
        <f>IF(MAX(T4:CG4)&gt;120%,"WARNING, you exceeded 120% of work load","")</f>
        <v>#VALUE!</v>
      </c>
      <c r="R6" s="578"/>
      <c r="S6" s="208"/>
      <c r="T6" s="208" t="s">
        <v>18</v>
      </c>
      <c r="U6" s="208" t="s">
        <v>19</v>
      </c>
      <c r="V6" s="208" t="s">
        <v>20</v>
      </c>
      <c r="W6" s="208" t="s">
        <v>21</v>
      </c>
      <c r="X6" s="208" t="s">
        <v>22</v>
      </c>
      <c r="Y6" s="208" t="s">
        <v>23</v>
      </c>
      <c r="Z6" s="208" t="s">
        <v>24</v>
      </c>
      <c r="AA6" s="208" t="s">
        <v>25</v>
      </c>
      <c r="AB6" s="208" t="s">
        <v>26</v>
      </c>
      <c r="AC6" s="208" t="s">
        <v>27</v>
      </c>
      <c r="AD6" s="208" t="s">
        <v>28</v>
      </c>
      <c r="AE6" s="208" t="s">
        <v>29</v>
      </c>
      <c r="AF6" s="208" t="s">
        <v>30</v>
      </c>
      <c r="AG6" s="208" t="s">
        <v>31</v>
      </c>
      <c r="AH6" s="208" t="s">
        <v>32</v>
      </c>
      <c r="AI6" s="208" t="s">
        <v>33</v>
      </c>
      <c r="AJ6" s="208" t="s">
        <v>34</v>
      </c>
      <c r="AK6" s="208" t="s">
        <v>35</v>
      </c>
      <c r="AL6" s="208" t="s">
        <v>36</v>
      </c>
      <c r="AM6" s="208" t="s">
        <v>37</v>
      </c>
      <c r="AN6" s="208" t="s">
        <v>38</v>
      </c>
      <c r="AO6" s="208" t="s">
        <v>39</v>
      </c>
      <c r="AP6" s="208" t="s">
        <v>40</v>
      </c>
      <c r="AQ6" s="208" t="s">
        <v>41</v>
      </c>
      <c r="AR6" s="208" t="s">
        <v>42</v>
      </c>
      <c r="AS6" s="208" t="s">
        <v>43</v>
      </c>
      <c r="AT6" s="208" t="s">
        <v>44</v>
      </c>
      <c r="AU6" s="208" t="s">
        <v>45</v>
      </c>
      <c r="AV6" s="208" t="s">
        <v>46</v>
      </c>
      <c r="AW6" s="208" t="s">
        <v>47</v>
      </c>
      <c r="AX6" s="208" t="s">
        <v>48</v>
      </c>
      <c r="AY6" s="208" t="s">
        <v>49</v>
      </c>
      <c r="AZ6" s="208" t="s">
        <v>50</v>
      </c>
      <c r="BA6" s="208" t="s">
        <v>51</v>
      </c>
      <c r="BB6" s="208" t="s">
        <v>52</v>
      </c>
      <c r="BC6" s="208" t="s">
        <v>53</v>
      </c>
      <c r="BD6" s="208" t="s">
        <v>54</v>
      </c>
      <c r="BE6" s="208" t="s">
        <v>55</v>
      </c>
      <c r="BF6" s="208" t="s">
        <v>56</v>
      </c>
      <c r="BG6" s="208" t="s">
        <v>57</v>
      </c>
      <c r="BH6" s="208" t="s">
        <v>58</v>
      </c>
      <c r="BI6" s="208" t="s">
        <v>59</v>
      </c>
      <c r="BJ6" s="208" t="s">
        <v>60</v>
      </c>
      <c r="BK6" s="208" t="s">
        <v>61</v>
      </c>
      <c r="BL6" s="208" t="s">
        <v>62</v>
      </c>
      <c r="BM6" s="208" t="s">
        <v>63</v>
      </c>
      <c r="BN6" s="208" t="s">
        <v>64</v>
      </c>
      <c r="BO6" s="208" t="s">
        <v>65</v>
      </c>
      <c r="BP6" s="208" t="s">
        <v>66</v>
      </c>
      <c r="BQ6" s="208" t="s">
        <v>67</v>
      </c>
      <c r="BR6" s="208" t="s">
        <v>68</v>
      </c>
      <c r="BS6" s="208" t="s">
        <v>69</v>
      </c>
      <c r="BT6" s="208" t="s">
        <v>70</v>
      </c>
      <c r="BU6" s="208" t="s">
        <v>71</v>
      </c>
      <c r="BV6" s="208" t="s">
        <v>72</v>
      </c>
      <c r="BW6" s="208" t="s">
        <v>73</v>
      </c>
      <c r="BX6" s="208" t="s">
        <v>74</v>
      </c>
      <c r="BY6" s="208" t="s">
        <v>75</v>
      </c>
      <c r="BZ6" s="208" t="s">
        <v>76</v>
      </c>
      <c r="CA6" s="208" t="s">
        <v>77</v>
      </c>
      <c r="CB6" s="208" t="s">
        <v>78</v>
      </c>
      <c r="CC6" s="208" t="s">
        <v>79</v>
      </c>
      <c r="CD6" s="208" t="s">
        <v>80</v>
      </c>
      <c r="CE6" s="208" t="s">
        <v>81</v>
      </c>
      <c r="CF6" s="208" t="s">
        <v>82</v>
      </c>
      <c r="CG6" s="208" t="s">
        <v>83</v>
      </c>
      <c r="CH6" s="208" t="s">
        <v>744</v>
      </c>
      <c r="CI6" s="208" t="s">
        <v>745</v>
      </c>
      <c r="CJ6" s="208" t="s">
        <v>746</v>
      </c>
      <c r="CK6" s="208" t="s">
        <v>747</v>
      </c>
      <c r="CL6" s="208" t="s">
        <v>748</v>
      </c>
      <c r="CM6" s="208" t="s">
        <v>749</v>
      </c>
      <c r="CN6" s="208" t="s">
        <v>750</v>
      </c>
      <c r="CO6" s="208" t="s">
        <v>751</v>
      </c>
      <c r="CP6" s="208" t="s">
        <v>752</v>
      </c>
      <c r="CQ6" s="208" t="s">
        <v>753</v>
      </c>
      <c r="CR6" s="208" t="s">
        <v>754</v>
      </c>
      <c r="CS6" s="208" t="s">
        <v>755</v>
      </c>
      <c r="CT6" s="208" t="s">
        <v>756</v>
      </c>
      <c r="CU6" s="208" t="s">
        <v>757</v>
      </c>
      <c r="CV6" s="208" t="s">
        <v>758</v>
      </c>
      <c r="CW6" s="208" t="s">
        <v>759</v>
      </c>
      <c r="CX6" s="208" t="s">
        <v>760</v>
      </c>
      <c r="CY6" s="208" t="s">
        <v>761</v>
      </c>
      <c r="CZ6" s="208" t="s">
        <v>762</v>
      </c>
      <c r="DA6" s="208" t="s">
        <v>763</v>
      </c>
      <c r="DB6" s="208" t="s">
        <v>764</v>
      </c>
      <c r="DC6" s="208" t="s">
        <v>765</v>
      </c>
      <c r="DD6" s="208" t="s">
        <v>766</v>
      </c>
      <c r="DE6" s="208" t="s">
        <v>767</v>
      </c>
      <c r="DF6" s="208" t="s">
        <v>768</v>
      </c>
      <c r="DG6" s="208" t="s">
        <v>769</v>
      </c>
      <c r="DH6" s="208" t="s">
        <v>770</v>
      </c>
      <c r="DI6" s="208" t="s">
        <v>771</v>
      </c>
      <c r="DJ6" s="208" t="s">
        <v>772</v>
      </c>
      <c r="DK6" s="208" t="s">
        <v>773</v>
      </c>
      <c r="DL6" s="208" t="s">
        <v>774</v>
      </c>
      <c r="DM6" s="208" t="s">
        <v>775</v>
      </c>
      <c r="DN6" s="208" t="s">
        <v>776</v>
      </c>
      <c r="DO6" s="208" t="s">
        <v>777</v>
      </c>
      <c r="DP6" s="208" t="s">
        <v>778</v>
      </c>
      <c r="DQ6" s="208" t="s">
        <v>779</v>
      </c>
      <c r="DR6" s="208" t="s">
        <v>780</v>
      </c>
      <c r="DS6" s="208" t="s">
        <v>781</v>
      </c>
      <c r="DT6" s="208" t="s">
        <v>782</v>
      </c>
      <c r="DU6" s="208" t="s">
        <v>783</v>
      </c>
      <c r="DV6" s="208" t="s">
        <v>784</v>
      </c>
      <c r="DW6" s="208" t="s">
        <v>785</v>
      </c>
      <c r="DX6" s="208" t="s">
        <v>786</v>
      </c>
      <c r="DY6" s="208" t="s">
        <v>787</v>
      </c>
      <c r="DZ6" s="208" t="s">
        <v>788</v>
      </c>
      <c r="EA6" s="208" t="s">
        <v>789</v>
      </c>
      <c r="EB6" s="208" t="s">
        <v>790</v>
      </c>
      <c r="EC6" s="208" t="s">
        <v>791</v>
      </c>
      <c r="ED6" s="208" t="s">
        <v>792</v>
      </c>
      <c r="EE6" s="208" t="s">
        <v>793</v>
      </c>
      <c r="EF6" s="208" t="s">
        <v>794</v>
      </c>
      <c r="EG6" s="208" t="s">
        <v>795</v>
      </c>
      <c r="EH6" s="208" t="s">
        <v>796</v>
      </c>
      <c r="EI6" s="208" t="s">
        <v>797</v>
      </c>
      <c r="EJ6" s="208" t="s">
        <v>798</v>
      </c>
      <c r="EK6" s="208" t="s">
        <v>799</v>
      </c>
      <c r="EL6" s="208" t="s">
        <v>800</v>
      </c>
      <c r="EM6" s="208" t="s">
        <v>801</v>
      </c>
      <c r="EN6" s="208" t="s">
        <v>802</v>
      </c>
      <c r="EO6" s="208" t="s">
        <v>803</v>
      </c>
      <c r="EP6" s="208" t="s">
        <v>804</v>
      </c>
      <c r="EQ6" s="208" t="s">
        <v>805</v>
      </c>
      <c r="ER6" s="208" t="s">
        <v>806</v>
      </c>
      <c r="ES6" s="208" t="s">
        <v>807</v>
      </c>
      <c r="ET6" s="208" t="s">
        <v>808</v>
      </c>
      <c r="EU6" s="208" t="s">
        <v>809</v>
      </c>
      <c r="EV6" s="208" t="s">
        <v>810</v>
      </c>
      <c r="EW6" s="208" t="s">
        <v>811</v>
      </c>
      <c r="EX6" s="208" t="s">
        <v>812</v>
      </c>
      <c r="EY6" s="208" t="s">
        <v>813</v>
      </c>
      <c r="EZ6" s="208" t="s">
        <v>814</v>
      </c>
      <c r="FA6" s="208" t="s">
        <v>815</v>
      </c>
      <c r="FB6" s="208" t="s">
        <v>816</v>
      </c>
      <c r="FC6" s="208" t="s">
        <v>817</v>
      </c>
      <c r="FD6" s="208" t="s">
        <v>818</v>
      </c>
      <c r="FE6" s="208" t="s">
        <v>819</v>
      </c>
      <c r="FF6" s="208" t="s">
        <v>820</v>
      </c>
      <c r="FG6" s="208" t="s">
        <v>821</v>
      </c>
      <c r="FH6" s="208" t="s">
        <v>822</v>
      </c>
      <c r="FI6" s="208" t="s">
        <v>823</v>
      </c>
      <c r="FJ6" s="208" t="s">
        <v>824</v>
      </c>
      <c r="FK6" s="208" t="s">
        <v>825</v>
      </c>
      <c r="FL6" s="208" t="s">
        <v>826</v>
      </c>
      <c r="FM6" s="208" t="s">
        <v>827</v>
      </c>
      <c r="FN6" s="208" t="s">
        <v>828</v>
      </c>
      <c r="FO6" s="208" t="s">
        <v>829</v>
      </c>
      <c r="FP6" s="208" t="s">
        <v>830</v>
      </c>
      <c r="FQ6" s="208" t="s">
        <v>831</v>
      </c>
      <c r="FR6" s="208" t="s">
        <v>832</v>
      </c>
      <c r="FS6" s="208" t="s">
        <v>833</v>
      </c>
      <c r="FT6" s="208" t="s">
        <v>834</v>
      </c>
      <c r="FU6" s="208" t="s">
        <v>835</v>
      </c>
      <c r="FV6" s="208" t="s">
        <v>836</v>
      </c>
      <c r="FW6" s="208" t="s">
        <v>837</v>
      </c>
      <c r="FX6" s="208" t="s">
        <v>838</v>
      </c>
      <c r="FY6" s="208" t="s">
        <v>839</v>
      </c>
      <c r="FZ6" s="208" t="s">
        <v>840</v>
      </c>
      <c r="GA6" s="208" t="s">
        <v>841</v>
      </c>
      <c r="GB6" s="208" t="s">
        <v>842</v>
      </c>
      <c r="GC6" s="208" t="s">
        <v>843</v>
      </c>
      <c r="GD6" s="208" t="s">
        <v>844</v>
      </c>
      <c r="GE6" s="208" t="s">
        <v>845</v>
      </c>
      <c r="GF6" s="208" t="s">
        <v>846</v>
      </c>
      <c r="GG6" s="208" t="s">
        <v>847</v>
      </c>
      <c r="GH6" s="208" t="s">
        <v>848</v>
      </c>
      <c r="GI6" s="208" t="s">
        <v>849</v>
      </c>
      <c r="GJ6" s="208" t="s">
        <v>850</v>
      </c>
      <c r="GK6" s="208" t="s">
        <v>851</v>
      </c>
      <c r="GL6" s="208" t="s">
        <v>852</v>
      </c>
      <c r="GM6" s="208" t="s">
        <v>853</v>
      </c>
      <c r="GN6" s="208" t="s">
        <v>854</v>
      </c>
      <c r="GO6" s="208" t="s">
        <v>855</v>
      </c>
      <c r="GP6" s="208" t="s">
        <v>856</v>
      </c>
      <c r="GQ6" s="208" t="s">
        <v>857</v>
      </c>
      <c r="GR6" s="208" t="s">
        <v>858</v>
      </c>
      <c r="GS6" s="208" t="s">
        <v>859</v>
      </c>
      <c r="GT6" s="208" t="s">
        <v>860</v>
      </c>
      <c r="GU6" s="208" t="s">
        <v>861</v>
      </c>
      <c r="GV6" s="208" t="s">
        <v>862</v>
      </c>
      <c r="GW6" s="208" t="s">
        <v>863</v>
      </c>
      <c r="GX6" s="208" t="s">
        <v>864</v>
      </c>
      <c r="GY6" s="208" t="s">
        <v>865</v>
      </c>
      <c r="GZ6" s="208" t="s">
        <v>866</v>
      </c>
      <c r="HA6" s="208" t="s">
        <v>867</v>
      </c>
      <c r="HB6" s="208" t="s">
        <v>868</v>
      </c>
      <c r="HC6" s="208" t="s">
        <v>869</v>
      </c>
      <c r="HD6" s="208" t="s">
        <v>870</v>
      </c>
      <c r="HE6" s="208" t="s">
        <v>871</v>
      </c>
      <c r="HF6" s="208" t="s">
        <v>872</v>
      </c>
      <c r="HG6" s="208" t="s">
        <v>873</v>
      </c>
      <c r="HH6" s="208" t="s">
        <v>874</v>
      </c>
      <c r="HI6" s="208" t="s">
        <v>875</v>
      </c>
      <c r="HJ6" s="208" t="s">
        <v>876</v>
      </c>
      <c r="HK6" s="208" t="s">
        <v>877</v>
      </c>
      <c r="HL6" s="208" t="s">
        <v>878</v>
      </c>
      <c r="HM6" s="208" t="s">
        <v>879</v>
      </c>
      <c r="HN6" s="208" t="s">
        <v>880</v>
      </c>
      <c r="HO6" s="208" t="s">
        <v>881</v>
      </c>
      <c r="HP6" s="208" t="s">
        <v>882</v>
      </c>
      <c r="HQ6" s="208" t="s">
        <v>883</v>
      </c>
      <c r="HR6" s="208" t="s">
        <v>884</v>
      </c>
      <c r="HS6" s="208" t="s">
        <v>885</v>
      </c>
      <c r="HT6" s="208" t="s">
        <v>886</v>
      </c>
      <c r="HU6" s="208" t="s">
        <v>887</v>
      </c>
      <c r="HV6" s="208" t="s">
        <v>888</v>
      </c>
      <c r="HW6" s="208" t="s">
        <v>889</v>
      </c>
      <c r="HX6" s="208" t="s">
        <v>890</v>
      </c>
      <c r="HY6" s="208" t="s">
        <v>891</v>
      </c>
      <c r="HZ6" s="208" t="s">
        <v>892</v>
      </c>
      <c r="IA6" s="208" t="s">
        <v>893</v>
      </c>
      <c r="IB6" s="208" t="s">
        <v>894</v>
      </c>
      <c r="IC6" s="208" t="s">
        <v>895</v>
      </c>
      <c r="ID6" s="208" t="s">
        <v>896</v>
      </c>
      <c r="IE6" s="208" t="s">
        <v>897</v>
      </c>
      <c r="IF6" s="208" t="s">
        <v>898</v>
      </c>
      <c r="IG6" s="208" t="s">
        <v>899</v>
      </c>
      <c r="IH6" s="208" t="s">
        <v>900</v>
      </c>
      <c r="II6" s="208" t="s">
        <v>901</v>
      </c>
      <c r="IJ6" s="208" t="s">
        <v>902</v>
      </c>
      <c r="IK6" s="208" t="s">
        <v>903</v>
      </c>
      <c r="IL6" s="208" t="s">
        <v>904</v>
      </c>
      <c r="IM6" s="208" t="s">
        <v>905</v>
      </c>
      <c r="IN6" s="208" t="s">
        <v>906</v>
      </c>
      <c r="IO6" s="208" t="s">
        <v>907</v>
      </c>
      <c r="IP6" s="208" t="s">
        <v>908</v>
      </c>
      <c r="IQ6" s="208" t="s">
        <v>909</v>
      </c>
      <c r="IR6" s="208" t="s">
        <v>910</v>
      </c>
      <c r="IS6" s="208" t="s">
        <v>911</v>
      </c>
      <c r="IT6" s="208" t="s">
        <v>912</v>
      </c>
      <c r="IU6" s="208" t="s">
        <v>913</v>
      </c>
      <c r="IV6" s="208" t="s">
        <v>914</v>
      </c>
      <c r="IW6" s="208" t="s">
        <v>915</v>
      </c>
      <c r="IX6" s="208" t="s">
        <v>916</v>
      </c>
      <c r="IY6" s="208" t="s">
        <v>917</v>
      </c>
      <c r="IZ6" s="208" t="s">
        <v>918</v>
      </c>
      <c r="JA6" s="208" t="s">
        <v>919</v>
      </c>
      <c r="JB6" s="208" t="s">
        <v>920</v>
      </c>
      <c r="JC6" s="208" t="s">
        <v>921</v>
      </c>
      <c r="JD6" s="208" t="s">
        <v>922</v>
      </c>
      <c r="JE6" s="208" t="s">
        <v>923</v>
      </c>
      <c r="JF6" s="208" t="s">
        <v>924</v>
      </c>
      <c r="JG6" s="208" t="s">
        <v>925</v>
      </c>
      <c r="JH6" s="208" t="s">
        <v>926</v>
      </c>
      <c r="JI6" s="208" t="s">
        <v>927</v>
      </c>
      <c r="JJ6" s="208" t="s">
        <v>928</v>
      </c>
      <c r="JK6" s="208"/>
      <c r="JL6" s="208"/>
      <c r="JM6" s="208"/>
      <c r="JN6" s="208"/>
      <c r="JO6" s="208"/>
      <c r="JP6" s="208"/>
      <c r="JQ6" s="208"/>
      <c r="JR6" s="208"/>
      <c r="JS6" s="208"/>
      <c r="JT6" s="208"/>
      <c r="JU6" s="208"/>
      <c r="JV6" s="208"/>
      <c r="JW6" s="208"/>
      <c r="JX6" s="208"/>
      <c r="JY6" s="208"/>
      <c r="JZ6" s="208"/>
      <c r="KA6" s="208"/>
      <c r="KB6" s="208"/>
      <c r="KC6" s="208"/>
      <c r="KD6" s="208"/>
      <c r="KE6" s="208"/>
      <c r="KF6" s="208"/>
      <c r="KG6" s="208"/>
      <c r="KH6" s="208"/>
      <c r="KI6" s="208"/>
      <c r="KJ6" s="208"/>
      <c r="KK6" s="208"/>
      <c r="KL6" s="208"/>
      <c r="KM6" s="208"/>
      <c r="KN6" s="208"/>
      <c r="KO6" s="208"/>
      <c r="KP6" s="208"/>
      <c r="KQ6" s="208"/>
      <c r="KR6" s="208"/>
      <c r="KS6" s="208"/>
      <c r="KT6" s="208"/>
      <c r="KU6" s="208"/>
      <c r="KV6" s="208"/>
      <c r="KW6" s="208"/>
      <c r="KX6" s="208"/>
      <c r="KY6" s="208"/>
      <c r="KZ6" s="208"/>
      <c r="LA6" s="208"/>
      <c r="LB6" s="208"/>
      <c r="LC6" s="208"/>
      <c r="LD6" s="208"/>
      <c r="LE6" s="208"/>
      <c r="LF6" s="208"/>
      <c r="LG6" s="208"/>
      <c r="LH6" s="208"/>
      <c r="LI6" s="208"/>
      <c r="LJ6" s="208"/>
      <c r="LK6" s="208"/>
      <c r="LL6" s="208"/>
      <c r="LM6" s="208"/>
      <c r="LN6" s="208"/>
      <c r="LO6" s="208"/>
      <c r="LP6" s="208"/>
      <c r="LQ6" s="208"/>
      <c r="LR6" s="208"/>
      <c r="LS6" s="208"/>
      <c r="LT6" s="208"/>
      <c r="LU6" s="208"/>
      <c r="LV6" s="208"/>
      <c r="LW6" s="208"/>
      <c r="LX6" s="208"/>
      <c r="LY6" s="208"/>
      <c r="LZ6" s="208"/>
      <c r="MA6" s="208"/>
      <c r="MB6" s="208"/>
      <c r="MC6" s="208"/>
      <c r="MD6" s="208"/>
      <c r="ME6" s="208"/>
      <c r="MF6" s="208"/>
      <c r="MG6" s="208"/>
      <c r="MH6" s="208"/>
      <c r="MI6" s="208"/>
      <c r="MJ6" s="208"/>
      <c r="MK6" s="208"/>
      <c r="ML6" s="208"/>
      <c r="MM6" s="208"/>
      <c r="MN6" s="208"/>
      <c r="MO6" s="208"/>
      <c r="MP6" s="208"/>
      <c r="MQ6" s="208"/>
      <c r="MR6" s="208"/>
      <c r="MS6" s="208"/>
      <c r="MT6" s="208"/>
      <c r="MU6" s="208"/>
      <c r="MV6" s="208"/>
      <c r="MW6" s="208"/>
      <c r="MX6" s="208"/>
      <c r="MY6" s="208"/>
      <c r="MZ6" s="208"/>
      <c r="NA6" s="208"/>
      <c r="NB6" s="208"/>
      <c r="NC6" s="208"/>
      <c r="ND6" s="208"/>
      <c r="NE6" s="208"/>
      <c r="NF6" s="208"/>
      <c r="NG6" s="208"/>
      <c r="NH6" s="208"/>
      <c r="NI6" s="208"/>
      <c r="NJ6" s="208"/>
      <c r="NK6" s="208"/>
      <c r="NL6" s="208"/>
      <c r="NM6" s="208"/>
      <c r="NN6" s="208"/>
      <c r="NO6" s="208"/>
      <c r="NP6" s="208"/>
      <c r="NQ6" s="208"/>
      <c r="NR6" s="208"/>
      <c r="NS6" s="208"/>
      <c r="NT6" s="208"/>
      <c r="NU6" s="208"/>
      <c r="NV6" s="208"/>
      <c r="NW6" s="208"/>
      <c r="NX6" s="208"/>
      <c r="NY6" s="208"/>
      <c r="NZ6" s="208"/>
      <c r="OA6" s="208"/>
      <c r="OB6" s="208"/>
      <c r="OC6" s="208"/>
      <c r="OD6" s="208"/>
      <c r="OE6" s="208"/>
      <c r="OF6" s="208"/>
      <c r="OG6" s="208"/>
      <c r="OH6" s="208"/>
      <c r="OI6" s="208"/>
      <c r="OJ6" s="208"/>
      <c r="OK6" s="208"/>
      <c r="OL6" s="208"/>
      <c r="OM6" s="208"/>
      <c r="ON6" s="208"/>
      <c r="OO6" s="208"/>
      <c r="OP6" s="208"/>
      <c r="OQ6" s="208"/>
      <c r="OR6" s="208"/>
      <c r="OS6" s="208"/>
      <c r="OT6" s="208"/>
      <c r="OU6" s="208"/>
      <c r="OV6" s="208"/>
      <c r="OW6" s="208"/>
      <c r="OX6" s="208"/>
      <c r="OY6" s="208"/>
      <c r="OZ6" s="208"/>
      <c r="PA6" s="208"/>
      <c r="PB6" s="208"/>
      <c r="PC6" s="208"/>
      <c r="PD6" s="208"/>
      <c r="PE6" s="208"/>
      <c r="PF6" s="208"/>
      <c r="PG6" s="208"/>
      <c r="PH6" s="208"/>
      <c r="PI6" s="208"/>
      <c r="PJ6" s="208"/>
      <c r="PK6" s="208"/>
      <c r="PL6" s="208"/>
      <c r="PM6" s="208"/>
      <c r="PN6" s="208"/>
      <c r="PO6" s="208"/>
      <c r="PP6" s="208"/>
      <c r="PQ6" s="208"/>
      <c r="PR6" s="208"/>
      <c r="PS6" s="208"/>
      <c r="PT6" s="208"/>
      <c r="PU6" s="208"/>
      <c r="PV6" s="208"/>
      <c r="PW6" s="208"/>
      <c r="PX6" s="208"/>
      <c r="PY6" s="208"/>
      <c r="PZ6" s="208"/>
      <c r="QA6" s="208"/>
      <c r="QB6" s="208"/>
      <c r="QC6" s="208"/>
      <c r="QD6" s="208"/>
      <c r="QE6" s="208"/>
      <c r="QF6" s="208"/>
      <c r="QG6" s="208"/>
      <c r="QH6" s="208"/>
      <c r="QI6" s="208"/>
      <c r="QJ6" s="208"/>
      <c r="QK6" s="208"/>
      <c r="QL6" s="208"/>
      <c r="QM6" s="208"/>
      <c r="QN6" s="208"/>
      <c r="QO6" s="208"/>
      <c r="QP6" s="208"/>
      <c r="QQ6" s="208"/>
      <c r="QR6" s="208"/>
      <c r="QS6" s="208"/>
      <c r="QT6" s="208"/>
      <c r="QU6" s="208"/>
      <c r="QV6" s="208"/>
      <c r="QW6" s="208"/>
      <c r="QX6" s="208"/>
      <c r="QY6" s="208"/>
      <c r="QZ6" s="208"/>
      <c r="RA6" s="208"/>
      <c r="RB6" s="208"/>
      <c r="RC6" s="208"/>
      <c r="RD6" s="208"/>
      <c r="RE6" s="208"/>
      <c r="RF6" s="208"/>
      <c r="RG6" s="208"/>
      <c r="RH6" s="208"/>
      <c r="RI6" s="208"/>
      <c r="RJ6" s="208"/>
      <c r="RK6" s="208"/>
      <c r="RL6" s="208"/>
      <c r="RM6" s="208"/>
      <c r="RN6" s="208"/>
      <c r="RO6" s="208"/>
      <c r="RP6" s="208"/>
      <c r="RQ6" s="208"/>
      <c r="RR6" s="208"/>
      <c r="RS6" s="208"/>
      <c r="RT6" s="208"/>
      <c r="RU6" s="208"/>
      <c r="RV6" s="208"/>
      <c r="RW6" s="208"/>
      <c r="RX6" s="208"/>
      <c r="RY6" s="208"/>
      <c r="RZ6" s="208"/>
      <c r="SA6" s="208"/>
      <c r="SB6" s="208"/>
      <c r="SC6" s="208"/>
      <c r="SD6" s="208"/>
      <c r="SE6" s="208"/>
      <c r="SF6" s="208"/>
      <c r="SG6" s="208"/>
      <c r="SH6" s="208"/>
      <c r="SI6" s="208"/>
      <c r="SJ6" s="208"/>
      <c r="SK6" s="208"/>
      <c r="SL6" s="208"/>
      <c r="SM6" s="208"/>
      <c r="SN6" s="208"/>
      <c r="SO6" s="208"/>
      <c r="SP6" s="208"/>
      <c r="SQ6" s="208"/>
      <c r="SR6" s="208"/>
      <c r="SS6" s="208"/>
      <c r="ST6" s="208"/>
      <c r="SU6" s="208"/>
      <c r="SV6" s="208"/>
      <c r="SW6" s="208"/>
      <c r="SX6" s="208"/>
      <c r="SY6" s="208"/>
      <c r="SZ6" s="208"/>
      <c r="TA6" s="208"/>
      <c r="TB6" s="208"/>
      <c r="TC6" s="208"/>
      <c r="TD6" s="208"/>
      <c r="TE6" s="208"/>
      <c r="TF6" s="208"/>
      <c r="TG6" s="208"/>
      <c r="TH6" s="208"/>
      <c r="TI6" s="208"/>
      <c r="TJ6" s="208"/>
      <c r="TK6" s="208"/>
      <c r="TL6" s="208"/>
      <c r="TM6" s="208"/>
      <c r="TN6" s="208"/>
      <c r="TO6" s="208"/>
      <c r="TP6" s="208"/>
      <c r="TQ6" s="208"/>
      <c r="TR6" s="208"/>
      <c r="TS6" s="208"/>
      <c r="TT6" s="208"/>
      <c r="TU6" s="208"/>
      <c r="TV6" s="208"/>
      <c r="TW6" s="208"/>
      <c r="TX6" s="208"/>
      <c r="TY6" s="208"/>
      <c r="TZ6" s="208"/>
      <c r="UA6" s="208"/>
      <c r="UB6" s="208"/>
      <c r="UC6" s="208"/>
      <c r="UD6" s="208"/>
      <c r="UE6" s="208"/>
      <c r="UF6" s="208"/>
      <c r="UG6" s="208"/>
      <c r="UH6" s="208"/>
      <c r="UI6" s="208"/>
      <c r="UJ6" s="208"/>
      <c r="UK6" s="208"/>
      <c r="UL6" s="208"/>
      <c r="UM6" s="208"/>
      <c r="UN6" s="208"/>
      <c r="UO6" s="208"/>
      <c r="UP6" s="208"/>
      <c r="UQ6" s="208"/>
      <c r="UR6" s="208"/>
      <c r="US6" s="208"/>
      <c r="UT6" s="208"/>
      <c r="UU6" s="208"/>
      <c r="UV6" s="208"/>
      <c r="UW6" s="208"/>
      <c r="UX6" s="208"/>
      <c r="UY6" s="208"/>
      <c r="UZ6" s="208"/>
      <c r="VA6" s="208"/>
      <c r="VB6" s="208"/>
      <c r="VC6" s="208"/>
      <c r="VD6" s="208"/>
      <c r="VE6" s="208"/>
      <c r="VF6" s="208"/>
      <c r="VG6" s="208"/>
      <c r="VH6" s="208"/>
      <c r="VI6" s="208"/>
      <c r="VJ6" s="208"/>
      <c r="VK6" s="208"/>
      <c r="VL6" s="208"/>
      <c r="VM6" s="208"/>
      <c r="VN6" s="208"/>
      <c r="VO6" s="208"/>
      <c r="VP6" s="208"/>
      <c r="VQ6" s="208"/>
      <c r="VR6" s="208"/>
      <c r="VS6" s="208"/>
      <c r="VT6" s="208"/>
      <c r="VU6" s="208"/>
      <c r="VV6" s="208"/>
      <c r="VW6" s="208"/>
      <c r="VX6" s="208"/>
      <c r="VY6" s="208"/>
      <c r="VZ6" s="208"/>
      <c r="WA6" s="208"/>
      <c r="WB6" s="208"/>
      <c r="WC6" s="208"/>
      <c r="WD6" s="208"/>
      <c r="WE6" s="208"/>
      <c r="WF6" s="208"/>
      <c r="WG6" s="208"/>
      <c r="WH6" s="208"/>
      <c r="WI6" s="208"/>
      <c r="WJ6" s="208"/>
      <c r="WK6" s="208"/>
      <c r="WL6" s="208"/>
      <c r="WM6" s="208"/>
      <c r="WN6" s="208"/>
      <c r="WO6" s="208"/>
      <c r="WP6" s="208"/>
      <c r="WQ6" s="208"/>
      <c r="WR6" s="208"/>
      <c r="WS6" s="208"/>
      <c r="WT6" s="208"/>
      <c r="WU6" s="208"/>
      <c r="WV6" s="208"/>
      <c r="WW6" s="208"/>
      <c r="WX6" s="208"/>
      <c r="WY6" s="208"/>
      <c r="WZ6" s="208"/>
      <c r="XA6" s="208"/>
      <c r="XB6" s="208"/>
      <c r="XC6" s="208"/>
      <c r="XD6" s="208"/>
      <c r="XE6" s="208"/>
      <c r="XF6" s="208"/>
      <c r="XG6" s="208"/>
      <c r="XH6" s="208"/>
      <c r="XI6" s="208"/>
      <c r="XJ6" s="208"/>
      <c r="XK6" s="208"/>
      <c r="XL6" s="208"/>
      <c r="XM6" s="208"/>
      <c r="XN6" s="208"/>
      <c r="XO6" s="208"/>
      <c r="XP6" s="208"/>
      <c r="XQ6" s="208"/>
      <c r="XR6" s="208"/>
      <c r="XS6" s="208"/>
      <c r="XT6" s="208"/>
      <c r="XU6" s="208"/>
      <c r="XV6" s="208"/>
      <c r="XW6" s="208"/>
      <c r="XX6" s="208"/>
      <c r="XY6" s="208"/>
      <c r="XZ6" s="208"/>
      <c r="YA6" s="208"/>
      <c r="YB6" s="208"/>
      <c r="YC6" s="208"/>
      <c r="YD6" s="208"/>
      <c r="YE6" s="208"/>
      <c r="YF6" s="208"/>
      <c r="YG6" s="208"/>
      <c r="YH6" s="208"/>
      <c r="YI6" s="208"/>
      <c r="YJ6" s="208"/>
      <c r="YK6" s="208"/>
      <c r="YL6" s="208"/>
      <c r="YM6" s="208"/>
      <c r="YN6" s="208"/>
      <c r="YO6" s="208"/>
      <c r="YP6" s="208"/>
      <c r="YQ6" s="208"/>
      <c r="YR6" s="208"/>
      <c r="YS6" s="208"/>
      <c r="YT6" s="208"/>
      <c r="YU6" s="208"/>
      <c r="YV6" s="208"/>
      <c r="YW6" s="208"/>
      <c r="YX6" s="208"/>
      <c r="YY6" s="208"/>
      <c r="YZ6" s="208"/>
      <c r="ZA6" s="208"/>
      <c r="ZB6" s="208"/>
      <c r="ZC6" s="208"/>
      <c r="ZD6" s="208"/>
      <c r="ZE6" s="208"/>
      <c r="ZF6" s="208"/>
      <c r="ZG6" s="208"/>
      <c r="ZH6" s="208"/>
      <c r="ZI6" s="208"/>
      <c r="ZJ6" s="208"/>
      <c r="ZK6" s="208"/>
      <c r="ZL6" s="208"/>
      <c r="ZM6" s="208"/>
      <c r="ZN6" s="208"/>
      <c r="ZO6" s="208"/>
      <c r="ZP6" s="208"/>
      <c r="ZQ6" s="208"/>
      <c r="ZR6" s="208"/>
      <c r="ZS6" s="208"/>
      <c r="ZT6" s="208"/>
      <c r="ZU6" s="208"/>
      <c r="ZV6" s="208"/>
      <c r="ZW6" s="208"/>
      <c r="ZX6" s="208"/>
      <c r="ZY6" s="208"/>
      <c r="ZZ6" s="208"/>
      <c r="AAA6" s="208"/>
      <c r="AAB6" s="208"/>
      <c r="AAC6" s="208"/>
      <c r="AAD6" s="208"/>
      <c r="AAE6" s="208"/>
      <c r="AAF6" s="208"/>
      <c r="AAG6" s="208"/>
      <c r="AAH6" s="208"/>
      <c r="AAI6" s="208"/>
      <c r="AAJ6" s="208"/>
      <c r="AAK6" s="208"/>
      <c r="AAL6" s="208"/>
      <c r="AAM6" s="208"/>
      <c r="AAN6" s="208"/>
      <c r="AAO6" s="208"/>
      <c r="AAP6" s="208"/>
      <c r="AAQ6" s="208"/>
      <c r="AAR6" s="208"/>
      <c r="AAS6" s="208"/>
      <c r="AAT6" s="208"/>
      <c r="AAU6" s="208"/>
      <c r="AAV6" s="208"/>
      <c r="AAW6" s="208"/>
      <c r="AAX6" s="208"/>
      <c r="AAY6" s="208"/>
      <c r="AAZ6" s="208"/>
      <c r="ABA6" s="208"/>
      <c r="ABB6" s="208"/>
      <c r="ABC6" s="208"/>
      <c r="ABD6" s="208"/>
      <c r="ABE6" s="208"/>
      <c r="ABF6" s="208"/>
      <c r="ABG6" s="208"/>
      <c r="ABH6" s="208"/>
      <c r="ABI6" s="208"/>
      <c r="ABJ6" s="208"/>
      <c r="ABK6" s="208"/>
      <c r="ABL6" s="208"/>
      <c r="ABM6" s="208"/>
      <c r="ABN6" s="208"/>
      <c r="ABO6" s="208"/>
      <c r="ABP6" s="208"/>
      <c r="ABQ6" s="208"/>
      <c r="ABR6" s="208"/>
      <c r="ABS6" s="208"/>
      <c r="ABT6" s="208"/>
      <c r="ABU6" s="208"/>
      <c r="ABV6" s="208"/>
      <c r="ABW6" s="208"/>
      <c r="ABX6" s="208"/>
      <c r="ABY6" s="208"/>
      <c r="ABZ6" s="208"/>
      <c r="ACA6" s="208"/>
      <c r="ACB6" s="208"/>
      <c r="ACC6" s="208"/>
      <c r="ACD6" s="208"/>
      <c r="ACE6" s="208"/>
      <c r="ACF6" s="208"/>
      <c r="ACG6" s="208"/>
      <c r="ACH6" s="208"/>
      <c r="ACI6" s="208"/>
      <c r="ACJ6" s="208"/>
      <c r="ACK6" s="208"/>
      <c r="ACL6" s="208"/>
      <c r="ACM6" s="208"/>
      <c r="ACN6" s="208"/>
      <c r="ACO6" s="208"/>
      <c r="ACP6" s="208"/>
      <c r="ACQ6" s="208"/>
      <c r="ACR6" s="208"/>
      <c r="ACS6" s="208"/>
      <c r="ACT6" s="208"/>
      <c r="ACU6" s="208"/>
      <c r="ACV6" s="208"/>
      <c r="ACW6" s="208"/>
      <c r="ACX6" s="208"/>
      <c r="ACY6" s="208"/>
      <c r="ACZ6" s="208"/>
      <c r="ADA6" s="208"/>
      <c r="ADB6" s="208"/>
      <c r="ADC6" s="208"/>
      <c r="ADD6" s="208"/>
      <c r="ADE6" s="208"/>
      <c r="ADF6" s="208"/>
      <c r="ADG6" s="208"/>
      <c r="ADH6" s="208"/>
      <c r="ADI6" s="208"/>
      <c r="ADJ6" s="208"/>
      <c r="ADK6" s="208"/>
      <c r="ADL6" s="208"/>
      <c r="ADM6" s="208"/>
      <c r="ADN6" s="208"/>
      <c r="ADO6" s="208"/>
      <c r="ADP6" s="208"/>
      <c r="ADQ6" s="208"/>
      <c r="ADR6" s="208"/>
      <c r="ADS6" s="208"/>
      <c r="ADT6" s="208"/>
      <c r="ADU6" s="208"/>
      <c r="ADV6" s="208"/>
      <c r="ADW6" s="208"/>
      <c r="ADX6" s="208"/>
      <c r="ADY6" s="208"/>
      <c r="ADZ6" s="208"/>
      <c r="AEA6" s="208"/>
      <c r="AEB6" s="208"/>
      <c r="AEC6" s="208"/>
      <c r="AED6" s="208"/>
      <c r="AEE6" s="208"/>
      <c r="AEF6" s="208"/>
      <c r="AEG6" s="208"/>
      <c r="AEH6" s="208"/>
      <c r="AEI6" s="208"/>
      <c r="AEJ6" s="208"/>
      <c r="AEK6" s="208"/>
      <c r="AEL6" s="208"/>
      <c r="AEM6" s="208"/>
      <c r="AEN6" s="208"/>
      <c r="AEO6" s="208"/>
      <c r="AEP6" s="208"/>
      <c r="AEQ6" s="208"/>
      <c r="AER6" s="208"/>
      <c r="AES6" s="208"/>
      <c r="AET6" s="208"/>
      <c r="AEU6" s="208"/>
      <c r="AEV6" s="208"/>
      <c r="AEW6" s="208"/>
      <c r="AEX6" s="208"/>
      <c r="AEY6" s="208"/>
      <c r="AEZ6" s="208"/>
      <c r="AFA6" s="208"/>
      <c r="AFB6" s="208"/>
      <c r="AFC6" s="208"/>
      <c r="AFD6" s="208"/>
      <c r="AFE6" s="208"/>
      <c r="AFF6" s="208"/>
      <c r="AFG6" s="208"/>
      <c r="AFH6" s="208"/>
      <c r="AFI6" s="208"/>
      <c r="AFJ6" s="208"/>
      <c r="AFK6" s="208"/>
      <c r="AFL6" s="208"/>
      <c r="AFM6" s="208"/>
      <c r="AFN6" s="208"/>
      <c r="AFO6" s="208"/>
      <c r="AFP6" s="208"/>
      <c r="AFQ6" s="208"/>
      <c r="AFR6" s="208"/>
      <c r="AFS6" s="208"/>
      <c r="AFT6" s="208"/>
      <c r="AFU6" s="208"/>
      <c r="AFV6" s="208"/>
      <c r="AFW6" s="208"/>
      <c r="AFX6" s="208"/>
      <c r="AFY6" s="208"/>
      <c r="AFZ6" s="208"/>
      <c r="AGA6" s="208"/>
      <c r="AGB6" s="208"/>
      <c r="AGC6" s="208"/>
      <c r="AGD6" s="208"/>
      <c r="AGE6" s="208"/>
      <c r="AGF6" s="208"/>
      <c r="AGG6" s="208"/>
      <c r="AGH6" s="208"/>
      <c r="AGI6" s="208"/>
      <c r="AGJ6" s="208"/>
      <c r="AGK6" s="208"/>
      <c r="AGL6" s="208"/>
      <c r="AGM6" s="208"/>
      <c r="AGN6" s="208"/>
      <c r="AGO6" s="208"/>
      <c r="AGP6" s="208"/>
      <c r="AGQ6" s="208"/>
      <c r="AGR6" s="208"/>
      <c r="AGS6" s="208"/>
      <c r="AGT6" s="208"/>
      <c r="AGU6" s="208"/>
      <c r="AGV6" s="208"/>
      <c r="AGW6" s="208"/>
      <c r="AGX6" s="208"/>
      <c r="AGY6" s="208"/>
      <c r="AGZ6" s="208"/>
      <c r="AHA6" s="208"/>
      <c r="AHB6" s="208"/>
      <c r="AHC6" s="208"/>
      <c r="AHD6" s="208"/>
      <c r="AHE6" s="208"/>
      <c r="AHF6" s="208"/>
      <c r="AHG6" s="208"/>
      <c r="AHH6" s="208"/>
      <c r="AHI6" s="208"/>
      <c r="AHJ6" s="208"/>
      <c r="AHK6" s="208"/>
      <c r="AHL6" s="208"/>
      <c r="AHM6" s="208"/>
      <c r="AHN6" s="208"/>
      <c r="AHO6" s="208"/>
      <c r="AHP6" s="208"/>
      <c r="AHQ6" s="208"/>
      <c r="AHR6" s="208"/>
      <c r="AHS6" s="208"/>
      <c r="AHT6" s="208"/>
      <c r="AHU6" s="208"/>
      <c r="AHV6" s="208"/>
      <c r="AHW6" s="208"/>
      <c r="AHX6" s="208"/>
      <c r="AHY6" s="208"/>
      <c r="AHZ6" s="208"/>
      <c r="AIA6" s="208"/>
      <c r="AIB6" s="208"/>
      <c r="AIC6" s="208"/>
      <c r="AID6" s="208"/>
      <c r="AIE6" s="208"/>
      <c r="AIF6" s="208"/>
      <c r="AIG6" s="208"/>
      <c r="AIH6" s="208"/>
      <c r="AII6" s="208"/>
      <c r="AIJ6" s="208"/>
      <c r="AIK6" s="208"/>
      <c r="AIL6" s="208"/>
      <c r="AIM6" s="208"/>
      <c r="AIN6" s="208"/>
      <c r="AIO6" s="208"/>
      <c r="AIP6" s="208"/>
      <c r="AIQ6" s="208"/>
      <c r="AIR6" s="208"/>
      <c r="AIS6" s="208"/>
      <c r="AIT6" s="208"/>
      <c r="AIU6" s="208"/>
      <c r="AIV6" s="208"/>
      <c r="AIW6" s="208"/>
      <c r="AIX6" s="208"/>
      <c r="AIY6" s="208"/>
      <c r="AIZ6" s="208"/>
      <c r="AJA6" s="208"/>
      <c r="AJB6" s="208"/>
      <c r="AJC6" s="208"/>
      <c r="AJD6" s="208"/>
      <c r="AJE6" s="208"/>
      <c r="AJF6" s="208"/>
      <c r="AJG6" s="208"/>
      <c r="AJH6" s="208"/>
      <c r="AJI6" s="208"/>
      <c r="AJJ6" s="208"/>
      <c r="AJK6" s="208"/>
      <c r="AJL6" s="208"/>
      <c r="AJM6" s="208"/>
      <c r="AJN6" s="208"/>
      <c r="AJO6" s="208"/>
      <c r="AJP6" s="208"/>
      <c r="AJQ6" s="208"/>
      <c r="AJR6" s="208"/>
      <c r="AJS6" s="208"/>
      <c r="AJT6" s="208"/>
      <c r="AJU6" s="208"/>
      <c r="AJV6" s="208"/>
      <c r="AJW6" s="208"/>
      <c r="AJX6" s="208"/>
      <c r="AJY6" s="208"/>
      <c r="AJZ6" s="208"/>
      <c r="AKA6" s="208"/>
      <c r="AKB6" s="208"/>
      <c r="AKC6" s="208"/>
      <c r="AKD6" s="208"/>
      <c r="AKE6" s="208"/>
      <c r="AKF6" s="208"/>
      <c r="AKG6" s="208"/>
      <c r="AKH6" s="208"/>
      <c r="AKI6" s="208"/>
      <c r="AKJ6" s="208"/>
      <c r="AKK6" s="208"/>
      <c r="AKL6" s="208"/>
      <c r="AKM6" s="208"/>
      <c r="AKN6" s="208"/>
      <c r="AKO6" s="208"/>
      <c r="AKP6" s="208"/>
      <c r="AKQ6" s="208"/>
      <c r="AKR6" s="208"/>
      <c r="AKS6" s="208"/>
      <c r="AKT6" s="208"/>
      <c r="AKU6" s="208"/>
      <c r="AKV6" s="208"/>
      <c r="AKW6" s="208"/>
      <c r="AKX6" s="208"/>
      <c r="AKY6" s="208"/>
      <c r="AKZ6" s="208"/>
      <c r="ALA6" s="208"/>
      <c r="ALB6" s="208"/>
      <c r="ALC6" s="208"/>
      <c r="ALD6" s="208"/>
      <c r="ALE6" s="208"/>
      <c r="ALF6" s="208"/>
      <c r="ALG6" s="208"/>
      <c r="ALH6" s="208"/>
      <c r="ALI6" s="208"/>
      <c r="ALJ6" s="208"/>
      <c r="ALK6" s="208"/>
      <c r="ALL6" s="208"/>
      <c r="ALM6" s="208"/>
      <c r="ALN6" s="208"/>
      <c r="ALO6" s="208"/>
      <c r="ALP6" s="208"/>
      <c r="ALQ6" s="208"/>
      <c r="ALR6" s="208"/>
      <c r="ALS6" s="208"/>
      <c r="ALT6" s="208"/>
      <c r="ALU6" s="208"/>
      <c r="ALV6" s="208"/>
      <c r="ALW6" s="208"/>
      <c r="ALX6" s="208"/>
      <c r="ALY6" s="208"/>
      <c r="ALZ6" s="208"/>
      <c r="AMA6" s="208"/>
      <c r="AMB6" s="208"/>
      <c r="AMC6" s="208"/>
      <c r="AMD6" s="208"/>
      <c r="AME6" s="208"/>
      <c r="AMF6" s="208"/>
      <c r="AMG6" s="208"/>
      <c r="AMH6" s="208"/>
      <c r="AMI6" s="208"/>
      <c r="AMJ6" s="208"/>
      <c r="AMK6" s="208"/>
      <c r="AML6" s="208"/>
      <c r="AMM6" s="208"/>
      <c r="AMN6" s="208"/>
      <c r="AMO6" s="208"/>
      <c r="AMP6" s="208"/>
      <c r="AMQ6" s="208"/>
      <c r="AMR6" s="208"/>
      <c r="AMS6" s="208"/>
      <c r="AMT6" s="208"/>
      <c r="AMU6" s="208"/>
      <c r="AMV6" s="208"/>
      <c r="AMW6" s="208"/>
      <c r="AMX6" s="208"/>
      <c r="AMY6" s="208"/>
      <c r="AMZ6" s="208"/>
      <c r="ANA6" s="208"/>
      <c r="ANB6" s="208"/>
      <c r="ANC6" s="208"/>
      <c r="AND6" s="208"/>
      <c r="ANE6" s="208"/>
      <c r="ANF6" s="208"/>
      <c r="ANG6" s="208"/>
      <c r="ANH6" s="208"/>
      <c r="ANI6" s="208"/>
      <c r="ANJ6" s="208"/>
      <c r="ANK6" s="208"/>
      <c r="ANL6" s="208"/>
      <c r="ANM6" s="208"/>
      <c r="ANN6" s="208"/>
      <c r="ANO6" s="208"/>
      <c r="ANP6" s="208"/>
      <c r="ANQ6" s="208"/>
      <c r="ANR6" s="208"/>
      <c r="ANS6" s="208"/>
      <c r="ANT6" s="208"/>
      <c r="ANU6" s="208"/>
      <c r="ANV6" s="208"/>
      <c r="ANW6" s="208"/>
      <c r="ANX6" s="208"/>
      <c r="ANY6" s="208"/>
      <c r="ANZ6" s="208"/>
      <c r="AOA6" s="208"/>
      <c r="AOB6" s="208"/>
      <c r="AOC6" s="208"/>
      <c r="AOD6" s="208"/>
      <c r="AOE6" s="208"/>
      <c r="AOF6" s="208"/>
      <c r="AOG6" s="208"/>
    </row>
    <row r="7" spans="1:1073" s="544" customFormat="1" ht="46.5" customHeight="1">
      <c r="A7" s="2127"/>
      <c r="B7" s="605" t="str">
        <f>Dictionary!B556</f>
        <v>Nr.</v>
      </c>
      <c r="C7" s="605" t="str">
        <f>Dictionary!B557</f>
        <v>Projektname</v>
      </c>
      <c r="D7" s="605" t="str">
        <f>Dictionary!B558&amp;"*"</f>
        <v>Kategorie / PM Domäne*</v>
      </c>
      <c r="E7" s="605" t="str">
        <f>Dictionary!B559</f>
        <v>Start in PM Rolle</v>
      </c>
      <c r="F7" s="605" t="str">
        <f>Dictionary!B560</f>
        <v>Ende in PM Rolle</v>
      </c>
      <c r="G7" s="605" t="str">
        <f>Dictionary!B561</f>
        <v>Anrechenbare Dauer (im Betrachtungszeitr.) [Monate]</v>
      </c>
      <c r="H7" s="605" t="str">
        <f>Dictionary!B562&amp;"**"</f>
        <v>Rolle**</v>
      </c>
      <c r="I7" s="605" t="str">
        <f>Dictionary!B563</f>
        <v>Anteil an Auslastung [%]</v>
      </c>
      <c r="J7" s="605" t="str">
        <f>IF(RE_CERT="",Dictionary!B564,Dictionary!B565)</f>
        <v>ESR-Indikator</v>
      </c>
      <c r="K7" s="1324" t="s">
        <v>2844</v>
      </c>
      <c r="L7" s="554"/>
      <c r="M7" s="173"/>
      <c r="N7" s="173"/>
      <c r="O7" s="211"/>
      <c r="P7" s="211"/>
      <c r="Q7" s="212"/>
      <c r="R7" s="578"/>
      <c r="S7" s="208"/>
      <c r="T7" s="222" t="str">
        <f>COV!E12</f>
        <v/>
      </c>
      <c r="U7" s="222" t="e">
        <f>T7+(365.24/12)</f>
        <v>#VALUE!</v>
      </c>
      <c r="V7" s="222" t="e">
        <f t="shared" ref="V7:CG7" si="8">IF(U7&lt;CERT_DATE_ENTRY,U7+(365.24/12),"")</f>
        <v>#VALUE!</v>
      </c>
      <c r="W7" s="222" t="e">
        <f t="shared" si="8"/>
        <v>#VALUE!</v>
      </c>
      <c r="X7" s="222" t="e">
        <f t="shared" si="8"/>
        <v>#VALUE!</v>
      </c>
      <c r="Y7" s="222" t="e">
        <f t="shared" si="8"/>
        <v>#VALUE!</v>
      </c>
      <c r="Z7" s="222" t="e">
        <f t="shared" si="8"/>
        <v>#VALUE!</v>
      </c>
      <c r="AA7" s="222" t="e">
        <f t="shared" si="8"/>
        <v>#VALUE!</v>
      </c>
      <c r="AB7" s="222" t="e">
        <f t="shared" si="8"/>
        <v>#VALUE!</v>
      </c>
      <c r="AC7" s="222" t="e">
        <f t="shared" si="8"/>
        <v>#VALUE!</v>
      </c>
      <c r="AD7" s="222" t="e">
        <f t="shared" si="8"/>
        <v>#VALUE!</v>
      </c>
      <c r="AE7" s="222" t="e">
        <f t="shared" si="8"/>
        <v>#VALUE!</v>
      </c>
      <c r="AF7" s="222" t="e">
        <f t="shared" si="8"/>
        <v>#VALUE!</v>
      </c>
      <c r="AG7" s="222" t="e">
        <f t="shared" si="8"/>
        <v>#VALUE!</v>
      </c>
      <c r="AH7" s="222" t="e">
        <f t="shared" si="8"/>
        <v>#VALUE!</v>
      </c>
      <c r="AI7" s="222" t="e">
        <f t="shared" si="8"/>
        <v>#VALUE!</v>
      </c>
      <c r="AJ7" s="222" t="e">
        <f t="shared" si="8"/>
        <v>#VALUE!</v>
      </c>
      <c r="AK7" s="222" t="e">
        <f t="shared" si="8"/>
        <v>#VALUE!</v>
      </c>
      <c r="AL7" s="222" t="e">
        <f t="shared" si="8"/>
        <v>#VALUE!</v>
      </c>
      <c r="AM7" s="222" t="e">
        <f t="shared" si="8"/>
        <v>#VALUE!</v>
      </c>
      <c r="AN7" s="222" t="e">
        <f t="shared" si="8"/>
        <v>#VALUE!</v>
      </c>
      <c r="AO7" s="222" t="e">
        <f t="shared" si="8"/>
        <v>#VALUE!</v>
      </c>
      <c r="AP7" s="222" t="e">
        <f t="shared" si="8"/>
        <v>#VALUE!</v>
      </c>
      <c r="AQ7" s="222" t="e">
        <f t="shared" si="8"/>
        <v>#VALUE!</v>
      </c>
      <c r="AR7" s="222" t="e">
        <f t="shared" si="8"/>
        <v>#VALUE!</v>
      </c>
      <c r="AS7" s="222" t="e">
        <f t="shared" si="8"/>
        <v>#VALUE!</v>
      </c>
      <c r="AT7" s="222" t="e">
        <f t="shared" si="8"/>
        <v>#VALUE!</v>
      </c>
      <c r="AU7" s="222" t="e">
        <f t="shared" si="8"/>
        <v>#VALUE!</v>
      </c>
      <c r="AV7" s="222" t="e">
        <f t="shared" si="8"/>
        <v>#VALUE!</v>
      </c>
      <c r="AW7" s="222" t="e">
        <f t="shared" si="8"/>
        <v>#VALUE!</v>
      </c>
      <c r="AX7" s="222" t="e">
        <f t="shared" si="8"/>
        <v>#VALUE!</v>
      </c>
      <c r="AY7" s="222" t="e">
        <f t="shared" si="8"/>
        <v>#VALUE!</v>
      </c>
      <c r="AZ7" s="222" t="e">
        <f t="shared" si="8"/>
        <v>#VALUE!</v>
      </c>
      <c r="BA7" s="222" t="e">
        <f t="shared" si="8"/>
        <v>#VALUE!</v>
      </c>
      <c r="BB7" s="222" t="e">
        <f t="shared" si="8"/>
        <v>#VALUE!</v>
      </c>
      <c r="BC7" s="222" t="e">
        <f t="shared" si="8"/>
        <v>#VALUE!</v>
      </c>
      <c r="BD7" s="222" t="e">
        <f t="shared" si="8"/>
        <v>#VALUE!</v>
      </c>
      <c r="BE7" s="222" t="e">
        <f t="shared" si="8"/>
        <v>#VALUE!</v>
      </c>
      <c r="BF7" s="222" t="e">
        <f t="shared" si="8"/>
        <v>#VALUE!</v>
      </c>
      <c r="BG7" s="222" t="e">
        <f t="shared" si="8"/>
        <v>#VALUE!</v>
      </c>
      <c r="BH7" s="222" t="e">
        <f t="shared" si="8"/>
        <v>#VALUE!</v>
      </c>
      <c r="BI7" s="222" t="e">
        <f t="shared" si="8"/>
        <v>#VALUE!</v>
      </c>
      <c r="BJ7" s="222" t="e">
        <f t="shared" si="8"/>
        <v>#VALUE!</v>
      </c>
      <c r="BK7" s="222" t="e">
        <f t="shared" si="8"/>
        <v>#VALUE!</v>
      </c>
      <c r="BL7" s="222" t="e">
        <f t="shared" si="8"/>
        <v>#VALUE!</v>
      </c>
      <c r="BM7" s="222" t="e">
        <f t="shared" si="8"/>
        <v>#VALUE!</v>
      </c>
      <c r="BN7" s="222" t="e">
        <f t="shared" si="8"/>
        <v>#VALUE!</v>
      </c>
      <c r="BO7" s="222" t="e">
        <f t="shared" si="8"/>
        <v>#VALUE!</v>
      </c>
      <c r="BP7" s="222" t="e">
        <f t="shared" si="8"/>
        <v>#VALUE!</v>
      </c>
      <c r="BQ7" s="222" t="e">
        <f t="shared" si="8"/>
        <v>#VALUE!</v>
      </c>
      <c r="BR7" s="222" t="e">
        <f t="shared" si="8"/>
        <v>#VALUE!</v>
      </c>
      <c r="BS7" s="222" t="e">
        <f t="shared" si="8"/>
        <v>#VALUE!</v>
      </c>
      <c r="BT7" s="222" t="e">
        <f t="shared" si="8"/>
        <v>#VALUE!</v>
      </c>
      <c r="BU7" s="222" t="e">
        <f t="shared" si="8"/>
        <v>#VALUE!</v>
      </c>
      <c r="BV7" s="222" t="e">
        <f t="shared" si="8"/>
        <v>#VALUE!</v>
      </c>
      <c r="BW7" s="222" t="e">
        <f t="shared" si="8"/>
        <v>#VALUE!</v>
      </c>
      <c r="BX7" s="222" t="e">
        <f t="shared" si="8"/>
        <v>#VALUE!</v>
      </c>
      <c r="BY7" s="222" t="e">
        <f t="shared" si="8"/>
        <v>#VALUE!</v>
      </c>
      <c r="BZ7" s="222" t="e">
        <f t="shared" si="8"/>
        <v>#VALUE!</v>
      </c>
      <c r="CA7" s="222" t="e">
        <f t="shared" si="8"/>
        <v>#VALUE!</v>
      </c>
      <c r="CB7" s="222" t="e">
        <f t="shared" si="8"/>
        <v>#VALUE!</v>
      </c>
      <c r="CC7" s="222" t="e">
        <f t="shared" si="8"/>
        <v>#VALUE!</v>
      </c>
      <c r="CD7" s="222" t="e">
        <f t="shared" si="8"/>
        <v>#VALUE!</v>
      </c>
      <c r="CE7" s="222" t="e">
        <f t="shared" si="8"/>
        <v>#VALUE!</v>
      </c>
      <c r="CF7" s="222" t="e">
        <f t="shared" si="8"/>
        <v>#VALUE!</v>
      </c>
      <c r="CG7" s="222" t="e">
        <f t="shared" si="8"/>
        <v>#VALUE!</v>
      </c>
      <c r="CH7" s="222" t="e">
        <f t="shared" ref="CH7:ES7" si="9">IF(CG7&lt;CERT_DATE_ENTRY,CG7+(365.24/12),"")</f>
        <v>#VALUE!</v>
      </c>
      <c r="CI7" s="222" t="e">
        <f t="shared" si="9"/>
        <v>#VALUE!</v>
      </c>
      <c r="CJ7" s="222" t="e">
        <f t="shared" si="9"/>
        <v>#VALUE!</v>
      </c>
      <c r="CK7" s="222" t="e">
        <f t="shared" si="9"/>
        <v>#VALUE!</v>
      </c>
      <c r="CL7" s="222" t="e">
        <f t="shared" si="9"/>
        <v>#VALUE!</v>
      </c>
      <c r="CM7" s="222" t="e">
        <f t="shared" si="9"/>
        <v>#VALUE!</v>
      </c>
      <c r="CN7" s="222" t="e">
        <f t="shared" si="9"/>
        <v>#VALUE!</v>
      </c>
      <c r="CO7" s="222" t="e">
        <f t="shared" si="9"/>
        <v>#VALUE!</v>
      </c>
      <c r="CP7" s="222" t="e">
        <f t="shared" si="9"/>
        <v>#VALUE!</v>
      </c>
      <c r="CQ7" s="222" t="e">
        <f t="shared" si="9"/>
        <v>#VALUE!</v>
      </c>
      <c r="CR7" s="222" t="e">
        <f t="shared" si="9"/>
        <v>#VALUE!</v>
      </c>
      <c r="CS7" s="222" t="e">
        <f t="shared" si="9"/>
        <v>#VALUE!</v>
      </c>
      <c r="CT7" s="222" t="e">
        <f t="shared" si="9"/>
        <v>#VALUE!</v>
      </c>
      <c r="CU7" s="222" t="e">
        <f t="shared" si="9"/>
        <v>#VALUE!</v>
      </c>
      <c r="CV7" s="222" t="e">
        <f t="shared" si="9"/>
        <v>#VALUE!</v>
      </c>
      <c r="CW7" s="222" t="e">
        <f t="shared" si="9"/>
        <v>#VALUE!</v>
      </c>
      <c r="CX7" s="222" t="e">
        <f t="shared" si="9"/>
        <v>#VALUE!</v>
      </c>
      <c r="CY7" s="222" t="e">
        <f t="shared" si="9"/>
        <v>#VALUE!</v>
      </c>
      <c r="CZ7" s="222" t="e">
        <f t="shared" si="9"/>
        <v>#VALUE!</v>
      </c>
      <c r="DA7" s="222" t="e">
        <f t="shared" si="9"/>
        <v>#VALUE!</v>
      </c>
      <c r="DB7" s="222" t="e">
        <f t="shared" si="9"/>
        <v>#VALUE!</v>
      </c>
      <c r="DC7" s="222" t="e">
        <f t="shared" si="9"/>
        <v>#VALUE!</v>
      </c>
      <c r="DD7" s="222" t="e">
        <f t="shared" si="9"/>
        <v>#VALUE!</v>
      </c>
      <c r="DE7" s="222" t="e">
        <f t="shared" si="9"/>
        <v>#VALUE!</v>
      </c>
      <c r="DF7" s="222" t="e">
        <f t="shared" si="9"/>
        <v>#VALUE!</v>
      </c>
      <c r="DG7" s="222" t="e">
        <f t="shared" si="9"/>
        <v>#VALUE!</v>
      </c>
      <c r="DH7" s="222" t="e">
        <f t="shared" si="9"/>
        <v>#VALUE!</v>
      </c>
      <c r="DI7" s="222" t="e">
        <f t="shared" si="9"/>
        <v>#VALUE!</v>
      </c>
      <c r="DJ7" s="222" t="e">
        <f t="shared" si="9"/>
        <v>#VALUE!</v>
      </c>
      <c r="DK7" s="222" t="e">
        <f t="shared" si="9"/>
        <v>#VALUE!</v>
      </c>
      <c r="DL7" s="222" t="e">
        <f t="shared" si="9"/>
        <v>#VALUE!</v>
      </c>
      <c r="DM7" s="222" t="e">
        <f t="shared" si="9"/>
        <v>#VALUE!</v>
      </c>
      <c r="DN7" s="222" t="e">
        <f t="shared" si="9"/>
        <v>#VALUE!</v>
      </c>
      <c r="DO7" s="222" t="e">
        <f t="shared" si="9"/>
        <v>#VALUE!</v>
      </c>
      <c r="DP7" s="222" t="e">
        <f t="shared" si="9"/>
        <v>#VALUE!</v>
      </c>
      <c r="DQ7" s="222" t="e">
        <f t="shared" si="9"/>
        <v>#VALUE!</v>
      </c>
      <c r="DR7" s="222" t="e">
        <f t="shared" si="9"/>
        <v>#VALUE!</v>
      </c>
      <c r="DS7" s="222" t="e">
        <f t="shared" si="9"/>
        <v>#VALUE!</v>
      </c>
      <c r="DT7" s="222" t="e">
        <f t="shared" si="9"/>
        <v>#VALUE!</v>
      </c>
      <c r="DU7" s="222" t="e">
        <f t="shared" si="9"/>
        <v>#VALUE!</v>
      </c>
      <c r="DV7" s="222" t="e">
        <f t="shared" si="9"/>
        <v>#VALUE!</v>
      </c>
      <c r="DW7" s="222" t="e">
        <f t="shared" si="9"/>
        <v>#VALUE!</v>
      </c>
      <c r="DX7" s="222" t="e">
        <f t="shared" si="9"/>
        <v>#VALUE!</v>
      </c>
      <c r="DY7" s="222" t="e">
        <f t="shared" si="9"/>
        <v>#VALUE!</v>
      </c>
      <c r="DZ7" s="222" t="e">
        <f t="shared" si="9"/>
        <v>#VALUE!</v>
      </c>
      <c r="EA7" s="222" t="e">
        <f t="shared" si="9"/>
        <v>#VALUE!</v>
      </c>
      <c r="EB7" s="222" t="e">
        <f t="shared" si="9"/>
        <v>#VALUE!</v>
      </c>
      <c r="EC7" s="222" t="e">
        <f t="shared" si="9"/>
        <v>#VALUE!</v>
      </c>
      <c r="ED7" s="222" t="e">
        <f t="shared" si="9"/>
        <v>#VALUE!</v>
      </c>
      <c r="EE7" s="222" t="e">
        <f t="shared" si="9"/>
        <v>#VALUE!</v>
      </c>
      <c r="EF7" s="222" t="e">
        <f t="shared" si="9"/>
        <v>#VALUE!</v>
      </c>
      <c r="EG7" s="222" t="e">
        <f t="shared" si="9"/>
        <v>#VALUE!</v>
      </c>
      <c r="EH7" s="222" t="e">
        <f t="shared" si="9"/>
        <v>#VALUE!</v>
      </c>
      <c r="EI7" s="222" t="e">
        <f t="shared" si="9"/>
        <v>#VALUE!</v>
      </c>
      <c r="EJ7" s="222" t="e">
        <f t="shared" si="9"/>
        <v>#VALUE!</v>
      </c>
      <c r="EK7" s="222" t="e">
        <f t="shared" si="9"/>
        <v>#VALUE!</v>
      </c>
      <c r="EL7" s="222" t="e">
        <f t="shared" si="9"/>
        <v>#VALUE!</v>
      </c>
      <c r="EM7" s="222" t="e">
        <f t="shared" si="9"/>
        <v>#VALUE!</v>
      </c>
      <c r="EN7" s="222" t="e">
        <f t="shared" si="9"/>
        <v>#VALUE!</v>
      </c>
      <c r="EO7" s="222" t="e">
        <f t="shared" si="9"/>
        <v>#VALUE!</v>
      </c>
      <c r="EP7" s="222" t="e">
        <f t="shared" si="9"/>
        <v>#VALUE!</v>
      </c>
      <c r="EQ7" s="222" t="e">
        <f t="shared" si="9"/>
        <v>#VALUE!</v>
      </c>
      <c r="ER7" s="222" t="e">
        <f t="shared" si="9"/>
        <v>#VALUE!</v>
      </c>
      <c r="ES7" s="222" t="e">
        <f t="shared" si="9"/>
        <v>#VALUE!</v>
      </c>
      <c r="ET7" s="222" t="e">
        <f t="shared" ref="ET7:HE7" si="10">IF(ES7&lt;CERT_DATE_ENTRY,ES7+(365.24/12),"")</f>
        <v>#VALUE!</v>
      </c>
      <c r="EU7" s="222" t="e">
        <f t="shared" si="10"/>
        <v>#VALUE!</v>
      </c>
      <c r="EV7" s="222" t="e">
        <f t="shared" si="10"/>
        <v>#VALUE!</v>
      </c>
      <c r="EW7" s="222" t="e">
        <f t="shared" si="10"/>
        <v>#VALUE!</v>
      </c>
      <c r="EX7" s="222" t="e">
        <f t="shared" si="10"/>
        <v>#VALUE!</v>
      </c>
      <c r="EY7" s="222" t="e">
        <f t="shared" si="10"/>
        <v>#VALUE!</v>
      </c>
      <c r="EZ7" s="222" t="e">
        <f t="shared" si="10"/>
        <v>#VALUE!</v>
      </c>
      <c r="FA7" s="222" t="e">
        <f t="shared" si="10"/>
        <v>#VALUE!</v>
      </c>
      <c r="FB7" s="222" t="e">
        <f t="shared" si="10"/>
        <v>#VALUE!</v>
      </c>
      <c r="FC7" s="222" t="e">
        <f t="shared" si="10"/>
        <v>#VALUE!</v>
      </c>
      <c r="FD7" s="222" t="e">
        <f t="shared" si="10"/>
        <v>#VALUE!</v>
      </c>
      <c r="FE7" s="222" t="e">
        <f t="shared" si="10"/>
        <v>#VALUE!</v>
      </c>
      <c r="FF7" s="222" t="e">
        <f t="shared" si="10"/>
        <v>#VALUE!</v>
      </c>
      <c r="FG7" s="222" t="e">
        <f t="shared" si="10"/>
        <v>#VALUE!</v>
      </c>
      <c r="FH7" s="222" t="e">
        <f t="shared" si="10"/>
        <v>#VALUE!</v>
      </c>
      <c r="FI7" s="222" t="e">
        <f t="shared" si="10"/>
        <v>#VALUE!</v>
      </c>
      <c r="FJ7" s="222" t="e">
        <f t="shared" si="10"/>
        <v>#VALUE!</v>
      </c>
      <c r="FK7" s="222" t="e">
        <f t="shared" si="10"/>
        <v>#VALUE!</v>
      </c>
      <c r="FL7" s="222" t="e">
        <f t="shared" si="10"/>
        <v>#VALUE!</v>
      </c>
      <c r="FM7" s="222" t="e">
        <f t="shared" si="10"/>
        <v>#VALUE!</v>
      </c>
      <c r="FN7" s="222" t="e">
        <f t="shared" si="10"/>
        <v>#VALUE!</v>
      </c>
      <c r="FO7" s="222" t="e">
        <f t="shared" si="10"/>
        <v>#VALUE!</v>
      </c>
      <c r="FP7" s="222" t="e">
        <f t="shared" si="10"/>
        <v>#VALUE!</v>
      </c>
      <c r="FQ7" s="222" t="e">
        <f t="shared" si="10"/>
        <v>#VALUE!</v>
      </c>
      <c r="FR7" s="222" t="e">
        <f t="shared" si="10"/>
        <v>#VALUE!</v>
      </c>
      <c r="FS7" s="222" t="e">
        <f t="shared" si="10"/>
        <v>#VALUE!</v>
      </c>
      <c r="FT7" s="222" t="e">
        <f t="shared" si="10"/>
        <v>#VALUE!</v>
      </c>
      <c r="FU7" s="222" t="e">
        <f t="shared" si="10"/>
        <v>#VALUE!</v>
      </c>
      <c r="FV7" s="222" t="e">
        <f t="shared" si="10"/>
        <v>#VALUE!</v>
      </c>
      <c r="FW7" s="222" t="e">
        <f t="shared" si="10"/>
        <v>#VALUE!</v>
      </c>
      <c r="FX7" s="222" t="e">
        <f t="shared" si="10"/>
        <v>#VALUE!</v>
      </c>
      <c r="FY7" s="222" t="e">
        <f t="shared" si="10"/>
        <v>#VALUE!</v>
      </c>
      <c r="FZ7" s="222" t="e">
        <f t="shared" si="10"/>
        <v>#VALUE!</v>
      </c>
      <c r="GA7" s="222" t="e">
        <f t="shared" si="10"/>
        <v>#VALUE!</v>
      </c>
      <c r="GB7" s="222" t="e">
        <f t="shared" si="10"/>
        <v>#VALUE!</v>
      </c>
      <c r="GC7" s="222" t="e">
        <f t="shared" si="10"/>
        <v>#VALUE!</v>
      </c>
      <c r="GD7" s="222" t="e">
        <f t="shared" si="10"/>
        <v>#VALUE!</v>
      </c>
      <c r="GE7" s="222" t="e">
        <f t="shared" si="10"/>
        <v>#VALUE!</v>
      </c>
      <c r="GF7" s="222" t="e">
        <f t="shared" si="10"/>
        <v>#VALUE!</v>
      </c>
      <c r="GG7" s="222" t="e">
        <f t="shared" si="10"/>
        <v>#VALUE!</v>
      </c>
      <c r="GH7" s="222" t="e">
        <f t="shared" si="10"/>
        <v>#VALUE!</v>
      </c>
      <c r="GI7" s="222" t="e">
        <f t="shared" si="10"/>
        <v>#VALUE!</v>
      </c>
      <c r="GJ7" s="222" t="e">
        <f t="shared" si="10"/>
        <v>#VALUE!</v>
      </c>
      <c r="GK7" s="222" t="e">
        <f t="shared" si="10"/>
        <v>#VALUE!</v>
      </c>
      <c r="GL7" s="222" t="e">
        <f t="shared" si="10"/>
        <v>#VALUE!</v>
      </c>
      <c r="GM7" s="222" t="e">
        <f t="shared" si="10"/>
        <v>#VALUE!</v>
      </c>
      <c r="GN7" s="222" t="e">
        <f t="shared" si="10"/>
        <v>#VALUE!</v>
      </c>
      <c r="GO7" s="222" t="e">
        <f t="shared" si="10"/>
        <v>#VALUE!</v>
      </c>
      <c r="GP7" s="222" t="e">
        <f t="shared" si="10"/>
        <v>#VALUE!</v>
      </c>
      <c r="GQ7" s="222" t="e">
        <f t="shared" si="10"/>
        <v>#VALUE!</v>
      </c>
      <c r="GR7" s="222" t="e">
        <f t="shared" si="10"/>
        <v>#VALUE!</v>
      </c>
      <c r="GS7" s="222" t="e">
        <f t="shared" si="10"/>
        <v>#VALUE!</v>
      </c>
      <c r="GT7" s="222" t="e">
        <f t="shared" si="10"/>
        <v>#VALUE!</v>
      </c>
      <c r="GU7" s="222" t="e">
        <f t="shared" si="10"/>
        <v>#VALUE!</v>
      </c>
      <c r="GV7" s="222" t="e">
        <f t="shared" si="10"/>
        <v>#VALUE!</v>
      </c>
      <c r="GW7" s="222" t="e">
        <f t="shared" si="10"/>
        <v>#VALUE!</v>
      </c>
      <c r="GX7" s="222" t="e">
        <f t="shared" si="10"/>
        <v>#VALUE!</v>
      </c>
      <c r="GY7" s="222" t="e">
        <f t="shared" si="10"/>
        <v>#VALUE!</v>
      </c>
      <c r="GZ7" s="222" t="e">
        <f t="shared" si="10"/>
        <v>#VALUE!</v>
      </c>
      <c r="HA7" s="222" t="e">
        <f t="shared" si="10"/>
        <v>#VALUE!</v>
      </c>
      <c r="HB7" s="222" t="e">
        <f t="shared" si="10"/>
        <v>#VALUE!</v>
      </c>
      <c r="HC7" s="222" t="e">
        <f t="shared" si="10"/>
        <v>#VALUE!</v>
      </c>
      <c r="HD7" s="222" t="e">
        <f t="shared" si="10"/>
        <v>#VALUE!</v>
      </c>
      <c r="HE7" s="222" t="e">
        <f t="shared" si="10"/>
        <v>#VALUE!</v>
      </c>
      <c r="HF7" s="222" t="e">
        <f t="shared" ref="HF7:JJ7" si="11">IF(HE7&lt;CERT_DATE_ENTRY,HE7+(365.24/12),"")</f>
        <v>#VALUE!</v>
      </c>
      <c r="HG7" s="222" t="e">
        <f t="shared" si="11"/>
        <v>#VALUE!</v>
      </c>
      <c r="HH7" s="222" t="e">
        <f t="shared" si="11"/>
        <v>#VALUE!</v>
      </c>
      <c r="HI7" s="222" t="e">
        <f t="shared" si="11"/>
        <v>#VALUE!</v>
      </c>
      <c r="HJ7" s="222" t="e">
        <f t="shared" si="11"/>
        <v>#VALUE!</v>
      </c>
      <c r="HK7" s="222" t="e">
        <f t="shared" si="11"/>
        <v>#VALUE!</v>
      </c>
      <c r="HL7" s="222" t="e">
        <f t="shared" si="11"/>
        <v>#VALUE!</v>
      </c>
      <c r="HM7" s="222" t="e">
        <f t="shared" si="11"/>
        <v>#VALUE!</v>
      </c>
      <c r="HN7" s="222" t="e">
        <f t="shared" si="11"/>
        <v>#VALUE!</v>
      </c>
      <c r="HO7" s="222" t="e">
        <f t="shared" si="11"/>
        <v>#VALUE!</v>
      </c>
      <c r="HP7" s="222" t="e">
        <f t="shared" si="11"/>
        <v>#VALUE!</v>
      </c>
      <c r="HQ7" s="222" t="e">
        <f t="shared" si="11"/>
        <v>#VALUE!</v>
      </c>
      <c r="HR7" s="222" t="e">
        <f t="shared" si="11"/>
        <v>#VALUE!</v>
      </c>
      <c r="HS7" s="222" t="e">
        <f t="shared" si="11"/>
        <v>#VALUE!</v>
      </c>
      <c r="HT7" s="222" t="e">
        <f t="shared" si="11"/>
        <v>#VALUE!</v>
      </c>
      <c r="HU7" s="222" t="e">
        <f t="shared" si="11"/>
        <v>#VALUE!</v>
      </c>
      <c r="HV7" s="222" t="e">
        <f t="shared" si="11"/>
        <v>#VALUE!</v>
      </c>
      <c r="HW7" s="222" t="e">
        <f t="shared" si="11"/>
        <v>#VALUE!</v>
      </c>
      <c r="HX7" s="222" t="e">
        <f t="shared" si="11"/>
        <v>#VALUE!</v>
      </c>
      <c r="HY7" s="222" t="e">
        <f t="shared" si="11"/>
        <v>#VALUE!</v>
      </c>
      <c r="HZ7" s="222" t="e">
        <f t="shared" si="11"/>
        <v>#VALUE!</v>
      </c>
      <c r="IA7" s="222" t="e">
        <f t="shared" si="11"/>
        <v>#VALUE!</v>
      </c>
      <c r="IB7" s="222" t="e">
        <f t="shared" si="11"/>
        <v>#VALUE!</v>
      </c>
      <c r="IC7" s="222" t="e">
        <f t="shared" si="11"/>
        <v>#VALUE!</v>
      </c>
      <c r="ID7" s="222" t="e">
        <f t="shared" si="11"/>
        <v>#VALUE!</v>
      </c>
      <c r="IE7" s="222" t="e">
        <f t="shared" si="11"/>
        <v>#VALUE!</v>
      </c>
      <c r="IF7" s="222" t="e">
        <f t="shared" si="11"/>
        <v>#VALUE!</v>
      </c>
      <c r="IG7" s="222" t="e">
        <f t="shared" si="11"/>
        <v>#VALUE!</v>
      </c>
      <c r="IH7" s="222" t="e">
        <f t="shared" si="11"/>
        <v>#VALUE!</v>
      </c>
      <c r="II7" s="222" t="e">
        <f t="shared" si="11"/>
        <v>#VALUE!</v>
      </c>
      <c r="IJ7" s="222" t="e">
        <f t="shared" si="11"/>
        <v>#VALUE!</v>
      </c>
      <c r="IK7" s="222" t="e">
        <f t="shared" si="11"/>
        <v>#VALUE!</v>
      </c>
      <c r="IL7" s="222" t="e">
        <f t="shared" si="11"/>
        <v>#VALUE!</v>
      </c>
      <c r="IM7" s="222" t="e">
        <f t="shared" si="11"/>
        <v>#VALUE!</v>
      </c>
      <c r="IN7" s="222" t="e">
        <f t="shared" si="11"/>
        <v>#VALUE!</v>
      </c>
      <c r="IO7" s="222" t="e">
        <f t="shared" si="11"/>
        <v>#VALUE!</v>
      </c>
      <c r="IP7" s="222" t="e">
        <f t="shared" si="11"/>
        <v>#VALUE!</v>
      </c>
      <c r="IQ7" s="222" t="e">
        <f t="shared" si="11"/>
        <v>#VALUE!</v>
      </c>
      <c r="IR7" s="222" t="e">
        <f t="shared" si="11"/>
        <v>#VALUE!</v>
      </c>
      <c r="IS7" s="222" t="e">
        <f t="shared" si="11"/>
        <v>#VALUE!</v>
      </c>
      <c r="IT7" s="222" t="e">
        <f t="shared" si="11"/>
        <v>#VALUE!</v>
      </c>
      <c r="IU7" s="222" t="e">
        <f t="shared" si="11"/>
        <v>#VALUE!</v>
      </c>
      <c r="IV7" s="222" t="e">
        <f t="shared" si="11"/>
        <v>#VALUE!</v>
      </c>
      <c r="IW7" s="222" t="e">
        <f t="shared" si="11"/>
        <v>#VALUE!</v>
      </c>
      <c r="IX7" s="222" t="e">
        <f t="shared" si="11"/>
        <v>#VALUE!</v>
      </c>
      <c r="IY7" s="222" t="e">
        <f t="shared" si="11"/>
        <v>#VALUE!</v>
      </c>
      <c r="IZ7" s="222" t="e">
        <f t="shared" si="11"/>
        <v>#VALUE!</v>
      </c>
      <c r="JA7" s="222" t="e">
        <f t="shared" si="11"/>
        <v>#VALUE!</v>
      </c>
      <c r="JB7" s="222" t="e">
        <f t="shared" si="11"/>
        <v>#VALUE!</v>
      </c>
      <c r="JC7" s="222" t="e">
        <f t="shared" si="11"/>
        <v>#VALUE!</v>
      </c>
      <c r="JD7" s="222" t="e">
        <f t="shared" si="11"/>
        <v>#VALUE!</v>
      </c>
      <c r="JE7" s="222" t="e">
        <f t="shared" si="11"/>
        <v>#VALUE!</v>
      </c>
      <c r="JF7" s="222" t="e">
        <f t="shared" si="11"/>
        <v>#VALUE!</v>
      </c>
      <c r="JG7" s="222" t="e">
        <f t="shared" si="11"/>
        <v>#VALUE!</v>
      </c>
      <c r="JH7" s="222" t="e">
        <f t="shared" si="11"/>
        <v>#VALUE!</v>
      </c>
      <c r="JI7" s="222" t="e">
        <f t="shared" si="11"/>
        <v>#VALUE!</v>
      </c>
      <c r="JJ7" s="222" t="e">
        <f t="shared" si="11"/>
        <v>#VALUE!</v>
      </c>
      <c r="JK7" s="208"/>
      <c r="JL7" s="208"/>
      <c r="JM7" s="208"/>
      <c r="JN7" s="208"/>
      <c r="JO7" s="208"/>
      <c r="JP7" s="208"/>
      <c r="JQ7" s="208"/>
      <c r="JR7" s="208"/>
      <c r="JS7" s="208"/>
      <c r="JT7" s="208"/>
      <c r="JU7" s="208"/>
      <c r="JV7" s="208"/>
      <c r="JW7" s="208"/>
      <c r="JX7" s="208"/>
      <c r="JY7" s="208"/>
      <c r="JZ7" s="208"/>
      <c r="KA7" s="208"/>
      <c r="KB7" s="208"/>
      <c r="KC7" s="208"/>
      <c r="KD7" s="208"/>
      <c r="KE7" s="208"/>
      <c r="KF7" s="208"/>
      <c r="KG7" s="208"/>
      <c r="KH7" s="208"/>
      <c r="KI7" s="208"/>
      <c r="KJ7" s="208"/>
      <c r="KK7" s="208"/>
      <c r="KL7" s="208"/>
      <c r="KM7" s="208"/>
      <c r="KN7" s="208"/>
      <c r="KO7" s="208"/>
      <c r="KP7" s="208"/>
      <c r="KQ7" s="208"/>
      <c r="KR7" s="208"/>
      <c r="KS7" s="208"/>
      <c r="KT7" s="208"/>
      <c r="KU7" s="208"/>
      <c r="KV7" s="208"/>
      <c r="KW7" s="208"/>
      <c r="KX7" s="208"/>
      <c r="KY7" s="208"/>
      <c r="KZ7" s="208"/>
      <c r="LA7" s="208"/>
      <c r="LB7" s="208"/>
      <c r="LC7" s="208"/>
      <c r="LD7" s="208"/>
      <c r="LE7" s="208"/>
      <c r="LF7" s="208"/>
      <c r="LG7" s="208"/>
      <c r="LH7" s="208"/>
      <c r="LI7" s="208"/>
      <c r="LJ7" s="208"/>
      <c r="LK7" s="208"/>
      <c r="LL7" s="208"/>
      <c r="LM7" s="208"/>
      <c r="LN7" s="208"/>
      <c r="LO7" s="208"/>
      <c r="LP7" s="208"/>
      <c r="LQ7" s="208"/>
      <c r="LR7" s="208"/>
      <c r="LS7" s="208"/>
      <c r="LT7" s="208"/>
      <c r="LU7" s="208"/>
      <c r="LV7" s="208"/>
      <c r="LW7" s="208"/>
      <c r="LX7" s="208"/>
      <c r="LY7" s="208"/>
      <c r="LZ7" s="208"/>
      <c r="MA7" s="208"/>
      <c r="MB7" s="208"/>
      <c r="MC7" s="208"/>
      <c r="MD7" s="208"/>
      <c r="ME7" s="208"/>
      <c r="MF7" s="208"/>
      <c r="MG7" s="208"/>
      <c r="MH7" s="208"/>
      <c r="MI7" s="208"/>
      <c r="MJ7" s="208"/>
      <c r="MK7" s="208"/>
      <c r="ML7" s="208"/>
      <c r="MM7" s="208"/>
      <c r="MN7" s="208"/>
      <c r="MO7" s="208"/>
      <c r="MP7" s="208"/>
      <c r="MQ7" s="208"/>
      <c r="MR7" s="208"/>
      <c r="MS7" s="208"/>
      <c r="MT7" s="208"/>
      <c r="MU7" s="208"/>
      <c r="MV7" s="208"/>
      <c r="MW7" s="208"/>
      <c r="MX7" s="208"/>
      <c r="MY7" s="208"/>
      <c r="MZ7" s="208"/>
      <c r="NA7" s="208"/>
      <c r="NB7" s="208"/>
      <c r="NC7" s="208"/>
      <c r="ND7" s="208"/>
      <c r="NE7" s="208"/>
      <c r="NF7" s="208"/>
      <c r="NG7" s="208"/>
      <c r="NH7" s="208"/>
      <c r="NI7" s="208"/>
      <c r="NJ7" s="208"/>
      <c r="NK7" s="208"/>
      <c r="NL7" s="208"/>
      <c r="NM7" s="208"/>
      <c r="NN7" s="208"/>
      <c r="NO7" s="208"/>
      <c r="NP7" s="208"/>
      <c r="NQ7" s="208"/>
      <c r="NR7" s="208"/>
      <c r="NS7" s="208"/>
      <c r="NT7" s="208"/>
      <c r="NU7" s="208"/>
      <c r="NV7" s="208"/>
      <c r="NW7" s="208"/>
      <c r="NX7" s="208"/>
      <c r="NY7" s="208"/>
      <c r="NZ7" s="208"/>
      <c r="OA7" s="208"/>
      <c r="OB7" s="208"/>
      <c r="OC7" s="208"/>
      <c r="OD7" s="208"/>
      <c r="OE7" s="208"/>
      <c r="OF7" s="208"/>
      <c r="OG7" s="208"/>
      <c r="OH7" s="208"/>
      <c r="OI7" s="208"/>
      <c r="OJ7" s="208"/>
      <c r="OK7" s="208"/>
      <c r="OL7" s="208"/>
      <c r="OM7" s="208"/>
      <c r="ON7" s="208"/>
      <c r="OO7" s="208"/>
      <c r="OP7" s="208"/>
      <c r="OQ7" s="208"/>
      <c r="OR7" s="208"/>
      <c r="OS7" s="208"/>
      <c r="OT7" s="208"/>
      <c r="OU7" s="208"/>
      <c r="OV7" s="208"/>
      <c r="OW7" s="208"/>
      <c r="OX7" s="208"/>
      <c r="OY7" s="208"/>
      <c r="OZ7" s="208"/>
      <c r="PA7" s="208"/>
      <c r="PB7" s="208"/>
      <c r="PC7" s="208"/>
      <c r="PD7" s="208"/>
      <c r="PE7" s="208"/>
      <c r="PF7" s="208"/>
      <c r="PG7" s="208"/>
      <c r="PH7" s="208"/>
      <c r="PI7" s="208"/>
      <c r="PJ7" s="208"/>
      <c r="PK7" s="208"/>
      <c r="PL7" s="208"/>
      <c r="PM7" s="208"/>
      <c r="PN7" s="208"/>
      <c r="PO7" s="208"/>
      <c r="PP7" s="208"/>
      <c r="PQ7" s="208"/>
      <c r="PR7" s="208"/>
      <c r="PS7" s="208"/>
      <c r="PT7" s="208"/>
      <c r="PU7" s="208"/>
      <c r="PV7" s="208"/>
      <c r="PW7" s="208"/>
      <c r="PX7" s="208"/>
      <c r="PY7" s="208"/>
      <c r="PZ7" s="208"/>
      <c r="QA7" s="208"/>
      <c r="QB7" s="208"/>
      <c r="QC7" s="208"/>
      <c r="QD7" s="208"/>
      <c r="QE7" s="208"/>
      <c r="QF7" s="208"/>
      <c r="QG7" s="208"/>
      <c r="QH7" s="208"/>
      <c r="QI7" s="208"/>
      <c r="QJ7" s="208"/>
      <c r="QK7" s="208"/>
      <c r="QL7" s="208"/>
      <c r="QM7" s="208"/>
      <c r="QN7" s="208"/>
      <c r="QO7" s="208"/>
      <c r="QP7" s="208"/>
      <c r="QQ7" s="208"/>
      <c r="QR7" s="208"/>
      <c r="QS7" s="208"/>
      <c r="QT7" s="208"/>
      <c r="QU7" s="208"/>
      <c r="QV7" s="208"/>
      <c r="QW7" s="208"/>
      <c r="QX7" s="208"/>
      <c r="QY7" s="208"/>
      <c r="QZ7" s="208"/>
      <c r="RA7" s="208"/>
      <c r="RB7" s="208"/>
      <c r="RC7" s="208"/>
      <c r="RD7" s="208"/>
      <c r="RE7" s="208"/>
      <c r="RF7" s="208"/>
      <c r="RG7" s="208"/>
      <c r="RH7" s="208"/>
      <c r="RI7" s="208"/>
      <c r="RJ7" s="208"/>
      <c r="RK7" s="208"/>
      <c r="RL7" s="208"/>
      <c r="RM7" s="208"/>
      <c r="RN7" s="208"/>
      <c r="RO7" s="208"/>
      <c r="RP7" s="208"/>
      <c r="RQ7" s="208"/>
      <c r="RR7" s="208"/>
      <c r="RS7" s="208"/>
      <c r="RT7" s="208"/>
      <c r="RU7" s="208"/>
      <c r="RV7" s="208"/>
      <c r="RW7" s="208"/>
      <c r="RX7" s="208"/>
      <c r="RY7" s="208"/>
      <c r="RZ7" s="208"/>
      <c r="SA7" s="208"/>
      <c r="SB7" s="208"/>
      <c r="SC7" s="208"/>
      <c r="SD7" s="208"/>
      <c r="SE7" s="208"/>
      <c r="SF7" s="208"/>
      <c r="SG7" s="208"/>
      <c r="SH7" s="208"/>
      <c r="SI7" s="208"/>
      <c r="SJ7" s="208"/>
      <c r="SK7" s="208"/>
      <c r="SL7" s="208"/>
      <c r="SM7" s="208"/>
      <c r="SN7" s="208"/>
      <c r="SO7" s="208"/>
      <c r="SP7" s="208"/>
      <c r="SQ7" s="208"/>
      <c r="SR7" s="208"/>
      <c r="SS7" s="208"/>
      <c r="ST7" s="208"/>
      <c r="SU7" s="208"/>
      <c r="SV7" s="208"/>
      <c r="SW7" s="208"/>
      <c r="SX7" s="208"/>
      <c r="SY7" s="208"/>
      <c r="SZ7" s="208"/>
      <c r="TA7" s="208"/>
      <c r="TB7" s="208"/>
      <c r="TC7" s="208"/>
      <c r="TD7" s="208"/>
      <c r="TE7" s="208"/>
      <c r="TF7" s="208"/>
      <c r="TG7" s="208"/>
      <c r="TH7" s="208"/>
      <c r="TI7" s="208"/>
      <c r="TJ7" s="208"/>
      <c r="TK7" s="208"/>
      <c r="TL7" s="208"/>
      <c r="TM7" s="208"/>
      <c r="TN7" s="208"/>
      <c r="TO7" s="208"/>
      <c r="TP7" s="208"/>
      <c r="TQ7" s="208"/>
      <c r="TR7" s="208"/>
      <c r="TS7" s="208"/>
      <c r="TT7" s="208"/>
      <c r="TU7" s="208"/>
      <c r="TV7" s="208"/>
      <c r="TW7" s="208"/>
      <c r="TX7" s="208"/>
      <c r="TY7" s="208"/>
      <c r="TZ7" s="208"/>
      <c r="UA7" s="208"/>
      <c r="UB7" s="208"/>
      <c r="UC7" s="208"/>
      <c r="UD7" s="208"/>
      <c r="UE7" s="208"/>
      <c r="UF7" s="208"/>
      <c r="UG7" s="208"/>
      <c r="UH7" s="208"/>
      <c r="UI7" s="208"/>
      <c r="UJ7" s="208"/>
      <c r="UK7" s="208"/>
      <c r="UL7" s="208"/>
      <c r="UM7" s="208"/>
      <c r="UN7" s="208"/>
      <c r="UO7" s="208"/>
      <c r="UP7" s="208"/>
      <c r="UQ7" s="208"/>
      <c r="UR7" s="208"/>
      <c r="US7" s="208"/>
      <c r="UT7" s="208"/>
      <c r="UU7" s="208"/>
      <c r="UV7" s="208"/>
      <c r="UW7" s="208"/>
      <c r="UX7" s="208"/>
      <c r="UY7" s="208"/>
      <c r="UZ7" s="208"/>
      <c r="VA7" s="208"/>
      <c r="VB7" s="208"/>
      <c r="VC7" s="208"/>
      <c r="VD7" s="208"/>
      <c r="VE7" s="208"/>
      <c r="VF7" s="208"/>
      <c r="VG7" s="208"/>
      <c r="VH7" s="208"/>
      <c r="VI7" s="208"/>
      <c r="VJ7" s="208"/>
      <c r="VK7" s="208"/>
      <c r="VL7" s="208"/>
      <c r="VM7" s="208"/>
      <c r="VN7" s="208"/>
      <c r="VO7" s="208"/>
      <c r="VP7" s="208"/>
      <c r="VQ7" s="208"/>
      <c r="VR7" s="208"/>
      <c r="VS7" s="208"/>
      <c r="VT7" s="208"/>
      <c r="VU7" s="208"/>
      <c r="VV7" s="208"/>
      <c r="VW7" s="208"/>
      <c r="VX7" s="208"/>
      <c r="VY7" s="208"/>
      <c r="VZ7" s="208"/>
      <c r="WA7" s="208"/>
      <c r="WB7" s="208"/>
      <c r="WC7" s="208"/>
      <c r="WD7" s="208"/>
      <c r="WE7" s="208"/>
      <c r="WF7" s="208"/>
      <c r="WG7" s="208"/>
      <c r="WH7" s="208"/>
      <c r="WI7" s="208"/>
      <c r="WJ7" s="208"/>
      <c r="WK7" s="208"/>
      <c r="WL7" s="208"/>
      <c r="WM7" s="208"/>
      <c r="WN7" s="208"/>
      <c r="WO7" s="208"/>
      <c r="WP7" s="208"/>
      <c r="WQ7" s="208"/>
      <c r="WR7" s="208"/>
      <c r="WS7" s="208"/>
      <c r="WT7" s="208"/>
      <c r="WU7" s="208"/>
      <c r="WV7" s="208"/>
      <c r="WW7" s="208"/>
      <c r="WX7" s="208"/>
      <c r="WY7" s="208"/>
      <c r="WZ7" s="208"/>
      <c r="XA7" s="208"/>
      <c r="XB7" s="208"/>
      <c r="XC7" s="208"/>
      <c r="XD7" s="208"/>
      <c r="XE7" s="208"/>
      <c r="XF7" s="208"/>
      <c r="XG7" s="208"/>
      <c r="XH7" s="208"/>
      <c r="XI7" s="208"/>
      <c r="XJ7" s="208"/>
      <c r="XK7" s="208"/>
      <c r="XL7" s="208"/>
      <c r="XM7" s="208"/>
      <c r="XN7" s="208"/>
      <c r="XO7" s="208"/>
      <c r="XP7" s="208"/>
      <c r="XQ7" s="208"/>
      <c r="XR7" s="208"/>
      <c r="XS7" s="208"/>
      <c r="XT7" s="208"/>
      <c r="XU7" s="208"/>
      <c r="XV7" s="208"/>
      <c r="XW7" s="208"/>
      <c r="XX7" s="208"/>
      <c r="XY7" s="208"/>
      <c r="XZ7" s="208"/>
      <c r="YA7" s="208"/>
      <c r="YB7" s="208"/>
      <c r="YC7" s="208"/>
      <c r="YD7" s="208"/>
      <c r="YE7" s="208"/>
      <c r="YF7" s="208"/>
      <c r="YG7" s="208"/>
      <c r="YH7" s="208"/>
      <c r="YI7" s="208"/>
      <c r="YJ7" s="208"/>
      <c r="YK7" s="208"/>
      <c r="YL7" s="208"/>
      <c r="YM7" s="208"/>
      <c r="YN7" s="208"/>
      <c r="YO7" s="208"/>
      <c r="YP7" s="208"/>
      <c r="YQ7" s="208"/>
      <c r="YR7" s="208"/>
      <c r="YS7" s="208"/>
      <c r="YT7" s="208"/>
      <c r="YU7" s="208"/>
      <c r="YV7" s="208"/>
      <c r="YW7" s="208"/>
      <c r="YX7" s="208"/>
      <c r="YY7" s="208"/>
      <c r="YZ7" s="208"/>
      <c r="ZA7" s="208"/>
      <c r="ZB7" s="208"/>
      <c r="ZC7" s="208"/>
      <c r="ZD7" s="208"/>
      <c r="ZE7" s="208"/>
      <c r="ZF7" s="208"/>
      <c r="ZG7" s="208"/>
      <c r="ZH7" s="208"/>
      <c r="ZI7" s="208"/>
      <c r="ZJ7" s="208"/>
      <c r="ZK7" s="208"/>
      <c r="ZL7" s="208"/>
      <c r="ZM7" s="208"/>
      <c r="ZN7" s="208"/>
      <c r="ZO7" s="208"/>
      <c r="ZP7" s="208"/>
      <c r="ZQ7" s="208"/>
      <c r="ZR7" s="208"/>
      <c r="ZS7" s="208"/>
      <c r="ZT7" s="208"/>
      <c r="ZU7" s="208"/>
      <c r="ZV7" s="208"/>
      <c r="ZW7" s="208"/>
      <c r="ZX7" s="208"/>
      <c r="ZY7" s="208"/>
      <c r="ZZ7" s="208"/>
      <c r="AAA7" s="208"/>
      <c r="AAB7" s="208"/>
      <c r="AAC7" s="208"/>
      <c r="AAD7" s="208"/>
      <c r="AAE7" s="208"/>
      <c r="AAF7" s="208"/>
      <c r="AAG7" s="208"/>
      <c r="AAH7" s="208"/>
      <c r="AAI7" s="208"/>
      <c r="AAJ7" s="208"/>
      <c r="AAK7" s="208"/>
      <c r="AAL7" s="208"/>
      <c r="AAM7" s="208"/>
      <c r="AAN7" s="208"/>
      <c r="AAO7" s="208"/>
      <c r="AAP7" s="208"/>
      <c r="AAQ7" s="208"/>
      <c r="AAR7" s="208"/>
      <c r="AAS7" s="208"/>
      <c r="AAT7" s="208"/>
      <c r="AAU7" s="208"/>
      <c r="AAV7" s="208"/>
      <c r="AAW7" s="208"/>
      <c r="AAX7" s="208"/>
      <c r="AAY7" s="208"/>
      <c r="AAZ7" s="208"/>
      <c r="ABA7" s="208"/>
      <c r="ABB7" s="208"/>
      <c r="ABC7" s="208"/>
      <c r="ABD7" s="208"/>
      <c r="ABE7" s="208"/>
      <c r="ABF7" s="208"/>
      <c r="ABG7" s="208"/>
      <c r="ABH7" s="208"/>
      <c r="ABI7" s="208"/>
      <c r="ABJ7" s="208"/>
      <c r="ABK7" s="208"/>
      <c r="ABL7" s="208"/>
      <c r="ABM7" s="208"/>
      <c r="ABN7" s="208"/>
      <c r="ABO7" s="208"/>
      <c r="ABP7" s="208"/>
      <c r="ABQ7" s="208"/>
      <c r="ABR7" s="208"/>
      <c r="ABS7" s="208"/>
      <c r="ABT7" s="208"/>
      <c r="ABU7" s="208"/>
      <c r="ABV7" s="208"/>
      <c r="ABW7" s="208"/>
      <c r="ABX7" s="208"/>
      <c r="ABY7" s="208"/>
      <c r="ABZ7" s="208"/>
      <c r="ACA7" s="208"/>
      <c r="ACB7" s="208"/>
      <c r="ACC7" s="208"/>
      <c r="ACD7" s="208"/>
      <c r="ACE7" s="208"/>
      <c r="ACF7" s="208"/>
      <c r="ACG7" s="208"/>
      <c r="ACH7" s="208"/>
      <c r="ACI7" s="208"/>
      <c r="ACJ7" s="208"/>
      <c r="ACK7" s="208"/>
      <c r="ACL7" s="208"/>
      <c r="ACM7" s="208"/>
      <c r="ACN7" s="208"/>
      <c r="ACO7" s="208"/>
      <c r="ACP7" s="208"/>
      <c r="ACQ7" s="208"/>
      <c r="ACR7" s="208"/>
      <c r="ACS7" s="208"/>
      <c r="ACT7" s="208"/>
      <c r="ACU7" s="208"/>
      <c r="ACV7" s="208"/>
      <c r="ACW7" s="208"/>
      <c r="ACX7" s="208"/>
      <c r="ACY7" s="208"/>
      <c r="ACZ7" s="208"/>
      <c r="ADA7" s="208"/>
      <c r="ADB7" s="208"/>
      <c r="ADC7" s="208"/>
      <c r="ADD7" s="208"/>
      <c r="ADE7" s="208"/>
      <c r="ADF7" s="208"/>
      <c r="ADG7" s="208"/>
      <c r="ADH7" s="208"/>
      <c r="ADI7" s="208"/>
      <c r="ADJ7" s="208"/>
      <c r="ADK7" s="208"/>
      <c r="ADL7" s="208"/>
      <c r="ADM7" s="208"/>
      <c r="ADN7" s="208"/>
      <c r="ADO7" s="208"/>
      <c r="ADP7" s="208"/>
      <c r="ADQ7" s="208"/>
      <c r="ADR7" s="208"/>
      <c r="ADS7" s="208"/>
      <c r="ADT7" s="208"/>
      <c r="ADU7" s="208"/>
      <c r="ADV7" s="208"/>
      <c r="ADW7" s="208"/>
      <c r="ADX7" s="208"/>
      <c r="ADY7" s="208"/>
      <c r="ADZ7" s="208"/>
      <c r="AEA7" s="208"/>
      <c r="AEB7" s="208"/>
      <c r="AEC7" s="208"/>
      <c r="AED7" s="208"/>
      <c r="AEE7" s="208"/>
      <c r="AEF7" s="208"/>
      <c r="AEG7" s="208"/>
      <c r="AEH7" s="208"/>
      <c r="AEI7" s="208"/>
      <c r="AEJ7" s="208"/>
      <c r="AEK7" s="208"/>
      <c r="AEL7" s="208"/>
      <c r="AEM7" s="208"/>
      <c r="AEN7" s="208"/>
      <c r="AEO7" s="208"/>
      <c r="AEP7" s="208"/>
      <c r="AEQ7" s="208"/>
      <c r="AER7" s="208"/>
      <c r="AES7" s="208"/>
      <c r="AET7" s="208"/>
      <c r="AEU7" s="208"/>
      <c r="AEV7" s="208"/>
      <c r="AEW7" s="208"/>
      <c r="AEX7" s="208"/>
      <c r="AEY7" s="208"/>
      <c r="AEZ7" s="208"/>
      <c r="AFA7" s="208"/>
      <c r="AFB7" s="208"/>
      <c r="AFC7" s="208"/>
      <c r="AFD7" s="208"/>
      <c r="AFE7" s="208"/>
      <c r="AFF7" s="208"/>
      <c r="AFG7" s="208"/>
      <c r="AFH7" s="208"/>
      <c r="AFI7" s="208"/>
      <c r="AFJ7" s="208"/>
      <c r="AFK7" s="208"/>
      <c r="AFL7" s="208"/>
      <c r="AFM7" s="208"/>
      <c r="AFN7" s="208"/>
      <c r="AFO7" s="208"/>
      <c r="AFP7" s="208"/>
      <c r="AFQ7" s="208"/>
      <c r="AFR7" s="208"/>
      <c r="AFS7" s="208"/>
      <c r="AFT7" s="208"/>
      <c r="AFU7" s="208"/>
      <c r="AFV7" s="208"/>
      <c r="AFW7" s="208"/>
      <c r="AFX7" s="208"/>
      <c r="AFY7" s="208"/>
      <c r="AFZ7" s="208"/>
      <c r="AGA7" s="208"/>
      <c r="AGB7" s="208"/>
      <c r="AGC7" s="208"/>
      <c r="AGD7" s="208"/>
      <c r="AGE7" s="208"/>
      <c r="AGF7" s="208"/>
      <c r="AGG7" s="208"/>
      <c r="AGH7" s="208"/>
      <c r="AGI7" s="208"/>
      <c r="AGJ7" s="208"/>
      <c r="AGK7" s="208"/>
      <c r="AGL7" s="208"/>
      <c r="AGM7" s="208"/>
      <c r="AGN7" s="208"/>
      <c r="AGO7" s="208"/>
      <c r="AGP7" s="208"/>
      <c r="AGQ7" s="208"/>
      <c r="AGR7" s="208"/>
      <c r="AGS7" s="208"/>
      <c r="AGT7" s="208"/>
      <c r="AGU7" s="208"/>
      <c r="AGV7" s="208"/>
      <c r="AGW7" s="208"/>
      <c r="AGX7" s="208"/>
      <c r="AGY7" s="208"/>
      <c r="AGZ7" s="208"/>
      <c r="AHA7" s="208"/>
      <c r="AHB7" s="208"/>
      <c r="AHC7" s="208"/>
      <c r="AHD7" s="208"/>
      <c r="AHE7" s="208"/>
      <c r="AHF7" s="208"/>
      <c r="AHG7" s="208"/>
      <c r="AHH7" s="208"/>
      <c r="AHI7" s="208"/>
      <c r="AHJ7" s="208"/>
      <c r="AHK7" s="208"/>
      <c r="AHL7" s="208"/>
      <c r="AHM7" s="208"/>
      <c r="AHN7" s="208"/>
      <c r="AHO7" s="208"/>
      <c r="AHP7" s="208"/>
      <c r="AHQ7" s="208"/>
      <c r="AHR7" s="208"/>
      <c r="AHS7" s="208"/>
      <c r="AHT7" s="208"/>
      <c r="AHU7" s="208"/>
      <c r="AHV7" s="208"/>
      <c r="AHW7" s="208"/>
      <c r="AHX7" s="208"/>
      <c r="AHY7" s="208"/>
      <c r="AHZ7" s="208"/>
      <c r="AIA7" s="208"/>
      <c r="AIB7" s="208"/>
      <c r="AIC7" s="208"/>
      <c r="AID7" s="208"/>
      <c r="AIE7" s="208"/>
      <c r="AIF7" s="208"/>
      <c r="AIG7" s="208"/>
      <c r="AIH7" s="208"/>
      <c r="AII7" s="208"/>
      <c r="AIJ7" s="208"/>
      <c r="AIK7" s="208"/>
      <c r="AIL7" s="208"/>
      <c r="AIM7" s="208"/>
      <c r="AIN7" s="208"/>
      <c r="AIO7" s="208"/>
      <c r="AIP7" s="208"/>
      <c r="AIQ7" s="208"/>
      <c r="AIR7" s="208"/>
      <c r="AIS7" s="208"/>
      <c r="AIT7" s="208"/>
      <c r="AIU7" s="208"/>
      <c r="AIV7" s="208"/>
      <c r="AIW7" s="208"/>
      <c r="AIX7" s="208"/>
      <c r="AIY7" s="208"/>
      <c r="AIZ7" s="208"/>
      <c r="AJA7" s="208"/>
      <c r="AJB7" s="208"/>
      <c r="AJC7" s="208"/>
      <c r="AJD7" s="208"/>
      <c r="AJE7" s="208"/>
      <c r="AJF7" s="208"/>
      <c r="AJG7" s="208"/>
      <c r="AJH7" s="208"/>
      <c r="AJI7" s="208"/>
      <c r="AJJ7" s="208"/>
      <c r="AJK7" s="208"/>
      <c r="AJL7" s="208"/>
      <c r="AJM7" s="208"/>
      <c r="AJN7" s="208"/>
      <c r="AJO7" s="208"/>
      <c r="AJP7" s="208"/>
      <c r="AJQ7" s="208"/>
      <c r="AJR7" s="208"/>
      <c r="AJS7" s="208"/>
      <c r="AJT7" s="208"/>
      <c r="AJU7" s="208"/>
      <c r="AJV7" s="208"/>
      <c r="AJW7" s="208"/>
      <c r="AJX7" s="208"/>
      <c r="AJY7" s="208"/>
      <c r="AJZ7" s="208"/>
      <c r="AKA7" s="208"/>
      <c r="AKB7" s="208"/>
      <c r="AKC7" s="208"/>
      <c r="AKD7" s="208"/>
      <c r="AKE7" s="208"/>
      <c r="AKF7" s="208"/>
      <c r="AKG7" s="208"/>
      <c r="AKH7" s="208"/>
      <c r="AKI7" s="208"/>
      <c r="AKJ7" s="208"/>
      <c r="AKK7" s="208"/>
      <c r="AKL7" s="208"/>
      <c r="AKM7" s="208"/>
      <c r="AKN7" s="208"/>
      <c r="AKO7" s="208"/>
      <c r="AKP7" s="208"/>
      <c r="AKQ7" s="208"/>
      <c r="AKR7" s="208"/>
      <c r="AKS7" s="208"/>
      <c r="AKT7" s="208"/>
      <c r="AKU7" s="208"/>
      <c r="AKV7" s="208"/>
      <c r="AKW7" s="208"/>
      <c r="AKX7" s="208"/>
      <c r="AKY7" s="208"/>
      <c r="AKZ7" s="208"/>
      <c r="ALA7" s="208"/>
      <c r="ALB7" s="208"/>
      <c r="ALC7" s="208"/>
      <c r="ALD7" s="208"/>
      <c r="ALE7" s="208"/>
      <c r="ALF7" s="208"/>
      <c r="ALG7" s="208"/>
      <c r="ALH7" s="208"/>
      <c r="ALI7" s="208"/>
      <c r="ALJ7" s="208"/>
      <c r="ALK7" s="208"/>
      <c r="ALL7" s="208"/>
      <c r="ALM7" s="208"/>
      <c r="ALN7" s="208"/>
      <c r="ALO7" s="208"/>
      <c r="ALP7" s="208"/>
      <c r="ALQ7" s="208"/>
      <c r="ALR7" s="208"/>
      <c r="ALS7" s="208"/>
      <c r="ALT7" s="208"/>
      <c r="ALU7" s="208"/>
      <c r="ALV7" s="208"/>
      <c r="ALW7" s="208"/>
      <c r="ALX7" s="208"/>
      <c r="ALY7" s="208"/>
      <c r="ALZ7" s="208"/>
      <c r="AMA7" s="208"/>
      <c r="AMB7" s="208"/>
      <c r="AMC7" s="208"/>
      <c r="AMD7" s="208"/>
      <c r="AME7" s="208"/>
      <c r="AMF7" s="208"/>
      <c r="AMG7" s="208"/>
      <c r="AMH7" s="208"/>
      <c r="AMI7" s="208"/>
      <c r="AMJ7" s="208"/>
      <c r="AMK7" s="208"/>
      <c r="AML7" s="208"/>
      <c r="AMM7" s="208"/>
      <c r="AMN7" s="208"/>
      <c r="AMO7" s="208"/>
      <c r="AMP7" s="208"/>
      <c r="AMQ7" s="208"/>
      <c r="AMR7" s="208"/>
      <c r="AMS7" s="208"/>
      <c r="AMT7" s="208"/>
      <c r="AMU7" s="208"/>
      <c r="AMV7" s="208"/>
      <c r="AMW7" s="208"/>
      <c r="AMX7" s="208"/>
      <c r="AMY7" s="208"/>
      <c r="AMZ7" s="208"/>
      <c r="ANA7" s="208"/>
      <c r="ANB7" s="208"/>
      <c r="ANC7" s="208"/>
      <c r="AND7" s="208"/>
      <c r="ANE7" s="208"/>
      <c r="ANF7" s="208"/>
      <c r="ANG7" s="208"/>
      <c r="ANH7" s="208"/>
      <c r="ANI7" s="208"/>
      <c r="ANJ7" s="208"/>
      <c r="ANK7" s="208"/>
      <c r="ANL7" s="208"/>
      <c r="ANM7" s="208"/>
      <c r="ANN7" s="208"/>
      <c r="ANO7" s="208"/>
      <c r="ANP7" s="208"/>
      <c r="ANQ7" s="208"/>
      <c r="ANR7" s="208"/>
      <c r="ANS7" s="208"/>
      <c r="ANT7" s="208"/>
      <c r="ANU7" s="208"/>
      <c r="ANV7" s="208"/>
      <c r="ANW7" s="208"/>
      <c r="ANX7" s="208"/>
      <c r="ANY7" s="208"/>
      <c r="ANZ7" s="208"/>
      <c r="AOA7" s="208"/>
      <c r="AOB7" s="208"/>
      <c r="AOC7" s="208"/>
      <c r="AOD7" s="208"/>
      <c r="AOE7" s="208"/>
      <c r="AOF7" s="208"/>
      <c r="AOG7" s="208"/>
    </row>
    <row r="8" spans="1:1073" hidden="1">
      <c r="A8" s="2127"/>
      <c r="B8" s="214" t="str">
        <f>Dictionary!B556</f>
        <v>Nr.</v>
      </c>
      <c r="C8" s="215" t="s">
        <v>0</v>
      </c>
      <c r="D8" s="216" t="s">
        <v>1022</v>
      </c>
      <c r="E8" s="217" t="s">
        <v>1</v>
      </c>
      <c r="F8" s="217" t="s">
        <v>2</v>
      </c>
      <c r="G8" s="217" t="s">
        <v>3</v>
      </c>
      <c r="H8" s="217" t="s">
        <v>8</v>
      </c>
      <c r="I8" s="216" t="s">
        <v>9</v>
      </c>
      <c r="J8" s="218" t="s">
        <v>599</v>
      </c>
      <c r="K8" s="216" t="s">
        <v>2847</v>
      </c>
      <c r="L8" s="217" t="s">
        <v>13</v>
      </c>
      <c r="M8" s="219" t="s">
        <v>16</v>
      </c>
      <c r="N8" s="220" t="s">
        <v>17</v>
      </c>
      <c r="O8" s="221"/>
      <c r="JK8" s="222"/>
      <c r="JL8" s="222"/>
      <c r="JM8" s="222"/>
      <c r="JN8" s="222"/>
      <c r="JO8" s="222"/>
      <c r="JP8" s="222"/>
      <c r="JQ8" s="222"/>
      <c r="JR8" s="222"/>
      <c r="JS8" s="222"/>
      <c r="JT8" s="222"/>
      <c r="JU8" s="222"/>
      <c r="JV8" s="222"/>
      <c r="JW8" s="222"/>
      <c r="JX8" s="222"/>
      <c r="JY8" s="222"/>
      <c r="JZ8" s="222"/>
      <c r="KA8" s="222"/>
      <c r="KB8" s="222"/>
      <c r="KC8" s="222"/>
      <c r="KD8" s="222"/>
      <c r="KE8" s="222"/>
      <c r="KF8" s="222"/>
      <c r="KG8" s="222"/>
      <c r="KH8" s="222"/>
      <c r="KI8" s="222"/>
      <c r="KJ8" s="222"/>
      <c r="KK8" s="222"/>
      <c r="KL8" s="222"/>
      <c r="KM8" s="222"/>
      <c r="KN8" s="222"/>
      <c r="KO8" s="222"/>
      <c r="KP8" s="222"/>
      <c r="KQ8" s="222"/>
      <c r="KR8" s="222"/>
      <c r="KS8" s="222"/>
      <c r="KT8" s="222"/>
      <c r="KU8" s="222"/>
      <c r="KV8" s="222"/>
      <c r="KW8" s="222"/>
      <c r="KX8" s="222"/>
      <c r="KY8" s="222"/>
      <c r="KZ8" s="222"/>
      <c r="LA8" s="222"/>
      <c r="LB8" s="222"/>
      <c r="LC8" s="222"/>
      <c r="LD8" s="222"/>
      <c r="LE8" s="222"/>
      <c r="LF8" s="222"/>
      <c r="LG8" s="222"/>
      <c r="LH8" s="222"/>
      <c r="LI8" s="222"/>
      <c r="LJ8" s="222"/>
      <c r="LK8" s="222"/>
      <c r="LL8" s="222"/>
      <c r="LM8" s="222"/>
      <c r="LN8" s="222"/>
      <c r="LO8" s="222"/>
      <c r="LP8" s="222"/>
      <c r="LQ8" s="222"/>
      <c r="LR8" s="222"/>
      <c r="LS8" s="222"/>
      <c r="LT8" s="222"/>
      <c r="LU8" s="222"/>
      <c r="LV8" s="222"/>
      <c r="LW8" s="222"/>
      <c r="LX8" s="222"/>
      <c r="LY8" s="222"/>
      <c r="LZ8" s="222"/>
      <c r="MA8" s="222"/>
      <c r="MB8" s="222"/>
      <c r="MC8" s="222"/>
      <c r="MD8" s="222"/>
      <c r="ME8" s="222"/>
      <c r="MF8" s="222"/>
      <c r="MG8" s="222"/>
      <c r="MH8" s="222"/>
      <c r="MI8" s="222"/>
      <c r="MJ8" s="222"/>
      <c r="MK8" s="222"/>
      <c r="ML8" s="222"/>
      <c r="MM8" s="222"/>
      <c r="MN8" s="222"/>
      <c r="MO8" s="222"/>
      <c r="MP8" s="222"/>
      <c r="MQ8" s="222"/>
      <c r="MR8" s="222"/>
      <c r="MS8" s="222"/>
      <c r="MT8" s="222"/>
      <c r="MU8" s="222"/>
      <c r="MV8" s="222"/>
      <c r="MW8" s="222"/>
      <c r="MX8" s="222"/>
      <c r="MY8" s="222"/>
      <c r="MZ8" s="222"/>
      <c r="NA8" s="222"/>
      <c r="NB8" s="222"/>
      <c r="NC8" s="222"/>
      <c r="ND8" s="222"/>
      <c r="NE8" s="222"/>
      <c r="NF8" s="222"/>
      <c r="NG8" s="222"/>
      <c r="NH8" s="222"/>
      <c r="NI8" s="222"/>
      <c r="NJ8" s="222"/>
      <c r="NK8" s="222"/>
      <c r="NL8" s="222"/>
      <c r="NM8" s="222"/>
      <c r="NN8" s="222"/>
      <c r="NO8" s="222"/>
      <c r="NP8" s="222"/>
      <c r="NQ8" s="222"/>
      <c r="NR8" s="222"/>
      <c r="NS8" s="222"/>
      <c r="NT8" s="222"/>
      <c r="NU8" s="222"/>
      <c r="NV8" s="222"/>
      <c r="NW8" s="222"/>
      <c r="NX8" s="222"/>
      <c r="NY8" s="222"/>
      <c r="NZ8" s="222"/>
      <c r="OA8" s="222"/>
      <c r="OB8" s="222"/>
      <c r="OC8" s="222"/>
      <c r="OD8" s="222"/>
      <c r="OE8" s="222"/>
      <c r="OF8" s="222"/>
      <c r="OG8" s="222"/>
      <c r="OH8" s="222"/>
      <c r="OI8" s="222"/>
      <c r="OJ8" s="222"/>
      <c r="OK8" s="222"/>
      <c r="OL8" s="222"/>
      <c r="OM8" s="222"/>
      <c r="ON8" s="222"/>
      <c r="OO8" s="222"/>
      <c r="OP8" s="222"/>
      <c r="OQ8" s="222"/>
      <c r="OR8" s="222"/>
      <c r="OS8" s="222"/>
      <c r="OT8" s="222"/>
      <c r="OU8" s="222"/>
      <c r="OV8" s="222"/>
      <c r="OW8" s="222"/>
      <c r="OX8" s="222"/>
      <c r="OY8" s="222"/>
      <c r="OZ8" s="222"/>
      <c r="PA8" s="222"/>
      <c r="PB8" s="222"/>
      <c r="PC8" s="222"/>
      <c r="PD8" s="222"/>
      <c r="PE8" s="222"/>
      <c r="PF8" s="222"/>
      <c r="PG8" s="222"/>
      <c r="PH8" s="222"/>
      <c r="PI8" s="222"/>
      <c r="PJ8" s="222"/>
      <c r="PK8" s="222"/>
      <c r="PL8" s="222"/>
      <c r="PM8" s="222"/>
      <c r="PN8" s="222"/>
      <c r="PO8" s="222"/>
      <c r="PP8" s="222"/>
      <c r="PQ8" s="222"/>
      <c r="PR8" s="222"/>
      <c r="PS8" s="222"/>
      <c r="PT8" s="222"/>
      <c r="PU8" s="222"/>
      <c r="PV8" s="222"/>
      <c r="PW8" s="222"/>
      <c r="PX8" s="222"/>
      <c r="PY8" s="222"/>
      <c r="PZ8" s="222"/>
      <c r="QA8" s="222"/>
      <c r="QB8" s="222"/>
      <c r="QC8" s="222"/>
      <c r="QD8" s="222"/>
      <c r="QE8" s="222"/>
      <c r="QF8" s="222"/>
      <c r="QG8" s="222"/>
      <c r="QH8" s="222"/>
      <c r="QI8" s="222"/>
      <c r="QJ8" s="222"/>
      <c r="QK8" s="222"/>
      <c r="QL8" s="222"/>
      <c r="QM8" s="222"/>
      <c r="QN8" s="222"/>
      <c r="QO8" s="222"/>
      <c r="QP8" s="222"/>
      <c r="QQ8" s="222"/>
      <c r="QR8" s="222"/>
      <c r="QS8" s="222"/>
      <c r="QT8" s="222"/>
      <c r="QU8" s="222"/>
      <c r="QV8" s="222"/>
      <c r="QW8" s="222"/>
      <c r="QX8" s="222"/>
      <c r="QY8" s="222"/>
      <c r="QZ8" s="222"/>
      <c r="RA8" s="222"/>
      <c r="RB8" s="222"/>
      <c r="RC8" s="222"/>
      <c r="RD8" s="222"/>
      <c r="RE8" s="222"/>
      <c r="RF8" s="222"/>
      <c r="RG8" s="222"/>
      <c r="RH8" s="222"/>
      <c r="RI8" s="222"/>
      <c r="RJ8" s="222"/>
      <c r="RK8" s="222"/>
      <c r="RL8" s="222"/>
      <c r="RM8" s="222"/>
      <c r="RN8" s="222"/>
      <c r="RO8" s="222"/>
      <c r="RP8" s="222"/>
      <c r="RQ8" s="222"/>
      <c r="RR8" s="222"/>
      <c r="RS8" s="222"/>
      <c r="RT8" s="222"/>
      <c r="RU8" s="222"/>
      <c r="RV8" s="222"/>
      <c r="RW8" s="222"/>
      <c r="RX8" s="222"/>
      <c r="RY8" s="222"/>
      <c r="RZ8" s="222"/>
      <c r="SA8" s="222"/>
      <c r="SB8" s="222"/>
      <c r="SC8" s="222"/>
      <c r="SD8" s="222"/>
      <c r="SE8" s="222"/>
      <c r="SF8" s="222"/>
      <c r="SG8" s="222"/>
      <c r="SH8" s="222"/>
      <c r="SI8" s="222"/>
      <c r="SJ8" s="222"/>
      <c r="SK8" s="222"/>
      <c r="SL8" s="222"/>
      <c r="SM8" s="222"/>
      <c r="SN8" s="222"/>
      <c r="SO8" s="222"/>
      <c r="SP8" s="222"/>
      <c r="SQ8" s="222"/>
      <c r="SR8" s="222"/>
      <c r="SS8" s="222"/>
      <c r="ST8" s="222"/>
      <c r="SU8" s="222"/>
      <c r="SV8" s="222"/>
      <c r="SW8" s="222"/>
      <c r="SX8" s="222"/>
      <c r="SY8" s="222"/>
      <c r="SZ8" s="222"/>
      <c r="TA8" s="222"/>
      <c r="TB8" s="222"/>
      <c r="TC8" s="222"/>
      <c r="TD8" s="222"/>
      <c r="TE8" s="222"/>
      <c r="TF8" s="222"/>
      <c r="TG8" s="222"/>
      <c r="TH8" s="222"/>
      <c r="TI8" s="222"/>
      <c r="TJ8" s="222"/>
      <c r="TK8" s="222"/>
      <c r="TL8" s="222"/>
      <c r="TM8" s="222"/>
      <c r="TN8" s="222"/>
      <c r="TO8" s="222"/>
      <c r="TP8" s="222"/>
      <c r="TQ8" s="222"/>
      <c r="TR8" s="222"/>
      <c r="TS8" s="222"/>
      <c r="TT8" s="222"/>
      <c r="TU8" s="222"/>
      <c r="TV8" s="222"/>
      <c r="TW8" s="222"/>
      <c r="TX8" s="222"/>
      <c r="TY8" s="222"/>
      <c r="TZ8" s="222"/>
      <c r="UA8" s="222"/>
      <c r="UB8" s="222"/>
      <c r="UC8" s="222"/>
      <c r="UD8" s="222"/>
      <c r="UE8" s="222"/>
      <c r="UF8" s="222"/>
      <c r="UG8" s="222"/>
      <c r="UH8" s="222"/>
      <c r="UI8" s="222"/>
      <c r="UJ8" s="222"/>
      <c r="UK8" s="222"/>
      <c r="UL8" s="222"/>
      <c r="UM8" s="222"/>
      <c r="UN8" s="222"/>
      <c r="UO8" s="222"/>
      <c r="UP8" s="222"/>
      <c r="UQ8" s="222"/>
      <c r="UR8" s="222"/>
      <c r="US8" s="222"/>
      <c r="UT8" s="222"/>
      <c r="UU8" s="222"/>
      <c r="UV8" s="222"/>
      <c r="UW8" s="222"/>
      <c r="UX8" s="222"/>
      <c r="UY8" s="222"/>
      <c r="UZ8" s="222"/>
      <c r="VA8" s="222"/>
      <c r="VB8" s="222"/>
      <c r="VC8" s="222"/>
      <c r="VD8" s="222"/>
      <c r="VE8" s="222"/>
      <c r="VF8" s="222"/>
      <c r="VG8" s="222"/>
      <c r="VH8" s="222"/>
      <c r="VI8" s="222"/>
      <c r="VJ8" s="222"/>
      <c r="VK8" s="222"/>
      <c r="VL8" s="222"/>
      <c r="VM8" s="222"/>
      <c r="VN8" s="222"/>
      <c r="VO8" s="222"/>
      <c r="VP8" s="222"/>
      <c r="VQ8" s="222"/>
      <c r="VR8" s="222"/>
      <c r="VS8" s="222"/>
      <c r="VT8" s="222"/>
      <c r="VU8" s="222"/>
      <c r="VV8" s="222"/>
      <c r="VW8" s="222"/>
      <c r="VX8" s="222"/>
      <c r="VY8" s="222"/>
      <c r="VZ8" s="222"/>
      <c r="WA8" s="222"/>
      <c r="WB8" s="222"/>
      <c r="WC8" s="222"/>
      <c r="WD8" s="222"/>
      <c r="WE8" s="222"/>
      <c r="WF8" s="222"/>
      <c r="WG8" s="222"/>
      <c r="WH8" s="222"/>
      <c r="WI8" s="222"/>
      <c r="WJ8" s="222"/>
      <c r="WK8" s="222"/>
      <c r="WL8" s="222"/>
      <c r="WM8" s="222"/>
      <c r="WN8" s="222"/>
      <c r="WO8" s="222"/>
      <c r="WP8" s="222"/>
      <c r="WQ8" s="222"/>
      <c r="WR8" s="222"/>
      <c r="WS8" s="222"/>
      <c r="WT8" s="222"/>
      <c r="WU8" s="222"/>
      <c r="WV8" s="222"/>
      <c r="WW8" s="222"/>
      <c r="WX8" s="222"/>
      <c r="WY8" s="222"/>
      <c r="WZ8" s="222"/>
      <c r="XA8" s="222"/>
      <c r="XB8" s="222"/>
      <c r="XC8" s="222"/>
      <c r="XD8" s="222"/>
      <c r="XE8" s="222"/>
      <c r="XF8" s="222"/>
      <c r="XG8" s="222"/>
      <c r="XH8" s="222"/>
      <c r="XI8" s="222"/>
      <c r="XJ8" s="222"/>
      <c r="XK8" s="222"/>
      <c r="XL8" s="222"/>
      <c r="XM8" s="222"/>
      <c r="XN8" s="222"/>
      <c r="XO8" s="222"/>
      <c r="XP8" s="222"/>
      <c r="XQ8" s="222"/>
      <c r="XR8" s="222"/>
      <c r="XS8" s="222"/>
      <c r="XT8" s="222"/>
      <c r="XU8" s="222"/>
      <c r="XV8" s="222"/>
      <c r="XW8" s="222"/>
      <c r="XX8" s="222"/>
      <c r="XY8" s="222"/>
      <c r="XZ8" s="222"/>
      <c r="YA8" s="222"/>
      <c r="YB8" s="222"/>
      <c r="YC8" s="222"/>
      <c r="YD8" s="222"/>
      <c r="YE8" s="222"/>
      <c r="YF8" s="222"/>
      <c r="YG8" s="222"/>
      <c r="YH8" s="222"/>
      <c r="YI8" s="222"/>
      <c r="YJ8" s="222"/>
      <c r="YK8" s="222"/>
      <c r="YL8" s="222"/>
      <c r="YM8" s="222"/>
      <c r="YN8" s="222"/>
      <c r="YO8" s="222"/>
      <c r="YP8" s="222"/>
      <c r="YQ8" s="222"/>
      <c r="YR8" s="222"/>
      <c r="YS8" s="222"/>
      <c r="YT8" s="222"/>
      <c r="YU8" s="222"/>
      <c r="YV8" s="222"/>
      <c r="YW8" s="222"/>
      <c r="YX8" s="222"/>
      <c r="YY8" s="222"/>
      <c r="YZ8" s="222"/>
      <c r="ZA8" s="222"/>
      <c r="ZB8" s="222"/>
      <c r="ZC8" s="222"/>
      <c r="ZD8" s="222"/>
      <c r="ZE8" s="222"/>
      <c r="ZF8" s="222"/>
      <c r="ZG8" s="222"/>
      <c r="ZH8" s="222"/>
      <c r="ZI8" s="222"/>
      <c r="ZJ8" s="222"/>
      <c r="ZK8" s="222"/>
      <c r="ZL8" s="222"/>
      <c r="ZM8" s="222"/>
      <c r="ZN8" s="222"/>
      <c r="ZO8" s="222"/>
      <c r="ZP8" s="222"/>
      <c r="ZQ8" s="222"/>
      <c r="ZR8" s="222"/>
      <c r="ZS8" s="222"/>
      <c r="ZT8" s="222"/>
      <c r="ZU8" s="222"/>
      <c r="ZV8" s="222"/>
      <c r="ZW8" s="222"/>
      <c r="ZX8" s="222"/>
      <c r="ZY8" s="222"/>
      <c r="ZZ8" s="222"/>
      <c r="AAA8" s="222"/>
      <c r="AAB8" s="222"/>
      <c r="AAC8" s="222"/>
      <c r="AAD8" s="222"/>
      <c r="AAE8" s="222"/>
      <c r="AAF8" s="222"/>
      <c r="AAG8" s="222"/>
      <c r="AAH8" s="222"/>
      <c r="AAI8" s="222"/>
      <c r="AAJ8" s="222"/>
      <c r="AAK8" s="222"/>
      <c r="AAL8" s="222"/>
      <c r="AAM8" s="222"/>
      <c r="AAN8" s="222"/>
      <c r="AAO8" s="222"/>
      <c r="AAP8" s="222"/>
      <c r="AAQ8" s="222"/>
      <c r="AAR8" s="222"/>
      <c r="AAS8" s="222"/>
      <c r="AAT8" s="222"/>
      <c r="AAU8" s="222"/>
      <c r="AAV8" s="222"/>
      <c r="AAW8" s="222"/>
      <c r="AAX8" s="222"/>
      <c r="AAY8" s="222"/>
      <c r="AAZ8" s="222"/>
      <c r="ABA8" s="222"/>
      <c r="ABB8" s="222"/>
      <c r="ABC8" s="222"/>
      <c r="ABD8" s="222"/>
      <c r="ABE8" s="222"/>
      <c r="ABF8" s="222"/>
      <c r="ABG8" s="222"/>
      <c r="ABH8" s="222"/>
      <c r="ABI8" s="222"/>
      <c r="ABJ8" s="222"/>
      <c r="ABK8" s="222"/>
      <c r="ABL8" s="222"/>
      <c r="ABM8" s="222"/>
      <c r="ABN8" s="222"/>
      <c r="ABO8" s="222"/>
      <c r="ABP8" s="222"/>
      <c r="ABQ8" s="222"/>
      <c r="ABR8" s="222"/>
      <c r="ABS8" s="222"/>
      <c r="ABT8" s="222"/>
      <c r="ABU8" s="222"/>
      <c r="ABV8" s="222"/>
      <c r="ABW8" s="222"/>
      <c r="ABX8" s="222"/>
      <c r="ABY8" s="222"/>
      <c r="ABZ8" s="222"/>
      <c r="ACA8" s="222"/>
      <c r="ACB8" s="222"/>
      <c r="ACC8" s="222"/>
      <c r="ACD8" s="222"/>
      <c r="ACE8" s="222"/>
      <c r="ACF8" s="222"/>
      <c r="ACG8" s="222"/>
      <c r="ACH8" s="222"/>
      <c r="ACI8" s="222"/>
      <c r="ACJ8" s="222"/>
      <c r="ACK8" s="222"/>
      <c r="ACL8" s="222"/>
      <c r="ACM8" s="222"/>
      <c r="ACN8" s="222"/>
      <c r="ACO8" s="222"/>
      <c r="ACP8" s="222"/>
      <c r="ACQ8" s="222"/>
      <c r="ACR8" s="222"/>
      <c r="ACS8" s="222"/>
      <c r="ACT8" s="222"/>
      <c r="ACU8" s="222"/>
      <c r="ACV8" s="222"/>
      <c r="ACW8" s="222"/>
      <c r="ACX8" s="222"/>
      <c r="ACY8" s="222"/>
      <c r="ACZ8" s="222"/>
      <c r="ADA8" s="222"/>
      <c r="ADB8" s="222"/>
      <c r="ADC8" s="222"/>
      <c r="ADD8" s="222"/>
      <c r="ADE8" s="222"/>
      <c r="ADF8" s="222"/>
      <c r="ADG8" s="222"/>
      <c r="ADH8" s="222"/>
      <c r="ADI8" s="222"/>
      <c r="ADJ8" s="222"/>
      <c r="ADK8" s="222"/>
      <c r="ADL8" s="222"/>
      <c r="ADM8" s="222"/>
      <c r="ADN8" s="222"/>
      <c r="ADO8" s="222"/>
      <c r="ADP8" s="222"/>
      <c r="ADQ8" s="222"/>
      <c r="ADR8" s="222"/>
      <c r="ADS8" s="222"/>
      <c r="ADT8" s="222"/>
      <c r="ADU8" s="222"/>
      <c r="ADV8" s="222"/>
      <c r="ADW8" s="222"/>
      <c r="ADX8" s="222"/>
      <c r="ADY8" s="222"/>
      <c r="ADZ8" s="222"/>
      <c r="AEA8" s="222"/>
      <c r="AEB8" s="222"/>
      <c r="AEC8" s="222"/>
      <c r="AED8" s="222"/>
      <c r="AEE8" s="222"/>
      <c r="AEF8" s="222"/>
      <c r="AEG8" s="222"/>
      <c r="AEH8" s="222"/>
      <c r="AEI8" s="222"/>
      <c r="AEJ8" s="222"/>
      <c r="AEK8" s="222"/>
      <c r="AEL8" s="222"/>
      <c r="AEM8" s="222"/>
      <c r="AEN8" s="222"/>
      <c r="AEO8" s="222"/>
      <c r="AEP8" s="222"/>
      <c r="AEQ8" s="222"/>
      <c r="AER8" s="222"/>
      <c r="AES8" s="222"/>
      <c r="AET8" s="222"/>
      <c r="AEU8" s="222"/>
      <c r="AEV8" s="222"/>
      <c r="AEW8" s="222"/>
      <c r="AEX8" s="222"/>
      <c r="AEY8" s="222"/>
      <c r="AEZ8" s="222"/>
      <c r="AFA8" s="222"/>
      <c r="AFB8" s="222"/>
      <c r="AFC8" s="222"/>
      <c r="AFD8" s="222"/>
      <c r="AFE8" s="222"/>
      <c r="AFF8" s="222"/>
      <c r="AFG8" s="222"/>
      <c r="AFH8" s="222"/>
      <c r="AFI8" s="222"/>
      <c r="AFJ8" s="222"/>
      <c r="AFK8" s="222"/>
      <c r="AFL8" s="222"/>
      <c r="AFM8" s="222"/>
      <c r="AFN8" s="222"/>
      <c r="AFO8" s="222"/>
      <c r="AFP8" s="222"/>
      <c r="AFQ8" s="222"/>
      <c r="AFR8" s="222"/>
      <c r="AFS8" s="222"/>
      <c r="AFT8" s="222"/>
      <c r="AFU8" s="222"/>
      <c r="AFV8" s="222"/>
      <c r="AFW8" s="222"/>
      <c r="AFX8" s="222"/>
      <c r="AFY8" s="222"/>
      <c r="AFZ8" s="222"/>
      <c r="AGA8" s="222"/>
      <c r="AGB8" s="222"/>
      <c r="AGC8" s="222"/>
      <c r="AGD8" s="222"/>
      <c r="AGE8" s="222"/>
      <c r="AGF8" s="222"/>
      <c r="AGG8" s="222"/>
      <c r="AGH8" s="222"/>
      <c r="AGI8" s="222"/>
      <c r="AGJ8" s="222"/>
      <c r="AGK8" s="222"/>
      <c r="AGL8" s="222"/>
      <c r="AGM8" s="222"/>
      <c r="AGN8" s="222"/>
      <c r="AGO8" s="222"/>
      <c r="AGP8" s="222"/>
      <c r="AGQ8" s="222"/>
      <c r="AGR8" s="222"/>
      <c r="AGS8" s="222"/>
      <c r="AGT8" s="222"/>
      <c r="AGU8" s="222"/>
      <c r="AGV8" s="222"/>
      <c r="AGW8" s="222"/>
      <c r="AGX8" s="222"/>
      <c r="AGY8" s="222"/>
      <c r="AGZ8" s="222"/>
      <c r="AHA8" s="222"/>
      <c r="AHB8" s="222"/>
      <c r="AHC8" s="222"/>
      <c r="AHD8" s="222"/>
      <c r="AHE8" s="222"/>
      <c r="AHF8" s="222"/>
      <c r="AHG8" s="222"/>
      <c r="AHH8" s="222"/>
      <c r="AHI8" s="222"/>
      <c r="AHJ8" s="222"/>
      <c r="AHK8" s="222"/>
      <c r="AHL8" s="222"/>
      <c r="AHM8" s="222"/>
      <c r="AHN8" s="222"/>
      <c r="AHO8" s="222"/>
      <c r="AHP8" s="222"/>
      <c r="AHQ8" s="222"/>
      <c r="AHR8" s="222"/>
      <c r="AHS8" s="222"/>
      <c r="AHT8" s="222"/>
      <c r="AHU8" s="222"/>
      <c r="AHV8" s="222"/>
      <c r="AHW8" s="222"/>
      <c r="AHX8" s="222"/>
      <c r="AHY8" s="222"/>
      <c r="AHZ8" s="222"/>
      <c r="AIA8" s="222"/>
      <c r="AIB8" s="222"/>
      <c r="AIC8" s="222"/>
      <c r="AID8" s="222"/>
      <c r="AIE8" s="222"/>
      <c r="AIF8" s="222"/>
      <c r="AIG8" s="222"/>
      <c r="AIH8" s="222"/>
      <c r="AII8" s="222"/>
      <c r="AIJ8" s="222"/>
      <c r="AIK8" s="222"/>
      <c r="AIL8" s="222"/>
      <c r="AIM8" s="222"/>
      <c r="AIN8" s="222"/>
      <c r="AIO8" s="222"/>
      <c r="AIP8" s="222"/>
      <c r="AIQ8" s="222"/>
      <c r="AIR8" s="222"/>
      <c r="AIS8" s="222"/>
      <c r="AIT8" s="222"/>
      <c r="AIU8" s="222"/>
      <c r="AIV8" s="222"/>
      <c r="AIW8" s="222"/>
      <c r="AIX8" s="222"/>
      <c r="AIY8" s="222"/>
      <c r="AIZ8" s="222"/>
      <c r="AJA8" s="222"/>
      <c r="AJB8" s="222"/>
      <c r="AJC8" s="222"/>
      <c r="AJD8" s="222"/>
      <c r="AJE8" s="222"/>
      <c r="AJF8" s="222"/>
      <c r="AJG8" s="222"/>
      <c r="AJH8" s="222"/>
      <c r="AJI8" s="222"/>
      <c r="AJJ8" s="222"/>
      <c r="AJK8" s="222"/>
      <c r="AJL8" s="222"/>
      <c r="AJM8" s="222"/>
      <c r="AJN8" s="222"/>
      <c r="AJO8" s="222"/>
      <c r="AJP8" s="222"/>
      <c r="AJQ8" s="222"/>
      <c r="AJR8" s="222"/>
      <c r="AJS8" s="222"/>
      <c r="AJT8" s="222"/>
      <c r="AJU8" s="222"/>
      <c r="AJV8" s="222"/>
      <c r="AJW8" s="222"/>
      <c r="AJX8" s="222"/>
      <c r="AJY8" s="222"/>
      <c r="AJZ8" s="222"/>
      <c r="AKA8" s="222"/>
      <c r="AKB8" s="222"/>
      <c r="AKC8" s="222"/>
      <c r="AKD8" s="222"/>
      <c r="AKE8" s="222"/>
      <c r="AKF8" s="222"/>
      <c r="AKG8" s="222"/>
      <c r="AKH8" s="222"/>
      <c r="AKI8" s="222"/>
      <c r="AKJ8" s="222"/>
      <c r="AKK8" s="222"/>
      <c r="AKL8" s="222"/>
      <c r="AKM8" s="222"/>
      <c r="AKN8" s="222"/>
      <c r="AKO8" s="222"/>
      <c r="AKP8" s="222"/>
      <c r="AKQ8" s="222"/>
      <c r="AKR8" s="222"/>
      <c r="AKS8" s="222"/>
      <c r="AKT8" s="222"/>
      <c r="AKU8" s="222"/>
      <c r="AKV8" s="222"/>
      <c r="AKW8" s="222"/>
      <c r="AKX8" s="222"/>
      <c r="AKY8" s="222"/>
      <c r="AKZ8" s="222"/>
      <c r="ALA8" s="222"/>
      <c r="ALB8" s="222"/>
      <c r="ALC8" s="222"/>
      <c r="ALD8" s="222"/>
      <c r="ALE8" s="222"/>
      <c r="ALF8" s="222"/>
      <c r="ALG8" s="222"/>
      <c r="ALH8" s="222"/>
      <c r="ALI8" s="222"/>
      <c r="ALJ8" s="222"/>
      <c r="ALK8" s="222"/>
      <c r="ALL8" s="222"/>
      <c r="ALM8" s="222"/>
      <c r="ALN8" s="222"/>
      <c r="ALO8" s="222"/>
      <c r="ALP8" s="222"/>
      <c r="ALQ8" s="222"/>
      <c r="ALR8" s="222"/>
      <c r="ALS8" s="222"/>
      <c r="ALT8" s="222"/>
      <c r="ALU8" s="222"/>
      <c r="ALV8" s="222"/>
      <c r="ALW8" s="222"/>
      <c r="ALX8" s="222"/>
      <c r="ALY8" s="222"/>
      <c r="ALZ8" s="222"/>
      <c r="AMA8" s="222"/>
      <c r="AMB8" s="222"/>
      <c r="AMC8" s="222"/>
      <c r="AMD8" s="222"/>
      <c r="AME8" s="222"/>
      <c r="AMF8" s="222"/>
      <c r="AMG8" s="222"/>
      <c r="AMH8" s="222"/>
      <c r="AMI8" s="222"/>
      <c r="AMJ8" s="222"/>
      <c r="AMK8" s="222"/>
      <c r="AML8" s="222"/>
      <c r="AMM8" s="222"/>
      <c r="AMN8" s="222"/>
      <c r="AMO8" s="222"/>
      <c r="AMP8" s="222"/>
      <c r="AMQ8" s="222"/>
      <c r="AMR8" s="222"/>
      <c r="AMS8" s="222"/>
      <c r="AMT8" s="222"/>
      <c r="AMU8" s="222"/>
      <c r="AMV8" s="222"/>
      <c r="AMW8" s="222"/>
      <c r="AMX8" s="222"/>
      <c r="AMY8" s="222"/>
      <c r="AMZ8" s="222"/>
      <c r="ANA8" s="222"/>
      <c r="ANB8" s="222"/>
      <c r="ANC8" s="222"/>
      <c r="AND8" s="222"/>
      <c r="ANE8" s="222"/>
      <c r="ANF8" s="222"/>
      <c r="ANG8" s="222"/>
      <c r="ANH8" s="222"/>
      <c r="ANI8" s="222"/>
      <c r="ANJ8" s="222"/>
      <c r="ANK8" s="222"/>
      <c r="ANL8" s="222"/>
      <c r="ANM8" s="222"/>
      <c r="ANN8" s="222"/>
      <c r="ANO8" s="222"/>
      <c r="ANP8" s="222"/>
      <c r="ANQ8" s="222"/>
      <c r="ANR8" s="222"/>
      <c r="ANS8" s="222"/>
      <c r="ANT8" s="222"/>
      <c r="ANU8" s="222"/>
      <c r="ANV8" s="222"/>
      <c r="ANW8" s="222"/>
      <c r="ANX8" s="222"/>
      <c r="ANY8" s="222"/>
      <c r="ANZ8" s="222"/>
      <c r="AOA8" s="222"/>
      <c r="AOB8" s="222"/>
      <c r="AOC8" s="222"/>
      <c r="AOD8" s="222"/>
      <c r="AOE8" s="222"/>
      <c r="AOF8" s="222"/>
      <c r="AOG8" s="222"/>
    </row>
    <row r="9" spans="1:1073">
      <c r="A9" s="2127"/>
      <c r="B9" s="223">
        <v>1</v>
      </c>
      <c r="C9" s="224"/>
      <c r="D9" s="225"/>
      <c r="E9" s="226"/>
      <c r="F9" s="226"/>
      <c r="G9" s="227" t="str">
        <f>IF(C9="","",IF(Tabelle1[[#This Row],[End Date]]&lt;COV!$E$12,0,IF(COV!E$12="","",IF(Tabelle1[[#This Row],[End Date]]-Tabelle1[[#This Row],[Start Date]]&gt;0,IF(F9&lt;COV!E$11,(F9-IF(E9&lt;COV!E$12,COV!E$12,Tabelle1[[#This Row],[Start Date]])),(COV!E$11-IF(E9&lt;COV!E$12,COV!E$12,Tabelle1[[#This Row],[Start Date]])))/365*12,""))))</f>
        <v/>
      </c>
      <c r="H9" s="225"/>
      <c r="I9" s="228"/>
      <c r="J9" s="229"/>
      <c r="K9" s="1325" t="str">
        <f>IF(Tabelle1[[#This Row],[Project Name]]="","",IF(OR(Tabelle1[[#This Row],[PM Category]]=CAT_A_NAME,Tabelle1[[#This Row],[PM Category]]=CAT_B_NAME,Tabelle1[[#This Row],[PM Category]]=CAT_C_NAME,Tabelle1[[#This Row],[PM Category]]=CAT_D_NAME,Tabelle1[[#This Row],[PM Category]]=CAT_E_NAME,Tabelle1[[#This Row],[PM Category]]=CAT_SPJ,Tabelle1[[#This Row],[PM Category]]=CAT_PJ,Tabelle1[[#This Row],[PM Category]]=""),"","1"))</f>
        <v/>
      </c>
      <c r="L9" s="1326">
        <f>IF(Tabelle1[[#This Row],[Role]]="PJM",1)+IF(Tabelle1[[#This Row],[Role]]="PGM",1)+IF(Tabelle1[[#This Row],[Role]]="PFM",1)+IF(Tabelle1[[#This Row],[Role]]="TPM",1)+IF(Tabelle1[[#This Row],[Role]]="CPM",1)</f>
        <v>0</v>
      </c>
      <c r="M9" s="230" t="str">
        <f>IFERROR(IF(Tabelle1[[#This Row],[Project Name]]&lt;&gt;"",IF(G9*I9&gt;0,G9,""),"")*Tabelle1[[#This Row],[Role Check]],"")</f>
        <v/>
      </c>
      <c r="N9" s="231" t="str">
        <f>IFERROR(Tabelle1[[#This Row],[Duration '[months']]]*Tabelle1[[#This Row],[Avg. time spent in resp. Role]],"")</f>
        <v/>
      </c>
      <c r="O9" s="221"/>
      <c r="S9" s="208" t="str">
        <f>IF(Tabelle1[[#This Row],[Project Name]]&lt;&gt;"",Tabelle1[[#This Row],[Project Name]],"")</f>
        <v/>
      </c>
      <c r="T9" s="232">
        <f t="shared" ref="T9:U25" si="12">IF(AND(T$7&gt;=$E9,T$7&lt;=$F9),$I9,"")</f>
        <v>0</v>
      </c>
      <c r="U9" s="545" t="e">
        <f t="shared" si="12"/>
        <v>#VALUE!</v>
      </c>
      <c r="V9" s="545" t="e">
        <f t="shared" ref="V9:AE18" si="13">IF(V$7="","",IF(AND(V$7&gt;=$E9,V$7&lt;=$F9),$I9,""))</f>
        <v>#VALUE!</v>
      </c>
      <c r="W9" s="232" t="e">
        <f t="shared" si="13"/>
        <v>#VALUE!</v>
      </c>
      <c r="X9" s="232" t="e">
        <f t="shared" si="13"/>
        <v>#VALUE!</v>
      </c>
      <c r="Y9" s="232" t="e">
        <f t="shared" si="13"/>
        <v>#VALUE!</v>
      </c>
      <c r="Z9" s="232" t="e">
        <f t="shared" si="13"/>
        <v>#VALUE!</v>
      </c>
      <c r="AA9" s="232" t="e">
        <f t="shared" si="13"/>
        <v>#VALUE!</v>
      </c>
      <c r="AB9" s="232" t="e">
        <f t="shared" si="13"/>
        <v>#VALUE!</v>
      </c>
      <c r="AC9" s="232" t="e">
        <f t="shared" si="13"/>
        <v>#VALUE!</v>
      </c>
      <c r="AD9" s="232" t="e">
        <f t="shared" si="13"/>
        <v>#VALUE!</v>
      </c>
      <c r="AE9" s="232" t="e">
        <f t="shared" si="13"/>
        <v>#VALUE!</v>
      </c>
      <c r="AF9" s="232" t="e">
        <f t="shared" ref="AF9:AO18" si="14">IF(AF$7="","",IF(AND(AF$7&gt;=$E9,AF$7&lt;=$F9),$I9,""))</f>
        <v>#VALUE!</v>
      </c>
      <c r="AG9" s="232" t="e">
        <f t="shared" si="14"/>
        <v>#VALUE!</v>
      </c>
      <c r="AH9" s="232" t="e">
        <f t="shared" si="14"/>
        <v>#VALUE!</v>
      </c>
      <c r="AI9" s="232" t="e">
        <f t="shared" si="14"/>
        <v>#VALUE!</v>
      </c>
      <c r="AJ9" s="232" t="e">
        <f t="shared" si="14"/>
        <v>#VALUE!</v>
      </c>
      <c r="AK9" s="232" t="e">
        <f t="shared" si="14"/>
        <v>#VALUE!</v>
      </c>
      <c r="AL9" s="232" t="e">
        <f t="shared" si="14"/>
        <v>#VALUE!</v>
      </c>
      <c r="AM9" s="232" t="e">
        <f t="shared" si="14"/>
        <v>#VALUE!</v>
      </c>
      <c r="AN9" s="232" t="e">
        <f t="shared" si="14"/>
        <v>#VALUE!</v>
      </c>
      <c r="AO9" s="232" t="e">
        <f t="shared" si="14"/>
        <v>#VALUE!</v>
      </c>
      <c r="AP9" s="232" t="e">
        <f t="shared" ref="AP9:AY18" si="15">IF(AP$7="","",IF(AND(AP$7&gt;=$E9,AP$7&lt;=$F9),$I9,""))</f>
        <v>#VALUE!</v>
      </c>
      <c r="AQ9" s="232" t="e">
        <f t="shared" si="15"/>
        <v>#VALUE!</v>
      </c>
      <c r="AR9" s="232" t="e">
        <f t="shared" si="15"/>
        <v>#VALUE!</v>
      </c>
      <c r="AS9" s="232" t="e">
        <f t="shared" si="15"/>
        <v>#VALUE!</v>
      </c>
      <c r="AT9" s="232" t="e">
        <f t="shared" si="15"/>
        <v>#VALUE!</v>
      </c>
      <c r="AU9" s="232" t="e">
        <f t="shared" si="15"/>
        <v>#VALUE!</v>
      </c>
      <c r="AV9" s="232" t="e">
        <f t="shared" si="15"/>
        <v>#VALUE!</v>
      </c>
      <c r="AW9" s="232" t="e">
        <f t="shared" si="15"/>
        <v>#VALUE!</v>
      </c>
      <c r="AX9" s="232" t="e">
        <f t="shared" si="15"/>
        <v>#VALUE!</v>
      </c>
      <c r="AY9" s="232" t="e">
        <f t="shared" si="15"/>
        <v>#VALUE!</v>
      </c>
      <c r="AZ9" s="232" t="e">
        <f t="shared" ref="AZ9:BI18" si="16">IF(AZ$7="","",IF(AND(AZ$7&gt;=$E9,AZ$7&lt;=$F9),$I9,""))</f>
        <v>#VALUE!</v>
      </c>
      <c r="BA9" s="232" t="e">
        <f t="shared" si="16"/>
        <v>#VALUE!</v>
      </c>
      <c r="BB9" s="232" t="e">
        <f t="shared" si="16"/>
        <v>#VALUE!</v>
      </c>
      <c r="BC9" s="232" t="e">
        <f t="shared" si="16"/>
        <v>#VALUE!</v>
      </c>
      <c r="BD9" s="232" t="e">
        <f t="shared" si="16"/>
        <v>#VALUE!</v>
      </c>
      <c r="BE9" s="232" t="e">
        <f t="shared" si="16"/>
        <v>#VALUE!</v>
      </c>
      <c r="BF9" s="232" t="e">
        <f t="shared" si="16"/>
        <v>#VALUE!</v>
      </c>
      <c r="BG9" s="232" t="e">
        <f t="shared" si="16"/>
        <v>#VALUE!</v>
      </c>
      <c r="BH9" s="232" t="e">
        <f t="shared" si="16"/>
        <v>#VALUE!</v>
      </c>
      <c r="BI9" s="232" t="e">
        <f t="shared" si="16"/>
        <v>#VALUE!</v>
      </c>
      <c r="BJ9" s="232" t="e">
        <f t="shared" ref="BJ9:BS18" si="17">IF(BJ$7="","",IF(AND(BJ$7&gt;=$E9,BJ$7&lt;=$F9),$I9,""))</f>
        <v>#VALUE!</v>
      </c>
      <c r="BK9" s="232" t="e">
        <f t="shared" si="17"/>
        <v>#VALUE!</v>
      </c>
      <c r="BL9" s="232" t="e">
        <f t="shared" si="17"/>
        <v>#VALUE!</v>
      </c>
      <c r="BM9" s="232" t="e">
        <f t="shared" si="17"/>
        <v>#VALUE!</v>
      </c>
      <c r="BN9" s="232" t="e">
        <f t="shared" si="17"/>
        <v>#VALUE!</v>
      </c>
      <c r="BO9" s="232" t="e">
        <f t="shared" si="17"/>
        <v>#VALUE!</v>
      </c>
      <c r="BP9" s="232" t="e">
        <f t="shared" si="17"/>
        <v>#VALUE!</v>
      </c>
      <c r="BQ9" s="232" t="e">
        <f t="shared" si="17"/>
        <v>#VALUE!</v>
      </c>
      <c r="BR9" s="232" t="e">
        <f t="shared" si="17"/>
        <v>#VALUE!</v>
      </c>
      <c r="BS9" s="232" t="e">
        <f t="shared" si="17"/>
        <v>#VALUE!</v>
      </c>
      <c r="BT9" s="232" t="e">
        <f t="shared" ref="BT9:CC18" si="18">IF(BT$7="","",IF(AND(BT$7&gt;=$E9,BT$7&lt;=$F9),$I9,""))</f>
        <v>#VALUE!</v>
      </c>
      <c r="BU9" s="232" t="e">
        <f t="shared" si="18"/>
        <v>#VALUE!</v>
      </c>
      <c r="BV9" s="232" t="e">
        <f t="shared" si="18"/>
        <v>#VALUE!</v>
      </c>
      <c r="BW9" s="232" t="e">
        <f t="shared" si="18"/>
        <v>#VALUE!</v>
      </c>
      <c r="BX9" s="232" t="e">
        <f t="shared" si="18"/>
        <v>#VALUE!</v>
      </c>
      <c r="BY9" s="232" t="e">
        <f t="shared" si="18"/>
        <v>#VALUE!</v>
      </c>
      <c r="BZ9" s="232" t="e">
        <f t="shared" si="18"/>
        <v>#VALUE!</v>
      </c>
      <c r="CA9" s="232" t="e">
        <f t="shared" si="18"/>
        <v>#VALUE!</v>
      </c>
      <c r="CB9" s="232" t="e">
        <f t="shared" si="18"/>
        <v>#VALUE!</v>
      </c>
      <c r="CC9" s="232" t="e">
        <f t="shared" si="18"/>
        <v>#VALUE!</v>
      </c>
      <c r="CD9" s="232" t="e">
        <f t="shared" ref="CD9:CM18" si="19">IF(CD$7="","",IF(AND(CD$7&gt;=$E9,CD$7&lt;=$F9),$I9,""))</f>
        <v>#VALUE!</v>
      </c>
      <c r="CE9" s="232" t="e">
        <f t="shared" si="19"/>
        <v>#VALUE!</v>
      </c>
      <c r="CF9" s="232" t="e">
        <f t="shared" si="19"/>
        <v>#VALUE!</v>
      </c>
      <c r="CG9" s="232" t="e">
        <f t="shared" si="19"/>
        <v>#VALUE!</v>
      </c>
      <c r="CH9" s="232" t="e">
        <f t="shared" si="19"/>
        <v>#VALUE!</v>
      </c>
      <c r="CI9" s="232" t="e">
        <f t="shared" si="19"/>
        <v>#VALUE!</v>
      </c>
      <c r="CJ9" s="232" t="e">
        <f t="shared" si="19"/>
        <v>#VALUE!</v>
      </c>
      <c r="CK9" s="232" t="e">
        <f t="shared" si="19"/>
        <v>#VALUE!</v>
      </c>
      <c r="CL9" s="232" t="e">
        <f t="shared" si="19"/>
        <v>#VALUE!</v>
      </c>
      <c r="CM9" s="232" t="e">
        <f t="shared" si="19"/>
        <v>#VALUE!</v>
      </c>
      <c r="CN9" s="232" t="e">
        <f t="shared" ref="CN9:CW18" si="20">IF(CN$7="","",IF(AND(CN$7&gt;=$E9,CN$7&lt;=$F9),$I9,""))</f>
        <v>#VALUE!</v>
      </c>
      <c r="CO9" s="232" t="e">
        <f t="shared" si="20"/>
        <v>#VALUE!</v>
      </c>
      <c r="CP9" s="232" t="e">
        <f t="shared" si="20"/>
        <v>#VALUE!</v>
      </c>
      <c r="CQ9" s="232" t="e">
        <f t="shared" si="20"/>
        <v>#VALUE!</v>
      </c>
      <c r="CR9" s="232" t="e">
        <f t="shared" si="20"/>
        <v>#VALUE!</v>
      </c>
      <c r="CS9" s="232" t="e">
        <f t="shared" si="20"/>
        <v>#VALUE!</v>
      </c>
      <c r="CT9" s="232" t="e">
        <f t="shared" si="20"/>
        <v>#VALUE!</v>
      </c>
      <c r="CU9" s="232" t="e">
        <f t="shared" si="20"/>
        <v>#VALUE!</v>
      </c>
      <c r="CV9" s="232" t="e">
        <f t="shared" si="20"/>
        <v>#VALUE!</v>
      </c>
      <c r="CW9" s="232" t="e">
        <f t="shared" si="20"/>
        <v>#VALUE!</v>
      </c>
      <c r="CX9" s="232" t="e">
        <f t="shared" ref="CX9:DG18" si="21">IF(CX$7="","",IF(AND(CX$7&gt;=$E9,CX$7&lt;=$F9),$I9,""))</f>
        <v>#VALUE!</v>
      </c>
      <c r="CY9" s="232" t="e">
        <f t="shared" si="21"/>
        <v>#VALUE!</v>
      </c>
      <c r="CZ9" s="232" t="e">
        <f t="shared" si="21"/>
        <v>#VALUE!</v>
      </c>
      <c r="DA9" s="232" t="e">
        <f t="shared" si="21"/>
        <v>#VALUE!</v>
      </c>
      <c r="DB9" s="232" t="e">
        <f t="shared" si="21"/>
        <v>#VALUE!</v>
      </c>
      <c r="DC9" s="232" t="e">
        <f t="shared" si="21"/>
        <v>#VALUE!</v>
      </c>
      <c r="DD9" s="232" t="e">
        <f t="shared" si="21"/>
        <v>#VALUE!</v>
      </c>
      <c r="DE9" s="232" t="e">
        <f t="shared" si="21"/>
        <v>#VALUE!</v>
      </c>
      <c r="DF9" s="232" t="e">
        <f t="shared" si="21"/>
        <v>#VALUE!</v>
      </c>
      <c r="DG9" s="232" t="e">
        <f t="shared" si="21"/>
        <v>#VALUE!</v>
      </c>
      <c r="DH9" s="232" t="e">
        <f t="shared" ref="DH9:DQ18" si="22">IF(DH$7="","",IF(AND(DH$7&gt;=$E9,DH$7&lt;=$F9),$I9,""))</f>
        <v>#VALUE!</v>
      </c>
      <c r="DI9" s="232" t="e">
        <f t="shared" si="22"/>
        <v>#VALUE!</v>
      </c>
      <c r="DJ9" s="232" t="e">
        <f t="shared" si="22"/>
        <v>#VALUE!</v>
      </c>
      <c r="DK9" s="232" t="e">
        <f t="shared" si="22"/>
        <v>#VALUE!</v>
      </c>
      <c r="DL9" s="232" t="e">
        <f t="shared" si="22"/>
        <v>#VALUE!</v>
      </c>
      <c r="DM9" s="232" t="e">
        <f t="shared" si="22"/>
        <v>#VALUE!</v>
      </c>
      <c r="DN9" s="232" t="e">
        <f t="shared" si="22"/>
        <v>#VALUE!</v>
      </c>
      <c r="DO9" s="232" t="e">
        <f t="shared" si="22"/>
        <v>#VALUE!</v>
      </c>
      <c r="DP9" s="232" t="e">
        <f t="shared" si="22"/>
        <v>#VALUE!</v>
      </c>
      <c r="DQ9" s="232" t="e">
        <f t="shared" si="22"/>
        <v>#VALUE!</v>
      </c>
      <c r="DR9" s="232" t="e">
        <f t="shared" ref="DR9:EA18" si="23">IF(DR$7="","",IF(AND(DR$7&gt;=$E9,DR$7&lt;=$F9),$I9,""))</f>
        <v>#VALUE!</v>
      </c>
      <c r="DS9" s="232" t="e">
        <f t="shared" si="23"/>
        <v>#VALUE!</v>
      </c>
      <c r="DT9" s="232" t="e">
        <f t="shared" si="23"/>
        <v>#VALUE!</v>
      </c>
      <c r="DU9" s="232" t="e">
        <f t="shared" si="23"/>
        <v>#VALUE!</v>
      </c>
      <c r="DV9" s="232" t="e">
        <f t="shared" si="23"/>
        <v>#VALUE!</v>
      </c>
      <c r="DW9" s="232" t="e">
        <f t="shared" si="23"/>
        <v>#VALUE!</v>
      </c>
      <c r="DX9" s="232" t="e">
        <f t="shared" si="23"/>
        <v>#VALUE!</v>
      </c>
      <c r="DY9" s="232" t="e">
        <f t="shared" si="23"/>
        <v>#VALUE!</v>
      </c>
      <c r="DZ9" s="232" t="e">
        <f t="shared" si="23"/>
        <v>#VALUE!</v>
      </c>
      <c r="EA9" s="232" t="e">
        <f t="shared" si="23"/>
        <v>#VALUE!</v>
      </c>
      <c r="EB9" s="232" t="e">
        <f t="shared" ref="EB9:EK18" si="24">IF(EB$7="","",IF(AND(EB$7&gt;=$E9,EB$7&lt;=$F9),$I9,""))</f>
        <v>#VALUE!</v>
      </c>
      <c r="EC9" s="232" t="e">
        <f t="shared" si="24"/>
        <v>#VALUE!</v>
      </c>
      <c r="ED9" s="232" t="e">
        <f t="shared" si="24"/>
        <v>#VALUE!</v>
      </c>
      <c r="EE9" s="232" t="e">
        <f t="shared" si="24"/>
        <v>#VALUE!</v>
      </c>
      <c r="EF9" s="232" t="e">
        <f t="shared" si="24"/>
        <v>#VALUE!</v>
      </c>
      <c r="EG9" s="232" t="e">
        <f t="shared" si="24"/>
        <v>#VALUE!</v>
      </c>
      <c r="EH9" s="232" t="e">
        <f t="shared" si="24"/>
        <v>#VALUE!</v>
      </c>
      <c r="EI9" s="232" t="e">
        <f t="shared" si="24"/>
        <v>#VALUE!</v>
      </c>
      <c r="EJ9" s="232" t="e">
        <f t="shared" si="24"/>
        <v>#VALUE!</v>
      </c>
      <c r="EK9" s="232" t="e">
        <f t="shared" si="24"/>
        <v>#VALUE!</v>
      </c>
      <c r="EL9" s="232" t="e">
        <f t="shared" ref="EL9:EU18" si="25">IF(EL$7="","",IF(AND(EL$7&gt;=$E9,EL$7&lt;=$F9),$I9,""))</f>
        <v>#VALUE!</v>
      </c>
      <c r="EM9" s="232" t="e">
        <f t="shared" si="25"/>
        <v>#VALUE!</v>
      </c>
      <c r="EN9" s="232" t="e">
        <f t="shared" si="25"/>
        <v>#VALUE!</v>
      </c>
      <c r="EO9" s="232" t="e">
        <f t="shared" si="25"/>
        <v>#VALUE!</v>
      </c>
      <c r="EP9" s="232" t="e">
        <f t="shared" si="25"/>
        <v>#VALUE!</v>
      </c>
      <c r="EQ9" s="232" t="e">
        <f t="shared" si="25"/>
        <v>#VALUE!</v>
      </c>
      <c r="ER9" s="232" t="e">
        <f t="shared" si="25"/>
        <v>#VALUE!</v>
      </c>
      <c r="ES9" s="232" t="e">
        <f t="shared" si="25"/>
        <v>#VALUE!</v>
      </c>
      <c r="ET9" s="232" t="e">
        <f t="shared" si="25"/>
        <v>#VALUE!</v>
      </c>
      <c r="EU9" s="232" t="e">
        <f t="shared" si="25"/>
        <v>#VALUE!</v>
      </c>
      <c r="EV9" s="232" t="e">
        <f t="shared" ref="EV9:FE18" si="26">IF(EV$7="","",IF(AND(EV$7&gt;=$E9,EV$7&lt;=$F9),$I9,""))</f>
        <v>#VALUE!</v>
      </c>
      <c r="EW9" s="232" t="e">
        <f t="shared" si="26"/>
        <v>#VALUE!</v>
      </c>
      <c r="EX9" s="232" t="e">
        <f t="shared" si="26"/>
        <v>#VALUE!</v>
      </c>
      <c r="EY9" s="232" t="e">
        <f t="shared" si="26"/>
        <v>#VALUE!</v>
      </c>
      <c r="EZ9" s="232" t="e">
        <f t="shared" si="26"/>
        <v>#VALUE!</v>
      </c>
      <c r="FA9" s="232" t="e">
        <f t="shared" si="26"/>
        <v>#VALUE!</v>
      </c>
      <c r="FB9" s="232" t="e">
        <f t="shared" si="26"/>
        <v>#VALUE!</v>
      </c>
      <c r="FC9" s="232" t="e">
        <f t="shared" si="26"/>
        <v>#VALUE!</v>
      </c>
      <c r="FD9" s="232" t="e">
        <f t="shared" si="26"/>
        <v>#VALUE!</v>
      </c>
      <c r="FE9" s="232" t="e">
        <f t="shared" si="26"/>
        <v>#VALUE!</v>
      </c>
      <c r="FF9" s="232" t="e">
        <f t="shared" ref="FF9:FO18" si="27">IF(FF$7="","",IF(AND(FF$7&gt;=$E9,FF$7&lt;=$F9),$I9,""))</f>
        <v>#VALUE!</v>
      </c>
      <c r="FG9" s="232" t="e">
        <f t="shared" si="27"/>
        <v>#VALUE!</v>
      </c>
      <c r="FH9" s="232" t="e">
        <f t="shared" si="27"/>
        <v>#VALUE!</v>
      </c>
      <c r="FI9" s="232" t="e">
        <f t="shared" si="27"/>
        <v>#VALUE!</v>
      </c>
      <c r="FJ9" s="232" t="e">
        <f t="shared" si="27"/>
        <v>#VALUE!</v>
      </c>
      <c r="FK9" s="232" t="e">
        <f t="shared" si="27"/>
        <v>#VALUE!</v>
      </c>
      <c r="FL9" s="232" t="e">
        <f t="shared" si="27"/>
        <v>#VALUE!</v>
      </c>
      <c r="FM9" s="232" t="e">
        <f t="shared" si="27"/>
        <v>#VALUE!</v>
      </c>
      <c r="FN9" s="232" t="e">
        <f t="shared" si="27"/>
        <v>#VALUE!</v>
      </c>
      <c r="FO9" s="232" t="e">
        <f t="shared" si="27"/>
        <v>#VALUE!</v>
      </c>
      <c r="FP9" s="232" t="e">
        <f t="shared" ref="FP9:FY18" si="28">IF(FP$7="","",IF(AND(FP$7&gt;=$E9,FP$7&lt;=$F9),$I9,""))</f>
        <v>#VALUE!</v>
      </c>
      <c r="FQ9" s="232" t="e">
        <f t="shared" si="28"/>
        <v>#VALUE!</v>
      </c>
      <c r="FR9" s="232" t="e">
        <f t="shared" si="28"/>
        <v>#VALUE!</v>
      </c>
      <c r="FS9" s="232" t="e">
        <f t="shared" si="28"/>
        <v>#VALUE!</v>
      </c>
      <c r="FT9" s="232" t="e">
        <f t="shared" si="28"/>
        <v>#VALUE!</v>
      </c>
      <c r="FU9" s="232" t="e">
        <f t="shared" si="28"/>
        <v>#VALUE!</v>
      </c>
      <c r="FV9" s="232" t="e">
        <f t="shared" si="28"/>
        <v>#VALUE!</v>
      </c>
      <c r="FW9" s="232" t="e">
        <f t="shared" si="28"/>
        <v>#VALUE!</v>
      </c>
      <c r="FX9" s="232" t="e">
        <f t="shared" si="28"/>
        <v>#VALUE!</v>
      </c>
      <c r="FY9" s="232" t="e">
        <f t="shared" si="28"/>
        <v>#VALUE!</v>
      </c>
      <c r="FZ9" s="232" t="e">
        <f t="shared" ref="FZ9:GI18" si="29">IF(FZ$7="","",IF(AND(FZ$7&gt;=$E9,FZ$7&lt;=$F9),$I9,""))</f>
        <v>#VALUE!</v>
      </c>
      <c r="GA9" s="232" t="e">
        <f t="shared" si="29"/>
        <v>#VALUE!</v>
      </c>
      <c r="GB9" s="232" t="e">
        <f t="shared" si="29"/>
        <v>#VALUE!</v>
      </c>
      <c r="GC9" s="232" t="e">
        <f t="shared" si="29"/>
        <v>#VALUE!</v>
      </c>
      <c r="GD9" s="232" t="e">
        <f t="shared" si="29"/>
        <v>#VALUE!</v>
      </c>
      <c r="GE9" s="232" t="e">
        <f t="shared" si="29"/>
        <v>#VALUE!</v>
      </c>
      <c r="GF9" s="232" t="e">
        <f t="shared" si="29"/>
        <v>#VALUE!</v>
      </c>
      <c r="GG9" s="232" t="e">
        <f t="shared" si="29"/>
        <v>#VALUE!</v>
      </c>
      <c r="GH9" s="232" t="e">
        <f t="shared" si="29"/>
        <v>#VALUE!</v>
      </c>
      <c r="GI9" s="232" t="e">
        <f t="shared" si="29"/>
        <v>#VALUE!</v>
      </c>
      <c r="GJ9" s="232" t="e">
        <f t="shared" ref="GJ9:GS18" si="30">IF(GJ$7="","",IF(AND(GJ$7&gt;=$E9,GJ$7&lt;=$F9),$I9,""))</f>
        <v>#VALUE!</v>
      </c>
      <c r="GK9" s="232" t="e">
        <f t="shared" si="30"/>
        <v>#VALUE!</v>
      </c>
      <c r="GL9" s="232" t="e">
        <f t="shared" si="30"/>
        <v>#VALUE!</v>
      </c>
      <c r="GM9" s="232" t="e">
        <f t="shared" si="30"/>
        <v>#VALUE!</v>
      </c>
      <c r="GN9" s="232" t="e">
        <f t="shared" si="30"/>
        <v>#VALUE!</v>
      </c>
      <c r="GO9" s="232" t="e">
        <f t="shared" si="30"/>
        <v>#VALUE!</v>
      </c>
      <c r="GP9" s="232" t="e">
        <f t="shared" si="30"/>
        <v>#VALUE!</v>
      </c>
      <c r="GQ9" s="232" t="e">
        <f t="shared" si="30"/>
        <v>#VALUE!</v>
      </c>
      <c r="GR9" s="232" t="e">
        <f t="shared" si="30"/>
        <v>#VALUE!</v>
      </c>
      <c r="GS9" s="232" t="e">
        <f t="shared" si="30"/>
        <v>#VALUE!</v>
      </c>
      <c r="GT9" s="232" t="e">
        <f t="shared" ref="GT9:HC18" si="31">IF(GT$7="","",IF(AND(GT$7&gt;=$E9,GT$7&lt;=$F9),$I9,""))</f>
        <v>#VALUE!</v>
      </c>
      <c r="GU9" s="232" t="e">
        <f t="shared" si="31"/>
        <v>#VALUE!</v>
      </c>
      <c r="GV9" s="232" t="e">
        <f t="shared" si="31"/>
        <v>#VALUE!</v>
      </c>
      <c r="GW9" s="232" t="e">
        <f t="shared" si="31"/>
        <v>#VALUE!</v>
      </c>
      <c r="GX9" s="232" t="e">
        <f t="shared" si="31"/>
        <v>#VALUE!</v>
      </c>
      <c r="GY9" s="232" t="e">
        <f t="shared" si="31"/>
        <v>#VALUE!</v>
      </c>
      <c r="GZ9" s="232" t="e">
        <f t="shared" si="31"/>
        <v>#VALUE!</v>
      </c>
      <c r="HA9" s="232" t="e">
        <f t="shared" si="31"/>
        <v>#VALUE!</v>
      </c>
      <c r="HB9" s="232" t="e">
        <f t="shared" si="31"/>
        <v>#VALUE!</v>
      </c>
      <c r="HC9" s="232" t="e">
        <f t="shared" si="31"/>
        <v>#VALUE!</v>
      </c>
      <c r="HD9" s="232" t="e">
        <f t="shared" ref="HD9:HM18" si="32">IF(HD$7="","",IF(AND(HD$7&gt;=$E9,HD$7&lt;=$F9),$I9,""))</f>
        <v>#VALUE!</v>
      </c>
      <c r="HE9" s="232" t="e">
        <f t="shared" si="32"/>
        <v>#VALUE!</v>
      </c>
      <c r="HF9" s="232" t="e">
        <f t="shared" si="32"/>
        <v>#VALUE!</v>
      </c>
      <c r="HG9" s="232" t="e">
        <f t="shared" si="32"/>
        <v>#VALUE!</v>
      </c>
      <c r="HH9" s="232" t="e">
        <f t="shared" si="32"/>
        <v>#VALUE!</v>
      </c>
      <c r="HI9" s="232" t="e">
        <f t="shared" si="32"/>
        <v>#VALUE!</v>
      </c>
      <c r="HJ9" s="232" t="e">
        <f t="shared" si="32"/>
        <v>#VALUE!</v>
      </c>
      <c r="HK9" s="232" t="e">
        <f t="shared" si="32"/>
        <v>#VALUE!</v>
      </c>
      <c r="HL9" s="232" t="e">
        <f t="shared" si="32"/>
        <v>#VALUE!</v>
      </c>
      <c r="HM9" s="232" t="e">
        <f t="shared" si="32"/>
        <v>#VALUE!</v>
      </c>
      <c r="HN9" s="232" t="e">
        <f t="shared" ref="HN9:HW18" si="33">IF(HN$7="","",IF(AND(HN$7&gt;=$E9,HN$7&lt;=$F9),$I9,""))</f>
        <v>#VALUE!</v>
      </c>
      <c r="HO9" s="232" t="e">
        <f t="shared" si="33"/>
        <v>#VALUE!</v>
      </c>
      <c r="HP9" s="232" t="e">
        <f t="shared" si="33"/>
        <v>#VALUE!</v>
      </c>
      <c r="HQ9" s="232" t="e">
        <f t="shared" si="33"/>
        <v>#VALUE!</v>
      </c>
      <c r="HR9" s="232" t="e">
        <f t="shared" si="33"/>
        <v>#VALUE!</v>
      </c>
      <c r="HS9" s="232" t="e">
        <f t="shared" si="33"/>
        <v>#VALUE!</v>
      </c>
      <c r="HT9" s="232" t="e">
        <f t="shared" si="33"/>
        <v>#VALUE!</v>
      </c>
      <c r="HU9" s="232" t="e">
        <f t="shared" si="33"/>
        <v>#VALUE!</v>
      </c>
      <c r="HV9" s="232" t="e">
        <f t="shared" si="33"/>
        <v>#VALUE!</v>
      </c>
      <c r="HW9" s="232" t="e">
        <f t="shared" si="33"/>
        <v>#VALUE!</v>
      </c>
      <c r="HX9" s="232" t="e">
        <f t="shared" ref="HX9:IG18" si="34">IF(HX$7="","",IF(AND(HX$7&gt;=$E9,HX$7&lt;=$F9),$I9,""))</f>
        <v>#VALUE!</v>
      </c>
      <c r="HY9" s="232" t="e">
        <f t="shared" si="34"/>
        <v>#VALUE!</v>
      </c>
      <c r="HZ9" s="232" t="e">
        <f t="shared" si="34"/>
        <v>#VALUE!</v>
      </c>
      <c r="IA9" s="232" t="e">
        <f t="shared" si="34"/>
        <v>#VALUE!</v>
      </c>
      <c r="IB9" s="232" t="e">
        <f t="shared" si="34"/>
        <v>#VALUE!</v>
      </c>
      <c r="IC9" s="232" t="e">
        <f t="shared" si="34"/>
        <v>#VALUE!</v>
      </c>
      <c r="ID9" s="232" t="e">
        <f t="shared" si="34"/>
        <v>#VALUE!</v>
      </c>
      <c r="IE9" s="232" t="e">
        <f t="shared" si="34"/>
        <v>#VALUE!</v>
      </c>
      <c r="IF9" s="232" t="e">
        <f t="shared" si="34"/>
        <v>#VALUE!</v>
      </c>
      <c r="IG9" s="232" t="e">
        <f t="shared" si="34"/>
        <v>#VALUE!</v>
      </c>
      <c r="IH9" s="232" t="e">
        <f t="shared" ref="IH9:IQ18" si="35">IF(IH$7="","",IF(AND(IH$7&gt;=$E9,IH$7&lt;=$F9),$I9,""))</f>
        <v>#VALUE!</v>
      </c>
      <c r="II9" s="232" t="e">
        <f t="shared" si="35"/>
        <v>#VALUE!</v>
      </c>
      <c r="IJ9" s="232" t="e">
        <f t="shared" si="35"/>
        <v>#VALUE!</v>
      </c>
      <c r="IK9" s="232" t="e">
        <f t="shared" si="35"/>
        <v>#VALUE!</v>
      </c>
      <c r="IL9" s="232" t="e">
        <f t="shared" si="35"/>
        <v>#VALUE!</v>
      </c>
      <c r="IM9" s="232" t="e">
        <f t="shared" si="35"/>
        <v>#VALUE!</v>
      </c>
      <c r="IN9" s="232" t="e">
        <f t="shared" si="35"/>
        <v>#VALUE!</v>
      </c>
      <c r="IO9" s="232" t="e">
        <f t="shared" si="35"/>
        <v>#VALUE!</v>
      </c>
      <c r="IP9" s="232" t="e">
        <f t="shared" si="35"/>
        <v>#VALUE!</v>
      </c>
      <c r="IQ9" s="232" t="e">
        <f t="shared" si="35"/>
        <v>#VALUE!</v>
      </c>
      <c r="IR9" s="232" t="e">
        <f t="shared" ref="IR9:JA18" si="36">IF(IR$7="","",IF(AND(IR$7&gt;=$E9,IR$7&lt;=$F9),$I9,""))</f>
        <v>#VALUE!</v>
      </c>
      <c r="IS9" s="232" t="e">
        <f t="shared" si="36"/>
        <v>#VALUE!</v>
      </c>
      <c r="IT9" s="232" t="e">
        <f t="shared" si="36"/>
        <v>#VALUE!</v>
      </c>
      <c r="IU9" s="232" t="e">
        <f t="shared" si="36"/>
        <v>#VALUE!</v>
      </c>
      <c r="IV9" s="232" t="e">
        <f t="shared" si="36"/>
        <v>#VALUE!</v>
      </c>
      <c r="IW9" s="232" t="e">
        <f t="shared" si="36"/>
        <v>#VALUE!</v>
      </c>
      <c r="IX9" s="232" t="e">
        <f t="shared" si="36"/>
        <v>#VALUE!</v>
      </c>
      <c r="IY9" s="232" t="e">
        <f t="shared" si="36"/>
        <v>#VALUE!</v>
      </c>
      <c r="IZ9" s="232" t="e">
        <f t="shared" si="36"/>
        <v>#VALUE!</v>
      </c>
      <c r="JA9" s="232" t="e">
        <f t="shared" si="36"/>
        <v>#VALUE!</v>
      </c>
      <c r="JB9" s="232" t="e">
        <f t="shared" ref="JB9:JJ18" si="37">IF(JB$7="","",IF(AND(JB$7&gt;=$E9,JB$7&lt;=$F9),$I9,""))</f>
        <v>#VALUE!</v>
      </c>
      <c r="JC9" s="232" t="e">
        <f t="shared" si="37"/>
        <v>#VALUE!</v>
      </c>
      <c r="JD9" s="232" t="e">
        <f t="shared" si="37"/>
        <v>#VALUE!</v>
      </c>
      <c r="JE9" s="232" t="e">
        <f t="shared" si="37"/>
        <v>#VALUE!</v>
      </c>
      <c r="JF9" s="232" t="e">
        <f t="shared" si="37"/>
        <v>#VALUE!</v>
      </c>
      <c r="JG9" s="232" t="e">
        <f t="shared" si="37"/>
        <v>#VALUE!</v>
      </c>
      <c r="JH9" s="232" t="e">
        <f t="shared" si="37"/>
        <v>#VALUE!</v>
      </c>
      <c r="JI9" s="232" t="e">
        <f t="shared" si="37"/>
        <v>#VALUE!</v>
      </c>
      <c r="JJ9" s="232" t="e">
        <f t="shared" si="37"/>
        <v>#VALUE!</v>
      </c>
      <c r="JK9" s="232"/>
      <c r="JL9" s="232"/>
      <c r="JM9" s="232"/>
      <c r="JN9" s="232"/>
      <c r="JO9" s="232"/>
      <c r="JP9" s="232"/>
      <c r="JQ9" s="232"/>
      <c r="JR9" s="232"/>
      <c r="JS9" s="232"/>
      <c r="JT9" s="232"/>
      <c r="JU9" s="232"/>
      <c r="JV9" s="232"/>
      <c r="JW9" s="232"/>
      <c r="JX9" s="232"/>
      <c r="JY9" s="232"/>
      <c r="JZ9" s="232"/>
      <c r="KA9" s="232"/>
      <c r="KB9" s="232"/>
      <c r="KC9" s="232"/>
      <c r="KD9" s="232"/>
      <c r="KE9" s="232"/>
      <c r="KF9" s="232"/>
      <c r="KG9" s="232"/>
      <c r="KH9" s="232"/>
      <c r="KI9" s="232"/>
      <c r="KJ9" s="232"/>
      <c r="KK9" s="232"/>
      <c r="KL9" s="232"/>
      <c r="KM9" s="232"/>
      <c r="KN9" s="232"/>
      <c r="KO9" s="232"/>
      <c r="KP9" s="232"/>
      <c r="KQ9" s="232"/>
      <c r="KR9" s="232"/>
      <c r="KS9" s="232"/>
      <c r="KT9" s="232"/>
      <c r="KU9" s="232"/>
      <c r="KV9" s="232"/>
      <c r="KW9" s="232"/>
      <c r="KX9" s="232"/>
      <c r="KY9" s="232"/>
      <c r="KZ9" s="232"/>
      <c r="LA9" s="232"/>
      <c r="LB9" s="232"/>
      <c r="LC9" s="232"/>
      <c r="LD9" s="232"/>
      <c r="LE9" s="232"/>
      <c r="LF9" s="232"/>
      <c r="LG9" s="232"/>
      <c r="LH9" s="232"/>
      <c r="LI9" s="232"/>
      <c r="LJ9" s="232"/>
      <c r="LK9" s="232"/>
      <c r="LL9" s="232"/>
      <c r="LM9" s="232"/>
      <c r="LN9" s="232"/>
      <c r="LO9" s="232"/>
      <c r="LP9" s="232"/>
      <c r="LQ9" s="232"/>
      <c r="LR9" s="232"/>
      <c r="LS9" s="232"/>
      <c r="LT9" s="232"/>
      <c r="LU9" s="232"/>
      <c r="LV9" s="232"/>
      <c r="LW9" s="232"/>
      <c r="LX9" s="232"/>
      <c r="LY9" s="232"/>
      <c r="LZ9" s="232"/>
      <c r="MA9" s="232"/>
      <c r="MB9" s="232"/>
      <c r="MC9" s="232"/>
      <c r="MD9" s="232"/>
      <c r="ME9" s="232"/>
      <c r="MF9" s="232"/>
      <c r="MG9" s="232"/>
      <c r="MH9" s="232"/>
      <c r="MI9" s="232"/>
      <c r="MJ9" s="232"/>
      <c r="MK9" s="232"/>
      <c r="ML9" s="232"/>
      <c r="MM9" s="232"/>
      <c r="MN9" s="232"/>
      <c r="MO9" s="232"/>
      <c r="MP9" s="232"/>
      <c r="MQ9" s="232"/>
      <c r="MR9" s="232"/>
      <c r="MS9" s="232"/>
      <c r="MT9" s="232"/>
      <c r="MU9" s="232"/>
      <c r="MV9" s="232"/>
      <c r="MW9" s="232"/>
      <c r="MX9" s="232"/>
      <c r="MY9" s="232"/>
      <c r="MZ9" s="232"/>
      <c r="NA9" s="232"/>
      <c r="NB9" s="232"/>
      <c r="NC9" s="232"/>
      <c r="ND9" s="232"/>
      <c r="NE9" s="232"/>
      <c r="NF9" s="232"/>
      <c r="NG9" s="232"/>
      <c r="NH9" s="232"/>
      <c r="NI9" s="232"/>
      <c r="NJ9" s="232"/>
      <c r="NK9" s="232"/>
      <c r="NL9" s="232"/>
      <c r="NM9" s="232"/>
      <c r="NN9" s="232"/>
      <c r="NO9" s="232"/>
      <c r="NP9" s="232"/>
      <c r="NQ9" s="232"/>
      <c r="NR9" s="232"/>
      <c r="NS9" s="232"/>
      <c r="NT9" s="232"/>
      <c r="NU9" s="232"/>
      <c r="NV9" s="232"/>
      <c r="NW9" s="232"/>
      <c r="NX9" s="232"/>
      <c r="NY9" s="232"/>
      <c r="NZ9" s="232"/>
      <c r="OA9" s="232"/>
      <c r="OB9" s="232"/>
      <c r="OC9" s="232"/>
      <c r="OD9" s="232"/>
      <c r="OE9" s="232"/>
      <c r="OF9" s="232"/>
      <c r="OG9" s="232"/>
      <c r="OH9" s="232"/>
      <c r="OI9" s="232"/>
      <c r="OJ9" s="232"/>
      <c r="OK9" s="232"/>
      <c r="OL9" s="232"/>
      <c r="OM9" s="232"/>
      <c r="ON9" s="232"/>
      <c r="OO9" s="232"/>
      <c r="OP9" s="232"/>
      <c r="OQ9" s="232"/>
      <c r="OR9" s="232"/>
      <c r="OS9" s="232"/>
      <c r="OT9" s="232"/>
      <c r="OU9" s="232"/>
      <c r="OV9" s="232"/>
      <c r="OW9" s="232"/>
      <c r="OX9" s="232"/>
      <c r="OY9" s="232"/>
      <c r="OZ9" s="232"/>
      <c r="PA9" s="232"/>
      <c r="PB9" s="232"/>
      <c r="PC9" s="232"/>
      <c r="PD9" s="232"/>
      <c r="PE9" s="232"/>
      <c r="PF9" s="232"/>
      <c r="PG9" s="232"/>
      <c r="PH9" s="232"/>
      <c r="PI9" s="232"/>
      <c r="PJ9" s="232"/>
      <c r="PK9" s="232"/>
      <c r="PL9" s="232"/>
      <c r="PM9" s="232"/>
      <c r="PN9" s="232"/>
      <c r="PO9" s="232"/>
      <c r="PP9" s="232"/>
      <c r="PQ9" s="232"/>
      <c r="PR9" s="232"/>
      <c r="PS9" s="232"/>
      <c r="PT9" s="232"/>
      <c r="PU9" s="232"/>
      <c r="PV9" s="232"/>
      <c r="PW9" s="232"/>
      <c r="PX9" s="232"/>
      <c r="PY9" s="232"/>
      <c r="PZ9" s="232"/>
      <c r="QA9" s="232"/>
      <c r="QB9" s="232"/>
      <c r="QC9" s="232"/>
      <c r="QD9" s="232"/>
      <c r="QE9" s="232"/>
      <c r="QF9" s="232"/>
      <c r="QG9" s="232"/>
      <c r="QH9" s="232"/>
      <c r="QI9" s="232"/>
      <c r="QJ9" s="232"/>
      <c r="QK9" s="232"/>
      <c r="QL9" s="232"/>
      <c r="QM9" s="232"/>
      <c r="QN9" s="232"/>
      <c r="QO9" s="232"/>
      <c r="QP9" s="232"/>
      <c r="QQ9" s="232"/>
      <c r="QR9" s="232"/>
      <c r="QS9" s="232"/>
      <c r="QT9" s="232"/>
      <c r="QU9" s="232"/>
      <c r="QV9" s="232"/>
      <c r="QW9" s="232"/>
      <c r="QX9" s="232"/>
      <c r="QY9" s="232"/>
      <c r="QZ9" s="232"/>
      <c r="RA9" s="232"/>
      <c r="RB9" s="232"/>
      <c r="RC9" s="232"/>
      <c r="RD9" s="232"/>
      <c r="RE9" s="232"/>
      <c r="RF9" s="232"/>
      <c r="RG9" s="232"/>
      <c r="RH9" s="232"/>
      <c r="RI9" s="232"/>
      <c r="RJ9" s="232"/>
      <c r="RK9" s="232"/>
      <c r="RL9" s="232"/>
      <c r="RM9" s="232"/>
      <c r="RN9" s="232"/>
      <c r="RO9" s="232"/>
      <c r="RP9" s="232"/>
      <c r="RQ9" s="232"/>
      <c r="RR9" s="232"/>
      <c r="RS9" s="232"/>
      <c r="RT9" s="232"/>
      <c r="RU9" s="232"/>
      <c r="RV9" s="232"/>
      <c r="RW9" s="232"/>
      <c r="RX9" s="232"/>
      <c r="RY9" s="232"/>
      <c r="RZ9" s="232"/>
      <c r="SA9" s="232"/>
      <c r="SB9" s="232"/>
      <c r="SC9" s="232"/>
      <c r="SD9" s="232"/>
      <c r="SE9" s="232"/>
      <c r="SF9" s="232"/>
      <c r="SG9" s="232"/>
      <c r="SH9" s="232"/>
      <c r="SI9" s="232"/>
      <c r="SJ9" s="232"/>
      <c r="SK9" s="232"/>
      <c r="SL9" s="232"/>
      <c r="SM9" s="232"/>
      <c r="SN9" s="232"/>
      <c r="SO9" s="232"/>
      <c r="SP9" s="232"/>
      <c r="SQ9" s="232"/>
      <c r="SR9" s="232"/>
      <c r="SS9" s="232"/>
      <c r="ST9" s="232"/>
      <c r="SU9" s="232"/>
      <c r="SV9" s="232"/>
      <c r="SW9" s="232"/>
      <c r="SX9" s="232"/>
      <c r="SY9" s="232"/>
      <c r="SZ9" s="232"/>
      <c r="TA9" s="232"/>
      <c r="TB9" s="232"/>
      <c r="TC9" s="232"/>
      <c r="TD9" s="232"/>
      <c r="TE9" s="232"/>
      <c r="TF9" s="232"/>
      <c r="TG9" s="232"/>
      <c r="TH9" s="232"/>
      <c r="TI9" s="232"/>
      <c r="TJ9" s="232"/>
      <c r="TK9" s="232"/>
      <c r="TL9" s="232"/>
      <c r="TM9" s="232"/>
      <c r="TN9" s="232"/>
      <c r="TO9" s="232"/>
      <c r="TP9" s="232"/>
      <c r="TQ9" s="232"/>
      <c r="TR9" s="232"/>
      <c r="TS9" s="232"/>
      <c r="TT9" s="232"/>
      <c r="TU9" s="232"/>
      <c r="TV9" s="232"/>
      <c r="TW9" s="232"/>
      <c r="TX9" s="232"/>
      <c r="TY9" s="232"/>
      <c r="TZ9" s="232"/>
      <c r="UA9" s="232"/>
      <c r="UB9" s="232"/>
      <c r="UC9" s="232"/>
      <c r="UD9" s="232"/>
      <c r="UE9" s="232"/>
      <c r="UF9" s="232"/>
      <c r="UG9" s="232"/>
      <c r="UH9" s="232"/>
      <c r="UI9" s="232"/>
      <c r="UJ9" s="232"/>
      <c r="UK9" s="232"/>
      <c r="UL9" s="232"/>
      <c r="UM9" s="232"/>
      <c r="UN9" s="232"/>
      <c r="UO9" s="232"/>
      <c r="UP9" s="232"/>
      <c r="UQ9" s="232"/>
      <c r="UR9" s="232"/>
      <c r="US9" s="232"/>
      <c r="UT9" s="232"/>
      <c r="UU9" s="232"/>
      <c r="UV9" s="232"/>
      <c r="UW9" s="232"/>
      <c r="UX9" s="232"/>
      <c r="UY9" s="232"/>
      <c r="UZ9" s="232"/>
      <c r="VA9" s="232"/>
      <c r="VB9" s="232"/>
      <c r="VC9" s="232"/>
      <c r="VD9" s="232"/>
      <c r="VE9" s="232"/>
      <c r="VF9" s="232"/>
      <c r="VG9" s="232"/>
      <c r="VH9" s="232"/>
      <c r="VI9" s="232"/>
      <c r="VJ9" s="232"/>
      <c r="VK9" s="232"/>
      <c r="VL9" s="232"/>
      <c r="VM9" s="232"/>
      <c r="VN9" s="232"/>
      <c r="VO9" s="232"/>
      <c r="VP9" s="232"/>
      <c r="VQ9" s="232"/>
      <c r="VR9" s="232"/>
      <c r="VS9" s="232"/>
      <c r="VT9" s="232"/>
      <c r="VU9" s="232"/>
      <c r="VV9" s="232"/>
      <c r="VW9" s="232"/>
      <c r="VX9" s="232"/>
      <c r="VY9" s="232"/>
      <c r="VZ9" s="232"/>
      <c r="WA9" s="232"/>
      <c r="WB9" s="232"/>
      <c r="WC9" s="232"/>
      <c r="WD9" s="232"/>
      <c r="WE9" s="232"/>
      <c r="WF9" s="232"/>
      <c r="WG9" s="232"/>
      <c r="WH9" s="232"/>
      <c r="WI9" s="232"/>
      <c r="WJ9" s="232"/>
      <c r="WK9" s="232"/>
      <c r="WL9" s="232"/>
      <c r="WM9" s="232"/>
      <c r="WN9" s="232"/>
      <c r="WO9" s="232"/>
      <c r="WP9" s="232"/>
      <c r="WQ9" s="232"/>
      <c r="WR9" s="232"/>
      <c r="WS9" s="232"/>
      <c r="WT9" s="232"/>
      <c r="WU9" s="232"/>
      <c r="WV9" s="232"/>
      <c r="WW9" s="232"/>
      <c r="WX9" s="232"/>
      <c r="WY9" s="232"/>
      <c r="WZ9" s="232"/>
      <c r="XA9" s="232"/>
      <c r="XB9" s="232"/>
      <c r="XC9" s="232"/>
      <c r="XD9" s="232"/>
      <c r="XE9" s="232"/>
      <c r="XF9" s="232"/>
      <c r="XG9" s="232"/>
      <c r="XH9" s="232"/>
      <c r="XI9" s="232"/>
      <c r="XJ9" s="232"/>
      <c r="XK9" s="232"/>
      <c r="XL9" s="232"/>
      <c r="XM9" s="232"/>
      <c r="XN9" s="232"/>
      <c r="XO9" s="232"/>
      <c r="XP9" s="232"/>
      <c r="XQ9" s="232"/>
      <c r="XR9" s="232"/>
      <c r="XS9" s="232"/>
      <c r="XT9" s="232"/>
      <c r="XU9" s="232"/>
      <c r="XV9" s="232"/>
      <c r="XW9" s="232"/>
      <c r="XX9" s="232"/>
      <c r="XY9" s="232"/>
      <c r="XZ9" s="232"/>
      <c r="YA9" s="232"/>
      <c r="YB9" s="232"/>
      <c r="YC9" s="232"/>
      <c r="YD9" s="232"/>
      <c r="YE9" s="232"/>
      <c r="YF9" s="232"/>
      <c r="YG9" s="232"/>
      <c r="YH9" s="232"/>
      <c r="YI9" s="232"/>
      <c r="YJ9" s="232"/>
      <c r="YK9" s="232"/>
      <c r="YL9" s="232"/>
      <c r="YM9" s="232"/>
      <c r="YN9" s="232"/>
      <c r="YO9" s="232"/>
      <c r="YP9" s="232"/>
      <c r="YQ9" s="232"/>
      <c r="YR9" s="232"/>
      <c r="YS9" s="232"/>
      <c r="YT9" s="232"/>
      <c r="YU9" s="232"/>
      <c r="YV9" s="232"/>
      <c r="YW9" s="232"/>
      <c r="YX9" s="232"/>
      <c r="YY9" s="232"/>
      <c r="YZ9" s="232"/>
      <c r="ZA9" s="232"/>
      <c r="ZB9" s="232"/>
      <c r="ZC9" s="232"/>
      <c r="ZD9" s="232"/>
      <c r="ZE9" s="232"/>
      <c r="ZF9" s="232"/>
      <c r="ZG9" s="232"/>
      <c r="ZH9" s="232"/>
      <c r="ZI9" s="232"/>
      <c r="ZJ9" s="232"/>
      <c r="ZK9" s="232"/>
      <c r="ZL9" s="232"/>
      <c r="ZM9" s="232"/>
      <c r="ZN9" s="232"/>
      <c r="ZO9" s="232"/>
      <c r="ZP9" s="232"/>
      <c r="ZQ9" s="232"/>
      <c r="ZR9" s="232"/>
      <c r="ZS9" s="232"/>
      <c r="ZT9" s="232"/>
      <c r="ZU9" s="232"/>
      <c r="ZV9" s="232"/>
      <c r="ZW9" s="232"/>
      <c r="ZX9" s="232"/>
      <c r="ZY9" s="232"/>
      <c r="ZZ9" s="232"/>
      <c r="AAA9" s="232"/>
      <c r="AAB9" s="232"/>
      <c r="AAC9" s="232"/>
      <c r="AAD9" s="232"/>
      <c r="AAE9" s="232"/>
      <c r="AAF9" s="232"/>
      <c r="AAG9" s="232"/>
      <c r="AAH9" s="232"/>
      <c r="AAI9" s="232"/>
      <c r="AAJ9" s="232"/>
      <c r="AAK9" s="232"/>
      <c r="AAL9" s="232"/>
      <c r="AAM9" s="232"/>
      <c r="AAN9" s="232"/>
      <c r="AAO9" s="232"/>
      <c r="AAP9" s="232"/>
      <c r="AAQ9" s="232"/>
      <c r="AAR9" s="232"/>
      <c r="AAS9" s="232"/>
      <c r="AAT9" s="232"/>
      <c r="AAU9" s="232"/>
      <c r="AAV9" s="232"/>
      <c r="AAW9" s="232"/>
      <c r="AAX9" s="232"/>
      <c r="AAY9" s="232"/>
      <c r="AAZ9" s="232"/>
      <c r="ABA9" s="232"/>
      <c r="ABB9" s="232"/>
      <c r="ABC9" s="232"/>
      <c r="ABD9" s="232"/>
      <c r="ABE9" s="232"/>
      <c r="ABF9" s="232"/>
      <c r="ABG9" s="232"/>
      <c r="ABH9" s="232"/>
      <c r="ABI9" s="232"/>
      <c r="ABJ9" s="232"/>
      <c r="ABK9" s="232"/>
      <c r="ABL9" s="232"/>
      <c r="ABM9" s="232"/>
      <c r="ABN9" s="232"/>
      <c r="ABO9" s="232"/>
      <c r="ABP9" s="232"/>
      <c r="ABQ9" s="232"/>
      <c r="ABR9" s="232"/>
      <c r="ABS9" s="232"/>
      <c r="ABT9" s="232"/>
      <c r="ABU9" s="232"/>
      <c r="ABV9" s="232"/>
      <c r="ABW9" s="232"/>
      <c r="ABX9" s="232"/>
      <c r="ABY9" s="232"/>
      <c r="ABZ9" s="232"/>
      <c r="ACA9" s="232"/>
      <c r="ACB9" s="232"/>
      <c r="ACC9" s="232"/>
      <c r="ACD9" s="232"/>
      <c r="ACE9" s="232"/>
      <c r="ACF9" s="232"/>
      <c r="ACG9" s="232"/>
      <c r="ACH9" s="232"/>
      <c r="ACI9" s="232"/>
      <c r="ACJ9" s="232"/>
      <c r="ACK9" s="232"/>
      <c r="ACL9" s="232"/>
      <c r="ACM9" s="232"/>
      <c r="ACN9" s="232"/>
      <c r="ACO9" s="232"/>
      <c r="ACP9" s="232"/>
      <c r="ACQ9" s="232"/>
      <c r="ACR9" s="232"/>
      <c r="ACS9" s="232"/>
      <c r="ACT9" s="232"/>
      <c r="ACU9" s="232"/>
      <c r="ACV9" s="232"/>
      <c r="ACW9" s="232"/>
      <c r="ACX9" s="232"/>
      <c r="ACY9" s="232"/>
      <c r="ACZ9" s="232"/>
      <c r="ADA9" s="232"/>
      <c r="ADB9" s="232"/>
      <c r="ADC9" s="232"/>
      <c r="ADD9" s="232"/>
      <c r="ADE9" s="232"/>
      <c r="ADF9" s="232"/>
      <c r="ADG9" s="232"/>
      <c r="ADH9" s="232"/>
      <c r="ADI9" s="232"/>
      <c r="ADJ9" s="232"/>
      <c r="ADK9" s="232"/>
      <c r="ADL9" s="232"/>
      <c r="ADM9" s="232"/>
      <c r="ADN9" s="232"/>
      <c r="ADO9" s="232"/>
      <c r="ADP9" s="232"/>
      <c r="ADQ9" s="232"/>
      <c r="ADR9" s="232"/>
      <c r="ADS9" s="232"/>
      <c r="ADT9" s="232"/>
      <c r="ADU9" s="232"/>
      <c r="ADV9" s="232"/>
      <c r="ADW9" s="232"/>
      <c r="ADX9" s="232"/>
      <c r="ADY9" s="232"/>
      <c r="ADZ9" s="232"/>
      <c r="AEA9" s="232"/>
      <c r="AEB9" s="232"/>
      <c r="AEC9" s="232"/>
      <c r="AED9" s="232"/>
      <c r="AEE9" s="232"/>
      <c r="AEF9" s="232"/>
      <c r="AEG9" s="232"/>
      <c r="AEH9" s="232"/>
      <c r="AEI9" s="232"/>
      <c r="AEJ9" s="232"/>
      <c r="AEK9" s="232"/>
      <c r="AEL9" s="232"/>
      <c r="AEM9" s="232"/>
      <c r="AEN9" s="232"/>
      <c r="AEO9" s="232"/>
      <c r="AEP9" s="232"/>
      <c r="AEQ9" s="232"/>
      <c r="AER9" s="232"/>
      <c r="AES9" s="232"/>
      <c r="AET9" s="232"/>
      <c r="AEU9" s="232"/>
      <c r="AEV9" s="232"/>
      <c r="AEW9" s="232"/>
      <c r="AEX9" s="232"/>
      <c r="AEY9" s="232"/>
      <c r="AEZ9" s="232"/>
      <c r="AFA9" s="232"/>
      <c r="AFB9" s="232"/>
      <c r="AFC9" s="232"/>
      <c r="AFD9" s="232"/>
      <c r="AFE9" s="232"/>
      <c r="AFF9" s="232"/>
      <c r="AFG9" s="232"/>
      <c r="AFH9" s="232"/>
      <c r="AFI9" s="232"/>
      <c r="AFJ9" s="232"/>
      <c r="AFK9" s="232"/>
      <c r="AFL9" s="232"/>
      <c r="AFM9" s="232"/>
      <c r="AFN9" s="232"/>
      <c r="AFO9" s="232"/>
      <c r="AFP9" s="232"/>
      <c r="AFQ9" s="232"/>
      <c r="AFR9" s="232"/>
      <c r="AFS9" s="232"/>
      <c r="AFT9" s="232"/>
      <c r="AFU9" s="232"/>
      <c r="AFV9" s="232"/>
      <c r="AFW9" s="232"/>
      <c r="AFX9" s="232"/>
      <c r="AFY9" s="232"/>
      <c r="AFZ9" s="232"/>
      <c r="AGA9" s="232"/>
      <c r="AGB9" s="232"/>
      <c r="AGC9" s="232"/>
      <c r="AGD9" s="232"/>
      <c r="AGE9" s="232"/>
      <c r="AGF9" s="232"/>
      <c r="AGG9" s="232"/>
      <c r="AGH9" s="232"/>
      <c r="AGI9" s="232"/>
      <c r="AGJ9" s="232"/>
      <c r="AGK9" s="232"/>
      <c r="AGL9" s="232"/>
      <c r="AGM9" s="232"/>
      <c r="AGN9" s="232"/>
      <c r="AGO9" s="232"/>
      <c r="AGP9" s="232"/>
      <c r="AGQ9" s="232"/>
      <c r="AGR9" s="232"/>
      <c r="AGS9" s="232"/>
      <c r="AGT9" s="232"/>
      <c r="AGU9" s="232"/>
      <c r="AGV9" s="232"/>
      <c r="AGW9" s="232"/>
      <c r="AGX9" s="232"/>
      <c r="AGY9" s="232"/>
      <c r="AGZ9" s="232"/>
      <c r="AHA9" s="232"/>
      <c r="AHB9" s="232"/>
      <c r="AHC9" s="232"/>
      <c r="AHD9" s="232"/>
      <c r="AHE9" s="232"/>
      <c r="AHF9" s="232"/>
      <c r="AHG9" s="232"/>
      <c r="AHH9" s="232"/>
      <c r="AHI9" s="232"/>
      <c r="AHJ9" s="232"/>
      <c r="AHK9" s="232"/>
      <c r="AHL9" s="232"/>
      <c r="AHM9" s="232"/>
      <c r="AHN9" s="232"/>
      <c r="AHO9" s="232"/>
      <c r="AHP9" s="232"/>
      <c r="AHQ9" s="232"/>
      <c r="AHR9" s="232"/>
      <c r="AHS9" s="232"/>
      <c r="AHT9" s="232"/>
      <c r="AHU9" s="232"/>
      <c r="AHV9" s="232"/>
      <c r="AHW9" s="232"/>
      <c r="AHX9" s="232"/>
      <c r="AHY9" s="232"/>
      <c r="AHZ9" s="232"/>
      <c r="AIA9" s="232"/>
      <c r="AIB9" s="232"/>
      <c r="AIC9" s="232"/>
      <c r="AID9" s="232"/>
      <c r="AIE9" s="232"/>
      <c r="AIF9" s="232"/>
      <c r="AIG9" s="232"/>
      <c r="AIH9" s="232"/>
      <c r="AII9" s="232"/>
      <c r="AIJ9" s="232"/>
      <c r="AIK9" s="232"/>
      <c r="AIL9" s="232"/>
      <c r="AIM9" s="232"/>
      <c r="AIN9" s="232"/>
      <c r="AIO9" s="232"/>
      <c r="AIP9" s="232"/>
      <c r="AIQ9" s="232"/>
      <c r="AIR9" s="232"/>
      <c r="AIS9" s="232"/>
      <c r="AIT9" s="232"/>
      <c r="AIU9" s="232"/>
      <c r="AIV9" s="232"/>
      <c r="AIW9" s="232"/>
      <c r="AIX9" s="232"/>
      <c r="AIY9" s="232"/>
      <c r="AIZ9" s="232"/>
      <c r="AJA9" s="232"/>
      <c r="AJB9" s="232"/>
      <c r="AJC9" s="232"/>
      <c r="AJD9" s="232"/>
      <c r="AJE9" s="232"/>
      <c r="AJF9" s="232"/>
      <c r="AJG9" s="232"/>
      <c r="AJH9" s="232"/>
      <c r="AJI9" s="232"/>
      <c r="AJJ9" s="232"/>
      <c r="AJK9" s="232"/>
      <c r="AJL9" s="232"/>
      <c r="AJM9" s="232"/>
      <c r="AJN9" s="232"/>
      <c r="AJO9" s="232"/>
      <c r="AJP9" s="232"/>
      <c r="AJQ9" s="232"/>
      <c r="AJR9" s="232"/>
      <c r="AJS9" s="232"/>
      <c r="AJT9" s="232"/>
      <c r="AJU9" s="232"/>
      <c r="AJV9" s="232"/>
      <c r="AJW9" s="232"/>
      <c r="AJX9" s="232"/>
      <c r="AJY9" s="232"/>
      <c r="AJZ9" s="232"/>
      <c r="AKA9" s="232"/>
      <c r="AKB9" s="232"/>
      <c r="AKC9" s="232"/>
      <c r="AKD9" s="232"/>
      <c r="AKE9" s="232"/>
      <c r="AKF9" s="232"/>
      <c r="AKG9" s="232"/>
      <c r="AKH9" s="232"/>
      <c r="AKI9" s="232"/>
      <c r="AKJ9" s="232"/>
      <c r="AKK9" s="232"/>
      <c r="AKL9" s="232"/>
      <c r="AKM9" s="232"/>
      <c r="AKN9" s="232"/>
      <c r="AKO9" s="232"/>
      <c r="AKP9" s="232"/>
      <c r="AKQ9" s="232"/>
      <c r="AKR9" s="232"/>
      <c r="AKS9" s="232"/>
      <c r="AKT9" s="232"/>
      <c r="AKU9" s="232"/>
      <c r="AKV9" s="232"/>
      <c r="AKW9" s="232"/>
      <c r="AKX9" s="232"/>
      <c r="AKY9" s="232"/>
      <c r="AKZ9" s="232"/>
      <c r="ALA9" s="232"/>
      <c r="ALB9" s="232"/>
      <c r="ALC9" s="232"/>
      <c r="ALD9" s="232"/>
      <c r="ALE9" s="232"/>
      <c r="ALF9" s="232"/>
      <c r="ALG9" s="232"/>
      <c r="ALH9" s="232"/>
      <c r="ALI9" s="232"/>
      <c r="ALJ9" s="232"/>
      <c r="ALK9" s="232"/>
      <c r="ALL9" s="232"/>
      <c r="ALM9" s="232"/>
      <c r="ALN9" s="232"/>
      <c r="ALO9" s="232"/>
      <c r="ALP9" s="232"/>
      <c r="ALQ9" s="232"/>
      <c r="ALR9" s="232"/>
      <c r="ALS9" s="232"/>
      <c r="ALT9" s="232"/>
      <c r="ALU9" s="232"/>
      <c r="ALV9" s="232"/>
      <c r="ALW9" s="232"/>
      <c r="ALX9" s="232"/>
      <c r="ALY9" s="232"/>
      <c r="ALZ9" s="232"/>
      <c r="AMA9" s="232"/>
      <c r="AMB9" s="232"/>
      <c r="AMC9" s="232"/>
      <c r="AMD9" s="232"/>
      <c r="AME9" s="232"/>
      <c r="AMF9" s="232"/>
      <c r="AMG9" s="232"/>
      <c r="AMH9" s="232"/>
      <c r="AMI9" s="232"/>
      <c r="AMJ9" s="232"/>
      <c r="AMK9" s="232"/>
      <c r="AML9" s="232"/>
      <c r="AMM9" s="232"/>
      <c r="AMN9" s="232"/>
      <c r="AMO9" s="232"/>
      <c r="AMP9" s="232"/>
      <c r="AMQ9" s="232"/>
      <c r="AMR9" s="232"/>
      <c r="AMS9" s="232"/>
      <c r="AMT9" s="232"/>
      <c r="AMU9" s="232"/>
      <c r="AMV9" s="232"/>
      <c r="AMW9" s="232"/>
      <c r="AMX9" s="232"/>
      <c r="AMY9" s="232"/>
      <c r="AMZ9" s="232"/>
      <c r="ANA9" s="232"/>
      <c r="ANB9" s="232"/>
      <c r="ANC9" s="232"/>
      <c r="AND9" s="232"/>
      <c r="ANE9" s="232"/>
      <c r="ANF9" s="232"/>
      <c r="ANG9" s="232"/>
      <c r="ANH9" s="232"/>
      <c r="ANI9" s="232"/>
      <c r="ANJ9" s="232"/>
      <c r="ANK9" s="232"/>
      <c r="ANL9" s="232"/>
      <c r="ANM9" s="232"/>
      <c r="ANN9" s="232"/>
      <c r="ANO9" s="232"/>
      <c r="ANP9" s="232"/>
      <c r="ANQ9" s="232"/>
      <c r="ANR9" s="232"/>
      <c r="ANS9" s="232"/>
      <c r="ANT9" s="232"/>
      <c r="ANU9" s="232"/>
      <c r="ANV9" s="232"/>
      <c r="ANW9" s="232"/>
      <c r="ANX9" s="232"/>
      <c r="ANY9" s="232"/>
      <c r="ANZ9" s="232"/>
      <c r="AOA9" s="232"/>
      <c r="AOB9" s="232"/>
      <c r="AOC9" s="232"/>
      <c r="AOD9" s="232"/>
      <c r="AOE9" s="232"/>
      <c r="AOF9" s="232"/>
      <c r="AOG9" s="232"/>
    </row>
    <row r="10" spans="1:1073">
      <c r="A10" s="2127"/>
      <c r="B10" s="233">
        <v>2</v>
      </c>
      <c r="C10" s="224"/>
      <c r="D10" s="225"/>
      <c r="E10" s="226"/>
      <c r="F10" s="226"/>
      <c r="G10" s="227" t="str">
        <f>IF(C10="","",IF(Tabelle1[[#This Row],[End Date]]&lt;COV!$E$12,0,IF(COV!E$12="","",IF(Tabelle1[[#This Row],[End Date]]-Tabelle1[[#This Row],[Start Date]]&gt;0,IF(F10&lt;COV!E$11,(F10-IF(E10&lt;COV!E$12,COV!E$12,Tabelle1[[#This Row],[Start Date]])),(COV!E$11-IF(E10&lt;COV!E$12,COV!E$12,Tabelle1[[#This Row],[Start Date]])))/365*12,""))))</f>
        <v/>
      </c>
      <c r="H10" s="225"/>
      <c r="I10" s="234"/>
      <c r="J10" s="229"/>
      <c r="K10" s="1325" t="str">
        <f>IF(Tabelle1[[#This Row],[Project Name]]="","",IF(OR(Tabelle1[[#This Row],[PM Category]]=CAT_A_NAME,Tabelle1[[#This Row],[PM Category]]=CAT_B_NAME,Tabelle1[[#This Row],[PM Category]]=CAT_C_NAME,Tabelle1[[#This Row],[PM Category]]=CAT_D_NAME,Tabelle1[[#This Row],[PM Category]]=CAT_E_NAME,Tabelle1[[#This Row],[PM Category]]=CAT_SPJ,Tabelle1[[#This Row],[PM Category]]=CAT_PJ,Tabelle1[[#This Row],[PM Category]]=""),"","1"))</f>
        <v/>
      </c>
      <c r="L10" s="1326">
        <f>IF(Tabelle1[[#This Row],[Role]]="PJM",1)+IF(Tabelle1[[#This Row],[Role]]="PGM",1)+IF(Tabelle1[[#This Row],[Role]]="PFM",1)+IF(Tabelle1[[#This Row],[Role]]="TPM",1)+IF(Tabelle1[[#This Row],[Role]]="CPM",1)</f>
        <v>0</v>
      </c>
      <c r="M10" s="230" t="str">
        <f>IFERROR(IF(Tabelle1[[#This Row],[Project Name]]&lt;&gt;"",IF(G10*I10&gt;0,G10,""),"")*Tabelle1[[#This Row],[Role Check]],"")</f>
        <v/>
      </c>
      <c r="N10" s="231" t="str">
        <f>IFERROR(Tabelle1[[#This Row],[Duration '[months']]]*Tabelle1[[#This Row],[Avg. time spent in resp. Role]],"")</f>
        <v/>
      </c>
      <c r="O10" s="221"/>
      <c r="S10" s="208" t="str">
        <f>IF(Tabelle1[[#This Row],[Project Name]]&lt;&gt;"",Tabelle1[[#This Row],[Project Name]],"")</f>
        <v/>
      </c>
      <c r="T10" s="232">
        <f t="shared" si="12"/>
        <v>0</v>
      </c>
      <c r="U10" s="545" t="e">
        <f t="shared" si="12"/>
        <v>#VALUE!</v>
      </c>
      <c r="V10" s="545" t="e">
        <f t="shared" si="13"/>
        <v>#VALUE!</v>
      </c>
      <c r="W10" s="232" t="e">
        <f t="shared" si="13"/>
        <v>#VALUE!</v>
      </c>
      <c r="X10" s="232" t="e">
        <f t="shared" si="13"/>
        <v>#VALUE!</v>
      </c>
      <c r="Y10" s="232" t="e">
        <f t="shared" si="13"/>
        <v>#VALUE!</v>
      </c>
      <c r="Z10" s="232" t="e">
        <f t="shared" si="13"/>
        <v>#VALUE!</v>
      </c>
      <c r="AA10" s="232" t="e">
        <f t="shared" si="13"/>
        <v>#VALUE!</v>
      </c>
      <c r="AB10" s="232" t="e">
        <f t="shared" si="13"/>
        <v>#VALUE!</v>
      </c>
      <c r="AC10" s="232" t="e">
        <f t="shared" si="13"/>
        <v>#VALUE!</v>
      </c>
      <c r="AD10" s="232" t="e">
        <f t="shared" si="13"/>
        <v>#VALUE!</v>
      </c>
      <c r="AE10" s="232" t="e">
        <f t="shared" si="13"/>
        <v>#VALUE!</v>
      </c>
      <c r="AF10" s="232" t="e">
        <f t="shared" si="14"/>
        <v>#VALUE!</v>
      </c>
      <c r="AG10" s="232" t="e">
        <f t="shared" si="14"/>
        <v>#VALUE!</v>
      </c>
      <c r="AH10" s="232" t="e">
        <f t="shared" si="14"/>
        <v>#VALUE!</v>
      </c>
      <c r="AI10" s="232" t="e">
        <f t="shared" si="14"/>
        <v>#VALUE!</v>
      </c>
      <c r="AJ10" s="232" t="e">
        <f t="shared" si="14"/>
        <v>#VALUE!</v>
      </c>
      <c r="AK10" s="232" t="e">
        <f t="shared" si="14"/>
        <v>#VALUE!</v>
      </c>
      <c r="AL10" s="232" t="e">
        <f t="shared" si="14"/>
        <v>#VALUE!</v>
      </c>
      <c r="AM10" s="232" t="e">
        <f t="shared" si="14"/>
        <v>#VALUE!</v>
      </c>
      <c r="AN10" s="232" t="e">
        <f t="shared" si="14"/>
        <v>#VALUE!</v>
      </c>
      <c r="AO10" s="232" t="e">
        <f t="shared" si="14"/>
        <v>#VALUE!</v>
      </c>
      <c r="AP10" s="232" t="e">
        <f t="shared" si="15"/>
        <v>#VALUE!</v>
      </c>
      <c r="AQ10" s="232" t="e">
        <f t="shared" si="15"/>
        <v>#VALUE!</v>
      </c>
      <c r="AR10" s="232" t="e">
        <f t="shared" si="15"/>
        <v>#VALUE!</v>
      </c>
      <c r="AS10" s="232" t="e">
        <f t="shared" si="15"/>
        <v>#VALUE!</v>
      </c>
      <c r="AT10" s="232" t="e">
        <f t="shared" si="15"/>
        <v>#VALUE!</v>
      </c>
      <c r="AU10" s="232" t="e">
        <f t="shared" si="15"/>
        <v>#VALUE!</v>
      </c>
      <c r="AV10" s="232" t="e">
        <f t="shared" si="15"/>
        <v>#VALUE!</v>
      </c>
      <c r="AW10" s="232" t="e">
        <f t="shared" si="15"/>
        <v>#VALUE!</v>
      </c>
      <c r="AX10" s="232" t="e">
        <f t="shared" si="15"/>
        <v>#VALUE!</v>
      </c>
      <c r="AY10" s="232" t="e">
        <f t="shared" si="15"/>
        <v>#VALUE!</v>
      </c>
      <c r="AZ10" s="232" t="e">
        <f t="shared" si="16"/>
        <v>#VALUE!</v>
      </c>
      <c r="BA10" s="232" t="e">
        <f t="shared" si="16"/>
        <v>#VALUE!</v>
      </c>
      <c r="BB10" s="232" t="e">
        <f t="shared" si="16"/>
        <v>#VALUE!</v>
      </c>
      <c r="BC10" s="232" t="e">
        <f t="shared" si="16"/>
        <v>#VALUE!</v>
      </c>
      <c r="BD10" s="232" t="e">
        <f t="shared" si="16"/>
        <v>#VALUE!</v>
      </c>
      <c r="BE10" s="232" t="e">
        <f t="shared" si="16"/>
        <v>#VALUE!</v>
      </c>
      <c r="BF10" s="232" t="e">
        <f t="shared" si="16"/>
        <v>#VALUE!</v>
      </c>
      <c r="BG10" s="232" t="e">
        <f t="shared" si="16"/>
        <v>#VALUE!</v>
      </c>
      <c r="BH10" s="232" t="e">
        <f t="shared" si="16"/>
        <v>#VALUE!</v>
      </c>
      <c r="BI10" s="232" t="e">
        <f t="shared" si="16"/>
        <v>#VALUE!</v>
      </c>
      <c r="BJ10" s="232" t="e">
        <f t="shared" si="17"/>
        <v>#VALUE!</v>
      </c>
      <c r="BK10" s="232" t="e">
        <f t="shared" si="17"/>
        <v>#VALUE!</v>
      </c>
      <c r="BL10" s="232" t="e">
        <f t="shared" si="17"/>
        <v>#VALUE!</v>
      </c>
      <c r="BM10" s="232" t="e">
        <f t="shared" si="17"/>
        <v>#VALUE!</v>
      </c>
      <c r="BN10" s="232" t="e">
        <f t="shared" si="17"/>
        <v>#VALUE!</v>
      </c>
      <c r="BO10" s="232" t="e">
        <f t="shared" si="17"/>
        <v>#VALUE!</v>
      </c>
      <c r="BP10" s="232" t="e">
        <f t="shared" si="17"/>
        <v>#VALUE!</v>
      </c>
      <c r="BQ10" s="232" t="e">
        <f t="shared" si="17"/>
        <v>#VALUE!</v>
      </c>
      <c r="BR10" s="232" t="e">
        <f t="shared" si="17"/>
        <v>#VALUE!</v>
      </c>
      <c r="BS10" s="232" t="e">
        <f t="shared" si="17"/>
        <v>#VALUE!</v>
      </c>
      <c r="BT10" s="232" t="e">
        <f t="shared" si="18"/>
        <v>#VALUE!</v>
      </c>
      <c r="BU10" s="232" t="e">
        <f t="shared" si="18"/>
        <v>#VALUE!</v>
      </c>
      <c r="BV10" s="232" t="e">
        <f t="shared" si="18"/>
        <v>#VALUE!</v>
      </c>
      <c r="BW10" s="232" t="e">
        <f t="shared" si="18"/>
        <v>#VALUE!</v>
      </c>
      <c r="BX10" s="232" t="e">
        <f t="shared" si="18"/>
        <v>#VALUE!</v>
      </c>
      <c r="BY10" s="232" t="e">
        <f t="shared" si="18"/>
        <v>#VALUE!</v>
      </c>
      <c r="BZ10" s="232" t="e">
        <f t="shared" si="18"/>
        <v>#VALUE!</v>
      </c>
      <c r="CA10" s="232" t="e">
        <f t="shared" si="18"/>
        <v>#VALUE!</v>
      </c>
      <c r="CB10" s="232" t="e">
        <f t="shared" si="18"/>
        <v>#VALUE!</v>
      </c>
      <c r="CC10" s="232" t="e">
        <f t="shared" si="18"/>
        <v>#VALUE!</v>
      </c>
      <c r="CD10" s="232" t="e">
        <f t="shared" si="19"/>
        <v>#VALUE!</v>
      </c>
      <c r="CE10" s="232" t="e">
        <f t="shared" si="19"/>
        <v>#VALUE!</v>
      </c>
      <c r="CF10" s="232" t="e">
        <f t="shared" si="19"/>
        <v>#VALUE!</v>
      </c>
      <c r="CG10" s="232" t="e">
        <f t="shared" si="19"/>
        <v>#VALUE!</v>
      </c>
      <c r="CH10" s="232" t="e">
        <f t="shared" si="19"/>
        <v>#VALUE!</v>
      </c>
      <c r="CI10" s="232" t="e">
        <f t="shared" si="19"/>
        <v>#VALUE!</v>
      </c>
      <c r="CJ10" s="232" t="e">
        <f t="shared" si="19"/>
        <v>#VALUE!</v>
      </c>
      <c r="CK10" s="232" t="e">
        <f t="shared" si="19"/>
        <v>#VALUE!</v>
      </c>
      <c r="CL10" s="232" t="e">
        <f t="shared" si="19"/>
        <v>#VALUE!</v>
      </c>
      <c r="CM10" s="232" t="e">
        <f t="shared" si="19"/>
        <v>#VALUE!</v>
      </c>
      <c r="CN10" s="232" t="e">
        <f t="shared" si="20"/>
        <v>#VALUE!</v>
      </c>
      <c r="CO10" s="232" t="e">
        <f t="shared" si="20"/>
        <v>#VALUE!</v>
      </c>
      <c r="CP10" s="232" t="e">
        <f t="shared" si="20"/>
        <v>#VALUE!</v>
      </c>
      <c r="CQ10" s="232" t="e">
        <f t="shared" si="20"/>
        <v>#VALUE!</v>
      </c>
      <c r="CR10" s="232" t="e">
        <f t="shared" si="20"/>
        <v>#VALUE!</v>
      </c>
      <c r="CS10" s="232" t="e">
        <f t="shared" si="20"/>
        <v>#VALUE!</v>
      </c>
      <c r="CT10" s="232" t="e">
        <f t="shared" si="20"/>
        <v>#VALUE!</v>
      </c>
      <c r="CU10" s="232" t="e">
        <f t="shared" si="20"/>
        <v>#VALUE!</v>
      </c>
      <c r="CV10" s="232" t="e">
        <f t="shared" si="20"/>
        <v>#VALUE!</v>
      </c>
      <c r="CW10" s="232" t="e">
        <f t="shared" si="20"/>
        <v>#VALUE!</v>
      </c>
      <c r="CX10" s="232" t="e">
        <f t="shared" si="21"/>
        <v>#VALUE!</v>
      </c>
      <c r="CY10" s="232" t="e">
        <f t="shared" si="21"/>
        <v>#VALUE!</v>
      </c>
      <c r="CZ10" s="232" t="e">
        <f t="shared" si="21"/>
        <v>#VALUE!</v>
      </c>
      <c r="DA10" s="232" t="e">
        <f t="shared" si="21"/>
        <v>#VALUE!</v>
      </c>
      <c r="DB10" s="232" t="e">
        <f t="shared" si="21"/>
        <v>#VALUE!</v>
      </c>
      <c r="DC10" s="232" t="e">
        <f t="shared" si="21"/>
        <v>#VALUE!</v>
      </c>
      <c r="DD10" s="232" t="e">
        <f t="shared" si="21"/>
        <v>#VALUE!</v>
      </c>
      <c r="DE10" s="232" t="e">
        <f t="shared" si="21"/>
        <v>#VALUE!</v>
      </c>
      <c r="DF10" s="232" t="e">
        <f t="shared" si="21"/>
        <v>#VALUE!</v>
      </c>
      <c r="DG10" s="232" t="e">
        <f t="shared" si="21"/>
        <v>#VALUE!</v>
      </c>
      <c r="DH10" s="232" t="e">
        <f t="shared" si="22"/>
        <v>#VALUE!</v>
      </c>
      <c r="DI10" s="232" t="e">
        <f t="shared" si="22"/>
        <v>#VALUE!</v>
      </c>
      <c r="DJ10" s="232" t="e">
        <f t="shared" si="22"/>
        <v>#VALUE!</v>
      </c>
      <c r="DK10" s="232" t="e">
        <f t="shared" si="22"/>
        <v>#VALUE!</v>
      </c>
      <c r="DL10" s="232" t="e">
        <f t="shared" si="22"/>
        <v>#VALUE!</v>
      </c>
      <c r="DM10" s="232" t="e">
        <f t="shared" si="22"/>
        <v>#VALUE!</v>
      </c>
      <c r="DN10" s="232" t="e">
        <f t="shared" si="22"/>
        <v>#VALUE!</v>
      </c>
      <c r="DO10" s="232" t="e">
        <f t="shared" si="22"/>
        <v>#VALUE!</v>
      </c>
      <c r="DP10" s="232" t="e">
        <f t="shared" si="22"/>
        <v>#VALUE!</v>
      </c>
      <c r="DQ10" s="232" t="e">
        <f t="shared" si="22"/>
        <v>#VALUE!</v>
      </c>
      <c r="DR10" s="232" t="e">
        <f t="shared" si="23"/>
        <v>#VALUE!</v>
      </c>
      <c r="DS10" s="232" t="e">
        <f t="shared" si="23"/>
        <v>#VALUE!</v>
      </c>
      <c r="DT10" s="232" t="e">
        <f t="shared" si="23"/>
        <v>#VALUE!</v>
      </c>
      <c r="DU10" s="232" t="e">
        <f t="shared" si="23"/>
        <v>#VALUE!</v>
      </c>
      <c r="DV10" s="232" t="e">
        <f t="shared" si="23"/>
        <v>#VALUE!</v>
      </c>
      <c r="DW10" s="232" t="e">
        <f t="shared" si="23"/>
        <v>#VALUE!</v>
      </c>
      <c r="DX10" s="232" t="e">
        <f t="shared" si="23"/>
        <v>#VALUE!</v>
      </c>
      <c r="DY10" s="232" t="e">
        <f t="shared" si="23"/>
        <v>#VALUE!</v>
      </c>
      <c r="DZ10" s="232" t="e">
        <f t="shared" si="23"/>
        <v>#VALUE!</v>
      </c>
      <c r="EA10" s="232" t="e">
        <f t="shared" si="23"/>
        <v>#VALUE!</v>
      </c>
      <c r="EB10" s="232" t="e">
        <f t="shared" si="24"/>
        <v>#VALUE!</v>
      </c>
      <c r="EC10" s="232" t="e">
        <f t="shared" si="24"/>
        <v>#VALUE!</v>
      </c>
      <c r="ED10" s="232" t="e">
        <f t="shared" si="24"/>
        <v>#VALUE!</v>
      </c>
      <c r="EE10" s="232" t="e">
        <f t="shared" si="24"/>
        <v>#VALUE!</v>
      </c>
      <c r="EF10" s="232" t="e">
        <f t="shared" si="24"/>
        <v>#VALUE!</v>
      </c>
      <c r="EG10" s="232" t="e">
        <f t="shared" si="24"/>
        <v>#VALUE!</v>
      </c>
      <c r="EH10" s="232" t="e">
        <f t="shared" si="24"/>
        <v>#VALUE!</v>
      </c>
      <c r="EI10" s="232" t="e">
        <f t="shared" si="24"/>
        <v>#VALUE!</v>
      </c>
      <c r="EJ10" s="232" t="e">
        <f t="shared" si="24"/>
        <v>#VALUE!</v>
      </c>
      <c r="EK10" s="232" t="e">
        <f t="shared" si="24"/>
        <v>#VALUE!</v>
      </c>
      <c r="EL10" s="232" t="e">
        <f t="shared" si="25"/>
        <v>#VALUE!</v>
      </c>
      <c r="EM10" s="232" t="e">
        <f t="shared" si="25"/>
        <v>#VALUE!</v>
      </c>
      <c r="EN10" s="232" t="e">
        <f t="shared" si="25"/>
        <v>#VALUE!</v>
      </c>
      <c r="EO10" s="232" t="e">
        <f t="shared" si="25"/>
        <v>#VALUE!</v>
      </c>
      <c r="EP10" s="232" t="e">
        <f t="shared" si="25"/>
        <v>#VALUE!</v>
      </c>
      <c r="EQ10" s="232" t="e">
        <f t="shared" si="25"/>
        <v>#VALUE!</v>
      </c>
      <c r="ER10" s="232" t="e">
        <f t="shared" si="25"/>
        <v>#VALUE!</v>
      </c>
      <c r="ES10" s="232" t="e">
        <f t="shared" si="25"/>
        <v>#VALUE!</v>
      </c>
      <c r="ET10" s="232" t="e">
        <f t="shared" si="25"/>
        <v>#VALUE!</v>
      </c>
      <c r="EU10" s="232" t="e">
        <f t="shared" si="25"/>
        <v>#VALUE!</v>
      </c>
      <c r="EV10" s="232" t="e">
        <f t="shared" si="26"/>
        <v>#VALUE!</v>
      </c>
      <c r="EW10" s="232" t="e">
        <f t="shared" si="26"/>
        <v>#VALUE!</v>
      </c>
      <c r="EX10" s="232" t="e">
        <f t="shared" si="26"/>
        <v>#VALUE!</v>
      </c>
      <c r="EY10" s="232" t="e">
        <f t="shared" si="26"/>
        <v>#VALUE!</v>
      </c>
      <c r="EZ10" s="232" t="e">
        <f t="shared" si="26"/>
        <v>#VALUE!</v>
      </c>
      <c r="FA10" s="232" t="e">
        <f t="shared" si="26"/>
        <v>#VALUE!</v>
      </c>
      <c r="FB10" s="232" t="e">
        <f t="shared" si="26"/>
        <v>#VALUE!</v>
      </c>
      <c r="FC10" s="232" t="e">
        <f t="shared" si="26"/>
        <v>#VALUE!</v>
      </c>
      <c r="FD10" s="232" t="e">
        <f t="shared" si="26"/>
        <v>#VALUE!</v>
      </c>
      <c r="FE10" s="232" t="e">
        <f t="shared" si="26"/>
        <v>#VALUE!</v>
      </c>
      <c r="FF10" s="232" t="e">
        <f t="shared" si="27"/>
        <v>#VALUE!</v>
      </c>
      <c r="FG10" s="232" t="e">
        <f t="shared" si="27"/>
        <v>#VALUE!</v>
      </c>
      <c r="FH10" s="232" t="e">
        <f t="shared" si="27"/>
        <v>#VALUE!</v>
      </c>
      <c r="FI10" s="232" t="e">
        <f t="shared" si="27"/>
        <v>#VALUE!</v>
      </c>
      <c r="FJ10" s="232" t="e">
        <f t="shared" si="27"/>
        <v>#VALUE!</v>
      </c>
      <c r="FK10" s="232" t="e">
        <f t="shared" si="27"/>
        <v>#VALUE!</v>
      </c>
      <c r="FL10" s="232" t="e">
        <f t="shared" si="27"/>
        <v>#VALUE!</v>
      </c>
      <c r="FM10" s="232" t="e">
        <f t="shared" si="27"/>
        <v>#VALUE!</v>
      </c>
      <c r="FN10" s="232" t="e">
        <f t="shared" si="27"/>
        <v>#VALUE!</v>
      </c>
      <c r="FO10" s="232" t="e">
        <f t="shared" si="27"/>
        <v>#VALUE!</v>
      </c>
      <c r="FP10" s="232" t="e">
        <f t="shared" si="28"/>
        <v>#VALUE!</v>
      </c>
      <c r="FQ10" s="232" t="e">
        <f t="shared" si="28"/>
        <v>#VALUE!</v>
      </c>
      <c r="FR10" s="232" t="e">
        <f t="shared" si="28"/>
        <v>#VALUE!</v>
      </c>
      <c r="FS10" s="232" t="e">
        <f t="shared" si="28"/>
        <v>#VALUE!</v>
      </c>
      <c r="FT10" s="232" t="e">
        <f t="shared" si="28"/>
        <v>#VALUE!</v>
      </c>
      <c r="FU10" s="232" t="e">
        <f t="shared" si="28"/>
        <v>#VALUE!</v>
      </c>
      <c r="FV10" s="232" t="e">
        <f t="shared" si="28"/>
        <v>#VALUE!</v>
      </c>
      <c r="FW10" s="232" t="e">
        <f t="shared" si="28"/>
        <v>#VALUE!</v>
      </c>
      <c r="FX10" s="232" t="e">
        <f t="shared" si="28"/>
        <v>#VALUE!</v>
      </c>
      <c r="FY10" s="232" t="e">
        <f t="shared" si="28"/>
        <v>#VALUE!</v>
      </c>
      <c r="FZ10" s="232" t="e">
        <f t="shared" si="29"/>
        <v>#VALUE!</v>
      </c>
      <c r="GA10" s="232" t="e">
        <f t="shared" si="29"/>
        <v>#VALUE!</v>
      </c>
      <c r="GB10" s="232" t="e">
        <f t="shared" si="29"/>
        <v>#VALUE!</v>
      </c>
      <c r="GC10" s="232" t="e">
        <f t="shared" si="29"/>
        <v>#VALUE!</v>
      </c>
      <c r="GD10" s="232" t="e">
        <f t="shared" si="29"/>
        <v>#VALUE!</v>
      </c>
      <c r="GE10" s="232" t="e">
        <f t="shared" si="29"/>
        <v>#VALUE!</v>
      </c>
      <c r="GF10" s="232" t="e">
        <f t="shared" si="29"/>
        <v>#VALUE!</v>
      </c>
      <c r="GG10" s="232" t="e">
        <f t="shared" si="29"/>
        <v>#VALUE!</v>
      </c>
      <c r="GH10" s="232" t="e">
        <f t="shared" si="29"/>
        <v>#VALUE!</v>
      </c>
      <c r="GI10" s="232" t="e">
        <f t="shared" si="29"/>
        <v>#VALUE!</v>
      </c>
      <c r="GJ10" s="232" t="e">
        <f t="shared" si="30"/>
        <v>#VALUE!</v>
      </c>
      <c r="GK10" s="232" t="e">
        <f t="shared" si="30"/>
        <v>#VALUE!</v>
      </c>
      <c r="GL10" s="232" t="e">
        <f t="shared" si="30"/>
        <v>#VALUE!</v>
      </c>
      <c r="GM10" s="232" t="e">
        <f t="shared" si="30"/>
        <v>#VALUE!</v>
      </c>
      <c r="GN10" s="232" t="e">
        <f t="shared" si="30"/>
        <v>#VALUE!</v>
      </c>
      <c r="GO10" s="232" t="e">
        <f t="shared" si="30"/>
        <v>#VALUE!</v>
      </c>
      <c r="GP10" s="232" t="e">
        <f t="shared" si="30"/>
        <v>#VALUE!</v>
      </c>
      <c r="GQ10" s="232" t="e">
        <f t="shared" si="30"/>
        <v>#VALUE!</v>
      </c>
      <c r="GR10" s="232" t="e">
        <f t="shared" si="30"/>
        <v>#VALUE!</v>
      </c>
      <c r="GS10" s="232" t="e">
        <f t="shared" si="30"/>
        <v>#VALUE!</v>
      </c>
      <c r="GT10" s="232" t="e">
        <f t="shared" si="31"/>
        <v>#VALUE!</v>
      </c>
      <c r="GU10" s="232" t="e">
        <f t="shared" si="31"/>
        <v>#VALUE!</v>
      </c>
      <c r="GV10" s="232" t="e">
        <f t="shared" si="31"/>
        <v>#VALUE!</v>
      </c>
      <c r="GW10" s="232" t="e">
        <f t="shared" si="31"/>
        <v>#VALUE!</v>
      </c>
      <c r="GX10" s="232" t="e">
        <f t="shared" si="31"/>
        <v>#VALUE!</v>
      </c>
      <c r="GY10" s="232" t="e">
        <f t="shared" si="31"/>
        <v>#VALUE!</v>
      </c>
      <c r="GZ10" s="232" t="e">
        <f t="shared" si="31"/>
        <v>#VALUE!</v>
      </c>
      <c r="HA10" s="232" t="e">
        <f t="shared" si="31"/>
        <v>#VALUE!</v>
      </c>
      <c r="HB10" s="232" t="e">
        <f t="shared" si="31"/>
        <v>#VALUE!</v>
      </c>
      <c r="HC10" s="232" t="e">
        <f t="shared" si="31"/>
        <v>#VALUE!</v>
      </c>
      <c r="HD10" s="232" t="e">
        <f t="shared" si="32"/>
        <v>#VALUE!</v>
      </c>
      <c r="HE10" s="232" t="e">
        <f t="shared" si="32"/>
        <v>#VALUE!</v>
      </c>
      <c r="HF10" s="232" t="e">
        <f t="shared" si="32"/>
        <v>#VALUE!</v>
      </c>
      <c r="HG10" s="232" t="e">
        <f t="shared" si="32"/>
        <v>#VALUE!</v>
      </c>
      <c r="HH10" s="232" t="e">
        <f t="shared" si="32"/>
        <v>#VALUE!</v>
      </c>
      <c r="HI10" s="232" t="e">
        <f t="shared" si="32"/>
        <v>#VALUE!</v>
      </c>
      <c r="HJ10" s="232" t="e">
        <f t="shared" si="32"/>
        <v>#VALUE!</v>
      </c>
      <c r="HK10" s="232" t="e">
        <f t="shared" si="32"/>
        <v>#VALUE!</v>
      </c>
      <c r="HL10" s="232" t="e">
        <f t="shared" si="32"/>
        <v>#VALUE!</v>
      </c>
      <c r="HM10" s="232" t="e">
        <f t="shared" si="32"/>
        <v>#VALUE!</v>
      </c>
      <c r="HN10" s="232" t="e">
        <f t="shared" si="33"/>
        <v>#VALUE!</v>
      </c>
      <c r="HO10" s="232" t="e">
        <f t="shared" si="33"/>
        <v>#VALUE!</v>
      </c>
      <c r="HP10" s="232" t="e">
        <f t="shared" si="33"/>
        <v>#VALUE!</v>
      </c>
      <c r="HQ10" s="232" t="e">
        <f t="shared" si="33"/>
        <v>#VALUE!</v>
      </c>
      <c r="HR10" s="232" t="e">
        <f t="shared" si="33"/>
        <v>#VALUE!</v>
      </c>
      <c r="HS10" s="232" t="e">
        <f t="shared" si="33"/>
        <v>#VALUE!</v>
      </c>
      <c r="HT10" s="232" t="e">
        <f t="shared" si="33"/>
        <v>#VALUE!</v>
      </c>
      <c r="HU10" s="232" t="e">
        <f t="shared" si="33"/>
        <v>#VALUE!</v>
      </c>
      <c r="HV10" s="232" t="e">
        <f t="shared" si="33"/>
        <v>#VALUE!</v>
      </c>
      <c r="HW10" s="232" t="e">
        <f t="shared" si="33"/>
        <v>#VALUE!</v>
      </c>
      <c r="HX10" s="232" t="e">
        <f t="shared" si="34"/>
        <v>#VALUE!</v>
      </c>
      <c r="HY10" s="232" t="e">
        <f t="shared" si="34"/>
        <v>#VALUE!</v>
      </c>
      <c r="HZ10" s="232" t="e">
        <f t="shared" si="34"/>
        <v>#VALUE!</v>
      </c>
      <c r="IA10" s="232" t="e">
        <f t="shared" si="34"/>
        <v>#VALUE!</v>
      </c>
      <c r="IB10" s="232" t="e">
        <f t="shared" si="34"/>
        <v>#VALUE!</v>
      </c>
      <c r="IC10" s="232" t="e">
        <f t="shared" si="34"/>
        <v>#VALUE!</v>
      </c>
      <c r="ID10" s="232" t="e">
        <f t="shared" si="34"/>
        <v>#VALUE!</v>
      </c>
      <c r="IE10" s="232" t="e">
        <f t="shared" si="34"/>
        <v>#VALUE!</v>
      </c>
      <c r="IF10" s="232" t="e">
        <f t="shared" si="34"/>
        <v>#VALUE!</v>
      </c>
      <c r="IG10" s="232" t="e">
        <f t="shared" si="34"/>
        <v>#VALUE!</v>
      </c>
      <c r="IH10" s="232" t="e">
        <f t="shared" si="35"/>
        <v>#VALUE!</v>
      </c>
      <c r="II10" s="232" t="e">
        <f t="shared" si="35"/>
        <v>#VALUE!</v>
      </c>
      <c r="IJ10" s="232" t="e">
        <f t="shared" si="35"/>
        <v>#VALUE!</v>
      </c>
      <c r="IK10" s="232" t="e">
        <f t="shared" si="35"/>
        <v>#VALUE!</v>
      </c>
      <c r="IL10" s="232" t="e">
        <f t="shared" si="35"/>
        <v>#VALUE!</v>
      </c>
      <c r="IM10" s="232" t="e">
        <f t="shared" si="35"/>
        <v>#VALUE!</v>
      </c>
      <c r="IN10" s="232" t="e">
        <f t="shared" si="35"/>
        <v>#VALUE!</v>
      </c>
      <c r="IO10" s="232" t="e">
        <f t="shared" si="35"/>
        <v>#VALUE!</v>
      </c>
      <c r="IP10" s="232" t="e">
        <f t="shared" si="35"/>
        <v>#VALUE!</v>
      </c>
      <c r="IQ10" s="232" t="e">
        <f t="shared" si="35"/>
        <v>#VALUE!</v>
      </c>
      <c r="IR10" s="232" t="e">
        <f t="shared" si="36"/>
        <v>#VALUE!</v>
      </c>
      <c r="IS10" s="232" t="e">
        <f t="shared" si="36"/>
        <v>#VALUE!</v>
      </c>
      <c r="IT10" s="232" t="e">
        <f t="shared" si="36"/>
        <v>#VALUE!</v>
      </c>
      <c r="IU10" s="232" t="e">
        <f t="shared" si="36"/>
        <v>#VALUE!</v>
      </c>
      <c r="IV10" s="232" t="e">
        <f t="shared" si="36"/>
        <v>#VALUE!</v>
      </c>
      <c r="IW10" s="232" t="e">
        <f t="shared" si="36"/>
        <v>#VALUE!</v>
      </c>
      <c r="IX10" s="232" t="e">
        <f t="shared" si="36"/>
        <v>#VALUE!</v>
      </c>
      <c r="IY10" s="232" t="e">
        <f t="shared" si="36"/>
        <v>#VALUE!</v>
      </c>
      <c r="IZ10" s="232" t="e">
        <f t="shared" si="36"/>
        <v>#VALUE!</v>
      </c>
      <c r="JA10" s="232" t="e">
        <f t="shared" si="36"/>
        <v>#VALUE!</v>
      </c>
      <c r="JB10" s="232" t="e">
        <f t="shared" si="37"/>
        <v>#VALUE!</v>
      </c>
      <c r="JC10" s="232" t="e">
        <f t="shared" si="37"/>
        <v>#VALUE!</v>
      </c>
      <c r="JD10" s="232" t="e">
        <f t="shared" si="37"/>
        <v>#VALUE!</v>
      </c>
      <c r="JE10" s="232" t="e">
        <f t="shared" si="37"/>
        <v>#VALUE!</v>
      </c>
      <c r="JF10" s="232" t="e">
        <f t="shared" si="37"/>
        <v>#VALUE!</v>
      </c>
      <c r="JG10" s="232" t="e">
        <f t="shared" si="37"/>
        <v>#VALUE!</v>
      </c>
      <c r="JH10" s="232" t="e">
        <f t="shared" si="37"/>
        <v>#VALUE!</v>
      </c>
      <c r="JI10" s="232" t="e">
        <f t="shared" si="37"/>
        <v>#VALUE!</v>
      </c>
      <c r="JJ10" s="232" t="e">
        <f t="shared" si="37"/>
        <v>#VALUE!</v>
      </c>
      <c r="JK10" s="232"/>
      <c r="JL10" s="232"/>
      <c r="JM10" s="232"/>
      <c r="JN10" s="232"/>
      <c r="JO10" s="232"/>
      <c r="JP10" s="232"/>
      <c r="JQ10" s="232"/>
      <c r="JR10" s="232"/>
      <c r="JS10" s="232"/>
      <c r="JT10" s="232"/>
      <c r="JU10" s="232"/>
      <c r="JV10" s="232"/>
      <c r="JW10" s="232"/>
      <c r="JX10" s="232"/>
      <c r="JY10" s="232"/>
      <c r="JZ10" s="232"/>
      <c r="KA10" s="232"/>
      <c r="KB10" s="232"/>
      <c r="KC10" s="232"/>
      <c r="KD10" s="232"/>
      <c r="KE10" s="232"/>
      <c r="KF10" s="232"/>
      <c r="KG10" s="232"/>
      <c r="KH10" s="232"/>
      <c r="KI10" s="232"/>
      <c r="KJ10" s="232"/>
      <c r="KK10" s="232"/>
      <c r="KL10" s="232"/>
      <c r="KM10" s="232"/>
      <c r="KN10" s="232"/>
      <c r="KO10" s="232"/>
      <c r="KP10" s="232"/>
      <c r="KQ10" s="232"/>
      <c r="KR10" s="232"/>
      <c r="KS10" s="232"/>
      <c r="KT10" s="232"/>
      <c r="KU10" s="232"/>
      <c r="KV10" s="232"/>
      <c r="KW10" s="232"/>
      <c r="KX10" s="232"/>
      <c r="KY10" s="232"/>
      <c r="KZ10" s="232"/>
      <c r="LA10" s="232"/>
      <c r="LB10" s="232"/>
      <c r="LC10" s="232"/>
      <c r="LD10" s="232"/>
      <c r="LE10" s="232"/>
      <c r="LF10" s="232"/>
      <c r="LG10" s="232"/>
      <c r="LH10" s="232"/>
      <c r="LI10" s="232"/>
      <c r="LJ10" s="232"/>
      <c r="LK10" s="232"/>
      <c r="LL10" s="232"/>
      <c r="LM10" s="232"/>
      <c r="LN10" s="232"/>
      <c r="LO10" s="232"/>
      <c r="LP10" s="232"/>
      <c r="LQ10" s="232"/>
      <c r="LR10" s="232"/>
      <c r="LS10" s="232"/>
      <c r="LT10" s="232"/>
      <c r="LU10" s="232"/>
      <c r="LV10" s="232"/>
      <c r="LW10" s="232"/>
      <c r="LX10" s="232"/>
      <c r="LY10" s="232"/>
      <c r="LZ10" s="232"/>
      <c r="MA10" s="232"/>
      <c r="MB10" s="232"/>
      <c r="MC10" s="232"/>
      <c r="MD10" s="232"/>
      <c r="ME10" s="232"/>
      <c r="MF10" s="232"/>
      <c r="MG10" s="232"/>
      <c r="MH10" s="232"/>
      <c r="MI10" s="232"/>
      <c r="MJ10" s="232"/>
      <c r="MK10" s="232"/>
      <c r="ML10" s="232"/>
      <c r="MM10" s="232"/>
      <c r="MN10" s="232"/>
      <c r="MO10" s="232"/>
      <c r="MP10" s="232"/>
      <c r="MQ10" s="232"/>
      <c r="MR10" s="232"/>
      <c r="MS10" s="232"/>
      <c r="MT10" s="232"/>
      <c r="MU10" s="232"/>
      <c r="MV10" s="232"/>
      <c r="MW10" s="232"/>
      <c r="MX10" s="232"/>
      <c r="MY10" s="232"/>
      <c r="MZ10" s="232"/>
      <c r="NA10" s="232"/>
      <c r="NB10" s="232"/>
      <c r="NC10" s="232"/>
      <c r="ND10" s="232"/>
      <c r="NE10" s="232"/>
      <c r="NF10" s="232"/>
      <c r="NG10" s="232"/>
      <c r="NH10" s="232"/>
      <c r="NI10" s="232"/>
      <c r="NJ10" s="232"/>
      <c r="NK10" s="232"/>
      <c r="NL10" s="232"/>
      <c r="NM10" s="232"/>
      <c r="NN10" s="232"/>
      <c r="NO10" s="232"/>
      <c r="NP10" s="232"/>
      <c r="NQ10" s="232"/>
      <c r="NR10" s="232"/>
      <c r="NS10" s="232"/>
      <c r="NT10" s="232"/>
      <c r="NU10" s="232"/>
      <c r="NV10" s="232"/>
      <c r="NW10" s="232"/>
      <c r="NX10" s="232"/>
      <c r="NY10" s="232"/>
      <c r="NZ10" s="232"/>
      <c r="OA10" s="232"/>
      <c r="OB10" s="232"/>
      <c r="OC10" s="232"/>
      <c r="OD10" s="232"/>
      <c r="OE10" s="232"/>
      <c r="OF10" s="232"/>
      <c r="OG10" s="232"/>
      <c r="OH10" s="232"/>
      <c r="OI10" s="232"/>
      <c r="OJ10" s="232"/>
      <c r="OK10" s="232"/>
      <c r="OL10" s="232"/>
      <c r="OM10" s="232"/>
      <c r="ON10" s="232"/>
      <c r="OO10" s="232"/>
      <c r="OP10" s="232"/>
      <c r="OQ10" s="232"/>
      <c r="OR10" s="232"/>
      <c r="OS10" s="232"/>
      <c r="OT10" s="232"/>
      <c r="OU10" s="232"/>
      <c r="OV10" s="232"/>
      <c r="OW10" s="232"/>
      <c r="OX10" s="232"/>
      <c r="OY10" s="232"/>
      <c r="OZ10" s="232"/>
      <c r="PA10" s="232"/>
      <c r="PB10" s="232"/>
      <c r="PC10" s="232"/>
      <c r="PD10" s="232"/>
      <c r="PE10" s="232"/>
      <c r="PF10" s="232"/>
      <c r="PG10" s="232"/>
      <c r="PH10" s="232"/>
      <c r="PI10" s="232"/>
      <c r="PJ10" s="232"/>
      <c r="PK10" s="232"/>
      <c r="PL10" s="232"/>
      <c r="PM10" s="232"/>
      <c r="PN10" s="232"/>
      <c r="PO10" s="232"/>
      <c r="PP10" s="232"/>
      <c r="PQ10" s="232"/>
      <c r="PR10" s="232"/>
      <c r="PS10" s="232"/>
      <c r="PT10" s="232"/>
      <c r="PU10" s="232"/>
      <c r="PV10" s="232"/>
      <c r="PW10" s="232"/>
      <c r="PX10" s="232"/>
      <c r="PY10" s="232"/>
      <c r="PZ10" s="232"/>
      <c r="QA10" s="232"/>
      <c r="QB10" s="232"/>
      <c r="QC10" s="232"/>
      <c r="QD10" s="232"/>
      <c r="QE10" s="232"/>
      <c r="QF10" s="232"/>
      <c r="QG10" s="232"/>
      <c r="QH10" s="232"/>
      <c r="QI10" s="232"/>
      <c r="QJ10" s="232"/>
      <c r="QK10" s="232"/>
      <c r="QL10" s="232"/>
      <c r="QM10" s="232"/>
      <c r="QN10" s="232"/>
      <c r="QO10" s="232"/>
      <c r="QP10" s="232"/>
      <c r="QQ10" s="232"/>
      <c r="QR10" s="232"/>
      <c r="QS10" s="232"/>
      <c r="QT10" s="232"/>
      <c r="QU10" s="232"/>
      <c r="QV10" s="232"/>
      <c r="QW10" s="232"/>
      <c r="QX10" s="232"/>
      <c r="QY10" s="232"/>
      <c r="QZ10" s="232"/>
      <c r="RA10" s="232"/>
      <c r="RB10" s="232"/>
      <c r="RC10" s="232"/>
      <c r="RD10" s="232"/>
      <c r="RE10" s="232"/>
      <c r="RF10" s="232"/>
      <c r="RG10" s="232"/>
      <c r="RH10" s="232"/>
      <c r="RI10" s="232"/>
      <c r="RJ10" s="232"/>
      <c r="RK10" s="232"/>
      <c r="RL10" s="232"/>
      <c r="RM10" s="232"/>
      <c r="RN10" s="232"/>
      <c r="RO10" s="232"/>
      <c r="RP10" s="232"/>
      <c r="RQ10" s="232"/>
      <c r="RR10" s="232"/>
      <c r="RS10" s="232"/>
      <c r="RT10" s="232"/>
      <c r="RU10" s="232"/>
      <c r="RV10" s="232"/>
      <c r="RW10" s="232"/>
      <c r="RX10" s="232"/>
      <c r="RY10" s="232"/>
      <c r="RZ10" s="232"/>
      <c r="SA10" s="232"/>
      <c r="SB10" s="232"/>
      <c r="SC10" s="232"/>
      <c r="SD10" s="232"/>
      <c r="SE10" s="232"/>
      <c r="SF10" s="232"/>
      <c r="SG10" s="232"/>
      <c r="SH10" s="232"/>
      <c r="SI10" s="232"/>
      <c r="SJ10" s="232"/>
      <c r="SK10" s="232"/>
      <c r="SL10" s="232"/>
      <c r="SM10" s="232"/>
      <c r="SN10" s="232"/>
      <c r="SO10" s="232"/>
      <c r="SP10" s="232"/>
      <c r="SQ10" s="232"/>
      <c r="SR10" s="232"/>
      <c r="SS10" s="232"/>
      <c r="ST10" s="232"/>
      <c r="SU10" s="232"/>
      <c r="SV10" s="232"/>
      <c r="SW10" s="232"/>
      <c r="SX10" s="232"/>
      <c r="SY10" s="232"/>
      <c r="SZ10" s="232"/>
      <c r="TA10" s="232"/>
      <c r="TB10" s="232"/>
      <c r="TC10" s="232"/>
      <c r="TD10" s="232"/>
      <c r="TE10" s="232"/>
      <c r="TF10" s="232"/>
      <c r="TG10" s="232"/>
      <c r="TH10" s="232"/>
      <c r="TI10" s="232"/>
      <c r="TJ10" s="232"/>
      <c r="TK10" s="232"/>
      <c r="TL10" s="232"/>
      <c r="TM10" s="232"/>
      <c r="TN10" s="232"/>
      <c r="TO10" s="232"/>
      <c r="TP10" s="232"/>
      <c r="TQ10" s="232"/>
      <c r="TR10" s="232"/>
      <c r="TS10" s="232"/>
      <c r="TT10" s="232"/>
      <c r="TU10" s="232"/>
      <c r="TV10" s="232"/>
      <c r="TW10" s="232"/>
      <c r="TX10" s="232"/>
      <c r="TY10" s="232"/>
      <c r="TZ10" s="232"/>
      <c r="UA10" s="232"/>
      <c r="UB10" s="232"/>
      <c r="UC10" s="232"/>
      <c r="UD10" s="232"/>
      <c r="UE10" s="232"/>
      <c r="UF10" s="232"/>
      <c r="UG10" s="232"/>
      <c r="UH10" s="232"/>
      <c r="UI10" s="232"/>
      <c r="UJ10" s="232"/>
      <c r="UK10" s="232"/>
      <c r="UL10" s="232"/>
      <c r="UM10" s="232"/>
      <c r="UN10" s="232"/>
      <c r="UO10" s="232"/>
      <c r="UP10" s="232"/>
      <c r="UQ10" s="232"/>
      <c r="UR10" s="232"/>
      <c r="US10" s="232"/>
      <c r="UT10" s="232"/>
      <c r="UU10" s="232"/>
      <c r="UV10" s="232"/>
      <c r="UW10" s="232"/>
      <c r="UX10" s="232"/>
      <c r="UY10" s="232"/>
      <c r="UZ10" s="232"/>
      <c r="VA10" s="232"/>
      <c r="VB10" s="232"/>
      <c r="VC10" s="232"/>
      <c r="VD10" s="232"/>
      <c r="VE10" s="232"/>
      <c r="VF10" s="232"/>
      <c r="VG10" s="232"/>
      <c r="VH10" s="232"/>
      <c r="VI10" s="232"/>
      <c r="VJ10" s="232"/>
      <c r="VK10" s="232"/>
      <c r="VL10" s="232"/>
      <c r="VM10" s="232"/>
      <c r="VN10" s="232"/>
      <c r="VO10" s="232"/>
      <c r="VP10" s="232"/>
      <c r="VQ10" s="232"/>
      <c r="VR10" s="232"/>
      <c r="VS10" s="232"/>
      <c r="VT10" s="232"/>
      <c r="VU10" s="232"/>
      <c r="VV10" s="232"/>
      <c r="VW10" s="232"/>
      <c r="VX10" s="232"/>
      <c r="VY10" s="232"/>
      <c r="VZ10" s="232"/>
      <c r="WA10" s="232"/>
      <c r="WB10" s="232"/>
      <c r="WC10" s="232"/>
      <c r="WD10" s="232"/>
      <c r="WE10" s="232"/>
      <c r="WF10" s="232"/>
      <c r="WG10" s="232"/>
      <c r="WH10" s="232"/>
      <c r="WI10" s="232"/>
      <c r="WJ10" s="232"/>
      <c r="WK10" s="232"/>
      <c r="WL10" s="232"/>
      <c r="WM10" s="232"/>
      <c r="WN10" s="232"/>
      <c r="WO10" s="232"/>
      <c r="WP10" s="232"/>
      <c r="WQ10" s="232"/>
      <c r="WR10" s="232"/>
      <c r="WS10" s="232"/>
      <c r="WT10" s="232"/>
      <c r="WU10" s="232"/>
      <c r="WV10" s="232"/>
      <c r="WW10" s="232"/>
      <c r="WX10" s="232"/>
      <c r="WY10" s="232"/>
      <c r="WZ10" s="232"/>
      <c r="XA10" s="232"/>
      <c r="XB10" s="232"/>
      <c r="XC10" s="232"/>
      <c r="XD10" s="232"/>
      <c r="XE10" s="232"/>
      <c r="XF10" s="232"/>
      <c r="XG10" s="232"/>
      <c r="XH10" s="232"/>
      <c r="XI10" s="232"/>
      <c r="XJ10" s="232"/>
      <c r="XK10" s="232"/>
      <c r="XL10" s="232"/>
      <c r="XM10" s="232"/>
      <c r="XN10" s="232"/>
      <c r="XO10" s="232"/>
      <c r="XP10" s="232"/>
      <c r="XQ10" s="232"/>
      <c r="XR10" s="232"/>
      <c r="XS10" s="232"/>
      <c r="XT10" s="232"/>
      <c r="XU10" s="232"/>
      <c r="XV10" s="232"/>
      <c r="XW10" s="232"/>
      <c r="XX10" s="232"/>
      <c r="XY10" s="232"/>
      <c r="XZ10" s="232"/>
      <c r="YA10" s="232"/>
      <c r="YB10" s="232"/>
      <c r="YC10" s="232"/>
      <c r="YD10" s="232"/>
      <c r="YE10" s="232"/>
      <c r="YF10" s="232"/>
      <c r="YG10" s="232"/>
      <c r="YH10" s="232"/>
      <c r="YI10" s="232"/>
      <c r="YJ10" s="232"/>
      <c r="YK10" s="232"/>
      <c r="YL10" s="232"/>
      <c r="YM10" s="232"/>
      <c r="YN10" s="232"/>
      <c r="YO10" s="232"/>
      <c r="YP10" s="232"/>
      <c r="YQ10" s="232"/>
      <c r="YR10" s="232"/>
      <c r="YS10" s="232"/>
      <c r="YT10" s="232"/>
      <c r="YU10" s="232"/>
      <c r="YV10" s="232"/>
      <c r="YW10" s="232"/>
      <c r="YX10" s="232"/>
      <c r="YY10" s="232"/>
      <c r="YZ10" s="232"/>
      <c r="ZA10" s="232"/>
      <c r="ZB10" s="232"/>
      <c r="ZC10" s="232"/>
      <c r="ZD10" s="232"/>
      <c r="ZE10" s="232"/>
      <c r="ZF10" s="232"/>
      <c r="ZG10" s="232"/>
      <c r="ZH10" s="232"/>
      <c r="ZI10" s="232"/>
      <c r="ZJ10" s="232"/>
      <c r="ZK10" s="232"/>
      <c r="ZL10" s="232"/>
      <c r="ZM10" s="232"/>
      <c r="ZN10" s="232"/>
      <c r="ZO10" s="232"/>
      <c r="ZP10" s="232"/>
      <c r="ZQ10" s="232"/>
      <c r="ZR10" s="232"/>
      <c r="ZS10" s="232"/>
      <c r="ZT10" s="232"/>
      <c r="ZU10" s="232"/>
      <c r="ZV10" s="232"/>
      <c r="ZW10" s="232"/>
      <c r="ZX10" s="232"/>
      <c r="ZY10" s="232"/>
      <c r="ZZ10" s="232"/>
      <c r="AAA10" s="232"/>
      <c r="AAB10" s="232"/>
      <c r="AAC10" s="232"/>
      <c r="AAD10" s="232"/>
      <c r="AAE10" s="232"/>
      <c r="AAF10" s="232"/>
      <c r="AAG10" s="232"/>
      <c r="AAH10" s="232"/>
      <c r="AAI10" s="232"/>
      <c r="AAJ10" s="232"/>
      <c r="AAK10" s="232"/>
      <c r="AAL10" s="232"/>
      <c r="AAM10" s="232"/>
      <c r="AAN10" s="232"/>
      <c r="AAO10" s="232"/>
      <c r="AAP10" s="232"/>
      <c r="AAQ10" s="232"/>
      <c r="AAR10" s="232"/>
      <c r="AAS10" s="232"/>
      <c r="AAT10" s="232"/>
      <c r="AAU10" s="232"/>
      <c r="AAV10" s="232"/>
      <c r="AAW10" s="232"/>
      <c r="AAX10" s="232"/>
      <c r="AAY10" s="232"/>
      <c r="AAZ10" s="232"/>
      <c r="ABA10" s="232"/>
      <c r="ABB10" s="232"/>
      <c r="ABC10" s="232"/>
      <c r="ABD10" s="232"/>
      <c r="ABE10" s="232"/>
      <c r="ABF10" s="232"/>
      <c r="ABG10" s="232"/>
      <c r="ABH10" s="232"/>
      <c r="ABI10" s="232"/>
      <c r="ABJ10" s="232"/>
      <c r="ABK10" s="232"/>
      <c r="ABL10" s="232"/>
      <c r="ABM10" s="232"/>
      <c r="ABN10" s="232"/>
      <c r="ABO10" s="232"/>
      <c r="ABP10" s="232"/>
      <c r="ABQ10" s="232"/>
      <c r="ABR10" s="232"/>
      <c r="ABS10" s="232"/>
      <c r="ABT10" s="232"/>
      <c r="ABU10" s="232"/>
      <c r="ABV10" s="232"/>
      <c r="ABW10" s="232"/>
      <c r="ABX10" s="232"/>
      <c r="ABY10" s="232"/>
      <c r="ABZ10" s="232"/>
      <c r="ACA10" s="232"/>
      <c r="ACB10" s="232"/>
      <c r="ACC10" s="232"/>
      <c r="ACD10" s="232"/>
      <c r="ACE10" s="232"/>
      <c r="ACF10" s="232"/>
      <c r="ACG10" s="232"/>
      <c r="ACH10" s="232"/>
      <c r="ACI10" s="232"/>
      <c r="ACJ10" s="232"/>
      <c r="ACK10" s="232"/>
      <c r="ACL10" s="232"/>
      <c r="ACM10" s="232"/>
      <c r="ACN10" s="232"/>
      <c r="ACO10" s="232"/>
      <c r="ACP10" s="232"/>
      <c r="ACQ10" s="232"/>
      <c r="ACR10" s="232"/>
      <c r="ACS10" s="232"/>
      <c r="ACT10" s="232"/>
      <c r="ACU10" s="232"/>
      <c r="ACV10" s="232"/>
      <c r="ACW10" s="232"/>
      <c r="ACX10" s="232"/>
      <c r="ACY10" s="232"/>
      <c r="ACZ10" s="232"/>
      <c r="ADA10" s="232"/>
      <c r="ADB10" s="232"/>
      <c r="ADC10" s="232"/>
      <c r="ADD10" s="232"/>
      <c r="ADE10" s="232"/>
      <c r="ADF10" s="232"/>
      <c r="ADG10" s="232"/>
      <c r="ADH10" s="232"/>
      <c r="ADI10" s="232"/>
      <c r="ADJ10" s="232"/>
      <c r="ADK10" s="232"/>
      <c r="ADL10" s="232"/>
      <c r="ADM10" s="232"/>
      <c r="ADN10" s="232"/>
      <c r="ADO10" s="232"/>
      <c r="ADP10" s="232"/>
      <c r="ADQ10" s="232"/>
      <c r="ADR10" s="232"/>
      <c r="ADS10" s="232"/>
      <c r="ADT10" s="232"/>
      <c r="ADU10" s="232"/>
      <c r="ADV10" s="232"/>
      <c r="ADW10" s="232"/>
      <c r="ADX10" s="232"/>
      <c r="ADY10" s="232"/>
      <c r="ADZ10" s="232"/>
      <c r="AEA10" s="232"/>
      <c r="AEB10" s="232"/>
      <c r="AEC10" s="232"/>
      <c r="AED10" s="232"/>
      <c r="AEE10" s="232"/>
      <c r="AEF10" s="232"/>
      <c r="AEG10" s="232"/>
      <c r="AEH10" s="232"/>
      <c r="AEI10" s="232"/>
      <c r="AEJ10" s="232"/>
      <c r="AEK10" s="232"/>
      <c r="AEL10" s="232"/>
      <c r="AEM10" s="232"/>
      <c r="AEN10" s="232"/>
      <c r="AEO10" s="232"/>
      <c r="AEP10" s="232"/>
      <c r="AEQ10" s="232"/>
      <c r="AER10" s="232"/>
      <c r="AES10" s="232"/>
      <c r="AET10" s="232"/>
      <c r="AEU10" s="232"/>
      <c r="AEV10" s="232"/>
      <c r="AEW10" s="232"/>
      <c r="AEX10" s="232"/>
      <c r="AEY10" s="232"/>
      <c r="AEZ10" s="232"/>
      <c r="AFA10" s="232"/>
      <c r="AFB10" s="232"/>
      <c r="AFC10" s="232"/>
      <c r="AFD10" s="232"/>
      <c r="AFE10" s="232"/>
      <c r="AFF10" s="232"/>
      <c r="AFG10" s="232"/>
      <c r="AFH10" s="232"/>
      <c r="AFI10" s="232"/>
      <c r="AFJ10" s="232"/>
      <c r="AFK10" s="232"/>
      <c r="AFL10" s="232"/>
      <c r="AFM10" s="232"/>
      <c r="AFN10" s="232"/>
      <c r="AFO10" s="232"/>
      <c r="AFP10" s="232"/>
      <c r="AFQ10" s="232"/>
      <c r="AFR10" s="232"/>
      <c r="AFS10" s="232"/>
      <c r="AFT10" s="232"/>
      <c r="AFU10" s="232"/>
      <c r="AFV10" s="232"/>
      <c r="AFW10" s="232"/>
      <c r="AFX10" s="232"/>
      <c r="AFY10" s="232"/>
      <c r="AFZ10" s="232"/>
      <c r="AGA10" s="232"/>
      <c r="AGB10" s="232"/>
      <c r="AGC10" s="232"/>
      <c r="AGD10" s="232"/>
      <c r="AGE10" s="232"/>
      <c r="AGF10" s="232"/>
      <c r="AGG10" s="232"/>
      <c r="AGH10" s="232"/>
      <c r="AGI10" s="232"/>
      <c r="AGJ10" s="232"/>
      <c r="AGK10" s="232"/>
      <c r="AGL10" s="232"/>
      <c r="AGM10" s="232"/>
      <c r="AGN10" s="232"/>
      <c r="AGO10" s="232"/>
      <c r="AGP10" s="232"/>
      <c r="AGQ10" s="232"/>
      <c r="AGR10" s="232"/>
      <c r="AGS10" s="232"/>
      <c r="AGT10" s="232"/>
      <c r="AGU10" s="232"/>
      <c r="AGV10" s="232"/>
      <c r="AGW10" s="232"/>
      <c r="AGX10" s="232"/>
      <c r="AGY10" s="232"/>
      <c r="AGZ10" s="232"/>
      <c r="AHA10" s="232"/>
      <c r="AHB10" s="232"/>
      <c r="AHC10" s="232"/>
      <c r="AHD10" s="232"/>
      <c r="AHE10" s="232"/>
      <c r="AHF10" s="232"/>
      <c r="AHG10" s="232"/>
      <c r="AHH10" s="232"/>
      <c r="AHI10" s="232"/>
      <c r="AHJ10" s="232"/>
      <c r="AHK10" s="232"/>
      <c r="AHL10" s="232"/>
      <c r="AHM10" s="232"/>
      <c r="AHN10" s="232"/>
      <c r="AHO10" s="232"/>
      <c r="AHP10" s="232"/>
      <c r="AHQ10" s="232"/>
      <c r="AHR10" s="232"/>
      <c r="AHS10" s="232"/>
      <c r="AHT10" s="232"/>
      <c r="AHU10" s="232"/>
      <c r="AHV10" s="232"/>
      <c r="AHW10" s="232"/>
      <c r="AHX10" s="232"/>
      <c r="AHY10" s="232"/>
      <c r="AHZ10" s="232"/>
      <c r="AIA10" s="232"/>
      <c r="AIB10" s="232"/>
      <c r="AIC10" s="232"/>
      <c r="AID10" s="232"/>
      <c r="AIE10" s="232"/>
      <c r="AIF10" s="232"/>
      <c r="AIG10" s="232"/>
      <c r="AIH10" s="232"/>
      <c r="AII10" s="232"/>
      <c r="AIJ10" s="232"/>
      <c r="AIK10" s="232"/>
      <c r="AIL10" s="232"/>
      <c r="AIM10" s="232"/>
      <c r="AIN10" s="232"/>
      <c r="AIO10" s="232"/>
      <c r="AIP10" s="232"/>
      <c r="AIQ10" s="232"/>
      <c r="AIR10" s="232"/>
      <c r="AIS10" s="232"/>
      <c r="AIT10" s="232"/>
      <c r="AIU10" s="232"/>
      <c r="AIV10" s="232"/>
      <c r="AIW10" s="232"/>
      <c r="AIX10" s="232"/>
      <c r="AIY10" s="232"/>
      <c r="AIZ10" s="232"/>
      <c r="AJA10" s="232"/>
      <c r="AJB10" s="232"/>
      <c r="AJC10" s="232"/>
      <c r="AJD10" s="232"/>
      <c r="AJE10" s="232"/>
      <c r="AJF10" s="232"/>
      <c r="AJG10" s="232"/>
      <c r="AJH10" s="232"/>
      <c r="AJI10" s="232"/>
      <c r="AJJ10" s="232"/>
      <c r="AJK10" s="232"/>
      <c r="AJL10" s="232"/>
      <c r="AJM10" s="232"/>
      <c r="AJN10" s="232"/>
      <c r="AJO10" s="232"/>
      <c r="AJP10" s="232"/>
      <c r="AJQ10" s="232"/>
      <c r="AJR10" s="232"/>
      <c r="AJS10" s="232"/>
      <c r="AJT10" s="232"/>
      <c r="AJU10" s="232"/>
      <c r="AJV10" s="232"/>
      <c r="AJW10" s="232"/>
      <c r="AJX10" s="232"/>
      <c r="AJY10" s="232"/>
      <c r="AJZ10" s="232"/>
      <c r="AKA10" s="232"/>
      <c r="AKB10" s="232"/>
      <c r="AKC10" s="232"/>
      <c r="AKD10" s="232"/>
      <c r="AKE10" s="232"/>
      <c r="AKF10" s="232"/>
      <c r="AKG10" s="232"/>
      <c r="AKH10" s="232"/>
      <c r="AKI10" s="232"/>
      <c r="AKJ10" s="232"/>
      <c r="AKK10" s="232"/>
      <c r="AKL10" s="232"/>
      <c r="AKM10" s="232"/>
      <c r="AKN10" s="232"/>
      <c r="AKO10" s="232"/>
      <c r="AKP10" s="232"/>
      <c r="AKQ10" s="232"/>
      <c r="AKR10" s="232"/>
      <c r="AKS10" s="232"/>
      <c r="AKT10" s="232"/>
      <c r="AKU10" s="232"/>
      <c r="AKV10" s="232"/>
      <c r="AKW10" s="232"/>
      <c r="AKX10" s="232"/>
      <c r="AKY10" s="232"/>
      <c r="AKZ10" s="232"/>
      <c r="ALA10" s="232"/>
      <c r="ALB10" s="232"/>
      <c r="ALC10" s="232"/>
      <c r="ALD10" s="232"/>
      <c r="ALE10" s="232"/>
      <c r="ALF10" s="232"/>
      <c r="ALG10" s="232"/>
      <c r="ALH10" s="232"/>
      <c r="ALI10" s="232"/>
      <c r="ALJ10" s="232"/>
      <c r="ALK10" s="232"/>
      <c r="ALL10" s="232"/>
      <c r="ALM10" s="232"/>
      <c r="ALN10" s="232"/>
      <c r="ALO10" s="232"/>
      <c r="ALP10" s="232"/>
      <c r="ALQ10" s="232"/>
      <c r="ALR10" s="232"/>
      <c r="ALS10" s="232"/>
      <c r="ALT10" s="232"/>
      <c r="ALU10" s="232"/>
      <c r="ALV10" s="232"/>
      <c r="ALW10" s="232"/>
      <c r="ALX10" s="232"/>
      <c r="ALY10" s="232"/>
      <c r="ALZ10" s="232"/>
      <c r="AMA10" s="232"/>
      <c r="AMB10" s="232"/>
      <c r="AMC10" s="232"/>
      <c r="AMD10" s="232"/>
      <c r="AME10" s="232"/>
      <c r="AMF10" s="232"/>
      <c r="AMG10" s="232"/>
      <c r="AMH10" s="232"/>
      <c r="AMI10" s="232"/>
      <c r="AMJ10" s="232"/>
      <c r="AMK10" s="232"/>
      <c r="AML10" s="232"/>
      <c r="AMM10" s="232"/>
      <c r="AMN10" s="232"/>
      <c r="AMO10" s="232"/>
      <c r="AMP10" s="232"/>
      <c r="AMQ10" s="232"/>
      <c r="AMR10" s="232"/>
      <c r="AMS10" s="232"/>
      <c r="AMT10" s="232"/>
      <c r="AMU10" s="232"/>
      <c r="AMV10" s="232"/>
      <c r="AMW10" s="232"/>
      <c r="AMX10" s="232"/>
      <c r="AMY10" s="232"/>
      <c r="AMZ10" s="232"/>
      <c r="ANA10" s="232"/>
      <c r="ANB10" s="232"/>
      <c r="ANC10" s="232"/>
      <c r="AND10" s="232"/>
      <c r="ANE10" s="232"/>
      <c r="ANF10" s="232"/>
      <c r="ANG10" s="232"/>
      <c r="ANH10" s="232"/>
      <c r="ANI10" s="232"/>
      <c r="ANJ10" s="232"/>
      <c r="ANK10" s="232"/>
      <c r="ANL10" s="232"/>
      <c r="ANM10" s="232"/>
      <c r="ANN10" s="232"/>
      <c r="ANO10" s="232"/>
      <c r="ANP10" s="232"/>
      <c r="ANQ10" s="232"/>
      <c r="ANR10" s="232"/>
      <c r="ANS10" s="232"/>
      <c r="ANT10" s="232"/>
      <c r="ANU10" s="232"/>
      <c r="ANV10" s="232"/>
      <c r="ANW10" s="232"/>
      <c r="ANX10" s="232"/>
      <c r="ANY10" s="232"/>
      <c r="ANZ10" s="232"/>
      <c r="AOA10" s="232"/>
      <c r="AOB10" s="232"/>
      <c r="AOC10" s="232"/>
      <c r="AOD10" s="232"/>
      <c r="AOE10" s="232"/>
      <c r="AOF10" s="232"/>
      <c r="AOG10" s="232"/>
    </row>
    <row r="11" spans="1:1073">
      <c r="A11" s="2127"/>
      <c r="B11" s="223">
        <v>3</v>
      </c>
      <c r="C11" s="224"/>
      <c r="D11" s="225"/>
      <c r="E11" s="226"/>
      <c r="F11" s="226"/>
      <c r="G11" s="227" t="str">
        <f>IF(C11="","",IF(Tabelle1[[#This Row],[End Date]]&lt;COV!$E$12,0,IF(COV!E$12="","",IF(Tabelle1[[#This Row],[End Date]]-Tabelle1[[#This Row],[Start Date]]&gt;0,IF(F11&lt;COV!E$11,(F11-IF(E11&lt;COV!E$12,COV!E$12,Tabelle1[[#This Row],[Start Date]])),(COV!E$11-IF(E11&lt;COV!E$12,COV!E$12,Tabelle1[[#This Row],[Start Date]])))/365*12,""))))</f>
        <v/>
      </c>
      <c r="H11" s="225"/>
      <c r="I11" s="234"/>
      <c r="J11" s="229"/>
      <c r="K11" s="1325" t="str">
        <f>IF(Tabelle1[[#This Row],[Project Name]]="","",IF(OR(Tabelle1[[#This Row],[PM Category]]=CAT_A_NAME,Tabelle1[[#This Row],[PM Category]]=CAT_B_NAME,Tabelle1[[#This Row],[PM Category]]=CAT_C_NAME,Tabelle1[[#This Row],[PM Category]]=CAT_D_NAME,Tabelle1[[#This Row],[PM Category]]=CAT_E_NAME,Tabelle1[[#This Row],[PM Category]]=CAT_SPJ,Tabelle1[[#This Row],[PM Category]]=CAT_PJ,Tabelle1[[#This Row],[PM Category]]=""),"","1"))</f>
        <v/>
      </c>
      <c r="L11" s="1326">
        <f>IF(Tabelle1[[#This Row],[Role]]="PJM",1)+IF(Tabelle1[[#This Row],[Role]]="PGM",1)+IF(Tabelle1[[#This Row],[Role]]="PFM",1)+IF(Tabelle1[[#This Row],[Role]]="TPM",1)+IF(Tabelle1[[#This Row],[Role]]="CPM",1)</f>
        <v>0</v>
      </c>
      <c r="M11" s="230" t="str">
        <f>IFERROR(IF(Tabelle1[[#This Row],[Project Name]]&lt;&gt;"",IF(G11*I11&gt;0,G11,""),"")*Tabelle1[[#This Row],[Role Check]],"")</f>
        <v/>
      </c>
      <c r="N11" s="231" t="str">
        <f>IFERROR(Tabelle1[[#This Row],[Duration '[months']]]*Tabelle1[[#This Row],[Avg. time spent in resp. Role]],"")</f>
        <v/>
      </c>
      <c r="O11" s="221"/>
      <c r="S11" s="208" t="str">
        <f>IF(Tabelle1[[#This Row],[Project Name]]&lt;&gt;"",Tabelle1[[#This Row],[Project Name]],"")</f>
        <v/>
      </c>
      <c r="T11" s="232">
        <f t="shared" si="12"/>
        <v>0</v>
      </c>
      <c r="U11" s="545" t="e">
        <f t="shared" si="12"/>
        <v>#VALUE!</v>
      </c>
      <c r="V11" s="545" t="e">
        <f t="shared" si="13"/>
        <v>#VALUE!</v>
      </c>
      <c r="W11" s="232" t="e">
        <f t="shared" si="13"/>
        <v>#VALUE!</v>
      </c>
      <c r="X11" s="232" t="e">
        <f t="shared" si="13"/>
        <v>#VALUE!</v>
      </c>
      <c r="Y11" s="232" t="e">
        <f t="shared" si="13"/>
        <v>#VALUE!</v>
      </c>
      <c r="Z11" s="232" t="e">
        <f t="shared" si="13"/>
        <v>#VALUE!</v>
      </c>
      <c r="AA11" s="232" t="e">
        <f t="shared" si="13"/>
        <v>#VALUE!</v>
      </c>
      <c r="AB11" s="232" t="e">
        <f t="shared" si="13"/>
        <v>#VALUE!</v>
      </c>
      <c r="AC11" s="232" t="e">
        <f t="shared" si="13"/>
        <v>#VALUE!</v>
      </c>
      <c r="AD11" s="232" t="e">
        <f t="shared" si="13"/>
        <v>#VALUE!</v>
      </c>
      <c r="AE11" s="232" t="e">
        <f t="shared" si="13"/>
        <v>#VALUE!</v>
      </c>
      <c r="AF11" s="232" t="e">
        <f t="shared" si="14"/>
        <v>#VALUE!</v>
      </c>
      <c r="AG11" s="232" t="e">
        <f t="shared" si="14"/>
        <v>#VALUE!</v>
      </c>
      <c r="AH11" s="232" t="e">
        <f t="shared" si="14"/>
        <v>#VALUE!</v>
      </c>
      <c r="AI11" s="232" t="e">
        <f t="shared" si="14"/>
        <v>#VALUE!</v>
      </c>
      <c r="AJ11" s="232" t="e">
        <f t="shared" si="14"/>
        <v>#VALUE!</v>
      </c>
      <c r="AK11" s="232" t="e">
        <f t="shared" si="14"/>
        <v>#VALUE!</v>
      </c>
      <c r="AL11" s="232" t="e">
        <f t="shared" si="14"/>
        <v>#VALUE!</v>
      </c>
      <c r="AM11" s="232" t="e">
        <f t="shared" si="14"/>
        <v>#VALUE!</v>
      </c>
      <c r="AN11" s="232" t="e">
        <f t="shared" si="14"/>
        <v>#VALUE!</v>
      </c>
      <c r="AO11" s="232" t="e">
        <f t="shared" si="14"/>
        <v>#VALUE!</v>
      </c>
      <c r="AP11" s="232" t="e">
        <f t="shared" si="15"/>
        <v>#VALUE!</v>
      </c>
      <c r="AQ11" s="232" t="e">
        <f t="shared" si="15"/>
        <v>#VALUE!</v>
      </c>
      <c r="AR11" s="232" t="e">
        <f t="shared" si="15"/>
        <v>#VALUE!</v>
      </c>
      <c r="AS11" s="232" t="e">
        <f t="shared" si="15"/>
        <v>#VALUE!</v>
      </c>
      <c r="AT11" s="232" t="e">
        <f t="shared" si="15"/>
        <v>#VALUE!</v>
      </c>
      <c r="AU11" s="232" t="e">
        <f t="shared" si="15"/>
        <v>#VALUE!</v>
      </c>
      <c r="AV11" s="232" t="e">
        <f t="shared" si="15"/>
        <v>#VALUE!</v>
      </c>
      <c r="AW11" s="232" t="e">
        <f t="shared" si="15"/>
        <v>#VALUE!</v>
      </c>
      <c r="AX11" s="232" t="e">
        <f t="shared" si="15"/>
        <v>#VALUE!</v>
      </c>
      <c r="AY11" s="232" t="e">
        <f t="shared" si="15"/>
        <v>#VALUE!</v>
      </c>
      <c r="AZ11" s="232" t="e">
        <f t="shared" si="16"/>
        <v>#VALUE!</v>
      </c>
      <c r="BA11" s="232" t="e">
        <f t="shared" si="16"/>
        <v>#VALUE!</v>
      </c>
      <c r="BB11" s="232" t="e">
        <f t="shared" si="16"/>
        <v>#VALUE!</v>
      </c>
      <c r="BC11" s="232" t="e">
        <f t="shared" si="16"/>
        <v>#VALUE!</v>
      </c>
      <c r="BD11" s="232" t="e">
        <f t="shared" si="16"/>
        <v>#VALUE!</v>
      </c>
      <c r="BE11" s="232" t="e">
        <f t="shared" si="16"/>
        <v>#VALUE!</v>
      </c>
      <c r="BF11" s="232" t="e">
        <f t="shared" si="16"/>
        <v>#VALUE!</v>
      </c>
      <c r="BG11" s="232" t="e">
        <f t="shared" si="16"/>
        <v>#VALUE!</v>
      </c>
      <c r="BH11" s="232" t="e">
        <f t="shared" si="16"/>
        <v>#VALUE!</v>
      </c>
      <c r="BI11" s="232" t="e">
        <f t="shared" si="16"/>
        <v>#VALUE!</v>
      </c>
      <c r="BJ11" s="232" t="e">
        <f t="shared" si="17"/>
        <v>#VALUE!</v>
      </c>
      <c r="BK11" s="232" t="e">
        <f t="shared" si="17"/>
        <v>#VALUE!</v>
      </c>
      <c r="BL11" s="232" t="e">
        <f t="shared" si="17"/>
        <v>#VALUE!</v>
      </c>
      <c r="BM11" s="232" t="e">
        <f t="shared" si="17"/>
        <v>#VALUE!</v>
      </c>
      <c r="BN11" s="232" t="e">
        <f t="shared" si="17"/>
        <v>#VALUE!</v>
      </c>
      <c r="BO11" s="232" t="e">
        <f t="shared" si="17"/>
        <v>#VALUE!</v>
      </c>
      <c r="BP11" s="232" t="e">
        <f t="shared" si="17"/>
        <v>#VALUE!</v>
      </c>
      <c r="BQ11" s="232" t="e">
        <f t="shared" si="17"/>
        <v>#VALUE!</v>
      </c>
      <c r="BR11" s="232" t="e">
        <f t="shared" si="17"/>
        <v>#VALUE!</v>
      </c>
      <c r="BS11" s="232" t="e">
        <f t="shared" si="17"/>
        <v>#VALUE!</v>
      </c>
      <c r="BT11" s="232" t="e">
        <f t="shared" si="18"/>
        <v>#VALUE!</v>
      </c>
      <c r="BU11" s="232" t="e">
        <f t="shared" si="18"/>
        <v>#VALUE!</v>
      </c>
      <c r="BV11" s="232" t="e">
        <f t="shared" si="18"/>
        <v>#VALUE!</v>
      </c>
      <c r="BW11" s="232" t="e">
        <f t="shared" si="18"/>
        <v>#VALUE!</v>
      </c>
      <c r="BX11" s="232" t="e">
        <f t="shared" si="18"/>
        <v>#VALUE!</v>
      </c>
      <c r="BY11" s="232" t="e">
        <f t="shared" si="18"/>
        <v>#VALUE!</v>
      </c>
      <c r="BZ11" s="232" t="e">
        <f t="shared" si="18"/>
        <v>#VALUE!</v>
      </c>
      <c r="CA11" s="232" t="e">
        <f t="shared" si="18"/>
        <v>#VALUE!</v>
      </c>
      <c r="CB11" s="232" t="e">
        <f t="shared" si="18"/>
        <v>#VALUE!</v>
      </c>
      <c r="CC11" s="232" t="e">
        <f t="shared" si="18"/>
        <v>#VALUE!</v>
      </c>
      <c r="CD11" s="232" t="e">
        <f t="shared" si="19"/>
        <v>#VALUE!</v>
      </c>
      <c r="CE11" s="232" t="e">
        <f t="shared" si="19"/>
        <v>#VALUE!</v>
      </c>
      <c r="CF11" s="232" t="e">
        <f t="shared" si="19"/>
        <v>#VALUE!</v>
      </c>
      <c r="CG11" s="232" t="e">
        <f t="shared" si="19"/>
        <v>#VALUE!</v>
      </c>
      <c r="CH11" s="232" t="e">
        <f t="shared" si="19"/>
        <v>#VALUE!</v>
      </c>
      <c r="CI11" s="232" t="e">
        <f t="shared" si="19"/>
        <v>#VALUE!</v>
      </c>
      <c r="CJ11" s="232" t="e">
        <f t="shared" si="19"/>
        <v>#VALUE!</v>
      </c>
      <c r="CK11" s="232" t="e">
        <f t="shared" si="19"/>
        <v>#VALUE!</v>
      </c>
      <c r="CL11" s="232" t="e">
        <f t="shared" si="19"/>
        <v>#VALUE!</v>
      </c>
      <c r="CM11" s="232" t="e">
        <f t="shared" si="19"/>
        <v>#VALUE!</v>
      </c>
      <c r="CN11" s="232" t="e">
        <f t="shared" si="20"/>
        <v>#VALUE!</v>
      </c>
      <c r="CO11" s="232" t="e">
        <f t="shared" si="20"/>
        <v>#VALUE!</v>
      </c>
      <c r="CP11" s="232" t="e">
        <f t="shared" si="20"/>
        <v>#VALUE!</v>
      </c>
      <c r="CQ11" s="232" t="e">
        <f t="shared" si="20"/>
        <v>#VALUE!</v>
      </c>
      <c r="CR11" s="232" t="e">
        <f t="shared" si="20"/>
        <v>#VALUE!</v>
      </c>
      <c r="CS11" s="232" t="e">
        <f t="shared" si="20"/>
        <v>#VALUE!</v>
      </c>
      <c r="CT11" s="232" t="e">
        <f t="shared" si="20"/>
        <v>#VALUE!</v>
      </c>
      <c r="CU11" s="232" t="e">
        <f t="shared" si="20"/>
        <v>#VALUE!</v>
      </c>
      <c r="CV11" s="232" t="e">
        <f t="shared" si="20"/>
        <v>#VALUE!</v>
      </c>
      <c r="CW11" s="232" t="e">
        <f t="shared" si="20"/>
        <v>#VALUE!</v>
      </c>
      <c r="CX11" s="232" t="e">
        <f t="shared" si="21"/>
        <v>#VALUE!</v>
      </c>
      <c r="CY11" s="232" t="e">
        <f t="shared" si="21"/>
        <v>#VALUE!</v>
      </c>
      <c r="CZ11" s="232" t="e">
        <f t="shared" si="21"/>
        <v>#VALUE!</v>
      </c>
      <c r="DA11" s="232" t="e">
        <f t="shared" si="21"/>
        <v>#VALUE!</v>
      </c>
      <c r="DB11" s="232" t="e">
        <f t="shared" si="21"/>
        <v>#VALUE!</v>
      </c>
      <c r="DC11" s="232" t="e">
        <f t="shared" si="21"/>
        <v>#VALUE!</v>
      </c>
      <c r="DD11" s="232" t="e">
        <f t="shared" si="21"/>
        <v>#VALUE!</v>
      </c>
      <c r="DE11" s="232" t="e">
        <f t="shared" si="21"/>
        <v>#VALUE!</v>
      </c>
      <c r="DF11" s="232" t="e">
        <f t="shared" si="21"/>
        <v>#VALUE!</v>
      </c>
      <c r="DG11" s="232" t="e">
        <f t="shared" si="21"/>
        <v>#VALUE!</v>
      </c>
      <c r="DH11" s="232" t="e">
        <f t="shared" si="22"/>
        <v>#VALUE!</v>
      </c>
      <c r="DI11" s="232" t="e">
        <f t="shared" si="22"/>
        <v>#VALUE!</v>
      </c>
      <c r="DJ11" s="232" t="e">
        <f t="shared" si="22"/>
        <v>#VALUE!</v>
      </c>
      <c r="DK11" s="232" t="e">
        <f t="shared" si="22"/>
        <v>#VALUE!</v>
      </c>
      <c r="DL11" s="232" t="e">
        <f t="shared" si="22"/>
        <v>#VALUE!</v>
      </c>
      <c r="DM11" s="232" t="e">
        <f t="shared" si="22"/>
        <v>#VALUE!</v>
      </c>
      <c r="DN11" s="232" t="e">
        <f t="shared" si="22"/>
        <v>#VALUE!</v>
      </c>
      <c r="DO11" s="232" t="e">
        <f t="shared" si="22"/>
        <v>#VALUE!</v>
      </c>
      <c r="DP11" s="232" t="e">
        <f t="shared" si="22"/>
        <v>#VALUE!</v>
      </c>
      <c r="DQ11" s="232" t="e">
        <f t="shared" si="22"/>
        <v>#VALUE!</v>
      </c>
      <c r="DR11" s="232" t="e">
        <f t="shared" si="23"/>
        <v>#VALUE!</v>
      </c>
      <c r="DS11" s="232" t="e">
        <f t="shared" si="23"/>
        <v>#VALUE!</v>
      </c>
      <c r="DT11" s="232" t="e">
        <f t="shared" si="23"/>
        <v>#VALUE!</v>
      </c>
      <c r="DU11" s="232" t="e">
        <f t="shared" si="23"/>
        <v>#VALUE!</v>
      </c>
      <c r="DV11" s="232" t="e">
        <f t="shared" si="23"/>
        <v>#VALUE!</v>
      </c>
      <c r="DW11" s="232" t="e">
        <f t="shared" si="23"/>
        <v>#VALUE!</v>
      </c>
      <c r="DX11" s="232" t="e">
        <f t="shared" si="23"/>
        <v>#VALUE!</v>
      </c>
      <c r="DY11" s="232" t="e">
        <f t="shared" si="23"/>
        <v>#VALUE!</v>
      </c>
      <c r="DZ11" s="232" t="e">
        <f t="shared" si="23"/>
        <v>#VALUE!</v>
      </c>
      <c r="EA11" s="232" t="e">
        <f t="shared" si="23"/>
        <v>#VALUE!</v>
      </c>
      <c r="EB11" s="232" t="e">
        <f t="shared" si="24"/>
        <v>#VALUE!</v>
      </c>
      <c r="EC11" s="232" t="e">
        <f t="shared" si="24"/>
        <v>#VALUE!</v>
      </c>
      <c r="ED11" s="232" t="e">
        <f t="shared" si="24"/>
        <v>#VALUE!</v>
      </c>
      <c r="EE11" s="232" t="e">
        <f t="shared" si="24"/>
        <v>#VALUE!</v>
      </c>
      <c r="EF11" s="232" t="e">
        <f t="shared" si="24"/>
        <v>#VALUE!</v>
      </c>
      <c r="EG11" s="232" t="e">
        <f t="shared" si="24"/>
        <v>#VALUE!</v>
      </c>
      <c r="EH11" s="232" t="e">
        <f t="shared" si="24"/>
        <v>#VALUE!</v>
      </c>
      <c r="EI11" s="232" t="e">
        <f t="shared" si="24"/>
        <v>#VALUE!</v>
      </c>
      <c r="EJ11" s="232" t="e">
        <f t="shared" si="24"/>
        <v>#VALUE!</v>
      </c>
      <c r="EK11" s="232" t="e">
        <f t="shared" si="24"/>
        <v>#VALUE!</v>
      </c>
      <c r="EL11" s="232" t="e">
        <f t="shared" si="25"/>
        <v>#VALUE!</v>
      </c>
      <c r="EM11" s="232" t="e">
        <f t="shared" si="25"/>
        <v>#VALUE!</v>
      </c>
      <c r="EN11" s="232" t="e">
        <f t="shared" si="25"/>
        <v>#VALUE!</v>
      </c>
      <c r="EO11" s="232" t="e">
        <f t="shared" si="25"/>
        <v>#VALUE!</v>
      </c>
      <c r="EP11" s="232" t="e">
        <f t="shared" si="25"/>
        <v>#VALUE!</v>
      </c>
      <c r="EQ11" s="232" t="e">
        <f t="shared" si="25"/>
        <v>#VALUE!</v>
      </c>
      <c r="ER11" s="232" t="e">
        <f t="shared" si="25"/>
        <v>#VALUE!</v>
      </c>
      <c r="ES11" s="232" t="e">
        <f t="shared" si="25"/>
        <v>#VALUE!</v>
      </c>
      <c r="ET11" s="232" t="e">
        <f t="shared" si="25"/>
        <v>#VALUE!</v>
      </c>
      <c r="EU11" s="232" t="e">
        <f t="shared" si="25"/>
        <v>#VALUE!</v>
      </c>
      <c r="EV11" s="232" t="e">
        <f t="shared" si="26"/>
        <v>#VALUE!</v>
      </c>
      <c r="EW11" s="232" t="e">
        <f t="shared" si="26"/>
        <v>#VALUE!</v>
      </c>
      <c r="EX11" s="232" t="e">
        <f t="shared" si="26"/>
        <v>#VALUE!</v>
      </c>
      <c r="EY11" s="232" t="e">
        <f t="shared" si="26"/>
        <v>#VALUE!</v>
      </c>
      <c r="EZ11" s="232" t="e">
        <f t="shared" si="26"/>
        <v>#VALUE!</v>
      </c>
      <c r="FA11" s="232" t="e">
        <f t="shared" si="26"/>
        <v>#VALUE!</v>
      </c>
      <c r="FB11" s="232" t="e">
        <f t="shared" si="26"/>
        <v>#VALUE!</v>
      </c>
      <c r="FC11" s="232" t="e">
        <f t="shared" si="26"/>
        <v>#VALUE!</v>
      </c>
      <c r="FD11" s="232" t="e">
        <f t="shared" si="26"/>
        <v>#VALUE!</v>
      </c>
      <c r="FE11" s="232" t="e">
        <f t="shared" si="26"/>
        <v>#VALUE!</v>
      </c>
      <c r="FF11" s="232" t="e">
        <f t="shared" si="27"/>
        <v>#VALUE!</v>
      </c>
      <c r="FG11" s="232" t="e">
        <f t="shared" si="27"/>
        <v>#VALUE!</v>
      </c>
      <c r="FH11" s="232" t="e">
        <f t="shared" si="27"/>
        <v>#VALUE!</v>
      </c>
      <c r="FI11" s="232" t="e">
        <f t="shared" si="27"/>
        <v>#VALUE!</v>
      </c>
      <c r="FJ11" s="232" t="e">
        <f t="shared" si="27"/>
        <v>#VALUE!</v>
      </c>
      <c r="FK11" s="232" t="e">
        <f t="shared" si="27"/>
        <v>#VALUE!</v>
      </c>
      <c r="FL11" s="232" t="e">
        <f t="shared" si="27"/>
        <v>#VALUE!</v>
      </c>
      <c r="FM11" s="232" t="e">
        <f t="shared" si="27"/>
        <v>#VALUE!</v>
      </c>
      <c r="FN11" s="232" t="e">
        <f t="shared" si="27"/>
        <v>#VALUE!</v>
      </c>
      <c r="FO11" s="232" t="e">
        <f t="shared" si="27"/>
        <v>#VALUE!</v>
      </c>
      <c r="FP11" s="232" t="e">
        <f t="shared" si="28"/>
        <v>#VALUE!</v>
      </c>
      <c r="FQ11" s="232" t="e">
        <f t="shared" si="28"/>
        <v>#VALUE!</v>
      </c>
      <c r="FR11" s="232" t="e">
        <f t="shared" si="28"/>
        <v>#VALUE!</v>
      </c>
      <c r="FS11" s="232" t="e">
        <f t="shared" si="28"/>
        <v>#VALUE!</v>
      </c>
      <c r="FT11" s="232" t="e">
        <f t="shared" si="28"/>
        <v>#VALUE!</v>
      </c>
      <c r="FU11" s="232" t="e">
        <f t="shared" si="28"/>
        <v>#VALUE!</v>
      </c>
      <c r="FV11" s="232" t="e">
        <f t="shared" si="28"/>
        <v>#VALUE!</v>
      </c>
      <c r="FW11" s="232" t="e">
        <f t="shared" si="28"/>
        <v>#VALUE!</v>
      </c>
      <c r="FX11" s="232" t="e">
        <f t="shared" si="28"/>
        <v>#VALUE!</v>
      </c>
      <c r="FY11" s="232" t="e">
        <f t="shared" si="28"/>
        <v>#VALUE!</v>
      </c>
      <c r="FZ11" s="232" t="e">
        <f t="shared" si="29"/>
        <v>#VALUE!</v>
      </c>
      <c r="GA11" s="232" t="e">
        <f t="shared" si="29"/>
        <v>#VALUE!</v>
      </c>
      <c r="GB11" s="232" t="e">
        <f t="shared" si="29"/>
        <v>#VALUE!</v>
      </c>
      <c r="GC11" s="232" t="e">
        <f t="shared" si="29"/>
        <v>#VALUE!</v>
      </c>
      <c r="GD11" s="232" t="e">
        <f t="shared" si="29"/>
        <v>#VALUE!</v>
      </c>
      <c r="GE11" s="232" t="e">
        <f t="shared" si="29"/>
        <v>#VALUE!</v>
      </c>
      <c r="GF11" s="232" t="e">
        <f t="shared" si="29"/>
        <v>#VALUE!</v>
      </c>
      <c r="GG11" s="232" t="e">
        <f t="shared" si="29"/>
        <v>#VALUE!</v>
      </c>
      <c r="GH11" s="232" t="e">
        <f t="shared" si="29"/>
        <v>#VALUE!</v>
      </c>
      <c r="GI11" s="232" t="e">
        <f t="shared" si="29"/>
        <v>#VALUE!</v>
      </c>
      <c r="GJ11" s="232" t="e">
        <f t="shared" si="30"/>
        <v>#VALUE!</v>
      </c>
      <c r="GK11" s="232" t="e">
        <f t="shared" si="30"/>
        <v>#VALUE!</v>
      </c>
      <c r="GL11" s="232" t="e">
        <f t="shared" si="30"/>
        <v>#VALUE!</v>
      </c>
      <c r="GM11" s="232" t="e">
        <f t="shared" si="30"/>
        <v>#VALUE!</v>
      </c>
      <c r="GN11" s="232" t="e">
        <f t="shared" si="30"/>
        <v>#VALUE!</v>
      </c>
      <c r="GO11" s="232" t="e">
        <f t="shared" si="30"/>
        <v>#VALUE!</v>
      </c>
      <c r="GP11" s="232" t="e">
        <f t="shared" si="30"/>
        <v>#VALUE!</v>
      </c>
      <c r="GQ11" s="232" t="e">
        <f t="shared" si="30"/>
        <v>#VALUE!</v>
      </c>
      <c r="GR11" s="232" t="e">
        <f t="shared" si="30"/>
        <v>#VALUE!</v>
      </c>
      <c r="GS11" s="232" t="e">
        <f t="shared" si="30"/>
        <v>#VALUE!</v>
      </c>
      <c r="GT11" s="232" t="e">
        <f t="shared" si="31"/>
        <v>#VALUE!</v>
      </c>
      <c r="GU11" s="232" t="e">
        <f t="shared" si="31"/>
        <v>#VALUE!</v>
      </c>
      <c r="GV11" s="232" t="e">
        <f t="shared" si="31"/>
        <v>#VALUE!</v>
      </c>
      <c r="GW11" s="232" t="e">
        <f t="shared" si="31"/>
        <v>#VALUE!</v>
      </c>
      <c r="GX11" s="232" t="e">
        <f t="shared" si="31"/>
        <v>#VALUE!</v>
      </c>
      <c r="GY11" s="232" t="e">
        <f t="shared" si="31"/>
        <v>#VALUE!</v>
      </c>
      <c r="GZ11" s="232" t="e">
        <f t="shared" si="31"/>
        <v>#VALUE!</v>
      </c>
      <c r="HA11" s="232" t="e">
        <f t="shared" si="31"/>
        <v>#VALUE!</v>
      </c>
      <c r="HB11" s="232" t="e">
        <f t="shared" si="31"/>
        <v>#VALUE!</v>
      </c>
      <c r="HC11" s="232" t="e">
        <f t="shared" si="31"/>
        <v>#VALUE!</v>
      </c>
      <c r="HD11" s="232" t="e">
        <f t="shared" si="32"/>
        <v>#VALUE!</v>
      </c>
      <c r="HE11" s="232" t="e">
        <f t="shared" si="32"/>
        <v>#VALUE!</v>
      </c>
      <c r="HF11" s="232" t="e">
        <f t="shared" si="32"/>
        <v>#VALUE!</v>
      </c>
      <c r="HG11" s="232" t="e">
        <f t="shared" si="32"/>
        <v>#VALUE!</v>
      </c>
      <c r="HH11" s="232" t="e">
        <f t="shared" si="32"/>
        <v>#VALUE!</v>
      </c>
      <c r="HI11" s="232" t="e">
        <f t="shared" si="32"/>
        <v>#VALUE!</v>
      </c>
      <c r="HJ11" s="232" t="e">
        <f t="shared" si="32"/>
        <v>#VALUE!</v>
      </c>
      <c r="HK11" s="232" t="e">
        <f t="shared" si="32"/>
        <v>#VALUE!</v>
      </c>
      <c r="HL11" s="232" t="e">
        <f t="shared" si="32"/>
        <v>#VALUE!</v>
      </c>
      <c r="HM11" s="232" t="e">
        <f t="shared" si="32"/>
        <v>#VALUE!</v>
      </c>
      <c r="HN11" s="232" t="e">
        <f t="shared" si="33"/>
        <v>#VALUE!</v>
      </c>
      <c r="HO11" s="232" t="e">
        <f t="shared" si="33"/>
        <v>#VALUE!</v>
      </c>
      <c r="HP11" s="232" t="e">
        <f t="shared" si="33"/>
        <v>#VALUE!</v>
      </c>
      <c r="HQ11" s="232" t="e">
        <f t="shared" si="33"/>
        <v>#VALUE!</v>
      </c>
      <c r="HR11" s="232" t="e">
        <f t="shared" si="33"/>
        <v>#VALUE!</v>
      </c>
      <c r="HS11" s="232" t="e">
        <f t="shared" si="33"/>
        <v>#VALUE!</v>
      </c>
      <c r="HT11" s="232" t="e">
        <f t="shared" si="33"/>
        <v>#VALUE!</v>
      </c>
      <c r="HU11" s="232" t="e">
        <f t="shared" si="33"/>
        <v>#VALUE!</v>
      </c>
      <c r="HV11" s="232" t="e">
        <f t="shared" si="33"/>
        <v>#VALUE!</v>
      </c>
      <c r="HW11" s="232" t="e">
        <f t="shared" si="33"/>
        <v>#VALUE!</v>
      </c>
      <c r="HX11" s="232" t="e">
        <f t="shared" si="34"/>
        <v>#VALUE!</v>
      </c>
      <c r="HY11" s="232" t="e">
        <f t="shared" si="34"/>
        <v>#VALUE!</v>
      </c>
      <c r="HZ11" s="232" t="e">
        <f t="shared" si="34"/>
        <v>#VALUE!</v>
      </c>
      <c r="IA11" s="232" t="e">
        <f t="shared" si="34"/>
        <v>#VALUE!</v>
      </c>
      <c r="IB11" s="232" t="e">
        <f t="shared" si="34"/>
        <v>#VALUE!</v>
      </c>
      <c r="IC11" s="232" t="e">
        <f t="shared" si="34"/>
        <v>#VALUE!</v>
      </c>
      <c r="ID11" s="232" t="e">
        <f t="shared" si="34"/>
        <v>#VALUE!</v>
      </c>
      <c r="IE11" s="232" t="e">
        <f t="shared" si="34"/>
        <v>#VALUE!</v>
      </c>
      <c r="IF11" s="232" t="e">
        <f t="shared" si="34"/>
        <v>#VALUE!</v>
      </c>
      <c r="IG11" s="232" t="e">
        <f t="shared" si="34"/>
        <v>#VALUE!</v>
      </c>
      <c r="IH11" s="232" t="e">
        <f t="shared" si="35"/>
        <v>#VALUE!</v>
      </c>
      <c r="II11" s="232" t="e">
        <f t="shared" si="35"/>
        <v>#VALUE!</v>
      </c>
      <c r="IJ11" s="232" t="e">
        <f t="shared" si="35"/>
        <v>#VALUE!</v>
      </c>
      <c r="IK11" s="232" t="e">
        <f t="shared" si="35"/>
        <v>#VALUE!</v>
      </c>
      <c r="IL11" s="232" t="e">
        <f t="shared" si="35"/>
        <v>#VALUE!</v>
      </c>
      <c r="IM11" s="232" t="e">
        <f t="shared" si="35"/>
        <v>#VALUE!</v>
      </c>
      <c r="IN11" s="232" t="e">
        <f t="shared" si="35"/>
        <v>#VALUE!</v>
      </c>
      <c r="IO11" s="232" t="e">
        <f t="shared" si="35"/>
        <v>#VALUE!</v>
      </c>
      <c r="IP11" s="232" t="e">
        <f t="shared" si="35"/>
        <v>#VALUE!</v>
      </c>
      <c r="IQ11" s="232" t="e">
        <f t="shared" si="35"/>
        <v>#VALUE!</v>
      </c>
      <c r="IR11" s="232" t="e">
        <f t="shared" si="36"/>
        <v>#VALUE!</v>
      </c>
      <c r="IS11" s="232" t="e">
        <f t="shared" si="36"/>
        <v>#VALUE!</v>
      </c>
      <c r="IT11" s="232" t="e">
        <f t="shared" si="36"/>
        <v>#VALUE!</v>
      </c>
      <c r="IU11" s="232" t="e">
        <f t="shared" si="36"/>
        <v>#VALUE!</v>
      </c>
      <c r="IV11" s="232" t="e">
        <f t="shared" si="36"/>
        <v>#VALUE!</v>
      </c>
      <c r="IW11" s="232" t="e">
        <f t="shared" si="36"/>
        <v>#VALUE!</v>
      </c>
      <c r="IX11" s="232" t="e">
        <f t="shared" si="36"/>
        <v>#VALUE!</v>
      </c>
      <c r="IY11" s="232" t="e">
        <f t="shared" si="36"/>
        <v>#VALUE!</v>
      </c>
      <c r="IZ11" s="232" t="e">
        <f t="shared" si="36"/>
        <v>#VALUE!</v>
      </c>
      <c r="JA11" s="232" t="e">
        <f t="shared" si="36"/>
        <v>#VALUE!</v>
      </c>
      <c r="JB11" s="232" t="e">
        <f t="shared" si="37"/>
        <v>#VALUE!</v>
      </c>
      <c r="JC11" s="232" t="e">
        <f t="shared" si="37"/>
        <v>#VALUE!</v>
      </c>
      <c r="JD11" s="232" t="e">
        <f t="shared" si="37"/>
        <v>#VALUE!</v>
      </c>
      <c r="JE11" s="232" t="e">
        <f t="shared" si="37"/>
        <v>#VALUE!</v>
      </c>
      <c r="JF11" s="232" t="e">
        <f t="shared" si="37"/>
        <v>#VALUE!</v>
      </c>
      <c r="JG11" s="232" t="e">
        <f t="shared" si="37"/>
        <v>#VALUE!</v>
      </c>
      <c r="JH11" s="232" t="e">
        <f t="shared" si="37"/>
        <v>#VALUE!</v>
      </c>
      <c r="JI11" s="232" t="e">
        <f t="shared" si="37"/>
        <v>#VALUE!</v>
      </c>
      <c r="JJ11" s="232" t="e">
        <f t="shared" si="37"/>
        <v>#VALUE!</v>
      </c>
      <c r="JK11" s="232"/>
      <c r="JL11" s="232"/>
      <c r="JM11" s="232"/>
      <c r="JN11" s="232"/>
      <c r="JO11" s="232"/>
      <c r="JP11" s="232"/>
      <c r="JQ11" s="232"/>
      <c r="JR11" s="232"/>
      <c r="JS11" s="232"/>
      <c r="JT11" s="232"/>
      <c r="JU11" s="232"/>
      <c r="JV11" s="232"/>
      <c r="JW11" s="232"/>
      <c r="JX11" s="232"/>
      <c r="JY11" s="232"/>
      <c r="JZ11" s="232"/>
      <c r="KA11" s="232"/>
      <c r="KB11" s="232"/>
      <c r="KC11" s="232"/>
      <c r="KD11" s="232"/>
      <c r="KE11" s="232"/>
      <c r="KF11" s="232"/>
      <c r="KG11" s="232"/>
      <c r="KH11" s="232"/>
      <c r="KI11" s="232"/>
      <c r="KJ11" s="232"/>
      <c r="KK11" s="232"/>
      <c r="KL11" s="232"/>
      <c r="KM11" s="232"/>
      <c r="KN11" s="232"/>
      <c r="KO11" s="232"/>
      <c r="KP11" s="232"/>
      <c r="KQ11" s="232"/>
      <c r="KR11" s="232"/>
      <c r="KS11" s="232"/>
      <c r="KT11" s="232"/>
      <c r="KU11" s="232"/>
      <c r="KV11" s="232"/>
      <c r="KW11" s="232"/>
      <c r="KX11" s="232"/>
      <c r="KY11" s="232"/>
      <c r="KZ11" s="232"/>
      <c r="LA11" s="232"/>
      <c r="LB11" s="232"/>
      <c r="LC11" s="232"/>
      <c r="LD11" s="232"/>
      <c r="LE11" s="232"/>
      <c r="LF11" s="232"/>
      <c r="LG11" s="232"/>
      <c r="LH11" s="232"/>
      <c r="LI11" s="232"/>
      <c r="LJ11" s="232"/>
      <c r="LK11" s="232"/>
      <c r="LL11" s="232"/>
      <c r="LM11" s="232"/>
      <c r="LN11" s="232"/>
      <c r="LO11" s="232"/>
      <c r="LP11" s="232"/>
      <c r="LQ11" s="232"/>
      <c r="LR11" s="232"/>
      <c r="LS11" s="232"/>
      <c r="LT11" s="232"/>
      <c r="LU11" s="232"/>
      <c r="LV11" s="232"/>
      <c r="LW11" s="232"/>
      <c r="LX11" s="232"/>
      <c r="LY11" s="232"/>
      <c r="LZ11" s="232"/>
      <c r="MA11" s="232"/>
      <c r="MB11" s="232"/>
      <c r="MC11" s="232"/>
      <c r="MD11" s="232"/>
      <c r="ME11" s="232"/>
      <c r="MF11" s="232"/>
      <c r="MG11" s="232"/>
      <c r="MH11" s="232"/>
      <c r="MI11" s="232"/>
      <c r="MJ11" s="232"/>
      <c r="MK11" s="232"/>
      <c r="ML11" s="232"/>
      <c r="MM11" s="232"/>
      <c r="MN11" s="232"/>
      <c r="MO11" s="232"/>
      <c r="MP11" s="232"/>
      <c r="MQ11" s="232"/>
      <c r="MR11" s="232"/>
      <c r="MS11" s="232"/>
      <c r="MT11" s="232"/>
      <c r="MU11" s="232"/>
      <c r="MV11" s="232"/>
      <c r="MW11" s="232"/>
      <c r="MX11" s="232"/>
      <c r="MY11" s="232"/>
      <c r="MZ11" s="232"/>
      <c r="NA11" s="232"/>
      <c r="NB11" s="232"/>
      <c r="NC11" s="232"/>
      <c r="ND11" s="232"/>
      <c r="NE11" s="232"/>
      <c r="NF11" s="232"/>
      <c r="NG11" s="232"/>
      <c r="NH11" s="232"/>
      <c r="NI11" s="232"/>
      <c r="NJ11" s="232"/>
      <c r="NK11" s="232"/>
      <c r="NL11" s="232"/>
      <c r="NM11" s="232"/>
      <c r="NN11" s="232"/>
      <c r="NO11" s="232"/>
      <c r="NP11" s="232"/>
      <c r="NQ11" s="232"/>
      <c r="NR11" s="232"/>
      <c r="NS11" s="232"/>
      <c r="NT11" s="232"/>
      <c r="NU11" s="232"/>
      <c r="NV11" s="232"/>
      <c r="NW11" s="232"/>
      <c r="NX11" s="232"/>
      <c r="NY11" s="232"/>
      <c r="NZ11" s="232"/>
      <c r="OA11" s="232"/>
      <c r="OB11" s="232"/>
      <c r="OC11" s="232"/>
      <c r="OD11" s="232"/>
      <c r="OE11" s="232"/>
      <c r="OF11" s="232"/>
      <c r="OG11" s="232"/>
      <c r="OH11" s="232"/>
      <c r="OI11" s="232"/>
      <c r="OJ11" s="232"/>
      <c r="OK11" s="232"/>
      <c r="OL11" s="232"/>
      <c r="OM11" s="232"/>
      <c r="ON11" s="232"/>
      <c r="OO11" s="232"/>
      <c r="OP11" s="232"/>
      <c r="OQ11" s="232"/>
      <c r="OR11" s="232"/>
      <c r="OS11" s="232"/>
      <c r="OT11" s="232"/>
      <c r="OU11" s="232"/>
      <c r="OV11" s="232"/>
      <c r="OW11" s="232"/>
      <c r="OX11" s="232"/>
      <c r="OY11" s="232"/>
      <c r="OZ11" s="232"/>
      <c r="PA11" s="232"/>
      <c r="PB11" s="232"/>
      <c r="PC11" s="232"/>
      <c r="PD11" s="232"/>
      <c r="PE11" s="232"/>
      <c r="PF11" s="232"/>
      <c r="PG11" s="232"/>
      <c r="PH11" s="232"/>
      <c r="PI11" s="232"/>
      <c r="PJ11" s="232"/>
      <c r="PK11" s="232"/>
      <c r="PL11" s="232"/>
      <c r="PM11" s="232"/>
      <c r="PN11" s="232"/>
      <c r="PO11" s="232"/>
      <c r="PP11" s="232"/>
      <c r="PQ11" s="232"/>
      <c r="PR11" s="232"/>
      <c r="PS11" s="232"/>
      <c r="PT11" s="232"/>
      <c r="PU11" s="232"/>
      <c r="PV11" s="232"/>
      <c r="PW11" s="232"/>
      <c r="PX11" s="232"/>
      <c r="PY11" s="232"/>
      <c r="PZ11" s="232"/>
      <c r="QA11" s="232"/>
      <c r="QB11" s="232"/>
      <c r="QC11" s="232"/>
      <c r="QD11" s="232"/>
      <c r="QE11" s="232"/>
      <c r="QF11" s="232"/>
      <c r="QG11" s="232"/>
      <c r="QH11" s="232"/>
      <c r="QI11" s="232"/>
      <c r="QJ11" s="232"/>
      <c r="QK11" s="232"/>
      <c r="QL11" s="232"/>
      <c r="QM11" s="232"/>
      <c r="QN11" s="232"/>
      <c r="QO11" s="232"/>
      <c r="QP11" s="232"/>
      <c r="QQ11" s="232"/>
      <c r="QR11" s="232"/>
      <c r="QS11" s="232"/>
      <c r="QT11" s="232"/>
      <c r="QU11" s="232"/>
      <c r="QV11" s="232"/>
      <c r="QW11" s="232"/>
      <c r="QX11" s="232"/>
      <c r="QY11" s="232"/>
      <c r="QZ11" s="232"/>
      <c r="RA11" s="232"/>
      <c r="RB11" s="232"/>
      <c r="RC11" s="232"/>
      <c r="RD11" s="232"/>
      <c r="RE11" s="232"/>
      <c r="RF11" s="232"/>
      <c r="RG11" s="232"/>
      <c r="RH11" s="232"/>
      <c r="RI11" s="232"/>
      <c r="RJ11" s="232"/>
      <c r="RK11" s="232"/>
      <c r="RL11" s="232"/>
      <c r="RM11" s="232"/>
      <c r="RN11" s="232"/>
      <c r="RO11" s="232"/>
      <c r="RP11" s="232"/>
      <c r="RQ11" s="232"/>
      <c r="RR11" s="232"/>
      <c r="RS11" s="232"/>
      <c r="RT11" s="232"/>
      <c r="RU11" s="232"/>
      <c r="RV11" s="232"/>
      <c r="RW11" s="232"/>
      <c r="RX11" s="232"/>
      <c r="RY11" s="232"/>
      <c r="RZ11" s="232"/>
      <c r="SA11" s="232"/>
      <c r="SB11" s="232"/>
      <c r="SC11" s="232"/>
      <c r="SD11" s="232"/>
      <c r="SE11" s="232"/>
      <c r="SF11" s="232"/>
      <c r="SG11" s="232"/>
      <c r="SH11" s="232"/>
      <c r="SI11" s="232"/>
      <c r="SJ11" s="232"/>
      <c r="SK11" s="232"/>
      <c r="SL11" s="232"/>
      <c r="SM11" s="232"/>
      <c r="SN11" s="232"/>
      <c r="SO11" s="232"/>
      <c r="SP11" s="232"/>
      <c r="SQ11" s="232"/>
      <c r="SR11" s="232"/>
      <c r="SS11" s="232"/>
      <c r="ST11" s="232"/>
      <c r="SU11" s="232"/>
      <c r="SV11" s="232"/>
      <c r="SW11" s="232"/>
      <c r="SX11" s="232"/>
      <c r="SY11" s="232"/>
      <c r="SZ11" s="232"/>
      <c r="TA11" s="232"/>
      <c r="TB11" s="232"/>
      <c r="TC11" s="232"/>
      <c r="TD11" s="232"/>
      <c r="TE11" s="232"/>
      <c r="TF11" s="232"/>
      <c r="TG11" s="232"/>
      <c r="TH11" s="232"/>
      <c r="TI11" s="232"/>
      <c r="TJ11" s="232"/>
      <c r="TK11" s="232"/>
      <c r="TL11" s="232"/>
      <c r="TM11" s="232"/>
      <c r="TN11" s="232"/>
      <c r="TO11" s="232"/>
      <c r="TP11" s="232"/>
      <c r="TQ11" s="232"/>
      <c r="TR11" s="232"/>
      <c r="TS11" s="232"/>
      <c r="TT11" s="232"/>
      <c r="TU11" s="232"/>
      <c r="TV11" s="232"/>
      <c r="TW11" s="232"/>
      <c r="TX11" s="232"/>
      <c r="TY11" s="232"/>
      <c r="TZ11" s="232"/>
      <c r="UA11" s="232"/>
      <c r="UB11" s="232"/>
      <c r="UC11" s="232"/>
      <c r="UD11" s="232"/>
      <c r="UE11" s="232"/>
      <c r="UF11" s="232"/>
      <c r="UG11" s="232"/>
      <c r="UH11" s="232"/>
      <c r="UI11" s="232"/>
      <c r="UJ11" s="232"/>
      <c r="UK11" s="232"/>
      <c r="UL11" s="232"/>
      <c r="UM11" s="232"/>
      <c r="UN11" s="232"/>
      <c r="UO11" s="232"/>
      <c r="UP11" s="232"/>
      <c r="UQ11" s="232"/>
      <c r="UR11" s="232"/>
      <c r="US11" s="232"/>
      <c r="UT11" s="232"/>
      <c r="UU11" s="232"/>
      <c r="UV11" s="232"/>
      <c r="UW11" s="232"/>
      <c r="UX11" s="232"/>
      <c r="UY11" s="232"/>
      <c r="UZ11" s="232"/>
      <c r="VA11" s="232"/>
      <c r="VB11" s="232"/>
      <c r="VC11" s="232"/>
      <c r="VD11" s="232"/>
      <c r="VE11" s="232"/>
      <c r="VF11" s="232"/>
      <c r="VG11" s="232"/>
      <c r="VH11" s="232"/>
      <c r="VI11" s="232"/>
      <c r="VJ11" s="232"/>
      <c r="VK11" s="232"/>
      <c r="VL11" s="232"/>
      <c r="VM11" s="232"/>
      <c r="VN11" s="232"/>
      <c r="VO11" s="232"/>
      <c r="VP11" s="232"/>
      <c r="VQ11" s="232"/>
      <c r="VR11" s="232"/>
      <c r="VS11" s="232"/>
      <c r="VT11" s="232"/>
      <c r="VU11" s="232"/>
      <c r="VV11" s="232"/>
      <c r="VW11" s="232"/>
      <c r="VX11" s="232"/>
      <c r="VY11" s="232"/>
      <c r="VZ11" s="232"/>
      <c r="WA11" s="232"/>
      <c r="WB11" s="232"/>
      <c r="WC11" s="232"/>
      <c r="WD11" s="232"/>
      <c r="WE11" s="232"/>
      <c r="WF11" s="232"/>
      <c r="WG11" s="232"/>
      <c r="WH11" s="232"/>
      <c r="WI11" s="232"/>
      <c r="WJ11" s="232"/>
      <c r="WK11" s="232"/>
      <c r="WL11" s="232"/>
      <c r="WM11" s="232"/>
      <c r="WN11" s="232"/>
      <c r="WO11" s="232"/>
      <c r="WP11" s="232"/>
      <c r="WQ11" s="232"/>
      <c r="WR11" s="232"/>
      <c r="WS11" s="232"/>
      <c r="WT11" s="232"/>
      <c r="WU11" s="232"/>
      <c r="WV11" s="232"/>
      <c r="WW11" s="232"/>
      <c r="WX11" s="232"/>
      <c r="WY11" s="232"/>
      <c r="WZ11" s="232"/>
      <c r="XA11" s="232"/>
      <c r="XB11" s="232"/>
      <c r="XC11" s="232"/>
      <c r="XD11" s="232"/>
      <c r="XE11" s="232"/>
      <c r="XF11" s="232"/>
      <c r="XG11" s="232"/>
      <c r="XH11" s="232"/>
      <c r="XI11" s="232"/>
      <c r="XJ11" s="232"/>
      <c r="XK11" s="232"/>
      <c r="XL11" s="232"/>
      <c r="XM11" s="232"/>
      <c r="XN11" s="232"/>
      <c r="XO11" s="232"/>
      <c r="XP11" s="232"/>
      <c r="XQ11" s="232"/>
      <c r="XR11" s="232"/>
      <c r="XS11" s="232"/>
      <c r="XT11" s="232"/>
      <c r="XU11" s="232"/>
      <c r="XV11" s="232"/>
      <c r="XW11" s="232"/>
      <c r="XX11" s="232"/>
      <c r="XY11" s="232"/>
      <c r="XZ11" s="232"/>
      <c r="YA11" s="232"/>
      <c r="YB11" s="232"/>
      <c r="YC11" s="232"/>
      <c r="YD11" s="232"/>
      <c r="YE11" s="232"/>
      <c r="YF11" s="232"/>
      <c r="YG11" s="232"/>
      <c r="YH11" s="232"/>
      <c r="YI11" s="232"/>
      <c r="YJ11" s="232"/>
      <c r="YK11" s="232"/>
      <c r="YL11" s="232"/>
      <c r="YM11" s="232"/>
      <c r="YN11" s="232"/>
      <c r="YO11" s="232"/>
      <c r="YP11" s="232"/>
      <c r="YQ11" s="232"/>
      <c r="YR11" s="232"/>
      <c r="YS11" s="232"/>
      <c r="YT11" s="232"/>
      <c r="YU11" s="232"/>
      <c r="YV11" s="232"/>
      <c r="YW11" s="232"/>
      <c r="YX11" s="232"/>
      <c r="YY11" s="232"/>
      <c r="YZ11" s="232"/>
      <c r="ZA11" s="232"/>
      <c r="ZB11" s="232"/>
      <c r="ZC11" s="232"/>
      <c r="ZD11" s="232"/>
      <c r="ZE11" s="232"/>
      <c r="ZF11" s="232"/>
      <c r="ZG11" s="232"/>
      <c r="ZH11" s="232"/>
      <c r="ZI11" s="232"/>
      <c r="ZJ11" s="232"/>
      <c r="ZK11" s="232"/>
      <c r="ZL11" s="232"/>
      <c r="ZM11" s="232"/>
      <c r="ZN11" s="232"/>
      <c r="ZO11" s="232"/>
      <c r="ZP11" s="232"/>
      <c r="ZQ11" s="232"/>
      <c r="ZR11" s="232"/>
      <c r="ZS11" s="232"/>
      <c r="ZT11" s="232"/>
      <c r="ZU11" s="232"/>
      <c r="ZV11" s="232"/>
      <c r="ZW11" s="232"/>
      <c r="ZX11" s="232"/>
      <c r="ZY11" s="232"/>
      <c r="ZZ11" s="232"/>
      <c r="AAA11" s="232"/>
      <c r="AAB11" s="232"/>
      <c r="AAC11" s="232"/>
      <c r="AAD11" s="232"/>
      <c r="AAE11" s="232"/>
      <c r="AAF11" s="232"/>
      <c r="AAG11" s="232"/>
      <c r="AAH11" s="232"/>
      <c r="AAI11" s="232"/>
      <c r="AAJ11" s="232"/>
      <c r="AAK11" s="232"/>
      <c r="AAL11" s="232"/>
      <c r="AAM11" s="232"/>
      <c r="AAN11" s="232"/>
      <c r="AAO11" s="232"/>
      <c r="AAP11" s="232"/>
      <c r="AAQ11" s="232"/>
      <c r="AAR11" s="232"/>
      <c r="AAS11" s="232"/>
      <c r="AAT11" s="232"/>
      <c r="AAU11" s="232"/>
      <c r="AAV11" s="232"/>
      <c r="AAW11" s="232"/>
      <c r="AAX11" s="232"/>
      <c r="AAY11" s="232"/>
      <c r="AAZ11" s="232"/>
      <c r="ABA11" s="232"/>
      <c r="ABB11" s="232"/>
      <c r="ABC11" s="232"/>
      <c r="ABD11" s="232"/>
      <c r="ABE11" s="232"/>
      <c r="ABF11" s="232"/>
      <c r="ABG11" s="232"/>
      <c r="ABH11" s="232"/>
      <c r="ABI11" s="232"/>
      <c r="ABJ11" s="232"/>
      <c r="ABK11" s="232"/>
      <c r="ABL11" s="232"/>
      <c r="ABM11" s="232"/>
      <c r="ABN11" s="232"/>
      <c r="ABO11" s="232"/>
      <c r="ABP11" s="232"/>
      <c r="ABQ11" s="232"/>
      <c r="ABR11" s="232"/>
      <c r="ABS11" s="232"/>
      <c r="ABT11" s="232"/>
      <c r="ABU11" s="232"/>
      <c r="ABV11" s="232"/>
      <c r="ABW11" s="232"/>
      <c r="ABX11" s="232"/>
      <c r="ABY11" s="232"/>
      <c r="ABZ11" s="232"/>
      <c r="ACA11" s="232"/>
      <c r="ACB11" s="232"/>
      <c r="ACC11" s="232"/>
      <c r="ACD11" s="232"/>
      <c r="ACE11" s="232"/>
      <c r="ACF11" s="232"/>
      <c r="ACG11" s="232"/>
      <c r="ACH11" s="232"/>
      <c r="ACI11" s="232"/>
      <c r="ACJ11" s="232"/>
      <c r="ACK11" s="232"/>
      <c r="ACL11" s="232"/>
      <c r="ACM11" s="232"/>
      <c r="ACN11" s="232"/>
      <c r="ACO11" s="232"/>
      <c r="ACP11" s="232"/>
      <c r="ACQ11" s="232"/>
      <c r="ACR11" s="232"/>
      <c r="ACS11" s="232"/>
      <c r="ACT11" s="232"/>
      <c r="ACU11" s="232"/>
      <c r="ACV11" s="232"/>
      <c r="ACW11" s="232"/>
      <c r="ACX11" s="232"/>
      <c r="ACY11" s="232"/>
      <c r="ACZ11" s="232"/>
      <c r="ADA11" s="232"/>
      <c r="ADB11" s="232"/>
      <c r="ADC11" s="232"/>
      <c r="ADD11" s="232"/>
      <c r="ADE11" s="232"/>
      <c r="ADF11" s="232"/>
      <c r="ADG11" s="232"/>
      <c r="ADH11" s="232"/>
      <c r="ADI11" s="232"/>
      <c r="ADJ11" s="232"/>
      <c r="ADK11" s="232"/>
      <c r="ADL11" s="232"/>
      <c r="ADM11" s="232"/>
      <c r="ADN11" s="232"/>
      <c r="ADO11" s="232"/>
      <c r="ADP11" s="232"/>
      <c r="ADQ11" s="232"/>
      <c r="ADR11" s="232"/>
      <c r="ADS11" s="232"/>
      <c r="ADT11" s="232"/>
      <c r="ADU11" s="232"/>
      <c r="ADV11" s="232"/>
      <c r="ADW11" s="232"/>
      <c r="ADX11" s="232"/>
      <c r="ADY11" s="232"/>
      <c r="ADZ11" s="232"/>
      <c r="AEA11" s="232"/>
      <c r="AEB11" s="232"/>
      <c r="AEC11" s="232"/>
      <c r="AED11" s="232"/>
      <c r="AEE11" s="232"/>
      <c r="AEF11" s="232"/>
      <c r="AEG11" s="232"/>
      <c r="AEH11" s="232"/>
      <c r="AEI11" s="232"/>
      <c r="AEJ11" s="232"/>
      <c r="AEK11" s="232"/>
      <c r="AEL11" s="232"/>
      <c r="AEM11" s="232"/>
      <c r="AEN11" s="232"/>
      <c r="AEO11" s="232"/>
      <c r="AEP11" s="232"/>
      <c r="AEQ11" s="232"/>
      <c r="AER11" s="232"/>
      <c r="AES11" s="232"/>
      <c r="AET11" s="232"/>
      <c r="AEU11" s="232"/>
      <c r="AEV11" s="232"/>
      <c r="AEW11" s="232"/>
      <c r="AEX11" s="232"/>
      <c r="AEY11" s="232"/>
      <c r="AEZ11" s="232"/>
      <c r="AFA11" s="232"/>
      <c r="AFB11" s="232"/>
      <c r="AFC11" s="232"/>
      <c r="AFD11" s="232"/>
      <c r="AFE11" s="232"/>
      <c r="AFF11" s="232"/>
      <c r="AFG11" s="232"/>
      <c r="AFH11" s="232"/>
      <c r="AFI11" s="232"/>
      <c r="AFJ11" s="232"/>
      <c r="AFK11" s="232"/>
      <c r="AFL11" s="232"/>
      <c r="AFM11" s="232"/>
      <c r="AFN11" s="232"/>
      <c r="AFO11" s="232"/>
      <c r="AFP11" s="232"/>
      <c r="AFQ11" s="232"/>
      <c r="AFR11" s="232"/>
      <c r="AFS11" s="232"/>
      <c r="AFT11" s="232"/>
      <c r="AFU11" s="232"/>
      <c r="AFV11" s="232"/>
      <c r="AFW11" s="232"/>
      <c r="AFX11" s="232"/>
      <c r="AFY11" s="232"/>
      <c r="AFZ11" s="232"/>
      <c r="AGA11" s="232"/>
      <c r="AGB11" s="232"/>
      <c r="AGC11" s="232"/>
      <c r="AGD11" s="232"/>
      <c r="AGE11" s="232"/>
      <c r="AGF11" s="232"/>
      <c r="AGG11" s="232"/>
      <c r="AGH11" s="232"/>
      <c r="AGI11" s="232"/>
      <c r="AGJ11" s="232"/>
      <c r="AGK11" s="232"/>
      <c r="AGL11" s="232"/>
      <c r="AGM11" s="232"/>
      <c r="AGN11" s="232"/>
      <c r="AGO11" s="232"/>
      <c r="AGP11" s="232"/>
      <c r="AGQ11" s="232"/>
      <c r="AGR11" s="232"/>
      <c r="AGS11" s="232"/>
      <c r="AGT11" s="232"/>
      <c r="AGU11" s="232"/>
      <c r="AGV11" s="232"/>
      <c r="AGW11" s="232"/>
      <c r="AGX11" s="232"/>
      <c r="AGY11" s="232"/>
      <c r="AGZ11" s="232"/>
      <c r="AHA11" s="232"/>
      <c r="AHB11" s="232"/>
      <c r="AHC11" s="232"/>
      <c r="AHD11" s="232"/>
      <c r="AHE11" s="232"/>
      <c r="AHF11" s="232"/>
      <c r="AHG11" s="232"/>
      <c r="AHH11" s="232"/>
      <c r="AHI11" s="232"/>
      <c r="AHJ11" s="232"/>
      <c r="AHK11" s="232"/>
      <c r="AHL11" s="232"/>
      <c r="AHM11" s="232"/>
      <c r="AHN11" s="232"/>
      <c r="AHO11" s="232"/>
      <c r="AHP11" s="232"/>
      <c r="AHQ11" s="232"/>
      <c r="AHR11" s="232"/>
      <c r="AHS11" s="232"/>
      <c r="AHT11" s="232"/>
      <c r="AHU11" s="232"/>
      <c r="AHV11" s="232"/>
      <c r="AHW11" s="232"/>
      <c r="AHX11" s="232"/>
      <c r="AHY11" s="232"/>
      <c r="AHZ11" s="232"/>
      <c r="AIA11" s="232"/>
      <c r="AIB11" s="232"/>
      <c r="AIC11" s="232"/>
      <c r="AID11" s="232"/>
      <c r="AIE11" s="232"/>
      <c r="AIF11" s="232"/>
      <c r="AIG11" s="232"/>
      <c r="AIH11" s="232"/>
      <c r="AII11" s="232"/>
      <c r="AIJ11" s="232"/>
      <c r="AIK11" s="232"/>
      <c r="AIL11" s="232"/>
      <c r="AIM11" s="232"/>
      <c r="AIN11" s="232"/>
      <c r="AIO11" s="232"/>
      <c r="AIP11" s="232"/>
      <c r="AIQ11" s="232"/>
      <c r="AIR11" s="232"/>
      <c r="AIS11" s="232"/>
      <c r="AIT11" s="232"/>
      <c r="AIU11" s="232"/>
      <c r="AIV11" s="232"/>
      <c r="AIW11" s="232"/>
      <c r="AIX11" s="232"/>
      <c r="AIY11" s="232"/>
      <c r="AIZ11" s="232"/>
      <c r="AJA11" s="232"/>
      <c r="AJB11" s="232"/>
      <c r="AJC11" s="232"/>
      <c r="AJD11" s="232"/>
      <c r="AJE11" s="232"/>
      <c r="AJF11" s="232"/>
      <c r="AJG11" s="232"/>
      <c r="AJH11" s="232"/>
      <c r="AJI11" s="232"/>
      <c r="AJJ11" s="232"/>
      <c r="AJK11" s="232"/>
      <c r="AJL11" s="232"/>
      <c r="AJM11" s="232"/>
      <c r="AJN11" s="232"/>
      <c r="AJO11" s="232"/>
      <c r="AJP11" s="232"/>
      <c r="AJQ11" s="232"/>
      <c r="AJR11" s="232"/>
      <c r="AJS11" s="232"/>
      <c r="AJT11" s="232"/>
      <c r="AJU11" s="232"/>
      <c r="AJV11" s="232"/>
      <c r="AJW11" s="232"/>
      <c r="AJX11" s="232"/>
      <c r="AJY11" s="232"/>
      <c r="AJZ11" s="232"/>
      <c r="AKA11" s="232"/>
      <c r="AKB11" s="232"/>
      <c r="AKC11" s="232"/>
      <c r="AKD11" s="232"/>
      <c r="AKE11" s="232"/>
      <c r="AKF11" s="232"/>
      <c r="AKG11" s="232"/>
      <c r="AKH11" s="232"/>
      <c r="AKI11" s="232"/>
      <c r="AKJ11" s="232"/>
      <c r="AKK11" s="232"/>
      <c r="AKL11" s="232"/>
      <c r="AKM11" s="232"/>
      <c r="AKN11" s="232"/>
      <c r="AKO11" s="232"/>
      <c r="AKP11" s="232"/>
      <c r="AKQ11" s="232"/>
      <c r="AKR11" s="232"/>
      <c r="AKS11" s="232"/>
      <c r="AKT11" s="232"/>
      <c r="AKU11" s="232"/>
      <c r="AKV11" s="232"/>
      <c r="AKW11" s="232"/>
      <c r="AKX11" s="232"/>
      <c r="AKY11" s="232"/>
      <c r="AKZ11" s="232"/>
      <c r="ALA11" s="232"/>
      <c r="ALB11" s="232"/>
      <c r="ALC11" s="232"/>
      <c r="ALD11" s="232"/>
      <c r="ALE11" s="232"/>
      <c r="ALF11" s="232"/>
      <c r="ALG11" s="232"/>
      <c r="ALH11" s="232"/>
      <c r="ALI11" s="232"/>
      <c r="ALJ11" s="232"/>
      <c r="ALK11" s="232"/>
      <c r="ALL11" s="232"/>
      <c r="ALM11" s="232"/>
      <c r="ALN11" s="232"/>
      <c r="ALO11" s="232"/>
      <c r="ALP11" s="232"/>
      <c r="ALQ11" s="232"/>
      <c r="ALR11" s="232"/>
      <c r="ALS11" s="232"/>
      <c r="ALT11" s="232"/>
      <c r="ALU11" s="232"/>
      <c r="ALV11" s="232"/>
      <c r="ALW11" s="232"/>
      <c r="ALX11" s="232"/>
      <c r="ALY11" s="232"/>
      <c r="ALZ11" s="232"/>
      <c r="AMA11" s="232"/>
      <c r="AMB11" s="232"/>
      <c r="AMC11" s="232"/>
      <c r="AMD11" s="232"/>
      <c r="AME11" s="232"/>
      <c r="AMF11" s="232"/>
      <c r="AMG11" s="232"/>
      <c r="AMH11" s="232"/>
      <c r="AMI11" s="232"/>
      <c r="AMJ11" s="232"/>
      <c r="AMK11" s="232"/>
      <c r="AML11" s="232"/>
      <c r="AMM11" s="232"/>
      <c r="AMN11" s="232"/>
      <c r="AMO11" s="232"/>
      <c r="AMP11" s="232"/>
      <c r="AMQ11" s="232"/>
      <c r="AMR11" s="232"/>
      <c r="AMS11" s="232"/>
      <c r="AMT11" s="232"/>
      <c r="AMU11" s="232"/>
      <c r="AMV11" s="232"/>
      <c r="AMW11" s="232"/>
      <c r="AMX11" s="232"/>
      <c r="AMY11" s="232"/>
      <c r="AMZ11" s="232"/>
      <c r="ANA11" s="232"/>
      <c r="ANB11" s="232"/>
      <c r="ANC11" s="232"/>
      <c r="AND11" s="232"/>
      <c r="ANE11" s="232"/>
      <c r="ANF11" s="232"/>
      <c r="ANG11" s="232"/>
      <c r="ANH11" s="232"/>
      <c r="ANI11" s="232"/>
      <c r="ANJ11" s="232"/>
      <c r="ANK11" s="232"/>
      <c r="ANL11" s="232"/>
      <c r="ANM11" s="232"/>
      <c r="ANN11" s="232"/>
      <c r="ANO11" s="232"/>
      <c r="ANP11" s="232"/>
      <c r="ANQ11" s="232"/>
      <c r="ANR11" s="232"/>
      <c r="ANS11" s="232"/>
      <c r="ANT11" s="232"/>
      <c r="ANU11" s="232"/>
      <c r="ANV11" s="232"/>
      <c r="ANW11" s="232"/>
      <c r="ANX11" s="232"/>
      <c r="ANY11" s="232"/>
      <c r="ANZ11" s="232"/>
      <c r="AOA11" s="232"/>
      <c r="AOB11" s="232"/>
      <c r="AOC11" s="232"/>
      <c r="AOD11" s="232"/>
      <c r="AOE11" s="232"/>
      <c r="AOF11" s="232"/>
      <c r="AOG11" s="232"/>
    </row>
    <row r="12" spans="1:1073">
      <c r="A12" s="2127"/>
      <c r="B12" s="233">
        <v>4</v>
      </c>
      <c r="C12" s="224"/>
      <c r="D12" s="225"/>
      <c r="E12" s="226"/>
      <c r="F12" s="226"/>
      <c r="G12" s="227" t="str">
        <f>IF(C12="","",IF(Tabelle1[[#This Row],[End Date]]&lt;COV!$E$12,0,IF(COV!E$12="","",IF(Tabelle1[[#This Row],[End Date]]-Tabelle1[[#This Row],[Start Date]]&gt;0,IF(F12&lt;COV!E$11,(F12-IF(E12&lt;COV!E$12,COV!E$12,Tabelle1[[#This Row],[Start Date]])),(COV!E$11-IF(E12&lt;COV!E$12,COV!E$12,Tabelle1[[#This Row],[Start Date]])))/365*12,""))))</f>
        <v/>
      </c>
      <c r="H12" s="225"/>
      <c r="I12" s="234"/>
      <c r="J12" s="229"/>
      <c r="K12" s="1325" t="str">
        <f>IF(Tabelle1[[#This Row],[Project Name]]="","",IF(OR(Tabelle1[[#This Row],[PM Category]]=CAT_A_NAME,Tabelle1[[#This Row],[PM Category]]=CAT_B_NAME,Tabelle1[[#This Row],[PM Category]]=CAT_C_NAME,Tabelle1[[#This Row],[PM Category]]=CAT_D_NAME,Tabelle1[[#This Row],[PM Category]]=CAT_E_NAME,Tabelle1[[#This Row],[PM Category]]=CAT_SPJ,Tabelle1[[#This Row],[PM Category]]=CAT_PJ,Tabelle1[[#This Row],[PM Category]]=""),"","1"))</f>
        <v/>
      </c>
      <c r="L12" s="1326">
        <f>IF(Tabelle1[[#This Row],[Role]]="PJM",1)+IF(Tabelle1[[#This Row],[Role]]="PGM",1)+IF(Tabelle1[[#This Row],[Role]]="PFM",1)+IF(Tabelle1[[#This Row],[Role]]="TPM",1)+IF(Tabelle1[[#This Row],[Role]]="CPM",1)</f>
        <v>0</v>
      </c>
      <c r="M12" s="230" t="str">
        <f>IFERROR(IF(Tabelle1[[#This Row],[Project Name]]&lt;&gt;"",IF(G12*I12&gt;0,G12,""),"")*Tabelle1[[#This Row],[Role Check]],"")</f>
        <v/>
      </c>
      <c r="N12" s="231" t="str">
        <f>IFERROR(Tabelle1[[#This Row],[Duration '[months']]]*Tabelle1[[#This Row],[Avg. time spent in resp. Role]],"")</f>
        <v/>
      </c>
      <c r="O12" s="221"/>
      <c r="S12" s="208" t="str">
        <f>IF(Tabelle1[[#This Row],[Project Name]]&lt;&gt;"",Tabelle1[[#This Row],[Project Name]],"")</f>
        <v/>
      </c>
      <c r="T12" s="232">
        <f t="shared" si="12"/>
        <v>0</v>
      </c>
      <c r="U12" s="545" t="e">
        <f t="shared" si="12"/>
        <v>#VALUE!</v>
      </c>
      <c r="V12" s="545" t="e">
        <f t="shared" si="13"/>
        <v>#VALUE!</v>
      </c>
      <c r="W12" s="232" t="e">
        <f t="shared" si="13"/>
        <v>#VALUE!</v>
      </c>
      <c r="X12" s="232" t="e">
        <f t="shared" si="13"/>
        <v>#VALUE!</v>
      </c>
      <c r="Y12" s="232" t="e">
        <f t="shared" si="13"/>
        <v>#VALUE!</v>
      </c>
      <c r="Z12" s="232" t="e">
        <f t="shared" si="13"/>
        <v>#VALUE!</v>
      </c>
      <c r="AA12" s="232" t="e">
        <f t="shared" si="13"/>
        <v>#VALUE!</v>
      </c>
      <c r="AB12" s="232" t="e">
        <f t="shared" si="13"/>
        <v>#VALUE!</v>
      </c>
      <c r="AC12" s="232" t="e">
        <f t="shared" si="13"/>
        <v>#VALUE!</v>
      </c>
      <c r="AD12" s="232" t="e">
        <f t="shared" si="13"/>
        <v>#VALUE!</v>
      </c>
      <c r="AE12" s="232" t="e">
        <f t="shared" si="13"/>
        <v>#VALUE!</v>
      </c>
      <c r="AF12" s="232" t="e">
        <f t="shared" si="14"/>
        <v>#VALUE!</v>
      </c>
      <c r="AG12" s="232" t="e">
        <f t="shared" si="14"/>
        <v>#VALUE!</v>
      </c>
      <c r="AH12" s="232" t="e">
        <f t="shared" si="14"/>
        <v>#VALUE!</v>
      </c>
      <c r="AI12" s="232" t="e">
        <f t="shared" si="14"/>
        <v>#VALUE!</v>
      </c>
      <c r="AJ12" s="232" t="e">
        <f t="shared" si="14"/>
        <v>#VALUE!</v>
      </c>
      <c r="AK12" s="232" t="e">
        <f t="shared" si="14"/>
        <v>#VALUE!</v>
      </c>
      <c r="AL12" s="232" t="e">
        <f t="shared" si="14"/>
        <v>#VALUE!</v>
      </c>
      <c r="AM12" s="232" t="e">
        <f t="shared" si="14"/>
        <v>#VALUE!</v>
      </c>
      <c r="AN12" s="232" t="e">
        <f t="shared" si="14"/>
        <v>#VALUE!</v>
      </c>
      <c r="AO12" s="232" t="e">
        <f t="shared" si="14"/>
        <v>#VALUE!</v>
      </c>
      <c r="AP12" s="232" t="e">
        <f t="shared" si="15"/>
        <v>#VALUE!</v>
      </c>
      <c r="AQ12" s="232" t="e">
        <f t="shared" si="15"/>
        <v>#VALUE!</v>
      </c>
      <c r="AR12" s="232" t="e">
        <f t="shared" si="15"/>
        <v>#VALUE!</v>
      </c>
      <c r="AS12" s="232" t="e">
        <f t="shared" si="15"/>
        <v>#VALUE!</v>
      </c>
      <c r="AT12" s="232" t="e">
        <f t="shared" si="15"/>
        <v>#VALUE!</v>
      </c>
      <c r="AU12" s="232" t="e">
        <f t="shared" si="15"/>
        <v>#VALUE!</v>
      </c>
      <c r="AV12" s="232" t="e">
        <f t="shared" si="15"/>
        <v>#VALUE!</v>
      </c>
      <c r="AW12" s="232" t="e">
        <f t="shared" si="15"/>
        <v>#VALUE!</v>
      </c>
      <c r="AX12" s="232" t="e">
        <f t="shared" si="15"/>
        <v>#VALUE!</v>
      </c>
      <c r="AY12" s="232" t="e">
        <f t="shared" si="15"/>
        <v>#VALUE!</v>
      </c>
      <c r="AZ12" s="232" t="e">
        <f t="shared" si="16"/>
        <v>#VALUE!</v>
      </c>
      <c r="BA12" s="232" t="e">
        <f t="shared" si="16"/>
        <v>#VALUE!</v>
      </c>
      <c r="BB12" s="232" t="e">
        <f t="shared" si="16"/>
        <v>#VALUE!</v>
      </c>
      <c r="BC12" s="232" t="e">
        <f t="shared" si="16"/>
        <v>#VALUE!</v>
      </c>
      <c r="BD12" s="232" t="e">
        <f t="shared" si="16"/>
        <v>#VALUE!</v>
      </c>
      <c r="BE12" s="232" t="e">
        <f t="shared" si="16"/>
        <v>#VALUE!</v>
      </c>
      <c r="BF12" s="232" t="e">
        <f t="shared" si="16"/>
        <v>#VALUE!</v>
      </c>
      <c r="BG12" s="232" t="e">
        <f t="shared" si="16"/>
        <v>#VALUE!</v>
      </c>
      <c r="BH12" s="232" t="e">
        <f t="shared" si="16"/>
        <v>#VALUE!</v>
      </c>
      <c r="BI12" s="232" t="e">
        <f t="shared" si="16"/>
        <v>#VALUE!</v>
      </c>
      <c r="BJ12" s="232" t="e">
        <f t="shared" si="17"/>
        <v>#VALUE!</v>
      </c>
      <c r="BK12" s="232" t="e">
        <f t="shared" si="17"/>
        <v>#VALUE!</v>
      </c>
      <c r="BL12" s="232" t="e">
        <f t="shared" si="17"/>
        <v>#VALUE!</v>
      </c>
      <c r="BM12" s="232" t="e">
        <f t="shared" si="17"/>
        <v>#VALUE!</v>
      </c>
      <c r="BN12" s="232" t="e">
        <f t="shared" si="17"/>
        <v>#VALUE!</v>
      </c>
      <c r="BO12" s="232" t="e">
        <f t="shared" si="17"/>
        <v>#VALUE!</v>
      </c>
      <c r="BP12" s="232" t="e">
        <f t="shared" si="17"/>
        <v>#VALUE!</v>
      </c>
      <c r="BQ12" s="232" t="e">
        <f t="shared" si="17"/>
        <v>#VALUE!</v>
      </c>
      <c r="BR12" s="232" t="e">
        <f t="shared" si="17"/>
        <v>#VALUE!</v>
      </c>
      <c r="BS12" s="232" t="e">
        <f t="shared" si="17"/>
        <v>#VALUE!</v>
      </c>
      <c r="BT12" s="232" t="e">
        <f t="shared" si="18"/>
        <v>#VALUE!</v>
      </c>
      <c r="BU12" s="232" t="e">
        <f t="shared" si="18"/>
        <v>#VALUE!</v>
      </c>
      <c r="BV12" s="232" t="e">
        <f t="shared" si="18"/>
        <v>#VALUE!</v>
      </c>
      <c r="BW12" s="232" t="e">
        <f t="shared" si="18"/>
        <v>#VALUE!</v>
      </c>
      <c r="BX12" s="232" t="e">
        <f t="shared" si="18"/>
        <v>#VALUE!</v>
      </c>
      <c r="BY12" s="232" t="e">
        <f t="shared" si="18"/>
        <v>#VALUE!</v>
      </c>
      <c r="BZ12" s="232" t="e">
        <f t="shared" si="18"/>
        <v>#VALUE!</v>
      </c>
      <c r="CA12" s="232" t="e">
        <f t="shared" si="18"/>
        <v>#VALUE!</v>
      </c>
      <c r="CB12" s="232" t="e">
        <f t="shared" si="18"/>
        <v>#VALUE!</v>
      </c>
      <c r="CC12" s="232" t="e">
        <f t="shared" si="18"/>
        <v>#VALUE!</v>
      </c>
      <c r="CD12" s="232" t="e">
        <f t="shared" si="19"/>
        <v>#VALUE!</v>
      </c>
      <c r="CE12" s="232" t="e">
        <f t="shared" si="19"/>
        <v>#VALUE!</v>
      </c>
      <c r="CF12" s="232" t="e">
        <f t="shared" si="19"/>
        <v>#VALUE!</v>
      </c>
      <c r="CG12" s="232" t="e">
        <f t="shared" si="19"/>
        <v>#VALUE!</v>
      </c>
      <c r="CH12" s="232" t="e">
        <f t="shared" si="19"/>
        <v>#VALUE!</v>
      </c>
      <c r="CI12" s="232" t="e">
        <f t="shared" si="19"/>
        <v>#VALUE!</v>
      </c>
      <c r="CJ12" s="232" t="e">
        <f t="shared" si="19"/>
        <v>#VALUE!</v>
      </c>
      <c r="CK12" s="232" t="e">
        <f t="shared" si="19"/>
        <v>#VALUE!</v>
      </c>
      <c r="CL12" s="232" t="e">
        <f t="shared" si="19"/>
        <v>#VALUE!</v>
      </c>
      <c r="CM12" s="232" t="e">
        <f t="shared" si="19"/>
        <v>#VALUE!</v>
      </c>
      <c r="CN12" s="232" t="e">
        <f t="shared" si="20"/>
        <v>#VALUE!</v>
      </c>
      <c r="CO12" s="232" t="e">
        <f t="shared" si="20"/>
        <v>#VALUE!</v>
      </c>
      <c r="CP12" s="232" t="e">
        <f t="shared" si="20"/>
        <v>#VALUE!</v>
      </c>
      <c r="CQ12" s="232" t="e">
        <f t="shared" si="20"/>
        <v>#VALUE!</v>
      </c>
      <c r="CR12" s="232" t="e">
        <f t="shared" si="20"/>
        <v>#VALUE!</v>
      </c>
      <c r="CS12" s="232" t="e">
        <f t="shared" si="20"/>
        <v>#VALUE!</v>
      </c>
      <c r="CT12" s="232" t="e">
        <f t="shared" si="20"/>
        <v>#VALUE!</v>
      </c>
      <c r="CU12" s="232" t="e">
        <f t="shared" si="20"/>
        <v>#VALUE!</v>
      </c>
      <c r="CV12" s="232" t="e">
        <f t="shared" si="20"/>
        <v>#VALUE!</v>
      </c>
      <c r="CW12" s="232" t="e">
        <f t="shared" si="20"/>
        <v>#VALUE!</v>
      </c>
      <c r="CX12" s="232" t="e">
        <f t="shared" si="21"/>
        <v>#VALUE!</v>
      </c>
      <c r="CY12" s="232" t="e">
        <f t="shared" si="21"/>
        <v>#VALUE!</v>
      </c>
      <c r="CZ12" s="232" t="e">
        <f t="shared" si="21"/>
        <v>#VALUE!</v>
      </c>
      <c r="DA12" s="232" t="e">
        <f t="shared" si="21"/>
        <v>#VALUE!</v>
      </c>
      <c r="DB12" s="232" t="e">
        <f t="shared" si="21"/>
        <v>#VALUE!</v>
      </c>
      <c r="DC12" s="232" t="e">
        <f t="shared" si="21"/>
        <v>#VALUE!</v>
      </c>
      <c r="DD12" s="232" t="e">
        <f t="shared" si="21"/>
        <v>#VALUE!</v>
      </c>
      <c r="DE12" s="232" t="e">
        <f t="shared" si="21"/>
        <v>#VALUE!</v>
      </c>
      <c r="DF12" s="232" t="e">
        <f t="shared" si="21"/>
        <v>#VALUE!</v>
      </c>
      <c r="DG12" s="232" t="e">
        <f t="shared" si="21"/>
        <v>#VALUE!</v>
      </c>
      <c r="DH12" s="232" t="e">
        <f t="shared" si="22"/>
        <v>#VALUE!</v>
      </c>
      <c r="DI12" s="232" t="e">
        <f t="shared" si="22"/>
        <v>#VALUE!</v>
      </c>
      <c r="DJ12" s="232" t="e">
        <f t="shared" si="22"/>
        <v>#VALUE!</v>
      </c>
      <c r="DK12" s="232" t="e">
        <f t="shared" si="22"/>
        <v>#VALUE!</v>
      </c>
      <c r="DL12" s="232" t="e">
        <f t="shared" si="22"/>
        <v>#VALUE!</v>
      </c>
      <c r="DM12" s="232" t="e">
        <f t="shared" si="22"/>
        <v>#VALUE!</v>
      </c>
      <c r="DN12" s="232" t="e">
        <f t="shared" si="22"/>
        <v>#VALUE!</v>
      </c>
      <c r="DO12" s="232" t="e">
        <f t="shared" si="22"/>
        <v>#VALUE!</v>
      </c>
      <c r="DP12" s="232" t="e">
        <f t="shared" si="22"/>
        <v>#VALUE!</v>
      </c>
      <c r="DQ12" s="232" t="e">
        <f t="shared" si="22"/>
        <v>#VALUE!</v>
      </c>
      <c r="DR12" s="232" t="e">
        <f t="shared" si="23"/>
        <v>#VALUE!</v>
      </c>
      <c r="DS12" s="232" t="e">
        <f t="shared" si="23"/>
        <v>#VALUE!</v>
      </c>
      <c r="DT12" s="232" t="e">
        <f t="shared" si="23"/>
        <v>#VALUE!</v>
      </c>
      <c r="DU12" s="232" t="e">
        <f t="shared" si="23"/>
        <v>#VALUE!</v>
      </c>
      <c r="DV12" s="232" t="e">
        <f t="shared" si="23"/>
        <v>#VALUE!</v>
      </c>
      <c r="DW12" s="232" t="e">
        <f t="shared" si="23"/>
        <v>#VALUE!</v>
      </c>
      <c r="DX12" s="232" t="e">
        <f t="shared" si="23"/>
        <v>#VALUE!</v>
      </c>
      <c r="DY12" s="232" t="e">
        <f t="shared" si="23"/>
        <v>#VALUE!</v>
      </c>
      <c r="DZ12" s="232" t="e">
        <f t="shared" si="23"/>
        <v>#VALUE!</v>
      </c>
      <c r="EA12" s="232" t="e">
        <f t="shared" si="23"/>
        <v>#VALUE!</v>
      </c>
      <c r="EB12" s="232" t="e">
        <f t="shared" si="24"/>
        <v>#VALUE!</v>
      </c>
      <c r="EC12" s="232" t="e">
        <f t="shared" si="24"/>
        <v>#VALUE!</v>
      </c>
      <c r="ED12" s="232" t="e">
        <f t="shared" si="24"/>
        <v>#VALUE!</v>
      </c>
      <c r="EE12" s="232" t="e">
        <f t="shared" si="24"/>
        <v>#VALUE!</v>
      </c>
      <c r="EF12" s="232" t="e">
        <f t="shared" si="24"/>
        <v>#VALUE!</v>
      </c>
      <c r="EG12" s="232" t="e">
        <f t="shared" si="24"/>
        <v>#VALUE!</v>
      </c>
      <c r="EH12" s="232" t="e">
        <f t="shared" si="24"/>
        <v>#VALUE!</v>
      </c>
      <c r="EI12" s="232" t="e">
        <f t="shared" si="24"/>
        <v>#VALUE!</v>
      </c>
      <c r="EJ12" s="232" t="e">
        <f t="shared" si="24"/>
        <v>#VALUE!</v>
      </c>
      <c r="EK12" s="232" t="e">
        <f t="shared" si="24"/>
        <v>#VALUE!</v>
      </c>
      <c r="EL12" s="232" t="e">
        <f t="shared" si="25"/>
        <v>#VALUE!</v>
      </c>
      <c r="EM12" s="232" t="e">
        <f t="shared" si="25"/>
        <v>#VALUE!</v>
      </c>
      <c r="EN12" s="232" t="e">
        <f t="shared" si="25"/>
        <v>#VALUE!</v>
      </c>
      <c r="EO12" s="232" t="e">
        <f t="shared" si="25"/>
        <v>#VALUE!</v>
      </c>
      <c r="EP12" s="232" t="e">
        <f t="shared" si="25"/>
        <v>#VALUE!</v>
      </c>
      <c r="EQ12" s="232" t="e">
        <f t="shared" si="25"/>
        <v>#VALUE!</v>
      </c>
      <c r="ER12" s="232" t="e">
        <f t="shared" si="25"/>
        <v>#VALUE!</v>
      </c>
      <c r="ES12" s="232" t="e">
        <f t="shared" si="25"/>
        <v>#VALUE!</v>
      </c>
      <c r="ET12" s="232" t="e">
        <f t="shared" si="25"/>
        <v>#VALUE!</v>
      </c>
      <c r="EU12" s="232" t="e">
        <f t="shared" si="25"/>
        <v>#VALUE!</v>
      </c>
      <c r="EV12" s="232" t="e">
        <f t="shared" si="26"/>
        <v>#VALUE!</v>
      </c>
      <c r="EW12" s="232" t="e">
        <f t="shared" si="26"/>
        <v>#VALUE!</v>
      </c>
      <c r="EX12" s="232" t="e">
        <f t="shared" si="26"/>
        <v>#VALUE!</v>
      </c>
      <c r="EY12" s="232" t="e">
        <f t="shared" si="26"/>
        <v>#VALUE!</v>
      </c>
      <c r="EZ12" s="232" t="e">
        <f t="shared" si="26"/>
        <v>#VALUE!</v>
      </c>
      <c r="FA12" s="232" t="e">
        <f t="shared" si="26"/>
        <v>#VALUE!</v>
      </c>
      <c r="FB12" s="232" t="e">
        <f t="shared" si="26"/>
        <v>#VALUE!</v>
      </c>
      <c r="FC12" s="232" t="e">
        <f t="shared" si="26"/>
        <v>#VALUE!</v>
      </c>
      <c r="FD12" s="232" t="e">
        <f t="shared" si="26"/>
        <v>#VALUE!</v>
      </c>
      <c r="FE12" s="232" t="e">
        <f t="shared" si="26"/>
        <v>#VALUE!</v>
      </c>
      <c r="FF12" s="232" t="e">
        <f t="shared" si="27"/>
        <v>#VALUE!</v>
      </c>
      <c r="FG12" s="232" t="e">
        <f t="shared" si="27"/>
        <v>#VALUE!</v>
      </c>
      <c r="FH12" s="232" t="e">
        <f t="shared" si="27"/>
        <v>#VALUE!</v>
      </c>
      <c r="FI12" s="232" t="e">
        <f t="shared" si="27"/>
        <v>#VALUE!</v>
      </c>
      <c r="FJ12" s="232" t="e">
        <f t="shared" si="27"/>
        <v>#VALUE!</v>
      </c>
      <c r="FK12" s="232" t="e">
        <f t="shared" si="27"/>
        <v>#VALUE!</v>
      </c>
      <c r="FL12" s="232" t="e">
        <f t="shared" si="27"/>
        <v>#VALUE!</v>
      </c>
      <c r="FM12" s="232" t="e">
        <f t="shared" si="27"/>
        <v>#VALUE!</v>
      </c>
      <c r="FN12" s="232" t="e">
        <f t="shared" si="27"/>
        <v>#VALUE!</v>
      </c>
      <c r="FO12" s="232" t="e">
        <f t="shared" si="27"/>
        <v>#VALUE!</v>
      </c>
      <c r="FP12" s="232" t="e">
        <f t="shared" si="28"/>
        <v>#VALUE!</v>
      </c>
      <c r="FQ12" s="232" t="e">
        <f t="shared" si="28"/>
        <v>#VALUE!</v>
      </c>
      <c r="FR12" s="232" t="e">
        <f t="shared" si="28"/>
        <v>#VALUE!</v>
      </c>
      <c r="FS12" s="232" t="e">
        <f t="shared" si="28"/>
        <v>#VALUE!</v>
      </c>
      <c r="FT12" s="232" t="e">
        <f t="shared" si="28"/>
        <v>#VALUE!</v>
      </c>
      <c r="FU12" s="232" t="e">
        <f t="shared" si="28"/>
        <v>#VALUE!</v>
      </c>
      <c r="FV12" s="232" t="e">
        <f t="shared" si="28"/>
        <v>#VALUE!</v>
      </c>
      <c r="FW12" s="232" t="e">
        <f t="shared" si="28"/>
        <v>#VALUE!</v>
      </c>
      <c r="FX12" s="232" t="e">
        <f t="shared" si="28"/>
        <v>#VALUE!</v>
      </c>
      <c r="FY12" s="232" t="e">
        <f t="shared" si="28"/>
        <v>#VALUE!</v>
      </c>
      <c r="FZ12" s="232" t="e">
        <f t="shared" si="29"/>
        <v>#VALUE!</v>
      </c>
      <c r="GA12" s="232" t="e">
        <f t="shared" si="29"/>
        <v>#VALUE!</v>
      </c>
      <c r="GB12" s="232" t="e">
        <f t="shared" si="29"/>
        <v>#VALUE!</v>
      </c>
      <c r="GC12" s="232" t="e">
        <f t="shared" si="29"/>
        <v>#VALUE!</v>
      </c>
      <c r="GD12" s="232" t="e">
        <f t="shared" si="29"/>
        <v>#VALUE!</v>
      </c>
      <c r="GE12" s="232" t="e">
        <f t="shared" si="29"/>
        <v>#VALUE!</v>
      </c>
      <c r="GF12" s="232" t="e">
        <f t="shared" si="29"/>
        <v>#VALUE!</v>
      </c>
      <c r="GG12" s="232" t="e">
        <f t="shared" si="29"/>
        <v>#VALUE!</v>
      </c>
      <c r="GH12" s="232" t="e">
        <f t="shared" si="29"/>
        <v>#VALUE!</v>
      </c>
      <c r="GI12" s="232" t="e">
        <f t="shared" si="29"/>
        <v>#VALUE!</v>
      </c>
      <c r="GJ12" s="232" t="e">
        <f t="shared" si="30"/>
        <v>#VALUE!</v>
      </c>
      <c r="GK12" s="232" t="e">
        <f t="shared" si="30"/>
        <v>#VALUE!</v>
      </c>
      <c r="GL12" s="232" t="e">
        <f t="shared" si="30"/>
        <v>#VALUE!</v>
      </c>
      <c r="GM12" s="232" t="e">
        <f t="shared" si="30"/>
        <v>#VALUE!</v>
      </c>
      <c r="GN12" s="232" t="e">
        <f t="shared" si="30"/>
        <v>#VALUE!</v>
      </c>
      <c r="GO12" s="232" t="e">
        <f t="shared" si="30"/>
        <v>#VALUE!</v>
      </c>
      <c r="GP12" s="232" t="e">
        <f t="shared" si="30"/>
        <v>#VALUE!</v>
      </c>
      <c r="GQ12" s="232" t="e">
        <f t="shared" si="30"/>
        <v>#VALUE!</v>
      </c>
      <c r="GR12" s="232" t="e">
        <f t="shared" si="30"/>
        <v>#VALUE!</v>
      </c>
      <c r="GS12" s="232" t="e">
        <f t="shared" si="30"/>
        <v>#VALUE!</v>
      </c>
      <c r="GT12" s="232" t="e">
        <f t="shared" si="31"/>
        <v>#VALUE!</v>
      </c>
      <c r="GU12" s="232" t="e">
        <f t="shared" si="31"/>
        <v>#VALUE!</v>
      </c>
      <c r="GV12" s="232" t="e">
        <f t="shared" si="31"/>
        <v>#VALUE!</v>
      </c>
      <c r="GW12" s="232" t="e">
        <f t="shared" si="31"/>
        <v>#VALUE!</v>
      </c>
      <c r="GX12" s="232" t="e">
        <f t="shared" si="31"/>
        <v>#VALUE!</v>
      </c>
      <c r="GY12" s="232" t="e">
        <f t="shared" si="31"/>
        <v>#VALUE!</v>
      </c>
      <c r="GZ12" s="232" t="e">
        <f t="shared" si="31"/>
        <v>#VALUE!</v>
      </c>
      <c r="HA12" s="232" t="e">
        <f t="shared" si="31"/>
        <v>#VALUE!</v>
      </c>
      <c r="HB12" s="232" t="e">
        <f t="shared" si="31"/>
        <v>#VALUE!</v>
      </c>
      <c r="HC12" s="232" t="e">
        <f t="shared" si="31"/>
        <v>#VALUE!</v>
      </c>
      <c r="HD12" s="232" t="e">
        <f t="shared" si="32"/>
        <v>#VALUE!</v>
      </c>
      <c r="HE12" s="232" t="e">
        <f t="shared" si="32"/>
        <v>#VALUE!</v>
      </c>
      <c r="HF12" s="232" t="e">
        <f t="shared" si="32"/>
        <v>#VALUE!</v>
      </c>
      <c r="HG12" s="232" t="e">
        <f t="shared" si="32"/>
        <v>#VALUE!</v>
      </c>
      <c r="HH12" s="232" t="e">
        <f t="shared" si="32"/>
        <v>#VALUE!</v>
      </c>
      <c r="HI12" s="232" t="e">
        <f t="shared" si="32"/>
        <v>#VALUE!</v>
      </c>
      <c r="HJ12" s="232" t="e">
        <f t="shared" si="32"/>
        <v>#VALUE!</v>
      </c>
      <c r="HK12" s="232" t="e">
        <f t="shared" si="32"/>
        <v>#VALUE!</v>
      </c>
      <c r="HL12" s="232" t="e">
        <f t="shared" si="32"/>
        <v>#VALUE!</v>
      </c>
      <c r="HM12" s="232" t="e">
        <f t="shared" si="32"/>
        <v>#VALUE!</v>
      </c>
      <c r="HN12" s="232" t="e">
        <f t="shared" si="33"/>
        <v>#VALUE!</v>
      </c>
      <c r="HO12" s="232" t="e">
        <f t="shared" si="33"/>
        <v>#VALUE!</v>
      </c>
      <c r="HP12" s="232" t="e">
        <f t="shared" si="33"/>
        <v>#VALUE!</v>
      </c>
      <c r="HQ12" s="232" t="e">
        <f t="shared" si="33"/>
        <v>#VALUE!</v>
      </c>
      <c r="HR12" s="232" t="e">
        <f t="shared" si="33"/>
        <v>#VALUE!</v>
      </c>
      <c r="HS12" s="232" t="e">
        <f t="shared" si="33"/>
        <v>#VALUE!</v>
      </c>
      <c r="HT12" s="232" t="e">
        <f t="shared" si="33"/>
        <v>#VALUE!</v>
      </c>
      <c r="HU12" s="232" t="e">
        <f t="shared" si="33"/>
        <v>#VALUE!</v>
      </c>
      <c r="HV12" s="232" t="e">
        <f t="shared" si="33"/>
        <v>#VALUE!</v>
      </c>
      <c r="HW12" s="232" t="e">
        <f t="shared" si="33"/>
        <v>#VALUE!</v>
      </c>
      <c r="HX12" s="232" t="e">
        <f t="shared" si="34"/>
        <v>#VALUE!</v>
      </c>
      <c r="HY12" s="232" t="e">
        <f t="shared" si="34"/>
        <v>#VALUE!</v>
      </c>
      <c r="HZ12" s="232" t="e">
        <f t="shared" si="34"/>
        <v>#VALUE!</v>
      </c>
      <c r="IA12" s="232" t="e">
        <f t="shared" si="34"/>
        <v>#VALUE!</v>
      </c>
      <c r="IB12" s="232" t="e">
        <f t="shared" si="34"/>
        <v>#VALUE!</v>
      </c>
      <c r="IC12" s="232" t="e">
        <f t="shared" si="34"/>
        <v>#VALUE!</v>
      </c>
      <c r="ID12" s="232" t="e">
        <f t="shared" si="34"/>
        <v>#VALUE!</v>
      </c>
      <c r="IE12" s="232" t="e">
        <f t="shared" si="34"/>
        <v>#VALUE!</v>
      </c>
      <c r="IF12" s="232" t="e">
        <f t="shared" si="34"/>
        <v>#VALUE!</v>
      </c>
      <c r="IG12" s="232" t="e">
        <f t="shared" si="34"/>
        <v>#VALUE!</v>
      </c>
      <c r="IH12" s="232" t="e">
        <f t="shared" si="35"/>
        <v>#VALUE!</v>
      </c>
      <c r="II12" s="232" t="e">
        <f t="shared" si="35"/>
        <v>#VALUE!</v>
      </c>
      <c r="IJ12" s="232" t="e">
        <f t="shared" si="35"/>
        <v>#VALUE!</v>
      </c>
      <c r="IK12" s="232" t="e">
        <f t="shared" si="35"/>
        <v>#VALUE!</v>
      </c>
      <c r="IL12" s="232" t="e">
        <f t="shared" si="35"/>
        <v>#VALUE!</v>
      </c>
      <c r="IM12" s="232" t="e">
        <f t="shared" si="35"/>
        <v>#VALUE!</v>
      </c>
      <c r="IN12" s="232" t="e">
        <f t="shared" si="35"/>
        <v>#VALUE!</v>
      </c>
      <c r="IO12" s="232" t="e">
        <f t="shared" si="35"/>
        <v>#VALUE!</v>
      </c>
      <c r="IP12" s="232" t="e">
        <f t="shared" si="35"/>
        <v>#VALUE!</v>
      </c>
      <c r="IQ12" s="232" t="e">
        <f t="shared" si="35"/>
        <v>#VALUE!</v>
      </c>
      <c r="IR12" s="232" t="e">
        <f t="shared" si="36"/>
        <v>#VALUE!</v>
      </c>
      <c r="IS12" s="232" t="e">
        <f t="shared" si="36"/>
        <v>#VALUE!</v>
      </c>
      <c r="IT12" s="232" t="e">
        <f t="shared" si="36"/>
        <v>#VALUE!</v>
      </c>
      <c r="IU12" s="232" t="e">
        <f t="shared" si="36"/>
        <v>#VALUE!</v>
      </c>
      <c r="IV12" s="232" t="e">
        <f t="shared" si="36"/>
        <v>#VALUE!</v>
      </c>
      <c r="IW12" s="232" t="e">
        <f t="shared" si="36"/>
        <v>#VALUE!</v>
      </c>
      <c r="IX12" s="232" t="e">
        <f t="shared" si="36"/>
        <v>#VALUE!</v>
      </c>
      <c r="IY12" s="232" t="e">
        <f t="shared" si="36"/>
        <v>#VALUE!</v>
      </c>
      <c r="IZ12" s="232" t="e">
        <f t="shared" si="36"/>
        <v>#VALUE!</v>
      </c>
      <c r="JA12" s="232" t="e">
        <f t="shared" si="36"/>
        <v>#VALUE!</v>
      </c>
      <c r="JB12" s="232" t="e">
        <f t="shared" si="37"/>
        <v>#VALUE!</v>
      </c>
      <c r="JC12" s="232" t="e">
        <f t="shared" si="37"/>
        <v>#VALUE!</v>
      </c>
      <c r="JD12" s="232" t="e">
        <f t="shared" si="37"/>
        <v>#VALUE!</v>
      </c>
      <c r="JE12" s="232" t="e">
        <f t="shared" si="37"/>
        <v>#VALUE!</v>
      </c>
      <c r="JF12" s="232" t="e">
        <f t="shared" si="37"/>
        <v>#VALUE!</v>
      </c>
      <c r="JG12" s="232" t="e">
        <f t="shared" si="37"/>
        <v>#VALUE!</v>
      </c>
      <c r="JH12" s="232" t="e">
        <f t="shared" si="37"/>
        <v>#VALUE!</v>
      </c>
      <c r="JI12" s="232" t="e">
        <f t="shared" si="37"/>
        <v>#VALUE!</v>
      </c>
      <c r="JJ12" s="232" t="e">
        <f t="shared" si="37"/>
        <v>#VALUE!</v>
      </c>
      <c r="JK12" s="232"/>
      <c r="JL12" s="232"/>
      <c r="JM12" s="232"/>
      <c r="JN12" s="232"/>
      <c r="JO12" s="232"/>
      <c r="JP12" s="232"/>
      <c r="JQ12" s="232"/>
      <c r="JR12" s="232"/>
      <c r="JS12" s="232"/>
      <c r="JT12" s="232"/>
      <c r="JU12" s="232"/>
      <c r="JV12" s="232"/>
      <c r="JW12" s="232"/>
      <c r="JX12" s="232"/>
      <c r="JY12" s="232"/>
      <c r="JZ12" s="232"/>
      <c r="KA12" s="232"/>
      <c r="KB12" s="232"/>
      <c r="KC12" s="232"/>
      <c r="KD12" s="232"/>
      <c r="KE12" s="232"/>
      <c r="KF12" s="232"/>
      <c r="KG12" s="232"/>
      <c r="KH12" s="232"/>
      <c r="KI12" s="232"/>
      <c r="KJ12" s="232"/>
      <c r="KK12" s="232"/>
      <c r="KL12" s="232"/>
      <c r="KM12" s="232"/>
      <c r="KN12" s="232"/>
      <c r="KO12" s="232"/>
      <c r="KP12" s="232"/>
      <c r="KQ12" s="232"/>
      <c r="KR12" s="232"/>
      <c r="KS12" s="232"/>
      <c r="KT12" s="232"/>
      <c r="KU12" s="232"/>
      <c r="KV12" s="232"/>
      <c r="KW12" s="232"/>
      <c r="KX12" s="232"/>
      <c r="KY12" s="232"/>
      <c r="KZ12" s="232"/>
      <c r="LA12" s="232"/>
      <c r="LB12" s="232"/>
      <c r="LC12" s="232"/>
      <c r="LD12" s="232"/>
      <c r="LE12" s="232"/>
      <c r="LF12" s="232"/>
      <c r="LG12" s="232"/>
      <c r="LH12" s="232"/>
      <c r="LI12" s="232"/>
      <c r="LJ12" s="232"/>
      <c r="LK12" s="232"/>
      <c r="LL12" s="232"/>
      <c r="LM12" s="232"/>
      <c r="LN12" s="232"/>
      <c r="LO12" s="232"/>
      <c r="LP12" s="232"/>
      <c r="LQ12" s="232"/>
      <c r="LR12" s="232"/>
      <c r="LS12" s="232"/>
      <c r="LT12" s="232"/>
      <c r="LU12" s="232"/>
      <c r="LV12" s="232"/>
      <c r="LW12" s="232"/>
      <c r="LX12" s="232"/>
      <c r="LY12" s="232"/>
      <c r="LZ12" s="232"/>
      <c r="MA12" s="232"/>
      <c r="MB12" s="232"/>
      <c r="MC12" s="232"/>
      <c r="MD12" s="232"/>
      <c r="ME12" s="232"/>
      <c r="MF12" s="232"/>
      <c r="MG12" s="232"/>
      <c r="MH12" s="232"/>
      <c r="MI12" s="232"/>
      <c r="MJ12" s="232"/>
      <c r="MK12" s="232"/>
      <c r="ML12" s="232"/>
      <c r="MM12" s="232"/>
      <c r="MN12" s="232"/>
      <c r="MO12" s="232"/>
      <c r="MP12" s="232"/>
      <c r="MQ12" s="232"/>
      <c r="MR12" s="232"/>
      <c r="MS12" s="232"/>
      <c r="MT12" s="232"/>
      <c r="MU12" s="232"/>
      <c r="MV12" s="232"/>
      <c r="MW12" s="232"/>
      <c r="MX12" s="232"/>
      <c r="MY12" s="232"/>
      <c r="MZ12" s="232"/>
      <c r="NA12" s="232"/>
      <c r="NB12" s="232"/>
      <c r="NC12" s="232"/>
      <c r="ND12" s="232"/>
      <c r="NE12" s="232"/>
      <c r="NF12" s="232"/>
      <c r="NG12" s="232"/>
      <c r="NH12" s="232"/>
      <c r="NI12" s="232"/>
      <c r="NJ12" s="232"/>
      <c r="NK12" s="232"/>
      <c r="NL12" s="232"/>
      <c r="NM12" s="232"/>
      <c r="NN12" s="232"/>
      <c r="NO12" s="232"/>
      <c r="NP12" s="232"/>
      <c r="NQ12" s="232"/>
      <c r="NR12" s="232"/>
      <c r="NS12" s="232"/>
      <c r="NT12" s="232"/>
      <c r="NU12" s="232"/>
      <c r="NV12" s="232"/>
      <c r="NW12" s="232"/>
      <c r="NX12" s="232"/>
      <c r="NY12" s="232"/>
      <c r="NZ12" s="232"/>
      <c r="OA12" s="232"/>
      <c r="OB12" s="232"/>
      <c r="OC12" s="232"/>
      <c r="OD12" s="232"/>
      <c r="OE12" s="232"/>
      <c r="OF12" s="232"/>
      <c r="OG12" s="232"/>
      <c r="OH12" s="232"/>
      <c r="OI12" s="232"/>
      <c r="OJ12" s="232"/>
      <c r="OK12" s="232"/>
      <c r="OL12" s="232"/>
      <c r="OM12" s="232"/>
      <c r="ON12" s="232"/>
      <c r="OO12" s="232"/>
      <c r="OP12" s="232"/>
      <c r="OQ12" s="232"/>
      <c r="OR12" s="232"/>
      <c r="OS12" s="232"/>
      <c r="OT12" s="232"/>
      <c r="OU12" s="232"/>
      <c r="OV12" s="232"/>
      <c r="OW12" s="232"/>
      <c r="OX12" s="232"/>
      <c r="OY12" s="232"/>
      <c r="OZ12" s="232"/>
      <c r="PA12" s="232"/>
      <c r="PB12" s="232"/>
      <c r="PC12" s="232"/>
      <c r="PD12" s="232"/>
      <c r="PE12" s="232"/>
      <c r="PF12" s="232"/>
      <c r="PG12" s="232"/>
      <c r="PH12" s="232"/>
      <c r="PI12" s="232"/>
      <c r="PJ12" s="232"/>
      <c r="PK12" s="232"/>
      <c r="PL12" s="232"/>
      <c r="PM12" s="232"/>
      <c r="PN12" s="232"/>
      <c r="PO12" s="232"/>
      <c r="PP12" s="232"/>
      <c r="PQ12" s="232"/>
      <c r="PR12" s="232"/>
      <c r="PS12" s="232"/>
      <c r="PT12" s="232"/>
      <c r="PU12" s="232"/>
      <c r="PV12" s="232"/>
      <c r="PW12" s="232"/>
      <c r="PX12" s="232"/>
      <c r="PY12" s="232"/>
      <c r="PZ12" s="232"/>
      <c r="QA12" s="232"/>
      <c r="QB12" s="232"/>
      <c r="QC12" s="232"/>
      <c r="QD12" s="232"/>
      <c r="QE12" s="232"/>
      <c r="QF12" s="232"/>
      <c r="QG12" s="232"/>
      <c r="QH12" s="232"/>
      <c r="QI12" s="232"/>
      <c r="QJ12" s="232"/>
      <c r="QK12" s="232"/>
      <c r="QL12" s="232"/>
      <c r="QM12" s="232"/>
      <c r="QN12" s="232"/>
      <c r="QO12" s="232"/>
      <c r="QP12" s="232"/>
      <c r="QQ12" s="232"/>
      <c r="QR12" s="232"/>
      <c r="QS12" s="232"/>
      <c r="QT12" s="232"/>
      <c r="QU12" s="232"/>
      <c r="QV12" s="232"/>
      <c r="QW12" s="232"/>
      <c r="QX12" s="232"/>
      <c r="QY12" s="232"/>
      <c r="QZ12" s="232"/>
      <c r="RA12" s="232"/>
      <c r="RB12" s="232"/>
      <c r="RC12" s="232"/>
      <c r="RD12" s="232"/>
      <c r="RE12" s="232"/>
      <c r="RF12" s="232"/>
      <c r="RG12" s="232"/>
      <c r="RH12" s="232"/>
      <c r="RI12" s="232"/>
      <c r="RJ12" s="232"/>
      <c r="RK12" s="232"/>
      <c r="RL12" s="232"/>
      <c r="RM12" s="232"/>
      <c r="RN12" s="232"/>
      <c r="RO12" s="232"/>
      <c r="RP12" s="232"/>
      <c r="RQ12" s="232"/>
      <c r="RR12" s="232"/>
      <c r="RS12" s="232"/>
      <c r="RT12" s="232"/>
      <c r="RU12" s="232"/>
      <c r="RV12" s="232"/>
      <c r="RW12" s="232"/>
      <c r="RX12" s="232"/>
      <c r="RY12" s="232"/>
      <c r="RZ12" s="232"/>
      <c r="SA12" s="232"/>
      <c r="SB12" s="232"/>
      <c r="SC12" s="232"/>
      <c r="SD12" s="232"/>
      <c r="SE12" s="232"/>
      <c r="SF12" s="232"/>
      <c r="SG12" s="232"/>
      <c r="SH12" s="232"/>
      <c r="SI12" s="232"/>
      <c r="SJ12" s="232"/>
      <c r="SK12" s="232"/>
      <c r="SL12" s="232"/>
      <c r="SM12" s="232"/>
      <c r="SN12" s="232"/>
      <c r="SO12" s="232"/>
      <c r="SP12" s="232"/>
      <c r="SQ12" s="232"/>
      <c r="SR12" s="232"/>
      <c r="SS12" s="232"/>
      <c r="ST12" s="232"/>
      <c r="SU12" s="232"/>
      <c r="SV12" s="232"/>
      <c r="SW12" s="232"/>
      <c r="SX12" s="232"/>
      <c r="SY12" s="232"/>
      <c r="SZ12" s="232"/>
      <c r="TA12" s="232"/>
      <c r="TB12" s="232"/>
      <c r="TC12" s="232"/>
      <c r="TD12" s="232"/>
      <c r="TE12" s="232"/>
      <c r="TF12" s="232"/>
      <c r="TG12" s="232"/>
      <c r="TH12" s="232"/>
      <c r="TI12" s="232"/>
      <c r="TJ12" s="232"/>
      <c r="TK12" s="232"/>
      <c r="TL12" s="232"/>
      <c r="TM12" s="232"/>
      <c r="TN12" s="232"/>
      <c r="TO12" s="232"/>
      <c r="TP12" s="232"/>
      <c r="TQ12" s="232"/>
      <c r="TR12" s="232"/>
      <c r="TS12" s="232"/>
      <c r="TT12" s="232"/>
      <c r="TU12" s="232"/>
      <c r="TV12" s="232"/>
      <c r="TW12" s="232"/>
      <c r="TX12" s="232"/>
      <c r="TY12" s="232"/>
      <c r="TZ12" s="232"/>
      <c r="UA12" s="232"/>
      <c r="UB12" s="232"/>
      <c r="UC12" s="232"/>
      <c r="UD12" s="232"/>
      <c r="UE12" s="232"/>
      <c r="UF12" s="232"/>
      <c r="UG12" s="232"/>
      <c r="UH12" s="232"/>
      <c r="UI12" s="232"/>
      <c r="UJ12" s="232"/>
      <c r="UK12" s="232"/>
      <c r="UL12" s="232"/>
      <c r="UM12" s="232"/>
      <c r="UN12" s="232"/>
      <c r="UO12" s="232"/>
      <c r="UP12" s="232"/>
      <c r="UQ12" s="232"/>
      <c r="UR12" s="232"/>
      <c r="US12" s="232"/>
      <c r="UT12" s="232"/>
      <c r="UU12" s="232"/>
      <c r="UV12" s="232"/>
      <c r="UW12" s="232"/>
      <c r="UX12" s="232"/>
      <c r="UY12" s="232"/>
      <c r="UZ12" s="232"/>
      <c r="VA12" s="232"/>
      <c r="VB12" s="232"/>
      <c r="VC12" s="232"/>
      <c r="VD12" s="232"/>
      <c r="VE12" s="232"/>
      <c r="VF12" s="232"/>
      <c r="VG12" s="232"/>
      <c r="VH12" s="232"/>
      <c r="VI12" s="232"/>
      <c r="VJ12" s="232"/>
      <c r="VK12" s="232"/>
      <c r="VL12" s="232"/>
      <c r="VM12" s="232"/>
      <c r="VN12" s="232"/>
      <c r="VO12" s="232"/>
      <c r="VP12" s="232"/>
      <c r="VQ12" s="232"/>
      <c r="VR12" s="232"/>
      <c r="VS12" s="232"/>
      <c r="VT12" s="232"/>
      <c r="VU12" s="232"/>
      <c r="VV12" s="232"/>
      <c r="VW12" s="232"/>
      <c r="VX12" s="232"/>
      <c r="VY12" s="232"/>
      <c r="VZ12" s="232"/>
      <c r="WA12" s="232"/>
      <c r="WB12" s="232"/>
      <c r="WC12" s="232"/>
      <c r="WD12" s="232"/>
      <c r="WE12" s="232"/>
      <c r="WF12" s="232"/>
      <c r="WG12" s="232"/>
      <c r="WH12" s="232"/>
      <c r="WI12" s="232"/>
      <c r="WJ12" s="232"/>
      <c r="WK12" s="232"/>
      <c r="WL12" s="232"/>
      <c r="WM12" s="232"/>
      <c r="WN12" s="232"/>
      <c r="WO12" s="232"/>
      <c r="WP12" s="232"/>
      <c r="WQ12" s="232"/>
      <c r="WR12" s="232"/>
      <c r="WS12" s="232"/>
      <c r="WT12" s="232"/>
      <c r="WU12" s="232"/>
      <c r="WV12" s="232"/>
      <c r="WW12" s="232"/>
      <c r="WX12" s="232"/>
      <c r="WY12" s="232"/>
      <c r="WZ12" s="232"/>
      <c r="XA12" s="232"/>
      <c r="XB12" s="232"/>
      <c r="XC12" s="232"/>
      <c r="XD12" s="232"/>
      <c r="XE12" s="232"/>
      <c r="XF12" s="232"/>
      <c r="XG12" s="232"/>
      <c r="XH12" s="232"/>
      <c r="XI12" s="232"/>
      <c r="XJ12" s="232"/>
      <c r="XK12" s="232"/>
      <c r="XL12" s="232"/>
      <c r="XM12" s="232"/>
      <c r="XN12" s="232"/>
      <c r="XO12" s="232"/>
      <c r="XP12" s="232"/>
      <c r="XQ12" s="232"/>
      <c r="XR12" s="232"/>
      <c r="XS12" s="232"/>
      <c r="XT12" s="232"/>
      <c r="XU12" s="232"/>
      <c r="XV12" s="232"/>
      <c r="XW12" s="232"/>
      <c r="XX12" s="232"/>
      <c r="XY12" s="232"/>
      <c r="XZ12" s="232"/>
      <c r="YA12" s="232"/>
      <c r="YB12" s="232"/>
      <c r="YC12" s="232"/>
      <c r="YD12" s="232"/>
      <c r="YE12" s="232"/>
      <c r="YF12" s="232"/>
      <c r="YG12" s="232"/>
      <c r="YH12" s="232"/>
      <c r="YI12" s="232"/>
      <c r="YJ12" s="232"/>
      <c r="YK12" s="232"/>
      <c r="YL12" s="232"/>
      <c r="YM12" s="232"/>
      <c r="YN12" s="232"/>
      <c r="YO12" s="232"/>
      <c r="YP12" s="232"/>
      <c r="YQ12" s="232"/>
      <c r="YR12" s="232"/>
      <c r="YS12" s="232"/>
      <c r="YT12" s="232"/>
      <c r="YU12" s="232"/>
      <c r="YV12" s="232"/>
      <c r="YW12" s="232"/>
      <c r="YX12" s="232"/>
      <c r="YY12" s="232"/>
      <c r="YZ12" s="232"/>
      <c r="ZA12" s="232"/>
      <c r="ZB12" s="232"/>
      <c r="ZC12" s="232"/>
      <c r="ZD12" s="232"/>
      <c r="ZE12" s="232"/>
      <c r="ZF12" s="232"/>
      <c r="ZG12" s="232"/>
      <c r="ZH12" s="232"/>
      <c r="ZI12" s="232"/>
      <c r="ZJ12" s="232"/>
      <c r="ZK12" s="232"/>
      <c r="ZL12" s="232"/>
      <c r="ZM12" s="232"/>
      <c r="ZN12" s="232"/>
      <c r="ZO12" s="232"/>
      <c r="ZP12" s="232"/>
      <c r="ZQ12" s="232"/>
      <c r="ZR12" s="232"/>
      <c r="ZS12" s="232"/>
      <c r="ZT12" s="232"/>
      <c r="ZU12" s="232"/>
      <c r="ZV12" s="232"/>
      <c r="ZW12" s="232"/>
      <c r="ZX12" s="232"/>
      <c r="ZY12" s="232"/>
      <c r="ZZ12" s="232"/>
      <c r="AAA12" s="232"/>
      <c r="AAB12" s="232"/>
      <c r="AAC12" s="232"/>
      <c r="AAD12" s="232"/>
      <c r="AAE12" s="232"/>
      <c r="AAF12" s="232"/>
      <c r="AAG12" s="232"/>
      <c r="AAH12" s="232"/>
      <c r="AAI12" s="232"/>
      <c r="AAJ12" s="232"/>
      <c r="AAK12" s="232"/>
      <c r="AAL12" s="232"/>
      <c r="AAM12" s="232"/>
      <c r="AAN12" s="232"/>
      <c r="AAO12" s="232"/>
      <c r="AAP12" s="232"/>
      <c r="AAQ12" s="232"/>
      <c r="AAR12" s="232"/>
      <c r="AAS12" s="232"/>
      <c r="AAT12" s="232"/>
      <c r="AAU12" s="232"/>
      <c r="AAV12" s="232"/>
      <c r="AAW12" s="232"/>
      <c r="AAX12" s="232"/>
      <c r="AAY12" s="232"/>
      <c r="AAZ12" s="232"/>
      <c r="ABA12" s="232"/>
      <c r="ABB12" s="232"/>
      <c r="ABC12" s="232"/>
      <c r="ABD12" s="232"/>
      <c r="ABE12" s="232"/>
      <c r="ABF12" s="232"/>
      <c r="ABG12" s="232"/>
      <c r="ABH12" s="232"/>
      <c r="ABI12" s="232"/>
      <c r="ABJ12" s="232"/>
      <c r="ABK12" s="232"/>
      <c r="ABL12" s="232"/>
      <c r="ABM12" s="232"/>
      <c r="ABN12" s="232"/>
      <c r="ABO12" s="232"/>
      <c r="ABP12" s="232"/>
      <c r="ABQ12" s="232"/>
      <c r="ABR12" s="232"/>
      <c r="ABS12" s="232"/>
      <c r="ABT12" s="232"/>
      <c r="ABU12" s="232"/>
      <c r="ABV12" s="232"/>
      <c r="ABW12" s="232"/>
      <c r="ABX12" s="232"/>
      <c r="ABY12" s="232"/>
      <c r="ABZ12" s="232"/>
      <c r="ACA12" s="232"/>
      <c r="ACB12" s="232"/>
      <c r="ACC12" s="232"/>
      <c r="ACD12" s="232"/>
      <c r="ACE12" s="232"/>
      <c r="ACF12" s="232"/>
      <c r="ACG12" s="232"/>
      <c r="ACH12" s="232"/>
      <c r="ACI12" s="232"/>
      <c r="ACJ12" s="232"/>
      <c r="ACK12" s="232"/>
      <c r="ACL12" s="232"/>
      <c r="ACM12" s="232"/>
      <c r="ACN12" s="232"/>
      <c r="ACO12" s="232"/>
      <c r="ACP12" s="232"/>
      <c r="ACQ12" s="232"/>
      <c r="ACR12" s="232"/>
      <c r="ACS12" s="232"/>
      <c r="ACT12" s="232"/>
      <c r="ACU12" s="232"/>
      <c r="ACV12" s="232"/>
      <c r="ACW12" s="232"/>
      <c r="ACX12" s="232"/>
      <c r="ACY12" s="232"/>
      <c r="ACZ12" s="232"/>
      <c r="ADA12" s="232"/>
      <c r="ADB12" s="232"/>
      <c r="ADC12" s="232"/>
      <c r="ADD12" s="232"/>
      <c r="ADE12" s="232"/>
      <c r="ADF12" s="232"/>
      <c r="ADG12" s="232"/>
      <c r="ADH12" s="232"/>
      <c r="ADI12" s="232"/>
      <c r="ADJ12" s="232"/>
      <c r="ADK12" s="232"/>
      <c r="ADL12" s="232"/>
      <c r="ADM12" s="232"/>
      <c r="ADN12" s="232"/>
      <c r="ADO12" s="232"/>
      <c r="ADP12" s="232"/>
      <c r="ADQ12" s="232"/>
      <c r="ADR12" s="232"/>
      <c r="ADS12" s="232"/>
      <c r="ADT12" s="232"/>
      <c r="ADU12" s="232"/>
      <c r="ADV12" s="232"/>
      <c r="ADW12" s="232"/>
      <c r="ADX12" s="232"/>
      <c r="ADY12" s="232"/>
      <c r="ADZ12" s="232"/>
      <c r="AEA12" s="232"/>
      <c r="AEB12" s="232"/>
      <c r="AEC12" s="232"/>
      <c r="AED12" s="232"/>
      <c r="AEE12" s="232"/>
      <c r="AEF12" s="232"/>
      <c r="AEG12" s="232"/>
      <c r="AEH12" s="232"/>
      <c r="AEI12" s="232"/>
      <c r="AEJ12" s="232"/>
      <c r="AEK12" s="232"/>
      <c r="AEL12" s="232"/>
      <c r="AEM12" s="232"/>
      <c r="AEN12" s="232"/>
      <c r="AEO12" s="232"/>
      <c r="AEP12" s="232"/>
      <c r="AEQ12" s="232"/>
      <c r="AER12" s="232"/>
      <c r="AES12" s="232"/>
      <c r="AET12" s="232"/>
      <c r="AEU12" s="232"/>
      <c r="AEV12" s="232"/>
      <c r="AEW12" s="232"/>
      <c r="AEX12" s="232"/>
      <c r="AEY12" s="232"/>
      <c r="AEZ12" s="232"/>
      <c r="AFA12" s="232"/>
      <c r="AFB12" s="232"/>
      <c r="AFC12" s="232"/>
      <c r="AFD12" s="232"/>
      <c r="AFE12" s="232"/>
      <c r="AFF12" s="232"/>
      <c r="AFG12" s="232"/>
      <c r="AFH12" s="232"/>
      <c r="AFI12" s="232"/>
      <c r="AFJ12" s="232"/>
      <c r="AFK12" s="232"/>
      <c r="AFL12" s="232"/>
      <c r="AFM12" s="232"/>
      <c r="AFN12" s="232"/>
      <c r="AFO12" s="232"/>
      <c r="AFP12" s="232"/>
      <c r="AFQ12" s="232"/>
      <c r="AFR12" s="232"/>
      <c r="AFS12" s="232"/>
      <c r="AFT12" s="232"/>
      <c r="AFU12" s="232"/>
      <c r="AFV12" s="232"/>
      <c r="AFW12" s="232"/>
      <c r="AFX12" s="232"/>
      <c r="AFY12" s="232"/>
      <c r="AFZ12" s="232"/>
      <c r="AGA12" s="232"/>
      <c r="AGB12" s="232"/>
      <c r="AGC12" s="232"/>
      <c r="AGD12" s="232"/>
      <c r="AGE12" s="232"/>
      <c r="AGF12" s="232"/>
      <c r="AGG12" s="232"/>
      <c r="AGH12" s="232"/>
      <c r="AGI12" s="232"/>
      <c r="AGJ12" s="232"/>
      <c r="AGK12" s="232"/>
      <c r="AGL12" s="232"/>
      <c r="AGM12" s="232"/>
      <c r="AGN12" s="232"/>
      <c r="AGO12" s="232"/>
      <c r="AGP12" s="232"/>
      <c r="AGQ12" s="232"/>
      <c r="AGR12" s="232"/>
      <c r="AGS12" s="232"/>
      <c r="AGT12" s="232"/>
      <c r="AGU12" s="232"/>
      <c r="AGV12" s="232"/>
      <c r="AGW12" s="232"/>
      <c r="AGX12" s="232"/>
      <c r="AGY12" s="232"/>
      <c r="AGZ12" s="232"/>
      <c r="AHA12" s="232"/>
      <c r="AHB12" s="232"/>
      <c r="AHC12" s="232"/>
      <c r="AHD12" s="232"/>
      <c r="AHE12" s="232"/>
      <c r="AHF12" s="232"/>
      <c r="AHG12" s="232"/>
      <c r="AHH12" s="232"/>
      <c r="AHI12" s="232"/>
      <c r="AHJ12" s="232"/>
      <c r="AHK12" s="232"/>
      <c r="AHL12" s="232"/>
      <c r="AHM12" s="232"/>
      <c r="AHN12" s="232"/>
      <c r="AHO12" s="232"/>
      <c r="AHP12" s="232"/>
      <c r="AHQ12" s="232"/>
      <c r="AHR12" s="232"/>
      <c r="AHS12" s="232"/>
      <c r="AHT12" s="232"/>
      <c r="AHU12" s="232"/>
      <c r="AHV12" s="232"/>
      <c r="AHW12" s="232"/>
      <c r="AHX12" s="232"/>
      <c r="AHY12" s="232"/>
      <c r="AHZ12" s="232"/>
      <c r="AIA12" s="232"/>
      <c r="AIB12" s="232"/>
      <c r="AIC12" s="232"/>
      <c r="AID12" s="232"/>
      <c r="AIE12" s="232"/>
      <c r="AIF12" s="232"/>
      <c r="AIG12" s="232"/>
      <c r="AIH12" s="232"/>
      <c r="AII12" s="232"/>
      <c r="AIJ12" s="232"/>
      <c r="AIK12" s="232"/>
      <c r="AIL12" s="232"/>
      <c r="AIM12" s="232"/>
      <c r="AIN12" s="232"/>
      <c r="AIO12" s="232"/>
      <c r="AIP12" s="232"/>
      <c r="AIQ12" s="232"/>
      <c r="AIR12" s="232"/>
      <c r="AIS12" s="232"/>
      <c r="AIT12" s="232"/>
      <c r="AIU12" s="232"/>
      <c r="AIV12" s="232"/>
      <c r="AIW12" s="232"/>
      <c r="AIX12" s="232"/>
      <c r="AIY12" s="232"/>
      <c r="AIZ12" s="232"/>
      <c r="AJA12" s="232"/>
      <c r="AJB12" s="232"/>
      <c r="AJC12" s="232"/>
      <c r="AJD12" s="232"/>
      <c r="AJE12" s="232"/>
      <c r="AJF12" s="232"/>
      <c r="AJG12" s="232"/>
      <c r="AJH12" s="232"/>
      <c r="AJI12" s="232"/>
      <c r="AJJ12" s="232"/>
      <c r="AJK12" s="232"/>
      <c r="AJL12" s="232"/>
      <c r="AJM12" s="232"/>
      <c r="AJN12" s="232"/>
      <c r="AJO12" s="232"/>
      <c r="AJP12" s="232"/>
      <c r="AJQ12" s="232"/>
      <c r="AJR12" s="232"/>
      <c r="AJS12" s="232"/>
      <c r="AJT12" s="232"/>
      <c r="AJU12" s="232"/>
      <c r="AJV12" s="232"/>
      <c r="AJW12" s="232"/>
      <c r="AJX12" s="232"/>
      <c r="AJY12" s="232"/>
      <c r="AJZ12" s="232"/>
      <c r="AKA12" s="232"/>
      <c r="AKB12" s="232"/>
      <c r="AKC12" s="232"/>
      <c r="AKD12" s="232"/>
      <c r="AKE12" s="232"/>
      <c r="AKF12" s="232"/>
      <c r="AKG12" s="232"/>
      <c r="AKH12" s="232"/>
      <c r="AKI12" s="232"/>
      <c r="AKJ12" s="232"/>
      <c r="AKK12" s="232"/>
      <c r="AKL12" s="232"/>
      <c r="AKM12" s="232"/>
      <c r="AKN12" s="232"/>
      <c r="AKO12" s="232"/>
      <c r="AKP12" s="232"/>
      <c r="AKQ12" s="232"/>
      <c r="AKR12" s="232"/>
      <c r="AKS12" s="232"/>
      <c r="AKT12" s="232"/>
      <c r="AKU12" s="232"/>
      <c r="AKV12" s="232"/>
      <c r="AKW12" s="232"/>
      <c r="AKX12" s="232"/>
      <c r="AKY12" s="232"/>
      <c r="AKZ12" s="232"/>
      <c r="ALA12" s="232"/>
      <c r="ALB12" s="232"/>
      <c r="ALC12" s="232"/>
      <c r="ALD12" s="232"/>
      <c r="ALE12" s="232"/>
      <c r="ALF12" s="232"/>
      <c r="ALG12" s="232"/>
      <c r="ALH12" s="232"/>
      <c r="ALI12" s="232"/>
      <c r="ALJ12" s="232"/>
      <c r="ALK12" s="232"/>
      <c r="ALL12" s="232"/>
      <c r="ALM12" s="232"/>
      <c r="ALN12" s="232"/>
      <c r="ALO12" s="232"/>
      <c r="ALP12" s="232"/>
      <c r="ALQ12" s="232"/>
      <c r="ALR12" s="232"/>
      <c r="ALS12" s="232"/>
      <c r="ALT12" s="232"/>
      <c r="ALU12" s="232"/>
      <c r="ALV12" s="232"/>
      <c r="ALW12" s="232"/>
      <c r="ALX12" s="232"/>
      <c r="ALY12" s="232"/>
      <c r="ALZ12" s="232"/>
      <c r="AMA12" s="232"/>
      <c r="AMB12" s="232"/>
      <c r="AMC12" s="232"/>
      <c r="AMD12" s="232"/>
      <c r="AME12" s="232"/>
      <c r="AMF12" s="232"/>
      <c r="AMG12" s="232"/>
      <c r="AMH12" s="232"/>
      <c r="AMI12" s="232"/>
      <c r="AMJ12" s="232"/>
      <c r="AMK12" s="232"/>
      <c r="AML12" s="232"/>
      <c r="AMM12" s="232"/>
      <c r="AMN12" s="232"/>
      <c r="AMO12" s="232"/>
      <c r="AMP12" s="232"/>
      <c r="AMQ12" s="232"/>
      <c r="AMR12" s="232"/>
      <c r="AMS12" s="232"/>
      <c r="AMT12" s="232"/>
      <c r="AMU12" s="232"/>
      <c r="AMV12" s="232"/>
      <c r="AMW12" s="232"/>
      <c r="AMX12" s="232"/>
      <c r="AMY12" s="232"/>
      <c r="AMZ12" s="232"/>
      <c r="ANA12" s="232"/>
      <c r="ANB12" s="232"/>
      <c r="ANC12" s="232"/>
      <c r="AND12" s="232"/>
      <c r="ANE12" s="232"/>
      <c r="ANF12" s="232"/>
      <c r="ANG12" s="232"/>
      <c r="ANH12" s="232"/>
      <c r="ANI12" s="232"/>
      <c r="ANJ12" s="232"/>
      <c r="ANK12" s="232"/>
      <c r="ANL12" s="232"/>
      <c r="ANM12" s="232"/>
      <c r="ANN12" s="232"/>
      <c r="ANO12" s="232"/>
      <c r="ANP12" s="232"/>
      <c r="ANQ12" s="232"/>
      <c r="ANR12" s="232"/>
      <c r="ANS12" s="232"/>
      <c r="ANT12" s="232"/>
      <c r="ANU12" s="232"/>
      <c r="ANV12" s="232"/>
      <c r="ANW12" s="232"/>
      <c r="ANX12" s="232"/>
      <c r="ANY12" s="232"/>
      <c r="ANZ12" s="232"/>
      <c r="AOA12" s="232"/>
      <c r="AOB12" s="232"/>
      <c r="AOC12" s="232"/>
      <c r="AOD12" s="232"/>
      <c r="AOE12" s="232"/>
      <c r="AOF12" s="232"/>
      <c r="AOG12" s="232"/>
    </row>
    <row r="13" spans="1:1073">
      <c r="A13" s="2127"/>
      <c r="B13" s="223">
        <v>5</v>
      </c>
      <c r="C13" s="224"/>
      <c r="D13" s="225"/>
      <c r="E13" s="226"/>
      <c r="F13" s="226"/>
      <c r="G13" s="227" t="str">
        <f>IF(C13="","",IF(Tabelle1[[#This Row],[End Date]]&lt;COV!$E$12,0,IF(COV!E$12="","",IF(Tabelle1[[#This Row],[End Date]]-Tabelle1[[#This Row],[Start Date]]&gt;0,IF(F13&lt;COV!E$11,(F13-IF(E13&lt;COV!E$12,COV!E$12,Tabelle1[[#This Row],[Start Date]])),(COV!E$11-IF(E13&lt;COV!E$12,COV!E$12,Tabelle1[[#This Row],[Start Date]])))/365*12,""))))</f>
        <v/>
      </c>
      <c r="H13" s="225"/>
      <c r="I13" s="234"/>
      <c r="J13" s="229"/>
      <c r="K13" s="1325" t="str">
        <f>IF(Tabelle1[[#This Row],[Project Name]]="","",IF(OR(Tabelle1[[#This Row],[PM Category]]=CAT_A_NAME,Tabelle1[[#This Row],[PM Category]]=CAT_B_NAME,Tabelle1[[#This Row],[PM Category]]=CAT_C_NAME,Tabelle1[[#This Row],[PM Category]]=CAT_D_NAME,Tabelle1[[#This Row],[PM Category]]=CAT_E_NAME,Tabelle1[[#This Row],[PM Category]]=CAT_SPJ,Tabelle1[[#This Row],[PM Category]]=CAT_PJ,Tabelle1[[#This Row],[PM Category]]=""),"","1"))</f>
        <v/>
      </c>
      <c r="L13" s="1326">
        <f>IF(Tabelle1[[#This Row],[Role]]="PJM",1)+IF(Tabelle1[[#This Row],[Role]]="PGM",1)+IF(Tabelle1[[#This Row],[Role]]="PFM",1)+IF(Tabelle1[[#This Row],[Role]]="TPM",1)+IF(Tabelle1[[#This Row],[Role]]="CPM",1)</f>
        <v>0</v>
      </c>
      <c r="M13" s="230" t="str">
        <f>IFERROR(IF(Tabelle1[[#This Row],[Project Name]]&lt;&gt;"",IF(G13*I13&gt;0,G13,""),"")*Tabelle1[[#This Row],[Role Check]],"")</f>
        <v/>
      </c>
      <c r="N13" s="231" t="str">
        <f>IFERROR(Tabelle1[[#This Row],[Duration '[months']]]*Tabelle1[[#This Row],[Avg. time spent in resp. Role]],"")</f>
        <v/>
      </c>
      <c r="O13" s="221"/>
      <c r="S13" s="208" t="str">
        <f>IF(Tabelle1[[#This Row],[Project Name]]&lt;&gt;"",Tabelle1[[#This Row],[Project Name]],"")</f>
        <v/>
      </c>
      <c r="T13" s="232">
        <f t="shared" si="12"/>
        <v>0</v>
      </c>
      <c r="U13" s="545" t="e">
        <f t="shared" si="12"/>
        <v>#VALUE!</v>
      </c>
      <c r="V13" s="545" t="e">
        <f t="shared" si="13"/>
        <v>#VALUE!</v>
      </c>
      <c r="W13" s="232" t="e">
        <f t="shared" si="13"/>
        <v>#VALUE!</v>
      </c>
      <c r="X13" s="232" t="e">
        <f t="shared" si="13"/>
        <v>#VALUE!</v>
      </c>
      <c r="Y13" s="232" t="e">
        <f t="shared" si="13"/>
        <v>#VALUE!</v>
      </c>
      <c r="Z13" s="232" t="e">
        <f t="shared" si="13"/>
        <v>#VALUE!</v>
      </c>
      <c r="AA13" s="232" t="e">
        <f t="shared" si="13"/>
        <v>#VALUE!</v>
      </c>
      <c r="AB13" s="232" t="e">
        <f t="shared" si="13"/>
        <v>#VALUE!</v>
      </c>
      <c r="AC13" s="232" t="e">
        <f t="shared" si="13"/>
        <v>#VALUE!</v>
      </c>
      <c r="AD13" s="232" t="e">
        <f t="shared" si="13"/>
        <v>#VALUE!</v>
      </c>
      <c r="AE13" s="232" t="e">
        <f t="shared" si="13"/>
        <v>#VALUE!</v>
      </c>
      <c r="AF13" s="232" t="e">
        <f t="shared" si="14"/>
        <v>#VALUE!</v>
      </c>
      <c r="AG13" s="232" t="e">
        <f t="shared" si="14"/>
        <v>#VALUE!</v>
      </c>
      <c r="AH13" s="232" t="e">
        <f t="shared" si="14"/>
        <v>#VALUE!</v>
      </c>
      <c r="AI13" s="232" t="e">
        <f t="shared" si="14"/>
        <v>#VALUE!</v>
      </c>
      <c r="AJ13" s="232" t="e">
        <f t="shared" si="14"/>
        <v>#VALUE!</v>
      </c>
      <c r="AK13" s="232" t="e">
        <f t="shared" si="14"/>
        <v>#VALUE!</v>
      </c>
      <c r="AL13" s="232" t="e">
        <f t="shared" si="14"/>
        <v>#VALUE!</v>
      </c>
      <c r="AM13" s="232" t="e">
        <f t="shared" si="14"/>
        <v>#VALUE!</v>
      </c>
      <c r="AN13" s="232" t="e">
        <f t="shared" si="14"/>
        <v>#VALUE!</v>
      </c>
      <c r="AO13" s="232" t="e">
        <f t="shared" si="14"/>
        <v>#VALUE!</v>
      </c>
      <c r="AP13" s="232" t="e">
        <f t="shared" si="15"/>
        <v>#VALUE!</v>
      </c>
      <c r="AQ13" s="232" t="e">
        <f t="shared" si="15"/>
        <v>#VALUE!</v>
      </c>
      <c r="AR13" s="232" t="e">
        <f t="shared" si="15"/>
        <v>#VALUE!</v>
      </c>
      <c r="AS13" s="232" t="e">
        <f t="shared" si="15"/>
        <v>#VALUE!</v>
      </c>
      <c r="AT13" s="232" t="e">
        <f t="shared" si="15"/>
        <v>#VALUE!</v>
      </c>
      <c r="AU13" s="232" t="e">
        <f t="shared" si="15"/>
        <v>#VALUE!</v>
      </c>
      <c r="AV13" s="232" t="e">
        <f t="shared" si="15"/>
        <v>#VALUE!</v>
      </c>
      <c r="AW13" s="232" t="e">
        <f t="shared" si="15"/>
        <v>#VALUE!</v>
      </c>
      <c r="AX13" s="232" t="e">
        <f t="shared" si="15"/>
        <v>#VALUE!</v>
      </c>
      <c r="AY13" s="232" t="e">
        <f t="shared" si="15"/>
        <v>#VALUE!</v>
      </c>
      <c r="AZ13" s="232" t="e">
        <f t="shared" si="16"/>
        <v>#VALUE!</v>
      </c>
      <c r="BA13" s="232" t="e">
        <f t="shared" si="16"/>
        <v>#VALUE!</v>
      </c>
      <c r="BB13" s="232" t="e">
        <f t="shared" si="16"/>
        <v>#VALUE!</v>
      </c>
      <c r="BC13" s="232" t="e">
        <f t="shared" si="16"/>
        <v>#VALUE!</v>
      </c>
      <c r="BD13" s="232" t="e">
        <f t="shared" si="16"/>
        <v>#VALUE!</v>
      </c>
      <c r="BE13" s="232" t="e">
        <f t="shared" si="16"/>
        <v>#VALUE!</v>
      </c>
      <c r="BF13" s="232" t="e">
        <f t="shared" si="16"/>
        <v>#VALUE!</v>
      </c>
      <c r="BG13" s="232" t="e">
        <f t="shared" si="16"/>
        <v>#VALUE!</v>
      </c>
      <c r="BH13" s="232" t="e">
        <f t="shared" si="16"/>
        <v>#VALUE!</v>
      </c>
      <c r="BI13" s="232" t="e">
        <f t="shared" si="16"/>
        <v>#VALUE!</v>
      </c>
      <c r="BJ13" s="232" t="e">
        <f t="shared" si="17"/>
        <v>#VALUE!</v>
      </c>
      <c r="BK13" s="232" t="e">
        <f t="shared" si="17"/>
        <v>#VALUE!</v>
      </c>
      <c r="BL13" s="232" t="e">
        <f t="shared" si="17"/>
        <v>#VALUE!</v>
      </c>
      <c r="BM13" s="232" t="e">
        <f t="shared" si="17"/>
        <v>#VALUE!</v>
      </c>
      <c r="BN13" s="232" t="e">
        <f t="shared" si="17"/>
        <v>#VALUE!</v>
      </c>
      <c r="BO13" s="232" t="e">
        <f t="shared" si="17"/>
        <v>#VALUE!</v>
      </c>
      <c r="BP13" s="232" t="e">
        <f t="shared" si="17"/>
        <v>#VALUE!</v>
      </c>
      <c r="BQ13" s="232" t="e">
        <f t="shared" si="17"/>
        <v>#VALUE!</v>
      </c>
      <c r="BR13" s="232" t="e">
        <f t="shared" si="17"/>
        <v>#VALUE!</v>
      </c>
      <c r="BS13" s="232" t="e">
        <f t="shared" si="17"/>
        <v>#VALUE!</v>
      </c>
      <c r="BT13" s="232" t="e">
        <f t="shared" si="18"/>
        <v>#VALUE!</v>
      </c>
      <c r="BU13" s="232" t="e">
        <f t="shared" si="18"/>
        <v>#VALUE!</v>
      </c>
      <c r="BV13" s="232" t="e">
        <f t="shared" si="18"/>
        <v>#VALUE!</v>
      </c>
      <c r="BW13" s="232" t="e">
        <f t="shared" si="18"/>
        <v>#VALUE!</v>
      </c>
      <c r="BX13" s="232" t="e">
        <f t="shared" si="18"/>
        <v>#VALUE!</v>
      </c>
      <c r="BY13" s="232" t="e">
        <f t="shared" si="18"/>
        <v>#VALUE!</v>
      </c>
      <c r="BZ13" s="232" t="e">
        <f t="shared" si="18"/>
        <v>#VALUE!</v>
      </c>
      <c r="CA13" s="232" t="e">
        <f t="shared" si="18"/>
        <v>#VALUE!</v>
      </c>
      <c r="CB13" s="232" t="e">
        <f t="shared" si="18"/>
        <v>#VALUE!</v>
      </c>
      <c r="CC13" s="232" t="e">
        <f t="shared" si="18"/>
        <v>#VALUE!</v>
      </c>
      <c r="CD13" s="232" t="e">
        <f t="shared" si="19"/>
        <v>#VALUE!</v>
      </c>
      <c r="CE13" s="232" t="e">
        <f t="shared" si="19"/>
        <v>#VALUE!</v>
      </c>
      <c r="CF13" s="232" t="e">
        <f t="shared" si="19"/>
        <v>#VALUE!</v>
      </c>
      <c r="CG13" s="232" t="e">
        <f t="shared" si="19"/>
        <v>#VALUE!</v>
      </c>
      <c r="CH13" s="232" t="e">
        <f t="shared" si="19"/>
        <v>#VALUE!</v>
      </c>
      <c r="CI13" s="232" t="e">
        <f t="shared" si="19"/>
        <v>#VALUE!</v>
      </c>
      <c r="CJ13" s="232" t="e">
        <f t="shared" si="19"/>
        <v>#VALUE!</v>
      </c>
      <c r="CK13" s="232" t="e">
        <f t="shared" si="19"/>
        <v>#VALUE!</v>
      </c>
      <c r="CL13" s="232" t="e">
        <f t="shared" si="19"/>
        <v>#VALUE!</v>
      </c>
      <c r="CM13" s="232" t="e">
        <f t="shared" si="19"/>
        <v>#VALUE!</v>
      </c>
      <c r="CN13" s="232" t="e">
        <f t="shared" si="20"/>
        <v>#VALUE!</v>
      </c>
      <c r="CO13" s="232" t="e">
        <f t="shared" si="20"/>
        <v>#VALUE!</v>
      </c>
      <c r="CP13" s="232" t="e">
        <f t="shared" si="20"/>
        <v>#VALUE!</v>
      </c>
      <c r="CQ13" s="232" t="e">
        <f t="shared" si="20"/>
        <v>#VALUE!</v>
      </c>
      <c r="CR13" s="232" t="e">
        <f t="shared" si="20"/>
        <v>#VALUE!</v>
      </c>
      <c r="CS13" s="232" t="e">
        <f t="shared" si="20"/>
        <v>#VALUE!</v>
      </c>
      <c r="CT13" s="232" t="e">
        <f t="shared" si="20"/>
        <v>#VALUE!</v>
      </c>
      <c r="CU13" s="232" t="e">
        <f t="shared" si="20"/>
        <v>#VALUE!</v>
      </c>
      <c r="CV13" s="232" t="e">
        <f t="shared" si="20"/>
        <v>#VALUE!</v>
      </c>
      <c r="CW13" s="232" t="e">
        <f t="shared" si="20"/>
        <v>#VALUE!</v>
      </c>
      <c r="CX13" s="232" t="e">
        <f t="shared" si="21"/>
        <v>#VALUE!</v>
      </c>
      <c r="CY13" s="232" t="e">
        <f t="shared" si="21"/>
        <v>#VALUE!</v>
      </c>
      <c r="CZ13" s="232" t="e">
        <f t="shared" si="21"/>
        <v>#VALUE!</v>
      </c>
      <c r="DA13" s="232" t="e">
        <f t="shared" si="21"/>
        <v>#VALUE!</v>
      </c>
      <c r="DB13" s="232" t="e">
        <f t="shared" si="21"/>
        <v>#VALUE!</v>
      </c>
      <c r="DC13" s="232" t="e">
        <f t="shared" si="21"/>
        <v>#VALUE!</v>
      </c>
      <c r="DD13" s="232" t="e">
        <f t="shared" si="21"/>
        <v>#VALUE!</v>
      </c>
      <c r="DE13" s="232" t="e">
        <f t="shared" si="21"/>
        <v>#VALUE!</v>
      </c>
      <c r="DF13" s="232" t="e">
        <f t="shared" si="21"/>
        <v>#VALUE!</v>
      </c>
      <c r="DG13" s="232" t="e">
        <f t="shared" si="21"/>
        <v>#VALUE!</v>
      </c>
      <c r="DH13" s="232" t="e">
        <f t="shared" si="22"/>
        <v>#VALUE!</v>
      </c>
      <c r="DI13" s="232" t="e">
        <f t="shared" si="22"/>
        <v>#VALUE!</v>
      </c>
      <c r="DJ13" s="232" t="e">
        <f t="shared" si="22"/>
        <v>#VALUE!</v>
      </c>
      <c r="DK13" s="232" t="e">
        <f t="shared" si="22"/>
        <v>#VALUE!</v>
      </c>
      <c r="DL13" s="232" t="e">
        <f t="shared" si="22"/>
        <v>#VALUE!</v>
      </c>
      <c r="DM13" s="232" t="e">
        <f t="shared" si="22"/>
        <v>#VALUE!</v>
      </c>
      <c r="DN13" s="232" t="e">
        <f t="shared" si="22"/>
        <v>#VALUE!</v>
      </c>
      <c r="DO13" s="232" t="e">
        <f t="shared" si="22"/>
        <v>#VALUE!</v>
      </c>
      <c r="DP13" s="232" t="e">
        <f t="shared" si="22"/>
        <v>#VALUE!</v>
      </c>
      <c r="DQ13" s="232" t="e">
        <f t="shared" si="22"/>
        <v>#VALUE!</v>
      </c>
      <c r="DR13" s="232" t="e">
        <f t="shared" si="23"/>
        <v>#VALUE!</v>
      </c>
      <c r="DS13" s="232" t="e">
        <f t="shared" si="23"/>
        <v>#VALUE!</v>
      </c>
      <c r="DT13" s="232" t="e">
        <f t="shared" si="23"/>
        <v>#VALUE!</v>
      </c>
      <c r="DU13" s="232" t="e">
        <f t="shared" si="23"/>
        <v>#VALUE!</v>
      </c>
      <c r="DV13" s="232" t="e">
        <f t="shared" si="23"/>
        <v>#VALUE!</v>
      </c>
      <c r="DW13" s="232" t="e">
        <f t="shared" si="23"/>
        <v>#VALUE!</v>
      </c>
      <c r="DX13" s="232" t="e">
        <f t="shared" si="23"/>
        <v>#VALUE!</v>
      </c>
      <c r="DY13" s="232" t="e">
        <f t="shared" si="23"/>
        <v>#VALUE!</v>
      </c>
      <c r="DZ13" s="232" t="e">
        <f t="shared" si="23"/>
        <v>#VALUE!</v>
      </c>
      <c r="EA13" s="232" t="e">
        <f t="shared" si="23"/>
        <v>#VALUE!</v>
      </c>
      <c r="EB13" s="232" t="e">
        <f t="shared" si="24"/>
        <v>#VALUE!</v>
      </c>
      <c r="EC13" s="232" t="e">
        <f t="shared" si="24"/>
        <v>#VALUE!</v>
      </c>
      <c r="ED13" s="232" t="e">
        <f t="shared" si="24"/>
        <v>#VALUE!</v>
      </c>
      <c r="EE13" s="232" t="e">
        <f t="shared" si="24"/>
        <v>#VALUE!</v>
      </c>
      <c r="EF13" s="232" t="e">
        <f t="shared" si="24"/>
        <v>#VALUE!</v>
      </c>
      <c r="EG13" s="232" t="e">
        <f t="shared" si="24"/>
        <v>#VALUE!</v>
      </c>
      <c r="EH13" s="232" t="e">
        <f t="shared" si="24"/>
        <v>#VALUE!</v>
      </c>
      <c r="EI13" s="232" t="e">
        <f t="shared" si="24"/>
        <v>#VALUE!</v>
      </c>
      <c r="EJ13" s="232" t="e">
        <f t="shared" si="24"/>
        <v>#VALUE!</v>
      </c>
      <c r="EK13" s="232" t="e">
        <f t="shared" si="24"/>
        <v>#VALUE!</v>
      </c>
      <c r="EL13" s="232" t="e">
        <f t="shared" si="25"/>
        <v>#VALUE!</v>
      </c>
      <c r="EM13" s="232" t="e">
        <f t="shared" si="25"/>
        <v>#VALUE!</v>
      </c>
      <c r="EN13" s="232" t="e">
        <f t="shared" si="25"/>
        <v>#VALUE!</v>
      </c>
      <c r="EO13" s="232" t="e">
        <f t="shared" si="25"/>
        <v>#VALUE!</v>
      </c>
      <c r="EP13" s="232" t="e">
        <f t="shared" si="25"/>
        <v>#VALUE!</v>
      </c>
      <c r="EQ13" s="232" t="e">
        <f t="shared" si="25"/>
        <v>#VALUE!</v>
      </c>
      <c r="ER13" s="232" t="e">
        <f t="shared" si="25"/>
        <v>#VALUE!</v>
      </c>
      <c r="ES13" s="232" t="e">
        <f t="shared" si="25"/>
        <v>#VALUE!</v>
      </c>
      <c r="ET13" s="232" t="e">
        <f t="shared" si="25"/>
        <v>#VALUE!</v>
      </c>
      <c r="EU13" s="232" t="e">
        <f t="shared" si="25"/>
        <v>#VALUE!</v>
      </c>
      <c r="EV13" s="232" t="e">
        <f t="shared" si="26"/>
        <v>#VALUE!</v>
      </c>
      <c r="EW13" s="232" t="e">
        <f t="shared" si="26"/>
        <v>#VALUE!</v>
      </c>
      <c r="EX13" s="232" t="e">
        <f t="shared" si="26"/>
        <v>#VALUE!</v>
      </c>
      <c r="EY13" s="232" t="e">
        <f t="shared" si="26"/>
        <v>#VALUE!</v>
      </c>
      <c r="EZ13" s="232" t="e">
        <f t="shared" si="26"/>
        <v>#VALUE!</v>
      </c>
      <c r="FA13" s="232" t="e">
        <f t="shared" si="26"/>
        <v>#VALUE!</v>
      </c>
      <c r="FB13" s="232" t="e">
        <f t="shared" si="26"/>
        <v>#VALUE!</v>
      </c>
      <c r="FC13" s="232" t="e">
        <f t="shared" si="26"/>
        <v>#VALUE!</v>
      </c>
      <c r="FD13" s="232" t="e">
        <f t="shared" si="26"/>
        <v>#VALUE!</v>
      </c>
      <c r="FE13" s="232" t="e">
        <f t="shared" si="26"/>
        <v>#VALUE!</v>
      </c>
      <c r="FF13" s="232" t="e">
        <f t="shared" si="27"/>
        <v>#VALUE!</v>
      </c>
      <c r="FG13" s="232" t="e">
        <f t="shared" si="27"/>
        <v>#VALUE!</v>
      </c>
      <c r="FH13" s="232" t="e">
        <f t="shared" si="27"/>
        <v>#VALUE!</v>
      </c>
      <c r="FI13" s="232" t="e">
        <f t="shared" si="27"/>
        <v>#VALUE!</v>
      </c>
      <c r="FJ13" s="232" t="e">
        <f t="shared" si="27"/>
        <v>#VALUE!</v>
      </c>
      <c r="FK13" s="232" t="e">
        <f t="shared" si="27"/>
        <v>#VALUE!</v>
      </c>
      <c r="FL13" s="232" t="e">
        <f t="shared" si="27"/>
        <v>#VALUE!</v>
      </c>
      <c r="FM13" s="232" t="e">
        <f t="shared" si="27"/>
        <v>#VALUE!</v>
      </c>
      <c r="FN13" s="232" t="e">
        <f t="shared" si="27"/>
        <v>#VALUE!</v>
      </c>
      <c r="FO13" s="232" t="e">
        <f t="shared" si="27"/>
        <v>#VALUE!</v>
      </c>
      <c r="FP13" s="232" t="e">
        <f t="shared" si="28"/>
        <v>#VALUE!</v>
      </c>
      <c r="FQ13" s="232" t="e">
        <f t="shared" si="28"/>
        <v>#VALUE!</v>
      </c>
      <c r="FR13" s="232" t="e">
        <f t="shared" si="28"/>
        <v>#VALUE!</v>
      </c>
      <c r="FS13" s="232" t="e">
        <f t="shared" si="28"/>
        <v>#VALUE!</v>
      </c>
      <c r="FT13" s="232" t="e">
        <f t="shared" si="28"/>
        <v>#VALUE!</v>
      </c>
      <c r="FU13" s="232" t="e">
        <f t="shared" si="28"/>
        <v>#VALUE!</v>
      </c>
      <c r="FV13" s="232" t="e">
        <f t="shared" si="28"/>
        <v>#VALUE!</v>
      </c>
      <c r="FW13" s="232" t="e">
        <f t="shared" si="28"/>
        <v>#VALUE!</v>
      </c>
      <c r="FX13" s="232" t="e">
        <f t="shared" si="28"/>
        <v>#VALUE!</v>
      </c>
      <c r="FY13" s="232" t="e">
        <f t="shared" si="28"/>
        <v>#VALUE!</v>
      </c>
      <c r="FZ13" s="232" t="e">
        <f t="shared" si="29"/>
        <v>#VALUE!</v>
      </c>
      <c r="GA13" s="232" t="e">
        <f t="shared" si="29"/>
        <v>#VALUE!</v>
      </c>
      <c r="GB13" s="232" t="e">
        <f t="shared" si="29"/>
        <v>#VALUE!</v>
      </c>
      <c r="GC13" s="232" t="e">
        <f t="shared" si="29"/>
        <v>#VALUE!</v>
      </c>
      <c r="GD13" s="232" t="e">
        <f t="shared" si="29"/>
        <v>#VALUE!</v>
      </c>
      <c r="GE13" s="232" t="e">
        <f t="shared" si="29"/>
        <v>#VALUE!</v>
      </c>
      <c r="GF13" s="232" t="e">
        <f t="shared" si="29"/>
        <v>#VALUE!</v>
      </c>
      <c r="GG13" s="232" t="e">
        <f t="shared" si="29"/>
        <v>#VALUE!</v>
      </c>
      <c r="GH13" s="232" t="e">
        <f t="shared" si="29"/>
        <v>#VALUE!</v>
      </c>
      <c r="GI13" s="232" t="e">
        <f t="shared" si="29"/>
        <v>#VALUE!</v>
      </c>
      <c r="GJ13" s="232" t="e">
        <f t="shared" si="30"/>
        <v>#VALUE!</v>
      </c>
      <c r="GK13" s="232" t="e">
        <f t="shared" si="30"/>
        <v>#VALUE!</v>
      </c>
      <c r="GL13" s="232" t="e">
        <f t="shared" si="30"/>
        <v>#VALUE!</v>
      </c>
      <c r="GM13" s="232" t="e">
        <f t="shared" si="30"/>
        <v>#VALUE!</v>
      </c>
      <c r="GN13" s="232" t="e">
        <f t="shared" si="30"/>
        <v>#VALUE!</v>
      </c>
      <c r="GO13" s="232" t="e">
        <f t="shared" si="30"/>
        <v>#VALUE!</v>
      </c>
      <c r="GP13" s="232" t="e">
        <f t="shared" si="30"/>
        <v>#VALUE!</v>
      </c>
      <c r="GQ13" s="232" t="e">
        <f t="shared" si="30"/>
        <v>#VALUE!</v>
      </c>
      <c r="GR13" s="232" t="e">
        <f t="shared" si="30"/>
        <v>#VALUE!</v>
      </c>
      <c r="GS13" s="232" t="e">
        <f t="shared" si="30"/>
        <v>#VALUE!</v>
      </c>
      <c r="GT13" s="232" t="e">
        <f t="shared" si="31"/>
        <v>#VALUE!</v>
      </c>
      <c r="GU13" s="232" t="e">
        <f t="shared" si="31"/>
        <v>#VALUE!</v>
      </c>
      <c r="GV13" s="232" t="e">
        <f t="shared" si="31"/>
        <v>#VALUE!</v>
      </c>
      <c r="GW13" s="232" t="e">
        <f t="shared" si="31"/>
        <v>#VALUE!</v>
      </c>
      <c r="GX13" s="232" t="e">
        <f t="shared" si="31"/>
        <v>#VALUE!</v>
      </c>
      <c r="GY13" s="232" t="e">
        <f t="shared" si="31"/>
        <v>#VALUE!</v>
      </c>
      <c r="GZ13" s="232" t="e">
        <f t="shared" si="31"/>
        <v>#VALUE!</v>
      </c>
      <c r="HA13" s="232" t="e">
        <f t="shared" si="31"/>
        <v>#VALUE!</v>
      </c>
      <c r="HB13" s="232" t="e">
        <f t="shared" si="31"/>
        <v>#VALUE!</v>
      </c>
      <c r="HC13" s="232" t="e">
        <f t="shared" si="31"/>
        <v>#VALUE!</v>
      </c>
      <c r="HD13" s="232" t="e">
        <f t="shared" si="32"/>
        <v>#VALUE!</v>
      </c>
      <c r="HE13" s="232" t="e">
        <f t="shared" si="32"/>
        <v>#VALUE!</v>
      </c>
      <c r="HF13" s="232" t="e">
        <f t="shared" si="32"/>
        <v>#VALUE!</v>
      </c>
      <c r="HG13" s="232" t="e">
        <f t="shared" si="32"/>
        <v>#VALUE!</v>
      </c>
      <c r="HH13" s="232" t="e">
        <f t="shared" si="32"/>
        <v>#VALUE!</v>
      </c>
      <c r="HI13" s="232" t="e">
        <f t="shared" si="32"/>
        <v>#VALUE!</v>
      </c>
      <c r="HJ13" s="232" t="e">
        <f t="shared" si="32"/>
        <v>#VALUE!</v>
      </c>
      <c r="HK13" s="232" t="e">
        <f t="shared" si="32"/>
        <v>#VALUE!</v>
      </c>
      <c r="HL13" s="232" t="e">
        <f t="shared" si="32"/>
        <v>#VALUE!</v>
      </c>
      <c r="HM13" s="232" t="e">
        <f t="shared" si="32"/>
        <v>#VALUE!</v>
      </c>
      <c r="HN13" s="232" t="e">
        <f t="shared" si="33"/>
        <v>#VALUE!</v>
      </c>
      <c r="HO13" s="232" t="e">
        <f t="shared" si="33"/>
        <v>#VALUE!</v>
      </c>
      <c r="HP13" s="232" t="e">
        <f t="shared" si="33"/>
        <v>#VALUE!</v>
      </c>
      <c r="HQ13" s="232" t="e">
        <f t="shared" si="33"/>
        <v>#VALUE!</v>
      </c>
      <c r="HR13" s="232" t="e">
        <f t="shared" si="33"/>
        <v>#VALUE!</v>
      </c>
      <c r="HS13" s="232" t="e">
        <f t="shared" si="33"/>
        <v>#VALUE!</v>
      </c>
      <c r="HT13" s="232" t="e">
        <f t="shared" si="33"/>
        <v>#VALUE!</v>
      </c>
      <c r="HU13" s="232" t="e">
        <f t="shared" si="33"/>
        <v>#VALUE!</v>
      </c>
      <c r="HV13" s="232" t="e">
        <f t="shared" si="33"/>
        <v>#VALUE!</v>
      </c>
      <c r="HW13" s="232" t="e">
        <f t="shared" si="33"/>
        <v>#VALUE!</v>
      </c>
      <c r="HX13" s="232" t="e">
        <f t="shared" si="34"/>
        <v>#VALUE!</v>
      </c>
      <c r="HY13" s="232" t="e">
        <f t="shared" si="34"/>
        <v>#VALUE!</v>
      </c>
      <c r="HZ13" s="232" t="e">
        <f t="shared" si="34"/>
        <v>#VALUE!</v>
      </c>
      <c r="IA13" s="232" t="e">
        <f t="shared" si="34"/>
        <v>#VALUE!</v>
      </c>
      <c r="IB13" s="232" t="e">
        <f t="shared" si="34"/>
        <v>#VALUE!</v>
      </c>
      <c r="IC13" s="232" t="e">
        <f t="shared" si="34"/>
        <v>#VALUE!</v>
      </c>
      <c r="ID13" s="232" t="e">
        <f t="shared" si="34"/>
        <v>#VALUE!</v>
      </c>
      <c r="IE13" s="232" t="e">
        <f t="shared" si="34"/>
        <v>#VALUE!</v>
      </c>
      <c r="IF13" s="232" t="e">
        <f t="shared" si="34"/>
        <v>#VALUE!</v>
      </c>
      <c r="IG13" s="232" t="e">
        <f t="shared" si="34"/>
        <v>#VALUE!</v>
      </c>
      <c r="IH13" s="232" t="e">
        <f t="shared" si="35"/>
        <v>#VALUE!</v>
      </c>
      <c r="II13" s="232" t="e">
        <f t="shared" si="35"/>
        <v>#VALUE!</v>
      </c>
      <c r="IJ13" s="232" t="e">
        <f t="shared" si="35"/>
        <v>#VALUE!</v>
      </c>
      <c r="IK13" s="232" t="e">
        <f t="shared" si="35"/>
        <v>#VALUE!</v>
      </c>
      <c r="IL13" s="232" t="e">
        <f t="shared" si="35"/>
        <v>#VALUE!</v>
      </c>
      <c r="IM13" s="232" t="e">
        <f t="shared" si="35"/>
        <v>#VALUE!</v>
      </c>
      <c r="IN13" s="232" t="e">
        <f t="shared" si="35"/>
        <v>#VALUE!</v>
      </c>
      <c r="IO13" s="232" t="e">
        <f t="shared" si="35"/>
        <v>#VALUE!</v>
      </c>
      <c r="IP13" s="232" t="e">
        <f t="shared" si="35"/>
        <v>#VALUE!</v>
      </c>
      <c r="IQ13" s="232" t="e">
        <f t="shared" si="35"/>
        <v>#VALUE!</v>
      </c>
      <c r="IR13" s="232" t="e">
        <f t="shared" si="36"/>
        <v>#VALUE!</v>
      </c>
      <c r="IS13" s="232" t="e">
        <f t="shared" si="36"/>
        <v>#VALUE!</v>
      </c>
      <c r="IT13" s="232" t="e">
        <f t="shared" si="36"/>
        <v>#VALUE!</v>
      </c>
      <c r="IU13" s="232" t="e">
        <f t="shared" si="36"/>
        <v>#VALUE!</v>
      </c>
      <c r="IV13" s="232" t="e">
        <f t="shared" si="36"/>
        <v>#VALUE!</v>
      </c>
      <c r="IW13" s="232" t="e">
        <f t="shared" si="36"/>
        <v>#VALUE!</v>
      </c>
      <c r="IX13" s="232" t="e">
        <f t="shared" si="36"/>
        <v>#VALUE!</v>
      </c>
      <c r="IY13" s="232" t="e">
        <f t="shared" si="36"/>
        <v>#VALUE!</v>
      </c>
      <c r="IZ13" s="232" t="e">
        <f t="shared" si="36"/>
        <v>#VALUE!</v>
      </c>
      <c r="JA13" s="232" t="e">
        <f t="shared" si="36"/>
        <v>#VALUE!</v>
      </c>
      <c r="JB13" s="232" t="e">
        <f t="shared" si="37"/>
        <v>#VALUE!</v>
      </c>
      <c r="JC13" s="232" t="e">
        <f t="shared" si="37"/>
        <v>#VALUE!</v>
      </c>
      <c r="JD13" s="232" t="e">
        <f t="shared" si="37"/>
        <v>#VALUE!</v>
      </c>
      <c r="JE13" s="232" t="e">
        <f t="shared" si="37"/>
        <v>#VALUE!</v>
      </c>
      <c r="JF13" s="232" t="e">
        <f t="shared" si="37"/>
        <v>#VALUE!</v>
      </c>
      <c r="JG13" s="232" t="e">
        <f t="shared" si="37"/>
        <v>#VALUE!</v>
      </c>
      <c r="JH13" s="232" t="e">
        <f t="shared" si="37"/>
        <v>#VALUE!</v>
      </c>
      <c r="JI13" s="232" t="e">
        <f t="shared" si="37"/>
        <v>#VALUE!</v>
      </c>
      <c r="JJ13" s="232" t="e">
        <f t="shared" si="37"/>
        <v>#VALUE!</v>
      </c>
      <c r="JK13" s="232"/>
      <c r="JL13" s="232"/>
      <c r="JM13" s="232"/>
      <c r="JN13" s="232"/>
      <c r="JO13" s="232"/>
      <c r="JP13" s="232"/>
      <c r="JQ13" s="232"/>
      <c r="JR13" s="232"/>
      <c r="JS13" s="232"/>
      <c r="JT13" s="232"/>
      <c r="JU13" s="232"/>
      <c r="JV13" s="232"/>
      <c r="JW13" s="232"/>
      <c r="JX13" s="232"/>
      <c r="JY13" s="232"/>
      <c r="JZ13" s="232"/>
      <c r="KA13" s="232"/>
      <c r="KB13" s="232"/>
      <c r="KC13" s="232"/>
      <c r="KD13" s="232"/>
      <c r="KE13" s="232"/>
      <c r="KF13" s="232"/>
      <c r="KG13" s="232"/>
      <c r="KH13" s="232"/>
      <c r="KI13" s="232"/>
      <c r="KJ13" s="232"/>
      <c r="KK13" s="232"/>
      <c r="KL13" s="232"/>
      <c r="KM13" s="232"/>
      <c r="KN13" s="232"/>
      <c r="KO13" s="232"/>
      <c r="KP13" s="232"/>
      <c r="KQ13" s="232"/>
      <c r="KR13" s="232"/>
      <c r="KS13" s="232"/>
      <c r="KT13" s="232"/>
      <c r="KU13" s="232"/>
      <c r="KV13" s="232"/>
      <c r="KW13" s="232"/>
      <c r="KX13" s="232"/>
      <c r="KY13" s="232"/>
      <c r="KZ13" s="232"/>
      <c r="LA13" s="232"/>
      <c r="LB13" s="232"/>
      <c r="LC13" s="232"/>
      <c r="LD13" s="232"/>
      <c r="LE13" s="232"/>
      <c r="LF13" s="232"/>
      <c r="LG13" s="232"/>
      <c r="LH13" s="232"/>
      <c r="LI13" s="232"/>
      <c r="LJ13" s="232"/>
      <c r="LK13" s="232"/>
      <c r="LL13" s="232"/>
      <c r="LM13" s="232"/>
      <c r="LN13" s="232"/>
      <c r="LO13" s="232"/>
      <c r="LP13" s="232"/>
      <c r="LQ13" s="232"/>
      <c r="LR13" s="232"/>
      <c r="LS13" s="232"/>
      <c r="LT13" s="232"/>
      <c r="LU13" s="232"/>
      <c r="LV13" s="232"/>
      <c r="LW13" s="232"/>
      <c r="LX13" s="232"/>
      <c r="LY13" s="232"/>
      <c r="LZ13" s="232"/>
      <c r="MA13" s="232"/>
      <c r="MB13" s="232"/>
      <c r="MC13" s="232"/>
      <c r="MD13" s="232"/>
      <c r="ME13" s="232"/>
      <c r="MF13" s="232"/>
      <c r="MG13" s="232"/>
      <c r="MH13" s="232"/>
      <c r="MI13" s="232"/>
      <c r="MJ13" s="232"/>
      <c r="MK13" s="232"/>
      <c r="ML13" s="232"/>
      <c r="MM13" s="232"/>
      <c r="MN13" s="232"/>
      <c r="MO13" s="232"/>
      <c r="MP13" s="232"/>
      <c r="MQ13" s="232"/>
      <c r="MR13" s="232"/>
      <c r="MS13" s="232"/>
      <c r="MT13" s="232"/>
      <c r="MU13" s="232"/>
      <c r="MV13" s="232"/>
      <c r="MW13" s="232"/>
      <c r="MX13" s="232"/>
      <c r="MY13" s="232"/>
      <c r="MZ13" s="232"/>
      <c r="NA13" s="232"/>
      <c r="NB13" s="232"/>
      <c r="NC13" s="232"/>
      <c r="ND13" s="232"/>
      <c r="NE13" s="232"/>
      <c r="NF13" s="232"/>
      <c r="NG13" s="232"/>
      <c r="NH13" s="232"/>
      <c r="NI13" s="232"/>
      <c r="NJ13" s="232"/>
      <c r="NK13" s="232"/>
      <c r="NL13" s="232"/>
      <c r="NM13" s="232"/>
      <c r="NN13" s="232"/>
      <c r="NO13" s="232"/>
      <c r="NP13" s="232"/>
      <c r="NQ13" s="232"/>
      <c r="NR13" s="232"/>
      <c r="NS13" s="232"/>
      <c r="NT13" s="232"/>
      <c r="NU13" s="232"/>
      <c r="NV13" s="232"/>
      <c r="NW13" s="232"/>
      <c r="NX13" s="232"/>
      <c r="NY13" s="232"/>
      <c r="NZ13" s="232"/>
      <c r="OA13" s="232"/>
      <c r="OB13" s="232"/>
      <c r="OC13" s="232"/>
      <c r="OD13" s="232"/>
      <c r="OE13" s="232"/>
      <c r="OF13" s="232"/>
      <c r="OG13" s="232"/>
      <c r="OH13" s="232"/>
      <c r="OI13" s="232"/>
      <c r="OJ13" s="232"/>
      <c r="OK13" s="232"/>
      <c r="OL13" s="232"/>
      <c r="OM13" s="232"/>
      <c r="ON13" s="232"/>
      <c r="OO13" s="232"/>
      <c r="OP13" s="232"/>
      <c r="OQ13" s="232"/>
      <c r="OR13" s="232"/>
      <c r="OS13" s="232"/>
      <c r="OT13" s="232"/>
      <c r="OU13" s="232"/>
      <c r="OV13" s="232"/>
      <c r="OW13" s="232"/>
      <c r="OX13" s="232"/>
      <c r="OY13" s="232"/>
      <c r="OZ13" s="232"/>
      <c r="PA13" s="232"/>
      <c r="PB13" s="232"/>
      <c r="PC13" s="232"/>
      <c r="PD13" s="232"/>
      <c r="PE13" s="232"/>
      <c r="PF13" s="232"/>
      <c r="PG13" s="232"/>
      <c r="PH13" s="232"/>
      <c r="PI13" s="232"/>
      <c r="PJ13" s="232"/>
      <c r="PK13" s="232"/>
      <c r="PL13" s="232"/>
      <c r="PM13" s="232"/>
      <c r="PN13" s="232"/>
      <c r="PO13" s="232"/>
      <c r="PP13" s="232"/>
      <c r="PQ13" s="232"/>
      <c r="PR13" s="232"/>
      <c r="PS13" s="232"/>
      <c r="PT13" s="232"/>
      <c r="PU13" s="232"/>
      <c r="PV13" s="232"/>
      <c r="PW13" s="232"/>
      <c r="PX13" s="232"/>
      <c r="PY13" s="232"/>
      <c r="PZ13" s="232"/>
      <c r="QA13" s="232"/>
      <c r="QB13" s="232"/>
      <c r="QC13" s="232"/>
      <c r="QD13" s="232"/>
      <c r="QE13" s="232"/>
      <c r="QF13" s="232"/>
      <c r="QG13" s="232"/>
      <c r="QH13" s="232"/>
      <c r="QI13" s="232"/>
      <c r="QJ13" s="232"/>
      <c r="QK13" s="232"/>
      <c r="QL13" s="232"/>
      <c r="QM13" s="232"/>
      <c r="QN13" s="232"/>
      <c r="QO13" s="232"/>
      <c r="QP13" s="232"/>
      <c r="QQ13" s="232"/>
      <c r="QR13" s="232"/>
      <c r="QS13" s="232"/>
      <c r="QT13" s="232"/>
      <c r="QU13" s="232"/>
      <c r="QV13" s="232"/>
      <c r="QW13" s="232"/>
      <c r="QX13" s="232"/>
      <c r="QY13" s="232"/>
      <c r="QZ13" s="232"/>
      <c r="RA13" s="232"/>
      <c r="RB13" s="232"/>
      <c r="RC13" s="232"/>
      <c r="RD13" s="232"/>
      <c r="RE13" s="232"/>
      <c r="RF13" s="232"/>
      <c r="RG13" s="232"/>
      <c r="RH13" s="232"/>
      <c r="RI13" s="232"/>
      <c r="RJ13" s="232"/>
      <c r="RK13" s="232"/>
      <c r="RL13" s="232"/>
      <c r="RM13" s="232"/>
      <c r="RN13" s="232"/>
      <c r="RO13" s="232"/>
      <c r="RP13" s="232"/>
      <c r="RQ13" s="232"/>
      <c r="RR13" s="232"/>
      <c r="RS13" s="232"/>
      <c r="RT13" s="232"/>
      <c r="RU13" s="232"/>
      <c r="RV13" s="232"/>
      <c r="RW13" s="232"/>
      <c r="RX13" s="232"/>
      <c r="RY13" s="232"/>
      <c r="RZ13" s="232"/>
      <c r="SA13" s="232"/>
      <c r="SB13" s="232"/>
      <c r="SC13" s="232"/>
      <c r="SD13" s="232"/>
      <c r="SE13" s="232"/>
      <c r="SF13" s="232"/>
      <c r="SG13" s="232"/>
      <c r="SH13" s="232"/>
      <c r="SI13" s="232"/>
      <c r="SJ13" s="232"/>
      <c r="SK13" s="232"/>
      <c r="SL13" s="232"/>
      <c r="SM13" s="232"/>
      <c r="SN13" s="232"/>
      <c r="SO13" s="232"/>
      <c r="SP13" s="232"/>
      <c r="SQ13" s="232"/>
      <c r="SR13" s="232"/>
      <c r="SS13" s="232"/>
      <c r="ST13" s="232"/>
      <c r="SU13" s="232"/>
      <c r="SV13" s="232"/>
      <c r="SW13" s="232"/>
      <c r="SX13" s="232"/>
      <c r="SY13" s="232"/>
      <c r="SZ13" s="232"/>
      <c r="TA13" s="232"/>
      <c r="TB13" s="232"/>
      <c r="TC13" s="232"/>
      <c r="TD13" s="232"/>
      <c r="TE13" s="232"/>
      <c r="TF13" s="232"/>
      <c r="TG13" s="232"/>
      <c r="TH13" s="232"/>
      <c r="TI13" s="232"/>
      <c r="TJ13" s="232"/>
      <c r="TK13" s="232"/>
      <c r="TL13" s="232"/>
      <c r="TM13" s="232"/>
      <c r="TN13" s="232"/>
      <c r="TO13" s="232"/>
      <c r="TP13" s="232"/>
      <c r="TQ13" s="232"/>
      <c r="TR13" s="232"/>
      <c r="TS13" s="232"/>
      <c r="TT13" s="232"/>
      <c r="TU13" s="232"/>
      <c r="TV13" s="232"/>
      <c r="TW13" s="232"/>
      <c r="TX13" s="232"/>
      <c r="TY13" s="232"/>
      <c r="TZ13" s="232"/>
      <c r="UA13" s="232"/>
      <c r="UB13" s="232"/>
      <c r="UC13" s="232"/>
      <c r="UD13" s="232"/>
      <c r="UE13" s="232"/>
      <c r="UF13" s="232"/>
      <c r="UG13" s="232"/>
      <c r="UH13" s="232"/>
      <c r="UI13" s="232"/>
      <c r="UJ13" s="232"/>
      <c r="UK13" s="232"/>
      <c r="UL13" s="232"/>
      <c r="UM13" s="232"/>
      <c r="UN13" s="232"/>
      <c r="UO13" s="232"/>
      <c r="UP13" s="232"/>
      <c r="UQ13" s="232"/>
      <c r="UR13" s="232"/>
      <c r="US13" s="232"/>
      <c r="UT13" s="232"/>
      <c r="UU13" s="232"/>
      <c r="UV13" s="232"/>
      <c r="UW13" s="232"/>
      <c r="UX13" s="232"/>
      <c r="UY13" s="232"/>
      <c r="UZ13" s="232"/>
      <c r="VA13" s="232"/>
      <c r="VB13" s="232"/>
      <c r="VC13" s="232"/>
      <c r="VD13" s="232"/>
      <c r="VE13" s="232"/>
      <c r="VF13" s="232"/>
      <c r="VG13" s="232"/>
      <c r="VH13" s="232"/>
      <c r="VI13" s="232"/>
      <c r="VJ13" s="232"/>
      <c r="VK13" s="232"/>
      <c r="VL13" s="232"/>
      <c r="VM13" s="232"/>
      <c r="VN13" s="232"/>
      <c r="VO13" s="232"/>
      <c r="VP13" s="232"/>
      <c r="VQ13" s="232"/>
      <c r="VR13" s="232"/>
      <c r="VS13" s="232"/>
      <c r="VT13" s="232"/>
      <c r="VU13" s="232"/>
      <c r="VV13" s="232"/>
      <c r="VW13" s="232"/>
      <c r="VX13" s="232"/>
      <c r="VY13" s="232"/>
      <c r="VZ13" s="232"/>
      <c r="WA13" s="232"/>
      <c r="WB13" s="232"/>
      <c r="WC13" s="232"/>
      <c r="WD13" s="232"/>
      <c r="WE13" s="232"/>
      <c r="WF13" s="232"/>
      <c r="WG13" s="232"/>
      <c r="WH13" s="232"/>
      <c r="WI13" s="232"/>
      <c r="WJ13" s="232"/>
      <c r="WK13" s="232"/>
      <c r="WL13" s="232"/>
      <c r="WM13" s="232"/>
      <c r="WN13" s="232"/>
      <c r="WO13" s="232"/>
      <c r="WP13" s="232"/>
      <c r="WQ13" s="232"/>
      <c r="WR13" s="232"/>
      <c r="WS13" s="232"/>
      <c r="WT13" s="232"/>
      <c r="WU13" s="232"/>
      <c r="WV13" s="232"/>
      <c r="WW13" s="232"/>
      <c r="WX13" s="232"/>
      <c r="WY13" s="232"/>
      <c r="WZ13" s="232"/>
      <c r="XA13" s="232"/>
      <c r="XB13" s="232"/>
      <c r="XC13" s="232"/>
      <c r="XD13" s="232"/>
      <c r="XE13" s="232"/>
      <c r="XF13" s="232"/>
      <c r="XG13" s="232"/>
      <c r="XH13" s="232"/>
      <c r="XI13" s="232"/>
      <c r="XJ13" s="232"/>
      <c r="XK13" s="232"/>
      <c r="XL13" s="232"/>
      <c r="XM13" s="232"/>
      <c r="XN13" s="232"/>
      <c r="XO13" s="232"/>
      <c r="XP13" s="232"/>
      <c r="XQ13" s="232"/>
      <c r="XR13" s="232"/>
      <c r="XS13" s="232"/>
      <c r="XT13" s="232"/>
      <c r="XU13" s="232"/>
      <c r="XV13" s="232"/>
      <c r="XW13" s="232"/>
      <c r="XX13" s="232"/>
      <c r="XY13" s="232"/>
      <c r="XZ13" s="232"/>
      <c r="YA13" s="232"/>
      <c r="YB13" s="232"/>
      <c r="YC13" s="232"/>
      <c r="YD13" s="232"/>
      <c r="YE13" s="232"/>
      <c r="YF13" s="232"/>
      <c r="YG13" s="232"/>
      <c r="YH13" s="232"/>
      <c r="YI13" s="232"/>
      <c r="YJ13" s="232"/>
      <c r="YK13" s="232"/>
      <c r="YL13" s="232"/>
      <c r="YM13" s="232"/>
      <c r="YN13" s="232"/>
      <c r="YO13" s="232"/>
      <c r="YP13" s="232"/>
      <c r="YQ13" s="232"/>
      <c r="YR13" s="232"/>
      <c r="YS13" s="232"/>
      <c r="YT13" s="232"/>
      <c r="YU13" s="232"/>
      <c r="YV13" s="232"/>
      <c r="YW13" s="232"/>
      <c r="YX13" s="232"/>
      <c r="YY13" s="232"/>
      <c r="YZ13" s="232"/>
      <c r="ZA13" s="232"/>
      <c r="ZB13" s="232"/>
      <c r="ZC13" s="232"/>
      <c r="ZD13" s="232"/>
      <c r="ZE13" s="232"/>
      <c r="ZF13" s="232"/>
      <c r="ZG13" s="232"/>
      <c r="ZH13" s="232"/>
      <c r="ZI13" s="232"/>
      <c r="ZJ13" s="232"/>
      <c r="ZK13" s="232"/>
      <c r="ZL13" s="232"/>
      <c r="ZM13" s="232"/>
      <c r="ZN13" s="232"/>
      <c r="ZO13" s="232"/>
      <c r="ZP13" s="232"/>
      <c r="ZQ13" s="232"/>
      <c r="ZR13" s="232"/>
      <c r="ZS13" s="232"/>
      <c r="ZT13" s="232"/>
      <c r="ZU13" s="232"/>
      <c r="ZV13" s="232"/>
      <c r="ZW13" s="232"/>
      <c r="ZX13" s="232"/>
      <c r="ZY13" s="232"/>
      <c r="ZZ13" s="232"/>
      <c r="AAA13" s="232"/>
      <c r="AAB13" s="232"/>
      <c r="AAC13" s="232"/>
      <c r="AAD13" s="232"/>
      <c r="AAE13" s="232"/>
      <c r="AAF13" s="232"/>
      <c r="AAG13" s="232"/>
      <c r="AAH13" s="232"/>
      <c r="AAI13" s="232"/>
      <c r="AAJ13" s="232"/>
      <c r="AAK13" s="232"/>
      <c r="AAL13" s="232"/>
      <c r="AAM13" s="232"/>
      <c r="AAN13" s="232"/>
      <c r="AAO13" s="232"/>
      <c r="AAP13" s="232"/>
      <c r="AAQ13" s="232"/>
      <c r="AAR13" s="232"/>
      <c r="AAS13" s="232"/>
      <c r="AAT13" s="232"/>
      <c r="AAU13" s="232"/>
      <c r="AAV13" s="232"/>
      <c r="AAW13" s="232"/>
      <c r="AAX13" s="232"/>
      <c r="AAY13" s="232"/>
      <c r="AAZ13" s="232"/>
      <c r="ABA13" s="232"/>
      <c r="ABB13" s="232"/>
      <c r="ABC13" s="232"/>
      <c r="ABD13" s="232"/>
      <c r="ABE13" s="232"/>
      <c r="ABF13" s="232"/>
      <c r="ABG13" s="232"/>
      <c r="ABH13" s="232"/>
      <c r="ABI13" s="232"/>
      <c r="ABJ13" s="232"/>
      <c r="ABK13" s="232"/>
      <c r="ABL13" s="232"/>
      <c r="ABM13" s="232"/>
      <c r="ABN13" s="232"/>
      <c r="ABO13" s="232"/>
      <c r="ABP13" s="232"/>
      <c r="ABQ13" s="232"/>
      <c r="ABR13" s="232"/>
      <c r="ABS13" s="232"/>
      <c r="ABT13" s="232"/>
      <c r="ABU13" s="232"/>
      <c r="ABV13" s="232"/>
      <c r="ABW13" s="232"/>
      <c r="ABX13" s="232"/>
      <c r="ABY13" s="232"/>
      <c r="ABZ13" s="232"/>
      <c r="ACA13" s="232"/>
      <c r="ACB13" s="232"/>
      <c r="ACC13" s="232"/>
      <c r="ACD13" s="232"/>
      <c r="ACE13" s="232"/>
      <c r="ACF13" s="232"/>
      <c r="ACG13" s="232"/>
      <c r="ACH13" s="232"/>
      <c r="ACI13" s="232"/>
      <c r="ACJ13" s="232"/>
      <c r="ACK13" s="232"/>
      <c r="ACL13" s="232"/>
      <c r="ACM13" s="232"/>
      <c r="ACN13" s="232"/>
      <c r="ACO13" s="232"/>
      <c r="ACP13" s="232"/>
      <c r="ACQ13" s="232"/>
      <c r="ACR13" s="232"/>
      <c r="ACS13" s="232"/>
      <c r="ACT13" s="232"/>
      <c r="ACU13" s="232"/>
      <c r="ACV13" s="232"/>
      <c r="ACW13" s="232"/>
      <c r="ACX13" s="232"/>
      <c r="ACY13" s="232"/>
      <c r="ACZ13" s="232"/>
      <c r="ADA13" s="232"/>
      <c r="ADB13" s="232"/>
      <c r="ADC13" s="232"/>
      <c r="ADD13" s="232"/>
      <c r="ADE13" s="232"/>
      <c r="ADF13" s="232"/>
      <c r="ADG13" s="232"/>
      <c r="ADH13" s="232"/>
      <c r="ADI13" s="232"/>
      <c r="ADJ13" s="232"/>
      <c r="ADK13" s="232"/>
      <c r="ADL13" s="232"/>
      <c r="ADM13" s="232"/>
      <c r="ADN13" s="232"/>
      <c r="ADO13" s="232"/>
      <c r="ADP13" s="232"/>
      <c r="ADQ13" s="232"/>
      <c r="ADR13" s="232"/>
      <c r="ADS13" s="232"/>
      <c r="ADT13" s="232"/>
      <c r="ADU13" s="232"/>
      <c r="ADV13" s="232"/>
      <c r="ADW13" s="232"/>
      <c r="ADX13" s="232"/>
      <c r="ADY13" s="232"/>
      <c r="ADZ13" s="232"/>
      <c r="AEA13" s="232"/>
      <c r="AEB13" s="232"/>
      <c r="AEC13" s="232"/>
      <c r="AED13" s="232"/>
      <c r="AEE13" s="232"/>
      <c r="AEF13" s="232"/>
      <c r="AEG13" s="232"/>
      <c r="AEH13" s="232"/>
      <c r="AEI13" s="232"/>
      <c r="AEJ13" s="232"/>
      <c r="AEK13" s="232"/>
      <c r="AEL13" s="232"/>
      <c r="AEM13" s="232"/>
      <c r="AEN13" s="232"/>
      <c r="AEO13" s="232"/>
      <c r="AEP13" s="232"/>
      <c r="AEQ13" s="232"/>
      <c r="AER13" s="232"/>
      <c r="AES13" s="232"/>
      <c r="AET13" s="232"/>
      <c r="AEU13" s="232"/>
      <c r="AEV13" s="232"/>
      <c r="AEW13" s="232"/>
      <c r="AEX13" s="232"/>
      <c r="AEY13" s="232"/>
      <c r="AEZ13" s="232"/>
      <c r="AFA13" s="232"/>
      <c r="AFB13" s="232"/>
      <c r="AFC13" s="232"/>
      <c r="AFD13" s="232"/>
      <c r="AFE13" s="232"/>
      <c r="AFF13" s="232"/>
      <c r="AFG13" s="232"/>
      <c r="AFH13" s="232"/>
      <c r="AFI13" s="232"/>
      <c r="AFJ13" s="232"/>
      <c r="AFK13" s="232"/>
      <c r="AFL13" s="232"/>
      <c r="AFM13" s="232"/>
      <c r="AFN13" s="232"/>
      <c r="AFO13" s="232"/>
      <c r="AFP13" s="232"/>
      <c r="AFQ13" s="232"/>
      <c r="AFR13" s="232"/>
      <c r="AFS13" s="232"/>
      <c r="AFT13" s="232"/>
      <c r="AFU13" s="232"/>
      <c r="AFV13" s="232"/>
      <c r="AFW13" s="232"/>
      <c r="AFX13" s="232"/>
      <c r="AFY13" s="232"/>
      <c r="AFZ13" s="232"/>
      <c r="AGA13" s="232"/>
      <c r="AGB13" s="232"/>
      <c r="AGC13" s="232"/>
      <c r="AGD13" s="232"/>
      <c r="AGE13" s="232"/>
      <c r="AGF13" s="232"/>
      <c r="AGG13" s="232"/>
      <c r="AGH13" s="232"/>
      <c r="AGI13" s="232"/>
      <c r="AGJ13" s="232"/>
      <c r="AGK13" s="232"/>
      <c r="AGL13" s="232"/>
      <c r="AGM13" s="232"/>
      <c r="AGN13" s="232"/>
      <c r="AGO13" s="232"/>
      <c r="AGP13" s="232"/>
      <c r="AGQ13" s="232"/>
      <c r="AGR13" s="232"/>
      <c r="AGS13" s="232"/>
      <c r="AGT13" s="232"/>
      <c r="AGU13" s="232"/>
      <c r="AGV13" s="232"/>
      <c r="AGW13" s="232"/>
      <c r="AGX13" s="232"/>
      <c r="AGY13" s="232"/>
      <c r="AGZ13" s="232"/>
      <c r="AHA13" s="232"/>
      <c r="AHB13" s="232"/>
      <c r="AHC13" s="232"/>
      <c r="AHD13" s="232"/>
      <c r="AHE13" s="232"/>
      <c r="AHF13" s="232"/>
      <c r="AHG13" s="232"/>
      <c r="AHH13" s="232"/>
      <c r="AHI13" s="232"/>
      <c r="AHJ13" s="232"/>
      <c r="AHK13" s="232"/>
      <c r="AHL13" s="232"/>
      <c r="AHM13" s="232"/>
      <c r="AHN13" s="232"/>
      <c r="AHO13" s="232"/>
      <c r="AHP13" s="232"/>
      <c r="AHQ13" s="232"/>
      <c r="AHR13" s="232"/>
      <c r="AHS13" s="232"/>
      <c r="AHT13" s="232"/>
      <c r="AHU13" s="232"/>
      <c r="AHV13" s="232"/>
      <c r="AHW13" s="232"/>
      <c r="AHX13" s="232"/>
      <c r="AHY13" s="232"/>
      <c r="AHZ13" s="232"/>
      <c r="AIA13" s="232"/>
      <c r="AIB13" s="232"/>
      <c r="AIC13" s="232"/>
      <c r="AID13" s="232"/>
      <c r="AIE13" s="232"/>
      <c r="AIF13" s="232"/>
      <c r="AIG13" s="232"/>
      <c r="AIH13" s="232"/>
      <c r="AII13" s="232"/>
      <c r="AIJ13" s="232"/>
      <c r="AIK13" s="232"/>
      <c r="AIL13" s="232"/>
      <c r="AIM13" s="232"/>
      <c r="AIN13" s="232"/>
      <c r="AIO13" s="232"/>
      <c r="AIP13" s="232"/>
      <c r="AIQ13" s="232"/>
      <c r="AIR13" s="232"/>
      <c r="AIS13" s="232"/>
      <c r="AIT13" s="232"/>
      <c r="AIU13" s="232"/>
      <c r="AIV13" s="232"/>
      <c r="AIW13" s="232"/>
      <c r="AIX13" s="232"/>
      <c r="AIY13" s="232"/>
      <c r="AIZ13" s="232"/>
      <c r="AJA13" s="232"/>
      <c r="AJB13" s="232"/>
      <c r="AJC13" s="232"/>
      <c r="AJD13" s="232"/>
      <c r="AJE13" s="232"/>
      <c r="AJF13" s="232"/>
      <c r="AJG13" s="232"/>
      <c r="AJH13" s="232"/>
      <c r="AJI13" s="232"/>
      <c r="AJJ13" s="232"/>
      <c r="AJK13" s="232"/>
      <c r="AJL13" s="232"/>
      <c r="AJM13" s="232"/>
      <c r="AJN13" s="232"/>
      <c r="AJO13" s="232"/>
      <c r="AJP13" s="232"/>
      <c r="AJQ13" s="232"/>
      <c r="AJR13" s="232"/>
      <c r="AJS13" s="232"/>
      <c r="AJT13" s="232"/>
      <c r="AJU13" s="232"/>
      <c r="AJV13" s="232"/>
      <c r="AJW13" s="232"/>
      <c r="AJX13" s="232"/>
      <c r="AJY13" s="232"/>
      <c r="AJZ13" s="232"/>
      <c r="AKA13" s="232"/>
      <c r="AKB13" s="232"/>
      <c r="AKC13" s="232"/>
      <c r="AKD13" s="232"/>
      <c r="AKE13" s="232"/>
      <c r="AKF13" s="232"/>
      <c r="AKG13" s="232"/>
      <c r="AKH13" s="232"/>
      <c r="AKI13" s="232"/>
      <c r="AKJ13" s="232"/>
      <c r="AKK13" s="232"/>
      <c r="AKL13" s="232"/>
      <c r="AKM13" s="232"/>
      <c r="AKN13" s="232"/>
      <c r="AKO13" s="232"/>
      <c r="AKP13" s="232"/>
      <c r="AKQ13" s="232"/>
      <c r="AKR13" s="232"/>
      <c r="AKS13" s="232"/>
      <c r="AKT13" s="232"/>
      <c r="AKU13" s="232"/>
      <c r="AKV13" s="232"/>
      <c r="AKW13" s="232"/>
      <c r="AKX13" s="232"/>
      <c r="AKY13" s="232"/>
      <c r="AKZ13" s="232"/>
      <c r="ALA13" s="232"/>
      <c r="ALB13" s="232"/>
      <c r="ALC13" s="232"/>
      <c r="ALD13" s="232"/>
      <c r="ALE13" s="232"/>
      <c r="ALF13" s="232"/>
      <c r="ALG13" s="232"/>
      <c r="ALH13" s="232"/>
      <c r="ALI13" s="232"/>
      <c r="ALJ13" s="232"/>
      <c r="ALK13" s="232"/>
      <c r="ALL13" s="232"/>
      <c r="ALM13" s="232"/>
      <c r="ALN13" s="232"/>
      <c r="ALO13" s="232"/>
      <c r="ALP13" s="232"/>
      <c r="ALQ13" s="232"/>
      <c r="ALR13" s="232"/>
      <c r="ALS13" s="232"/>
      <c r="ALT13" s="232"/>
      <c r="ALU13" s="232"/>
      <c r="ALV13" s="232"/>
      <c r="ALW13" s="232"/>
      <c r="ALX13" s="232"/>
      <c r="ALY13" s="232"/>
      <c r="ALZ13" s="232"/>
      <c r="AMA13" s="232"/>
      <c r="AMB13" s="232"/>
      <c r="AMC13" s="232"/>
      <c r="AMD13" s="232"/>
      <c r="AME13" s="232"/>
      <c r="AMF13" s="232"/>
      <c r="AMG13" s="232"/>
      <c r="AMH13" s="232"/>
      <c r="AMI13" s="232"/>
      <c r="AMJ13" s="232"/>
      <c r="AMK13" s="232"/>
      <c r="AML13" s="232"/>
      <c r="AMM13" s="232"/>
      <c r="AMN13" s="232"/>
      <c r="AMO13" s="232"/>
      <c r="AMP13" s="232"/>
      <c r="AMQ13" s="232"/>
      <c r="AMR13" s="232"/>
      <c r="AMS13" s="232"/>
      <c r="AMT13" s="232"/>
      <c r="AMU13" s="232"/>
      <c r="AMV13" s="232"/>
      <c r="AMW13" s="232"/>
      <c r="AMX13" s="232"/>
      <c r="AMY13" s="232"/>
      <c r="AMZ13" s="232"/>
      <c r="ANA13" s="232"/>
      <c r="ANB13" s="232"/>
      <c r="ANC13" s="232"/>
      <c r="AND13" s="232"/>
      <c r="ANE13" s="232"/>
      <c r="ANF13" s="232"/>
      <c r="ANG13" s="232"/>
      <c r="ANH13" s="232"/>
      <c r="ANI13" s="232"/>
      <c r="ANJ13" s="232"/>
      <c r="ANK13" s="232"/>
      <c r="ANL13" s="232"/>
      <c r="ANM13" s="232"/>
      <c r="ANN13" s="232"/>
      <c r="ANO13" s="232"/>
      <c r="ANP13" s="232"/>
      <c r="ANQ13" s="232"/>
      <c r="ANR13" s="232"/>
      <c r="ANS13" s="232"/>
      <c r="ANT13" s="232"/>
      <c r="ANU13" s="232"/>
      <c r="ANV13" s="232"/>
      <c r="ANW13" s="232"/>
      <c r="ANX13" s="232"/>
      <c r="ANY13" s="232"/>
      <c r="ANZ13" s="232"/>
      <c r="AOA13" s="232"/>
      <c r="AOB13" s="232"/>
      <c r="AOC13" s="232"/>
      <c r="AOD13" s="232"/>
      <c r="AOE13" s="232"/>
      <c r="AOF13" s="232"/>
      <c r="AOG13" s="232"/>
    </row>
    <row r="14" spans="1:1073">
      <c r="A14" s="2127"/>
      <c r="B14" s="233">
        <v>6</v>
      </c>
      <c r="C14" s="224"/>
      <c r="D14" s="225"/>
      <c r="E14" s="226"/>
      <c r="F14" s="226"/>
      <c r="G14" s="227" t="str">
        <f>IF(C14="","",IF(Tabelle1[[#This Row],[End Date]]&lt;COV!$E$12,0,IF(COV!E$12="","",IF(Tabelle1[[#This Row],[End Date]]-Tabelle1[[#This Row],[Start Date]]&gt;0,IF(F14&lt;COV!E$11,(F14-IF(E14&lt;COV!E$12,COV!E$12,Tabelle1[[#This Row],[Start Date]])),(COV!E$11-IF(E14&lt;COV!E$12,COV!E$12,Tabelle1[[#This Row],[Start Date]])))/365*12,""))))</f>
        <v/>
      </c>
      <c r="H14" s="225"/>
      <c r="I14" s="234"/>
      <c r="J14" s="229"/>
      <c r="K14" s="1325" t="str">
        <f>IF(Tabelle1[[#This Row],[Project Name]]="","",IF(OR(Tabelle1[[#This Row],[PM Category]]=CAT_A_NAME,Tabelle1[[#This Row],[PM Category]]=CAT_B_NAME,Tabelle1[[#This Row],[PM Category]]=CAT_C_NAME,Tabelle1[[#This Row],[PM Category]]=CAT_D_NAME,Tabelle1[[#This Row],[PM Category]]=CAT_E_NAME,Tabelle1[[#This Row],[PM Category]]=CAT_SPJ,Tabelle1[[#This Row],[PM Category]]=CAT_PJ,Tabelle1[[#This Row],[PM Category]]=""),"","1"))</f>
        <v/>
      </c>
      <c r="L14" s="1326">
        <f>IF(Tabelle1[[#This Row],[Role]]="PJM",1)+IF(Tabelle1[[#This Row],[Role]]="PGM",1)+IF(Tabelle1[[#This Row],[Role]]="PFM",1)+IF(Tabelle1[[#This Row],[Role]]="TPM",1)+IF(Tabelle1[[#This Row],[Role]]="CPM",1)</f>
        <v>0</v>
      </c>
      <c r="M14" s="230" t="str">
        <f>IFERROR(IF(Tabelle1[[#This Row],[Project Name]]&lt;&gt;"",IF(G14*I14&gt;0,G14,""),"")*Tabelle1[[#This Row],[Role Check]],"")</f>
        <v/>
      </c>
      <c r="N14" s="231" t="str">
        <f>IFERROR(Tabelle1[[#This Row],[Duration '[months']]]*Tabelle1[[#This Row],[Avg. time spent in resp. Role]],"")</f>
        <v/>
      </c>
      <c r="O14" s="221"/>
      <c r="S14" s="208" t="str">
        <f>IF(Tabelle1[[#This Row],[Project Name]]&lt;&gt;"",Tabelle1[[#This Row],[Project Name]],"")</f>
        <v/>
      </c>
      <c r="T14" s="232">
        <f t="shared" si="12"/>
        <v>0</v>
      </c>
      <c r="U14" s="545" t="e">
        <f t="shared" si="12"/>
        <v>#VALUE!</v>
      </c>
      <c r="V14" s="545" t="e">
        <f t="shared" si="13"/>
        <v>#VALUE!</v>
      </c>
      <c r="W14" s="232" t="e">
        <f t="shared" si="13"/>
        <v>#VALUE!</v>
      </c>
      <c r="X14" s="232" t="e">
        <f t="shared" si="13"/>
        <v>#VALUE!</v>
      </c>
      <c r="Y14" s="232" t="e">
        <f t="shared" si="13"/>
        <v>#VALUE!</v>
      </c>
      <c r="Z14" s="232" t="e">
        <f t="shared" si="13"/>
        <v>#VALUE!</v>
      </c>
      <c r="AA14" s="232" t="e">
        <f t="shared" si="13"/>
        <v>#VALUE!</v>
      </c>
      <c r="AB14" s="232" t="e">
        <f t="shared" si="13"/>
        <v>#VALUE!</v>
      </c>
      <c r="AC14" s="232" t="e">
        <f t="shared" si="13"/>
        <v>#VALUE!</v>
      </c>
      <c r="AD14" s="232" t="e">
        <f t="shared" si="13"/>
        <v>#VALUE!</v>
      </c>
      <c r="AE14" s="232" t="e">
        <f t="shared" si="13"/>
        <v>#VALUE!</v>
      </c>
      <c r="AF14" s="232" t="e">
        <f t="shared" si="14"/>
        <v>#VALUE!</v>
      </c>
      <c r="AG14" s="232" t="e">
        <f t="shared" si="14"/>
        <v>#VALUE!</v>
      </c>
      <c r="AH14" s="232" t="e">
        <f t="shared" si="14"/>
        <v>#VALUE!</v>
      </c>
      <c r="AI14" s="232" t="e">
        <f t="shared" si="14"/>
        <v>#VALUE!</v>
      </c>
      <c r="AJ14" s="232" t="e">
        <f t="shared" si="14"/>
        <v>#VALUE!</v>
      </c>
      <c r="AK14" s="232" t="e">
        <f t="shared" si="14"/>
        <v>#VALUE!</v>
      </c>
      <c r="AL14" s="232" t="e">
        <f t="shared" si="14"/>
        <v>#VALUE!</v>
      </c>
      <c r="AM14" s="232" t="e">
        <f t="shared" si="14"/>
        <v>#VALUE!</v>
      </c>
      <c r="AN14" s="232" t="e">
        <f t="shared" si="14"/>
        <v>#VALUE!</v>
      </c>
      <c r="AO14" s="232" t="e">
        <f t="shared" si="14"/>
        <v>#VALUE!</v>
      </c>
      <c r="AP14" s="232" t="e">
        <f t="shared" si="15"/>
        <v>#VALUE!</v>
      </c>
      <c r="AQ14" s="232" t="e">
        <f t="shared" si="15"/>
        <v>#VALUE!</v>
      </c>
      <c r="AR14" s="232" t="e">
        <f t="shared" si="15"/>
        <v>#VALUE!</v>
      </c>
      <c r="AS14" s="232" t="e">
        <f t="shared" si="15"/>
        <v>#VALUE!</v>
      </c>
      <c r="AT14" s="232" t="e">
        <f t="shared" si="15"/>
        <v>#VALUE!</v>
      </c>
      <c r="AU14" s="232" t="e">
        <f t="shared" si="15"/>
        <v>#VALUE!</v>
      </c>
      <c r="AV14" s="232" t="e">
        <f t="shared" si="15"/>
        <v>#VALUE!</v>
      </c>
      <c r="AW14" s="232" t="e">
        <f t="shared" si="15"/>
        <v>#VALUE!</v>
      </c>
      <c r="AX14" s="232" t="e">
        <f t="shared" si="15"/>
        <v>#VALUE!</v>
      </c>
      <c r="AY14" s="232" t="e">
        <f t="shared" si="15"/>
        <v>#VALUE!</v>
      </c>
      <c r="AZ14" s="232" t="e">
        <f t="shared" si="16"/>
        <v>#VALUE!</v>
      </c>
      <c r="BA14" s="232" t="e">
        <f t="shared" si="16"/>
        <v>#VALUE!</v>
      </c>
      <c r="BB14" s="232" t="e">
        <f t="shared" si="16"/>
        <v>#VALUE!</v>
      </c>
      <c r="BC14" s="232" t="e">
        <f t="shared" si="16"/>
        <v>#VALUE!</v>
      </c>
      <c r="BD14" s="232" t="e">
        <f t="shared" si="16"/>
        <v>#VALUE!</v>
      </c>
      <c r="BE14" s="232" t="e">
        <f t="shared" si="16"/>
        <v>#VALUE!</v>
      </c>
      <c r="BF14" s="232" t="e">
        <f t="shared" si="16"/>
        <v>#VALUE!</v>
      </c>
      <c r="BG14" s="232" t="e">
        <f t="shared" si="16"/>
        <v>#VALUE!</v>
      </c>
      <c r="BH14" s="232" t="e">
        <f t="shared" si="16"/>
        <v>#VALUE!</v>
      </c>
      <c r="BI14" s="232" t="e">
        <f t="shared" si="16"/>
        <v>#VALUE!</v>
      </c>
      <c r="BJ14" s="232" t="e">
        <f t="shared" si="17"/>
        <v>#VALUE!</v>
      </c>
      <c r="BK14" s="232" t="e">
        <f t="shared" si="17"/>
        <v>#VALUE!</v>
      </c>
      <c r="BL14" s="232" t="e">
        <f t="shared" si="17"/>
        <v>#VALUE!</v>
      </c>
      <c r="BM14" s="232" t="e">
        <f t="shared" si="17"/>
        <v>#VALUE!</v>
      </c>
      <c r="BN14" s="232" t="e">
        <f t="shared" si="17"/>
        <v>#VALUE!</v>
      </c>
      <c r="BO14" s="232" t="e">
        <f t="shared" si="17"/>
        <v>#VALUE!</v>
      </c>
      <c r="BP14" s="232" t="e">
        <f t="shared" si="17"/>
        <v>#VALUE!</v>
      </c>
      <c r="BQ14" s="232" t="e">
        <f t="shared" si="17"/>
        <v>#VALUE!</v>
      </c>
      <c r="BR14" s="232" t="e">
        <f t="shared" si="17"/>
        <v>#VALUE!</v>
      </c>
      <c r="BS14" s="232" t="e">
        <f t="shared" si="17"/>
        <v>#VALUE!</v>
      </c>
      <c r="BT14" s="232" t="e">
        <f t="shared" si="18"/>
        <v>#VALUE!</v>
      </c>
      <c r="BU14" s="232" t="e">
        <f t="shared" si="18"/>
        <v>#VALUE!</v>
      </c>
      <c r="BV14" s="232" t="e">
        <f t="shared" si="18"/>
        <v>#VALUE!</v>
      </c>
      <c r="BW14" s="232" t="e">
        <f t="shared" si="18"/>
        <v>#VALUE!</v>
      </c>
      <c r="BX14" s="232" t="e">
        <f t="shared" si="18"/>
        <v>#VALUE!</v>
      </c>
      <c r="BY14" s="232" t="e">
        <f t="shared" si="18"/>
        <v>#VALUE!</v>
      </c>
      <c r="BZ14" s="232" t="e">
        <f t="shared" si="18"/>
        <v>#VALUE!</v>
      </c>
      <c r="CA14" s="232" t="e">
        <f t="shared" si="18"/>
        <v>#VALUE!</v>
      </c>
      <c r="CB14" s="232" t="e">
        <f t="shared" si="18"/>
        <v>#VALUE!</v>
      </c>
      <c r="CC14" s="232" t="e">
        <f t="shared" si="18"/>
        <v>#VALUE!</v>
      </c>
      <c r="CD14" s="232" t="e">
        <f t="shared" si="19"/>
        <v>#VALUE!</v>
      </c>
      <c r="CE14" s="232" t="e">
        <f t="shared" si="19"/>
        <v>#VALUE!</v>
      </c>
      <c r="CF14" s="232" t="e">
        <f t="shared" si="19"/>
        <v>#VALUE!</v>
      </c>
      <c r="CG14" s="232" t="e">
        <f t="shared" si="19"/>
        <v>#VALUE!</v>
      </c>
      <c r="CH14" s="232" t="e">
        <f t="shared" si="19"/>
        <v>#VALUE!</v>
      </c>
      <c r="CI14" s="232" t="e">
        <f t="shared" si="19"/>
        <v>#VALUE!</v>
      </c>
      <c r="CJ14" s="232" t="e">
        <f t="shared" si="19"/>
        <v>#VALUE!</v>
      </c>
      <c r="CK14" s="232" t="e">
        <f t="shared" si="19"/>
        <v>#VALUE!</v>
      </c>
      <c r="CL14" s="232" t="e">
        <f t="shared" si="19"/>
        <v>#VALUE!</v>
      </c>
      <c r="CM14" s="232" t="e">
        <f t="shared" si="19"/>
        <v>#VALUE!</v>
      </c>
      <c r="CN14" s="232" t="e">
        <f t="shared" si="20"/>
        <v>#VALUE!</v>
      </c>
      <c r="CO14" s="232" t="e">
        <f t="shared" si="20"/>
        <v>#VALUE!</v>
      </c>
      <c r="CP14" s="232" t="e">
        <f t="shared" si="20"/>
        <v>#VALUE!</v>
      </c>
      <c r="CQ14" s="232" t="e">
        <f t="shared" si="20"/>
        <v>#VALUE!</v>
      </c>
      <c r="CR14" s="232" t="e">
        <f t="shared" si="20"/>
        <v>#VALUE!</v>
      </c>
      <c r="CS14" s="232" t="e">
        <f t="shared" si="20"/>
        <v>#VALUE!</v>
      </c>
      <c r="CT14" s="232" t="e">
        <f t="shared" si="20"/>
        <v>#VALUE!</v>
      </c>
      <c r="CU14" s="232" t="e">
        <f t="shared" si="20"/>
        <v>#VALUE!</v>
      </c>
      <c r="CV14" s="232" t="e">
        <f t="shared" si="20"/>
        <v>#VALUE!</v>
      </c>
      <c r="CW14" s="232" t="e">
        <f t="shared" si="20"/>
        <v>#VALUE!</v>
      </c>
      <c r="CX14" s="232" t="e">
        <f t="shared" si="21"/>
        <v>#VALUE!</v>
      </c>
      <c r="CY14" s="232" t="e">
        <f t="shared" si="21"/>
        <v>#VALUE!</v>
      </c>
      <c r="CZ14" s="232" t="e">
        <f t="shared" si="21"/>
        <v>#VALUE!</v>
      </c>
      <c r="DA14" s="232" t="e">
        <f t="shared" si="21"/>
        <v>#VALUE!</v>
      </c>
      <c r="DB14" s="232" t="e">
        <f t="shared" si="21"/>
        <v>#VALUE!</v>
      </c>
      <c r="DC14" s="232" t="e">
        <f t="shared" si="21"/>
        <v>#VALUE!</v>
      </c>
      <c r="DD14" s="232" t="e">
        <f t="shared" si="21"/>
        <v>#VALUE!</v>
      </c>
      <c r="DE14" s="232" t="e">
        <f t="shared" si="21"/>
        <v>#VALUE!</v>
      </c>
      <c r="DF14" s="232" t="e">
        <f t="shared" si="21"/>
        <v>#VALUE!</v>
      </c>
      <c r="DG14" s="232" t="e">
        <f t="shared" si="21"/>
        <v>#VALUE!</v>
      </c>
      <c r="DH14" s="232" t="e">
        <f t="shared" si="22"/>
        <v>#VALUE!</v>
      </c>
      <c r="DI14" s="232" t="e">
        <f t="shared" si="22"/>
        <v>#VALUE!</v>
      </c>
      <c r="DJ14" s="232" t="e">
        <f t="shared" si="22"/>
        <v>#VALUE!</v>
      </c>
      <c r="DK14" s="232" t="e">
        <f t="shared" si="22"/>
        <v>#VALUE!</v>
      </c>
      <c r="DL14" s="232" t="e">
        <f t="shared" si="22"/>
        <v>#VALUE!</v>
      </c>
      <c r="DM14" s="232" t="e">
        <f t="shared" si="22"/>
        <v>#VALUE!</v>
      </c>
      <c r="DN14" s="232" t="e">
        <f t="shared" si="22"/>
        <v>#VALUE!</v>
      </c>
      <c r="DO14" s="232" t="e">
        <f t="shared" si="22"/>
        <v>#VALUE!</v>
      </c>
      <c r="DP14" s="232" t="e">
        <f t="shared" si="22"/>
        <v>#VALUE!</v>
      </c>
      <c r="DQ14" s="232" t="e">
        <f t="shared" si="22"/>
        <v>#VALUE!</v>
      </c>
      <c r="DR14" s="232" t="e">
        <f t="shared" si="23"/>
        <v>#VALUE!</v>
      </c>
      <c r="DS14" s="232" t="e">
        <f t="shared" si="23"/>
        <v>#VALUE!</v>
      </c>
      <c r="DT14" s="232" t="e">
        <f t="shared" si="23"/>
        <v>#VALUE!</v>
      </c>
      <c r="DU14" s="232" t="e">
        <f t="shared" si="23"/>
        <v>#VALUE!</v>
      </c>
      <c r="DV14" s="232" t="e">
        <f t="shared" si="23"/>
        <v>#VALUE!</v>
      </c>
      <c r="DW14" s="232" t="e">
        <f t="shared" si="23"/>
        <v>#VALUE!</v>
      </c>
      <c r="DX14" s="232" t="e">
        <f t="shared" si="23"/>
        <v>#VALUE!</v>
      </c>
      <c r="DY14" s="232" t="e">
        <f t="shared" si="23"/>
        <v>#VALUE!</v>
      </c>
      <c r="DZ14" s="232" t="e">
        <f t="shared" si="23"/>
        <v>#VALUE!</v>
      </c>
      <c r="EA14" s="232" t="e">
        <f t="shared" si="23"/>
        <v>#VALUE!</v>
      </c>
      <c r="EB14" s="232" t="e">
        <f t="shared" si="24"/>
        <v>#VALUE!</v>
      </c>
      <c r="EC14" s="232" t="e">
        <f t="shared" si="24"/>
        <v>#VALUE!</v>
      </c>
      <c r="ED14" s="232" t="e">
        <f t="shared" si="24"/>
        <v>#VALUE!</v>
      </c>
      <c r="EE14" s="232" t="e">
        <f t="shared" si="24"/>
        <v>#VALUE!</v>
      </c>
      <c r="EF14" s="232" t="e">
        <f t="shared" si="24"/>
        <v>#VALUE!</v>
      </c>
      <c r="EG14" s="232" t="e">
        <f t="shared" si="24"/>
        <v>#VALUE!</v>
      </c>
      <c r="EH14" s="232" t="e">
        <f t="shared" si="24"/>
        <v>#VALUE!</v>
      </c>
      <c r="EI14" s="232" t="e">
        <f t="shared" si="24"/>
        <v>#VALUE!</v>
      </c>
      <c r="EJ14" s="232" t="e">
        <f t="shared" si="24"/>
        <v>#VALUE!</v>
      </c>
      <c r="EK14" s="232" t="e">
        <f t="shared" si="24"/>
        <v>#VALUE!</v>
      </c>
      <c r="EL14" s="232" t="e">
        <f t="shared" si="25"/>
        <v>#VALUE!</v>
      </c>
      <c r="EM14" s="232" t="e">
        <f t="shared" si="25"/>
        <v>#VALUE!</v>
      </c>
      <c r="EN14" s="232" t="e">
        <f t="shared" si="25"/>
        <v>#VALUE!</v>
      </c>
      <c r="EO14" s="232" t="e">
        <f t="shared" si="25"/>
        <v>#VALUE!</v>
      </c>
      <c r="EP14" s="232" t="e">
        <f t="shared" si="25"/>
        <v>#VALUE!</v>
      </c>
      <c r="EQ14" s="232" t="e">
        <f t="shared" si="25"/>
        <v>#VALUE!</v>
      </c>
      <c r="ER14" s="232" t="e">
        <f t="shared" si="25"/>
        <v>#VALUE!</v>
      </c>
      <c r="ES14" s="232" t="e">
        <f t="shared" si="25"/>
        <v>#VALUE!</v>
      </c>
      <c r="ET14" s="232" t="e">
        <f t="shared" si="25"/>
        <v>#VALUE!</v>
      </c>
      <c r="EU14" s="232" t="e">
        <f t="shared" si="25"/>
        <v>#VALUE!</v>
      </c>
      <c r="EV14" s="232" t="e">
        <f t="shared" si="26"/>
        <v>#VALUE!</v>
      </c>
      <c r="EW14" s="232" t="e">
        <f t="shared" si="26"/>
        <v>#VALUE!</v>
      </c>
      <c r="EX14" s="232" t="e">
        <f t="shared" si="26"/>
        <v>#VALUE!</v>
      </c>
      <c r="EY14" s="232" t="e">
        <f t="shared" si="26"/>
        <v>#VALUE!</v>
      </c>
      <c r="EZ14" s="232" t="e">
        <f t="shared" si="26"/>
        <v>#VALUE!</v>
      </c>
      <c r="FA14" s="232" t="e">
        <f t="shared" si="26"/>
        <v>#VALUE!</v>
      </c>
      <c r="FB14" s="232" t="e">
        <f t="shared" si="26"/>
        <v>#VALUE!</v>
      </c>
      <c r="FC14" s="232" t="e">
        <f t="shared" si="26"/>
        <v>#VALUE!</v>
      </c>
      <c r="FD14" s="232" t="e">
        <f t="shared" si="26"/>
        <v>#VALUE!</v>
      </c>
      <c r="FE14" s="232" t="e">
        <f t="shared" si="26"/>
        <v>#VALUE!</v>
      </c>
      <c r="FF14" s="232" t="e">
        <f t="shared" si="27"/>
        <v>#VALUE!</v>
      </c>
      <c r="FG14" s="232" t="e">
        <f t="shared" si="27"/>
        <v>#VALUE!</v>
      </c>
      <c r="FH14" s="232" t="e">
        <f t="shared" si="27"/>
        <v>#VALUE!</v>
      </c>
      <c r="FI14" s="232" t="e">
        <f t="shared" si="27"/>
        <v>#VALUE!</v>
      </c>
      <c r="FJ14" s="232" t="e">
        <f t="shared" si="27"/>
        <v>#VALUE!</v>
      </c>
      <c r="FK14" s="232" t="e">
        <f t="shared" si="27"/>
        <v>#VALUE!</v>
      </c>
      <c r="FL14" s="232" t="e">
        <f t="shared" si="27"/>
        <v>#VALUE!</v>
      </c>
      <c r="FM14" s="232" t="e">
        <f t="shared" si="27"/>
        <v>#VALUE!</v>
      </c>
      <c r="FN14" s="232" t="e">
        <f t="shared" si="27"/>
        <v>#VALUE!</v>
      </c>
      <c r="FO14" s="232" t="e">
        <f t="shared" si="27"/>
        <v>#VALUE!</v>
      </c>
      <c r="FP14" s="232" t="e">
        <f t="shared" si="28"/>
        <v>#VALUE!</v>
      </c>
      <c r="FQ14" s="232" t="e">
        <f t="shared" si="28"/>
        <v>#VALUE!</v>
      </c>
      <c r="FR14" s="232" t="e">
        <f t="shared" si="28"/>
        <v>#VALUE!</v>
      </c>
      <c r="FS14" s="232" t="e">
        <f t="shared" si="28"/>
        <v>#VALUE!</v>
      </c>
      <c r="FT14" s="232" t="e">
        <f t="shared" si="28"/>
        <v>#VALUE!</v>
      </c>
      <c r="FU14" s="232" t="e">
        <f t="shared" si="28"/>
        <v>#VALUE!</v>
      </c>
      <c r="FV14" s="232" t="e">
        <f t="shared" si="28"/>
        <v>#VALUE!</v>
      </c>
      <c r="FW14" s="232" t="e">
        <f t="shared" si="28"/>
        <v>#VALUE!</v>
      </c>
      <c r="FX14" s="232" t="e">
        <f t="shared" si="28"/>
        <v>#VALUE!</v>
      </c>
      <c r="FY14" s="232" t="e">
        <f t="shared" si="28"/>
        <v>#VALUE!</v>
      </c>
      <c r="FZ14" s="232" t="e">
        <f t="shared" si="29"/>
        <v>#VALUE!</v>
      </c>
      <c r="GA14" s="232" t="e">
        <f t="shared" si="29"/>
        <v>#VALUE!</v>
      </c>
      <c r="GB14" s="232" t="e">
        <f t="shared" si="29"/>
        <v>#VALUE!</v>
      </c>
      <c r="GC14" s="232" t="e">
        <f t="shared" si="29"/>
        <v>#VALUE!</v>
      </c>
      <c r="GD14" s="232" t="e">
        <f t="shared" si="29"/>
        <v>#VALUE!</v>
      </c>
      <c r="GE14" s="232" t="e">
        <f t="shared" si="29"/>
        <v>#VALUE!</v>
      </c>
      <c r="GF14" s="232" t="e">
        <f t="shared" si="29"/>
        <v>#VALUE!</v>
      </c>
      <c r="GG14" s="232" t="e">
        <f t="shared" si="29"/>
        <v>#VALUE!</v>
      </c>
      <c r="GH14" s="232" t="e">
        <f t="shared" si="29"/>
        <v>#VALUE!</v>
      </c>
      <c r="GI14" s="232" t="e">
        <f t="shared" si="29"/>
        <v>#VALUE!</v>
      </c>
      <c r="GJ14" s="232" t="e">
        <f t="shared" si="30"/>
        <v>#VALUE!</v>
      </c>
      <c r="GK14" s="232" t="e">
        <f t="shared" si="30"/>
        <v>#VALUE!</v>
      </c>
      <c r="GL14" s="232" t="e">
        <f t="shared" si="30"/>
        <v>#VALUE!</v>
      </c>
      <c r="GM14" s="232" t="e">
        <f t="shared" si="30"/>
        <v>#VALUE!</v>
      </c>
      <c r="GN14" s="232" t="e">
        <f t="shared" si="30"/>
        <v>#VALUE!</v>
      </c>
      <c r="GO14" s="232" t="e">
        <f t="shared" si="30"/>
        <v>#VALUE!</v>
      </c>
      <c r="GP14" s="232" t="e">
        <f t="shared" si="30"/>
        <v>#VALUE!</v>
      </c>
      <c r="GQ14" s="232" t="e">
        <f t="shared" si="30"/>
        <v>#VALUE!</v>
      </c>
      <c r="GR14" s="232" t="e">
        <f t="shared" si="30"/>
        <v>#VALUE!</v>
      </c>
      <c r="GS14" s="232" t="e">
        <f t="shared" si="30"/>
        <v>#VALUE!</v>
      </c>
      <c r="GT14" s="232" t="e">
        <f t="shared" si="31"/>
        <v>#VALUE!</v>
      </c>
      <c r="GU14" s="232" t="e">
        <f t="shared" si="31"/>
        <v>#VALUE!</v>
      </c>
      <c r="GV14" s="232" t="e">
        <f t="shared" si="31"/>
        <v>#VALUE!</v>
      </c>
      <c r="GW14" s="232" t="e">
        <f t="shared" si="31"/>
        <v>#VALUE!</v>
      </c>
      <c r="GX14" s="232" t="e">
        <f t="shared" si="31"/>
        <v>#VALUE!</v>
      </c>
      <c r="GY14" s="232" t="e">
        <f t="shared" si="31"/>
        <v>#VALUE!</v>
      </c>
      <c r="GZ14" s="232" t="e">
        <f t="shared" si="31"/>
        <v>#VALUE!</v>
      </c>
      <c r="HA14" s="232" t="e">
        <f t="shared" si="31"/>
        <v>#VALUE!</v>
      </c>
      <c r="HB14" s="232" t="e">
        <f t="shared" si="31"/>
        <v>#VALUE!</v>
      </c>
      <c r="HC14" s="232" t="e">
        <f t="shared" si="31"/>
        <v>#VALUE!</v>
      </c>
      <c r="HD14" s="232" t="e">
        <f t="shared" si="32"/>
        <v>#VALUE!</v>
      </c>
      <c r="HE14" s="232" t="e">
        <f t="shared" si="32"/>
        <v>#VALUE!</v>
      </c>
      <c r="HF14" s="232" t="e">
        <f t="shared" si="32"/>
        <v>#VALUE!</v>
      </c>
      <c r="HG14" s="232" t="e">
        <f t="shared" si="32"/>
        <v>#VALUE!</v>
      </c>
      <c r="HH14" s="232" t="e">
        <f t="shared" si="32"/>
        <v>#VALUE!</v>
      </c>
      <c r="HI14" s="232" t="e">
        <f t="shared" si="32"/>
        <v>#VALUE!</v>
      </c>
      <c r="HJ14" s="232" t="e">
        <f t="shared" si="32"/>
        <v>#VALUE!</v>
      </c>
      <c r="HK14" s="232" t="e">
        <f t="shared" si="32"/>
        <v>#VALUE!</v>
      </c>
      <c r="HL14" s="232" t="e">
        <f t="shared" si="32"/>
        <v>#VALUE!</v>
      </c>
      <c r="HM14" s="232" t="e">
        <f t="shared" si="32"/>
        <v>#VALUE!</v>
      </c>
      <c r="HN14" s="232" t="e">
        <f t="shared" si="33"/>
        <v>#VALUE!</v>
      </c>
      <c r="HO14" s="232" t="e">
        <f t="shared" si="33"/>
        <v>#VALUE!</v>
      </c>
      <c r="HP14" s="232" t="e">
        <f t="shared" si="33"/>
        <v>#VALUE!</v>
      </c>
      <c r="HQ14" s="232" t="e">
        <f t="shared" si="33"/>
        <v>#VALUE!</v>
      </c>
      <c r="HR14" s="232" t="e">
        <f t="shared" si="33"/>
        <v>#VALUE!</v>
      </c>
      <c r="HS14" s="232" t="e">
        <f t="shared" si="33"/>
        <v>#VALUE!</v>
      </c>
      <c r="HT14" s="232" t="e">
        <f t="shared" si="33"/>
        <v>#VALUE!</v>
      </c>
      <c r="HU14" s="232" t="e">
        <f t="shared" si="33"/>
        <v>#VALUE!</v>
      </c>
      <c r="HV14" s="232" t="e">
        <f t="shared" si="33"/>
        <v>#VALUE!</v>
      </c>
      <c r="HW14" s="232" t="e">
        <f t="shared" si="33"/>
        <v>#VALUE!</v>
      </c>
      <c r="HX14" s="232" t="e">
        <f t="shared" si="34"/>
        <v>#VALUE!</v>
      </c>
      <c r="HY14" s="232" t="e">
        <f t="shared" si="34"/>
        <v>#VALUE!</v>
      </c>
      <c r="HZ14" s="232" t="e">
        <f t="shared" si="34"/>
        <v>#VALUE!</v>
      </c>
      <c r="IA14" s="232" t="e">
        <f t="shared" si="34"/>
        <v>#VALUE!</v>
      </c>
      <c r="IB14" s="232" t="e">
        <f t="shared" si="34"/>
        <v>#VALUE!</v>
      </c>
      <c r="IC14" s="232" t="e">
        <f t="shared" si="34"/>
        <v>#VALUE!</v>
      </c>
      <c r="ID14" s="232" t="e">
        <f t="shared" si="34"/>
        <v>#VALUE!</v>
      </c>
      <c r="IE14" s="232" t="e">
        <f t="shared" si="34"/>
        <v>#VALUE!</v>
      </c>
      <c r="IF14" s="232" t="e">
        <f t="shared" si="34"/>
        <v>#VALUE!</v>
      </c>
      <c r="IG14" s="232" t="e">
        <f t="shared" si="34"/>
        <v>#VALUE!</v>
      </c>
      <c r="IH14" s="232" t="e">
        <f t="shared" si="35"/>
        <v>#VALUE!</v>
      </c>
      <c r="II14" s="232" t="e">
        <f t="shared" si="35"/>
        <v>#VALUE!</v>
      </c>
      <c r="IJ14" s="232" t="e">
        <f t="shared" si="35"/>
        <v>#VALUE!</v>
      </c>
      <c r="IK14" s="232" t="e">
        <f t="shared" si="35"/>
        <v>#VALUE!</v>
      </c>
      <c r="IL14" s="232" t="e">
        <f t="shared" si="35"/>
        <v>#VALUE!</v>
      </c>
      <c r="IM14" s="232" t="e">
        <f t="shared" si="35"/>
        <v>#VALUE!</v>
      </c>
      <c r="IN14" s="232" t="e">
        <f t="shared" si="35"/>
        <v>#VALUE!</v>
      </c>
      <c r="IO14" s="232" t="e">
        <f t="shared" si="35"/>
        <v>#VALUE!</v>
      </c>
      <c r="IP14" s="232" t="e">
        <f t="shared" si="35"/>
        <v>#VALUE!</v>
      </c>
      <c r="IQ14" s="232" t="e">
        <f t="shared" si="35"/>
        <v>#VALUE!</v>
      </c>
      <c r="IR14" s="232" t="e">
        <f t="shared" si="36"/>
        <v>#VALUE!</v>
      </c>
      <c r="IS14" s="232" t="e">
        <f t="shared" si="36"/>
        <v>#VALUE!</v>
      </c>
      <c r="IT14" s="232" t="e">
        <f t="shared" si="36"/>
        <v>#VALUE!</v>
      </c>
      <c r="IU14" s="232" t="e">
        <f t="shared" si="36"/>
        <v>#VALUE!</v>
      </c>
      <c r="IV14" s="232" t="e">
        <f t="shared" si="36"/>
        <v>#VALUE!</v>
      </c>
      <c r="IW14" s="232" t="e">
        <f t="shared" si="36"/>
        <v>#VALUE!</v>
      </c>
      <c r="IX14" s="232" t="e">
        <f t="shared" si="36"/>
        <v>#VALUE!</v>
      </c>
      <c r="IY14" s="232" t="e">
        <f t="shared" si="36"/>
        <v>#VALUE!</v>
      </c>
      <c r="IZ14" s="232" t="e">
        <f t="shared" si="36"/>
        <v>#VALUE!</v>
      </c>
      <c r="JA14" s="232" t="e">
        <f t="shared" si="36"/>
        <v>#VALUE!</v>
      </c>
      <c r="JB14" s="232" t="e">
        <f t="shared" si="37"/>
        <v>#VALUE!</v>
      </c>
      <c r="JC14" s="232" t="e">
        <f t="shared" si="37"/>
        <v>#VALUE!</v>
      </c>
      <c r="JD14" s="232" t="e">
        <f t="shared" si="37"/>
        <v>#VALUE!</v>
      </c>
      <c r="JE14" s="232" t="e">
        <f t="shared" si="37"/>
        <v>#VALUE!</v>
      </c>
      <c r="JF14" s="232" t="e">
        <f t="shared" si="37"/>
        <v>#VALUE!</v>
      </c>
      <c r="JG14" s="232" t="e">
        <f t="shared" si="37"/>
        <v>#VALUE!</v>
      </c>
      <c r="JH14" s="232" t="e">
        <f t="shared" si="37"/>
        <v>#VALUE!</v>
      </c>
      <c r="JI14" s="232" t="e">
        <f t="shared" si="37"/>
        <v>#VALUE!</v>
      </c>
      <c r="JJ14" s="232" t="e">
        <f t="shared" si="37"/>
        <v>#VALUE!</v>
      </c>
      <c r="JK14" s="232"/>
      <c r="JL14" s="232"/>
      <c r="JM14" s="232"/>
      <c r="JN14" s="232"/>
      <c r="JO14" s="232"/>
      <c r="JP14" s="232"/>
      <c r="JQ14" s="232"/>
      <c r="JR14" s="232"/>
      <c r="JS14" s="232"/>
      <c r="JT14" s="232"/>
      <c r="JU14" s="232"/>
      <c r="JV14" s="232"/>
      <c r="JW14" s="232"/>
      <c r="JX14" s="232"/>
      <c r="JY14" s="232"/>
      <c r="JZ14" s="232"/>
      <c r="KA14" s="232"/>
      <c r="KB14" s="232"/>
      <c r="KC14" s="232"/>
      <c r="KD14" s="232"/>
      <c r="KE14" s="232"/>
      <c r="KF14" s="232"/>
      <c r="KG14" s="232"/>
      <c r="KH14" s="232"/>
      <c r="KI14" s="232"/>
      <c r="KJ14" s="232"/>
      <c r="KK14" s="232"/>
      <c r="KL14" s="232"/>
      <c r="KM14" s="232"/>
      <c r="KN14" s="232"/>
      <c r="KO14" s="232"/>
      <c r="KP14" s="232"/>
      <c r="KQ14" s="232"/>
      <c r="KR14" s="232"/>
      <c r="KS14" s="232"/>
      <c r="KT14" s="232"/>
      <c r="KU14" s="232"/>
      <c r="KV14" s="232"/>
      <c r="KW14" s="232"/>
      <c r="KX14" s="232"/>
      <c r="KY14" s="232"/>
      <c r="KZ14" s="232"/>
      <c r="LA14" s="232"/>
      <c r="LB14" s="232"/>
      <c r="LC14" s="232"/>
      <c r="LD14" s="232"/>
      <c r="LE14" s="232"/>
      <c r="LF14" s="232"/>
      <c r="LG14" s="232"/>
      <c r="LH14" s="232"/>
      <c r="LI14" s="232"/>
      <c r="LJ14" s="232"/>
      <c r="LK14" s="232"/>
      <c r="LL14" s="232"/>
      <c r="LM14" s="232"/>
      <c r="LN14" s="232"/>
      <c r="LO14" s="232"/>
      <c r="LP14" s="232"/>
      <c r="LQ14" s="232"/>
      <c r="LR14" s="232"/>
      <c r="LS14" s="232"/>
      <c r="LT14" s="232"/>
      <c r="LU14" s="232"/>
      <c r="LV14" s="232"/>
      <c r="LW14" s="232"/>
      <c r="LX14" s="232"/>
      <c r="LY14" s="232"/>
      <c r="LZ14" s="232"/>
      <c r="MA14" s="232"/>
      <c r="MB14" s="232"/>
      <c r="MC14" s="232"/>
      <c r="MD14" s="232"/>
      <c r="ME14" s="232"/>
      <c r="MF14" s="232"/>
      <c r="MG14" s="232"/>
      <c r="MH14" s="232"/>
      <c r="MI14" s="232"/>
      <c r="MJ14" s="232"/>
      <c r="MK14" s="232"/>
      <c r="ML14" s="232"/>
      <c r="MM14" s="232"/>
      <c r="MN14" s="232"/>
      <c r="MO14" s="232"/>
      <c r="MP14" s="232"/>
      <c r="MQ14" s="232"/>
      <c r="MR14" s="232"/>
      <c r="MS14" s="232"/>
      <c r="MT14" s="232"/>
      <c r="MU14" s="232"/>
      <c r="MV14" s="232"/>
      <c r="MW14" s="232"/>
      <c r="MX14" s="232"/>
      <c r="MY14" s="232"/>
      <c r="MZ14" s="232"/>
      <c r="NA14" s="232"/>
      <c r="NB14" s="232"/>
      <c r="NC14" s="232"/>
      <c r="ND14" s="232"/>
      <c r="NE14" s="232"/>
      <c r="NF14" s="232"/>
      <c r="NG14" s="232"/>
      <c r="NH14" s="232"/>
      <c r="NI14" s="232"/>
      <c r="NJ14" s="232"/>
      <c r="NK14" s="232"/>
      <c r="NL14" s="232"/>
      <c r="NM14" s="232"/>
      <c r="NN14" s="232"/>
      <c r="NO14" s="232"/>
      <c r="NP14" s="232"/>
      <c r="NQ14" s="232"/>
      <c r="NR14" s="232"/>
      <c r="NS14" s="232"/>
      <c r="NT14" s="232"/>
      <c r="NU14" s="232"/>
      <c r="NV14" s="232"/>
      <c r="NW14" s="232"/>
      <c r="NX14" s="232"/>
      <c r="NY14" s="232"/>
      <c r="NZ14" s="232"/>
      <c r="OA14" s="232"/>
      <c r="OB14" s="232"/>
      <c r="OC14" s="232"/>
      <c r="OD14" s="232"/>
      <c r="OE14" s="232"/>
      <c r="OF14" s="232"/>
      <c r="OG14" s="232"/>
      <c r="OH14" s="232"/>
      <c r="OI14" s="232"/>
      <c r="OJ14" s="232"/>
      <c r="OK14" s="232"/>
      <c r="OL14" s="232"/>
      <c r="OM14" s="232"/>
      <c r="ON14" s="232"/>
      <c r="OO14" s="232"/>
      <c r="OP14" s="232"/>
      <c r="OQ14" s="232"/>
      <c r="OR14" s="232"/>
      <c r="OS14" s="232"/>
      <c r="OT14" s="232"/>
      <c r="OU14" s="232"/>
      <c r="OV14" s="232"/>
      <c r="OW14" s="232"/>
      <c r="OX14" s="232"/>
      <c r="OY14" s="232"/>
      <c r="OZ14" s="232"/>
      <c r="PA14" s="232"/>
      <c r="PB14" s="232"/>
      <c r="PC14" s="232"/>
      <c r="PD14" s="232"/>
      <c r="PE14" s="232"/>
      <c r="PF14" s="232"/>
      <c r="PG14" s="232"/>
      <c r="PH14" s="232"/>
      <c r="PI14" s="232"/>
      <c r="PJ14" s="232"/>
      <c r="PK14" s="232"/>
      <c r="PL14" s="232"/>
      <c r="PM14" s="232"/>
      <c r="PN14" s="232"/>
      <c r="PO14" s="232"/>
      <c r="PP14" s="232"/>
      <c r="PQ14" s="232"/>
      <c r="PR14" s="232"/>
      <c r="PS14" s="232"/>
      <c r="PT14" s="232"/>
      <c r="PU14" s="232"/>
      <c r="PV14" s="232"/>
      <c r="PW14" s="232"/>
      <c r="PX14" s="232"/>
      <c r="PY14" s="232"/>
      <c r="PZ14" s="232"/>
      <c r="QA14" s="232"/>
      <c r="QB14" s="232"/>
      <c r="QC14" s="232"/>
      <c r="QD14" s="232"/>
      <c r="QE14" s="232"/>
      <c r="QF14" s="232"/>
      <c r="QG14" s="232"/>
      <c r="QH14" s="232"/>
      <c r="QI14" s="232"/>
      <c r="QJ14" s="232"/>
      <c r="QK14" s="232"/>
      <c r="QL14" s="232"/>
      <c r="QM14" s="232"/>
      <c r="QN14" s="232"/>
      <c r="QO14" s="232"/>
      <c r="QP14" s="232"/>
      <c r="QQ14" s="232"/>
      <c r="QR14" s="232"/>
      <c r="QS14" s="232"/>
      <c r="QT14" s="232"/>
      <c r="QU14" s="232"/>
      <c r="QV14" s="232"/>
      <c r="QW14" s="232"/>
      <c r="QX14" s="232"/>
      <c r="QY14" s="232"/>
      <c r="QZ14" s="232"/>
      <c r="RA14" s="232"/>
      <c r="RB14" s="232"/>
      <c r="RC14" s="232"/>
      <c r="RD14" s="232"/>
      <c r="RE14" s="232"/>
      <c r="RF14" s="232"/>
      <c r="RG14" s="232"/>
      <c r="RH14" s="232"/>
      <c r="RI14" s="232"/>
      <c r="RJ14" s="232"/>
      <c r="RK14" s="232"/>
      <c r="RL14" s="232"/>
      <c r="RM14" s="232"/>
      <c r="RN14" s="232"/>
      <c r="RO14" s="232"/>
      <c r="RP14" s="232"/>
      <c r="RQ14" s="232"/>
      <c r="RR14" s="232"/>
      <c r="RS14" s="232"/>
      <c r="RT14" s="232"/>
      <c r="RU14" s="232"/>
      <c r="RV14" s="232"/>
      <c r="RW14" s="232"/>
      <c r="RX14" s="232"/>
      <c r="RY14" s="232"/>
      <c r="RZ14" s="232"/>
      <c r="SA14" s="232"/>
      <c r="SB14" s="232"/>
      <c r="SC14" s="232"/>
      <c r="SD14" s="232"/>
      <c r="SE14" s="232"/>
      <c r="SF14" s="232"/>
      <c r="SG14" s="232"/>
      <c r="SH14" s="232"/>
      <c r="SI14" s="232"/>
      <c r="SJ14" s="232"/>
      <c r="SK14" s="232"/>
      <c r="SL14" s="232"/>
      <c r="SM14" s="232"/>
      <c r="SN14" s="232"/>
      <c r="SO14" s="232"/>
      <c r="SP14" s="232"/>
      <c r="SQ14" s="232"/>
      <c r="SR14" s="232"/>
      <c r="SS14" s="232"/>
      <c r="ST14" s="232"/>
      <c r="SU14" s="232"/>
      <c r="SV14" s="232"/>
      <c r="SW14" s="232"/>
      <c r="SX14" s="232"/>
      <c r="SY14" s="232"/>
      <c r="SZ14" s="232"/>
      <c r="TA14" s="232"/>
      <c r="TB14" s="232"/>
      <c r="TC14" s="232"/>
      <c r="TD14" s="232"/>
      <c r="TE14" s="232"/>
      <c r="TF14" s="232"/>
      <c r="TG14" s="232"/>
      <c r="TH14" s="232"/>
      <c r="TI14" s="232"/>
      <c r="TJ14" s="232"/>
      <c r="TK14" s="232"/>
      <c r="TL14" s="232"/>
      <c r="TM14" s="232"/>
      <c r="TN14" s="232"/>
      <c r="TO14" s="232"/>
      <c r="TP14" s="232"/>
      <c r="TQ14" s="232"/>
      <c r="TR14" s="232"/>
      <c r="TS14" s="232"/>
      <c r="TT14" s="232"/>
      <c r="TU14" s="232"/>
      <c r="TV14" s="232"/>
      <c r="TW14" s="232"/>
      <c r="TX14" s="232"/>
      <c r="TY14" s="232"/>
      <c r="TZ14" s="232"/>
      <c r="UA14" s="232"/>
      <c r="UB14" s="232"/>
      <c r="UC14" s="232"/>
      <c r="UD14" s="232"/>
      <c r="UE14" s="232"/>
      <c r="UF14" s="232"/>
      <c r="UG14" s="232"/>
      <c r="UH14" s="232"/>
      <c r="UI14" s="232"/>
      <c r="UJ14" s="232"/>
      <c r="UK14" s="232"/>
      <c r="UL14" s="232"/>
      <c r="UM14" s="232"/>
      <c r="UN14" s="232"/>
      <c r="UO14" s="232"/>
      <c r="UP14" s="232"/>
      <c r="UQ14" s="232"/>
      <c r="UR14" s="232"/>
      <c r="US14" s="232"/>
      <c r="UT14" s="232"/>
      <c r="UU14" s="232"/>
      <c r="UV14" s="232"/>
      <c r="UW14" s="232"/>
      <c r="UX14" s="232"/>
      <c r="UY14" s="232"/>
      <c r="UZ14" s="232"/>
      <c r="VA14" s="232"/>
      <c r="VB14" s="232"/>
      <c r="VC14" s="232"/>
      <c r="VD14" s="232"/>
      <c r="VE14" s="232"/>
      <c r="VF14" s="232"/>
      <c r="VG14" s="232"/>
      <c r="VH14" s="232"/>
      <c r="VI14" s="232"/>
      <c r="VJ14" s="232"/>
      <c r="VK14" s="232"/>
      <c r="VL14" s="232"/>
      <c r="VM14" s="232"/>
      <c r="VN14" s="232"/>
      <c r="VO14" s="232"/>
      <c r="VP14" s="232"/>
      <c r="VQ14" s="232"/>
      <c r="VR14" s="232"/>
      <c r="VS14" s="232"/>
      <c r="VT14" s="232"/>
      <c r="VU14" s="232"/>
      <c r="VV14" s="232"/>
      <c r="VW14" s="232"/>
      <c r="VX14" s="232"/>
      <c r="VY14" s="232"/>
      <c r="VZ14" s="232"/>
      <c r="WA14" s="232"/>
      <c r="WB14" s="232"/>
      <c r="WC14" s="232"/>
      <c r="WD14" s="232"/>
      <c r="WE14" s="232"/>
      <c r="WF14" s="232"/>
      <c r="WG14" s="232"/>
      <c r="WH14" s="232"/>
      <c r="WI14" s="232"/>
      <c r="WJ14" s="232"/>
      <c r="WK14" s="232"/>
      <c r="WL14" s="232"/>
      <c r="WM14" s="232"/>
      <c r="WN14" s="232"/>
      <c r="WO14" s="232"/>
      <c r="WP14" s="232"/>
      <c r="WQ14" s="232"/>
      <c r="WR14" s="232"/>
      <c r="WS14" s="232"/>
      <c r="WT14" s="232"/>
      <c r="WU14" s="232"/>
      <c r="WV14" s="232"/>
      <c r="WW14" s="232"/>
      <c r="WX14" s="232"/>
      <c r="WY14" s="232"/>
      <c r="WZ14" s="232"/>
      <c r="XA14" s="232"/>
      <c r="XB14" s="232"/>
      <c r="XC14" s="232"/>
      <c r="XD14" s="232"/>
      <c r="XE14" s="232"/>
      <c r="XF14" s="232"/>
      <c r="XG14" s="232"/>
      <c r="XH14" s="232"/>
      <c r="XI14" s="232"/>
      <c r="XJ14" s="232"/>
      <c r="XK14" s="232"/>
      <c r="XL14" s="232"/>
      <c r="XM14" s="232"/>
      <c r="XN14" s="232"/>
      <c r="XO14" s="232"/>
      <c r="XP14" s="232"/>
      <c r="XQ14" s="232"/>
      <c r="XR14" s="232"/>
      <c r="XS14" s="232"/>
      <c r="XT14" s="232"/>
      <c r="XU14" s="232"/>
      <c r="XV14" s="232"/>
      <c r="XW14" s="232"/>
      <c r="XX14" s="232"/>
      <c r="XY14" s="232"/>
      <c r="XZ14" s="232"/>
      <c r="YA14" s="232"/>
      <c r="YB14" s="232"/>
      <c r="YC14" s="232"/>
      <c r="YD14" s="232"/>
      <c r="YE14" s="232"/>
      <c r="YF14" s="232"/>
      <c r="YG14" s="232"/>
      <c r="YH14" s="232"/>
      <c r="YI14" s="232"/>
      <c r="YJ14" s="232"/>
      <c r="YK14" s="232"/>
      <c r="YL14" s="232"/>
      <c r="YM14" s="232"/>
      <c r="YN14" s="232"/>
      <c r="YO14" s="232"/>
      <c r="YP14" s="232"/>
      <c r="YQ14" s="232"/>
      <c r="YR14" s="232"/>
      <c r="YS14" s="232"/>
      <c r="YT14" s="232"/>
      <c r="YU14" s="232"/>
      <c r="YV14" s="232"/>
      <c r="YW14" s="232"/>
      <c r="YX14" s="232"/>
      <c r="YY14" s="232"/>
      <c r="YZ14" s="232"/>
      <c r="ZA14" s="232"/>
      <c r="ZB14" s="232"/>
      <c r="ZC14" s="232"/>
      <c r="ZD14" s="232"/>
      <c r="ZE14" s="232"/>
      <c r="ZF14" s="232"/>
      <c r="ZG14" s="232"/>
      <c r="ZH14" s="232"/>
      <c r="ZI14" s="232"/>
      <c r="ZJ14" s="232"/>
      <c r="ZK14" s="232"/>
      <c r="ZL14" s="232"/>
      <c r="ZM14" s="232"/>
      <c r="ZN14" s="232"/>
      <c r="ZO14" s="232"/>
      <c r="ZP14" s="232"/>
      <c r="ZQ14" s="232"/>
      <c r="ZR14" s="232"/>
      <c r="ZS14" s="232"/>
      <c r="ZT14" s="232"/>
      <c r="ZU14" s="232"/>
      <c r="ZV14" s="232"/>
      <c r="ZW14" s="232"/>
      <c r="ZX14" s="232"/>
      <c r="ZY14" s="232"/>
      <c r="ZZ14" s="232"/>
      <c r="AAA14" s="232"/>
      <c r="AAB14" s="232"/>
      <c r="AAC14" s="232"/>
      <c r="AAD14" s="232"/>
      <c r="AAE14" s="232"/>
      <c r="AAF14" s="232"/>
      <c r="AAG14" s="232"/>
      <c r="AAH14" s="232"/>
      <c r="AAI14" s="232"/>
      <c r="AAJ14" s="232"/>
      <c r="AAK14" s="232"/>
      <c r="AAL14" s="232"/>
      <c r="AAM14" s="232"/>
      <c r="AAN14" s="232"/>
      <c r="AAO14" s="232"/>
      <c r="AAP14" s="232"/>
      <c r="AAQ14" s="232"/>
      <c r="AAR14" s="232"/>
      <c r="AAS14" s="232"/>
      <c r="AAT14" s="232"/>
      <c r="AAU14" s="232"/>
      <c r="AAV14" s="232"/>
      <c r="AAW14" s="232"/>
      <c r="AAX14" s="232"/>
      <c r="AAY14" s="232"/>
      <c r="AAZ14" s="232"/>
      <c r="ABA14" s="232"/>
      <c r="ABB14" s="232"/>
      <c r="ABC14" s="232"/>
      <c r="ABD14" s="232"/>
      <c r="ABE14" s="232"/>
      <c r="ABF14" s="232"/>
      <c r="ABG14" s="232"/>
      <c r="ABH14" s="232"/>
      <c r="ABI14" s="232"/>
      <c r="ABJ14" s="232"/>
      <c r="ABK14" s="232"/>
      <c r="ABL14" s="232"/>
      <c r="ABM14" s="232"/>
      <c r="ABN14" s="232"/>
      <c r="ABO14" s="232"/>
      <c r="ABP14" s="232"/>
      <c r="ABQ14" s="232"/>
      <c r="ABR14" s="232"/>
      <c r="ABS14" s="232"/>
      <c r="ABT14" s="232"/>
      <c r="ABU14" s="232"/>
      <c r="ABV14" s="232"/>
      <c r="ABW14" s="232"/>
      <c r="ABX14" s="232"/>
      <c r="ABY14" s="232"/>
      <c r="ABZ14" s="232"/>
      <c r="ACA14" s="232"/>
      <c r="ACB14" s="232"/>
      <c r="ACC14" s="232"/>
      <c r="ACD14" s="232"/>
      <c r="ACE14" s="232"/>
      <c r="ACF14" s="232"/>
      <c r="ACG14" s="232"/>
      <c r="ACH14" s="232"/>
      <c r="ACI14" s="232"/>
      <c r="ACJ14" s="232"/>
      <c r="ACK14" s="232"/>
      <c r="ACL14" s="232"/>
      <c r="ACM14" s="232"/>
      <c r="ACN14" s="232"/>
      <c r="ACO14" s="232"/>
      <c r="ACP14" s="232"/>
      <c r="ACQ14" s="232"/>
      <c r="ACR14" s="232"/>
      <c r="ACS14" s="232"/>
      <c r="ACT14" s="232"/>
      <c r="ACU14" s="232"/>
      <c r="ACV14" s="232"/>
      <c r="ACW14" s="232"/>
      <c r="ACX14" s="232"/>
      <c r="ACY14" s="232"/>
      <c r="ACZ14" s="232"/>
      <c r="ADA14" s="232"/>
      <c r="ADB14" s="232"/>
      <c r="ADC14" s="232"/>
      <c r="ADD14" s="232"/>
      <c r="ADE14" s="232"/>
      <c r="ADF14" s="232"/>
      <c r="ADG14" s="232"/>
      <c r="ADH14" s="232"/>
      <c r="ADI14" s="232"/>
      <c r="ADJ14" s="232"/>
      <c r="ADK14" s="232"/>
      <c r="ADL14" s="232"/>
      <c r="ADM14" s="232"/>
      <c r="ADN14" s="232"/>
      <c r="ADO14" s="232"/>
      <c r="ADP14" s="232"/>
      <c r="ADQ14" s="232"/>
      <c r="ADR14" s="232"/>
      <c r="ADS14" s="232"/>
      <c r="ADT14" s="232"/>
      <c r="ADU14" s="232"/>
      <c r="ADV14" s="232"/>
      <c r="ADW14" s="232"/>
      <c r="ADX14" s="232"/>
      <c r="ADY14" s="232"/>
      <c r="ADZ14" s="232"/>
      <c r="AEA14" s="232"/>
      <c r="AEB14" s="232"/>
      <c r="AEC14" s="232"/>
      <c r="AED14" s="232"/>
      <c r="AEE14" s="232"/>
      <c r="AEF14" s="232"/>
      <c r="AEG14" s="232"/>
      <c r="AEH14" s="232"/>
      <c r="AEI14" s="232"/>
      <c r="AEJ14" s="232"/>
      <c r="AEK14" s="232"/>
      <c r="AEL14" s="232"/>
      <c r="AEM14" s="232"/>
      <c r="AEN14" s="232"/>
      <c r="AEO14" s="232"/>
      <c r="AEP14" s="232"/>
      <c r="AEQ14" s="232"/>
      <c r="AER14" s="232"/>
      <c r="AES14" s="232"/>
      <c r="AET14" s="232"/>
      <c r="AEU14" s="232"/>
      <c r="AEV14" s="232"/>
      <c r="AEW14" s="232"/>
      <c r="AEX14" s="232"/>
      <c r="AEY14" s="232"/>
      <c r="AEZ14" s="232"/>
      <c r="AFA14" s="232"/>
      <c r="AFB14" s="232"/>
      <c r="AFC14" s="232"/>
      <c r="AFD14" s="232"/>
      <c r="AFE14" s="232"/>
      <c r="AFF14" s="232"/>
      <c r="AFG14" s="232"/>
      <c r="AFH14" s="232"/>
      <c r="AFI14" s="232"/>
      <c r="AFJ14" s="232"/>
      <c r="AFK14" s="232"/>
      <c r="AFL14" s="232"/>
      <c r="AFM14" s="232"/>
      <c r="AFN14" s="232"/>
      <c r="AFO14" s="232"/>
      <c r="AFP14" s="232"/>
      <c r="AFQ14" s="232"/>
      <c r="AFR14" s="232"/>
      <c r="AFS14" s="232"/>
      <c r="AFT14" s="232"/>
      <c r="AFU14" s="232"/>
      <c r="AFV14" s="232"/>
      <c r="AFW14" s="232"/>
      <c r="AFX14" s="232"/>
      <c r="AFY14" s="232"/>
      <c r="AFZ14" s="232"/>
      <c r="AGA14" s="232"/>
      <c r="AGB14" s="232"/>
      <c r="AGC14" s="232"/>
      <c r="AGD14" s="232"/>
      <c r="AGE14" s="232"/>
      <c r="AGF14" s="232"/>
      <c r="AGG14" s="232"/>
      <c r="AGH14" s="232"/>
      <c r="AGI14" s="232"/>
      <c r="AGJ14" s="232"/>
      <c r="AGK14" s="232"/>
      <c r="AGL14" s="232"/>
      <c r="AGM14" s="232"/>
      <c r="AGN14" s="232"/>
      <c r="AGO14" s="232"/>
      <c r="AGP14" s="232"/>
      <c r="AGQ14" s="232"/>
      <c r="AGR14" s="232"/>
      <c r="AGS14" s="232"/>
      <c r="AGT14" s="232"/>
      <c r="AGU14" s="232"/>
      <c r="AGV14" s="232"/>
      <c r="AGW14" s="232"/>
      <c r="AGX14" s="232"/>
      <c r="AGY14" s="232"/>
      <c r="AGZ14" s="232"/>
      <c r="AHA14" s="232"/>
      <c r="AHB14" s="232"/>
      <c r="AHC14" s="232"/>
      <c r="AHD14" s="232"/>
      <c r="AHE14" s="232"/>
      <c r="AHF14" s="232"/>
      <c r="AHG14" s="232"/>
      <c r="AHH14" s="232"/>
      <c r="AHI14" s="232"/>
      <c r="AHJ14" s="232"/>
      <c r="AHK14" s="232"/>
      <c r="AHL14" s="232"/>
      <c r="AHM14" s="232"/>
      <c r="AHN14" s="232"/>
      <c r="AHO14" s="232"/>
      <c r="AHP14" s="232"/>
      <c r="AHQ14" s="232"/>
      <c r="AHR14" s="232"/>
      <c r="AHS14" s="232"/>
      <c r="AHT14" s="232"/>
      <c r="AHU14" s="232"/>
      <c r="AHV14" s="232"/>
      <c r="AHW14" s="232"/>
      <c r="AHX14" s="232"/>
      <c r="AHY14" s="232"/>
      <c r="AHZ14" s="232"/>
      <c r="AIA14" s="232"/>
      <c r="AIB14" s="232"/>
      <c r="AIC14" s="232"/>
      <c r="AID14" s="232"/>
      <c r="AIE14" s="232"/>
      <c r="AIF14" s="232"/>
      <c r="AIG14" s="232"/>
      <c r="AIH14" s="232"/>
      <c r="AII14" s="232"/>
      <c r="AIJ14" s="232"/>
      <c r="AIK14" s="232"/>
      <c r="AIL14" s="232"/>
      <c r="AIM14" s="232"/>
      <c r="AIN14" s="232"/>
      <c r="AIO14" s="232"/>
      <c r="AIP14" s="232"/>
      <c r="AIQ14" s="232"/>
      <c r="AIR14" s="232"/>
      <c r="AIS14" s="232"/>
      <c r="AIT14" s="232"/>
      <c r="AIU14" s="232"/>
      <c r="AIV14" s="232"/>
      <c r="AIW14" s="232"/>
      <c r="AIX14" s="232"/>
      <c r="AIY14" s="232"/>
      <c r="AIZ14" s="232"/>
      <c r="AJA14" s="232"/>
      <c r="AJB14" s="232"/>
      <c r="AJC14" s="232"/>
      <c r="AJD14" s="232"/>
      <c r="AJE14" s="232"/>
      <c r="AJF14" s="232"/>
      <c r="AJG14" s="232"/>
      <c r="AJH14" s="232"/>
      <c r="AJI14" s="232"/>
      <c r="AJJ14" s="232"/>
      <c r="AJK14" s="232"/>
      <c r="AJL14" s="232"/>
      <c r="AJM14" s="232"/>
      <c r="AJN14" s="232"/>
      <c r="AJO14" s="232"/>
      <c r="AJP14" s="232"/>
      <c r="AJQ14" s="232"/>
      <c r="AJR14" s="232"/>
      <c r="AJS14" s="232"/>
      <c r="AJT14" s="232"/>
      <c r="AJU14" s="232"/>
      <c r="AJV14" s="232"/>
      <c r="AJW14" s="232"/>
      <c r="AJX14" s="232"/>
      <c r="AJY14" s="232"/>
      <c r="AJZ14" s="232"/>
      <c r="AKA14" s="232"/>
      <c r="AKB14" s="232"/>
      <c r="AKC14" s="232"/>
      <c r="AKD14" s="232"/>
      <c r="AKE14" s="232"/>
      <c r="AKF14" s="232"/>
      <c r="AKG14" s="232"/>
      <c r="AKH14" s="232"/>
      <c r="AKI14" s="232"/>
      <c r="AKJ14" s="232"/>
      <c r="AKK14" s="232"/>
      <c r="AKL14" s="232"/>
      <c r="AKM14" s="232"/>
      <c r="AKN14" s="232"/>
      <c r="AKO14" s="232"/>
      <c r="AKP14" s="232"/>
      <c r="AKQ14" s="232"/>
      <c r="AKR14" s="232"/>
      <c r="AKS14" s="232"/>
      <c r="AKT14" s="232"/>
      <c r="AKU14" s="232"/>
      <c r="AKV14" s="232"/>
      <c r="AKW14" s="232"/>
      <c r="AKX14" s="232"/>
      <c r="AKY14" s="232"/>
      <c r="AKZ14" s="232"/>
      <c r="ALA14" s="232"/>
      <c r="ALB14" s="232"/>
      <c r="ALC14" s="232"/>
      <c r="ALD14" s="232"/>
      <c r="ALE14" s="232"/>
      <c r="ALF14" s="232"/>
      <c r="ALG14" s="232"/>
      <c r="ALH14" s="232"/>
      <c r="ALI14" s="232"/>
      <c r="ALJ14" s="232"/>
      <c r="ALK14" s="232"/>
      <c r="ALL14" s="232"/>
      <c r="ALM14" s="232"/>
      <c r="ALN14" s="232"/>
      <c r="ALO14" s="232"/>
      <c r="ALP14" s="232"/>
      <c r="ALQ14" s="232"/>
      <c r="ALR14" s="232"/>
      <c r="ALS14" s="232"/>
      <c r="ALT14" s="232"/>
      <c r="ALU14" s="232"/>
      <c r="ALV14" s="232"/>
      <c r="ALW14" s="232"/>
      <c r="ALX14" s="232"/>
      <c r="ALY14" s="232"/>
      <c r="ALZ14" s="232"/>
      <c r="AMA14" s="232"/>
      <c r="AMB14" s="232"/>
      <c r="AMC14" s="232"/>
      <c r="AMD14" s="232"/>
      <c r="AME14" s="232"/>
      <c r="AMF14" s="232"/>
      <c r="AMG14" s="232"/>
      <c r="AMH14" s="232"/>
      <c r="AMI14" s="232"/>
      <c r="AMJ14" s="232"/>
      <c r="AMK14" s="232"/>
      <c r="AML14" s="232"/>
      <c r="AMM14" s="232"/>
      <c r="AMN14" s="232"/>
      <c r="AMO14" s="232"/>
      <c r="AMP14" s="232"/>
      <c r="AMQ14" s="232"/>
      <c r="AMR14" s="232"/>
      <c r="AMS14" s="232"/>
      <c r="AMT14" s="232"/>
      <c r="AMU14" s="232"/>
      <c r="AMV14" s="232"/>
      <c r="AMW14" s="232"/>
      <c r="AMX14" s="232"/>
      <c r="AMY14" s="232"/>
      <c r="AMZ14" s="232"/>
      <c r="ANA14" s="232"/>
      <c r="ANB14" s="232"/>
      <c r="ANC14" s="232"/>
      <c r="AND14" s="232"/>
      <c r="ANE14" s="232"/>
      <c r="ANF14" s="232"/>
      <c r="ANG14" s="232"/>
      <c r="ANH14" s="232"/>
      <c r="ANI14" s="232"/>
      <c r="ANJ14" s="232"/>
      <c r="ANK14" s="232"/>
      <c r="ANL14" s="232"/>
      <c r="ANM14" s="232"/>
      <c r="ANN14" s="232"/>
      <c r="ANO14" s="232"/>
      <c r="ANP14" s="232"/>
      <c r="ANQ14" s="232"/>
      <c r="ANR14" s="232"/>
      <c r="ANS14" s="232"/>
      <c r="ANT14" s="232"/>
      <c r="ANU14" s="232"/>
      <c r="ANV14" s="232"/>
      <c r="ANW14" s="232"/>
      <c r="ANX14" s="232"/>
      <c r="ANY14" s="232"/>
      <c r="ANZ14" s="232"/>
      <c r="AOA14" s="232"/>
      <c r="AOB14" s="232"/>
      <c r="AOC14" s="232"/>
      <c r="AOD14" s="232"/>
      <c r="AOE14" s="232"/>
      <c r="AOF14" s="232"/>
      <c r="AOG14" s="232"/>
    </row>
    <row r="15" spans="1:1073">
      <c r="A15" s="2127"/>
      <c r="B15" s="223">
        <v>7</v>
      </c>
      <c r="C15" s="224"/>
      <c r="D15" s="225"/>
      <c r="E15" s="226"/>
      <c r="F15" s="226"/>
      <c r="G15" s="227" t="str">
        <f>IF(C15="","",IF(Tabelle1[[#This Row],[End Date]]&lt;COV!$E$12,0,IF(COV!E$12="","",IF(Tabelle1[[#This Row],[End Date]]-Tabelle1[[#This Row],[Start Date]]&gt;0,IF(F15&lt;COV!E$11,(F15-IF(E15&lt;COV!E$12,COV!E$12,Tabelle1[[#This Row],[Start Date]])),(COV!E$11-IF(E15&lt;COV!E$12,COV!E$12,Tabelle1[[#This Row],[Start Date]])))/365*12,""))))</f>
        <v/>
      </c>
      <c r="H15" s="225"/>
      <c r="I15" s="234"/>
      <c r="J15" s="229"/>
      <c r="K15" s="1325" t="str">
        <f>IF(Tabelle1[[#This Row],[Project Name]]="","",IF(OR(Tabelle1[[#This Row],[PM Category]]=CAT_A_NAME,Tabelle1[[#This Row],[PM Category]]=CAT_B_NAME,Tabelle1[[#This Row],[PM Category]]=CAT_C_NAME,Tabelle1[[#This Row],[PM Category]]=CAT_D_NAME,Tabelle1[[#This Row],[PM Category]]=CAT_E_NAME,Tabelle1[[#This Row],[PM Category]]=CAT_SPJ,Tabelle1[[#This Row],[PM Category]]=CAT_PJ,Tabelle1[[#This Row],[PM Category]]=""),"","1"))</f>
        <v/>
      </c>
      <c r="L15" s="1326">
        <f>IF(Tabelle1[[#This Row],[Role]]="PJM",1)+IF(Tabelle1[[#This Row],[Role]]="PGM",1)+IF(Tabelle1[[#This Row],[Role]]="PFM",1)+IF(Tabelle1[[#This Row],[Role]]="TPM",1)+IF(Tabelle1[[#This Row],[Role]]="CPM",1)</f>
        <v>0</v>
      </c>
      <c r="M15" s="230" t="str">
        <f>IFERROR(IF(Tabelle1[[#This Row],[Project Name]]&lt;&gt;"",IF(G15*I15&gt;0,G15,""),"")*Tabelle1[[#This Row],[Role Check]],"")</f>
        <v/>
      </c>
      <c r="N15" s="231" t="str">
        <f>IFERROR(Tabelle1[[#This Row],[Duration '[months']]]*Tabelle1[[#This Row],[Avg. time spent in resp. Role]],"")</f>
        <v/>
      </c>
      <c r="O15" s="221"/>
      <c r="S15" s="208" t="str">
        <f>IF(Tabelle1[[#This Row],[Project Name]]&lt;&gt;"",Tabelle1[[#This Row],[Project Name]],"")</f>
        <v/>
      </c>
      <c r="T15" s="232">
        <f t="shared" si="12"/>
        <v>0</v>
      </c>
      <c r="U15" s="545" t="e">
        <f t="shared" si="12"/>
        <v>#VALUE!</v>
      </c>
      <c r="V15" s="545" t="e">
        <f t="shared" si="13"/>
        <v>#VALUE!</v>
      </c>
      <c r="W15" s="232" t="e">
        <f t="shared" si="13"/>
        <v>#VALUE!</v>
      </c>
      <c r="X15" s="232" t="e">
        <f t="shared" si="13"/>
        <v>#VALUE!</v>
      </c>
      <c r="Y15" s="232" t="e">
        <f t="shared" si="13"/>
        <v>#VALUE!</v>
      </c>
      <c r="Z15" s="232" t="e">
        <f t="shared" si="13"/>
        <v>#VALUE!</v>
      </c>
      <c r="AA15" s="232" t="e">
        <f t="shared" si="13"/>
        <v>#VALUE!</v>
      </c>
      <c r="AB15" s="232" t="e">
        <f t="shared" si="13"/>
        <v>#VALUE!</v>
      </c>
      <c r="AC15" s="232" t="e">
        <f t="shared" si="13"/>
        <v>#VALUE!</v>
      </c>
      <c r="AD15" s="232" t="e">
        <f t="shared" si="13"/>
        <v>#VALUE!</v>
      </c>
      <c r="AE15" s="232" t="e">
        <f t="shared" si="13"/>
        <v>#VALUE!</v>
      </c>
      <c r="AF15" s="232" t="e">
        <f t="shared" si="14"/>
        <v>#VALUE!</v>
      </c>
      <c r="AG15" s="232" t="e">
        <f t="shared" si="14"/>
        <v>#VALUE!</v>
      </c>
      <c r="AH15" s="232" t="e">
        <f t="shared" si="14"/>
        <v>#VALUE!</v>
      </c>
      <c r="AI15" s="232" t="e">
        <f t="shared" si="14"/>
        <v>#VALUE!</v>
      </c>
      <c r="AJ15" s="232" t="e">
        <f t="shared" si="14"/>
        <v>#VALUE!</v>
      </c>
      <c r="AK15" s="232" t="e">
        <f t="shared" si="14"/>
        <v>#VALUE!</v>
      </c>
      <c r="AL15" s="232" t="e">
        <f t="shared" si="14"/>
        <v>#VALUE!</v>
      </c>
      <c r="AM15" s="232" t="e">
        <f t="shared" si="14"/>
        <v>#VALUE!</v>
      </c>
      <c r="AN15" s="232" t="e">
        <f t="shared" si="14"/>
        <v>#VALUE!</v>
      </c>
      <c r="AO15" s="232" t="e">
        <f t="shared" si="14"/>
        <v>#VALUE!</v>
      </c>
      <c r="AP15" s="232" t="e">
        <f t="shared" si="15"/>
        <v>#VALUE!</v>
      </c>
      <c r="AQ15" s="232" t="e">
        <f t="shared" si="15"/>
        <v>#VALUE!</v>
      </c>
      <c r="AR15" s="232" t="e">
        <f t="shared" si="15"/>
        <v>#VALUE!</v>
      </c>
      <c r="AS15" s="232" t="e">
        <f t="shared" si="15"/>
        <v>#VALUE!</v>
      </c>
      <c r="AT15" s="232" t="e">
        <f t="shared" si="15"/>
        <v>#VALUE!</v>
      </c>
      <c r="AU15" s="232" t="e">
        <f t="shared" si="15"/>
        <v>#VALUE!</v>
      </c>
      <c r="AV15" s="232" t="e">
        <f t="shared" si="15"/>
        <v>#VALUE!</v>
      </c>
      <c r="AW15" s="232" t="e">
        <f t="shared" si="15"/>
        <v>#VALUE!</v>
      </c>
      <c r="AX15" s="232" t="e">
        <f t="shared" si="15"/>
        <v>#VALUE!</v>
      </c>
      <c r="AY15" s="232" t="e">
        <f t="shared" si="15"/>
        <v>#VALUE!</v>
      </c>
      <c r="AZ15" s="232" t="e">
        <f t="shared" si="16"/>
        <v>#VALUE!</v>
      </c>
      <c r="BA15" s="232" t="e">
        <f t="shared" si="16"/>
        <v>#VALUE!</v>
      </c>
      <c r="BB15" s="232" t="e">
        <f t="shared" si="16"/>
        <v>#VALUE!</v>
      </c>
      <c r="BC15" s="232" t="e">
        <f t="shared" si="16"/>
        <v>#VALUE!</v>
      </c>
      <c r="BD15" s="232" t="e">
        <f t="shared" si="16"/>
        <v>#VALUE!</v>
      </c>
      <c r="BE15" s="232" t="e">
        <f t="shared" si="16"/>
        <v>#VALUE!</v>
      </c>
      <c r="BF15" s="232" t="e">
        <f t="shared" si="16"/>
        <v>#VALUE!</v>
      </c>
      <c r="BG15" s="232" t="e">
        <f t="shared" si="16"/>
        <v>#VALUE!</v>
      </c>
      <c r="BH15" s="232" t="e">
        <f t="shared" si="16"/>
        <v>#VALUE!</v>
      </c>
      <c r="BI15" s="232" t="e">
        <f t="shared" si="16"/>
        <v>#VALUE!</v>
      </c>
      <c r="BJ15" s="232" t="e">
        <f t="shared" si="17"/>
        <v>#VALUE!</v>
      </c>
      <c r="BK15" s="232" t="e">
        <f t="shared" si="17"/>
        <v>#VALUE!</v>
      </c>
      <c r="BL15" s="232" t="e">
        <f t="shared" si="17"/>
        <v>#VALUE!</v>
      </c>
      <c r="BM15" s="232" t="e">
        <f t="shared" si="17"/>
        <v>#VALUE!</v>
      </c>
      <c r="BN15" s="232" t="e">
        <f t="shared" si="17"/>
        <v>#VALUE!</v>
      </c>
      <c r="BO15" s="232" t="e">
        <f t="shared" si="17"/>
        <v>#VALUE!</v>
      </c>
      <c r="BP15" s="232" t="e">
        <f t="shared" si="17"/>
        <v>#VALUE!</v>
      </c>
      <c r="BQ15" s="232" t="e">
        <f t="shared" si="17"/>
        <v>#VALUE!</v>
      </c>
      <c r="BR15" s="232" t="e">
        <f t="shared" si="17"/>
        <v>#VALUE!</v>
      </c>
      <c r="BS15" s="232" t="e">
        <f t="shared" si="17"/>
        <v>#VALUE!</v>
      </c>
      <c r="BT15" s="232" t="e">
        <f t="shared" si="18"/>
        <v>#VALUE!</v>
      </c>
      <c r="BU15" s="232" t="e">
        <f t="shared" si="18"/>
        <v>#VALUE!</v>
      </c>
      <c r="BV15" s="232" t="e">
        <f t="shared" si="18"/>
        <v>#VALUE!</v>
      </c>
      <c r="BW15" s="232" t="e">
        <f t="shared" si="18"/>
        <v>#VALUE!</v>
      </c>
      <c r="BX15" s="232" t="e">
        <f t="shared" si="18"/>
        <v>#VALUE!</v>
      </c>
      <c r="BY15" s="232" t="e">
        <f t="shared" si="18"/>
        <v>#VALUE!</v>
      </c>
      <c r="BZ15" s="232" t="e">
        <f t="shared" si="18"/>
        <v>#VALUE!</v>
      </c>
      <c r="CA15" s="232" t="e">
        <f t="shared" si="18"/>
        <v>#VALUE!</v>
      </c>
      <c r="CB15" s="232" t="e">
        <f t="shared" si="18"/>
        <v>#VALUE!</v>
      </c>
      <c r="CC15" s="232" t="e">
        <f t="shared" si="18"/>
        <v>#VALUE!</v>
      </c>
      <c r="CD15" s="232" t="e">
        <f t="shared" si="19"/>
        <v>#VALUE!</v>
      </c>
      <c r="CE15" s="232" t="e">
        <f t="shared" si="19"/>
        <v>#VALUE!</v>
      </c>
      <c r="CF15" s="232" t="e">
        <f t="shared" si="19"/>
        <v>#VALUE!</v>
      </c>
      <c r="CG15" s="232" t="e">
        <f t="shared" si="19"/>
        <v>#VALUE!</v>
      </c>
      <c r="CH15" s="232" t="e">
        <f t="shared" si="19"/>
        <v>#VALUE!</v>
      </c>
      <c r="CI15" s="232" t="e">
        <f t="shared" si="19"/>
        <v>#VALUE!</v>
      </c>
      <c r="CJ15" s="232" t="e">
        <f t="shared" si="19"/>
        <v>#VALUE!</v>
      </c>
      <c r="CK15" s="232" t="e">
        <f t="shared" si="19"/>
        <v>#VALUE!</v>
      </c>
      <c r="CL15" s="232" t="e">
        <f t="shared" si="19"/>
        <v>#VALUE!</v>
      </c>
      <c r="CM15" s="232" t="e">
        <f t="shared" si="19"/>
        <v>#VALUE!</v>
      </c>
      <c r="CN15" s="232" t="e">
        <f t="shared" si="20"/>
        <v>#VALUE!</v>
      </c>
      <c r="CO15" s="232" t="e">
        <f t="shared" si="20"/>
        <v>#VALUE!</v>
      </c>
      <c r="CP15" s="232" t="e">
        <f t="shared" si="20"/>
        <v>#VALUE!</v>
      </c>
      <c r="CQ15" s="232" t="e">
        <f t="shared" si="20"/>
        <v>#VALUE!</v>
      </c>
      <c r="CR15" s="232" t="e">
        <f t="shared" si="20"/>
        <v>#VALUE!</v>
      </c>
      <c r="CS15" s="232" t="e">
        <f t="shared" si="20"/>
        <v>#VALUE!</v>
      </c>
      <c r="CT15" s="232" t="e">
        <f t="shared" si="20"/>
        <v>#VALUE!</v>
      </c>
      <c r="CU15" s="232" t="e">
        <f t="shared" si="20"/>
        <v>#VALUE!</v>
      </c>
      <c r="CV15" s="232" t="e">
        <f t="shared" si="20"/>
        <v>#VALUE!</v>
      </c>
      <c r="CW15" s="232" t="e">
        <f t="shared" si="20"/>
        <v>#VALUE!</v>
      </c>
      <c r="CX15" s="232" t="e">
        <f t="shared" si="21"/>
        <v>#VALUE!</v>
      </c>
      <c r="CY15" s="232" t="e">
        <f t="shared" si="21"/>
        <v>#VALUE!</v>
      </c>
      <c r="CZ15" s="232" t="e">
        <f t="shared" si="21"/>
        <v>#VALUE!</v>
      </c>
      <c r="DA15" s="232" t="e">
        <f t="shared" si="21"/>
        <v>#VALUE!</v>
      </c>
      <c r="DB15" s="232" t="e">
        <f t="shared" si="21"/>
        <v>#VALUE!</v>
      </c>
      <c r="DC15" s="232" t="e">
        <f t="shared" si="21"/>
        <v>#VALUE!</v>
      </c>
      <c r="DD15" s="232" t="e">
        <f t="shared" si="21"/>
        <v>#VALUE!</v>
      </c>
      <c r="DE15" s="232" t="e">
        <f t="shared" si="21"/>
        <v>#VALUE!</v>
      </c>
      <c r="DF15" s="232" t="e">
        <f t="shared" si="21"/>
        <v>#VALUE!</v>
      </c>
      <c r="DG15" s="232" t="e">
        <f t="shared" si="21"/>
        <v>#VALUE!</v>
      </c>
      <c r="DH15" s="232" t="e">
        <f t="shared" si="22"/>
        <v>#VALUE!</v>
      </c>
      <c r="DI15" s="232" t="e">
        <f t="shared" si="22"/>
        <v>#VALUE!</v>
      </c>
      <c r="DJ15" s="232" t="e">
        <f t="shared" si="22"/>
        <v>#VALUE!</v>
      </c>
      <c r="DK15" s="232" t="e">
        <f t="shared" si="22"/>
        <v>#VALUE!</v>
      </c>
      <c r="DL15" s="232" t="e">
        <f t="shared" si="22"/>
        <v>#VALUE!</v>
      </c>
      <c r="DM15" s="232" t="e">
        <f t="shared" si="22"/>
        <v>#VALUE!</v>
      </c>
      <c r="DN15" s="232" t="e">
        <f t="shared" si="22"/>
        <v>#VALUE!</v>
      </c>
      <c r="DO15" s="232" t="e">
        <f t="shared" si="22"/>
        <v>#VALUE!</v>
      </c>
      <c r="DP15" s="232" t="e">
        <f t="shared" si="22"/>
        <v>#VALUE!</v>
      </c>
      <c r="DQ15" s="232" t="e">
        <f t="shared" si="22"/>
        <v>#VALUE!</v>
      </c>
      <c r="DR15" s="232" t="e">
        <f t="shared" si="23"/>
        <v>#VALUE!</v>
      </c>
      <c r="DS15" s="232" t="e">
        <f t="shared" si="23"/>
        <v>#VALUE!</v>
      </c>
      <c r="DT15" s="232" t="e">
        <f t="shared" si="23"/>
        <v>#VALUE!</v>
      </c>
      <c r="DU15" s="232" t="e">
        <f t="shared" si="23"/>
        <v>#VALUE!</v>
      </c>
      <c r="DV15" s="232" t="e">
        <f t="shared" si="23"/>
        <v>#VALUE!</v>
      </c>
      <c r="DW15" s="232" t="e">
        <f t="shared" si="23"/>
        <v>#VALUE!</v>
      </c>
      <c r="DX15" s="232" t="e">
        <f t="shared" si="23"/>
        <v>#VALUE!</v>
      </c>
      <c r="DY15" s="232" t="e">
        <f t="shared" si="23"/>
        <v>#VALUE!</v>
      </c>
      <c r="DZ15" s="232" t="e">
        <f t="shared" si="23"/>
        <v>#VALUE!</v>
      </c>
      <c r="EA15" s="232" t="e">
        <f t="shared" si="23"/>
        <v>#VALUE!</v>
      </c>
      <c r="EB15" s="232" t="e">
        <f t="shared" si="24"/>
        <v>#VALUE!</v>
      </c>
      <c r="EC15" s="232" t="e">
        <f t="shared" si="24"/>
        <v>#VALUE!</v>
      </c>
      <c r="ED15" s="232" t="e">
        <f t="shared" si="24"/>
        <v>#VALUE!</v>
      </c>
      <c r="EE15" s="232" t="e">
        <f t="shared" si="24"/>
        <v>#VALUE!</v>
      </c>
      <c r="EF15" s="232" t="e">
        <f t="shared" si="24"/>
        <v>#VALUE!</v>
      </c>
      <c r="EG15" s="232" t="e">
        <f t="shared" si="24"/>
        <v>#VALUE!</v>
      </c>
      <c r="EH15" s="232" t="e">
        <f t="shared" si="24"/>
        <v>#VALUE!</v>
      </c>
      <c r="EI15" s="232" t="e">
        <f t="shared" si="24"/>
        <v>#VALUE!</v>
      </c>
      <c r="EJ15" s="232" t="e">
        <f t="shared" si="24"/>
        <v>#VALUE!</v>
      </c>
      <c r="EK15" s="232" t="e">
        <f t="shared" si="24"/>
        <v>#VALUE!</v>
      </c>
      <c r="EL15" s="232" t="e">
        <f t="shared" si="25"/>
        <v>#VALUE!</v>
      </c>
      <c r="EM15" s="232" t="e">
        <f t="shared" si="25"/>
        <v>#VALUE!</v>
      </c>
      <c r="EN15" s="232" t="e">
        <f t="shared" si="25"/>
        <v>#VALUE!</v>
      </c>
      <c r="EO15" s="232" t="e">
        <f t="shared" si="25"/>
        <v>#VALUE!</v>
      </c>
      <c r="EP15" s="232" t="e">
        <f t="shared" si="25"/>
        <v>#VALUE!</v>
      </c>
      <c r="EQ15" s="232" t="e">
        <f t="shared" si="25"/>
        <v>#VALUE!</v>
      </c>
      <c r="ER15" s="232" t="e">
        <f t="shared" si="25"/>
        <v>#VALUE!</v>
      </c>
      <c r="ES15" s="232" t="e">
        <f t="shared" si="25"/>
        <v>#VALUE!</v>
      </c>
      <c r="ET15" s="232" t="e">
        <f t="shared" si="25"/>
        <v>#VALUE!</v>
      </c>
      <c r="EU15" s="232" t="e">
        <f t="shared" si="25"/>
        <v>#VALUE!</v>
      </c>
      <c r="EV15" s="232" t="e">
        <f t="shared" si="26"/>
        <v>#VALUE!</v>
      </c>
      <c r="EW15" s="232" t="e">
        <f t="shared" si="26"/>
        <v>#VALUE!</v>
      </c>
      <c r="EX15" s="232" t="e">
        <f t="shared" si="26"/>
        <v>#VALUE!</v>
      </c>
      <c r="EY15" s="232" t="e">
        <f t="shared" si="26"/>
        <v>#VALUE!</v>
      </c>
      <c r="EZ15" s="232" t="e">
        <f t="shared" si="26"/>
        <v>#VALUE!</v>
      </c>
      <c r="FA15" s="232" t="e">
        <f t="shared" si="26"/>
        <v>#VALUE!</v>
      </c>
      <c r="FB15" s="232" t="e">
        <f t="shared" si="26"/>
        <v>#VALUE!</v>
      </c>
      <c r="FC15" s="232" t="e">
        <f t="shared" si="26"/>
        <v>#VALUE!</v>
      </c>
      <c r="FD15" s="232" t="e">
        <f t="shared" si="26"/>
        <v>#VALUE!</v>
      </c>
      <c r="FE15" s="232" t="e">
        <f t="shared" si="26"/>
        <v>#VALUE!</v>
      </c>
      <c r="FF15" s="232" t="e">
        <f t="shared" si="27"/>
        <v>#VALUE!</v>
      </c>
      <c r="FG15" s="232" t="e">
        <f t="shared" si="27"/>
        <v>#VALUE!</v>
      </c>
      <c r="FH15" s="232" t="e">
        <f t="shared" si="27"/>
        <v>#VALUE!</v>
      </c>
      <c r="FI15" s="232" t="e">
        <f t="shared" si="27"/>
        <v>#VALUE!</v>
      </c>
      <c r="FJ15" s="232" t="e">
        <f t="shared" si="27"/>
        <v>#VALUE!</v>
      </c>
      <c r="FK15" s="232" t="e">
        <f t="shared" si="27"/>
        <v>#VALUE!</v>
      </c>
      <c r="FL15" s="232" t="e">
        <f t="shared" si="27"/>
        <v>#VALUE!</v>
      </c>
      <c r="FM15" s="232" t="e">
        <f t="shared" si="27"/>
        <v>#VALUE!</v>
      </c>
      <c r="FN15" s="232" t="e">
        <f t="shared" si="27"/>
        <v>#VALUE!</v>
      </c>
      <c r="FO15" s="232" t="e">
        <f t="shared" si="27"/>
        <v>#VALUE!</v>
      </c>
      <c r="FP15" s="232" t="e">
        <f t="shared" si="28"/>
        <v>#VALUE!</v>
      </c>
      <c r="FQ15" s="232" t="e">
        <f t="shared" si="28"/>
        <v>#VALUE!</v>
      </c>
      <c r="FR15" s="232" t="e">
        <f t="shared" si="28"/>
        <v>#VALUE!</v>
      </c>
      <c r="FS15" s="232" t="e">
        <f t="shared" si="28"/>
        <v>#VALUE!</v>
      </c>
      <c r="FT15" s="232" t="e">
        <f t="shared" si="28"/>
        <v>#VALUE!</v>
      </c>
      <c r="FU15" s="232" t="e">
        <f t="shared" si="28"/>
        <v>#VALUE!</v>
      </c>
      <c r="FV15" s="232" t="e">
        <f t="shared" si="28"/>
        <v>#VALUE!</v>
      </c>
      <c r="FW15" s="232" t="e">
        <f t="shared" si="28"/>
        <v>#VALUE!</v>
      </c>
      <c r="FX15" s="232" t="e">
        <f t="shared" si="28"/>
        <v>#VALUE!</v>
      </c>
      <c r="FY15" s="232" t="e">
        <f t="shared" si="28"/>
        <v>#VALUE!</v>
      </c>
      <c r="FZ15" s="232" t="e">
        <f t="shared" si="29"/>
        <v>#VALUE!</v>
      </c>
      <c r="GA15" s="232" t="e">
        <f t="shared" si="29"/>
        <v>#VALUE!</v>
      </c>
      <c r="GB15" s="232" t="e">
        <f t="shared" si="29"/>
        <v>#VALUE!</v>
      </c>
      <c r="GC15" s="232" t="e">
        <f t="shared" si="29"/>
        <v>#VALUE!</v>
      </c>
      <c r="GD15" s="232" t="e">
        <f t="shared" si="29"/>
        <v>#VALUE!</v>
      </c>
      <c r="GE15" s="232" t="e">
        <f t="shared" si="29"/>
        <v>#VALUE!</v>
      </c>
      <c r="GF15" s="232" t="e">
        <f t="shared" si="29"/>
        <v>#VALUE!</v>
      </c>
      <c r="GG15" s="232" t="e">
        <f t="shared" si="29"/>
        <v>#VALUE!</v>
      </c>
      <c r="GH15" s="232" t="e">
        <f t="shared" si="29"/>
        <v>#VALUE!</v>
      </c>
      <c r="GI15" s="232" t="e">
        <f t="shared" si="29"/>
        <v>#VALUE!</v>
      </c>
      <c r="GJ15" s="232" t="e">
        <f t="shared" si="30"/>
        <v>#VALUE!</v>
      </c>
      <c r="GK15" s="232" t="e">
        <f t="shared" si="30"/>
        <v>#VALUE!</v>
      </c>
      <c r="GL15" s="232" t="e">
        <f t="shared" si="30"/>
        <v>#VALUE!</v>
      </c>
      <c r="GM15" s="232" t="e">
        <f t="shared" si="30"/>
        <v>#VALUE!</v>
      </c>
      <c r="GN15" s="232" t="e">
        <f t="shared" si="30"/>
        <v>#VALUE!</v>
      </c>
      <c r="GO15" s="232" t="e">
        <f t="shared" si="30"/>
        <v>#VALUE!</v>
      </c>
      <c r="GP15" s="232" t="e">
        <f t="shared" si="30"/>
        <v>#VALUE!</v>
      </c>
      <c r="GQ15" s="232" t="e">
        <f t="shared" si="30"/>
        <v>#VALUE!</v>
      </c>
      <c r="GR15" s="232" t="e">
        <f t="shared" si="30"/>
        <v>#VALUE!</v>
      </c>
      <c r="GS15" s="232" t="e">
        <f t="shared" si="30"/>
        <v>#VALUE!</v>
      </c>
      <c r="GT15" s="232" t="e">
        <f t="shared" si="31"/>
        <v>#VALUE!</v>
      </c>
      <c r="GU15" s="232" t="e">
        <f t="shared" si="31"/>
        <v>#VALUE!</v>
      </c>
      <c r="GV15" s="232" t="e">
        <f t="shared" si="31"/>
        <v>#VALUE!</v>
      </c>
      <c r="GW15" s="232" t="e">
        <f t="shared" si="31"/>
        <v>#VALUE!</v>
      </c>
      <c r="GX15" s="232" t="e">
        <f t="shared" si="31"/>
        <v>#VALUE!</v>
      </c>
      <c r="GY15" s="232" t="e">
        <f t="shared" si="31"/>
        <v>#VALUE!</v>
      </c>
      <c r="GZ15" s="232" t="e">
        <f t="shared" si="31"/>
        <v>#VALUE!</v>
      </c>
      <c r="HA15" s="232" t="e">
        <f t="shared" si="31"/>
        <v>#VALUE!</v>
      </c>
      <c r="HB15" s="232" t="e">
        <f t="shared" si="31"/>
        <v>#VALUE!</v>
      </c>
      <c r="HC15" s="232" t="e">
        <f t="shared" si="31"/>
        <v>#VALUE!</v>
      </c>
      <c r="HD15" s="232" t="e">
        <f t="shared" si="32"/>
        <v>#VALUE!</v>
      </c>
      <c r="HE15" s="232" t="e">
        <f t="shared" si="32"/>
        <v>#VALUE!</v>
      </c>
      <c r="HF15" s="232" t="e">
        <f t="shared" si="32"/>
        <v>#VALUE!</v>
      </c>
      <c r="HG15" s="232" t="e">
        <f t="shared" si="32"/>
        <v>#VALUE!</v>
      </c>
      <c r="HH15" s="232" t="e">
        <f t="shared" si="32"/>
        <v>#VALUE!</v>
      </c>
      <c r="HI15" s="232" t="e">
        <f t="shared" si="32"/>
        <v>#VALUE!</v>
      </c>
      <c r="HJ15" s="232" t="e">
        <f t="shared" si="32"/>
        <v>#VALUE!</v>
      </c>
      <c r="HK15" s="232" t="e">
        <f t="shared" si="32"/>
        <v>#VALUE!</v>
      </c>
      <c r="HL15" s="232" t="e">
        <f t="shared" si="32"/>
        <v>#VALUE!</v>
      </c>
      <c r="HM15" s="232" t="e">
        <f t="shared" si="32"/>
        <v>#VALUE!</v>
      </c>
      <c r="HN15" s="232" t="e">
        <f t="shared" si="33"/>
        <v>#VALUE!</v>
      </c>
      <c r="HO15" s="232" t="e">
        <f t="shared" si="33"/>
        <v>#VALUE!</v>
      </c>
      <c r="HP15" s="232" t="e">
        <f t="shared" si="33"/>
        <v>#VALUE!</v>
      </c>
      <c r="HQ15" s="232" t="e">
        <f t="shared" si="33"/>
        <v>#VALUE!</v>
      </c>
      <c r="HR15" s="232" t="e">
        <f t="shared" si="33"/>
        <v>#VALUE!</v>
      </c>
      <c r="HS15" s="232" t="e">
        <f t="shared" si="33"/>
        <v>#VALUE!</v>
      </c>
      <c r="HT15" s="232" t="e">
        <f t="shared" si="33"/>
        <v>#VALUE!</v>
      </c>
      <c r="HU15" s="232" t="e">
        <f t="shared" si="33"/>
        <v>#VALUE!</v>
      </c>
      <c r="HV15" s="232" t="e">
        <f t="shared" si="33"/>
        <v>#VALUE!</v>
      </c>
      <c r="HW15" s="232" t="e">
        <f t="shared" si="33"/>
        <v>#VALUE!</v>
      </c>
      <c r="HX15" s="232" t="e">
        <f t="shared" si="34"/>
        <v>#VALUE!</v>
      </c>
      <c r="HY15" s="232" t="e">
        <f t="shared" si="34"/>
        <v>#VALUE!</v>
      </c>
      <c r="HZ15" s="232" t="e">
        <f t="shared" si="34"/>
        <v>#VALUE!</v>
      </c>
      <c r="IA15" s="232" t="e">
        <f t="shared" si="34"/>
        <v>#VALUE!</v>
      </c>
      <c r="IB15" s="232" t="e">
        <f t="shared" si="34"/>
        <v>#VALUE!</v>
      </c>
      <c r="IC15" s="232" t="e">
        <f t="shared" si="34"/>
        <v>#VALUE!</v>
      </c>
      <c r="ID15" s="232" t="e">
        <f t="shared" si="34"/>
        <v>#VALUE!</v>
      </c>
      <c r="IE15" s="232" t="e">
        <f t="shared" si="34"/>
        <v>#VALUE!</v>
      </c>
      <c r="IF15" s="232" t="e">
        <f t="shared" si="34"/>
        <v>#VALUE!</v>
      </c>
      <c r="IG15" s="232" t="e">
        <f t="shared" si="34"/>
        <v>#VALUE!</v>
      </c>
      <c r="IH15" s="232" t="e">
        <f t="shared" si="35"/>
        <v>#VALUE!</v>
      </c>
      <c r="II15" s="232" t="e">
        <f t="shared" si="35"/>
        <v>#VALUE!</v>
      </c>
      <c r="IJ15" s="232" t="e">
        <f t="shared" si="35"/>
        <v>#VALUE!</v>
      </c>
      <c r="IK15" s="232" t="e">
        <f t="shared" si="35"/>
        <v>#VALUE!</v>
      </c>
      <c r="IL15" s="232" t="e">
        <f t="shared" si="35"/>
        <v>#VALUE!</v>
      </c>
      <c r="IM15" s="232" t="e">
        <f t="shared" si="35"/>
        <v>#VALUE!</v>
      </c>
      <c r="IN15" s="232" t="e">
        <f t="shared" si="35"/>
        <v>#VALUE!</v>
      </c>
      <c r="IO15" s="232" t="e">
        <f t="shared" si="35"/>
        <v>#VALUE!</v>
      </c>
      <c r="IP15" s="232" t="e">
        <f t="shared" si="35"/>
        <v>#VALUE!</v>
      </c>
      <c r="IQ15" s="232" t="e">
        <f t="shared" si="35"/>
        <v>#VALUE!</v>
      </c>
      <c r="IR15" s="232" t="e">
        <f t="shared" si="36"/>
        <v>#VALUE!</v>
      </c>
      <c r="IS15" s="232" t="e">
        <f t="shared" si="36"/>
        <v>#VALUE!</v>
      </c>
      <c r="IT15" s="232" t="e">
        <f t="shared" si="36"/>
        <v>#VALUE!</v>
      </c>
      <c r="IU15" s="232" t="e">
        <f t="shared" si="36"/>
        <v>#VALUE!</v>
      </c>
      <c r="IV15" s="232" t="e">
        <f t="shared" si="36"/>
        <v>#VALUE!</v>
      </c>
      <c r="IW15" s="232" t="e">
        <f t="shared" si="36"/>
        <v>#VALUE!</v>
      </c>
      <c r="IX15" s="232" t="e">
        <f t="shared" si="36"/>
        <v>#VALUE!</v>
      </c>
      <c r="IY15" s="232" t="e">
        <f t="shared" si="36"/>
        <v>#VALUE!</v>
      </c>
      <c r="IZ15" s="232" t="e">
        <f t="shared" si="36"/>
        <v>#VALUE!</v>
      </c>
      <c r="JA15" s="232" t="e">
        <f t="shared" si="36"/>
        <v>#VALUE!</v>
      </c>
      <c r="JB15" s="232" t="e">
        <f t="shared" si="37"/>
        <v>#VALUE!</v>
      </c>
      <c r="JC15" s="232" t="e">
        <f t="shared" si="37"/>
        <v>#VALUE!</v>
      </c>
      <c r="JD15" s="232" t="e">
        <f t="shared" si="37"/>
        <v>#VALUE!</v>
      </c>
      <c r="JE15" s="232" t="e">
        <f t="shared" si="37"/>
        <v>#VALUE!</v>
      </c>
      <c r="JF15" s="232" t="e">
        <f t="shared" si="37"/>
        <v>#VALUE!</v>
      </c>
      <c r="JG15" s="232" t="e">
        <f t="shared" si="37"/>
        <v>#VALUE!</v>
      </c>
      <c r="JH15" s="232" t="e">
        <f t="shared" si="37"/>
        <v>#VALUE!</v>
      </c>
      <c r="JI15" s="232" t="e">
        <f t="shared" si="37"/>
        <v>#VALUE!</v>
      </c>
      <c r="JJ15" s="232" t="e">
        <f t="shared" si="37"/>
        <v>#VALUE!</v>
      </c>
      <c r="JK15" s="232"/>
      <c r="JL15" s="232"/>
      <c r="JM15" s="232"/>
      <c r="JN15" s="232"/>
      <c r="JO15" s="232"/>
      <c r="JP15" s="232"/>
      <c r="JQ15" s="232"/>
      <c r="JR15" s="232"/>
      <c r="JS15" s="232"/>
      <c r="JT15" s="232"/>
      <c r="JU15" s="232"/>
      <c r="JV15" s="232"/>
      <c r="JW15" s="232"/>
      <c r="JX15" s="232"/>
      <c r="JY15" s="232"/>
      <c r="JZ15" s="232"/>
      <c r="KA15" s="232"/>
      <c r="KB15" s="232"/>
      <c r="KC15" s="232"/>
      <c r="KD15" s="232"/>
      <c r="KE15" s="232"/>
      <c r="KF15" s="232"/>
      <c r="KG15" s="232"/>
      <c r="KH15" s="232"/>
      <c r="KI15" s="232"/>
      <c r="KJ15" s="232"/>
      <c r="KK15" s="232"/>
      <c r="KL15" s="232"/>
      <c r="KM15" s="232"/>
      <c r="KN15" s="232"/>
      <c r="KO15" s="232"/>
      <c r="KP15" s="232"/>
      <c r="KQ15" s="232"/>
      <c r="KR15" s="232"/>
      <c r="KS15" s="232"/>
      <c r="KT15" s="232"/>
      <c r="KU15" s="232"/>
      <c r="KV15" s="232"/>
      <c r="KW15" s="232"/>
      <c r="KX15" s="232"/>
      <c r="KY15" s="232"/>
      <c r="KZ15" s="232"/>
      <c r="LA15" s="232"/>
      <c r="LB15" s="232"/>
      <c r="LC15" s="232"/>
      <c r="LD15" s="232"/>
      <c r="LE15" s="232"/>
      <c r="LF15" s="232"/>
      <c r="LG15" s="232"/>
      <c r="LH15" s="232"/>
      <c r="LI15" s="232"/>
      <c r="LJ15" s="232"/>
      <c r="LK15" s="232"/>
      <c r="LL15" s="232"/>
      <c r="LM15" s="232"/>
      <c r="LN15" s="232"/>
      <c r="LO15" s="232"/>
      <c r="LP15" s="232"/>
      <c r="LQ15" s="232"/>
      <c r="LR15" s="232"/>
      <c r="LS15" s="232"/>
      <c r="LT15" s="232"/>
      <c r="LU15" s="232"/>
      <c r="LV15" s="232"/>
      <c r="LW15" s="232"/>
      <c r="LX15" s="232"/>
      <c r="LY15" s="232"/>
      <c r="LZ15" s="232"/>
      <c r="MA15" s="232"/>
      <c r="MB15" s="232"/>
      <c r="MC15" s="232"/>
      <c r="MD15" s="232"/>
      <c r="ME15" s="232"/>
      <c r="MF15" s="232"/>
      <c r="MG15" s="232"/>
      <c r="MH15" s="232"/>
      <c r="MI15" s="232"/>
      <c r="MJ15" s="232"/>
      <c r="MK15" s="232"/>
      <c r="ML15" s="232"/>
      <c r="MM15" s="232"/>
      <c r="MN15" s="232"/>
      <c r="MO15" s="232"/>
      <c r="MP15" s="232"/>
      <c r="MQ15" s="232"/>
      <c r="MR15" s="232"/>
      <c r="MS15" s="232"/>
      <c r="MT15" s="232"/>
      <c r="MU15" s="232"/>
      <c r="MV15" s="232"/>
      <c r="MW15" s="232"/>
      <c r="MX15" s="232"/>
      <c r="MY15" s="232"/>
      <c r="MZ15" s="232"/>
      <c r="NA15" s="232"/>
      <c r="NB15" s="232"/>
      <c r="NC15" s="232"/>
      <c r="ND15" s="232"/>
      <c r="NE15" s="232"/>
      <c r="NF15" s="232"/>
      <c r="NG15" s="232"/>
      <c r="NH15" s="232"/>
      <c r="NI15" s="232"/>
      <c r="NJ15" s="232"/>
      <c r="NK15" s="232"/>
      <c r="NL15" s="232"/>
      <c r="NM15" s="232"/>
      <c r="NN15" s="232"/>
      <c r="NO15" s="232"/>
      <c r="NP15" s="232"/>
      <c r="NQ15" s="232"/>
      <c r="NR15" s="232"/>
      <c r="NS15" s="232"/>
      <c r="NT15" s="232"/>
      <c r="NU15" s="232"/>
      <c r="NV15" s="232"/>
      <c r="NW15" s="232"/>
      <c r="NX15" s="232"/>
      <c r="NY15" s="232"/>
      <c r="NZ15" s="232"/>
      <c r="OA15" s="232"/>
      <c r="OB15" s="232"/>
      <c r="OC15" s="232"/>
      <c r="OD15" s="232"/>
      <c r="OE15" s="232"/>
      <c r="OF15" s="232"/>
      <c r="OG15" s="232"/>
      <c r="OH15" s="232"/>
      <c r="OI15" s="232"/>
      <c r="OJ15" s="232"/>
      <c r="OK15" s="232"/>
      <c r="OL15" s="232"/>
      <c r="OM15" s="232"/>
      <c r="ON15" s="232"/>
      <c r="OO15" s="232"/>
      <c r="OP15" s="232"/>
      <c r="OQ15" s="232"/>
      <c r="OR15" s="232"/>
      <c r="OS15" s="232"/>
      <c r="OT15" s="232"/>
      <c r="OU15" s="232"/>
      <c r="OV15" s="232"/>
      <c r="OW15" s="232"/>
      <c r="OX15" s="232"/>
      <c r="OY15" s="232"/>
      <c r="OZ15" s="232"/>
      <c r="PA15" s="232"/>
      <c r="PB15" s="232"/>
      <c r="PC15" s="232"/>
      <c r="PD15" s="232"/>
      <c r="PE15" s="232"/>
      <c r="PF15" s="232"/>
      <c r="PG15" s="232"/>
      <c r="PH15" s="232"/>
      <c r="PI15" s="232"/>
      <c r="PJ15" s="232"/>
      <c r="PK15" s="232"/>
      <c r="PL15" s="232"/>
      <c r="PM15" s="232"/>
      <c r="PN15" s="232"/>
      <c r="PO15" s="232"/>
      <c r="PP15" s="232"/>
      <c r="PQ15" s="232"/>
      <c r="PR15" s="232"/>
      <c r="PS15" s="232"/>
      <c r="PT15" s="232"/>
      <c r="PU15" s="232"/>
      <c r="PV15" s="232"/>
      <c r="PW15" s="232"/>
      <c r="PX15" s="232"/>
      <c r="PY15" s="232"/>
      <c r="PZ15" s="232"/>
      <c r="QA15" s="232"/>
      <c r="QB15" s="232"/>
      <c r="QC15" s="232"/>
      <c r="QD15" s="232"/>
      <c r="QE15" s="232"/>
      <c r="QF15" s="232"/>
      <c r="QG15" s="232"/>
      <c r="QH15" s="232"/>
      <c r="QI15" s="232"/>
      <c r="QJ15" s="232"/>
      <c r="QK15" s="232"/>
      <c r="QL15" s="232"/>
      <c r="QM15" s="232"/>
      <c r="QN15" s="232"/>
      <c r="QO15" s="232"/>
      <c r="QP15" s="232"/>
      <c r="QQ15" s="232"/>
      <c r="QR15" s="232"/>
      <c r="QS15" s="232"/>
      <c r="QT15" s="232"/>
      <c r="QU15" s="232"/>
      <c r="QV15" s="232"/>
      <c r="QW15" s="232"/>
      <c r="QX15" s="232"/>
      <c r="QY15" s="232"/>
      <c r="QZ15" s="232"/>
      <c r="RA15" s="232"/>
      <c r="RB15" s="232"/>
      <c r="RC15" s="232"/>
      <c r="RD15" s="232"/>
      <c r="RE15" s="232"/>
      <c r="RF15" s="232"/>
      <c r="RG15" s="232"/>
      <c r="RH15" s="232"/>
      <c r="RI15" s="232"/>
      <c r="RJ15" s="232"/>
      <c r="RK15" s="232"/>
      <c r="RL15" s="232"/>
      <c r="RM15" s="232"/>
      <c r="RN15" s="232"/>
      <c r="RO15" s="232"/>
      <c r="RP15" s="232"/>
      <c r="RQ15" s="232"/>
      <c r="RR15" s="232"/>
      <c r="RS15" s="232"/>
      <c r="RT15" s="232"/>
      <c r="RU15" s="232"/>
      <c r="RV15" s="232"/>
      <c r="RW15" s="232"/>
      <c r="RX15" s="232"/>
      <c r="RY15" s="232"/>
      <c r="RZ15" s="232"/>
      <c r="SA15" s="232"/>
      <c r="SB15" s="232"/>
      <c r="SC15" s="232"/>
      <c r="SD15" s="232"/>
      <c r="SE15" s="232"/>
      <c r="SF15" s="232"/>
      <c r="SG15" s="232"/>
      <c r="SH15" s="232"/>
      <c r="SI15" s="232"/>
      <c r="SJ15" s="232"/>
      <c r="SK15" s="232"/>
      <c r="SL15" s="232"/>
      <c r="SM15" s="232"/>
      <c r="SN15" s="232"/>
      <c r="SO15" s="232"/>
      <c r="SP15" s="232"/>
      <c r="SQ15" s="232"/>
      <c r="SR15" s="232"/>
      <c r="SS15" s="232"/>
      <c r="ST15" s="232"/>
      <c r="SU15" s="232"/>
      <c r="SV15" s="232"/>
      <c r="SW15" s="232"/>
      <c r="SX15" s="232"/>
      <c r="SY15" s="232"/>
      <c r="SZ15" s="232"/>
      <c r="TA15" s="232"/>
      <c r="TB15" s="232"/>
      <c r="TC15" s="232"/>
      <c r="TD15" s="232"/>
      <c r="TE15" s="232"/>
      <c r="TF15" s="232"/>
      <c r="TG15" s="232"/>
      <c r="TH15" s="232"/>
      <c r="TI15" s="232"/>
      <c r="TJ15" s="232"/>
      <c r="TK15" s="232"/>
      <c r="TL15" s="232"/>
      <c r="TM15" s="232"/>
      <c r="TN15" s="232"/>
      <c r="TO15" s="232"/>
      <c r="TP15" s="232"/>
      <c r="TQ15" s="232"/>
      <c r="TR15" s="232"/>
      <c r="TS15" s="232"/>
      <c r="TT15" s="232"/>
      <c r="TU15" s="232"/>
      <c r="TV15" s="232"/>
      <c r="TW15" s="232"/>
      <c r="TX15" s="232"/>
      <c r="TY15" s="232"/>
      <c r="TZ15" s="232"/>
      <c r="UA15" s="232"/>
      <c r="UB15" s="232"/>
      <c r="UC15" s="232"/>
      <c r="UD15" s="232"/>
      <c r="UE15" s="232"/>
      <c r="UF15" s="232"/>
      <c r="UG15" s="232"/>
      <c r="UH15" s="232"/>
      <c r="UI15" s="232"/>
      <c r="UJ15" s="232"/>
      <c r="UK15" s="232"/>
      <c r="UL15" s="232"/>
      <c r="UM15" s="232"/>
      <c r="UN15" s="232"/>
      <c r="UO15" s="232"/>
      <c r="UP15" s="232"/>
      <c r="UQ15" s="232"/>
      <c r="UR15" s="232"/>
      <c r="US15" s="232"/>
      <c r="UT15" s="232"/>
      <c r="UU15" s="232"/>
      <c r="UV15" s="232"/>
      <c r="UW15" s="232"/>
      <c r="UX15" s="232"/>
      <c r="UY15" s="232"/>
      <c r="UZ15" s="232"/>
      <c r="VA15" s="232"/>
      <c r="VB15" s="232"/>
      <c r="VC15" s="232"/>
      <c r="VD15" s="232"/>
      <c r="VE15" s="232"/>
      <c r="VF15" s="232"/>
      <c r="VG15" s="232"/>
      <c r="VH15" s="232"/>
      <c r="VI15" s="232"/>
      <c r="VJ15" s="232"/>
      <c r="VK15" s="232"/>
      <c r="VL15" s="232"/>
      <c r="VM15" s="232"/>
      <c r="VN15" s="232"/>
      <c r="VO15" s="232"/>
      <c r="VP15" s="232"/>
      <c r="VQ15" s="232"/>
      <c r="VR15" s="232"/>
      <c r="VS15" s="232"/>
      <c r="VT15" s="232"/>
      <c r="VU15" s="232"/>
      <c r="VV15" s="232"/>
      <c r="VW15" s="232"/>
      <c r="VX15" s="232"/>
      <c r="VY15" s="232"/>
      <c r="VZ15" s="232"/>
      <c r="WA15" s="232"/>
      <c r="WB15" s="232"/>
      <c r="WC15" s="232"/>
      <c r="WD15" s="232"/>
      <c r="WE15" s="232"/>
      <c r="WF15" s="232"/>
      <c r="WG15" s="232"/>
      <c r="WH15" s="232"/>
      <c r="WI15" s="232"/>
      <c r="WJ15" s="232"/>
      <c r="WK15" s="232"/>
      <c r="WL15" s="232"/>
      <c r="WM15" s="232"/>
      <c r="WN15" s="232"/>
      <c r="WO15" s="232"/>
      <c r="WP15" s="232"/>
      <c r="WQ15" s="232"/>
      <c r="WR15" s="232"/>
      <c r="WS15" s="232"/>
      <c r="WT15" s="232"/>
      <c r="WU15" s="232"/>
      <c r="WV15" s="232"/>
      <c r="WW15" s="232"/>
      <c r="WX15" s="232"/>
      <c r="WY15" s="232"/>
      <c r="WZ15" s="232"/>
      <c r="XA15" s="232"/>
      <c r="XB15" s="232"/>
      <c r="XC15" s="232"/>
      <c r="XD15" s="232"/>
      <c r="XE15" s="232"/>
      <c r="XF15" s="232"/>
      <c r="XG15" s="232"/>
      <c r="XH15" s="232"/>
      <c r="XI15" s="232"/>
      <c r="XJ15" s="232"/>
      <c r="XK15" s="232"/>
      <c r="XL15" s="232"/>
      <c r="XM15" s="232"/>
      <c r="XN15" s="232"/>
      <c r="XO15" s="232"/>
      <c r="XP15" s="232"/>
      <c r="XQ15" s="232"/>
      <c r="XR15" s="232"/>
      <c r="XS15" s="232"/>
      <c r="XT15" s="232"/>
      <c r="XU15" s="232"/>
      <c r="XV15" s="232"/>
      <c r="XW15" s="232"/>
      <c r="XX15" s="232"/>
      <c r="XY15" s="232"/>
      <c r="XZ15" s="232"/>
      <c r="YA15" s="232"/>
      <c r="YB15" s="232"/>
      <c r="YC15" s="232"/>
      <c r="YD15" s="232"/>
      <c r="YE15" s="232"/>
      <c r="YF15" s="232"/>
      <c r="YG15" s="232"/>
      <c r="YH15" s="232"/>
      <c r="YI15" s="232"/>
      <c r="YJ15" s="232"/>
      <c r="YK15" s="232"/>
      <c r="YL15" s="232"/>
      <c r="YM15" s="232"/>
      <c r="YN15" s="232"/>
      <c r="YO15" s="232"/>
      <c r="YP15" s="232"/>
      <c r="YQ15" s="232"/>
      <c r="YR15" s="232"/>
      <c r="YS15" s="232"/>
      <c r="YT15" s="232"/>
      <c r="YU15" s="232"/>
      <c r="YV15" s="232"/>
      <c r="YW15" s="232"/>
      <c r="YX15" s="232"/>
      <c r="YY15" s="232"/>
      <c r="YZ15" s="232"/>
      <c r="ZA15" s="232"/>
      <c r="ZB15" s="232"/>
      <c r="ZC15" s="232"/>
      <c r="ZD15" s="232"/>
      <c r="ZE15" s="232"/>
      <c r="ZF15" s="232"/>
      <c r="ZG15" s="232"/>
      <c r="ZH15" s="232"/>
      <c r="ZI15" s="232"/>
      <c r="ZJ15" s="232"/>
      <c r="ZK15" s="232"/>
      <c r="ZL15" s="232"/>
      <c r="ZM15" s="232"/>
      <c r="ZN15" s="232"/>
      <c r="ZO15" s="232"/>
      <c r="ZP15" s="232"/>
      <c r="ZQ15" s="232"/>
      <c r="ZR15" s="232"/>
      <c r="ZS15" s="232"/>
      <c r="ZT15" s="232"/>
      <c r="ZU15" s="232"/>
      <c r="ZV15" s="232"/>
      <c r="ZW15" s="232"/>
      <c r="ZX15" s="232"/>
      <c r="ZY15" s="232"/>
      <c r="ZZ15" s="232"/>
      <c r="AAA15" s="232"/>
      <c r="AAB15" s="232"/>
      <c r="AAC15" s="232"/>
      <c r="AAD15" s="232"/>
      <c r="AAE15" s="232"/>
      <c r="AAF15" s="232"/>
      <c r="AAG15" s="232"/>
      <c r="AAH15" s="232"/>
      <c r="AAI15" s="232"/>
      <c r="AAJ15" s="232"/>
      <c r="AAK15" s="232"/>
      <c r="AAL15" s="232"/>
      <c r="AAM15" s="232"/>
      <c r="AAN15" s="232"/>
      <c r="AAO15" s="232"/>
      <c r="AAP15" s="232"/>
      <c r="AAQ15" s="232"/>
      <c r="AAR15" s="232"/>
      <c r="AAS15" s="232"/>
      <c r="AAT15" s="232"/>
      <c r="AAU15" s="232"/>
      <c r="AAV15" s="232"/>
      <c r="AAW15" s="232"/>
      <c r="AAX15" s="232"/>
      <c r="AAY15" s="232"/>
      <c r="AAZ15" s="232"/>
      <c r="ABA15" s="232"/>
      <c r="ABB15" s="232"/>
      <c r="ABC15" s="232"/>
      <c r="ABD15" s="232"/>
      <c r="ABE15" s="232"/>
      <c r="ABF15" s="232"/>
      <c r="ABG15" s="232"/>
      <c r="ABH15" s="232"/>
      <c r="ABI15" s="232"/>
      <c r="ABJ15" s="232"/>
      <c r="ABK15" s="232"/>
      <c r="ABL15" s="232"/>
      <c r="ABM15" s="232"/>
      <c r="ABN15" s="232"/>
      <c r="ABO15" s="232"/>
      <c r="ABP15" s="232"/>
      <c r="ABQ15" s="232"/>
      <c r="ABR15" s="232"/>
      <c r="ABS15" s="232"/>
      <c r="ABT15" s="232"/>
      <c r="ABU15" s="232"/>
      <c r="ABV15" s="232"/>
      <c r="ABW15" s="232"/>
      <c r="ABX15" s="232"/>
      <c r="ABY15" s="232"/>
      <c r="ABZ15" s="232"/>
      <c r="ACA15" s="232"/>
      <c r="ACB15" s="232"/>
      <c r="ACC15" s="232"/>
      <c r="ACD15" s="232"/>
      <c r="ACE15" s="232"/>
      <c r="ACF15" s="232"/>
      <c r="ACG15" s="232"/>
      <c r="ACH15" s="232"/>
      <c r="ACI15" s="232"/>
      <c r="ACJ15" s="232"/>
      <c r="ACK15" s="232"/>
      <c r="ACL15" s="232"/>
      <c r="ACM15" s="232"/>
      <c r="ACN15" s="232"/>
      <c r="ACO15" s="232"/>
      <c r="ACP15" s="232"/>
      <c r="ACQ15" s="232"/>
      <c r="ACR15" s="232"/>
      <c r="ACS15" s="232"/>
      <c r="ACT15" s="232"/>
      <c r="ACU15" s="232"/>
      <c r="ACV15" s="232"/>
      <c r="ACW15" s="232"/>
      <c r="ACX15" s="232"/>
      <c r="ACY15" s="232"/>
      <c r="ACZ15" s="232"/>
      <c r="ADA15" s="232"/>
      <c r="ADB15" s="232"/>
      <c r="ADC15" s="232"/>
      <c r="ADD15" s="232"/>
      <c r="ADE15" s="232"/>
      <c r="ADF15" s="232"/>
      <c r="ADG15" s="232"/>
      <c r="ADH15" s="232"/>
      <c r="ADI15" s="232"/>
      <c r="ADJ15" s="232"/>
      <c r="ADK15" s="232"/>
      <c r="ADL15" s="232"/>
      <c r="ADM15" s="232"/>
      <c r="ADN15" s="232"/>
      <c r="ADO15" s="232"/>
      <c r="ADP15" s="232"/>
      <c r="ADQ15" s="232"/>
      <c r="ADR15" s="232"/>
      <c r="ADS15" s="232"/>
      <c r="ADT15" s="232"/>
      <c r="ADU15" s="232"/>
      <c r="ADV15" s="232"/>
      <c r="ADW15" s="232"/>
      <c r="ADX15" s="232"/>
      <c r="ADY15" s="232"/>
      <c r="ADZ15" s="232"/>
      <c r="AEA15" s="232"/>
      <c r="AEB15" s="232"/>
      <c r="AEC15" s="232"/>
      <c r="AED15" s="232"/>
      <c r="AEE15" s="232"/>
      <c r="AEF15" s="232"/>
      <c r="AEG15" s="232"/>
      <c r="AEH15" s="232"/>
      <c r="AEI15" s="232"/>
      <c r="AEJ15" s="232"/>
      <c r="AEK15" s="232"/>
      <c r="AEL15" s="232"/>
      <c r="AEM15" s="232"/>
      <c r="AEN15" s="232"/>
      <c r="AEO15" s="232"/>
      <c r="AEP15" s="232"/>
      <c r="AEQ15" s="232"/>
      <c r="AER15" s="232"/>
      <c r="AES15" s="232"/>
      <c r="AET15" s="232"/>
      <c r="AEU15" s="232"/>
      <c r="AEV15" s="232"/>
      <c r="AEW15" s="232"/>
      <c r="AEX15" s="232"/>
      <c r="AEY15" s="232"/>
      <c r="AEZ15" s="232"/>
      <c r="AFA15" s="232"/>
      <c r="AFB15" s="232"/>
      <c r="AFC15" s="232"/>
      <c r="AFD15" s="232"/>
      <c r="AFE15" s="232"/>
      <c r="AFF15" s="232"/>
      <c r="AFG15" s="232"/>
      <c r="AFH15" s="232"/>
      <c r="AFI15" s="232"/>
      <c r="AFJ15" s="232"/>
      <c r="AFK15" s="232"/>
      <c r="AFL15" s="232"/>
      <c r="AFM15" s="232"/>
      <c r="AFN15" s="232"/>
      <c r="AFO15" s="232"/>
      <c r="AFP15" s="232"/>
      <c r="AFQ15" s="232"/>
      <c r="AFR15" s="232"/>
      <c r="AFS15" s="232"/>
      <c r="AFT15" s="232"/>
      <c r="AFU15" s="232"/>
      <c r="AFV15" s="232"/>
      <c r="AFW15" s="232"/>
      <c r="AFX15" s="232"/>
      <c r="AFY15" s="232"/>
      <c r="AFZ15" s="232"/>
      <c r="AGA15" s="232"/>
      <c r="AGB15" s="232"/>
      <c r="AGC15" s="232"/>
      <c r="AGD15" s="232"/>
      <c r="AGE15" s="232"/>
      <c r="AGF15" s="232"/>
      <c r="AGG15" s="232"/>
      <c r="AGH15" s="232"/>
      <c r="AGI15" s="232"/>
      <c r="AGJ15" s="232"/>
      <c r="AGK15" s="232"/>
      <c r="AGL15" s="232"/>
      <c r="AGM15" s="232"/>
      <c r="AGN15" s="232"/>
      <c r="AGO15" s="232"/>
      <c r="AGP15" s="232"/>
      <c r="AGQ15" s="232"/>
      <c r="AGR15" s="232"/>
      <c r="AGS15" s="232"/>
      <c r="AGT15" s="232"/>
      <c r="AGU15" s="232"/>
      <c r="AGV15" s="232"/>
      <c r="AGW15" s="232"/>
      <c r="AGX15" s="232"/>
      <c r="AGY15" s="232"/>
      <c r="AGZ15" s="232"/>
      <c r="AHA15" s="232"/>
      <c r="AHB15" s="232"/>
      <c r="AHC15" s="232"/>
      <c r="AHD15" s="232"/>
      <c r="AHE15" s="232"/>
      <c r="AHF15" s="232"/>
      <c r="AHG15" s="232"/>
      <c r="AHH15" s="232"/>
      <c r="AHI15" s="232"/>
      <c r="AHJ15" s="232"/>
      <c r="AHK15" s="232"/>
      <c r="AHL15" s="232"/>
      <c r="AHM15" s="232"/>
      <c r="AHN15" s="232"/>
      <c r="AHO15" s="232"/>
      <c r="AHP15" s="232"/>
      <c r="AHQ15" s="232"/>
      <c r="AHR15" s="232"/>
      <c r="AHS15" s="232"/>
      <c r="AHT15" s="232"/>
      <c r="AHU15" s="232"/>
      <c r="AHV15" s="232"/>
      <c r="AHW15" s="232"/>
      <c r="AHX15" s="232"/>
      <c r="AHY15" s="232"/>
      <c r="AHZ15" s="232"/>
      <c r="AIA15" s="232"/>
      <c r="AIB15" s="232"/>
      <c r="AIC15" s="232"/>
      <c r="AID15" s="232"/>
      <c r="AIE15" s="232"/>
      <c r="AIF15" s="232"/>
      <c r="AIG15" s="232"/>
      <c r="AIH15" s="232"/>
      <c r="AII15" s="232"/>
      <c r="AIJ15" s="232"/>
      <c r="AIK15" s="232"/>
      <c r="AIL15" s="232"/>
      <c r="AIM15" s="232"/>
      <c r="AIN15" s="232"/>
      <c r="AIO15" s="232"/>
      <c r="AIP15" s="232"/>
      <c r="AIQ15" s="232"/>
      <c r="AIR15" s="232"/>
      <c r="AIS15" s="232"/>
      <c r="AIT15" s="232"/>
      <c r="AIU15" s="232"/>
      <c r="AIV15" s="232"/>
      <c r="AIW15" s="232"/>
      <c r="AIX15" s="232"/>
      <c r="AIY15" s="232"/>
      <c r="AIZ15" s="232"/>
      <c r="AJA15" s="232"/>
      <c r="AJB15" s="232"/>
      <c r="AJC15" s="232"/>
      <c r="AJD15" s="232"/>
      <c r="AJE15" s="232"/>
      <c r="AJF15" s="232"/>
      <c r="AJG15" s="232"/>
      <c r="AJH15" s="232"/>
      <c r="AJI15" s="232"/>
      <c r="AJJ15" s="232"/>
      <c r="AJK15" s="232"/>
      <c r="AJL15" s="232"/>
      <c r="AJM15" s="232"/>
      <c r="AJN15" s="232"/>
      <c r="AJO15" s="232"/>
      <c r="AJP15" s="232"/>
      <c r="AJQ15" s="232"/>
      <c r="AJR15" s="232"/>
      <c r="AJS15" s="232"/>
      <c r="AJT15" s="232"/>
      <c r="AJU15" s="232"/>
      <c r="AJV15" s="232"/>
      <c r="AJW15" s="232"/>
      <c r="AJX15" s="232"/>
      <c r="AJY15" s="232"/>
      <c r="AJZ15" s="232"/>
      <c r="AKA15" s="232"/>
      <c r="AKB15" s="232"/>
      <c r="AKC15" s="232"/>
      <c r="AKD15" s="232"/>
      <c r="AKE15" s="232"/>
      <c r="AKF15" s="232"/>
      <c r="AKG15" s="232"/>
      <c r="AKH15" s="232"/>
      <c r="AKI15" s="232"/>
      <c r="AKJ15" s="232"/>
      <c r="AKK15" s="232"/>
      <c r="AKL15" s="232"/>
      <c r="AKM15" s="232"/>
      <c r="AKN15" s="232"/>
      <c r="AKO15" s="232"/>
      <c r="AKP15" s="232"/>
      <c r="AKQ15" s="232"/>
      <c r="AKR15" s="232"/>
      <c r="AKS15" s="232"/>
      <c r="AKT15" s="232"/>
      <c r="AKU15" s="232"/>
      <c r="AKV15" s="232"/>
      <c r="AKW15" s="232"/>
      <c r="AKX15" s="232"/>
      <c r="AKY15" s="232"/>
      <c r="AKZ15" s="232"/>
      <c r="ALA15" s="232"/>
      <c r="ALB15" s="232"/>
      <c r="ALC15" s="232"/>
      <c r="ALD15" s="232"/>
      <c r="ALE15" s="232"/>
      <c r="ALF15" s="232"/>
      <c r="ALG15" s="232"/>
      <c r="ALH15" s="232"/>
      <c r="ALI15" s="232"/>
      <c r="ALJ15" s="232"/>
      <c r="ALK15" s="232"/>
      <c r="ALL15" s="232"/>
      <c r="ALM15" s="232"/>
      <c r="ALN15" s="232"/>
      <c r="ALO15" s="232"/>
      <c r="ALP15" s="232"/>
      <c r="ALQ15" s="232"/>
      <c r="ALR15" s="232"/>
      <c r="ALS15" s="232"/>
      <c r="ALT15" s="232"/>
      <c r="ALU15" s="232"/>
      <c r="ALV15" s="232"/>
      <c r="ALW15" s="232"/>
      <c r="ALX15" s="232"/>
      <c r="ALY15" s="232"/>
      <c r="ALZ15" s="232"/>
      <c r="AMA15" s="232"/>
      <c r="AMB15" s="232"/>
      <c r="AMC15" s="232"/>
      <c r="AMD15" s="232"/>
      <c r="AME15" s="232"/>
      <c r="AMF15" s="232"/>
      <c r="AMG15" s="232"/>
      <c r="AMH15" s="232"/>
      <c r="AMI15" s="232"/>
      <c r="AMJ15" s="232"/>
      <c r="AMK15" s="232"/>
      <c r="AML15" s="232"/>
      <c r="AMM15" s="232"/>
      <c r="AMN15" s="232"/>
      <c r="AMO15" s="232"/>
      <c r="AMP15" s="232"/>
      <c r="AMQ15" s="232"/>
      <c r="AMR15" s="232"/>
      <c r="AMS15" s="232"/>
      <c r="AMT15" s="232"/>
      <c r="AMU15" s="232"/>
      <c r="AMV15" s="232"/>
      <c r="AMW15" s="232"/>
      <c r="AMX15" s="232"/>
      <c r="AMY15" s="232"/>
      <c r="AMZ15" s="232"/>
      <c r="ANA15" s="232"/>
      <c r="ANB15" s="232"/>
      <c r="ANC15" s="232"/>
      <c r="AND15" s="232"/>
      <c r="ANE15" s="232"/>
      <c r="ANF15" s="232"/>
      <c r="ANG15" s="232"/>
      <c r="ANH15" s="232"/>
      <c r="ANI15" s="232"/>
      <c r="ANJ15" s="232"/>
      <c r="ANK15" s="232"/>
      <c r="ANL15" s="232"/>
      <c r="ANM15" s="232"/>
      <c r="ANN15" s="232"/>
      <c r="ANO15" s="232"/>
      <c r="ANP15" s="232"/>
      <c r="ANQ15" s="232"/>
      <c r="ANR15" s="232"/>
      <c r="ANS15" s="232"/>
      <c r="ANT15" s="232"/>
      <c r="ANU15" s="232"/>
      <c r="ANV15" s="232"/>
      <c r="ANW15" s="232"/>
      <c r="ANX15" s="232"/>
      <c r="ANY15" s="232"/>
      <c r="ANZ15" s="232"/>
      <c r="AOA15" s="232"/>
      <c r="AOB15" s="232"/>
      <c r="AOC15" s="232"/>
      <c r="AOD15" s="232"/>
      <c r="AOE15" s="232"/>
      <c r="AOF15" s="232"/>
      <c r="AOG15" s="232"/>
    </row>
    <row r="16" spans="1:1073">
      <c r="A16" s="2127"/>
      <c r="B16" s="233">
        <v>8</v>
      </c>
      <c r="C16" s="224"/>
      <c r="D16" s="225"/>
      <c r="E16" s="226"/>
      <c r="F16" s="226"/>
      <c r="G16" s="227" t="str">
        <f>IF(C16="","",IF(Tabelle1[[#This Row],[End Date]]&lt;COV!$E$12,0,IF(COV!E$12="","",IF(Tabelle1[[#This Row],[End Date]]-Tabelle1[[#This Row],[Start Date]]&gt;0,IF(F16&lt;COV!E$11,(F16-IF(E16&lt;COV!E$12,COV!E$12,Tabelle1[[#This Row],[Start Date]])),(COV!E$11-IF(E16&lt;COV!E$12,COV!E$12,Tabelle1[[#This Row],[Start Date]])))/365*12,""))))</f>
        <v/>
      </c>
      <c r="H16" s="225"/>
      <c r="I16" s="234"/>
      <c r="J16" s="229"/>
      <c r="K16" s="1325" t="str">
        <f>IF(Tabelle1[[#This Row],[Project Name]]="","",IF(OR(Tabelle1[[#This Row],[PM Category]]=CAT_A_NAME,Tabelle1[[#This Row],[PM Category]]=CAT_B_NAME,Tabelle1[[#This Row],[PM Category]]=CAT_C_NAME,Tabelle1[[#This Row],[PM Category]]=CAT_D_NAME,Tabelle1[[#This Row],[PM Category]]=CAT_E_NAME,Tabelle1[[#This Row],[PM Category]]=CAT_SPJ,Tabelle1[[#This Row],[PM Category]]=CAT_PJ,Tabelle1[[#This Row],[PM Category]]=""),"","1"))</f>
        <v/>
      </c>
      <c r="L16" s="1326">
        <f>IF(Tabelle1[[#This Row],[Role]]="PJM",1)+IF(Tabelle1[[#This Row],[Role]]="PGM",1)+IF(Tabelle1[[#This Row],[Role]]="PFM",1)+IF(Tabelle1[[#This Row],[Role]]="TPM",1)+IF(Tabelle1[[#This Row],[Role]]="CPM",1)</f>
        <v>0</v>
      </c>
      <c r="M16" s="230" t="str">
        <f>IFERROR(IF(Tabelle1[[#This Row],[Project Name]]&lt;&gt;"",IF(G16*I16&gt;0,G16,""),"")*Tabelle1[[#This Row],[Role Check]],"")</f>
        <v/>
      </c>
      <c r="N16" s="231" t="str">
        <f>IFERROR(Tabelle1[[#This Row],[Duration '[months']]]*Tabelle1[[#This Row],[Avg. time spent in resp. Role]],"")</f>
        <v/>
      </c>
      <c r="O16" s="221"/>
      <c r="S16" s="208" t="str">
        <f>IF(Tabelle1[[#This Row],[Project Name]]&lt;&gt;"",Tabelle1[[#This Row],[Project Name]],"")</f>
        <v/>
      </c>
      <c r="T16" s="232">
        <f t="shared" si="12"/>
        <v>0</v>
      </c>
      <c r="U16" s="545" t="e">
        <f t="shared" si="12"/>
        <v>#VALUE!</v>
      </c>
      <c r="V16" s="545" t="e">
        <f t="shared" si="13"/>
        <v>#VALUE!</v>
      </c>
      <c r="W16" s="232" t="e">
        <f t="shared" si="13"/>
        <v>#VALUE!</v>
      </c>
      <c r="X16" s="232" t="e">
        <f t="shared" si="13"/>
        <v>#VALUE!</v>
      </c>
      <c r="Y16" s="232" t="e">
        <f t="shared" si="13"/>
        <v>#VALUE!</v>
      </c>
      <c r="Z16" s="232" t="e">
        <f t="shared" si="13"/>
        <v>#VALUE!</v>
      </c>
      <c r="AA16" s="232" t="e">
        <f t="shared" si="13"/>
        <v>#VALUE!</v>
      </c>
      <c r="AB16" s="232" t="e">
        <f t="shared" si="13"/>
        <v>#VALUE!</v>
      </c>
      <c r="AC16" s="232" t="e">
        <f t="shared" si="13"/>
        <v>#VALUE!</v>
      </c>
      <c r="AD16" s="232" t="e">
        <f t="shared" si="13"/>
        <v>#VALUE!</v>
      </c>
      <c r="AE16" s="232" t="e">
        <f t="shared" si="13"/>
        <v>#VALUE!</v>
      </c>
      <c r="AF16" s="232" t="e">
        <f t="shared" si="14"/>
        <v>#VALUE!</v>
      </c>
      <c r="AG16" s="232" t="e">
        <f t="shared" si="14"/>
        <v>#VALUE!</v>
      </c>
      <c r="AH16" s="232" t="e">
        <f t="shared" si="14"/>
        <v>#VALUE!</v>
      </c>
      <c r="AI16" s="232" t="e">
        <f t="shared" si="14"/>
        <v>#VALUE!</v>
      </c>
      <c r="AJ16" s="232" t="e">
        <f t="shared" si="14"/>
        <v>#VALUE!</v>
      </c>
      <c r="AK16" s="232" t="e">
        <f t="shared" si="14"/>
        <v>#VALUE!</v>
      </c>
      <c r="AL16" s="232" t="e">
        <f t="shared" si="14"/>
        <v>#VALUE!</v>
      </c>
      <c r="AM16" s="232" t="e">
        <f t="shared" si="14"/>
        <v>#VALUE!</v>
      </c>
      <c r="AN16" s="232" t="e">
        <f t="shared" si="14"/>
        <v>#VALUE!</v>
      </c>
      <c r="AO16" s="232" t="e">
        <f t="shared" si="14"/>
        <v>#VALUE!</v>
      </c>
      <c r="AP16" s="232" t="e">
        <f t="shared" si="15"/>
        <v>#VALUE!</v>
      </c>
      <c r="AQ16" s="232" t="e">
        <f t="shared" si="15"/>
        <v>#VALUE!</v>
      </c>
      <c r="AR16" s="232" t="e">
        <f t="shared" si="15"/>
        <v>#VALUE!</v>
      </c>
      <c r="AS16" s="232" t="e">
        <f t="shared" si="15"/>
        <v>#VALUE!</v>
      </c>
      <c r="AT16" s="232" t="e">
        <f t="shared" si="15"/>
        <v>#VALUE!</v>
      </c>
      <c r="AU16" s="232" t="e">
        <f t="shared" si="15"/>
        <v>#VALUE!</v>
      </c>
      <c r="AV16" s="232" t="e">
        <f t="shared" si="15"/>
        <v>#VALUE!</v>
      </c>
      <c r="AW16" s="232" t="e">
        <f t="shared" si="15"/>
        <v>#VALUE!</v>
      </c>
      <c r="AX16" s="232" t="e">
        <f t="shared" si="15"/>
        <v>#VALUE!</v>
      </c>
      <c r="AY16" s="232" t="e">
        <f t="shared" si="15"/>
        <v>#VALUE!</v>
      </c>
      <c r="AZ16" s="232" t="e">
        <f t="shared" si="16"/>
        <v>#VALUE!</v>
      </c>
      <c r="BA16" s="232" t="e">
        <f t="shared" si="16"/>
        <v>#VALUE!</v>
      </c>
      <c r="BB16" s="232" t="e">
        <f t="shared" si="16"/>
        <v>#VALUE!</v>
      </c>
      <c r="BC16" s="232" t="e">
        <f t="shared" si="16"/>
        <v>#VALUE!</v>
      </c>
      <c r="BD16" s="232" t="e">
        <f t="shared" si="16"/>
        <v>#VALUE!</v>
      </c>
      <c r="BE16" s="232" t="e">
        <f t="shared" si="16"/>
        <v>#VALUE!</v>
      </c>
      <c r="BF16" s="232" t="e">
        <f t="shared" si="16"/>
        <v>#VALUE!</v>
      </c>
      <c r="BG16" s="232" t="e">
        <f t="shared" si="16"/>
        <v>#VALUE!</v>
      </c>
      <c r="BH16" s="232" t="e">
        <f t="shared" si="16"/>
        <v>#VALUE!</v>
      </c>
      <c r="BI16" s="232" t="e">
        <f t="shared" si="16"/>
        <v>#VALUE!</v>
      </c>
      <c r="BJ16" s="232" t="e">
        <f t="shared" si="17"/>
        <v>#VALUE!</v>
      </c>
      <c r="BK16" s="232" t="e">
        <f t="shared" si="17"/>
        <v>#VALUE!</v>
      </c>
      <c r="BL16" s="232" t="e">
        <f t="shared" si="17"/>
        <v>#VALUE!</v>
      </c>
      <c r="BM16" s="232" t="e">
        <f t="shared" si="17"/>
        <v>#VALUE!</v>
      </c>
      <c r="BN16" s="232" t="e">
        <f t="shared" si="17"/>
        <v>#VALUE!</v>
      </c>
      <c r="BO16" s="232" t="e">
        <f t="shared" si="17"/>
        <v>#VALUE!</v>
      </c>
      <c r="BP16" s="232" t="e">
        <f t="shared" si="17"/>
        <v>#VALUE!</v>
      </c>
      <c r="BQ16" s="232" t="e">
        <f t="shared" si="17"/>
        <v>#VALUE!</v>
      </c>
      <c r="BR16" s="232" t="e">
        <f t="shared" si="17"/>
        <v>#VALUE!</v>
      </c>
      <c r="BS16" s="232" t="e">
        <f t="shared" si="17"/>
        <v>#VALUE!</v>
      </c>
      <c r="BT16" s="232" t="e">
        <f t="shared" si="18"/>
        <v>#VALUE!</v>
      </c>
      <c r="BU16" s="232" t="e">
        <f t="shared" si="18"/>
        <v>#VALUE!</v>
      </c>
      <c r="BV16" s="232" t="e">
        <f t="shared" si="18"/>
        <v>#VALUE!</v>
      </c>
      <c r="BW16" s="232" t="e">
        <f t="shared" si="18"/>
        <v>#VALUE!</v>
      </c>
      <c r="BX16" s="232" t="e">
        <f t="shared" si="18"/>
        <v>#VALUE!</v>
      </c>
      <c r="BY16" s="232" t="e">
        <f t="shared" si="18"/>
        <v>#VALUE!</v>
      </c>
      <c r="BZ16" s="232" t="e">
        <f t="shared" si="18"/>
        <v>#VALUE!</v>
      </c>
      <c r="CA16" s="232" t="e">
        <f t="shared" si="18"/>
        <v>#VALUE!</v>
      </c>
      <c r="CB16" s="232" t="e">
        <f t="shared" si="18"/>
        <v>#VALUE!</v>
      </c>
      <c r="CC16" s="232" t="e">
        <f t="shared" si="18"/>
        <v>#VALUE!</v>
      </c>
      <c r="CD16" s="232" t="e">
        <f t="shared" si="19"/>
        <v>#VALUE!</v>
      </c>
      <c r="CE16" s="232" t="e">
        <f t="shared" si="19"/>
        <v>#VALUE!</v>
      </c>
      <c r="CF16" s="232" t="e">
        <f t="shared" si="19"/>
        <v>#VALUE!</v>
      </c>
      <c r="CG16" s="232" t="e">
        <f t="shared" si="19"/>
        <v>#VALUE!</v>
      </c>
      <c r="CH16" s="232" t="e">
        <f t="shared" si="19"/>
        <v>#VALUE!</v>
      </c>
      <c r="CI16" s="232" t="e">
        <f t="shared" si="19"/>
        <v>#VALUE!</v>
      </c>
      <c r="CJ16" s="232" t="e">
        <f t="shared" si="19"/>
        <v>#VALUE!</v>
      </c>
      <c r="CK16" s="232" t="e">
        <f t="shared" si="19"/>
        <v>#VALUE!</v>
      </c>
      <c r="CL16" s="232" t="e">
        <f t="shared" si="19"/>
        <v>#VALUE!</v>
      </c>
      <c r="CM16" s="232" t="e">
        <f t="shared" si="19"/>
        <v>#VALUE!</v>
      </c>
      <c r="CN16" s="232" t="e">
        <f t="shared" si="20"/>
        <v>#VALUE!</v>
      </c>
      <c r="CO16" s="232" t="e">
        <f t="shared" si="20"/>
        <v>#VALUE!</v>
      </c>
      <c r="CP16" s="232" t="e">
        <f t="shared" si="20"/>
        <v>#VALUE!</v>
      </c>
      <c r="CQ16" s="232" t="e">
        <f t="shared" si="20"/>
        <v>#VALUE!</v>
      </c>
      <c r="CR16" s="232" t="e">
        <f t="shared" si="20"/>
        <v>#VALUE!</v>
      </c>
      <c r="CS16" s="232" t="e">
        <f t="shared" si="20"/>
        <v>#VALUE!</v>
      </c>
      <c r="CT16" s="232" t="e">
        <f t="shared" si="20"/>
        <v>#VALUE!</v>
      </c>
      <c r="CU16" s="232" t="e">
        <f t="shared" si="20"/>
        <v>#VALUE!</v>
      </c>
      <c r="CV16" s="232" t="e">
        <f t="shared" si="20"/>
        <v>#VALUE!</v>
      </c>
      <c r="CW16" s="232" t="e">
        <f t="shared" si="20"/>
        <v>#VALUE!</v>
      </c>
      <c r="CX16" s="232" t="e">
        <f t="shared" si="21"/>
        <v>#VALUE!</v>
      </c>
      <c r="CY16" s="232" t="e">
        <f t="shared" si="21"/>
        <v>#VALUE!</v>
      </c>
      <c r="CZ16" s="232" t="e">
        <f t="shared" si="21"/>
        <v>#VALUE!</v>
      </c>
      <c r="DA16" s="232" t="e">
        <f t="shared" si="21"/>
        <v>#VALUE!</v>
      </c>
      <c r="DB16" s="232" t="e">
        <f t="shared" si="21"/>
        <v>#VALUE!</v>
      </c>
      <c r="DC16" s="232" t="e">
        <f t="shared" si="21"/>
        <v>#VALUE!</v>
      </c>
      <c r="DD16" s="232" t="e">
        <f t="shared" si="21"/>
        <v>#VALUE!</v>
      </c>
      <c r="DE16" s="232" t="e">
        <f t="shared" si="21"/>
        <v>#VALUE!</v>
      </c>
      <c r="DF16" s="232" t="e">
        <f t="shared" si="21"/>
        <v>#VALUE!</v>
      </c>
      <c r="DG16" s="232" t="e">
        <f t="shared" si="21"/>
        <v>#VALUE!</v>
      </c>
      <c r="DH16" s="232" t="e">
        <f t="shared" si="22"/>
        <v>#VALUE!</v>
      </c>
      <c r="DI16" s="232" t="e">
        <f t="shared" si="22"/>
        <v>#VALUE!</v>
      </c>
      <c r="DJ16" s="232" t="e">
        <f t="shared" si="22"/>
        <v>#VALUE!</v>
      </c>
      <c r="DK16" s="232" t="e">
        <f t="shared" si="22"/>
        <v>#VALUE!</v>
      </c>
      <c r="DL16" s="232" t="e">
        <f t="shared" si="22"/>
        <v>#VALUE!</v>
      </c>
      <c r="DM16" s="232" t="e">
        <f t="shared" si="22"/>
        <v>#VALUE!</v>
      </c>
      <c r="DN16" s="232" t="e">
        <f t="shared" si="22"/>
        <v>#VALUE!</v>
      </c>
      <c r="DO16" s="232" t="e">
        <f t="shared" si="22"/>
        <v>#VALUE!</v>
      </c>
      <c r="DP16" s="232" t="e">
        <f t="shared" si="22"/>
        <v>#VALUE!</v>
      </c>
      <c r="DQ16" s="232" t="e">
        <f t="shared" si="22"/>
        <v>#VALUE!</v>
      </c>
      <c r="DR16" s="232" t="e">
        <f t="shared" si="23"/>
        <v>#VALUE!</v>
      </c>
      <c r="DS16" s="232" t="e">
        <f t="shared" si="23"/>
        <v>#VALUE!</v>
      </c>
      <c r="DT16" s="232" t="e">
        <f t="shared" si="23"/>
        <v>#VALUE!</v>
      </c>
      <c r="DU16" s="232" t="e">
        <f t="shared" si="23"/>
        <v>#VALUE!</v>
      </c>
      <c r="DV16" s="232" t="e">
        <f t="shared" si="23"/>
        <v>#VALUE!</v>
      </c>
      <c r="DW16" s="232" t="e">
        <f t="shared" si="23"/>
        <v>#VALUE!</v>
      </c>
      <c r="DX16" s="232" t="e">
        <f t="shared" si="23"/>
        <v>#VALUE!</v>
      </c>
      <c r="DY16" s="232" t="e">
        <f t="shared" si="23"/>
        <v>#VALUE!</v>
      </c>
      <c r="DZ16" s="232" t="e">
        <f t="shared" si="23"/>
        <v>#VALUE!</v>
      </c>
      <c r="EA16" s="232" t="e">
        <f t="shared" si="23"/>
        <v>#VALUE!</v>
      </c>
      <c r="EB16" s="232" t="e">
        <f t="shared" si="24"/>
        <v>#VALUE!</v>
      </c>
      <c r="EC16" s="232" t="e">
        <f t="shared" si="24"/>
        <v>#VALUE!</v>
      </c>
      <c r="ED16" s="232" t="e">
        <f t="shared" si="24"/>
        <v>#VALUE!</v>
      </c>
      <c r="EE16" s="232" t="e">
        <f t="shared" si="24"/>
        <v>#VALUE!</v>
      </c>
      <c r="EF16" s="232" t="e">
        <f t="shared" si="24"/>
        <v>#VALUE!</v>
      </c>
      <c r="EG16" s="232" t="e">
        <f t="shared" si="24"/>
        <v>#VALUE!</v>
      </c>
      <c r="EH16" s="232" t="e">
        <f t="shared" si="24"/>
        <v>#VALUE!</v>
      </c>
      <c r="EI16" s="232" t="e">
        <f t="shared" si="24"/>
        <v>#VALUE!</v>
      </c>
      <c r="EJ16" s="232" t="e">
        <f t="shared" si="24"/>
        <v>#VALUE!</v>
      </c>
      <c r="EK16" s="232" t="e">
        <f t="shared" si="24"/>
        <v>#VALUE!</v>
      </c>
      <c r="EL16" s="232" t="e">
        <f t="shared" si="25"/>
        <v>#VALUE!</v>
      </c>
      <c r="EM16" s="232" t="e">
        <f t="shared" si="25"/>
        <v>#VALUE!</v>
      </c>
      <c r="EN16" s="232" t="e">
        <f t="shared" si="25"/>
        <v>#VALUE!</v>
      </c>
      <c r="EO16" s="232" t="e">
        <f t="shared" si="25"/>
        <v>#VALUE!</v>
      </c>
      <c r="EP16" s="232" t="e">
        <f t="shared" si="25"/>
        <v>#VALUE!</v>
      </c>
      <c r="EQ16" s="232" t="e">
        <f t="shared" si="25"/>
        <v>#VALUE!</v>
      </c>
      <c r="ER16" s="232" t="e">
        <f t="shared" si="25"/>
        <v>#VALUE!</v>
      </c>
      <c r="ES16" s="232" t="e">
        <f t="shared" si="25"/>
        <v>#VALUE!</v>
      </c>
      <c r="ET16" s="232" t="e">
        <f t="shared" si="25"/>
        <v>#VALUE!</v>
      </c>
      <c r="EU16" s="232" t="e">
        <f t="shared" si="25"/>
        <v>#VALUE!</v>
      </c>
      <c r="EV16" s="232" t="e">
        <f t="shared" si="26"/>
        <v>#VALUE!</v>
      </c>
      <c r="EW16" s="232" t="e">
        <f t="shared" si="26"/>
        <v>#VALUE!</v>
      </c>
      <c r="EX16" s="232" t="e">
        <f t="shared" si="26"/>
        <v>#VALUE!</v>
      </c>
      <c r="EY16" s="232" t="e">
        <f t="shared" si="26"/>
        <v>#VALUE!</v>
      </c>
      <c r="EZ16" s="232" t="e">
        <f t="shared" si="26"/>
        <v>#VALUE!</v>
      </c>
      <c r="FA16" s="232" t="e">
        <f t="shared" si="26"/>
        <v>#VALUE!</v>
      </c>
      <c r="FB16" s="232" t="e">
        <f t="shared" si="26"/>
        <v>#VALUE!</v>
      </c>
      <c r="FC16" s="232" t="e">
        <f t="shared" si="26"/>
        <v>#VALUE!</v>
      </c>
      <c r="FD16" s="232" t="e">
        <f t="shared" si="26"/>
        <v>#VALUE!</v>
      </c>
      <c r="FE16" s="232" t="e">
        <f t="shared" si="26"/>
        <v>#VALUE!</v>
      </c>
      <c r="FF16" s="232" t="e">
        <f t="shared" si="27"/>
        <v>#VALUE!</v>
      </c>
      <c r="FG16" s="232" t="e">
        <f t="shared" si="27"/>
        <v>#VALUE!</v>
      </c>
      <c r="FH16" s="232" t="e">
        <f t="shared" si="27"/>
        <v>#VALUE!</v>
      </c>
      <c r="FI16" s="232" t="e">
        <f t="shared" si="27"/>
        <v>#VALUE!</v>
      </c>
      <c r="FJ16" s="232" t="e">
        <f t="shared" si="27"/>
        <v>#VALUE!</v>
      </c>
      <c r="FK16" s="232" t="e">
        <f t="shared" si="27"/>
        <v>#VALUE!</v>
      </c>
      <c r="FL16" s="232" t="e">
        <f t="shared" si="27"/>
        <v>#VALUE!</v>
      </c>
      <c r="FM16" s="232" t="e">
        <f t="shared" si="27"/>
        <v>#VALUE!</v>
      </c>
      <c r="FN16" s="232" t="e">
        <f t="shared" si="27"/>
        <v>#VALUE!</v>
      </c>
      <c r="FO16" s="232" t="e">
        <f t="shared" si="27"/>
        <v>#VALUE!</v>
      </c>
      <c r="FP16" s="232" t="e">
        <f t="shared" si="28"/>
        <v>#VALUE!</v>
      </c>
      <c r="FQ16" s="232" t="e">
        <f t="shared" si="28"/>
        <v>#VALUE!</v>
      </c>
      <c r="FR16" s="232" t="e">
        <f t="shared" si="28"/>
        <v>#VALUE!</v>
      </c>
      <c r="FS16" s="232" t="e">
        <f t="shared" si="28"/>
        <v>#VALUE!</v>
      </c>
      <c r="FT16" s="232" t="e">
        <f t="shared" si="28"/>
        <v>#VALUE!</v>
      </c>
      <c r="FU16" s="232" t="e">
        <f t="shared" si="28"/>
        <v>#VALUE!</v>
      </c>
      <c r="FV16" s="232" t="e">
        <f t="shared" si="28"/>
        <v>#VALUE!</v>
      </c>
      <c r="FW16" s="232" t="e">
        <f t="shared" si="28"/>
        <v>#VALUE!</v>
      </c>
      <c r="FX16" s="232" t="e">
        <f t="shared" si="28"/>
        <v>#VALUE!</v>
      </c>
      <c r="FY16" s="232" t="e">
        <f t="shared" si="28"/>
        <v>#VALUE!</v>
      </c>
      <c r="FZ16" s="232" t="e">
        <f t="shared" si="29"/>
        <v>#VALUE!</v>
      </c>
      <c r="GA16" s="232" t="e">
        <f t="shared" si="29"/>
        <v>#VALUE!</v>
      </c>
      <c r="GB16" s="232" t="e">
        <f t="shared" si="29"/>
        <v>#VALUE!</v>
      </c>
      <c r="GC16" s="232" t="e">
        <f t="shared" si="29"/>
        <v>#VALUE!</v>
      </c>
      <c r="GD16" s="232" t="e">
        <f t="shared" si="29"/>
        <v>#VALUE!</v>
      </c>
      <c r="GE16" s="232" t="e">
        <f t="shared" si="29"/>
        <v>#VALUE!</v>
      </c>
      <c r="GF16" s="232" t="e">
        <f t="shared" si="29"/>
        <v>#VALUE!</v>
      </c>
      <c r="GG16" s="232" t="e">
        <f t="shared" si="29"/>
        <v>#VALUE!</v>
      </c>
      <c r="GH16" s="232" t="e">
        <f t="shared" si="29"/>
        <v>#VALUE!</v>
      </c>
      <c r="GI16" s="232" t="e">
        <f t="shared" si="29"/>
        <v>#VALUE!</v>
      </c>
      <c r="GJ16" s="232" t="e">
        <f t="shared" si="30"/>
        <v>#VALUE!</v>
      </c>
      <c r="GK16" s="232" t="e">
        <f t="shared" si="30"/>
        <v>#VALUE!</v>
      </c>
      <c r="GL16" s="232" t="e">
        <f t="shared" si="30"/>
        <v>#VALUE!</v>
      </c>
      <c r="GM16" s="232" t="e">
        <f t="shared" si="30"/>
        <v>#VALUE!</v>
      </c>
      <c r="GN16" s="232" t="e">
        <f t="shared" si="30"/>
        <v>#VALUE!</v>
      </c>
      <c r="GO16" s="232" t="e">
        <f t="shared" si="30"/>
        <v>#VALUE!</v>
      </c>
      <c r="GP16" s="232" t="e">
        <f t="shared" si="30"/>
        <v>#VALUE!</v>
      </c>
      <c r="GQ16" s="232" t="e">
        <f t="shared" si="30"/>
        <v>#VALUE!</v>
      </c>
      <c r="GR16" s="232" t="e">
        <f t="shared" si="30"/>
        <v>#VALUE!</v>
      </c>
      <c r="GS16" s="232" t="e">
        <f t="shared" si="30"/>
        <v>#VALUE!</v>
      </c>
      <c r="GT16" s="232" t="e">
        <f t="shared" si="31"/>
        <v>#VALUE!</v>
      </c>
      <c r="GU16" s="232" t="e">
        <f t="shared" si="31"/>
        <v>#VALUE!</v>
      </c>
      <c r="GV16" s="232" t="e">
        <f t="shared" si="31"/>
        <v>#VALUE!</v>
      </c>
      <c r="GW16" s="232" t="e">
        <f t="shared" si="31"/>
        <v>#VALUE!</v>
      </c>
      <c r="GX16" s="232" t="e">
        <f t="shared" si="31"/>
        <v>#VALUE!</v>
      </c>
      <c r="GY16" s="232" t="e">
        <f t="shared" si="31"/>
        <v>#VALUE!</v>
      </c>
      <c r="GZ16" s="232" t="e">
        <f t="shared" si="31"/>
        <v>#VALUE!</v>
      </c>
      <c r="HA16" s="232" t="e">
        <f t="shared" si="31"/>
        <v>#VALUE!</v>
      </c>
      <c r="HB16" s="232" t="e">
        <f t="shared" si="31"/>
        <v>#VALUE!</v>
      </c>
      <c r="HC16" s="232" t="e">
        <f t="shared" si="31"/>
        <v>#VALUE!</v>
      </c>
      <c r="HD16" s="232" t="e">
        <f t="shared" si="32"/>
        <v>#VALUE!</v>
      </c>
      <c r="HE16" s="232" t="e">
        <f t="shared" si="32"/>
        <v>#VALUE!</v>
      </c>
      <c r="HF16" s="232" t="e">
        <f t="shared" si="32"/>
        <v>#VALUE!</v>
      </c>
      <c r="HG16" s="232" t="e">
        <f t="shared" si="32"/>
        <v>#VALUE!</v>
      </c>
      <c r="HH16" s="232" t="e">
        <f t="shared" si="32"/>
        <v>#VALUE!</v>
      </c>
      <c r="HI16" s="232" t="e">
        <f t="shared" si="32"/>
        <v>#VALUE!</v>
      </c>
      <c r="HJ16" s="232" t="e">
        <f t="shared" si="32"/>
        <v>#VALUE!</v>
      </c>
      <c r="HK16" s="232" t="e">
        <f t="shared" si="32"/>
        <v>#VALUE!</v>
      </c>
      <c r="HL16" s="232" t="e">
        <f t="shared" si="32"/>
        <v>#VALUE!</v>
      </c>
      <c r="HM16" s="232" t="e">
        <f t="shared" si="32"/>
        <v>#VALUE!</v>
      </c>
      <c r="HN16" s="232" t="e">
        <f t="shared" si="33"/>
        <v>#VALUE!</v>
      </c>
      <c r="HO16" s="232" t="e">
        <f t="shared" si="33"/>
        <v>#VALUE!</v>
      </c>
      <c r="HP16" s="232" t="e">
        <f t="shared" si="33"/>
        <v>#VALUE!</v>
      </c>
      <c r="HQ16" s="232" t="e">
        <f t="shared" si="33"/>
        <v>#VALUE!</v>
      </c>
      <c r="HR16" s="232" t="e">
        <f t="shared" si="33"/>
        <v>#VALUE!</v>
      </c>
      <c r="HS16" s="232" t="e">
        <f t="shared" si="33"/>
        <v>#VALUE!</v>
      </c>
      <c r="HT16" s="232" t="e">
        <f t="shared" si="33"/>
        <v>#VALUE!</v>
      </c>
      <c r="HU16" s="232" t="e">
        <f t="shared" si="33"/>
        <v>#VALUE!</v>
      </c>
      <c r="HV16" s="232" t="e">
        <f t="shared" si="33"/>
        <v>#VALUE!</v>
      </c>
      <c r="HW16" s="232" t="e">
        <f t="shared" si="33"/>
        <v>#VALUE!</v>
      </c>
      <c r="HX16" s="232" t="e">
        <f t="shared" si="34"/>
        <v>#VALUE!</v>
      </c>
      <c r="HY16" s="232" t="e">
        <f t="shared" si="34"/>
        <v>#VALUE!</v>
      </c>
      <c r="HZ16" s="232" t="e">
        <f t="shared" si="34"/>
        <v>#VALUE!</v>
      </c>
      <c r="IA16" s="232" t="e">
        <f t="shared" si="34"/>
        <v>#VALUE!</v>
      </c>
      <c r="IB16" s="232" t="e">
        <f t="shared" si="34"/>
        <v>#VALUE!</v>
      </c>
      <c r="IC16" s="232" t="e">
        <f t="shared" si="34"/>
        <v>#VALUE!</v>
      </c>
      <c r="ID16" s="232" t="e">
        <f t="shared" si="34"/>
        <v>#VALUE!</v>
      </c>
      <c r="IE16" s="232" t="e">
        <f t="shared" si="34"/>
        <v>#VALUE!</v>
      </c>
      <c r="IF16" s="232" t="e">
        <f t="shared" si="34"/>
        <v>#VALUE!</v>
      </c>
      <c r="IG16" s="232" t="e">
        <f t="shared" si="34"/>
        <v>#VALUE!</v>
      </c>
      <c r="IH16" s="232" t="e">
        <f t="shared" si="35"/>
        <v>#VALUE!</v>
      </c>
      <c r="II16" s="232" t="e">
        <f t="shared" si="35"/>
        <v>#VALUE!</v>
      </c>
      <c r="IJ16" s="232" t="e">
        <f t="shared" si="35"/>
        <v>#VALUE!</v>
      </c>
      <c r="IK16" s="232" t="e">
        <f t="shared" si="35"/>
        <v>#VALUE!</v>
      </c>
      <c r="IL16" s="232" t="e">
        <f t="shared" si="35"/>
        <v>#VALUE!</v>
      </c>
      <c r="IM16" s="232" t="e">
        <f t="shared" si="35"/>
        <v>#VALUE!</v>
      </c>
      <c r="IN16" s="232" t="e">
        <f t="shared" si="35"/>
        <v>#VALUE!</v>
      </c>
      <c r="IO16" s="232" t="e">
        <f t="shared" si="35"/>
        <v>#VALUE!</v>
      </c>
      <c r="IP16" s="232" t="e">
        <f t="shared" si="35"/>
        <v>#VALUE!</v>
      </c>
      <c r="IQ16" s="232" t="e">
        <f t="shared" si="35"/>
        <v>#VALUE!</v>
      </c>
      <c r="IR16" s="232" t="e">
        <f t="shared" si="36"/>
        <v>#VALUE!</v>
      </c>
      <c r="IS16" s="232" t="e">
        <f t="shared" si="36"/>
        <v>#VALUE!</v>
      </c>
      <c r="IT16" s="232" t="e">
        <f t="shared" si="36"/>
        <v>#VALUE!</v>
      </c>
      <c r="IU16" s="232" t="e">
        <f t="shared" si="36"/>
        <v>#VALUE!</v>
      </c>
      <c r="IV16" s="232" t="e">
        <f t="shared" si="36"/>
        <v>#VALUE!</v>
      </c>
      <c r="IW16" s="232" t="e">
        <f t="shared" si="36"/>
        <v>#VALUE!</v>
      </c>
      <c r="IX16" s="232" t="e">
        <f t="shared" si="36"/>
        <v>#VALUE!</v>
      </c>
      <c r="IY16" s="232" t="e">
        <f t="shared" si="36"/>
        <v>#VALUE!</v>
      </c>
      <c r="IZ16" s="232" t="e">
        <f t="shared" si="36"/>
        <v>#VALUE!</v>
      </c>
      <c r="JA16" s="232" t="e">
        <f t="shared" si="36"/>
        <v>#VALUE!</v>
      </c>
      <c r="JB16" s="232" t="e">
        <f t="shared" si="37"/>
        <v>#VALUE!</v>
      </c>
      <c r="JC16" s="232" t="e">
        <f t="shared" si="37"/>
        <v>#VALUE!</v>
      </c>
      <c r="JD16" s="232" t="e">
        <f t="shared" si="37"/>
        <v>#VALUE!</v>
      </c>
      <c r="JE16" s="232" t="e">
        <f t="shared" si="37"/>
        <v>#VALUE!</v>
      </c>
      <c r="JF16" s="232" t="e">
        <f t="shared" si="37"/>
        <v>#VALUE!</v>
      </c>
      <c r="JG16" s="232" t="e">
        <f t="shared" si="37"/>
        <v>#VALUE!</v>
      </c>
      <c r="JH16" s="232" t="e">
        <f t="shared" si="37"/>
        <v>#VALUE!</v>
      </c>
      <c r="JI16" s="232" t="e">
        <f t="shared" si="37"/>
        <v>#VALUE!</v>
      </c>
      <c r="JJ16" s="232" t="e">
        <f t="shared" si="37"/>
        <v>#VALUE!</v>
      </c>
      <c r="JK16" s="232"/>
      <c r="JL16" s="232"/>
      <c r="JM16" s="232"/>
      <c r="JN16" s="232"/>
      <c r="JO16" s="232"/>
      <c r="JP16" s="232"/>
      <c r="JQ16" s="232"/>
      <c r="JR16" s="232"/>
      <c r="JS16" s="232"/>
      <c r="JT16" s="232"/>
      <c r="JU16" s="232"/>
      <c r="JV16" s="232"/>
      <c r="JW16" s="232"/>
      <c r="JX16" s="232"/>
      <c r="JY16" s="232"/>
      <c r="JZ16" s="232"/>
      <c r="KA16" s="232"/>
      <c r="KB16" s="232"/>
      <c r="KC16" s="232"/>
      <c r="KD16" s="232"/>
      <c r="KE16" s="232"/>
      <c r="KF16" s="232"/>
      <c r="KG16" s="232"/>
      <c r="KH16" s="232"/>
      <c r="KI16" s="232"/>
      <c r="KJ16" s="232"/>
      <c r="KK16" s="232"/>
      <c r="KL16" s="232"/>
      <c r="KM16" s="232"/>
      <c r="KN16" s="232"/>
      <c r="KO16" s="232"/>
      <c r="KP16" s="232"/>
      <c r="KQ16" s="232"/>
      <c r="KR16" s="232"/>
      <c r="KS16" s="232"/>
      <c r="KT16" s="232"/>
      <c r="KU16" s="232"/>
      <c r="KV16" s="232"/>
      <c r="KW16" s="232"/>
      <c r="KX16" s="232"/>
      <c r="KY16" s="232"/>
      <c r="KZ16" s="232"/>
      <c r="LA16" s="232"/>
      <c r="LB16" s="232"/>
      <c r="LC16" s="232"/>
      <c r="LD16" s="232"/>
      <c r="LE16" s="232"/>
      <c r="LF16" s="232"/>
      <c r="LG16" s="232"/>
      <c r="LH16" s="232"/>
      <c r="LI16" s="232"/>
      <c r="LJ16" s="232"/>
      <c r="LK16" s="232"/>
      <c r="LL16" s="232"/>
      <c r="LM16" s="232"/>
      <c r="LN16" s="232"/>
      <c r="LO16" s="232"/>
      <c r="LP16" s="232"/>
      <c r="LQ16" s="232"/>
      <c r="LR16" s="232"/>
      <c r="LS16" s="232"/>
      <c r="LT16" s="232"/>
      <c r="LU16" s="232"/>
      <c r="LV16" s="232"/>
      <c r="LW16" s="232"/>
      <c r="LX16" s="232"/>
      <c r="LY16" s="232"/>
      <c r="LZ16" s="232"/>
      <c r="MA16" s="232"/>
      <c r="MB16" s="232"/>
      <c r="MC16" s="232"/>
      <c r="MD16" s="232"/>
      <c r="ME16" s="232"/>
      <c r="MF16" s="232"/>
      <c r="MG16" s="232"/>
      <c r="MH16" s="232"/>
      <c r="MI16" s="232"/>
      <c r="MJ16" s="232"/>
      <c r="MK16" s="232"/>
      <c r="ML16" s="232"/>
      <c r="MM16" s="232"/>
      <c r="MN16" s="232"/>
      <c r="MO16" s="232"/>
      <c r="MP16" s="232"/>
      <c r="MQ16" s="232"/>
      <c r="MR16" s="232"/>
      <c r="MS16" s="232"/>
      <c r="MT16" s="232"/>
      <c r="MU16" s="232"/>
      <c r="MV16" s="232"/>
      <c r="MW16" s="232"/>
      <c r="MX16" s="232"/>
      <c r="MY16" s="232"/>
      <c r="MZ16" s="232"/>
      <c r="NA16" s="232"/>
      <c r="NB16" s="232"/>
      <c r="NC16" s="232"/>
      <c r="ND16" s="232"/>
      <c r="NE16" s="232"/>
      <c r="NF16" s="232"/>
      <c r="NG16" s="232"/>
      <c r="NH16" s="232"/>
      <c r="NI16" s="232"/>
      <c r="NJ16" s="232"/>
      <c r="NK16" s="232"/>
      <c r="NL16" s="232"/>
      <c r="NM16" s="232"/>
      <c r="NN16" s="232"/>
      <c r="NO16" s="232"/>
      <c r="NP16" s="232"/>
      <c r="NQ16" s="232"/>
      <c r="NR16" s="232"/>
      <c r="NS16" s="232"/>
      <c r="NT16" s="232"/>
      <c r="NU16" s="232"/>
      <c r="NV16" s="232"/>
      <c r="NW16" s="232"/>
      <c r="NX16" s="232"/>
      <c r="NY16" s="232"/>
      <c r="NZ16" s="232"/>
      <c r="OA16" s="232"/>
      <c r="OB16" s="232"/>
      <c r="OC16" s="232"/>
      <c r="OD16" s="232"/>
      <c r="OE16" s="232"/>
      <c r="OF16" s="232"/>
      <c r="OG16" s="232"/>
      <c r="OH16" s="232"/>
      <c r="OI16" s="232"/>
      <c r="OJ16" s="232"/>
      <c r="OK16" s="232"/>
      <c r="OL16" s="232"/>
      <c r="OM16" s="232"/>
      <c r="ON16" s="232"/>
      <c r="OO16" s="232"/>
      <c r="OP16" s="232"/>
      <c r="OQ16" s="232"/>
      <c r="OR16" s="232"/>
      <c r="OS16" s="232"/>
      <c r="OT16" s="232"/>
      <c r="OU16" s="232"/>
      <c r="OV16" s="232"/>
      <c r="OW16" s="232"/>
      <c r="OX16" s="232"/>
      <c r="OY16" s="232"/>
      <c r="OZ16" s="232"/>
      <c r="PA16" s="232"/>
      <c r="PB16" s="232"/>
      <c r="PC16" s="232"/>
      <c r="PD16" s="232"/>
      <c r="PE16" s="232"/>
      <c r="PF16" s="232"/>
      <c r="PG16" s="232"/>
      <c r="PH16" s="232"/>
      <c r="PI16" s="232"/>
      <c r="PJ16" s="232"/>
      <c r="PK16" s="232"/>
      <c r="PL16" s="232"/>
      <c r="PM16" s="232"/>
      <c r="PN16" s="232"/>
      <c r="PO16" s="232"/>
      <c r="PP16" s="232"/>
      <c r="PQ16" s="232"/>
      <c r="PR16" s="232"/>
      <c r="PS16" s="232"/>
      <c r="PT16" s="232"/>
      <c r="PU16" s="232"/>
      <c r="PV16" s="232"/>
      <c r="PW16" s="232"/>
      <c r="PX16" s="232"/>
      <c r="PY16" s="232"/>
      <c r="PZ16" s="232"/>
      <c r="QA16" s="232"/>
      <c r="QB16" s="232"/>
      <c r="QC16" s="232"/>
      <c r="QD16" s="232"/>
      <c r="QE16" s="232"/>
      <c r="QF16" s="232"/>
      <c r="QG16" s="232"/>
      <c r="QH16" s="232"/>
      <c r="QI16" s="232"/>
      <c r="QJ16" s="232"/>
      <c r="QK16" s="232"/>
      <c r="QL16" s="232"/>
      <c r="QM16" s="232"/>
      <c r="QN16" s="232"/>
      <c r="QO16" s="232"/>
      <c r="QP16" s="232"/>
      <c r="QQ16" s="232"/>
      <c r="QR16" s="232"/>
      <c r="QS16" s="232"/>
      <c r="QT16" s="232"/>
      <c r="QU16" s="232"/>
      <c r="QV16" s="232"/>
      <c r="QW16" s="232"/>
      <c r="QX16" s="232"/>
      <c r="QY16" s="232"/>
      <c r="QZ16" s="232"/>
      <c r="RA16" s="232"/>
      <c r="RB16" s="232"/>
      <c r="RC16" s="232"/>
      <c r="RD16" s="232"/>
      <c r="RE16" s="232"/>
      <c r="RF16" s="232"/>
      <c r="RG16" s="232"/>
      <c r="RH16" s="232"/>
      <c r="RI16" s="232"/>
      <c r="RJ16" s="232"/>
      <c r="RK16" s="232"/>
      <c r="RL16" s="232"/>
      <c r="RM16" s="232"/>
      <c r="RN16" s="232"/>
      <c r="RO16" s="232"/>
      <c r="RP16" s="232"/>
      <c r="RQ16" s="232"/>
      <c r="RR16" s="232"/>
      <c r="RS16" s="232"/>
      <c r="RT16" s="232"/>
      <c r="RU16" s="232"/>
      <c r="RV16" s="232"/>
      <c r="RW16" s="232"/>
      <c r="RX16" s="232"/>
      <c r="RY16" s="232"/>
      <c r="RZ16" s="232"/>
      <c r="SA16" s="232"/>
      <c r="SB16" s="232"/>
      <c r="SC16" s="232"/>
      <c r="SD16" s="232"/>
      <c r="SE16" s="232"/>
      <c r="SF16" s="232"/>
      <c r="SG16" s="232"/>
      <c r="SH16" s="232"/>
      <c r="SI16" s="232"/>
      <c r="SJ16" s="232"/>
      <c r="SK16" s="232"/>
      <c r="SL16" s="232"/>
      <c r="SM16" s="232"/>
      <c r="SN16" s="232"/>
      <c r="SO16" s="232"/>
      <c r="SP16" s="232"/>
      <c r="SQ16" s="232"/>
      <c r="SR16" s="232"/>
      <c r="SS16" s="232"/>
      <c r="ST16" s="232"/>
      <c r="SU16" s="232"/>
      <c r="SV16" s="232"/>
      <c r="SW16" s="232"/>
      <c r="SX16" s="232"/>
      <c r="SY16" s="232"/>
      <c r="SZ16" s="232"/>
      <c r="TA16" s="232"/>
      <c r="TB16" s="232"/>
      <c r="TC16" s="232"/>
      <c r="TD16" s="232"/>
      <c r="TE16" s="232"/>
      <c r="TF16" s="232"/>
      <c r="TG16" s="232"/>
      <c r="TH16" s="232"/>
      <c r="TI16" s="232"/>
      <c r="TJ16" s="232"/>
      <c r="TK16" s="232"/>
      <c r="TL16" s="232"/>
      <c r="TM16" s="232"/>
      <c r="TN16" s="232"/>
      <c r="TO16" s="232"/>
      <c r="TP16" s="232"/>
      <c r="TQ16" s="232"/>
      <c r="TR16" s="232"/>
      <c r="TS16" s="232"/>
      <c r="TT16" s="232"/>
      <c r="TU16" s="232"/>
      <c r="TV16" s="232"/>
      <c r="TW16" s="232"/>
      <c r="TX16" s="232"/>
      <c r="TY16" s="232"/>
      <c r="TZ16" s="232"/>
      <c r="UA16" s="232"/>
      <c r="UB16" s="232"/>
      <c r="UC16" s="232"/>
      <c r="UD16" s="232"/>
      <c r="UE16" s="232"/>
      <c r="UF16" s="232"/>
      <c r="UG16" s="232"/>
      <c r="UH16" s="232"/>
      <c r="UI16" s="232"/>
      <c r="UJ16" s="232"/>
      <c r="UK16" s="232"/>
      <c r="UL16" s="232"/>
      <c r="UM16" s="232"/>
      <c r="UN16" s="232"/>
      <c r="UO16" s="232"/>
      <c r="UP16" s="232"/>
      <c r="UQ16" s="232"/>
      <c r="UR16" s="232"/>
      <c r="US16" s="232"/>
      <c r="UT16" s="232"/>
      <c r="UU16" s="232"/>
      <c r="UV16" s="232"/>
      <c r="UW16" s="232"/>
      <c r="UX16" s="232"/>
      <c r="UY16" s="232"/>
      <c r="UZ16" s="232"/>
      <c r="VA16" s="232"/>
      <c r="VB16" s="232"/>
      <c r="VC16" s="232"/>
      <c r="VD16" s="232"/>
      <c r="VE16" s="232"/>
      <c r="VF16" s="232"/>
      <c r="VG16" s="232"/>
      <c r="VH16" s="232"/>
      <c r="VI16" s="232"/>
      <c r="VJ16" s="232"/>
      <c r="VK16" s="232"/>
      <c r="VL16" s="232"/>
      <c r="VM16" s="232"/>
      <c r="VN16" s="232"/>
      <c r="VO16" s="232"/>
      <c r="VP16" s="232"/>
      <c r="VQ16" s="232"/>
      <c r="VR16" s="232"/>
      <c r="VS16" s="232"/>
      <c r="VT16" s="232"/>
      <c r="VU16" s="232"/>
      <c r="VV16" s="232"/>
      <c r="VW16" s="232"/>
      <c r="VX16" s="232"/>
      <c r="VY16" s="232"/>
      <c r="VZ16" s="232"/>
      <c r="WA16" s="232"/>
      <c r="WB16" s="232"/>
      <c r="WC16" s="232"/>
      <c r="WD16" s="232"/>
      <c r="WE16" s="232"/>
      <c r="WF16" s="232"/>
      <c r="WG16" s="232"/>
      <c r="WH16" s="232"/>
      <c r="WI16" s="232"/>
      <c r="WJ16" s="232"/>
      <c r="WK16" s="232"/>
      <c r="WL16" s="232"/>
      <c r="WM16" s="232"/>
      <c r="WN16" s="232"/>
      <c r="WO16" s="232"/>
      <c r="WP16" s="232"/>
      <c r="WQ16" s="232"/>
      <c r="WR16" s="232"/>
      <c r="WS16" s="232"/>
      <c r="WT16" s="232"/>
      <c r="WU16" s="232"/>
      <c r="WV16" s="232"/>
      <c r="WW16" s="232"/>
      <c r="WX16" s="232"/>
      <c r="WY16" s="232"/>
      <c r="WZ16" s="232"/>
      <c r="XA16" s="232"/>
      <c r="XB16" s="232"/>
      <c r="XC16" s="232"/>
      <c r="XD16" s="232"/>
      <c r="XE16" s="232"/>
      <c r="XF16" s="232"/>
      <c r="XG16" s="232"/>
      <c r="XH16" s="232"/>
      <c r="XI16" s="232"/>
      <c r="XJ16" s="232"/>
      <c r="XK16" s="232"/>
      <c r="XL16" s="232"/>
      <c r="XM16" s="232"/>
      <c r="XN16" s="232"/>
      <c r="XO16" s="232"/>
      <c r="XP16" s="232"/>
      <c r="XQ16" s="232"/>
      <c r="XR16" s="232"/>
      <c r="XS16" s="232"/>
      <c r="XT16" s="232"/>
      <c r="XU16" s="232"/>
      <c r="XV16" s="232"/>
      <c r="XW16" s="232"/>
      <c r="XX16" s="232"/>
      <c r="XY16" s="232"/>
      <c r="XZ16" s="232"/>
      <c r="YA16" s="232"/>
      <c r="YB16" s="232"/>
      <c r="YC16" s="232"/>
      <c r="YD16" s="232"/>
      <c r="YE16" s="232"/>
      <c r="YF16" s="232"/>
      <c r="YG16" s="232"/>
      <c r="YH16" s="232"/>
      <c r="YI16" s="232"/>
      <c r="YJ16" s="232"/>
      <c r="YK16" s="232"/>
      <c r="YL16" s="232"/>
      <c r="YM16" s="232"/>
      <c r="YN16" s="232"/>
      <c r="YO16" s="232"/>
      <c r="YP16" s="232"/>
      <c r="YQ16" s="232"/>
      <c r="YR16" s="232"/>
      <c r="YS16" s="232"/>
      <c r="YT16" s="232"/>
      <c r="YU16" s="232"/>
      <c r="YV16" s="232"/>
      <c r="YW16" s="232"/>
      <c r="YX16" s="232"/>
      <c r="YY16" s="232"/>
      <c r="YZ16" s="232"/>
      <c r="ZA16" s="232"/>
      <c r="ZB16" s="232"/>
      <c r="ZC16" s="232"/>
      <c r="ZD16" s="232"/>
      <c r="ZE16" s="232"/>
      <c r="ZF16" s="232"/>
      <c r="ZG16" s="232"/>
      <c r="ZH16" s="232"/>
      <c r="ZI16" s="232"/>
      <c r="ZJ16" s="232"/>
      <c r="ZK16" s="232"/>
      <c r="ZL16" s="232"/>
      <c r="ZM16" s="232"/>
      <c r="ZN16" s="232"/>
      <c r="ZO16" s="232"/>
      <c r="ZP16" s="232"/>
      <c r="ZQ16" s="232"/>
      <c r="ZR16" s="232"/>
      <c r="ZS16" s="232"/>
      <c r="ZT16" s="232"/>
      <c r="ZU16" s="232"/>
      <c r="ZV16" s="232"/>
      <c r="ZW16" s="232"/>
      <c r="ZX16" s="232"/>
      <c r="ZY16" s="232"/>
      <c r="ZZ16" s="232"/>
      <c r="AAA16" s="232"/>
      <c r="AAB16" s="232"/>
      <c r="AAC16" s="232"/>
      <c r="AAD16" s="232"/>
      <c r="AAE16" s="232"/>
      <c r="AAF16" s="232"/>
      <c r="AAG16" s="232"/>
      <c r="AAH16" s="232"/>
      <c r="AAI16" s="232"/>
      <c r="AAJ16" s="232"/>
      <c r="AAK16" s="232"/>
      <c r="AAL16" s="232"/>
      <c r="AAM16" s="232"/>
      <c r="AAN16" s="232"/>
      <c r="AAO16" s="232"/>
      <c r="AAP16" s="232"/>
      <c r="AAQ16" s="232"/>
      <c r="AAR16" s="232"/>
      <c r="AAS16" s="232"/>
      <c r="AAT16" s="232"/>
      <c r="AAU16" s="232"/>
      <c r="AAV16" s="232"/>
      <c r="AAW16" s="232"/>
      <c r="AAX16" s="232"/>
      <c r="AAY16" s="232"/>
      <c r="AAZ16" s="232"/>
      <c r="ABA16" s="232"/>
      <c r="ABB16" s="232"/>
      <c r="ABC16" s="232"/>
      <c r="ABD16" s="232"/>
      <c r="ABE16" s="232"/>
      <c r="ABF16" s="232"/>
      <c r="ABG16" s="232"/>
      <c r="ABH16" s="232"/>
      <c r="ABI16" s="232"/>
      <c r="ABJ16" s="232"/>
      <c r="ABK16" s="232"/>
      <c r="ABL16" s="232"/>
      <c r="ABM16" s="232"/>
      <c r="ABN16" s="232"/>
      <c r="ABO16" s="232"/>
      <c r="ABP16" s="232"/>
      <c r="ABQ16" s="232"/>
      <c r="ABR16" s="232"/>
      <c r="ABS16" s="232"/>
      <c r="ABT16" s="232"/>
      <c r="ABU16" s="232"/>
      <c r="ABV16" s="232"/>
      <c r="ABW16" s="232"/>
      <c r="ABX16" s="232"/>
      <c r="ABY16" s="232"/>
      <c r="ABZ16" s="232"/>
      <c r="ACA16" s="232"/>
      <c r="ACB16" s="232"/>
      <c r="ACC16" s="232"/>
      <c r="ACD16" s="232"/>
      <c r="ACE16" s="232"/>
      <c r="ACF16" s="232"/>
      <c r="ACG16" s="232"/>
      <c r="ACH16" s="232"/>
      <c r="ACI16" s="232"/>
      <c r="ACJ16" s="232"/>
      <c r="ACK16" s="232"/>
      <c r="ACL16" s="232"/>
      <c r="ACM16" s="232"/>
      <c r="ACN16" s="232"/>
      <c r="ACO16" s="232"/>
      <c r="ACP16" s="232"/>
      <c r="ACQ16" s="232"/>
      <c r="ACR16" s="232"/>
      <c r="ACS16" s="232"/>
      <c r="ACT16" s="232"/>
      <c r="ACU16" s="232"/>
      <c r="ACV16" s="232"/>
      <c r="ACW16" s="232"/>
      <c r="ACX16" s="232"/>
      <c r="ACY16" s="232"/>
      <c r="ACZ16" s="232"/>
      <c r="ADA16" s="232"/>
      <c r="ADB16" s="232"/>
      <c r="ADC16" s="232"/>
      <c r="ADD16" s="232"/>
      <c r="ADE16" s="232"/>
      <c r="ADF16" s="232"/>
      <c r="ADG16" s="232"/>
      <c r="ADH16" s="232"/>
      <c r="ADI16" s="232"/>
      <c r="ADJ16" s="232"/>
      <c r="ADK16" s="232"/>
      <c r="ADL16" s="232"/>
      <c r="ADM16" s="232"/>
      <c r="ADN16" s="232"/>
      <c r="ADO16" s="232"/>
      <c r="ADP16" s="232"/>
      <c r="ADQ16" s="232"/>
      <c r="ADR16" s="232"/>
      <c r="ADS16" s="232"/>
      <c r="ADT16" s="232"/>
      <c r="ADU16" s="232"/>
      <c r="ADV16" s="232"/>
      <c r="ADW16" s="232"/>
      <c r="ADX16" s="232"/>
      <c r="ADY16" s="232"/>
      <c r="ADZ16" s="232"/>
      <c r="AEA16" s="232"/>
      <c r="AEB16" s="232"/>
      <c r="AEC16" s="232"/>
      <c r="AED16" s="232"/>
      <c r="AEE16" s="232"/>
      <c r="AEF16" s="232"/>
      <c r="AEG16" s="232"/>
      <c r="AEH16" s="232"/>
      <c r="AEI16" s="232"/>
      <c r="AEJ16" s="232"/>
      <c r="AEK16" s="232"/>
      <c r="AEL16" s="232"/>
      <c r="AEM16" s="232"/>
      <c r="AEN16" s="232"/>
      <c r="AEO16" s="232"/>
      <c r="AEP16" s="232"/>
      <c r="AEQ16" s="232"/>
      <c r="AER16" s="232"/>
      <c r="AES16" s="232"/>
      <c r="AET16" s="232"/>
      <c r="AEU16" s="232"/>
      <c r="AEV16" s="232"/>
      <c r="AEW16" s="232"/>
      <c r="AEX16" s="232"/>
      <c r="AEY16" s="232"/>
      <c r="AEZ16" s="232"/>
      <c r="AFA16" s="232"/>
      <c r="AFB16" s="232"/>
      <c r="AFC16" s="232"/>
      <c r="AFD16" s="232"/>
      <c r="AFE16" s="232"/>
      <c r="AFF16" s="232"/>
      <c r="AFG16" s="232"/>
      <c r="AFH16" s="232"/>
      <c r="AFI16" s="232"/>
      <c r="AFJ16" s="232"/>
      <c r="AFK16" s="232"/>
      <c r="AFL16" s="232"/>
      <c r="AFM16" s="232"/>
      <c r="AFN16" s="232"/>
      <c r="AFO16" s="232"/>
      <c r="AFP16" s="232"/>
      <c r="AFQ16" s="232"/>
      <c r="AFR16" s="232"/>
      <c r="AFS16" s="232"/>
      <c r="AFT16" s="232"/>
      <c r="AFU16" s="232"/>
      <c r="AFV16" s="232"/>
      <c r="AFW16" s="232"/>
      <c r="AFX16" s="232"/>
      <c r="AFY16" s="232"/>
      <c r="AFZ16" s="232"/>
      <c r="AGA16" s="232"/>
      <c r="AGB16" s="232"/>
      <c r="AGC16" s="232"/>
      <c r="AGD16" s="232"/>
      <c r="AGE16" s="232"/>
      <c r="AGF16" s="232"/>
      <c r="AGG16" s="232"/>
      <c r="AGH16" s="232"/>
      <c r="AGI16" s="232"/>
      <c r="AGJ16" s="232"/>
      <c r="AGK16" s="232"/>
      <c r="AGL16" s="232"/>
      <c r="AGM16" s="232"/>
      <c r="AGN16" s="232"/>
      <c r="AGO16" s="232"/>
      <c r="AGP16" s="232"/>
      <c r="AGQ16" s="232"/>
      <c r="AGR16" s="232"/>
      <c r="AGS16" s="232"/>
      <c r="AGT16" s="232"/>
      <c r="AGU16" s="232"/>
      <c r="AGV16" s="232"/>
      <c r="AGW16" s="232"/>
      <c r="AGX16" s="232"/>
      <c r="AGY16" s="232"/>
      <c r="AGZ16" s="232"/>
      <c r="AHA16" s="232"/>
      <c r="AHB16" s="232"/>
      <c r="AHC16" s="232"/>
      <c r="AHD16" s="232"/>
      <c r="AHE16" s="232"/>
      <c r="AHF16" s="232"/>
      <c r="AHG16" s="232"/>
      <c r="AHH16" s="232"/>
      <c r="AHI16" s="232"/>
      <c r="AHJ16" s="232"/>
      <c r="AHK16" s="232"/>
      <c r="AHL16" s="232"/>
      <c r="AHM16" s="232"/>
      <c r="AHN16" s="232"/>
      <c r="AHO16" s="232"/>
      <c r="AHP16" s="232"/>
      <c r="AHQ16" s="232"/>
      <c r="AHR16" s="232"/>
      <c r="AHS16" s="232"/>
      <c r="AHT16" s="232"/>
      <c r="AHU16" s="232"/>
      <c r="AHV16" s="232"/>
      <c r="AHW16" s="232"/>
      <c r="AHX16" s="232"/>
      <c r="AHY16" s="232"/>
      <c r="AHZ16" s="232"/>
      <c r="AIA16" s="232"/>
      <c r="AIB16" s="232"/>
      <c r="AIC16" s="232"/>
      <c r="AID16" s="232"/>
      <c r="AIE16" s="232"/>
      <c r="AIF16" s="232"/>
      <c r="AIG16" s="232"/>
      <c r="AIH16" s="232"/>
      <c r="AII16" s="232"/>
      <c r="AIJ16" s="232"/>
      <c r="AIK16" s="232"/>
      <c r="AIL16" s="232"/>
      <c r="AIM16" s="232"/>
      <c r="AIN16" s="232"/>
      <c r="AIO16" s="232"/>
      <c r="AIP16" s="232"/>
      <c r="AIQ16" s="232"/>
      <c r="AIR16" s="232"/>
      <c r="AIS16" s="232"/>
      <c r="AIT16" s="232"/>
      <c r="AIU16" s="232"/>
      <c r="AIV16" s="232"/>
      <c r="AIW16" s="232"/>
      <c r="AIX16" s="232"/>
      <c r="AIY16" s="232"/>
      <c r="AIZ16" s="232"/>
      <c r="AJA16" s="232"/>
      <c r="AJB16" s="232"/>
      <c r="AJC16" s="232"/>
      <c r="AJD16" s="232"/>
      <c r="AJE16" s="232"/>
      <c r="AJF16" s="232"/>
      <c r="AJG16" s="232"/>
      <c r="AJH16" s="232"/>
      <c r="AJI16" s="232"/>
      <c r="AJJ16" s="232"/>
      <c r="AJK16" s="232"/>
      <c r="AJL16" s="232"/>
      <c r="AJM16" s="232"/>
      <c r="AJN16" s="232"/>
      <c r="AJO16" s="232"/>
      <c r="AJP16" s="232"/>
      <c r="AJQ16" s="232"/>
      <c r="AJR16" s="232"/>
      <c r="AJS16" s="232"/>
      <c r="AJT16" s="232"/>
      <c r="AJU16" s="232"/>
      <c r="AJV16" s="232"/>
      <c r="AJW16" s="232"/>
      <c r="AJX16" s="232"/>
      <c r="AJY16" s="232"/>
      <c r="AJZ16" s="232"/>
      <c r="AKA16" s="232"/>
      <c r="AKB16" s="232"/>
      <c r="AKC16" s="232"/>
      <c r="AKD16" s="232"/>
      <c r="AKE16" s="232"/>
      <c r="AKF16" s="232"/>
      <c r="AKG16" s="232"/>
      <c r="AKH16" s="232"/>
      <c r="AKI16" s="232"/>
      <c r="AKJ16" s="232"/>
      <c r="AKK16" s="232"/>
      <c r="AKL16" s="232"/>
      <c r="AKM16" s="232"/>
      <c r="AKN16" s="232"/>
      <c r="AKO16" s="232"/>
      <c r="AKP16" s="232"/>
      <c r="AKQ16" s="232"/>
      <c r="AKR16" s="232"/>
      <c r="AKS16" s="232"/>
      <c r="AKT16" s="232"/>
      <c r="AKU16" s="232"/>
      <c r="AKV16" s="232"/>
      <c r="AKW16" s="232"/>
      <c r="AKX16" s="232"/>
      <c r="AKY16" s="232"/>
      <c r="AKZ16" s="232"/>
      <c r="ALA16" s="232"/>
      <c r="ALB16" s="232"/>
      <c r="ALC16" s="232"/>
      <c r="ALD16" s="232"/>
      <c r="ALE16" s="232"/>
      <c r="ALF16" s="232"/>
      <c r="ALG16" s="232"/>
      <c r="ALH16" s="232"/>
      <c r="ALI16" s="232"/>
      <c r="ALJ16" s="232"/>
      <c r="ALK16" s="232"/>
      <c r="ALL16" s="232"/>
      <c r="ALM16" s="232"/>
      <c r="ALN16" s="232"/>
      <c r="ALO16" s="232"/>
      <c r="ALP16" s="232"/>
      <c r="ALQ16" s="232"/>
      <c r="ALR16" s="232"/>
      <c r="ALS16" s="232"/>
      <c r="ALT16" s="232"/>
      <c r="ALU16" s="232"/>
      <c r="ALV16" s="232"/>
      <c r="ALW16" s="232"/>
      <c r="ALX16" s="232"/>
      <c r="ALY16" s="232"/>
      <c r="ALZ16" s="232"/>
      <c r="AMA16" s="232"/>
      <c r="AMB16" s="232"/>
      <c r="AMC16" s="232"/>
      <c r="AMD16" s="232"/>
      <c r="AME16" s="232"/>
      <c r="AMF16" s="232"/>
      <c r="AMG16" s="232"/>
      <c r="AMH16" s="232"/>
      <c r="AMI16" s="232"/>
      <c r="AMJ16" s="232"/>
      <c r="AMK16" s="232"/>
      <c r="AML16" s="232"/>
      <c r="AMM16" s="232"/>
      <c r="AMN16" s="232"/>
      <c r="AMO16" s="232"/>
      <c r="AMP16" s="232"/>
      <c r="AMQ16" s="232"/>
      <c r="AMR16" s="232"/>
      <c r="AMS16" s="232"/>
      <c r="AMT16" s="232"/>
      <c r="AMU16" s="232"/>
      <c r="AMV16" s="232"/>
      <c r="AMW16" s="232"/>
      <c r="AMX16" s="232"/>
      <c r="AMY16" s="232"/>
      <c r="AMZ16" s="232"/>
      <c r="ANA16" s="232"/>
      <c r="ANB16" s="232"/>
      <c r="ANC16" s="232"/>
      <c r="AND16" s="232"/>
      <c r="ANE16" s="232"/>
      <c r="ANF16" s="232"/>
      <c r="ANG16" s="232"/>
      <c r="ANH16" s="232"/>
      <c r="ANI16" s="232"/>
      <c r="ANJ16" s="232"/>
      <c r="ANK16" s="232"/>
      <c r="ANL16" s="232"/>
      <c r="ANM16" s="232"/>
      <c r="ANN16" s="232"/>
      <c r="ANO16" s="232"/>
      <c r="ANP16" s="232"/>
      <c r="ANQ16" s="232"/>
      <c r="ANR16" s="232"/>
      <c r="ANS16" s="232"/>
      <c r="ANT16" s="232"/>
      <c r="ANU16" s="232"/>
      <c r="ANV16" s="232"/>
      <c r="ANW16" s="232"/>
      <c r="ANX16" s="232"/>
      <c r="ANY16" s="232"/>
      <c r="ANZ16" s="232"/>
      <c r="AOA16" s="232"/>
      <c r="AOB16" s="232"/>
      <c r="AOC16" s="232"/>
      <c r="AOD16" s="232"/>
      <c r="AOE16" s="232"/>
      <c r="AOF16" s="232"/>
      <c r="AOG16" s="232"/>
    </row>
    <row r="17" spans="1:1073">
      <c r="A17" s="2127"/>
      <c r="B17" s="223">
        <v>9</v>
      </c>
      <c r="C17" s="224"/>
      <c r="D17" s="225"/>
      <c r="E17" s="226"/>
      <c r="F17" s="226"/>
      <c r="G17" s="227" t="str">
        <f>IF(C17="","",IF(Tabelle1[[#This Row],[End Date]]&lt;COV!$E$12,0,IF(COV!E$12="","",IF(Tabelle1[[#This Row],[End Date]]-Tabelle1[[#This Row],[Start Date]]&gt;0,IF(F17&lt;COV!E$11,(F17-IF(E17&lt;COV!E$12,COV!E$12,Tabelle1[[#This Row],[Start Date]])),(COV!E$11-IF(E17&lt;COV!E$12,COV!E$12,Tabelle1[[#This Row],[Start Date]])))/365*12,""))))</f>
        <v/>
      </c>
      <c r="H17" s="225"/>
      <c r="I17" s="234"/>
      <c r="J17" s="229"/>
      <c r="K17" s="1325" t="str">
        <f>IF(Tabelle1[[#This Row],[Project Name]]="","",IF(OR(Tabelle1[[#This Row],[PM Category]]=CAT_A_NAME,Tabelle1[[#This Row],[PM Category]]=CAT_B_NAME,Tabelle1[[#This Row],[PM Category]]=CAT_C_NAME,Tabelle1[[#This Row],[PM Category]]=CAT_D_NAME,Tabelle1[[#This Row],[PM Category]]=CAT_E_NAME,Tabelle1[[#This Row],[PM Category]]=CAT_SPJ,Tabelle1[[#This Row],[PM Category]]=CAT_PJ,Tabelle1[[#This Row],[PM Category]]=""),"","1"))</f>
        <v/>
      </c>
      <c r="L17" s="1326">
        <f>IF(Tabelle1[[#This Row],[Role]]="PJM",1)+IF(Tabelle1[[#This Row],[Role]]="PGM",1)+IF(Tabelle1[[#This Row],[Role]]="PFM",1)+IF(Tabelle1[[#This Row],[Role]]="TPM",1)+IF(Tabelle1[[#This Row],[Role]]="CPM",1)</f>
        <v>0</v>
      </c>
      <c r="M17" s="230" t="str">
        <f>IFERROR(IF(Tabelle1[[#This Row],[Project Name]]&lt;&gt;"",IF(G17*I17&gt;0,G17,""),"")*Tabelle1[[#This Row],[Role Check]],"")</f>
        <v/>
      </c>
      <c r="N17" s="231" t="str">
        <f>IFERROR(Tabelle1[[#This Row],[Duration '[months']]]*Tabelle1[[#This Row],[Avg. time spent in resp. Role]],"")</f>
        <v/>
      </c>
      <c r="O17" s="221"/>
      <c r="S17" s="208" t="str">
        <f>IF(Tabelle1[[#This Row],[Project Name]]&lt;&gt;"",Tabelle1[[#This Row],[Project Name]],"")</f>
        <v/>
      </c>
      <c r="T17" s="232">
        <f t="shared" si="12"/>
        <v>0</v>
      </c>
      <c r="U17" s="545" t="e">
        <f t="shared" si="12"/>
        <v>#VALUE!</v>
      </c>
      <c r="V17" s="545" t="e">
        <f t="shared" si="13"/>
        <v>#VALUE!</v>
      </c>
      <c r="W17" s="232" t="e">
        <f t="shared" si="13"/>
        <v>#VALUE!</v>
      </c>
      <c r="X17" s="232" t="e">
        <f t="shared" si="13"/>
        <v>#VALUE!</v>
      </c>
      <c r="Y17" s="232" t="e">
        <f t="shared" si="13"/>
        <v>#VALUE!</v>
      </c>
      <c r="Z17" s="232" t="e">
        <f t="shared" si="13"/>
        <v>#VALUE!</v>
      </c>
      <c r="AA17" s="232" t="e">
        <f t="shared" si="13"/>
        <v>#VALUE!</v>
      </c>
      <c r="AB17" s="232" t="e">
        <f t="shared" si="13"/>
        <v>#VALUE!</v>
      </c>
      <c r="AC17" s="232" t="e">
        <f t="shared" si="13"/>
        <v>#VALUE!</v>
      </c>
      <c r="AD17" s="232" t="e">
        <f t="shared" si="13"/>
        <v>#VALUE!</v>
      </c>
      <c r="AE17" s="232" t="e">
        <f t="shared" si="13"/>
        <v>#VALUE!</v>
      </c>
      <c r="AF17" s="232" t="e">
        <f t="shared" si="14"/>
        <v>#VALUE!</v>
      </c>
      <c r="AG17" s="232" t="e">
        <f t="shared" si="14"/>
        <v>#VALUE!</v>
      </c>
      <c r="AH17" s="232" t="e">
        <f t="shared" si="14"/>
        <v>#VALUE!</v>
      </c>
      <c r="AI17" s="232" t="e">
        <f t="shared" si="14"/>
        <v>#VALUE!</v>
      </c>
      <c r="AJ17" s="232" t="e">
        <f t="shared" si="14"/>
        <v>#VALUE!</v>
      </c>
      <c r="AK17" s="232" t="e">
        <f t="shared" si="14"/>
        <v>#VALUE!</v>
      </c>
      <c r="AL17" s="232" t="e">
        <f t="shared" si="14"/>
        <v>#VALUE!</v>
      </c>
      <c r="AM17" s="232" t="e">
        <f t="shared" si="14"/>
        <v>#VALUE!</v>
      </c>
      <c r="AN17" s="232" t="e">
        <f t="shared" si="14"/>
        <v>#VALUE!</v>
      </c>
      <c r="AO17" s="232" t="e">
        <f t="shared" si="14"/>
        <v>#VALUE!</v>
      </c>
      <c r="AP17" s="232" t="e">
        <f t="shared" si="15"/>
        <v>#VALUE!</v>
      </c>
      <c r="AQ17" s="232" t="e">
        <f t="shared" si="15"/>
        <v>#VALUE!</v>
      </c>
      <c r="AR17" s="232" t="e">
        <f t="shared" si="15"/>
        <v>#VALUE!</v>
      </c>
      <c r="AS17" s="232" t="e">
        <f t="shared" si="15"/>
        <v>#VALUE!</v>
      </c>
      <c r="AT17" s="232" t="e">
        <f t="shared" si="15"/>
        <v>#VALUE!</v>
      </c>
      <c r="AU17" s="232" t="e">
        <f t="shared" si="15"/>
        <v>#VALUE!</v>
      </c>
      <c r="AV17" s="232" t="e">
        <f t="shared" si="15"/>
        <v>#VALUE!</v>
      </c>
      <c r="AW17" s="232" t="e">
        <f t="shared" si="15"/>
        <v>#VALUE!</v>
      </c>
      <c r="AX17" s="232" t="e">
        <f t="shared" si="15"/>
        <v>#VALUE!</v>
      </c>
      <c r="AY17" s="232" t="e">
        <f t="shared" si="15"/>
        <v>#VALUE!</v>
      </c>
      <c r="AZ17" s="232" t="e">
        <f t="shared" si="16"/>
        <v>#VALUE!</v>
      </c>
      <c r="BA17" s="232" t="e">
        <f t="shared" si="16"/>
        <v>#VALUE!</v>
      </c>
      <c r="BB17" s="232" t="e">
        <f t="shared" si="16"/>
        <v>#VALUE!</v>
      </c>
      <c r="BC17" s="232" t="e">
        <f t="shared" si="16"/>
        <v>#VALUE!</v>
      </c>
      <c r="BD17" s="232" t="e">
        <f t="shared" si="16"/>
        <v>#VALUE!</v>
      </c>
      <c r="BE17" s="232" t="e">
        <f t="shared" si="16"/>
        <v>#VALUE!</v>
      </c>
      <c r="BF17" s="232" t="e">
        <f t="shared" si="16"/>
        <v>#VALUE!</v>
      </c>
      <c r="BG17" s="232" t="e">
        <f t="shared" si="16"/>
        <v>#VALUE!</v>
      </c>
      <c r="BH17" s="232" t="e">
        <f t="shared" si="16"/>
        <v>#VALUE!</v>
      </c>
      <c r="BI17" s="232" t="e">
        <f t="shared" si="16"/>
        <v>#VALUE!</v>
      </c>
      <c r="BJ17" s="232" t="e">
        <f t="shared" si="17"/>
        <v>#VALUE!</v>
      </c>
      <c r="BK17" s="232" t="e">
        <f t="shared" si="17"/>
        <v>#VALUE!</v>
      </c>
      <c r="BL17" s="232" t="e">
        <f t="shared" si="17"/>
        <v>#VALUE!</v>
      </c>
      <c r="BM17" s="232" t="e">
        <f t="shared" si="17"/>
        <v>#VALUE!</v>
      </c>
      <c r="BN17" s="232" t="e">
        <f t="shared" si="17"/>
        <v>#VALUE!</v>
      </c>
      <c r="BO17" s="232" t="e">
        <f t="shared" si="17"/>
        <v>#VALUE!</v>
      </c>
      <c r="BP17" s="232" t="e">
        <f t="shared" si="17"/>
        <v>#VALUE!</v>
      </c>
      <c r="BQ17" s="232" t="e">
        <f t="shared" si="17"/>
        <v>#VALUE!</v>
      </c>
      <c r="BR17" s="232" t="e">
        <f t="shared" si="17"/>
        <v>#VALUE!</v>
      </c>
      <c r="BS17" s="232" t="e">
        <f t="shared" si="17"/>
        <v>#VALUE!</v>
      </c>
      <c r="BT17" s="232" t="e">
        <f t="shared" si="18"/>
        <v>#VALUE!</v>
      </c>
      <c r="BU17" s="232" t="e">
        <f t="shared" si="18"/>
        <v>#VALUE!</v>
      </c>
      <c r="BV17" s="232" t="e">
        <f t="shared" si="18"/>
        <v>#VALUE!</v>
      </c>
      <c r="BW17" s="232" t="e">
        <f t="shared" si="18"/>
        <v>#VALUE!</v>
      </c>
      <c r="BX17" s="232" t="e">
        <f t="shared" si="18"/>
        <v>#VALUE!</v>
      </c>
      <c r="BY17" s="232" t="e">
        <f t="shared" si="18"/>
        <v>#VALUE!</v>
      </c>
      <c r="BZ17" s="232" t="e">
        <f t="shared" si="18"/>
        <v>#VALUE!</v>
      </c>
      <c r="CA17" s="232" t="e">
        <f t="shared" si="18"/>
        <v>#VALUE!</v>
      </c>
      <c r="CB17" s="232" t="e">
        <f t="shared" si="18"/>
        <v>#VALUE!</v>
      </c>
      <c r="CC17" s="232" t="e">
        <f t="shared" si="18"/>
        <v>#VALUE!</v>
      </c>
      <c r="CD17" s="232" t="e">
        <f t="shared" si="19"/>
        <v>#VALUE!</v>
      </c>
      <c r="CE17" s="232" t="e">
        <f t="shared" si="19"/>
        <v>#VALUE!</v>
      </c>
      <c r="CF17" s="232" t="e">
        <f t="shared" si="19"/>
        <v>#VALUE!</v>
      </c>
      <c r="CG17" s="232" t="e">
        <f t="shared" si="19"/>
        <v>#VALUE!</v>
      </c>
      <c r="CH17" s="232" t="e">
        <f t="shared" si="19"/>
        <v>#VALUE!</v>
      </c>
      <c r="CI17" s="232" t="e">
        <f t="shared" si="19"/>
        <v>#VALUE!</v>
      </c>
      <c r="CJ17" s="232" t="e">
        <f t="shared" si="19"/>
        <v>#VALUE!</v>
      </c>
      <c r="CK17" s="232" t="e">
        <f t="shared" si="19"/>
        <v>#VALUE!</v>
      </c>
      <c r="CL17" s="232" t="e">
        <f t="shared" si="19"/>
        <v>#VALUE!</v>
      </c>
      <c r="CM17" s="232" t="e">
        <f t="shared" si="19"/>
        <v>#VALUE!</v>
      </c>
      <c r="CN17" s="232" t="e">
        <f t="shared" si="20"/>
        <v>#VALUE!</v>
      </c>
      <c r="CO17" s="232" t="e">
        <f t="shared" si="20"/>
        <v>#VALUE!</v>
      </c>
      <c r="CP17" s="232" t="e">
        <f t="shared" si="20"/>
        <v>#VALUE!</v>
      </c>
      <c r="CQ17" s="232" t="e">
        <f t="shared" si="20"/>
        <v>#VALUE!</v>
      </c>
      <c r="CR17" s="232" t="e">
        <f t="shared" si="20"/>
        <v>#VALUE!</v>
      </c>
      <c r="CS17" s="232" t="e">
        <f t="shared" si="20"/>
        <v>#VALUE!</v>
      </c>
      <c r="CT17" s="232" t="e">
        <f t="shared" si="20"/>
        <v>#VALUE!</v>
      </c>
      <c r="CU17" s="232" t="e">
        <f t="shared" si="20"/>
        <v>#VALUE!</v>
      </c>
      <c r="CV17" s="232" t="e">
        <f t="shared" si="20"/>
        <v>#VALUE!</v>
      </c>
      <c r="CW17" s="232" t="e">
        <f t="shared" si="20"/>
        <v>#VALUE!</v>
      </c>
      <c r="CX17" s="232" t="e">
        <f t="shared" si="21"/>
        <v>#VALUE!</v>
      </c>
      <c r="CY17" s="232" t="e">
        <f t="shared" si="21"/>
        <v>#VALUE!</v>
      </c>
      <c r="CZ17" s="232" t="e">
        <f t="shared" si="21"/>
        <v>#VALUE!</v>
      </c>
      <c r="DA17" s="232" t="e">
        <f t="shared" si="21"/>
        <v>#VALUE!</v>
      </c>
      <c r="DB17" s="232" t="e">
        <f t="shared" si="21"/>
        <v>#VALUE!</v>
      </c>
      <c r="DC17" s="232" t="e">
        <f t="shared" si="21"/>
        <v>#VALUE!</v>
      </c>
      <c r="DD17" s="232" t="e">
        <f t="shared" si="21"/>
        <v>#VALUE!</v>
      </c>
      <c r="DE17" s="232" t="e">
        <f t="shared" si="21"/>
        <v>#VALUE!</v>
      </c>
      <c r="DF17" s="232" t="e">
        <f t="shared" si="21"/>
        <v>#VALUE!</v>
      </c>
      <c r="DG17" s="232" t="e">
        <f t="shared" si="21"/>
        <v>#VALUE!</v>
      </c>
      <c r="DH17" s="232" t="e">
        <f t="shared" si="22"/>
        <v>#VALUE!</v>
      </c>
      <c r="DI17" s="232" t="e">
        <f t="shared" si="22"/>
        <v>#VALUE!</v>
      </c>
      <c r="DJ17" s="232" t="e">
        <f t="shared" si="22"/>
        <v>#VALUE!</v>
      </c>
      <c r="DK17" s="232" t="e">
        <f t="shared" si="22"/>
        <v>#VALUE!</v>
      </c>
      <c r="DL17" s="232" t="e">
        <f t="shared" si="22"/>
        <v>#VALUE!</v>
      </c>
      <c r="DM17" s="232" t="e">
        <f t="shared" si="22"/>
        <v>#VALUE!</v>
      </c>
      <c r="DN17" s="232" t="e">
        <f t="shared" si="22"/>
        <v>#VALUE!</v>
      </c>
      <c r="DO17" s="232" t="e">
        <f t="shared" si="22"/>
        <v>#VALUE!</v>
      </c>
      <c r="DP17" s="232" t="e">
        <f t="shared" si="22"/>
        <v>#VALUE!</v>
      </c>
      <c r="DQ17" s="232" t="e">
        <f t="shared" si="22"/>
        <v>#VALUE!</v>
      </c>
      <c r="DR17" s="232" t="e">
        <f t="shared" si="23"/>
        <v>#VALUE!</v>
      </c>
      <c r="DS17" s="232" t="e">
        <f t="shared" si="23"/>
        <v>#VALUE!</v>
      </c>
      <c r="DT17" s="232" t="e">
        <f t="shared" si="23"/>
        <v>#VALUE!</v>
      </c>
      <c r="DU17" s="232" t="e">
        <f t="shared" si="23"/>
        <v>#VALUE!</v>
      </c>
      <c r="DV17" s="232" t="e">
        <f t="shared" si="23"/>
        <v>#VALUE!</v>
      </c>
      <c r="DW17" s="232" t="e">
        <f t="shared" si="23"/>
        <v>#VALUE!</v>
      </c>
      <c r="DX17" s="232" t="e">
        <f t="shared" si="23"/>
        <v>#VALUE!</v>
      </c>
      <c r="DY17" s="232" t="e">
        <f t="shared" si="23"/>
        <v>#VALUE!</v>
      </c>
      <c r="DZ17" s="232" t="e">
        <f t="shared" si="23"/>
        <v>#VALUE!</v>
      </c>
      <c r="EA17" s="232" t="e">
        <f t="shared" si="23"/>
        <v>#VALUE!</v>
      </c>
      <c r="EB17" s="232" t="e">
        <f t="shared" si="24"/>
        <v>#VALUE!</v>
      </c>
      <c r="EC17" s="232" t="e">
        <f t="shared" si="24"/>
        <v>#VALUE!</v>
      </c>
      <c r="ED17" s="232" t="e">
        <f t="shared" si="24"/>
        <v>#VALUE!</v>
      </c>
      <c r="EE17" s="232" t="e">
        <f t="shared" si="24"/>
        <v>#VALUE!</v>
      </c>
      <c r="EF17" s="232" t="e">
        <f t="shared" si="24"/>
        <v>#VALUE!</v>
      </c>
      <c r="EG17" s="232" t="e">
        <f t="shared" si="24"/>
        <v>#VALUE!</v>
      </c>
      <c r="EH17" s="232" t="e">
        <f t="shared" si="24"/>
        <v>#VALUE!</v>
      </c>
      <c r="EI17" s="232" t="e">
        <f t="shared" si="24"/>
        <v>#VALUE!</v>
      </c>
      <c r="EJ17" s="232" t="e">
        <f t="shared" si="24"/>
        <v>#VALUE!</v>
      </c>
      <c r="EK17" s="232" t="e">
        <f t="shared" si="24"/>
        <v>#VALUE!</v>
      </c>
      <c r="EL17" s="232" t="e">
        <f t="shared" si="25"/>
        <v>#VALUE!</v>
      </c>
      <c r="EM17" s="232" t="e">
        <f t="shared" si="25"/>
        <v>#VALUE!</v>
      </c>
      <c r="EN17" s="232" t="e">
        <f t="shared" si="25"/>
        <v>#VALUE!</v>
      </c>
      <c r="EO17" s="232" t="e">
        <f t="shared" si="25"/>
        <v>#VALUE!</v>
      </c>
      <c r="EP17" s="232" t="e">
        <f t="shared" si="25"/>
        <v>#VALUE!</v>
      </c>
      <c r="EQ17" s="232" t="e">
        <f t="shared" si="25"/>
        <v>#VALUE!</v>
      </c>
      <c r="ER17" s="232" t="e">
        <f t="shared" si="25"/>
        <v>#VALUE!</v>
      </c>
      <c r="ES17" s="232" t="e">
        <f t="shared" si="25"/>
        <v>#VALUE!</v>
      </c>
      <c r="ET17" s="232" t="e">
        <f t="shared" si="25"/>
        <v>#VALUE!</v>
      </c>
      <c r="EU17" s="232" t="e">
        <f t="shared" si="25"/>
        <v>#VALUE!</v>
      </c>
      <c r="EV17" s="232" t="e">
        <f t="shared" si="26"/>
        <v>#VALUE!</v>
      </c>
      <c r="EW17" s="232" t="e">
        <f t="shared" si="26"/>
        <v>#VALUE!</v>
      </c>
      <c r="EX17" s="232" t="e">
        <f t="shared" si="26"/>
        <v>#VALUE!</v>
      </c>
      <c r="EY17" s="232" t="e">
        <f t="shared" si="26"/>
        <v>#VALUE!</v>
      </c>
      <c r="EZ17" s="232" t="e">
        <f t="shared" si="26"/>
        <v>#VALUE!</v>
      </c>
      <c r="FA17" s="232" t="e">
        <f t="shared" si="26"/>
        <v>#VALUE!</v>
      </c>
      <c r="FB17" s="232" t="e">
        <f t="shared" si="26"/>
        <v>#VALUE!</v>
      </c>
      <c r="FC17" s="232" t="e">
        <f t="shared" si="26"/>
        <v>#VALUE!</v>
      </c>
      <c r="FD17" s="232" t="e">
        <f t="shared" si="26"/>
        <v>#VALUE!</v>
      </c>
      <c r="FE17" s="232" t="e">
        <f t="shared" si="26"/>
        <v>#VALUE!</v>
      </c>
      <c r="FF17" s="232" t="e">
        <f t="shared" si="27"/>
        <v>#VALUE!</v>
      </c>
      <c r="FG17" s="232" t="e">
        <f t="shared" si="27"/>
        <v>#VALUE!</v>
      </c>
      <c r="FH17" s="232" t="e">
        <f t="shared" si="27"/>
        <v>#VALUE!</v>
      </c>
      <c r="FI17" s="232" t="e">
        <f t="shared" si="27"/>
        <v>#VALUE!</v>
      </c>
      <c r="FJ17" s="232" t="e">
        <f t="shared" si="27"/>
        <v>#VALUE!</v>
      </c>
      <c r="FK17" s="232" t="e">
        <f t="shared" si="27"/>
        <v>#VALUE!</v>
      </c>
      <c r="FL17" s="232" t="e">
        <f t="shared" si="27"/>
        <v>#VALUE!</v>
      </c>
      <c r="FM17" s="232" t="e">
        <f t="shared" si="27"/>
        <v>#VALUE!</v>
      </c>
      <c r="FN17" s="232" t="e">
        <f t="shared" si="27"/>
        <v>#VALUE!</v>
      </c>
      <c r="FO17" s="232" t="e">
        <f t="shared" si="27"/>
        <v>#VALUE!</v>
      </c>
      <c r="FP17" s="232" t="e">
        <f t="shared" si="28"/>
        <v>#VALUE!</v>
      </c>
      <c r="FQ17" s="232" t="e">
        <f t="shared" si="28"/>
        <v>#VALUE!</v>
      </c>
      <c r="FR17" s="232" t="e">
        <f t="shared" si="28"/>
        <v>#VALUE!</v>
      </c>
      <c r="FS17" s="232" t="e">
        <f t="shared" si="28"/>
        <v>#VALUE!</v>
      </c>
      <c r="FT17" s="232" t="e">
        <f t="shared" si="28"/>
        <v>#VALUE!</v>
      </c>
      <c r="FU17" s="232" t="e">
        <f t="shared" si="28"/>
        <v>#VALUE!</v>
      </c>
      <c r="FV17" s="232" t="e">
        <f t="shared" si="28"/>
        <v>#VALUE!</v>
      </c>
      <c r="FW17" s="232" t="e">
        <f t="shared" si="28"/>
        <v>#VALUE!</v>
      </c>
      <c r="FX17" s="232" t="e">
        <f t="shared" si="28"/>
        <v>#VALUE!</v>
      </c>
      <c r="FY17" s="232" t="e">
        <f t="shared" si="28"/>
        <v>#VALUE!</v>
      </c>
      <c r="FZ17" s="232" t="e">
        <f t="shared" si="29"/>
        <v>#VALUE!</v>
      </c>
      <c r="GA17" s="232" t="e">
        <f t="shared" si="29"/>
        <v>#VALUE!</v>
      </c>
      <c r="GB17" s="232" t="e">
        <f t="shared" si="29"/>
        <v>#VALUE!</v>
      </c>
      <c r="GC17" s="232" t="e">
        <f t="shared" si="29"/>
        <v>#VALUE!</v>
      </c>
      <c r="GD17" s="232" t="e">
        <f t="shared" si="29"/>
        <v>#VALUE!</v>
      </c>
      <c r="GE17" s="232" t="e">
        <f t="shared" si="29"/>
        <v>#VALUE!</v>
      </c>
      <c r="GF17" s="232" t="e">
        <f t="shared" si="29"/>
        <v>#VALUE!</v>
      </c>
      <c r="GG17" s="232" t="e">
        <f t="shared" si="29"/>
        <v>#VALUE!</v>
      </c>
      <c r="GH17" s="232" t="e">
        <f t="shared" si="29"/>
        <v>#VALUE!</v>
      </c>
      <c r="GI17" s="232" t="e">
        <f t="shared" si="29"/>
        <v>#VALUE!</v>
      </c>
      <c r="GJ17" s="232" t="e">
        <f t="shared" si="30"/>
        <v>#VALUE!</v>
      </c>
      <c r="GK17" s="232" t="e">
        <f t="shared" si="30"/>
        <v>#VALUE!</v>
      </c>
      <c r="GL17" s="232" t="e">
        <f t="shared" si="30"/>
        <v>#VALUE!</v>
      </c>
      <c r="GM17" s="232" t="e">
        <f t="shared" si="30"/>
        <v>#VALUE!</v>
      </c>
      <c r="GN17" s="232" t="e">
        <f t="shared" si="30"/>
        <v>#VALUE!</v>
      </c>
      <c r="GO17" s="232" t="e">
        <f t="shared" si="30"/>
        <v>#VALUE!</v>
      </c>
      <c r="GP17" s="232" t="e">
        <f t="shared" si="30"/>
        <v>#VALUE!</v>
      </c>
      <c r="GQ17" s="232" t="e">
        <f t="shared" si="30"/>
        <v>#VALUE!</v>
      </c>
      <c r="GR17" s="232" t="e">
        <f t="shared" si="30"/>
        <v>#VALUE!</v>
      </c>
      <c r="GS17" s="232" t="e">
        <f t="shared" si="30"/>
        <v>#VALUE!</v>
      </c>
      <c r="GT17" s="232" t="e">
        <f t="shared" si="31"/>
        <v>#VALUE!</v>
      </c>
      <c r="GU17" s="232" t="e">
        <f t="shared" si="31"/>
        <v>#VALUE!</v>
      </c>
      <c r="GV17" s="232" t="e">
        <f t="shared" si="31"/>
        <v>#VALUE!</v>
      </c>
      <c r="GW17" s="232" t="e">
        <f t="shared" si="31"/>
        <v>#VALUE!</v>
      </c>
      <c r="GX17" s="232" t="e">
        <f t="shared" si="31"/>
        <v>#VALUE!</v>
      </c>
      <c r="GY17" s="232" t="e">
        <f t="shared" si="31"/>
        <v>#VALUE!</v>
      </c>
      <c r="GZ17" s="232" t="e">
        <f t="shared" si="31"/>
        <v>#VALUE!</v>
      </c>
      <c r="HA17" s="232" t="e">
        <f t="shared" si="31"/>
        <v>#VALUE!</v>
      </c>
      <c r="HB17" s="232" t="e">
        <f t="shared" si="31"/>
        <v>#VALUE!</v>
      </c>
      <c r="HC17" s="232" t="e">
        <f t="shared" si="31"/>
        <v>#VALUE!</v>
      </c>
      <c r="HD17" s="232" t="e">
        <f t="shared" si="32"/>
        <v>#VALUE!</v>
      </c>
      <c r="HE17" s="232" t="e">
        <f t="shared" si="32"/>
        <v>#VALUE!</v>
      </c>
      <c r="HF17" s="232" t="e">
        <f t="shared" si="32"/>
        <v>#VALUE!</v>
      </c>
      <c r="HG17" s="232" t="e">
        <f t="shared" si="32"/>
        <v>#VALUE!</v>
      </c>
      <c r="HH17" s="232" t="e">
        <f t="shared" si="32"/>
        <v>#VALUE!</v>
      </c>
      <c r="HI17" s="232" t="e">
        <f t="shared" si="32"/>
        <v>#VALUE!</v>
      </c>
      <c r="HJ17" s="232" t="e">
        <f t="shared" si="32"/>
        <v>#VALUE!</v>
      </c>
      <c r="HK17" s="232" t="e">
        <f t="shared" si="32"/>
        <v>#VALUE!</v>
      </c>
      <c r="HL17" s="232" t="e">
        <f t="shared" si="32"/>
        <v>#VALUE!</v>
      </c>
      <c r="HM17" s="232" t="e">
        <f t="shared" si="32"/>
        <v>#VALUE!</v>
      </c>
      <c r="HN17" s="232" t="e">
        <f t="shared" si="33"/>
        <v>#VALUE!</v>
      </c>
      <c r="HO17" s="232" t="e">
        <f t="shared" si="33"/>
        <v>#VALUE!</v>
      </c>
      <c r="HP17" s="232" t="e">
        <f t="shared" si="33"/>
        <v>#VALUE!</v>
      </c>
      <c r="HQ17" s="232" t="e">
        <f t="shared" si="33"/>
        <v>#VALUE!</v>
      </c>
      <c r="HR17" s="232" t="e">
        <f t="shared" si="33"/>
        <v>#VALUE!</v>
      </c>
      <c r="HS17" s="232" t="e">
        <f t="shared" si="33"/>
        <v>#VALUE!</v>
      </c>
      <c r="HT17" s="232" t="e">
        <f t="shared" si="33"/>
        <v>#VALUE!</v>
      </c>
      <c r="HU17" s="232" t="e">
        <f t="shared" si="33"/>
        <v>#VALUE!</v>
      </c>
      <c r="HV17" s="232" t="e">
        <f t="shared" si="33"/>
        <v>#VALUE!</v>
      </c>
      <c r="HW17" s="232" t="e">
        <f t="shared" si="33"/>
        <v>#VALUE!</v>
      </c>
      <c r="HX17" s="232" t="e">
        <f t="shared" si="34"/>
        <v>#VALUE!</v>
      </c>
      <c r="HY17" s="232" t="e">
        <f t="shared" si="34"/>
        <v>#VALUE!</v>
      </c>
      <c r="HZ17" s="232" t="e">
        <f t="shared" si="34"/>
        <v>#VALUE!</v>
      </c>
      <c r="IA17" s="232" t="e">
        <f t="shared" si="34"/>
        <v>#VALUE!</v>
      </c>
      <c r="IB17" s="232" t="e">
        <f t="shared" si="34"/>
        <v>#VALUE!</v>
      </c>
      <c r="IC17" s="232" t="e">
        <f t="shared" si="34"/>
        <v>#VALUE!</v>
      </c>
      <c r="ID17" s="232" t="e">
        <f t="shared" si="34"/>
        <v>#VALUE!</v>
      </c>
      <c r="IE17" s="232" t="e">
        <f t="shared" si="34"/>
        <v>#VALUE!</v>
      </c>
      <c r="IF17" s="232" t="e">
        <f t="shared" si="34"/>
        <v>#VALUE!</v>
      </c>
      <c r="IG17" s="232" t="e">
        <f t="shared" si="34"/>
        <v>#VALUE!</v>
      </c>
      <c r="IH17" s="232" t="e">
        <f t="shared" si="35"/>
        <v>#VALUE!</v>
      </c>
      <c r="II17" s="232" t="e">
        <f t="shared" si="35"/>
        <v>#VALUE!</v>
      </c>
      <c r="IJ17" s="232" t="e">
        <f t="shared" si="35"/>
        <v>#VALUE!</v>
      </c>
      <c r="IK17" s="232" t="e">
        <f t="shared" si="35"/>
        <v>#VALUE!</v>
      </c>
      <c r="IL17" s="232" t="e">
        <f t="shared" si="35"/>
        <v>#VALUE!</v>
      </c>
      <c r="IM17" s="232" t="e">
        <f t="shared" si="35"/>
        <v>#VALUE!</v>
      </c>
      <c r="IN17" s="232" t="e">
        <f t="shared" si="35"/>
        <v>#VALUE!</v>
      </c>
      <c r="IO17" s="232" t="e">
        <f t="shared" si="35"/>
        <v>#VALUE!</v>
      </c>
      <c r="IP17" s="232" t="e">
        <f t="shared" si="35"/>
        <v>#VALUE!</v>
      </c>
      <c r="IQ17" s="232" t="e">
        <f t="shared" si="35"/>
        <v>#VALUE!</v>
      </c>
      <c r="IR17" s="232" t="e">
        <f t="shared" si="36"/>
        <v>#VALUE!</v>
      </c>
      <c r="IS17" s="232" t="e">
        <f t="shared" si="36"/>
        <v>#VALUE!</v>
      </c>
      <c r="IT17" s="232" t="e">
        <f t="shared" si="36"/>
        <v>#VALUE!</v>
      </c>
      <c r="IU17" s="232" t="e">
        <f t="shared" si="36"/>
        <v>#VALUE!</v>
      </c>
      <c r="IV17" s="232" t="e">
        <f t="shared" si="36"/>
        <v>#VALUE!</v>
      </c>
      <c r="IW17" s="232" t="e">
        <f t="shared" si="36"/>
        <v>#VALUE!</v>
      </c>
      <c r="IX17" s="232" t="e">
        <f t="shared" si="36"/>
        <v>#VALUE!</v>
      </c>
      <c r="IY17" s="232" t="e">
        <f t="shared" si="36"/>
        <v>#VALUE!</v>
      </c>
      <c r="IZ17" s="232" t="e">
        <f t="shared" si="36"/>
        <v>#VALUE!</v>
      </c>
      <c r="JA17" s="232" t="e">
        <f t="shared" si="36"/>
        <v>#VALUE!</v>
      </c>
      <c r="JB17" s="232" t="e">
        <f t="shared" si="37"/>
        <v>#VALUE!</v>
      </c>
      <c r="JC17" s="232" t="e">
        <f t="shared" si="37"/>
        <v>#VALUE!</v>
      </c>
      <c r="JD17" s="232" t="e">
        <f t="shared" si="37"/>
        <v>#VALUE!</v>
      </c>
      <c r="JE17" s="232" t="e">
        <f t="shared" si="37"/>
        <v>#VALUE!</v>
      </c>
      <c r="JF17" s="232" t="e">
        <f t="shared" si="37"/>
        <v>#VALUE!</v>
      </c>
      <c r="JG17" s="232" t="e">
        <f t="shared" si="37"/>
        <v>#VALUE!</v>
      </c>
      <c r="JH17" s="232" t="e">
        <f t="shared" si="37"/>
        <v>#VALUE!</v>
      </c>
      <c r="JI17" s="232" t="e">
        <f t="shared" si="37"/>
        <v>#VALUE!</v>
      </c>
      <c r="JJ17" s="232" t="e">
        <f t="shared" si="37"/>
        <v>#VALUE!</v>
      </c>
      <c r="JK17" s="232"/>
      <c r="JL17" s="232"/>
      <c r="JM17" s="232"/>
      <c r="JN17" s="232"/>
      <c r="JO17" s="232"/>
      <c r="JP17" s="232"/>
      <c r="JQ17" s="232"/>
      <c r="JR17" s="232"/>
      <c r="JS17" s="232"/>
      <c r="JT17" s="232"/>
      <c r="JU17" s="232"/>
      <c r="JV17" s="232"/>
      <c r="JW17" s="232"/>
      <c r="JX17" s="232"/>
      <c r="JY17" s="232"/>
      <c r="JZ17" s="232"/>
      <c r="KA17" s="232"/>
      <c r="KB17" s="232"/>
      <c r="KC17" s="232"/>
      <c r="KD17" s="232"/>
      <c r="KE17" s="232"/>
      <c r="KF17" s="232"/>
      <c r="KG17" s="232"/>
      <c r="KH17" s="232"/>
      <c r="KI17" s="232"/>
      <c r="KJ17" s="232"/>
      <c r="KK17" s="232"/>
      <c r="KL17" s="232"/>
      <c r="KM17" s="232"/>
      <c r="KN17" s="232"/>
      <c r="KO17" s="232"/>
      <c r="KP17" s="232"/>
      <c r="KQ17" s="232"/>
      <c r="KR17" s="232"/>
      <c r="KS17" s="232"/>
      <c r="KT17" s="232"/>
      <c r="KU17" s="232"/>
      <c r="KV17" s="232"/>
      <c r="KW17" s="232"/>
      <c r="KX17" s="232"/>
      <c r="KY17" s="232"/>
      <c r="KZ17" s="232"/>
      <c r="LA17" s="232"/>
      <c r="LB17" s="232"/>
      <c r="LC17" s="232"/>
      <c r="LD17" s="232"/>
      <c r="LE17" s="232"/>
      <c r="LF17" s="232"/>
      <c r="LG17" s="232"/>
      <c r="LH17" s="232"/>
      <c r="LI17" s="232"/>
      <c r="LJ17" s="232"/>
      <c r="LK17" s="232"/>
      <c r="LL17" s="232"/>
      <c r="LM17" s="232"/>
      <c r="LN17" s="232"/>
      <c r="LO17" s="232"/>
      <c r="LP17" s="232"/>
      <c r="LQ17" s="232"/>
      <c r="LR17" s="232"/>
      <c r="LS17" s="232"/>
      <c r="LT17" s="232"/>
      <c r="LU17" s="232"/>
      <c r="LV17" s="232"/>
      <c r="LW17" s="232"/>
      <c r="LX17" s="232"/>
      <c r="LY17" s="232"/>
      <c r="LZ17" s="232"/>
      <c r="MA17" s="232"/>
      <c r="MB17" s="232"/>
      <c r="MC17" s="232"/>
      <c r="MD17" s="232"/>
      <c r="ME17" s="232"/>
      <c r="MF17" s="232"/>
      <c r="MG17" s="232"/>
      <c r="MH17" s="232"/>
      <c r="MI17" s="232"/>
      <c r="MJ17" s="232"/>
      <c r="MK17" s="232"/>
      <c r="ML17" s="232"/>
      <c r="MM17" s="232"/>
      <c r="MN17" s="232"/>
      <c r="MO17" s="232"/>
      <c r="MP17" s="232"/>
      <c r="MQ17" s="232"/>
      <c r="MR17" s="232"/>
      <c r="MS17" s="232"/>
      <c r="MT17" s="232"/>
      <c r="MU17" s="232"/>
      <c r="MV17" s="232"/>
      <c r="MW17" s="232"/>
      <c r="MX17" s="232"/>
      <c r="MY17" s="232"/>
      <c r="MZ17" s="232"/>
      <c r="NA17" s="232"/>
      <c r="NB17" s="232"/>
      <c r="NC17" s="232"/>
      <c r="ND17" s="232"/>
      <c r="NE17" s="232"/>
      <c r="NF17" s="232"/>
      <c r="NG17" s="232"/>
      <c r="NH17" s="232"/>
      <c r="NI17" s="232"/>
      <c r="NJ17" s="232"/>
      <c r="NK17" s="232"/>
      <c r="NL17" s="232"/>
      <c r="NM17" s="232"/>
      <c r="NN17" s="232"/>
      <c r="NO17" s="232"/>
      <c r="NP17" s="232"/>
      <c r="NQ17" s="232"/>
      <c r="NR17" s="232"/>
      <c r="NS17" s="232"/>
      <c r="NT17" s="232"/>
      <c r="NU17" s="232"/>
      <c r="NV17" s="232"/>
      <c r="NW17" s="232"/>
      <c r="NX17" s="232"/>
      <c r="NY17" s="232"/>
      <c r="NZ17" s="232"/>
      <c r="OA17" s="232"/>
      <c r="OB17" s="232"/>
      <c r="OC17" s="232"/>
      <c r="OD17" s="232"/>
      <c r="OE17" s="232"/>
      <c r="OF17" s="232"/>
      <c r="OG17" s="232"/>
      <c r="OH17" s="232"/>
      <c r="OI17" s="232"/>
      <c r="OJ17" s="232"/>
      <c r="OK17" s="232"/>
      <c r="OL17" s="232"/>
      <c r="OM17" s="232"/>
      <c r="ON17" s="232"/>
      <c r="OO17" s="232"/>
      <c r="OP17" s="232"/>
      <c r="OQ17" s="232"/>
      <c r="OR17" s="232"/>
      <c r="OS17" s="232"/>
      <c r="OT17" s="232"/>
      <c r="OU17" s="232"/>
      <c r="OV17" s="232"/>
      <c r="OW17" s="232"/>
      <c r="OX17" s="232"/>
      <c r="OY17" s="232"/>
      <c r="OZ17" s="232"/>
      <c r="PA17" s="232"/>
      <c r="PB17" s="232"/>
      <c r="PC17" s="232"/>
      <c r="PD17" s="232"/>
      <c r="PE17" s="232"/>
      <c r="PF17" s="232"/>
      <c r="PG17" s="232"/>
      <c r="PH17" s="232"/>
      <c r="PI17" s="232"/>
      <c r="PJ17" s="232"/>
      <c r="PK17" s="232"/>
      <c r="PL17" s="232"/>
      <c r="PM17" s="232"/>
      <c r="PN17" s="232"/>
      <c r="PO17" s="232"/>
      <c r="PP17" s="232"/>
      <c r="PQ17" s="232"/>
      <c r="PR17" s="232"/>
      <c r="PS17" s="232"/>
      <c r="PT17" s="232"/>
      <c r="PU17" s="232"/>
      <c r="PV17" s="232"/>
      <c r="PW17" s="232"/>
      <c r="PX17" s="232"/>
      <c r="PY17" s="232"/>
      <c r="PZ17" s="232"/>
      <c r="QA17" s="232"/>
      <c r="QB17" s="232"/>
      <c r="QC17" s="232"/>
      <c r="QD17" s="232"/>
      <c r="QE17" s="232"/>
      <c r="QF17" s="232"/>
      <c r="QG17" s="232"/>
      <c r="QH17" s="232"/>
      <c r="QI17" s="232"/>
      <c r="QJ17" s="232"/>
      <c r="QK17" s="232"/>
      <c r="QL17" s="232"/>
      <c r="QM17" s="232"/>
      <c r="QN17" s="232"/>
      <c r="QO17" s="232"/>
      <c r="QP17" s="232"/>
      <c r="QQ17" s="232"/>
      <c r="QR17" s="232"/>
      <c r="QS17" s="232"/>
      <c r="QT17" s="232"/>
      <c r="QU17" s="232"/>
      <c r="QV17" s="232"/>
      <c r="QW17" s="232"/>
      <c r="QX17" s="232"/>
      <c r="QY17" s="232"/>
      <c r="QZ17" s="232"/>
      <c r="RA17" s="232"/>
      <c r="RB17" s="232"/>
      <c r="RC17" s="232"/>
      <c r="RD17" s="232"/>
      <c r="RE17" s="232"/>
      <c r="RF17" s="232"/>
      <c r="RG17" s="232"/>
      <c r="RH17" s="232"/>
      <c r="RI17" s="232"/>
      <c r="RJ17" s="232"/>
      <c r="RK17" s="232"/>
      <c r="RL17" s="232"/>
      <c r="RM17" s="232"/>
      <c r="RN17" s="232"/>
      <c r="RO17" s="232"/>
      <c r="RP17" s="232"/>
      <c r="RQ17" s="232"/>
      <c r="RR17" s="232"/>
      <c r="RS17" s="232"/>
      <c r="RT17" s="232"/>
      <c r="RU17" s="232"/>
      <c r="RV17" s="232"/>
      <c r="RW17" s="232"/>
      <c r="RX17" s="232"/>
      <c r="RY17" s="232"/>
      <c r="RZ17" s="232"/>
      <c r="SA17" s="232"/>
      <c r="SB17" s="232"/>
      <c r="SC17" s="232"/>
      <c r="SD17" s="232"/>
      <c r="SE17" s="232"/>
      <c r="SF17" s="232"/>
      <c r="SG17" s="232"/>
      <c r="SH17" s="232"/>
      <c r="SI17" s="232"/>
      <c r="SJ17" s="232"/>
      <c r="SK17" s="232"/>
      <c r="SL17" s="232"/>
      <c r="SM17" s="232"/>
      <c r="SN17" s="232"/>
      <c r="SO17" s="232"/>
      <c r="SP17" s="232"/>
      <c r="SQ17" s="232"/>
      <c r="SR17" s="232"/>
      <c r="SS17" s="232"/>
      <c r="ST17" s="232"/>
      <c r="SU17" s="232"/>
      <c r="SV17" s="232"/>
      <c r="SW17" s="232"/>
      <c r="SX17" s="232"/>
      <c r="SY17" s="232"/>
      <c r="SZ17" s="232"/>
      <c r="TA17" s="232"/>
      <c r="TB17" s="232"/>
      <c r="TC17" s="232"/>
      <c r="TD17" s="232"/>
      <c r="TE17" s="232"/>
      <c r="TF17" s="232"/>
      <c r="TG17" s="232"/>
      <c r="TH17" s="232"/>
      <c r="TI17" s="232"/>
      <c r="TJ17" s="232"/>
      <c r="TK17" s="232"/>
      <c r="TL17" s="232"/>
      <c r="TM17" s="232"/>
      <c r="TN17" s="232"/>
      <c r="TO17" s="232"/>
      <c r="TP17" s="232"/>
      <c r="TQ17" s="232"/>
      <c r="TR17" s="232"/>
      <c r="TS17" s="232"/>
      <c r="TT17" s="232"/>
      <c r="TU17" s="232"/>
      <c r="TV17" s="232"/>
      <c r="TW17" s="232"/>
      <c r="TX17" s="232"/>
      <c r="TY17" s="232"/>
      <c r="TZ17" s="232"/>
      <c r="UA17" s="232"/>
      <c r="UB17" s="232"/>
      <c r="UC17" s="232"/>
      <c r="UD17" s="232"/>
      <c r="UE17" s="232"/>
      <c r="UF17" s="232"/>
      <c r="UG17" s="232"/>
      <c r="UH17" s="232"/>
      <c r="UI17" s="232"/>
      <c r="UJ17" s="232"/>
      <c r="UK17" s="232"/>
      <c r="UL17" s="232"/>
      <c r="UM17" s="232"/>
      <c r="UN17" s="232"/>
      <c r="UO17" s="232"/>
      <c r="UP17" s="232"/>
      <c r="UQ17" s="232"/>
      <c r="UR17" s="232"/>
      <c r="US17" s="232"/>
      <c r="UT17" s="232"/>
      <c r="UU17" s="232"/>
      <c r="UV17" s="232"/>
      <c r="UW17" s="232"/>
      <c r="UX17" s="232"/>
      <c r="UY17" s="232"/>
      <c r="UZ17" s="232"/>
      <c r="VA17" s="232"/>
      <c r="VB17" s="232"/>
      <c r="VC17" s="232"/>
      <c r="VD17" s="232"/>
      <c r="VE17" s="232"/>
      <c r="VF17" s="232"/>
      <c r="VG17" s="232"/>
      <c r="VH17" s="232"/>
      <c r="VI17" s="232"/>
      <c r="VJ17" s="232"/>
      <c r="VK17" s="232"/>
      <c r="VL17" s="232"/>
      <c r="VM17" s="232"/>
      <c r="VN17" s="232"/>
      <c r="VO17" s="232"/>
      <c r="VP17" s="232"/>
      <c r="VQ17" s="232"/>
      <c r="VR17" s="232"/>
      <c r="VS17" s="232"/>
      <c r="VT17" s="232"/>
      <c r="VU17" s="232"/>
      <c r="VV17" s="232"/>
      <c r="VW17" s="232"/>
      <c r="VX17" s="232"/>
      <c r="VY17" s="232"/>
      <c r="VZ17" s="232"/>
      <c r="WA17" s="232"/>
      <c r="WB17" s="232"/>
      <c r="WC17" s="232"/>
      <c r="WD17" s="232"/>
      <c r="WE17" s="232"/>
      <c r="WF17" s="232"/>
      <c r="WG17" s="232"/>
      <c r="WH17" s="232"/>
      <c r="WI17" s="232"/>
      <c r="WJ17" s="232"/>
      <c r="WK17" s="232"/>
      <c r="WL17" s="232"/>
      <c r="WM17" s="232"/>
      <c r="WN17" s="232"/>
      <c r="WO17" s="232"/>
      <c r="WP17" s="232"/>
      <c r="WQ17" s="232"/>
      <c r="WR17" s="232"/>
      <c r="WS17" s="232"/>
      <c r="WT17" s="232"/>
      <c r="WU17" s="232"/>
      <c r="WV17" s="232"/>
      <c r="WW17" s="232"/>
      <c r="WX17" s="232"/>
      <c r="WY17" s="232"/>
      <c r="WZ17" s="232"/>
      <c r="XA17" s="232"/>
      <c r="XB17" s="232"/>
      <c r="XC17" s="232"/>
      <c r="XD17" s="232"/>
      <c r="XE17" s="232"/>
      <c r="XF17" s="232"/>
      <c r="XG17" s="232"/>
      <c r="XH17" s="232"/>
      <c r="XI17" s="232"/>
      <c r="XJ17" s="232"/>
      <c r="XK17" s="232"/>
      <c r="XL17" s="232"/>
      <c r="XM17" s="232"/>
      <c r="XN17" s="232"/>
      <c r="XO17" s="232"/>
      <c r="XP17" s="232"/>
      <c r="XQ17" s="232"/>
      <c r="XR17" s="232"/>
      <c r="XS17" s="232"/>
      <c r="XT17" s="232"/>
      <c r="XU17" s="232"/>
      <c r="XV17" s="232"/>
      <c r="XW17" s="232"/>
      <c r="XX17" s="232"/>
      <c r="XY17" s="232"/>
      <c r="XZ17" s="232"/>
      <c r="YA17" s="232"/>
      <c r="YB17" s="232"/>
      <c r="YC17" s="232"/>
      <c r="YD17" s="232"/>
      <c r="YE17" s="232"/>
      <c r="YF17" s="232"/>
      <c r="YG17" s="232"/>
      <c r="YH17" s="232"/>
      <c r="YI17" s="232"/>
      <c r="YJ17" s="232"/>
      <c r="YK17" s="232"/>
      <c r="YL17" s="232"/>
      <c r="YM17" s="232"/>
      <c r="YN17" s="232"/>
      <c r="YO17" s="232"/>
      <c r="YP17" s="232"/>
      <c r="YQ17" s="232"/>
      <c r="YR17" s="232"/>
      <c r="YS17" s="232"/>
      <c r="YT17" s="232"/>
      <c r="YU17" s="232"/>
      <c r="YV17" s="232"/>
      <c r="YW17" s="232"/>
      <c r="YX17" s="232"/>
      <c r="YY17" s="232"/>
      <c r="YZ17" s="232"/>
      <c r="ZA17" s="232"/>
      <c r="ZB17" s="232"/>
      <c r="ZC17" s="232"/>
      <c r="ZD17" s="232"/>
      <c r="ZE17" s="232"/>
      <c r="ZF17" s="232"/>
      <c r="ZG17" s="232"/>
      <c r="ZH17" s="232"/>
      <c r="ZI17" s="232"/>
      <c r="ZJ17" s="232"/>
      <c r="ZK17" s="232"/>
      <c r="ZL17" s="232"/>
      <c r="ZM17" s="232"/>
      <c r="ZN17" s="232"/>
      <c r="ZO17" s="232"/>
      <c r="ZP17" s="232"/>
      <c r="ZQ17" s="232"/>
      <c r="ZR17" s="232"/>
      <c r="ZS17" s="232"/>
      <c r="ZT17" s="232"/>
      <c r="ZU17" s="232"/>
      <c r="ZV17" s="232"/>
      <c r="ZW17" s="232"/>
      <c r="ZX17" s="232"/>
      <c r="ZY17" s="232"/>
      <c r="ZZ17" s="232"/>
      <c r="AAA17" s="232"/>
      <c r="AAB17" s="232"/>
      <c r="AAC17" s="232"/>
      <c r="AAD17" s="232"/>
      <c r="AAE17" s="232"/>
      <c r="AAF17" s="232"/>
      <c r="AAG17" s="232"/>
      <c r="AAH17" s="232"/>
      <c r="AAI17" s="232"/>
      <c r="AAJ17" s="232"/>
      <c r="AAK17" s="232"/>
      <c r="AAL17" s="232"/>
      <c r="AAM17" s="232"/>
      <c r="AAN17" s="232"/>
      <c r="AAO17" s="232"/>
      <c r="AAP17" s="232"/>
      <c r="AAQ17" s="232"/>
      <c r="AAR17" s="232"/>
      <c r="AAS17" s="232"/>
      <c r="AAT17" s="232"/>
      <c r="AAU17" s="232"/>
      <c r="AAV17" s="232"/>
      <c r="AAW17" s="232"/>
      <c r="AAX17" s="232"/>
      <c r="AAY17" s="232"/>
      <c r="AAZ17" s="232"/>
      <c r="ABA17" s="232"/>
      <c r="ABB17" s="232"/>
      <c r="ABC17" s="232"/>
      <c r="ABD17" s="232"/>
      <c r="ABE17" s="232"/>
      <c r="ABF17" s="232"/>
      <c r="ABG17" s="232"/>
      <c r="ABH17" s="232"/>
      <c r="ABI17" s="232"/>
      <c r="ABJ17" s="232"/>
      <c r="ABK17" s="232"/>
      <c r="ABL17" s="232"/>
      <c r="ABM17" s="232"/>
      <c r="ABN17" s="232"/>
      <c r="ABO17" s="232"/>
      <c r="ABP17" s="232"/>
      <c r="ABQ17" s="232"/>
      <c r="ABR17" s="232"/>
      <c r="ABS17" s="232"/>
      <c r="ABT17" s="232"/>
      <c r="ABU17" s="232"/>
      <c r="ABV17" s="232"/>
      <c r="ABW17" s="232"/>
      <c r="ABX17" s="232"/>
      <c r="ABY17" s="232"/>
      <c r="ABZ17" s="232"/>
      <c r="ACA17" s="232"/>
      <c r="ACB17" s="232"/>
      <c r="ACC17" s="232"/>
      <c r="ACD17" s="232"/>
      <c r="ACE17" s="232"/>
      <c r="ACF17" s="232"/>
      <c r="ACG17" s="232"/>
      <c r="ACH17" s="232"/>
      <c r="ACI17" s="232"/>
      <c r="ACJ17" s="232"/>
      <c r="ACK17" s="232"/>
      <c r="ACL17" s="232"/>
      <c r="ACM17" s="232"/>
      <c r="ACN17" s="232"/>
      <c r="ACO17" s="232"/>
      <c r="ACP17" s="232"/>
      <c r="ACQ17" s="232"/>
      <c r="ACR17" s="232"/>
      <c r="ACS17" s="232"/>
      <c r="ACT17" s="232"/>
      <c r="ACU17" s="232"/>
      <c r="ACV17" s="232"/>
      <c r="ACW17" s="232"/>
      <c r="ACX17" s="232"/>
      <c r="ACY17" s="232"/>
      <c r="ACZ17" s="232"/>
      <c r="ADA17" s="232"/>
      <c r="ADB17" s="232"/>
      <c r="ADC17" s="232"/>
      <c r="ADD17" s="232"/>
      <c r="ADE17" s="232"/>
      <c r="ADF17" s="232"/>
      <c r="ADG17" s="232"/>
      <c r="ADH17" s="232"/>
      <c r="ADI17" s="232"/>
      <c r="ADJ17" s="232"/>
      <c r="ADK17" s="232"/>
      <c r="ADL17" s="232"/>
      <c r="ADM17" s="232"/>
      <c r="ADN17" s="232"/>
      <c r="ADO17" s="232"/>
      <c r="ADP17" s="232"/>
      <c r="ADQ17" s="232"/>
      <c r="ADR17" s="232"/>
      <c r="ADS17" s="232"/>
      <c r="ADT17" s="232"/>
      <c r="ADU17" s="232"/>
      <c r="ADV17" s="232"/>
      <c r="ADW17" s="232"/>
      <c r="ADX17" s="232"/>
      <c r="ADY17" s="232"/>
      <c r="ADZ17" s="232"/>
      <c r="AEA17" s="232"/>
      <c r="AEB17" s="232"/>
      <c r="AEC17" s="232"/>
      <c r="AED17" s="232"/>
      <c r="AEE17" s="232"/>
      <c r="AEF17" s="232"/>
      <c r="AEG17" s="232"/>
      <c r="AEH17" s="232"/>
      <c r="AEI17" s="232"/>
      <c r="AEJ17" s="232"/>
      <c r="AEK17" s="232"/>
      <c r="AEL17" s="232"/>
      <c r="AEM17" s="232"/>
      <c r="AEN17" s="232"/>
      <c r="AEO17" s="232"/>
      <c r="AEP17" s="232"/>
      <c r="AEQ17" s="232"/>
      <c r="AER17" s="232"/>
      <c r="AES17" s="232"/>
      <c r="AET17" s="232"/>
      <c r="AEU17" s="232"/>
      <c r="AEV17" s="232"/>
      <c r="AEW17" s="232"/>
      <c r="AEX17" s="232"/>
      <c r="AEY17" s="232"/>
      <c r="AEZ17" s="232"/>
      <c r="AFA17" s="232"/>
      <c r="AFB17" s="232"/>
      <c r="AFC17" s="232"/>
      <c r="AFD17" s="232"/>
      <c r="AFE17" s="232"/>
      <c r="AFF17" s="232"/>
      <c r="AFG17" s="232"/>
      <c r="AFH17" s="232"/>
      <c r="AFI17" s="232"/>
      <c r="AFJ17" s="232"/>
      <c r="AFK17" s="232"/>
      <c r="AFL17" s="232"/>
      <c r="AFM17" s="232"/>
      <c r="AFN17" s="232"/>
      <c r="AFO17" s="232"/>
      <c r="AFP17" s="232"/>
      <c r="AFQ17" s="232"/>
      <c r="AFR17" s="232"/>
      <c r="AFS17" s="232"/>
      <c r="AFT17" s="232"/>
      <c r="AFU17" s="232"/>
      <c r="AFV17" s="232"/>
      <c r="AFW17" s="232"/>
      <c r="AFX17" s="232"/>
      <c r="AFY17" s="232"/>
      <c r="AFZ17" s="232"/>
      <c r="AGA17" s="232"/>
      <c r="AGB17" s="232"/>
      <c r="AGC17" s="232"/>
      <c r="AGD17" s="232"/>
      <c r="AGE17" s="232"/>
      <c r="AGF17" s="232"/>
      <c r="AGG17" s="232"/>
      <c r="AGH17" s="232"/>
      <c r="AGI17" s="232"/>
      <c r="AGJ17" s="232"/>
      <c r="AGK17" s="232"/>
      <c r="AGL17" s="232"/>
      <c r="AGM17" s="232"/>
      <c r="AGN17" s="232"/>
      <c r="AGO17" s="232"/>
      <c r="AGP17" s="232"/>
      <c r="AGQ17" s="232"/>
      <c r="AGR17" s="232"/>
      <c r="AGS17" s="232"/>
      <c r="AGT17" s="232"/>
      <c r="AGU17" s="232"/>
      <c r="AGV17" s="232"/>
      <c r="AGW17" s="232"/>
      <c r="AGX17" s="232"/>
      <c r="AGY17" s="232"/>
      <c r="AGZ17" s="232"/>
      <c r="AHA17" s="232"/>
      <c r="AHB17" s="232"/>
      <c r="AHC17" s="232"/>
      <c r="AHD17" s="232"/>
      <c r="AHE17" s="232"/>
      <c r="AHF17" s="232"/>
      <c r="AHG17" s="232"/>
      <c r="AHH17" s="232"/>
      <c r="AHI17" s="232"/>
      <c r="AHJ17" s="232"/>
      <c r="AHK17" s="232"/>
      <c r="AHL17" s="232"/>
      <c r="AHM17" s="232"/>
      <c r="AHN17" s="232"/>
      <c r="AHO17" s="232"/>
      <c r="AHP17" s="232"/>
      <c r="AHQ17" s="232"/>
      <c r="AHR17" s="232"/>
      <c r="AHS17" s="232"/>
      <c r="AHT17" s="232"/>
      <c r="AHU17" s="232"/>
      <c r="AHV17" s="232"/>
      <c r="AHW17" s="232"/>
      <c r="AHX17" s="232"/>
      <c r="AHY17" s="232"/>
      <c r="AHZ17" s="232"/>
      <c r="AIA17" s="232"/>
      <c r="AIB17" s="232"/>
      <c r="AIC17" s="232"/>
      <c r="AID17" s="232"/>
      <c r="AIE17" s="232"/>
      <c r="AIF17" s="232"/>
      <c r="AIG17" s="232"/>
      <c r="AIH17" s="232"/>
      <c r="AII17" s="232"/>
      <c r="AIJ17" s="232"/>
      <c r="AIK17" s="232"/>
      <c r="AIL17" s="232"/>
      <c r="AIM17" s="232"/>
      <c r="AIN17" s="232"/>
      <c r="AIO17" s="232"/>
      <c r="AIP17" s="232"/>
      <c r="AIQ17" s="232"/>
      <c r="AIR17" s="232"/>
      <c r="AIS17" s="232"/>
      <c r="AIT17" s="232"/>
      <c r="AIU17" s="232"/>
      <c r="AIV17" s="232"/>
      <c r="AIW17" s="232"/>
      <c r="AIX17" s="232"/>
      <c r="AIY17" s="232"/>
      <c r="AIZ17" s="232"/>
      <c r="AJA17" s="232"/>
      <c r="AJB17" s="232"/>
      <c r="AJC17" s="232"/>
      <c r="AJD17" s="232"/>
      <c r="AJE17" s="232"/>
      <c r="AJF17" s="232"/>
      <c r="AJG17" s="232"/>
      <c r="AJH17" s="232"/>
      <c r="AJI17" s="232"/>
      <c r="AJJ17" s="232"/>
      <c r="AJK17" s="232"/>
      <c r="AJL17" s="232"/>
      <c r="AJM17" s="232"/>
      <c r="AJN17" s="232"/>
      <c r="AJO17" s="232"/>
      <c r="AJP17" s="232"/>
      <c r="AJQ17" s="232"/>
      <c r="AJR17" s="232"/>
      <c r="AJS17" s="232"/>
      <c r="AJT17" s="232"/>
      <c r="AJU17" s="232"/>
      <c r="AJV17" s="232"/>
      <c r="AJW17" s="232"/>
      <c r="AJX17" s="232"/>
      <c r="AJY17" s="232"/>
      <c r="AJZ17" s="232"/>
      <c r="AKA17" s="232"/>
      <c r="AKB17" s="232"/>
      <c r="AKC17" s="232"/>
      <c r="AKD17" s="232"/>
      <c r="AKE17" s="232"/>
      <c r="AKF17" s="232"/>
      <c r="AKG17" s="232"/>
      <c r="AKH17" s="232"/>
      <c r="AKI17" s="232"/>
      <c r="AKJ17" s="232"/>
      <c r="AKK17" s="232"/>
      <c r="AKL17" s="232"/>
      <c r="AKM17" s="232"/>
      <c r="AKN17" s="232"/>
      <c r="AKO17" s="232"/>
      <c r="AKP17" s="232"/>
      <c r="AKQ17" s="232"/>
      <c r="AKR17" s="232"/>
      <c r="AKS17" s="232"/>
      <c r="AKT17" s="232"/>
      <c r="AKU17" s="232"/>
      <c r="AKV17" s="232"/>
      <c r="AKW17" s="232"/>
      <c r="AKX17" s="232"/>
      <c r="AKY17" s="232"/>
      <c r="AKZ17" s="232"/>
      <c r="ALA17" s="232"/>
      <c r="ALB17" s="232"/>
      <c r="ALC17" s="232"/>
      <c r="ALD17" s="232"/>
      <c r="ALE17" s="232"/>
      <c r="ALF17" s="232"/>
      <c r="ALG17" s="232"/>
      <c r="ALH17" s="232"/>
      <c r="ALI17" s="232"/>
      <c r="ALJ17" s="232"/>
      <c r="ALK17" s="232"/>
      <c r="ALL17" s="232"/>
      <c r="ALM17" s="232"/>
      <c r="ALN17" s="232"/>
      <c r="ALO17" s="232"/>
      <c r="ALP17" s="232"/>
      <c r="ALQ17" s="232"/>
      <c r="ALR17" s="232"/>
      <c r="ALS17" s="232"/>
      <c r="ALT17" s="232"/>
      <c r="ALU17" s="232"/>
      <c r="ALV17" s="232"/>
      <c r="ALW17" s="232"/>
      <c r="ALX17" s="232"/>
      <c r="ALY17" s="232"/>
      <c r="ALZ17" s="232"/>
      <c r="AMA17" s="232"/>
      <c r="AMB17" s="232"/>
      <c r="AMC17" s="232"/>
      <c r="AMD17" s="232"/>
      <c r="AME17" s="232"/>
      <c r="AMF17" s="232"/>
      <c r="AMG17" s="232"/>
      <c r="AMH17" s="232"/>
      <c r="AMI17" s="232"/>
      <c r="AMJ17" s="232"/>
      <c r="AMK17" s="232"/>
      <c r="AML17" s="232"/>
      <c r="AMM17" s="232"/>
      <c r="AMN17" s="232"/>
      <c r="AMO17" s="232"/>
      <c r="AMP17" s="232"/>
      <c r="AMQ17" s="232"/>
      <c r="AMR17" s="232"/>
      <c r="AMS17" s="232"/>
      <c r="AMT17" s="232"/>
      <c r="AMU17" s="232"/>
      <c r="AMV17" s="232"/>
      <c r="AMW17" s="232"/>
      <c r="AMX17" s="232"/>
      <c r="AMY17" s="232"/>
      <c r="AMZ17" s="232"/>
      <c r="ANA17" s="232"/>
      <c r="ANB17" s="232"/>
      <c r="ANC17" s="232"/>
      <c r="AND17" s="232"/>
      <c r="ANE17" s="232"/>
      <c r="ANF17" s="232"/>
      <c r="ANG17" s="232"/>
      <c r="ANH17" s="232"/>
      <c r="ANI17" s="232"/>
      <c r="ANJ17" s="232"/>
      <c r="ANK17" s="232"/>
      <c r="ANL17" s="232"/>
      <c r="ANM17" s="232"/>
      <c r="ANN17" s="232"/>
      <c r="ANO17" s="232"/>
      <c r="ANP17" s="232"/>
      <c r="ANQ17" s="232"/>
      <c r="ANR17" s="232"/>
      <c r="ANS17" s="232"/>
      <c r="ANT17" s="232"/>
      <c r="ANU17" s="232"/>
      <c r="ANV17" s="232"/>
      <c r="ANW17" s="232"/>
      <c r="ANX17" s="232"/>
      <c r="ANY17" s="232"/>
      <c r="ANZ17" s="232"/>
      <c r="AOA17" s="232"/>
      <c r="AOB17" s="232"/>
      <c r="AOC17" s="232"/>
      <c r="AOD17" s="232"/>
      <c r="AOE17" s="232"/>
      <c r="AOF17" s="232"/>
      <c r="AOG17" s="232"/>
    </row>
    <row r="18" spans="1:1073">
      <c r="A18" s="2127"/>
      <c r="B18" s="233">
        <v>10</v>
      </c>
      <c r="C18" s="224"/>
      <c r="D18" s="225"/>
      <c r="E18" s="226"/>
      <c r="F18" s="226"/>
      <c r="G18" s="227" t="str">
        <f>IF(C18="","",IF(Tabelle1[[#This Row],[End Date]]&lt;COV!$E$12,0,IF(COV!E$12="","",IF(Tabelle1[[#This Row],[End Date]]-Tabelle1[[#This Row],[Start Date]]&gt;0,IF(F18&lt;COV!E$11,(F18-IF(E18&lt;COV!E$12,COV!E$12,Tabelle1[[#This Row],[Start Date]])),(COV!E$11-IF(E18&lt;COV!E$12,COV!E$12,Tabelle1[[#This Row],[Start Date]])))/365*12,""))))</f>
        <v/>
      </c>
      <c r="H18" s="225"/>
      <c r="I18" s="234"/>
      <c r="J18" s="229"/>
      <c r="K18" s="1325" t="str">
        <f>IF(Tabelle1[[#This Row],[Project Name]]="","",IF(OR(Tabelle1[[#This Row],[PM Category]]=CAT_A_NAME,Tabelle1[[#This Row],[PM Category]]=CAT_B_NAME,Tabelle1[[#This Row],[PM Category]]=CAT_C_NAME,Tabelle1[[#This Row],[PM Category]]=CAT_D_NAME,Tabelle1[[#This Row],[PM Category]]=CAT_E_NAME,Tabelle1[[#This Row],[PM Category]]=CAT_SPJ,Tabelle1[[#This Row],[PM Category]]=CAT_PJ,Tabelle1[[#This Row],[PM Category]]=""),"","1"))</f>
        <v/>
      </c>
      <c r="L18" s="1326">
        <f>IF(Tabelle1[[#This Row],[Role]]="PJM",1)+IF(Tabelle1[[#This Row],[Role]]="PGM",1)+IF(Tabelle1[[#This Row],[Role]]="PFM",1)+IF(Tabelle1[[#This Row],[Role]]="TPM",1)+IF(Tabelle1[[#This Row],[Role]]="CPM",1)</f>
        <v>0</v>
      </c>
      <c r="M18" s="230" t="str">
        <f>IFERROR(IF(Tabelle1[[#This Row],[Project Name]]&lt;&gt;"",IF(G18*I18&gt;0,G18,""),"")*Tabelle1[[#This Row],[Role Check]],"")</f>
        <v/>
      </c>
      <c r="N18" s="231" t="str">
        <f>IFERROR(Tabelle1[[#This Row],[Duration '[months']]]*Tabelle1[[#This Row],[Avg. time spent in resp. Role]],"")</f>
        <v/>
      </c>
      <c r="O18" s="221"/>
      <c r="S18" s="208" t="str">
        <f>IF(Tabelle1[[#This Row],[Project Name]]&lt;&gt;"",Tabelle1[[#This Row],[Project Name]],"")</f>
        <v/>
      </c>
      <c r="T18" s="232">
        <f t="shared" si="12"/>
        <v>0</v>
      </c>
      <c r="U18" s="545" t="e">
        <f t="shared" si="12"/>
        <v>#VALUE!</v>
      </c>
      <c r="V18" s="545" t="e">
        <f t="shared" si="13"/>
        <v>#VALUE!</v>
      </c>
      <c r="W18" s="232" t="e">
        <f t="shared" si="13"/>
        <v>#VALUE!</v>
      </c>
      <c r="X18" s="232" t="e">
        <f t="shared" si="13"/>
        <v>#VALUE!</v>
      </c>
      <c r="Y18" s="232" t="e">
        <f t="shared" si="13"/>
        <v>#VALUE!</v>
      </c>
      <c r="Z18" s="232" t="e">
        <f t="shared" si="13"/>
        <v>#VALUE!</v>
      </c>
      <c r="AA18" s="232" t="e">
        <f t="shared" si="13"/>
        <v>#VALUE!</v>
      </c>
      <c r="AB18" s="232" t="e">
        <f t="shared" si="13"/>
        <v>#VALUE!</v>
      </c>
      <c r="AC18" s="232" t="e">
        <f t="shared" si="13"/>
        <v>#VALUE!</v>
      </c>
      <c r="AD18" s="232" t="e">
        <f t="shared" si="13"/>
        <v>#VALUE!</v>
      </c>
      <c r="AE18" s="232" t="e">
        <f t="shared" si="13"/>
        <v>#VALUE!</v>
      </c>
      <c r="AF18" s="232" t="e">
        <f t="shared" si="14"/>
        <v>#VALUE!</v>
      </c>
      <c r="AG18" s="232" t="e">
        <f t="shared" si="14"/>
        <v>#VALUE!</v>
      </c>
      <c r="AH18" s="232" t="e">
        <f t="shared" si="14"/>
        <v>#VALUE!</v>
      </c>
      <c r="AI18" s="232" t="e">
        <f t="shared" si="14"/>
        <v>#VALUE!</v>
      </c>
      <c r="AJ18" s="232" t="e">
        <f t="shared" si="14"/>
        <v>#VALUE!</v>
      </c>
      <c r="AK18" s="232" t="e">
        <f t="shared" si="14"/>
        <v>#VALUE!</v>
      </c>
      <c r="AL18" s="232" t="e">
        <f t="shared" si="14"/>
        <v>#VALUE!</v>
      </c>
      <c r="AM18" s="232" t="e">
        <f t="shared" si="14"/>
        <v>#VALUE!</v>
      </c>
      <c r="AN18" s="232" t="e">
        <f t="shared" si="14"/>
        <v>#VALUE!</v>
      </c>
      <c r="AO18" s="232" t="e">
        <f t="shared" si="14"/>
        <v>#VALUE!</v>
      </c>
      <c r="AP18" s="232" t="e">
        <f t="shared" si="15"/>
        <v>#VALUE!</v>
      </c>
      <c r="AQ18" s="232" t="e">
        <f t="shared" si="15"/>
        <v>#VALUE!</v>
      </c>
      <c r="AR18" s="232" t="e">
        <f t="shared" si="15"/>
        <v>#VALUE!</v>
      </c>
      <c r="AS18" s="232" t="e">
        <f t="shared" si="15"/>
        <v>#VALUE!</v>
      </c>
      <c r="AT18" s="232" t="e">
        <f t="shared" si="15"/>
        <v>#VALUE!</v>
      </c>
      <c r="AU18" s="232" t="e">
        <f t="shared" si="15"/>
        <v>#VALUE!</v>
      </c>
      <c r="AV18" s="232" t="e">
        <f t="shared" si="15"/>
        <v>#VALUE!</v>
      </c>
      <c r="AW18" s="232" t="e">
        <f t="shared" si="15"/>
        <v>#VALUE!</v>
      </c>
      <c r="AX18" s="232" t="e">
        <f t="shared" si="15"/>
        <v>#VALUE!</v>
      </c>
      <c r="AY18" s="232" t="e">
        <f t="shared" si="15"/>
        <v>#VALUE!</v>
      </c>
      <c r="AZ18" s="232" t="e">
        <f t="shared" si="16"/>
        <v>#VALUE!</v>
      </c>
      <c r="BA18" s="232" t="e">
        <f t="shared" si="16"/>
        <v>#VALUE!</v>
      </c>
      <c r="BB18" s="232" t="e">
        <f t="shared" si="16"/>
        <v>#VALUE!</v>
      </c>
      <c r="BC18" s="232" t="e">
        <f t="shared" si="16"/>
        <v>#VALUE!</v>
      </c>
      <c r="BD18" s="232" t="e">
        <f t="shared" si="16"/>
        <v>#VALUE!</v>
      </c>
      <c r="BE18" s="232" t="e">
        <f t="shared" si="16"/>
        <v>#VALUE!</v>
      </c>
      <c r="BF18" s="232" t="e">
        <f t="shared" si="16"/>
        <v>#VALUE!</v>
      </c>
      <c r="BG18" s="232" t="e">
        <f t="shared" si="16"/>
        <v>#VALUE!</v>
      </c>
      <c r="BH18" s="232" t="e">
        <f t="shared" si="16"/>
        <v>#VALUE!</v>
      </c>
      <c r="BI18" s="232" t="e">
        <f t="shared" si="16"/>
        <v>#VALUE!</v>
      </c>
      <c r="BJ18" s="232" t="e">
        <f t="shared" si="17"/>
        <v>#VALUE!</v>
      </c>
      <c r="BK18" s="232" t="e">
        <f t="shared" si="17"/>
        <v>#VALUE!</v>
      </c>
      <c r="BL18" s="232" t="e">
        <f t="shared" si="17"/>
        <v>#VALUE!</v>
      </c>
      <c r="BM18" s="232" t="e">
        <f t="shared" si="17"/>
        <v>#VALUE!</v>
      </c>
      <c r="BN18" s="232" t="e">
        <f t="shared" si="17"/>
        <v>#VALUE!</v>
      </c>
      <c r="BO18" s="232" t="e">
        <f t="shared" si="17"/>
        <v>#VALUE!</v>
      </c>
      <c r="BP18" s="232" t="e">
        <f t="shared" si="17"/>
        <v>#VALUE!</v>
      </c>
      <c r="BQ18" s="232" t="e">
        <f t="shared" si="17"/>
        <v>#VALUE!</v>
      </c>
      <c r="BR18" s="232" t="e">
        <f t="shared" si="17"/>
        <v>#VALUE!</v>
      </c>
      <c r="BS18" s="232" t="e">
        <f t="shared" si="17"/>
        <v>#VALUE!</v>
      </c>
      <c r="BT18" s="232" t="e">
        <f t="shared" si="18"/>
        <v>#VALUE!</v>
      </c>
      <c r="BU18" s="232" t="e">
        <f t="shared" si="18"/>
        <v>#VALUE!</v>
      </c>
      <c r="BV18" s="232" t="e">
        <f t="shared" si="18"/>
        <v>#VALUE!</v>
      </c>
      <c r="BW18" s="232" t="e">
        <f t="shared" si="18"/>
        <v>#VALUE!</v>
      </c>
      <c r="BX18" s="232" t="e">
        <f t="shared" si="18"/>
        <v>#VALUE!</v>
      </c>
      <c r="BY18" s="232" t="e">
        <f t="shared" si="18"/>
        <v>#VALUE!</v>
      </c>
      <c r="BZ18" s="232" t="e">
        <f t="shared" si="18"/>
        <v>#VALUE!</v>
      </c>
      <c r="CA18" s="232" t="e">
        <f t="shared" si="18"/>
        <v>#VALUE!</v>
      </c>
      <c r="CB18" s="232" t="e">
        <f t="shared" si="18"/>
        <v>#VALUE!</v>
      </c>
      <c r="CC18" s="232" t="e">
        <f t="shared" si="18"/>
        <v>#VALUE!</v>
      </c>
      <c r="CD18" s="232" t="e">
        <f t="shared" si="19"/>
        <v>#VALUE!</v>
      </c>
      <c r="CE18" s="232" t="e">
        <f t="shared" si="19"/>
        <v>#VALUE!</v>
      </c>
      <c r="CF18" s="232" t="e">
        <f t="shared" si="19"/>
        <v>#VALUE!</v>
      </c>
      <c r="CG18" s="232" t="e">
        <f t="shared" si="19"/>
        <v>#VALUE!</v>
      </c>
      <c r="CH18" s="232" t="e">
        <f t="shared" si="19"/>
        <v>#VALUE!</v>
      </c>
      <c r="CI18" s="232" t="e">
        <f t="shared" si="19"/>
        <v>#VALUE!</v>
      </c>
      <c r="CJ18" s="232" t="e">
        <f t="shared" si="19"/>
        <v>#VALUE!</v>
      </c>
      <c r="CK18" s="232" t="e">
        <f t="shared" si="19"/>
        <v>#VALUE!</v>
      </c>
      <c r="CL18" s="232" t="e">
        <f t="shared" si="19"/>
        <v>#VALUE!</v>
      </c>
      <c r="CM18" s="232" t="e">
        <f t="shared" si="19"/>
        <v>#VALUE!</v>
      </c>
      <c r="CN18" s="232" t="e">
        <f t="shared" si="20"/>
        <v>#VALUE!</v>
      </c>
      <c r="CO18" s="232" t="e">
        <f t="shared" si="20"/>
        <v>#VALUE!</v>
      </c>
      <c r="CP18" s="232" t="e">
        <f t="shared" si="20"/>
        <v>#VALUE!</v>
      </c>
      <c r="CQ18" s="232" t="e">
        <f t="shared" si="20"/>
        <v>#VALUE!</v>
      </c>
      <c r="CR18" s="232" t="e">
        <f t="shared" si="20"/>
        <v>#VALUE!</v>
      </c>
      <c r="CS18" s="232" t="e">
        <f t="shared" si="20"/>
        <v>#VALUE!</v>
      </c>
      <c r="CT18" s="232" t="e">
        <f t="shared" si="20"/>
        <v>#VALUE!</v>
      </c>
      <c r="CU18" s="232" t="e">
        <f t="shared" si="20"/>
        <v>#VALUE!</v>
      </c>
      <c r="CV18" s="232" t="e">
        <f t="shared" si="20"/>
        <v>#VALUE!</v>
      </c>
      <c r="CW18" s="232" t="e">
        <f t="shared" si="20"/>
        <v>#VALUE!</v>
      </c>
      <c r="CX18" s="232" t="e">
        <f t="shared" si="21"/>
        <v>#VALUE!</v>
      </c>
      <c r="CY18" s="232" t="e">
        <f t="shared" si="21"/>
        <v>#VALUE!</v>
      </c>
      <c r="CZ18" s="232" t="e">
        <f t="shared" si="21"/>
        <v>#VALUE!</v>
      </c>
      <c r="DA18" s="232" t="e">
        <f t="shared" si="21"/>
        <v>#VALUE!</v>
      </c>
      <c r="DB18" s="232" t="e">
        <f t="shared" si="21"/>
        <v>#VALUE!</v>
      </c>
      <c r="DC18" s="232" t="e">
        <f t="shared" si="21"/>
        <v>#VALUE!</v>
      </c>
      <c r="DD18" s="232" t="e">
        <f t="shared" si="21"/>
        <v>#VALUE!</v>
      </c>
      <c r="DE18" s="232" t="e">
        <f t="shared" si="21"/>
        <v>#VALUE!</v>
      </c>
      <c r="DF18" s="232" t="e">
        <f t="shared" si="21"/>
        <v>#VALUE!</v>
      </c>
      <c r="DG18" s="232" t="e">
        <f t="shared" si="21"/>
        <v>#VALUE!</v>
      </c>
      <c r="DH18" s="232" t="e">
        <f t="shared" si="22"/>
        <v>#VALUE!</v>
      </c>
      <c r="DI18" s="232" t="e">
        <f t="shared" si="22"/>
        <v>#VALUE!</v>
      </c>
      <c r="DJ18" s="232" t="e">
        <f t="shared" si="22"/>
        <v>#VALUE!</v>
      </c>
      <c r="DK18" s="232" t="e">
        <f t="shared" si="22"/>
        <v>#VALUE!</v>
      </c>
      <c r="DL18" s="232" t="e">
        <f t="shared" si="22"/>
        <v>#VALUE!</v>
      </c>
      <c r="DM18" s="232" t="e">
        <f t="shared" si="22"/>
        <v>#VALUE!</v>
      </c>
      <c r="DN18" s="232" t="e">
        <f t="shared" si="22"/>
        <v>#VALUE!</v>
      </c>
      <c r="DO18" s="232" t="e">
        <f t="shared" si="22"/>
        <v>#VALUE!</v>
      </c>
      <c r="DP18" s="232" t="e">
        <f t="shared" si="22"/>
        <v>#VALUE!</v>
      </c>
      <c r="DQ18" s="232" t="e">
        <f t="shared" si="22"/>
        <v>#VALUE!</v>
      </c>
      <c r="DR18" s="232" t="e">
        <f t="shared" si="23"/>
        <v>#VALUE!</v>
      </c>
      <c r="DS18" s="232" t="e">
        <f t="shared" si="23"/>
        <v>#VALUE!</v>
      </c>
      <c r="DT18" s="232" t="e">
        <f t="shared" si="23"/>
        <v>#VALUE!</v>
      </c>
      <c r="DU18" s="232" t="e">
        <f t="shared" si="23"/>
        <v>#VALUE!</v>
      </c>
      <c r="DV18" s="232" t="e">
        <f t="shared" si="23"/>
        <v>#VALUE!</v>
      </c>
      <c r="DW18" s="232" t="e">
        <f t="shared" si="23"/>
        <v>#VALUE!</v>
      </c>
      <c r="DX18" s="232" t="e">
        <f t="shared" si="23"/>
        <v>#VALUE!</v>
      </c>
      <c r="DY18" s="232" t="e">
        <f t="shared" si="23"/>
        <v>#VALUE!</v>
      </c>
      <c r="DZ18" s="232" t="e">
        <f t="shared" si="23"/>
        <v>#VALUE!</v>
      </c>
      <c r="EA18" s="232" t="e">
        <f t="shared" si="23"/>
        <v>#VALUE!</v>
      </c>
      <c r="EB18" s="232" t="e">
        <f t="shared" si="24"/>
        <v>#VALUE!</v>
      </c>
      <c r="EC18" s="232" t="e">
        <f t="shared" si="24"/>
        <v>#VALUE!</v>
      </c>
      <c r="ED18" s="232" t="e">
        <f t="shared" si="24"/>
        <v>#VALUE!</v>
      </c>
      <c r="EE18" s="232" t="e">
        <f t="shared" si="24"/>
        <v>#VALUE!</v>
      </c>
      <c r="EF18" s="232" t="e">
        <f t="shared" si="24"/>
        <v>#VALUE!</v>
      </c>
      <c r="EG18" s="232" t="e">
        <f t="shared" si="24"/>
        <v>#VALUE!</v>
      </c>
      <c r="EH18" s="232" t="e">
        <f t="shared" si="24"/>
        <v>#VALUE!</v>
      </c>
      <c r="EI18" s="232" t="e">
        <f t="shared" si="24"/>
        <v>#VALUE!</v>
      </c>
      <c r="EJ18" s="232" t="e">
        <f t="shared" si="24"/>
        <v>#VALUE!</v>
      </c>
      <c r="EK18" s="232" t="e">
        <f t="shared" si="24"/>
        <v>#VALUE!</v>
      </c>
      <c r="EL18" s="232" t="e">
        <f t="shared" si="25"/>
        <v>#VALUE!</v>
      </c>
      <c r="EM18" s="232" t="e">
        <f t="shared" si="25"/>
        <v>#VALUE!</v>
      </c>
      <c r="EN18" s="232" t="e">
        <f t="shared" si="25"/>
        <v>#VALUE!</v>
      </c>
      <c r="EO18" s="232" t="e">
        <f t="shared" si="25"/>
        <v>#VALUE!</v>
      </c>
      <c r="EP18" s="232" t="e">
        <f t="shared" si="25"/>
        <v>#VALUE!</v>
      </c>
      <c r="EQ18" s="232" t="e">
        <f t="shared" si="25"/>
        <v>#VALUE!</v>
      </c>
      <c r="ER18" s="232" t="e">
        <f t="shared" si="25"/>
        <v>#VALUE!</v>
      </c>
      <c r="ES18" s="232" t="e">
        <f t="shared" si="25"/>
        <v>#VALUE!</v>
      </c>
      <c r="ET18" s="232" t="e">
        <f t="shared" si="25"/>
        <v>#VALUE!</v>
      </c>
      <c r="EU18" s="232" t="e">
        <f t="shared" si="25"/>
        <v>#VALUE!</v>
      </c>
      <c r="EV18" s="232" t="e">
        <f t="shared" si="26"/>
        <v>#VALUE!</v>
      </c>
      <c r="EW18" s="232" t="e">
        <f t="shared" si="26"/>
        <v>#VALUE!</v>
      </c>
      <c r="EX18" s="232" t="e">
        <f t="shared" si="26"/>
        <v>#VALUE!</v>
      </c>
      <c r="EY18" s="232" t="e">
        <f t="shared" si="26"/>
        <v>#VALUE!</v>
      </c>
      <c r="EZ18" s="232" t="e">
        <f t="shared" si="26"/>
        <v>#VALUE!</v>
      </c>
      <c r="FA18" s="232" t="e">
        <f t="shared" si="26"/>
        <v>#VALUE!</v>
      </c>
      <c r="FB18" s="232" t="e">
        <f t="shared" si="26"/>
        <v>#VALUE!</v>
      </c>
      <c r="FC18" s="232" t="e">
        <f t="shared" si="26"/>
        <v>#VALUE!</v>
      </c>
      <c r="FD18" s="232" t="e">
        <f t="shared" si="26"/>
        <v>#VALUE!</v>
      </c>
      <c r="FE18" s="232" t="e">
        <f t="shared" si="26"/>
        <v>#VALUE!</v>
      </c>
      <c r="FF18" s="232" t="e">
        <f t="shared" si="27"/>
        <v>#VALUE!</v>
      </c>
      <c r="FG18" s="232" t="e">
        <f t="shared" si="27"/>
        <v>#VALUE!</v>
      </c>
      <c r="FH18" s="232" t="e">
        <f t="shared" si="27"/>
        <v>#VALUE!</v>
      </c>
      <c r="FI18" s="232" t="e">
        <f t="shared" si="27"/>
        <v>#VALUE!</v>
      </c>
      <c r="FJ18" s="232" t="e">
        <f t="shared" si="27"/>
        <v>#VALUE!</v>
      </c>
      <c r="FK18" s="232" t="e">
        <f t="shared" si="27"/>
        <v>#VALUE!</v>
      </c>
      <c r="FL18" s="232" t="e">
        <f t="shared" si="27"/>
        <v>#VALUE!</v>
      </c>
      <c r="FM18" s="232" t="e">
        <f t="shared" si="27"/>
        <v>#VALUE!</v>
      </c>
      <c r="FN18" s="232" t="e">
        <f t="shared" si="27"/>
        <v>#VALUE!</v>
      </c>
      <c r="FO18" s="232" t="e">
        <f t="shared" si="27"/>
        <v>#VALUE!</v>
      </c>
      <c r="FP18" s="232" t="e">
        <f t="shared" si="28"/>
        <v>#VALUE!</v>
      </c>
      <c r="FQ18" s="232" t="e">
        <f t="shared" si="28"/>
        <v>#VALUE!</v>
      </c>
      <c r="FR18" s="232" t="e">
        <f t="shared" si="28"/>
        <v>#VALUE!</v>
      </c>
      <c r="FS18" s="232" t="e">
        <f t="shared" si="28"/>
        <v>#VALUE!</v>
      </c>
      <c r="FT18" s="232" t="e">
        <f t="shared" si="28"/>
        <v>#VALUE!</v>
      </c>
      <c r="FU18" s="232" t="e">
        <f t="shared" si="28"/>
        <v>#VALUE!</v>
      </c>
      <c r="FV18" s="232" t="e">
        <f t="shared" si="28"/>
        <v>#VALUE!</v>
      </c>
      <c r="FW18" s="232" t="e">
        <f t="shared" si="28"/>
        <v>#VALUE!</v>
      </c>
      <c r="FX18" s="232" t="e">
        <f t="shared" si="28"/>
        <v>#VALUE!</v>
      </c>
      <c r="FY18" s="232" t="e">
        <f t="shared" si="28"/>
        <v>#VALUE!</v>
      </c>
      <c r="FZ18" s="232" t="e">
        <f t="shared" si="29"/>
        <v>#VALUE!</v>
      </c>
      <c r="GA18" s="232" t="e">
        <f t="shared" si="29"/>
        <v>#VALUE!</v>
      </c>
      <c r="GB18" s="232" t="e">
        <f t="shared" si="29"/>
        <v>#VALUE!</v>
      </c>
      <c r="GC18" s="232" t="e">
        <f t="shared" si="29"/>
        <v>#VALUE!</v>
      </c>
      <c r="GD18" s="232" t="e">
        <f t="shared" si="29"/>
        <v>#VALUE!</v>
      </c>
      <c r="GE18" s="232" t="e">
        <f t="shared" si="29"/>
        <v>#VALUE!</v>
      </c>
      <c r="GF18" s="232" t="e">
        <f t="shared" si="29"/>
        <v>#VALUE!</v>
      </c>
      <c r="GG18" s="232" t="e">
        <f t="shared" si="29"/>
        <v>#VALUE!</v>
      </c>
      <c r="GH18" s="232" t="e">
        <f t="shared" si="29"/>
        <v>#VALUE!</v>
      </c>
      <c r="GI18" s="232" t="e">
        <f t="shared" si="29"/>
        <v>#VALUE!</v>
      </c>
      <c r="GJ18" s="232" t="e">
        <f t="shared" si="30"/>
        <v>#VALUE!</v>
      </c>
      <c r="GK18" s="232" t="e">
        <f t="shared" si="30"/>
        <v>#VALUE!</v>
      </c>
      <c r="GL18" s="232" t="e">
        <f t="shared" si="30"/>
        <v>#VALUE!</v>
      </c>
      <c r="GM18" s="232" t="e">
        <f t="shared" si="30"/>
        <v>#VALUE!</v>
      </c>
      <c r="GN18" s="232" t="e">
        <f t="shared" si="30"/>
        <v>#VALUE!</v>
      </c>
      <c r="GO18" s="232" t="e">
        <f t="shared" si="30"/>
        <v>#VALUE!</v>
      </c>
      <c r="GP18" s="232" t="e">
        <f t="shared" si="30"/>
        <v>#VALUE!</v>
      </c>
      <c r="GQ18" s="232" t="e">
        <f t="shared" si="30"/>
        <v>#VALUE!</v>
      </c>
      <c r="GR18" s="232" t="e">
        <f t="shared" si="30"/>
        <v>#VALUE!</v>
      </c>
      <c r="GS18" s="232" t="e">
        <f t="shared" si="30"/>
        <v>#VALUE!</v>
      </c>
      <c r="GT18" s="232" t="e">
        <f t="shared" si="31"/>
        <v>#VALUE!</v>
      </c>
      <c r="GU18" s="232" t="e">
        <f t="shared" si="31"/>
        <v>#VALUE!</v>
      </c>
      <c r="GV18" s="232" t="e">
        <f t="shared" si="31"/>
        <v>#VALUE!</v>
      </c>
      <c r="GW18" s="232" t="e">
        <f t="shared" si="31"/>
        <v>#VALUE!</v>
      </c>
      <c r="GX18" s="232" t="e">
        <f t="shared" si="31"/>
        <v>#VALUE!</v>
      </c>
      <c r="GY18" s="232" t="e">
        <f t="shared" si="31"/>
        <v>#VALUE!</v>
      </c>
      <c r="GZ18" s="232" t="e">
        <f t="shared" si="31"/>
        <v>#VALUE!</v>
      </c>
      <c r="HA18" s="232" t="e">
        <f t="shared" si="31"/>
        <v>#VALUE!</v>
      </c>
      <c r="HB18" s="232" t="e">
        <f t="shared" si="31"/>
        <v>#VALUE!</v>
      </c>
      <c r="HC18" s="232" t="e">
        <f t="shared" si="31"/>
        <v>#VALUE!</v>
      </c>
      <c r="HD18" s="232" t="e">
        <f t="shared" si="32"/>
        <v>#VALUE!</v>
      </c>
      <c r="HE18" s="232" t="e">
        <f t="shared" si="32"/>
        <v>#VALUE!</v>
      </c>
      <c r="HF18" s="232" t="e">
        <f t="shared" si="32"/>
        <v>#VALUE!</v>
      </c>
      <c r="HG18" s="232" t="e">
        <f t="shared" si="32"/>
        <v>#VALUE!</v>
      </c>
      <c r="HH18" s="232" t="e">
        <f t="shared" si="32"/>
        <v>#VALUE!</v>
      </c>
      <c r="HI18" s="232" t="e">
        <f t="shared" si="32"/>
        <v>#VALUE!</v>
      </c>
      <c r="HJ18" s="232" t="e">
        <f t="shared" si="32"/>
        <v>#VALUE!</v>
      </c>
      <c r="HK18" s="232" t="e">
        <f t="shared" si="32"/>
        <v>#VALUE!</v>
      </c>
      <c r="HL18" s="232" t="e">
        <f t="shared" si="32"/>
        <v>#VALUE!</v>
      </c>
      <c r="HM18" s="232" t="e">
        <f t="shared" si="32"/>
        <v>#VALUE!</v>
      </c>
      <c r="HN18" s="232" t="e">
        <f t="shared" si="33"/>
        <v>#VALUE!</v>
      </c>
      <c r="HO18" s="232" t="e">
        <f t="shared" si="33"/>
        <v>#VALUE!</v>
      </c>
      <c r="HP18" s="232" t="e">
        <f t="shared" si="33"/>
        <v>#VALUE!</v>
      </c>
      <c r="HQ18" s="232" t="e">
        <f t="shared" si="33"/>
        <v>#VALUE!</v>
      </c>
      <c r="HR18" s="232" t="e">
        <f t="shared" si="33"/>
        <v>#VALUE!</v>
      </c>
      <c r="HS18" s="232" t="e">
        <f t="shared" si="33"/>
        <v>#VALUE!</v>
      </c>
      <c r="HT18" s="232" t="e">
        <f t="shared" si="33"/>
        <v>#VALUE!</v>
      </c>
      <c r="HU18" s="232" t="e">
        <f t="shared" si="33"/>
        <v>#VALUE!</v>
      </c>
      <c r="HV18" s="232" t="e">
        <f t="shared" si="33"/>
        <v>#VALUE!</v>
      </c>
      <c r="HW18" s="232" t="e">
        <f t="shared" si="33"/>
        <v>#VALUE!</v>
      </c>
      <c r="HX18" s="232" t="e">
        <f t="shared" si="34"/>
        <v>#VALUE!</v>
      </c>
      <c r="HY18" s="232" t="e">
        <f t="shared" si="34"/>
        <v>#VALUE!</v>
      </c>
      <c r="HZ18" s="232" t="e">
        <f t="shared" si="34"/>
        <v>#VALUE!</v>
      </c>
      <c r="IA18" s="232" t="e">
        <f t="shared" si="34"/>
        <v>#VALUE!</v>
      </c>
      <c r="IB18" s="232" t="e">
        <f t="shared" si="34"/>
        <v>#VALUE!</v>
      </c>
      <c r="IC18" s="232" t="e">
        <f t="shared" si="34"/>
        <v>#VALUE!</v>
      </c>
      <c r="ID18" s="232" t="e">
        <f t="shared" si="34"/>
        <v>#VALUE!</v>
      </c>
      <c r="IE18" s="232" t="e">
        <f t="shared" si="34"/>
        <v>#VALUE!</v>
      </c>
      <c r="IF18" s="232" t="e">
        <f t="shared" si="34"/>
        <v>#VALUE!</v>
      </c>
      <c r="IG18" s="232" t="e">
        <f t="shared" si="34"/>
        <v>#VALUE!</v>
      </c>
      <c r="IH18" s="232" t="e">
        <f t="shared" si="35"/>
        <v>#VALUE!</v>
      </c>
      <c r="II18" s="232" t="e">
        <f t="shared" si="35"/>
        <v>#VALUE!</v>
      </c>
      <c r="IJ18" s="232" t="e">
        <f t="shared" si="35"/>
        <v>#VALUE!</v>
      </c>
      <c r="IK18" s="232" t="e">
        <f t="shared" si="35"/>
        <v>#VALUE!</v>
      </c>
      <c r="IL18" s="232" t="e">
        <f t="shared" si="35"/>
        <v>#VALUE!</v>
      </c>
      <c r="IM18" s="232" t="e">
        <f t="shared" si="35"/>
        <v>#VALUE!</v>
      </c>
      <c r="IN18" s="232" t="e">
        <f t="shared" si="35"/>
        <v>#VALUE!</v>
      </c>
      <c r="IO18" s="232" t="e">
        <f t="shared" si="35"/>
        <v>#VALUE!</v>
      </c>
      <c r="IP18" s="232" t="e">
        <f t="shared" si="35"/>
        <v>#VALUE!</v>
      </c>
      <c r="IQ18" s="232" t="e">
        <f t="shared" si="35"/>
        <v>#VALUE!</v>
      </c>
      <c r="IR18" s="232" t="e">
        <f t="shared" si="36"/>
        <v>#VALUE!</v>
      </c>
      <c r="IS18" s="232" t="e">
        <f t="shared" si="36"/>
        <v>#VALUE!</v>
      </c>
      <c r="IT18" s="232" t="e">
        <f t="shared" si="36"/>
        <v>#VALUE!</v>
      </c>
      <c r="IU18" s="232" t="e">
        <f t="shared" si="36"/>
        <v>#VALUE!</v>
      </c>
      <c r="IV18" s="232" t="e">
        <f t="shared" si="36"/>
        <v>#VALUE!</v>
      </c>
      <c r="IW18" s="232" t="e">
        <f t="shared" si="36"/>
        <v>#VALUE!</v>
      </c>
      <c r="IX18" s="232" t="e">
        <f t="shared" si="36"/>
        <v>#VALUE!</v>
      </c>
      <c r="IY18" s="232" t="e">
        <f t="shared" si="36"/>
        <v>#VALUE!</v>
      </c>
      <c r="IZ18" s="232" t="e">
        <f t="shared" si="36"/>
        <v>#VALUE!</v>
      </c>
      <c r="JA18" s="232" t="e">
        <f t="shared" si="36"/>
        <v>#VALUE!</v>
      </c>
      <c r="JB18" s="232" t="e">
        <f t="shared" si="37"/>
        <v>#VALUE!</v>
      </c>
      <c r="JC18" s="232" t="e">
        <f t="shared" si="37"/>
        <v>#VALUE!</v>
      </c>
      <c r="JD18" s="232" t="e">
        <f t="shared" si="37"/>
        <v>#VALUE!</v>
      </c>
      <c r="JE18" s="232" t="e">
        <f t="shared" si="37"/>
        <v>#VALUE!</v>
      </c>
      <c r="JF18" s="232" t="e">
        <f t="shared" si="37"/>
        <v>#VALUE!</v>
      </c>
      <c r="JG18" s="232" t="e">
        <f t="shared" si="37"/>
        <v>#VALUE!</v>
      </c>
      <c r="JH18" s="232" t="e">
        <f t="shared" si="37"/>
        <v>#VALUE!</v>
      </c>
      <c r="JI18" s="232" t="e">
        <f t="shared" si="37"/>
        <v>#VALUE!</v>
      </c>
      <c r="JJ18" s="232" t="e">
        <f t="shared" si="37"/>
        <v>#VALUE!</v>
      </c>
      <c r="JK18" s="232"/>
      <c r="JL18" s="232"/>
      <c r="JM18" s="232"/>
      <c r="JN18" s="232"/>
      <c r="JO18" s="232"/>
      <c r="JP18" s="232"/>
      <c r="JQ18" s="232"/>
      <c r="JR18" s="232"/>
      <c r="JS18" s="232"/>
      <c r="JT18" s="232"/>
      <c r="JU18" s="232"/>
      <c r="JV18" s="232"/>
      <c r="JW18" s="232"/>
      <c r="JX18" s="232"/>
      <c r="JY18" s="232"/>
      <c r="JZ18" s="232"/>
      <c r="KA18" s="232"/>
      <c r="KB18" s="232"/>
      <c r="KC18" s="232"/>
      <c r="KD18" s="232"/>
      <c r="KE18" s="232"/>
      <c r="KF18" s="232"/>
      <c r="KG18" s="232"/>
      <c r="KH18" s="232"/>
      <c r="KI18" s="232"/>
      <c r="KJ18" s="232"/>
      <c r="KK18" s="232"/>
      <c r="KL18" s="232"/>
      <c r="KM18" s="232"/>
      <c r="KN18" s="232"/>
      <c r="KO18" s="232"/>
      <c r="KP18" s="232"/>
      <c r="KQ18" s="232"/>
      <c r="KR18" s="232"/>
      <c r="KS18" s="232"/>
      <c r="KT18" s="232"/>
      <c r="KU18" s="232"/>
      <c r="KV18" s="232"/>
      <c r="KW18" s="232"/>
      <c r="KX18" s="232"/>
      <c r="KY18" s="232"/>
      <c r="KZ18" s="232"/>
      <c r="LA18" s="232"/>
      <c r="LB18" s="232"/>
      <c r="LC18" s="232"/>
      <c r="LD18" s="232"/>
      <c r="LE18" s="232"/>
      <c r="LF18" s="232"/>
      <c r="LG18" s="232"/>
      <c r="LH18" s="232"/>
      <c r="LI18" s="232"/>
      <c r="LJ18" s="232"/>
      <c r="LK18" s="232"/>
      <c r="LL18" s="232"/>
      <c r="LM18" s="232"/>
      <c r="LN18" s="232"/>
      <c r="LO18" s="232"/>
      <c r="LP18" s="232"/>
      <c r="LQ18" s="232"/>
      <c r="LR18" s="232"/>
      <c r="LS18" s="232"/>
      <c r="LT18" s="232"/>
      <c r="LU18" s="232"/>
      <c r="LV18" s="232"/>
      <c r="LW18" s="232"/>
      <c r="LX18" s="232"/>
      <c r="LY18" s="232"/>
      <c r="LZ18" s="232"/>
      <c r="MA18" s="232"/>
      <c r="MB18" s="232"/>
      <c r="MC18" s="232"/>
      <c r="MD18" s="232"/>
      <c r="ME18" s="232"/>
      <c r="MF18" s="232"/>
      <c r="MG18" s="232"/>
      <c r="MH18" s="232"/>
      <c r="MI18" s="232"/>
      <c r="MJ18" s="232"/>
      <c r="MK18" s="232"/>
      <c r="ML18" s="232"/>
      <c r="MM18" s="232"/>
      <c r="MN18" s="232"/>
      <c r="MO18" s="232"/>
      <c r="MP18" s="232"/>
      <c r="MQ18" s="232"/>
      <c r="MR18" s="232"/>
      <c r="MS18" s="232"/>
      <c r="MT18" s="232"/>
      <c r="MU18" s="232"/>
      <c r="MV18" s="232"/>
      <c r="MW18" s="232"/>
      <c r="MX18" s="232"/>
      <c r="MY18" s="232"/>
      <c r="MZ18" s="232"/>
      <c r="NA18" s="232"/>
      <c r="NB18" s="232"/>
      <c r="NC18" s="232"/>
      <c r="ND18" s="232"/>
      <c r="NE18" s="232"/>
      <c r="NF18" s="232"/>
      <c r="NG18" s="232"/>
      <c r="NH18" s="232"/>
      <c r="NI18" s="232"/>
      <c r="NJ18" s="232"/>
      <c r="NK18" s="232"/>
      <c r="NL18" s="232"/>
      <c r="NM18" s="232"/>
      <c r="NN18" s="232"/>
      <c r="NO18" s="232"/>
      <c r="NP18" s="232"/>
      <c r="NQ18" s="232"/>
      <c r="NR18" s="232"/>
      <c r="NS18" s="232"/>
      <c r="NT18" s="232"/>
      <c r="NU18" s="232"/>
      <c r="NV18" s="232"/>
      <c r="NW18" s="232"/>
      <c r="NX18" s="232"/>
      <c r="NY18" s="232"/>
      <c r="NZ18" s="232"/>
      <c r="OA18" s="232"/>
      <c r="OB18" s="232"/>
      <c r="OC18" s="232"/>
      <c r="OD18" s="232"/>
      <c r="OE18" s="232"/>
      <c r="OF18" s="232"/>
      <c r="OG18" s="232"/>
      <c r="OH18" s="232"/>
      <c r="OI18" s="232"/>
      <c r="OJ18" s="232"/>
      <c r="OK18" s="232"/>
      <c r="OL18" s="232"/>
      <c r="OM18" s="232"/>
      <c r="ON18" s="232"/>
      <c r="OO18" s="232"/>
      <c r="OP18" s="232"/>
      <c r="OQ18" s="232"/>
      <c r="OR18" s="232"/>
      <c r="OS18" s="232"/>
      <c r="OT18" s="232"/>
      <c r="OU18" s="232"/>
      <c r="OV18" s="232"/>
      <c r="OW18" s="232"/>
      <c r="OX18" s="232"/>
      <c r="OY18" s="232"/>
      <c r="OZ18" s="232"/>
      <c r="PA18" s="232"/>
      <c r="PB18" s="232"/>
      <c r="PC18" s="232"/>
      <c r="PD18" s="232"/>
      <c r="PE18" s="232"/>
      <c r="PF18" s="232"/>
      <c r="PG18" s="232"/>
      <c r="PH18" s="232"/>
      <c r="PI18" s="232"/>
      <c r="PJ18" s="232"/>
      <c r="PK18" s="232"/>
      <c r="PL18" s="232"/>
      <c r="PM18" s="232"/>
      <c r="PN18" s="232"/>
      <c r="PO18" s="232"/>
      <c r="PP18" s="232"/>
      <c r="PQ18" s="232"/>
      <c r="PR18" s="232"/>
      <c r="PS18" s="232"/>
      <c r="PT18" s="232"/>
      <c r="PU18" s="232"/>
      <c r="PV18" s="232"/>
      <c r="PW18" s="232"/>
      <c r="PX18" s="232"/>
      <c r="PY18" s="232"/>
      <c r="PZ18" s="232"/>
      <c r="QA18" s="232"/>
      <c r="QB18" s="232"/>
      <c r="QC18" s="232"/>
      <c r="QD18" s="232"/>
      <c r="QE18" s="232"/>
      <c r="QF18" s="232"/>
      <c r="QG18" s="232"/>
      <c r="QH18" s="232"/>
      <c r="QI18" s="232"/>
      <c r="QJ18" s="232"/>
      <c r="QK18" s="232"/>
      <c r="QL18" s="232"/>
      <c r="QM18" s="232"/>
      <c r="QN18" s="232"/>
      <c r="QO18" s="232"/>
      <c r="QP18" s="232"/>
      <c r="QQ18" s="232"/>
      <c r="QR18" s="232"/>
      <c r="QS18" s="232"/>
      <c r="QT18" s="232"/>
      <c r="QU18" s="232"/>
      <c r="QV18" s="232"/>
      <c r="QW18" s="232"/>
      <c r="QX18" s="232"/>
      <c r="QY18" s="232"/>
      <c r="QZ18" s="232"/>
      <c r="RA18" s="232"/>
      <c r="RB18" s="232"/>
      <c r="RC18" s="232"/>
      <c r="RD18" s="232"/>
      <c r="RE18" s="232"/>
      <c r="RF18" s="232"/>
      <c r="RG18" s="232"/>
      <c r="RH18" s="232"/>
      <c r="RI18" s="232"/>
      <c r="RJ18" s="232"/>
      <c r="RK18" s="232"/>
      <c r="RL18" s="232"/>
      <c r="RM18" s="232"/>
      <c r="RN18" s="232"/>
      <c r="RO18" s="232"/>
      <c r="RP18" s="232"/>
      <c r="RQ18" s="232"/>
      <c r="RR18" s="232"/>
      <c r="RS18" s="232"/>
      <c r="RT18" s="232"/>
      <c r="RU18" s="232"/>
      <c r="RV18" s="232"/>
      <c r="RW18" s="232"/>
      <c r="RX18" s="232"/>
      <c r="RY18" s="232"/>
      <c r="RZ18" s="232"/>
      <c r="SA18" s="232"/>
      <c r="SB18" s="232"/>
      <c r="SC18" s="232"/>
      <c r="SD18" s="232"/>
      <c r="SE18" s="232"/>
      <c r="SF18" s="232"/>
      <c r="SG18" s="232"/>
      <c r="SH18" s="232"/>
      <c r="SI18" s="232"/>
      <c r="SJ18" s="232"/>
      <c r="SK18" s="232"/>
      <c r="SL18" s="232"/>
      <c r="SM18" s="232"/>
      <c r="SN18" s="232"/>
      <c r="SO18" s="232"/>
      <c r="SP18" s="232"/>
      <c r="SQ18" s="232"/>
      <c r="SR18" s="232"/>
      <c r="SS18" s="232"/>
      <c r="ST18" s="232"/>
      <c r="SU18" s="232"/>
      <c r="SV18" s="232"/>
      <c r="SW18" s="232"/>
      <c r="SX18" s="232"/>
      <c r="SY18" s="232"/>
      <c r="SZ18" s="232"/>
      <c r="TA18" s="232"/>
      <c r="TB18" s="232"/>
      <c r="TC18" s="232"/>
      <c r="TD18" s="232"/>
      <c r="TE18" s="232"/>
      <c r="TF18" s="232"/>
      <c r="TG18" s="232"/>
      <c r="TH18" s="232"/>
      <c r="TI18" s="232"/>
      <c r="TJ18" s="232"/>
      <c r="TK18" s="232"/>
      <c r="TL18" s="232"/>
      <c r="TM18" s="232"/>
      <c r="TN18" s="232"/>
      <c r="TO18" s="232"/>
      <c r="TP18" s="232"/>
      <c r="TQ18" s="232"/>
      <c r="TR18" s="232"/>
      <c r="TS18" s="232"/>
      <c r="TT18" s="232"/>
      <c r="TU18" s="232"/>
      <c r="TV18" s="232"/>
      <c r="TW18" s="232"/>
      <c r="TX18" s="232"/>
      <c r="TY18" s="232"/>
      <c r="TZ18" s="232"/>
      <c r="UA18" s="232"/>
      <c r="UB18" s="232"/>
      <c r="UC18" s="232"/>
      <c r="UD18" s="232"/>
      <c r="UE18" s="232"/>
      <c r="UF18" s="232"/>
      <c r="UG18" s="232"/>
      <c r="UH18" s="232"/>
      <c r="UI18" s="232"/>
      <c r="UJ18" s="232"/>
      <c r="UK18" s="232"/>
      <c r="UL18" s="232"/>
      <c r="UM18" s="232"/>
      <c r="UN18" s="232"/>
      <c r="UO18" s="232"/>
      <c r="UP18" s="232"/>
      <c r="UQ18" s="232"/>
      <c r="UR18" s="232"/>
      <c r="US18" s="232"/>
      <c r="UT18" s="232"/>
      <c r="UU18" s="232"/>
      <c r="UV18" s="232"/>
      <c r="UW18" s="232"/>
      <c r="UX18" s="232"/>
      <c r="UY18" s="232"/>
      <c r="UZ18" s="232"/>
      <c r="VA18" s="232"/>
      <c r="VB18" s="232"/>
      <c r="VC18" s="232"/>
      <c r="VD18" s="232"/>
      <c r="VE18" s="232"/>
      <c r="VF18" s="232"/>
      <c r="VG18" s="232"/>
      <c r="VH18" s="232"/>
      <c r="VI18" s="232"/>
      <c r="VJ18" s="232"/>
      <c r="VK18" s="232"/>
      <c r="VL18" s="232"/>
      <c r="VM18" s="232"/>
      <c r="VN18" s="232"/>
      <c r="VO18" s="232"/>
      <c r="VP18" s="232"/>
      <c r="VQ18" s="232"/>
      <c r="VR18" s="232"/>
      <c r="VS18" s="232"/>
      <c r="VT18" s="232"/>
      <c r="VU18" s="232"/>
      <c r="VV18" s="232"/>
      <c r="VW18" s="232"/>
      <c r="VX18" s="232"/>
      <c r="VY18" s="232"/>
      <c r="VZ18" s="232"/>
      <c r="WA18" s="232"/>
      <c r="WB18" s="232"/>
      <c r="WC18" s="232"/>
      <c r="WD18" s="232"/>
      <c r="WE18" s="232"/>
      <c r="WF18" s="232"/>
      <c r="WG18" s="232"/>
      <c r="WH18" s="232"/>
      <c r="WI18" s="232"/>
      <c r="WJ18" s="232"/>
      <c r="WK18" s="232"/>
      <c r="WL18" s="232"/>
      <c r="WM18" s="232"/>
      <c r="WN18" s="232"/>
      <c r="WO18" s="232"/>
      <c r="WP18" s="232"/>
      <c r="WQ18" s="232"/>
      <c r="WR18" s="232"/>
      <c r="WS18" s="232"/>
      <c r="WT18" s="232"/>
      <c r="WU18" s="232"/>
      <c r="WV18" s="232"/>
      <c r="WW18" s="232"/>
      <c r="WX18" s="232"/>
      <c r="WY18" s="232"/>
      <c r="WZ18" s="232"/>
      <c r="XA18" s="232"/>
      <c r="XB18" s="232"/>
      <c r="XC18" s="232"/>
      <c r="XD18" s="232"/>
      <c r="XE18" s="232"/>
      <c r="XF18" s="232"/>
      <c r="XG18" s="232"/>
      <c r="XH18" s="232"/>
      <c r="XI18" s="232"/>
      <c r="XJ18" s="232"/>
      <c r="XK18" s="232"/>
      <c r="XL18" s="232"/>
      <c r="XM18" s="232"/>
      <c r="XN18" s="232"/>
      <c r="XO18" s="232"/>
      <c r="XP18" s="232"/>
      <c r="XQ18" s="232"/>
      <c r="XR18" s="232"/>
      <c r="XS18" s="232"/>
      <c r="XT18" s="232"/>
      <c r="XU18" s="232"/>
      <c r="XV18" s="232"/>
      <c r="XW18" s="232"/>
      <c r="XX18" s="232"/>
      <c r="XY18" s="232"/>
      <c r="XZ18" s="232"/>
      <c r="YA18" s="232"/>
      <c r="YB18" s="232"/>
      <c r="YC18" s="232"/>
      <c r="YD18" s="232"/>
      <c r="YE18" s="232"/>
      <c r="YF18" s="232"/>
      <c r="YG18" s="232"/>
      <c r="YH18" s="232"/>
      <c r="YI18" s="232"/>
      <c r="YJ18" s="232"/>
      <c r="YK18" s="232"/>
      <c r="YL18" s="232"/>
      <c r="YM18" s="232"/>
      <c r="YN18" s="232"/>
      <c r="YO18" s="232"/>
      <c r="YP18" s="232"/>
      <c r="YQ18" s="232"/>
      <c r="YR18" s="232"/>
      <c r="YS18" s="232"/>
      <c r="YT18" s="232"/>
      <c r="YU18" s="232"/>
      <c r="YV18" s="232"/>
      <c r="YW18" s="232"/>
      <c r="YX18" s="232"/>
      <c r="YY18" s="232"/>
      <c r="YZ18" s="232"/>
      <c r="ZA18" s="232"/>
      <c r="ZB18" s="232"/>
      <c r="ZC18" s="232"/>
      <c r="ZD18" s="232"/>
      <c r="ZE18" s="232"/>
      <c r="ZF18" s="232"/>
      <c r="ZG18" s="232"/>
      <c r="ZH18" s="232"/>
      <c r="ZI18" s="232"/>
      <c r="ZJ18" s="232"/>
      <c r="ZK18" s="232"/>
      <c r="ZL18" s="232"/>
      <c r="ZM18" s="232"/>
      <c r="ZN18" s="232"/>
      <c r="ZO18" s="232"/>
      <c r="ZP18" s="232"/>
      <c r="ZQ18" s="232"/>
      <c r="ZR18" s="232"/>
      <c r="ZS18" s="232"/>
      <c r="ZT18" s="232"/>
      <c r="ZU18" s="232"/>
      <c r="ZV18" s="232"/>
      <c r="ZW18" s="232"/>
      <c r="ZX18" s="232"/>
      <c r="ZY18" s="232"/>
      <c r="ZZ18" s="232"/>
      <c r="AAA18" s="232"/>
      <c r="AAB18" s="232"/>
      <c r="AAC18" s="232"/>
      <c r="AAD18" s="232"/>
      <c r="AAE18" s="232"/>
      <c r="AAF18" s="232"/>
      <c r="AAG18" s="232"/>
      <c r="AAH18" s="232"/>
      <c r="AAI18" s="232"/>
      <c r="AAJ18" s="232"/>
      <c r="AAK18" s="232"/>
      <c r="AAL18" s="232"/>
      <c r="AAM18" s="232"/>
      <c r="AAN18" s="232"/>
      <c r="AAO18" s="232"/>
      <c r="AAP18" s="232"/>
      <c r="AAQ18" s="232"/>
      <c r="AAR18" s="232"/>
      <c r="AAS18" s="232"/>
      <c r="AAT18" s="232"/>
      <c r="AAU18" s="232"/>
      <c r="AAV18" s="232"/>
      <c r="AAW18" s="232"/>
      <c r="AAX18" s="232"/>
      <c r="AAY18" s="232"/>
      <c r="AAZ18" s="232"/>
      <c r="ABA18" s="232"/>
      <c r="ABB18" s="232"/>
      <c r="ABC18" s="232"/>
      <c r="ABD18" s="232"/>
      <c r="ABE18" s="232"/>
      <c r="ABF18" s="232"/>
      <c r="ABG18" s="232"/>
      <c r="ABH18" s="232"/>
      <c r="ABI18" s="232"/>
      <c r="ABJ18" s="232"/>
      <c r="ABK18" s="232"/>
      <c r="ABL18" s="232"/>
      <c r="ABM18" s="232"/>
      <c r="ABN18" s="232"/>
      <c r="ABO18" s="232"/>
      <c r="ABP18" s="232"/>
      <c r="ABQ18" s="232"/>
      <c r="ABR18" s="232"/>
      <c r="ABS18" s="232"/>
      <c r="ABT18" s="232"/>
      <c r="ABU18" s="232"/>
      <c r="ABV18" s="232"/>
      <c r="ABW18" s="232"/>
      <c r="ABX18" s="232"/>
      <c r="ABY18" s="232"/>
      <c r="ABZ18" s="232"/>
      <c r="ACA18" s="232"/>
      <c r="ACB18" s="232"/>
      <c r="ACC18" s="232"/>
      <c r="ACD18" s="232"/>
      <c r="ACE18" s="232"/>
      <c r="ACF18" s="232"/>
      <c r="ACG18" s="232"/>
      <c r="ACH18" s="232"/>
      <c r="ACI18" s="232"/>
      <c r="ACJ18" s="232"/>
      <c r="ACK18" s="232"/>
      <c r="ACL18" s="232"/>
      <c r="ACM18" s="232"/>
      <c r="ACN18" s="232"/>
      <c r="ACO18" s="232"/>
      <c r="ACP18" s="232"/>
      <c r="ACQ18" s="232"/>
      <c r="ACR18" s="232"/>
      <c r="ACS18" s="232"/>
      <c r="ACT18" s="232"/>
      <c r="ACU18" s="232"/>
      <c r="ACV18" s="232"/>
      <c r="ACW18" s="232"/>
      <c r="ACX18" s="232"/>
      <c r="ACY18" s="232"/>
      <c r="ACZ18" s="232"/>
      <c r="ADA18" s="232"/>
      <c r="ADB18" s="232"/>
      <c r="ADC18" s="232"/>
      <c r="ADD18" s="232"/>
      <c r="ADE18" s="232"/>
      <c r="ADF18" s="232"/>
      <c r="ADG18" s="232"/>
      <c r="ADH18" s="232"/>
      <c r="ADI18" s="232"/>
      <c r="ADJ18" s="232"/>
      <c r="ADK18" s="232"/>
      <c r="ADL18" s="232"/>
      <c r="ADM18" s="232"/>
      <c r="ADN18" s="232"/>
      <c r="ADO18" s="232"/>
      <c r="ADP18" s="232"/>
      <c r="ADQ18" s="232"/>
      <c r="ADR18" s="232"/>
      <c r="ADS18" s="232"/>
      <c r="ADT18" s="232"/>
      <c r="ADU18" s="232"/>
      <c r="ADV18" s="232"/>
      <c r="ADW18" s="232"/>
      <c r="ADX18" s="232"/>
      <c r="ADY18" s="232"/>
      <c r="ADZ18" s="232"/>
      <c r="AEA18" s="232"/>
      <c r="AEB18" s="232"/>
      <c r="AEC18" s="232"/>
      <c r="AED18" s="232"/>
      <c r="AEE18" s="232"/>
      <c r="AEF18" s="232"/>
      <c r="AEG18" s="232"/>
      <c r="AEH18" s="232"/>
      <c r="AEI18" s="232"/>
      <c r="AEJ18" s="232"/>
      <c r="AEK18" s="232"/>
      <c r="AEL18" s="232"/>
      <c r="AEM18" s="232"/>
      <c r="AEN18" s="232"/>
      <c r="AEO18" s="232"/>
      <c r="AEP18" s="232"/>
      <c r="AEQ18" s="232"/>
      <c r="AER18" s="232"/>
      <c r="AES18" s="232"/>
      <c r="AET18" s="232"/>
      <c r="AEU18" s="232"/>
      <c r="AEV18" s="232"/>
      <c r="AEW18" s="232"/>
      <c r="AEX18" s="232"/>
      <c r="AEY18" s="232"/>
      <c r="AEZ18" s="232"/>
      <c r="AFA18" s="232"/>
      <c r="AFB18" s="232"/>
      <c r="AFC18" s="232"/>
      <c r="AFD18" s="232"/>
      <c r="AFE18" s="232"/>
      <c r="AFF18" s="232"/>
      <c r="AFG18" s="232"/>
      <c r="AFH18" s="232"/>
      <c r="AFI18" s="232"/>
      <c r="AFJ18" s="232"/>
      <c r="AFK18" s="232"/>
      <c r="AFL18" s="232"/>
      <c r="AFM18" s="232"/>
      <c r="AFN18" s="232"/>
      <c r="AFO18" s="232"/>
      <c r="AFP18" s="232"/>
      <c r="AFQ18" s="232"/>
      <c r="AFR18" s="232"/>
      <c r="AFS18" s="232"/>
      <c r="AFT18" s="232"/>
      <c r="AFU18" s="232"/>
      <c r="AFV18" s="232"/>
      <c r="AFW18" s="232"/>
      <c r="AFX18" s="232"/>
      <c r="AFY18" s="232"/>
      <c r="AFZ18" s="232"/>
      <c r="AGA18" s="232"/>
      <c r="AGB18" s="232"/>
      <c r="AGC18" s="232"/>
      <c r="AGD18" s="232"/>
      <c r="AGE18" s="232"/>
      <c r="AGF18" s="232"/>
      <c r="AGG18" s="232"/>
      <c r="AGH18" s="232"/>
      <c r="AGI18" s="232"/>
      <c r="AGJ18" s="232"/>
      <c r="AGK18" s="232"/>
      <c r="AGL18" s="232"/>
      <c r="AGM18" s="232"/>
      <c r="AGN18" s="232"/>
      <c r="AGO18" s="232"/>
      <c r="AGP18" s="232"/>
      <c r="AGQ18" s="232"/>
      <c r="AGR18" s="232"/>
      <c r="AGS18" s="232"/>
      <c r="AGT18" s="232"/>
      <c r="AGU18" s="232"/>
      <c r="AGV18" s="232"/>
      <c r="AGW18" s="232"/>
      <c r="AGX18" s="232"/>
      <c r="AGY18" s="232"/>
      <c r="AGZ18" s="232"/>
      <c r="AHA18" s="232"/>
      <c r="AHB18" s="232"/>
      <c r="AHC18" s="232"/>
      <c r="AHD18" s="232"/>
      <c r="AHE18" s="232"/>
      <c r="AHF18" s="232"/>
      <c r="AHG18" s="232"/>
      <c r="AHH18" s="232"/>
      <c r="AHI18" s="232"/>
      <c r="AHJ18" s="232"/>
      <c r="AHK18" s="232"/>
      <c r="AHL18" s="232"/>
      <c r="AHM18" s="232"/>
      <c r="AHN18" s="232"/>
      <c r="AHO18" s="232"/>
      <c r="AHP18" s="232"/>
      <c r="AHQ18" s="232"/>
      <c r="AHR18" s="232"/>
      <c r="AHS18" s="232"/>
      <c r="AHT18" s="232"/>
      <c r="AHU18" s="232"/>
      <c r="AHV18" s="232"/>
      <c r="AHW18" s="232"/>
      <c r="AHX18" s="232"/>
      <c r="AHY18" s="232"/>
      <c r="AHZ18" s="232"/>
      <c r="AIA18" s="232"/>
      <c r="AIB18" s="232"/>
      <c r="AIC18" s="232"/>
      <c r="AID18" s="232"/>
      <c r="AIE18" s="232"/>
      <c r="AIF18" s="232"/>
      <c r="AIG18" s="232"/>
      <c r="AIH18" s="232"/>
      <c r="AII18" s="232"/>
      <c r="AIJ18" s="232"/>
      <c r="AIK18" s="232"/>
      <c r="AIL18" s="232"/>
      <c r="AIM18" s="232"/>
      <c r="AIN18" s="232"/>
      <c r="AIO18" s="232"/>
      <c r="AIP18" s="232"/>
      <c r="AIQ18" s="232"/>
      <c r="AIR18" s="232"/>
      <c r="AIS18" s="232"/>
      <c r="AIT18" s="232"/>
      <c r="AIU18" s="232"/>
      <c r="AIV18" s="232"/>
      <c r="AIW18" s="232"/>
      <c r="AIX18" s="232"/>
      <c r="AIY18" s="232"/>
      <c r="AIZ18" s="232"/>
      <c r="AJA18" s="232"/>
      <c r="AJB18" s="232"/>
      <c r="AJC18" s="232"/>
      <c r="AJD18" s="232"/>
      <c r="AJE18" s="232"/>
      <c r="AJF18" s="232"/>
      <c r="AJG18" s="232"/>
      <c r="AJH18" s="232"/>
      <c r="AJI18" s="232"/>
      <c r="AJJ18" s="232"/>
      <c r="AJK18" s="232"/>
      <c r="AJL18" s="232"/>
      <c r="AJM18" s="232"/>
      <c r="AJN18" s="232"/>
      <c r="AJO18" s="232"/>
      <c r="AJP18" s="232"/>
      <c r="AJQ18" s="232"/>
      <c r="AJR18" s="232"/>
      <c r="AJS18" s="232"/>
      <c r="AJT18" s="232"/>
      <c r="AJU18" s="232"/>
      <c r="AJV18" s="232"/>
      <c r="AJW18" s="232"/>
      <c r="AJX18" s="232"/>
      <c r="AJY18" s="232"/>
      <c r="AJZ18" s="232"/>
      <c r="AKA18" s="232"/>
      <c r="AKB18" s="232"/>
      <c r="AKC18" s="232"/>
      <c r="AKD18" s="232"/>
      <c r="AKE18" s="232"/>
      <c r="AKF18" s="232"/>
      <c r="AKG18" s="232"/>
      <c r="AKH18" s="232"/>
      <c r="AKI18" s="232"/>
      <c r="AKJ18" s="232"/>
      <c r="AKK18" s="232"/>
      <c r="AKL18" s="232"/>
      <c r="AKM18" s="232"/>
      <c r="AKN18" s="232"/>
      <c r="AKO18" s="232"/>
      <c r="AKP18" s="232"/>
      <c r="AKQ18" s="232"/>
      <c r="AKR18" s="232"/>
      <c r="AKS18" s="232"/>
      <c r="AKT18" s="232"/>
      <c r="AKU18" s="232"/>
      <c r="AKV18" s="232"/>
      <c r="AKW18" s="232"/>
      <c r="AKX18" s="232"/>
      <c r="AKY18" s="232"/>
      <c r="AKZ18" s="232"/>
      <c r="ALA18" s="232"/>
      <c r="ALB18" s="232"/>
      <c r="ALC18" s="232"/>
      <c r="ALD18" s="232"/>
      <c r="ALE18" s="232"/>
      <c r="ALF18" s="232"/>
      <c r="ALG18" s="232"/>
      <c r="ALH18" s="232"/>
      <c r="ALI18" s="232"/>
      <c r="ALJ18" s="232"/>
      <c r="ALK18" s="232"/>
      <c r="ALL18" s="232"/>
      <c r="ALM18" s="232"/>
      <c r="ALN18" s="232"/>
      <c r="ALO18" s="232"/>
      <c r="ALP18" s="232"/>
      <c r="ALQ18" s="232"/>
      <c r="ALR18" s="232"/>
      <c r="ALS18" s="232"/>
      <c r="ALT18" s="232"/>
      <c r="ALU18" s="232"/>
      <c r="ALV18" s="232"/>
      <c r="ALW18" s="232"/>
      <c r="ALX18" s="232"/>
      <c r="ALY18" s="232"/>
      <c r="ALZ18" s="232"/>
      <c r="AMA18" s="232"/>
      <c r="AMB18" s="232"/>
      <c r="AMC18" s="232"/>
      <c r="AMD18" s="232"/>
      <c r="AME18" s="232"/>
      <c r="AMF18" s="232"/>
      <c r="AMG18" s="232"/>
      <c r="AMH18" s="232"/>
      <c r="AMI18" s="232"/>
      <c r="AMJ18" s="232"/>
      <c r="AMK18" s="232"/>
      <c r="AML18" s="232"/>
      <c r="AMM18" s="232"/>
      <c r="AMN18" s="232"/>
      <c r="AMO18" s="232"/>
      <c r="AMP18" s="232"/>
      <c r="AMQ18" s="232"/>
      <c r="AMR18" s="232"/>
      <c r="AMS18" s="232"/>
      <c r="AMT18" s="232"/>
      <c r="AMU18" s="232"/>
      <c r="AMV18" s="232"/>
      <c r="AMW18" s="232"/>
      <c r="AMX18" s="232"/>
      <c r="AMY18" s="232"/>
      <c r="AMZ18" s="232"/>
      <c r="ANA18" s="232"/>
      <c r="ANB18" s="232"/>
      <c r="ANC18" s="232"/>
      <c r="AND18" s="232"/>
      <c r="ANE18" s="232"/>
      <c r="ANF18" s="232"/>
      <c r="ANG18" s="232"/>
      <c r="ANH18" s="232"/>
      <c r="ANI18" s="232"/>
      <c r="ANJ18" s="232"/>
      <c r="ANK18" s="232"/>
      <c r="ANL18" s="232"/>
      <c r="ANM18" s="232"/>
      <c r="ANN18" s="232"/>
      <c r="ANO18" s="232"/>
      <c r="ANP18" s="232"/>
      <c r="ANQ18" s="232"/>
      <c r="ANR18" s="232"/>
      <c r="ANS18" s="232"/>
      <c r="ANT18" s="232"/>
      <c r="ANU18" s="232"/>
      <c r="ANV18" s="232"/>
      <c r="ANW18" s="232"/>
      <c r="ANX18" s="232"/>
      <c r="ANY18" s="232"/>
      <c r="ANZ18" s="232"/>
      <c r="AOA18" s="232"/>
      <c r="AOB18" s="232"/>
      <c r="AOC18" s="232"/>
      <c r="AOD18" s="232"/>
      <c r="AOE18" s="232"/>
      <c r="AOF18" s="232"/>
      <c r="AOG18" s="232"/>
    </row>
    <row r="19" spans="1:1073">
      <c r="A19" s="2127"/>
      <c r="B19" s="223">
        <v>11</v>
      </c>
      <c r="C19" s="224"/>
      <c r="D19" s="225"/>
      <c r="E19" s="226"/>
      <c r="F19" s="226"/>
      <c r="G19" s="227" t="str">
        <f>IF(C19="","",IF(Tabelle1[[#This Row],[End Date]]&lt;COV!$E$12,0,IF(COV!E$12="","",IF(Tabelle1[[#This Row],[End Date]]-Tabelle1[[#This Row],[Start Date]]&gt;0,IF(F19&lt;COV!E$11,(F19-IF(E19&lt;COV!E$12,COV!E$12,Tabelle1[[#This Row],[Start Date]])),(COV!E$11-IF(E19&lt;COV!E$12,COV!E$12,Tabelle1[[#This Row],[Start Date]])))/365*12,""))))</f>
        <v/>
      </c>
      <c r="H19" s="225"/>
      <c r="I19" s="234"/>
      <c r="J19" s="229"/>
      <c r="K19" s="1325" t="str">
        <f>IF(Tabelle1[[#This Row],[Project Name]]="","",IF(OR(Tabelle1[[#This Row],[PM Category]]=CAT_A_NAME,Tabelle1[[#This Row],[PM Category]]=CAT_B_NAME,Tabelle1[[#This Row],[PM Category]]=CAT_C_NAME,Tabelle1[[#This Row],[PM Category]]=CAT_D_NAME,Tabelle1[[#This Row],[PM Category]]=CAT_E_NAME,Tabelle1[[#This Row],[PM Category]]=CAT_SPJ,Tabelle1[[#This Row],[PM Category]]=CAT_PJ,Tabelle1[[#This Row],[PM Category]]=""),"","1"))</f>
        <v/>
      </c>
      <c r="L19" s="1326">
        <f>IF(Tabelle1[[#This Row],[Role]]="PJM",1)+IF(Tabelle1[[#This Row],[Role]]="PGM",1)+IF(Tabelle1[[#This Row],[Role]]="PFM",1)+IF(Tabelle1[[#This Row],[Role]]="TPM",1)+IF(Tabelle1[[#This Row],[Role]]="CPM",1)</f>
        <v>0</v>
      </c>
      <c r="M19" s="230" t="str">
        <f>IFERROR(IF(Tabelle1[[#This Row],[Project Name]]&lt;&gt;"",IF(G19*I19&gt;0,G19,""),"")*Tabelle1[[#This Row],[Role Check]],"")</f>
        <v/>
      </c>
      <c r="N19" s="231" t="str">
        <f>IFERROR(Tabelle1[[#This Row],[Duration '[months']]]*Tabelle1[[#This Row],[Avg. time spent in resp. Role]],"")</f>
        <v/>
      </c>
      <c r="O19" s="221"/>
      <c r="S19" s="208" t="str">
        <f>IF(Tabelle1[[#This Row],[Project Name]]&lt;&gt;"",Tabelle1[[#This Row],[Project Name]],"")</f>
        <v/>
      </c>
      <c r="T19" s="232">
        <f t="shared" si="12"/>
        <v>0</v>
      </c>
      <c r="U19" s="545" t="e">
        <f t="shared" si="12"/>
        <v>#VALUE!</v>
      </c>
      <c r="V19" s="545" t="e">
        <f t="shared" ref="V19:AE25" si="38">IF(V$7="","",IF(AND(V$7&gt;=$E19,V$7&lt;=$F19),$I19,""))</f>
        <v>#VALUE!</v>
      </c>
      <c r="W19" s="232" t="e">
        <f t="shared" si="38"/>
        <v>#VALUE!</v>
      </c>
      <c r="X19" s="232" t="e">
        <f t="shared" si="38"/>
        <v>#VALUE!</v>
      </c>
      <c r="Y19" s="232" t="e">
        <f t="shared" si="38"/>
        <v>#VALUE!</v>
      </c>
      <c r="Z19" s="232" t="e">
        <f t="shared" si="38"/>
        <v>#VALUE!</v>
      </c>
      <c r="AA19" s="232" t="e">
        <f t="shared" si="38"/>
        <v>#VALUE!</v>
      </c>
      <c r="AB19" s="232" t="e">
        <f t="shared" si="38"/>
        <v>#VALUE!</v>
      </c>
      <c r="AC19" s="232" t="e">
        <f t="shared" si="38"/>
        <v>#VALUE!</v>
      </c>
      <c r="AD19" s="232" t="e">
        <f t="shared" si="38"/>
        <v>#VALUE!</v>
      </c>
      <c r="AE19" s="232" t="e">
        <f t="shared" si="38"/>
        <v>#VALUE!</v>
      </c>
      <c r="AF19" s="232" t="e">
        <f t="shared" ref="AF19:AO25" si="39">IF(AF$7="","",IF(AND(AF$7&gt;=$E19,AF$7&lt;=$F19),$I19,""))</f>
        <v>#VALUE!</v>
      </c>
      <c r="AG19" s="232" t="e">
        <f t="shared" si="39"/>
        <v>#VALUE!</v>
      </c>
      <c r="AH19" s="232" t="e">
        <f t="shared" si="39"/>
        <v>#VALUE!</v>
      </c>
      <c r="AI19" s="232" t="e">
        <f t="shared" si="39"/>
        <v>#VALUE!</v>
      </c>
      <c r="AJ19" s="232" t="e">
        <f t="shared" si="39"/>
        <v>#VALUE!</v>
      </c>
      <c r="AK19" s="232" t="e">
        <f t="shared" si="39"/>
        <v>#VALUE!</v>
      </c>
      <c r="AL19" s="232" t="e">
        <f t="shared" si="39"/>
        <v>#VALUE!</v>
      </c>
      <c r="AM19" s="232" t="e">
        <f t="shared" si="39"/>
        <v>#VALUE!</v>
      </c>
      <c r="AN19" s="232" t="e">
        <f t="shared" si="39"/>
        <v>#VALUE!</v>
      </c>
      <c r="AO19" s="232" t="e">
        <f t="shared" si="39"/>
        <v>#VALUE!</v>
      </c>
      <c r="AP19" s="232" t="e">
        <f t="shared" ref="AP19:AY25" si="40">IF(AP$7="","",IF(AND(AP$7&gt;=$E19,AP$7&lt;=$F19),$I19,""))</f>
        <v>#VALUE!</v>
      </c>
      <c r="AQ19" s="232" t="e">
        <f t="shared" si="40"/>
        <v>#VALUE!</v>
      </c>
      <c r="AR19" s="232" t="e">
        <f t="shared" si="40"/>
        <v>#VALUE!</v>
      </c>
      <c r="AS19" s="232" t="e">
        <f t="shared" si="40"/>
        <v>#VALUE!</v>
      </c>
      <c r="AT19" s="232" t="e">
        <f t="shared" si="40"/>
        <v>#VALUE!</v>
      </c>
      <c r="AU19" s="232" t="e">
        <f t="shared" si="40"/>
        <v>#VALUE!</v>
      </c>
      <c r="AV19" s="232" t="e">
        <f t="shared" si="40"/>
        <v>#VALUE!</v>
      </c>
      <c r="AW19" s="232" t="e">
        <f t="shared" si="40"/>
        <v>#VALUE!</v>
      </c>
      <c r="AX19" s="232" t="e">
        <f t="shared" si="40"/>
        <v>#VALUE!</v>
      </c>
      <c r="AY19" s="232" t="e">
        <f t="shared" si="40"/>
        <v>#VALUE!</v>
      </c>
      <c r="AZ19" s="232" t="e">
        <f t="shared" ref="AZ19:BI25" si="41">IF(AZ$7="","",IF(AND(AZ$7&gt;=$E19,AZ$7&lt;=$F19),$I19,""))</f>
        <v>#VALUE!</v>
      </c>
      <c r="BA19" s="232" t="e">
        <f t="shared" si="41"/>
        <v>#VALUE!</v>
      </c>
      <c r="BB19" s="232" t="e">
        <f t="shared" si="41"/>
        <v>#VALUE!</v>
      </c>
      <c r="BC19" s="232" t="e">
        <f t="shared" si="41"/>
        <v>#VALUE!</v>
      </c>
      <c r="BD19" s="232" t="e">
        <f t="shared" si="41"/>
        <v>#VALUE!</v>
      </c>
      <c r="BE19" s="232" t="e">
        <f t="shared" si="41"/>
        <v>#VALUE!</v>
      </c>
      <c r="BF19" s="232" t="e">
        <f t="shared" si="41"/>
        <v>#VALUE!</v>
      </c>
      <c r="BG19" s="232" t="e">
        <f t="shared" si="41"/>
        <v>#VALUE!</v>
      </c>
      <c r="BH19" s="232" t="e">
        <f t="shared" si="41"/>
        <v>#VALUE!</v>
      </c>
      <c r="BI19" s="232" t="e">
        <f t="shared" si="41"/>
        <v>#VALUE!</v>
      </c>
      <c r="BJ19" s="232" t="e">
        <f t="shared" ref="BJ19:BS25" si="42">IF(BJ$7="","",IF(AND(BJ$7&gt;=$E19,BJ$7&lt;=$F19),$I19,""))</f>
        <v>#VALUE!</v>
      </c>
      <c r="BK19" s="232" t="e">
        <f t="shared" si="42"/>
        <v>#VALUE!</v>
      </c>
      <c r="BL19" s="232" t="e">
        <f t="shared" si="42"/>
        <v>#VALUE!</v>
      </c>
      <c r="BM19" s="232" t="e">
        <f t="shared" si="42"/>
        <v>#VALUE!</v>
      </c>
      <c r="BN19" s="232" t="e">
        <f t="shared" si="42"/>
        <v>#VALUE!</v>
      </c>
      <c r="BO19" s="232" t="e">
        <f t="shared" si="42"/>
        <v>#VALUE!</v>
      </c>
      <c r="BP19" s="232" t="e">
        <f t="shared" si="42"/>
        <v>#VALUE!</v>
      </c>
      <c r="BQ19" s="232" t="e">
        <f t="shared" si="42"/>
        <v>#VALUE!</v>
      </c>
      <c r="BR19" s="232" t="e">
        <f t="shared" si="42"/>
        <v>#VALUE!</v>
      </c>
      <c r="BS19" s="232" t="e">
        <f t="shared" si="42"/>
        <v>#VALUE!</v>
      </c>
      <c r="BT19" s="232" t="e">
        <f t="shared" ref="BT19:CC25" si="43">IF(BT$7="","",IF(AND(BT$7&gt;=$E19,BT$7&lt;=$F19),$I19,""))</f>
        <v>#VALUE!</v>
      </c>
      <c r="BU19" s="232" t="e">
        <f t="shared" si="43"/>
        <v>#VALUE!</v>
      </c>
      <c r="BV19" s="232" t="e">
        <f t="shared" si="43"/>
        <v>#VALUE!</v>
      </c>
      <c r="BW19" s="232" t="e">
        <f t="shared" si="43"/>
        <v>#VALUE!</v>
      </c>
      <c r="BX19" s="232" t="e">
        <f t="shared" si="43"/>
        <v>#VALUE!</v>
      </c>
      <c r="BY19" s="232" t="e">
        <f t="shared" si="43"/>
        <v>#VALUE!</v>
      </c>
      <c r="BZ19" s="232" t="e">
        <f t="shared" si="43"/>
        <v>#VALUE!</v>
      </c>
      <c r="CA19" s="232" t="e">
        <f t="shared" si="43"/>
        <v>#VALUE!</v>
      </c>
      <c r="CB19" s="232" t="e">
        <f t="shared" si="43"/>
        <v>#VALUE!</v>
      </c>
      <c r="CC19" s="232" t="e">
        <f t="shared" si="43"/>
        <v>#VALUE!</v>
      </c>
      <c r="CD19" s="232" t="e">
        <f t="shared" ref="CD19:CM25" si="44">IF(CD$7="","",IF(AND(CD$7&gt;=$E19,CD$7&lt;=$F19),$I19,""))</f>
        <v>#VALUE!</v>
      </c>
      <c r="CE19" s="232" t="e">
        <f t="shared" si="44"/>
        <v>#VALUE!</v>
      </c>
      <c r="CF19" s="232" t="e">
        <f t="shared" si="44"/>
        <v>#VALUE!</v>
      </c>
      <c r="CG19" s="232" t="e">
        <f t="shared" si="44"/>
        <v>#VALUE!</v>
      </c>
      <c r="CH19" s="232" t="e">
        <f t="shared" si="44"/>
        <v>#VALUE!</v>
      </c>
      <c r="CI19" s="232" t="e">
        <f t="shared" si="44"/>
        <v>#VALUE!</v>
      </c>
      <c r="CJ19" s="232" t="e">
        <f t="shared" si="44"/>
        <v>#VALUE!</v>
      </c>
      <c r="CK19" s="232" t="e">
        <f t="shared" si="44"/>
        <v>#VALUE!</v>
      </c>
      <c r="CL19" s="232" t="e">
        <f t="shared" si="44"/>
        <v>#VALUE!</v>
      </c>
      <c r="CM19" s="232" t="e">
        <f t="shared" si="44"/>
        <v>#VALUE!</v>
      </c>
      <c r="CN19" s="232" t="e">
        <f t="shared" ref="CN19:CW25" si="45">IF(CN$7="","",IF(AND(CN$7&gt;=$E19,CN$7&lt;=$F19),$I19,""))</f>
        <v>#VALUE!</v>
      </c>
      <c r="CO19" s="232" t="e">
        <f t="shared" si="45"/>
        <v>#VALUE!</v>
      </c>
      <c r="CP19" s="232" t="e">
        <f t="shared" si="45"/>
        <v>#VALUE!</v>
      </c>
      <c r="CQ19" s="232" t="e">
        <f t="shared" si="45"/>
        <v>#VALUE!</v>
      </c>
      <c r="CR19" s="232" t="e">
        <f t="shared" si="45"/>
        <v>#VALUE!</v>
      </c>
      <c r="CS19" s="232" t="e">
        <f t="shared" si="45"/>
        <v>#VALUE!</v>
      </c>
      <c r="CT19" s="232" t="e">
        <f t="shared" si="45"/>
        <v>#VALUE!</v>
      </c>
      <c r="CU19" s="232" t="e">
        <f t="shared" si="45"/>
        <v>#VALUE!</v>
      </c>
      <c r="CV19" s="232" t="e">
        <f t="shared" si="45"/>
        <v>#VALUE!</v>
      </c>
      <c r="CW19" s="232" t="e">
        <f t="shared" si="45"/>
        <v>#VALUE!</v>
      </c>
      <c r="CX19" s="232" t="e">
        <f t="shared" ref="CX19:DG25" si="46">IF(CX$7="","",IF(AND(CX$7&gt;=$E19,CX$7&lt;=$F19),$I19,""))</f>
        <v>#VALUE!</v>
      </c>
      <c r="CY19" s="232" t="e">
        <f t="shared" si="46"/>
        <v>#VALUE!</v>
      </c>
      <c r="CZ19" s="232" t="e">
        <f t="shared" si="46"/>
        <v>#VALUE!</v>
      </c>
      <c r="DA19" s="232" t="e">
        <f t="shared" si="46"/>
        <v>#VALUE!</v>
      </c>
      <c r="DB19" s="232" t="e">
        <f t="shared" si="46"/>
        <v>#VALUE!</v>
      </c>
      <c r="DC19" s="232" t="e">
        <f t="shared" si="46"/>
        <v>#VALUE!</v>
      </c>
      <c r="DD19" s="232" t="e">
        <f t="shared" si="46"/>
        <v>#VALUE!</v>
      </c>
      <c r="DE19" s="232" t="e">
        <f t="shared" si="46"/>
        <v>#VALUE!</v>
      </c>
      <c r="DF19" s="232" t="e">
        <f t="shared" si="46"/>
        <v>#VALUE!</v>
      </c>
      <c r="DG19" s="232" t="e">
        <f t="shared" si="46"/>
        <v>#VALUE!</v>
      </c>
      <c r="DH19" s="232" t="e">
        <f t="shared" ref="DH19:DQ25" si="47">IF(DH$7="","",IF(AND(DH$7&gt;=$E19,DH$7&lt;=$F19),$I19,""))</f>
        <v>#VALUE!</v>
      </c>
      <c r="DI19" s="232" t="e">
        <f t="shared" si="47"/>
        <v>#VALUE!</v>
      </c>
      <c r="DJ19" s="232" t="e">
        <f t="shared" si="47"/>
        <v>#VALUE!</v>
      </c>
      <c r="DK19" s="232" t="e">
        <f t="shared" si="47"/>
        <v>#VALUE!</v>
      </c>
      <c r="DL19" s="232" t="e">
        <f t="shared" si="47"/>
        <v>#VALUE!</v>
      </c>
      <c r="DM19" s="232" t="e">
        <f t="shared" si="47"/>
        <v>#VALUE!</v>
      </c>
      <c r="DN19" s="232" t="e">
        <f t="shared" si="47"/>
        <v>#VALUE!</v>
      </c>
      <c r="DO19" s="232" t="e">
        <f t="shared" si="47"/>
        <v>#VALUE!</v>
      </c>
      <c r="DP19" s="232" t="e">
        <f t="shared" si="47"/>
        <v>#VALUE!</v>
      </c>
      <c r="DQ19" s="232" t="e">
        <f t="shared" si="47"/>
        <v>#VALUE!</v>
      </c>
      <c r="DR19" s="232" t="e">
        <f t="shared" ref="DR19:EA25" si="48">IF(DR$7="","",IF(AND(DR$7&gt;=$E19,DR$7&lt;=$F19),$I19,""))</f>
        <v>#VALUE!</v>
      </c>
      <c r="DS19" s="232" t="e">
        <f t="shared" si="48"/>
        <v>#VALUE!</v>
      </c>
      <c r="DT19" s="232" t="e">
        <f t="shared" si="48"/>
        <v>#VALUE!</v>
      </c>
      <c r="DU19" s="232" t="e">
        <f t="shared" si="48"/>
        <v>#VALUE!</v>
      </c>
      <c r="DV19" s="232" t="e">
        <f t="shared" si="48"/>
        <v>#VALUE!</v>
      </c>
      <c r="DW19" s="232" t="e">
        <f t="shared" si="48"/>
        <v>#VALUE!</v>
      </c>
      <c r="DX19" s="232" t="e">
        <f t="shared" si="48"/>
        <v>#VALUE!</v>
      </c>
      <c r="DY19" s="232" t="e">
        <f t="shared" si="48"/>
        <v>#VALUE!</v>
      </c>
      <c r="DZ19" s="232" t="e">
        <f t="shared" si="48"/>
        <v>#VALUE!</v>
      </c>
      <c r="EA19" s="232" t="e">
        <f t="shared" si="48"/>
        <v>#VALUE!</v>
      </c>
      <c r="EB19" s="232" t="e">
        <f t="shared" ref="EB19:EK25" si="49">IF(EB$7="","",IF(AND(EB$7&gt;=$E19,EB$7&lt;=$F19),$I19,""))</f>
        <v>#VALUE!</v>
      </c>
      <c r="EC19" s="232" t="e">
        <f t="shared" si="49"/>
        <v>#VALUE!</v>
      </c>
      <c r="ED19" s="232" t="e">
        <f t="shared" si="49"/>
        <v>#VALUE!</v>
      </c>
      <c r="EE19" s="232" t="e">
        <f t="shared" si="49"/>
        <v>#VALUE!</v>
      </c>
      <c r="EF19" s="232" t="e">
        <f t="shared" si="49"/>
        <v>#VALUE!</v>
      </c>
      <c r="EG19" s="232" t="e">
        <f t="shared" si="49"/>
        <v>#VALUE!</v>
      </c>
      <c r="EH19" s="232" t="e">
        <f t="shared" si="49"/>
        <v>#VALUE!</v>
      </c>
      <c r="EI19" s="232" t="e">
        <f t="shared" si="49"/>
        <v>#VALUE!</v>
      </c>
      <c r="EJ19" s="232" t="e">
        <f t="shared" si="49"/>
        <v>#VALUE!</v>
      </c>
      <c r="EK19" s="232" t="e">
        <f t="shared" si="49"/>
        <v>#VALUE!</v>
      </c>
      <c r="EL19" s="232" t="e">
        <f t="shared" ref="EL19:EU25" si="50">IF(EL$7="","",IF(AND(EL$7&gt;=$E19,EL$7&lt;=$F19),$I19,""))</f>
        <v>#VALUE!</v>
      </c>
      <c r="EM19" s="232" t="e">
        <f t="shared" si="50"/>
        <v>#VALUE!</v>
      </c>
      <c r="EN19" s="232" t="e">
        <f t="shared" si="50"/>
        <v>#VALUE!</v>
      </c>
      <c r="EO19" s="232" t="e">
        <f t="shared" si="50"/>
        <v>#VALUE!</v>
      </c>
      <c r="EP19" s="232" t="e">
        <f t="shared" si="50"/>
        <v>#VALUE!</v>
      </c>
      <c r="EQ19" s="232" t="e">
        <f t="shared" si="50"/>
        <v>#VALUE!</v>
      </c>
      <c r="ER19" s="232" t="e">
        <f t="shared" si="50"/>
        <v>#VALUE!</v>
      </c>
      <c r="ES19" s="232" t="e">
        <f t="shared" si="50"/>
        <v>#VALUE!</v>
      </c>
      <c r="ET19" s="232" t="e">
        <f t="shared" si="50"/>
        <v>#VALUE!</v>
      </c>
      <c r="EU19" s="232" t="e">
        <f t="shared" si="50"/>
        <v>#VALUE!</v>
      </c>
      <c r="EV19" s="232" t="e">
        <f t="shared" ref="EV19:FE25" si="51">IF(EV$7="","",IF(AND(EV$7&gt;=$E19,EV$7&lt;=$F19),$I19,""))</f>
        <v>#VALUE!</v>
      </c>
      <c r="EW19" s="232" t="e">
        <f t="shared" si="51"/>
        <v>#VALUE!</v>
      </c>
      <c r="EX19" s="232" t="e">
        <f t="shared" si="51"/>
        <v>#VALUE!</v>
      </c>
      <c r="EY19" s="232" t="e">
        <f t="shared" si="51"/>
        <v>#VALUE!</v>
      </c>
      <c r="EZ19" s="232" t="e">
        <f t="shared" si="51"/>
        <v>#VALUE!</v>
      </c>
      <c r="FA19" s="232" t="e">
        <f t="shared" si="51"/>
        <v>#VALUE!</v>
      </c>
      <c r="FB19" s="232" t="e">
        <f t="shared" si="51"/>
        <v>#VALUE!</v>
      </c>
      <c r="FC19" s="232" t="e">
        <f t="shared" si="51"/>
        <v>#VALUE!</v>
      </c>
      <c r="FD19" s="232" t="e">
        <f t="shared" si="51"/>
        <v>#VALUE!</v>
      </c>
      <c r="FE19" s="232" t="e">
        <f t="shared" si="51"/>
        <v>#VALUE!</v>
      </c>
      <c r="FF19" s="232" t="e">
        <f t="shared" ref="FF19:FO25" si="52">IF(FF$7="","",IF(AND(FF$7&gt;=$E19,FF$7&lt;=$F19),$I19,""))</f>
        <v>#VALUE!</v>
      </c>
      <c r="FG19" s="232" t="e">
        <f t="shared" si="52"/>
        <v>#VALUE!</v>
      </c>
      <c r="FH19" s="232" t="e">
        <f t="shared" si="52"/>
        <v>#VALUE!</v>
      </c>
      <c r="FI19" s="232" t="e">
        <f t="shared" si="52"/>
        <v>#VALUE!</v>
      </c>
      <c r="FJ19" s="232" t="e">
        <f t="shared" si="52"/>
        <v>#VALUE!</v>
      </c>
      <c r="FK19" s="232" t="e">
        <f t="shared" si="52"/>
        <v>#VALUE!</v>
      </c>
      <c r="FL19" s="232" t="e">
        <f t="shared" si="52"/>
        <v>#VALUE!</v>
      </c>
      <c r="FM19" s="232" t="e">
        <f t="shared" si="52"/>
        <v>#VALUE!</v>
      </c>
      <c r="FN19" s="232" t="e">
        <f t="shared" si="52"/>
        <v>#VALUE!</v>
      </c>
      <c r="FO19" s="232" t="e">
        <f t="shared" si="52"/>
        <v>#VALUE!</v>
      </c>
      <c r="FP19" s="232" t="e">
        <f t="shared" ref="FP19:FY25" si="53">IF(FP$7="","",IF(AND(FP$7&gt;=$E19,FP$7&lt;=$F19),$I19,""))</f>
        <v>#VALUE!</v>
      </c>
      <c r="FQ19" s="232" t="e">
        <f t="shared" si="53"/>
        <v>#VALUE!</v>
      </c>
      <c r="FR19" s="232" t="e">
        <f t="shared" si="53"/>
        <v>#VALUE!</v>
      </c>
      <c r="FS19" s="232" t="e">
        <f t="shared" si="53"/>
        <v>#VALUE!</v>
      </c>
      <c r="FT19" s="232" t="e">
        <f t="shared" si="53"/>
        <v>#VALUE!</v>
      </c>
      <c r="FU19" s="232" t="e">
        <f t="shared" si="53"/>
        <v>#VALUE!</v>
      </c>
      <c r="FV19" s="232" t="e">
        <f t="shared" si="53"/>
        <v>#VALUE!</v>
      </c>
      <c r="FW19" s="232" t="e">
        <f t="shared" si="53"/>
        <v>#VALUE!</v>
      </c>
      <c r="FX19" s="232" t="e">
        <f t="shared" si="53"/>
        <v>#VALUE!</v>
      </c>
      <c r="FY19" s="232" t="e">
        <f t="shared" si="53"/>
        <v>#VALUE!</v>
      </c>
      <c r="FZ19" s="232" t="e">
        <f t="shared" ref="FZ19:GI25" si="54">IF(FZ$7="","",IF(AND(FZ$7&gt;=$E19,FZ$7&lt;=$F19),$I19,""))</f>
        <v>#VALUE!</v>
      </c>
      <c r="GA19" s="232" t="e">
        <f t="shared" si="54"/>
        <v>#VALUE!</v>
      </c>
      <c r="GB19" s="232" t="e">
        <f t="shared" si="54"/>
        <v>#VALUE!</v>
      </c>
      <c r="GC19" s="232" t="e">
        <f t="shared" si="54"/>
        <v>#VALUE!</v>
      </c>
      <c r="GD19" s="232" t="e">
        <f t="shared" si="54"/>
        <v>#VALUE!</v>
      </c>
      <c r="GE19" s="232" t="e">
        <f t="shared" si="54"/>
        <v>#VALUE!</v>
      </c>
      <c r="GF19" s="232" t="e">
        <f t="shared" si="54"/>
        <v>#VALUE!</v>
      </c>
      <c r="GG19" s="232" t="e">
        <f t="shared" si="54"/>
        <v>#VALUE!</v>
      </c>
      <c r="GH19" s="232" t="e">
        <f t="shared" si="54"/>
        <v>#VALUE!</v>
      </c>
      <c r="GI19" s="232" t="e">
        <f t="shared" si="54"/>
        <v>#VALUE!</v>
      </c>
      <c r="GJ19" s="232" t="e">
        <f t="shared" ref="GJ19:GS25" si="55">IF(GJ$7="","",IF(AND(GJ$7&gt;=$E19,GJ$7&lt;=$F19),$I19,""))</f>
        <v>#VALUE!</v>
      </c>
      <c r="GK19" s="232" t="e">
        <f t="shared" si="55"/>
        <v>#VALUE!</v>
      </c>
      <c r="GL19" s="232" t="e">
        <f t="shared" si="55"/>
        <v>#VALUE!</v>
      </c>
      <c r="GM19" s="232" t="e">
        <f t="shared" si="55"/>
        <v>#VALUE!</v>
      </c>
      <c r="GN19" s="232" t="e">
        <f t="shared" si="55"/>
        <v>#VALUE!</v>
      </c>
      <c r="GO19" s="232" t="e">
        <f t="shared" si="55"/>
        <v>#VALUE!</v>
      </c>
      <c r="GP19" s="232" t="e">
        <f t="shared" si="55"/>
        <v>#VALUE!</v>
      </c>
      <c r="GQ19" s="232" t="e">
        <f t="shared" si="55"/>
        <v>#VALUE!</v>
      </c>
      <c r="GR19" s="232" t="e">
        <f t="shared" si="55"/>
        <v>#VALUE!</v>
      </c>
      <c r="GS19" s="232" t="e">
        <f t="shared" si="55"/>
        <v>#VALUE!</v>
      </c>
      <c r="GT19" s="232" t="e">
        <f t="shared" ref="GT19:HC25" si="56">IF(GT$7="","",IF(AND(GT$7&gt;=$E19,GT$7&lt;=$F19),$I19,""))</f>
        <v>#VALUE!</v>
      </c>
      <c r="GU19" s="232" t="e">
        <f t="shared" si="56"/>
        <v>#VALUE!</v>
      </c>
      <c r="GV19" s="232" t="e">
        <f t="shared" si="56"/>
        <v>#VALUE!</v>
      </c>
      <c r="GW19" s="232" t="e">
        <f t="shared" si="56"/>
        <v>#VALUE!</v>
      </c>
      <c r="GX19" s="232" t="e">
        <f t="shared" si="56"/>
        <v>#VALUE!</v>
      </c>
      <c r="GY19" s="232" t="e">
        <f t="shared" si="56"/>
        <v>#VALUE!</v>
      </c>
      <c r="GZ19" s="232" t="e">
        <f t="shared" si="56"/>
        <v>#VALUE!</v>
      </c>
      <c r="HA19" s="232" t="e">
        <f t="shared" si="56"/>
        <v>#VALUE!</v>
      </c>
      <c r="HB19" s="232" t="e">
        <f t="shared" si="56"/>
        <v>#VALUE!</v>
      </c>
      <c r="HC19" s="232" t="e">
        <f t="shared" si="56"/>
        <v>#VALUE!</v>
      </c>
      <c r="HD19" s="232" t="e">
        <f t="shared" ref="HD19:HM25" si="57">IF(HD$7="","",IF(AND(HD$7&gt;=$E19,HD$7&lt;=$F19),$I19,""))</f>
        <v>#VALUE!</v>
      </c>
      <c r="HE19" s="232" t="e">
        <f t="shared" si="57"/>
        <v>#VALUE!</v>
      </c>
      <c r="HF19" s="232" t="e">
        <f t="shared" si="57"/>
        <v>#VALUE!</v>
      </c>
      <c r="HG19" s="232" t="e">
        <f t="shared" si="57"/>
        <v>#VALUE!</v>
      </c>
      <c r="HH19" s="232" t="e">
        <f t="shared" si="57"/>
        <v>#VALUE!</v>
      </c>
      <c r="HI19" s="232" t="e">
        <f t="shared" si="57"/>
        <v>#VALUE!</v>
      </c>
      <c r="HJ19" s="232" t="e">
        <f t="shared" si="57"/>
        <v>#VALUE!</v>
      </c>
      <c r="HK19" s="232" t="e">
        <f t="shared" si="57"/>
        <v>#VALUE!</v>
      </c>
      <c r="HL19" s="232" t="e">
        <f t="shared" si="57"/>
        <v>#VALUE!</v>
      </c>
      <c r="HM19" s="232" t="e">
        <f t="shared" si="57"/>
        <v>#VALUE!</v>
      </c>
      <c r="HN19" s="232" t="e">
        <f t="shared" ref="HN19:HW25" si="58">IF(HN$7="","",IF(AND(HN$7&gt;=$E19,HN$7&lt;=$F19),$I19,""))</f>
        <v>#VALUE!</v>
      </c>
      <c r="HO19" s="232" t="e">
        <f t="shared" si="58"/>
        <v>#VALUE!</v>
      </c>
      <c r="HP19" s="232" t="e">
        <f t="shared" si="58"/>
        <v>#VALUE!</v>
      </c>
      <c r="HQ19" s="232" t="e">
        <f t="shared" si="58"/>
        <v>#VALUE!</v>
      </c>
      <c r="HR19" s="232" t="e">
        <f t="shared" si="58"/>
        <v>#VALUE!</v>
      </c>
      <c r="HS19" s="232" t="e">
        <f t="shared" si="58"/>
        <v>#VALUE!</v>
      </c>
      <c r="HT19" s="232" t="e">
        <f t="shared" si="58"/>
        <v>#VALUE!</v>
      </c>
      <c r="HU19" s="232" t="e">
        <f t="shared" si="58"/>
        <v>#VALUE!</v>
      </c>
      <c r="HV19" s="232" t="e">
        <f t="shared" si="58"/>
        <v>#VALUE!</v>
      </c>
      <c r="HW19" s="232" t="e">
        <f t="shared" si="58"/>
        <v>#VALUE!</v>
      </c>
      <c r="HX19" s="232" t="e">
        <f t="shared" ref="HX19:IG25" si="59">IF(HX$7="","",IF(AND(HX$7&gt;=$E19,HX$7&lt;=$F19),$I19,""))</f>
        <v>#VALUE!</v>
      </c>
      <c r="HY19" s="232" t="e">
        <f t="shared" si="59"/>
        <v>#VALUE!</v>
      </c>
      <c r="HZ19" s="232" t="e">
        <f t="shared" si="59"/>
        <v>#VALUE!</v>
      </c>
      <c r="IA19" s="232" t="e">
        <f t="shared" si="59"/>
        <v>#VALUE!</v>
      </c>
      <c r="IB19" s="232" t="e">
        <f t="shared" si="59"/>
        <v>#VALUE!</v>
      </c>
      <c r="IC19" s="232" t="e">
        <f t="shared" si="59"/>
        <v>#VALUE!</v>
      </c>
      <c r="ID19" s="232" t="e">
        <f t="shared" si="59"/>
        <v>#VALUE!</v>
      </c>
      <c r="IE19" s="232" t="e">
        <f t="shared" si="59"/>
        <v>#VALUE!</v>
      </c>
      <c r="IF19" s="232" t="e">
        <f t="shared" si="59"/>
        <v>#VALUE!</v>
      </c>
      <c r="IG19" s="232" t="e">
        <f t="shared" si="59"/>
        <v>#VALUE!</v>
      </c>
      <c r="IH19" s="232" t="e">
        <f t="shared" ref="IH19:IQ25" si="60">IF(IH$7="","",IF(AND(IH$7&gt;=$E19,IH$7&lt;=$F19),$I19,""))</f>
        <v>#VALUE!</v>
      </c>
      <c r="II19" s="232" t="e">
        <f t="shared" si="60"/>
        <v>#VALUE!</v>
      </c>
      <c r="IJ19" s="232" t="e">
        <f t="shared" si="60"/>
        <v>#VALUE!</v>
      </c>
      <c r="IK19" s="232" t="e">
        <f t="shared" si="60"/>
        <v>#VALUE!</v>
      </c>
      <c r="IL19" s="232" t="e">
        <f t="shared" si="60"/>
        <v>#VALUE!</v>
      </c>
      <c r="IM19" s="232" t="e">
        <f t="shared" si="60"/>
        <v>#VALUE!</v>
      </c>
      <c r="IN19" s="232" t="e">
        <f t="shared" si="60"/>
        <v>#VALUE!</v>
      </c>
      <c r="IO19" s="232" t="e">
        <f t="shared" si="60"/>
        <v>#VALUE!</v>
      </c>
      <c r="IP19" s="232" t="e">
        <f t="shared" si="60"/>
        <v>#VALUE!</v>
      </c>
      <c r="IQ19" s="232" t="e">
        <f t="shared" si="60"/>
        <v>#VALUE!</v>
      </c>
      <c r="IR19" s="232" t="e">
        <f t="shared" ref="IR19:JA25" si="61">IF(IR$7="","",IF(AND(IR$7&gt;=$E19,IR$7&lt;=$F19),$I19,""))</f>
        <v>#VALUE!</v>
      </c>
      <c r="IS19" s="232" t="e">
        <f t="shared" si="61"/>
        <v>#VALUE!</v>
      </c>
      <c r="IT19" s="232" t="e">
        <f t="shared" si="61"/>
        <v>#VALUE!</v>
      </c>
      <c r="IU19" s="232" t="e">
        <f t="shared" si="61"/>
        <v>#VALUE!</v>
      </c>
      <c r="IV19" s="232" t="e">
        <f t="shared" si="61"/>
        <v>#VALUE!</v>
      </c>
      <c r="IW19" s="232" t="e">
        <f t="shared" si="61"/>
        <v>#VALUE!</v>
      </c>
      <c r="IX19" s="232" t="e">
        <f t="shared" si="61"/>
        <v>#VALUE!</v>
      </c>
      <c r="IY19" s="232" t="e">
        <f t="shared" si="61"/>
        <v>#VALUE!</v>
      </c>
      <c r="IZ19" s="232" t="e">
        <f t="shared" si="61"/>
        <v>#VALUE!</v>
      </c>
      <c r="JA19" s="232" t="e">
        <f t="shared" si="61"/>
        <v>#VALUE!</v>
      </c>
      <c r="JB19" s="232" t="e">
        <f t="shared" ref="JB19:JJ25" si="62">IF(JB$7="","",IF(AND(JB$7&gt;=$E19,JB$7&lt;=$F19),$I19,""))</f>
        <v>#VALUE!</v>
      </c>
      <c r="JC19" s="232" t="e">
        <f t="shared" si="62"/>
        <v>#VALUE!</v>
      </c>
      <c r="JD19" s="232" t="e">
        <f t="shared" si="62"/>
        <v>#VALUE!</v>
      </c>
      <c r="JE19" s="232" t="e">
        <f t="shared" si="62"/>
        <v>#VALUE!</v>
      </c>
      <c r="JF19" s="232" t="e">
        <f t="shared" si="62"/>
        <v>#VALUE!</v>
      </c>
      <c r="JG19" s="232" t="e">
        <f t="shared" si="62"/>
        <v>#VALUE!</v>
      </c>
      <c r="JH19" s="232" t="e">
        <f t="shared" si="62"/>
        <v>#VALUE!</v>
      </c>
      <c r="JI19" s="232" t="e">
        <f t="shared" si="62"/>
        <v>#VALUE!</v>
      </c>
      <c r="JJ19" s="232" t="e">
        <f t="shared" si="62"/>
        <v>#VALUE!</v>
      </c>
      <c r="JK19" s="232"/>
      <c r="JL19" s="232"/>
      <c r="JM19" s="232"/>
      <c r="JN19" s="232"/>
      <c r="JO19" s="232"/>
      <c r="JP19" s="232"/>
      <c r="JQ19" s="232"/>
      <c r="JR19" s="232"/>
      <c r="JS19" s="232"/>
      <c r="JT19" s="232"/>
      <c r="JU19" s="232"/>
      <c r="JV19" s="232"/>
      <c r="JW19" s="232"/>
      <c r="JX19" s="232"/>
      <c r="JY19" s="232"/>
      <c r="JZ19" s="232"/>
      <c r="KA19" s="232"/>
      <c r="KB19" s="232"/>
      <c r="KC19" s="232"/>
      <c r="KD19" s="232"/>
      <c r="KE19" s="232"/>
      <c r="KF19" s="232"/>
      <c r="KG19" s="232"/>
      <c r="KH19" s="232"/>
      <c r="KI19" s="232"/>
      <c r="KJ19" s="232"/>
      <c r="KK19" s="232"/>
      <c r="KL19" s="232"/>
      <c r="KM19" s="232"/>
      <c r="KN19" s="232"/>
      <c r="KO19" s="232"/>
      <c r="KP19" s="232"/>
      <c r="KQ19" s="232"/>
      <c r="KR19" s="232"/>
      <c r="KS19" s="232"/>
      <c r="KT19" s="232"/>
      <c r="KU19" s="232"/>
      <c r="KV19" s="232"/>
      <c r="KW19" s="232"/>
      <c r="KX19" s="232"/>
      <c r="KY19" s="232"/>
      <c r="KZ19" s="232"/>
      <c r="LA19" s="232"/>
      <c r="LB19" s="232"/>
      <c r="LC19" s="232"/>
      <c r="LD19" s="232"/>
      <c r="LE19" s="232"/>
      <c r="LF19" s="232"/>
      <c r="LG19" s="232"/>
      <c r="LH19" s="232"/>
      <c r="LI19" s="232"/>
      <c r="LJ19" s="232"/>
      <c r="LK19" s="232"/>
      <c r="LL19" s="232"/>
      <c r="LM19" s="232"/>
      <c r="LN19" s="232"/>
      <c r="LO19" s="232"/>
      <c r="LP19" s="232"/>
      <c r="LQ19" s="232"/>
      <c r="LR19" s="232"/>
      <c r="LS19" s="232"/>
      <c r="LT19" s="232"/>
      <c r="LU19" s="232"/>
      <c r="LV19" s="232"/>
      <c r="LW19" s="232"/>
      <c r="LX19" s="232"/>
      <c r="LY19" s="232"/>
      <c r="LZ19" s="232"/>
      <c r="MA19" s="232"/>
      <c r="MB19" s="232"/>
      <c r="MC19" s="232"/>
      <c r="MD19" s="232"/>
      <c r="ME19" s="232"/>
      <c r="MF19" s="232"/>
      <c r="MG19" s="232"/>
      <c r="MH19" s="232"/>
      <c r="MI19" s="232"/>
      <c r="MJ19" s="232"/>
      <c r="MK19" s="232"/>
      <c r="ML19" s="232"/>
      <c r="MM19" s="232"/>
      <c r="MN19" s="232"/>
      <c r="MO19" s="232"/>
      <c r="MP19" s="232"/>
      <c r="MQ19" s="232"/>
      <c r="MR19" s="232"/>
      <c r="MS19" s="232"/>
      <c r="MT19" s="232"/>
      <c r="MU19" s="232"/>
      <c r="MV19" s="232"/>
      <c r="MW19" s="232"/>
      <c r="MX19" s="232"/>
      <c r="MY19" s="232"/>
      <c r="MZ19" s="232"/>
      <c r="NA19" s="232"/>
      <c r="NB19" s="232"/>
      <c r="NC19" s="232"/>
      <c r="ND19" s="232"/>
      <c r="NE19" s="232"/>
      <c r="NF19" s="232"/>
      <c r="NG19" s="232"/>
      <c r="NH19" s="232"/>
      <c r="NI19" s="232"/>
      <c r="NJ19" s="232"/>
      <c r="NK19" s="232"/>
      <c r="NL19" s="232"/>
      <c r="NM19" s="232"/>
      <c r="NN19" s="232"/>
      <c r="NO19" s="232"/>
      <c r="NP19" s="232"/>
      <c r="NQ19" s="232"/>
      <c r="NR19" s="232"/>
      <c r="NS19" s="232"/>
      <c r="NT19" s="232"/>
      <c r="NU19" s="232"/>
      <c r="NV19" s="232"/>
      <c r="NW19" s="232"/>
      <c r="NX19" s="232"/>
      <c r="NY19" s="232"/>
      <c r="NZ19" s="232"/>
      <c r="OA19" s="232"/>
      <c r="OB19" s="232"/>
      <c r="OC19" s="232"/>
      <c r="OD19" s="232"/>
      <c r="OE19" s="232"/>
      <c r="OF19" s="232"/>
      <c r="OG19" s="232"/>
      <c r="OH19" s="232"/>
      <c r="OI19" s="232"/>
      <c r="OJ19" s="232"/>
      <c r="OK19" s="232"/>
      <c r="OL19" s="232"/>
      <c r="OM19" s="232"/>
      <c r="ON19" s="232"/>
      <c r="OO19" s="232"/>
      <c r="OP19" s="232"/>
      <c r="OQ19" s="232"/>
      <c r="OR19" s="232"/>
      <c r="OS19" s="232"/>
      <c r="OT19" s="232"/>
      <c r="OU19" s="232"/>
      <c r="OV19" s="232"/>
      <c r="OW19" s="232"/>
      <c r="OX19" s="232"/>
      <c r="OY19" s="232"/>
      <c r="OZ19" s="232"/>
      <c r="PA19" s="232"/>
      <c r="PB19" s="232"/>
      <c r="PC19" s="232"/>
      <c r="PD19" s="232"/>
      <c r="PE19" s="232"/>
      <c r="PF19" s="232"/>
      <c r="PG19" s="232"/>
      <c r="PH19" s="232"/>
      <c r="PI19" s="232"/>
      <c r="PJ19" s="232"/>
      <c r="PK19" s="232"/>
      <c r="PL19" s="232"/>
      <c r="PM19" s="232"/>
      <c r="PN19" s="232"/>
      <c r="PO19" s="232"/>
      <c r="PP19" s="232"/>
      <c r="PQ19" s="232"/>
      <c r="PR19" s="232"/>
      <c r="PS19" s="232"/>
      <c r="PT19" s="232"/>
      <c r="PU19" s="232"/>
      <c r="PV19" s="232"/>
      <c r="PW19" s="232"/>
      <c r="PX19" s="232"/>
      <c r="PY19" s="232"/>
      <c r="PZ19" s="232"/>
      <c r="QA19" s="232"/>
      <c r="QB19" s="232"/>
      <c r="QC19" s="232"/>
      <c r="QD19" s="232"/>
      <c r="QE19" s="232"/>
      <c r="QF19" s="232"/>
      <c r="QG19" s="232"/>
      <c r="QH19" s="232"/>
      <c r="QI19" s="232"/>
      <c r="QJ19" s="232"/>
      <c r="QK19" s="232"/>
      <c r="QL19" s="232"/>
      <c r="QM19" s="232"/>
      <c r="QN19" s="232"/>
      <c r="QO19" s="232"/>
      <c r="QP19" s="232"/>
      <c r="QQ19" s="232"/>
      <c r="QR19" s="232"/>
      <c r="QS19" s="232"/>
      <c r="QT19" s="232"/>
      <c r="QU19" s="232"/>
      <c r="QV19" s="232"/>
      <c r="QW19" s="232"/>
      <c r="QX19" s="232"/>
      <c r="QY19" s="232"/>
      <c r="QZ19" s="232"/>
      <c r="RA19" s="232"/>
      <c r="RB19" s="232"/>
      <c r="RC19" s="232"/>
      <c r="RD19" s="232"/>
      <c r="RE19" s="232"/>
      <c r="RF19" s="232"/>
      <c r="RG19" s="232"/>
      <c r="RH19" s="232"/>
      <c r="RI19" s="232"/>
      <c r="RJ19" s="232"/>
      <c r="RK19" s="232"/>
      <c r="RL19" s="232"/>
      <c r="RM19" s="232"/>
      <c r="RN19" s="232"/>
      <c r="RO19" s="232"/>
      <c r="RP19" s="232"/>
      <c r="RQ19" s="232"/>
      <c r="RR19" s="232"/>
      <c r="RS19" s="232"/>
      <c r="RT19" s="232"/>
      <c r="RU19" s="232"/>
      <c r="RV19" s="232"/>
      <c r="RW19" s="232"/>
      <c r="RX19" s="232"/>
      <c r="RY19" s="232"/>
      <c r="RZ19" s="232"/>
      <c r="SA19" s="232"/>
      <c r="SB19" s="232"/>
      <c r="SC19" s="232"/>
      <c r="SD19" s="232"/>
      <c r="SE19" s="232"/>
      <c r="SF19" s="232"/>
      <c r="SG19" s="232"/>
      <c r="SH19" s="232"/>
      <c r="SI19" s="232"/>
      <c r="SJ19" s="232"/>
      <c r="SK19" s="232"/>
      <c r="SL19" s="232"/>
      <c r="SM19" s="232"/>
      <c r="SN19" s="232"/>
      <c r="SO19" s="232"/>
      <c r="SP19" s="232"/>
      <c r="SQ19" s="232"/>
      <c r="SR19" s="232"/>
      <c r="SS19" s="232"/>
      <c r="ST19" s="232"/>
      <c r="SU19" s="232"/>
      <c r="SV19" s="232"/>
      <c r="SW19" s="232"/>
      <c r="SX19" s="232"/>
      <c r="SY19" s="232"/>
      <c r="SZ19" s="232"/>
      <c r="TA19" s="232"/>
      <c r="TB19" s="232"/>
      <c r="TC19" s="232"/>
      <c r="TD19" s="232"/>
      <c r="TE19" s="232"/>
      <c r="TF19" s="232"/>
      <c r="TG19" s="232"/>
      <c r="TH19" s="232"/>
      <c r="TI19" s="232"/>
      <c r="TJ19" s="232"/>
      <c r="TK19" s="232"/>
      <c r="TL19" s="232"/>
      <c r="TM19" s="232"/>
      <c r="TN19" s="232"/>
      <c r="TO19" s="232"/>
      <c r="TP19" s="232"/>
      <c r="TQ19" s="232"/>
      <c r="TR19" s="232"/>
      <c r="TS19" s="232"/>
      <c r="TT19" s="232"/>
      <c r="TU19" s="232"/>
      <c r="TV19" s="232"/>
      <c r="TW19" s="232"/>
      <c r="TX19" s="232"/>
      <c r="TY19" s="232"/>
      <c r="TZ19" s="232"/>
      <c r="UA19" s="232"/>
      <c r="UB19" s="232"/>
      <c r="UC19" s="232"/>
      <c r="UD19" s="232"/>
      <c r="UE19" s="232"/>
      <c r="UF19" s="232"/>
      <c r="UG19" s="232"/>
      <c r="UH19" s="232"/>
      <c r="UI19" s="232"/>
      <c r="UJ19" s="232"/>
      <c r="UK19" s="232"/>
      <c r="UL19" s="232"/>
      <c r="UM19" s="232"/>
      <c r="UN19" s="232"/>
      <c r="UO19" s="232"/>
      <c r="UP19" s="232"/>
      <c r="UQ19" s="232"/>
      <c r="UR19" s="232"/>
      <c r="US19" s="232"/>
      <c r="UT19" s="232"/>
      <c r="UU19" s="232"/>
      <c r="UV19" s="232"/>
      <c r="UW19" s="232"/>
      <c r="UX19" s="232"/>
      <c r="UY19" s="232"/>
      <c r="UZ19" s="232"/>
      <c r="VA19" s="232"/>
      <c r="VB19" s="232"/>
      <c r="VC19" s="232"/>
      <c r="VD19" s="232"/>
      <c r="VE19" s="232"/>
      <c r="VF19" s="232"/>
      <c r="VG19" s="232"/>
      <c r="VH19" s="232"/>
      <c r="VI19" s="232"/>
      <c r="VJ19" s="232"/>
      <c r="VK19" s="232"/>
      <c r="VL19" s="232"/>
      <c r="VM19" s="232"/>
      <c r="VN19" s="232"/>
      <c r="VO19" s="232"/>
      <c r="VP19" s="232"/>
      <c r="VQ19" s="232"/>
      <c r="VR19" s="232"/>
      <c r="VS19" s="232"/>
      <c r="VT19" s="232"/>
      <c r="VU19" s="232"/>
      <c r="VV19" s="232"/>
      <c r="VW19" s="232"/>
      <c r="VX19" s="232"/>
      <c r="VY19" s="232"/>
      <c r="VZ19" s="232"/>
      <c r="WA19" s="232"/>
      <c r="WB19" s="232"/>
      <c r="WC19" s="232"/>
      <c r="WD19" s="232"/>
      <c r="WE19" s="232"/>
      <c r="WF19" s="232"/>
      <c r="WG19" s="232"/>
      <c r="WH19" s="232"/>
      <c r="WI19" s="232"/>
      <c r="WJ19" s="232"/>
      <c r="WK19" s="232"/>
      <c r="WL19" s="232"/>
      <c r="WM19" s="232"/>
      <c r="WN19" s="232"/>
      <c r="WO19" s="232"/>
      <c r="WP19" s="232"/>
      <c r="WQ19" s="232"/>
      <c r="WR19" s="232"/>
      <c r="WS19" s="232"/>
      <c r="WT19" s="232"/>
      <c r="WU19" s="232"/>
      <c r="WV19" s="232"/>
      <c r="WW19" s="232"/>
      <c r="WX19" s="232"/>
      <c r="WY19" s="232"/>
      <c r="WZ19" s="232"/>
      <c r="XA19" s="232"/>
      <c r="XB19" s="232"/>
      <c r="XC19" s="232"/>
      <c r="XD19" s="232"/>
      <c r="XE19" s="232"/>
      <c r="XF19" s="232"/>
      <c r="XG19" s="232"/>
      <c r="XH19" s="232"/>
      <c r="XI19" s="232"/>
      <c r="XJ19" s="232"/>
      <c r="XK19" s="232"/>
      <c r="XL19" s="232"/>
      <c r="XM19" s="232"/>
      <c r="XN19" s="232"/>
      <c r="XO19" s="232"/>
      <c r="XP19" s="232"/>
      <c r="XQ19" s="232"/>
      <c r="XR19" s="232"/>
      <c r="XS19" s="232"/>
      <c r="XT19" s="232"/>
      <c r="XU19" s="232"/>
      <c r="XV19" s="232"/>
      <c r="XW19" s="232"/>
      <c r="XX19" s="232"/>
      <c r="XY19" s="232"/>
      <c r="XZ19" s="232"/>
      <c r="YA19" s="232"/>
      <c r="YB19" s="232"/>
      <c r="YC19" s="232"/>
      <c r="YD19" s="232"/>
      <c r="YE19" s="232"/>
      <c r="YF19" s="232"/>
      <c r="YG19" s="232"/>
      <c r="YH19" s="232"/>
      <c r="YI19" s="232"/>
      <c r="YJ19" s="232"/>
      <c r="YK19" s="232"/>
      <c r="YL19" s="232"/>
      <c r="YM19" s="232"/>
      <c r="YN19" s="232"/>
      <c r="YO19" s="232"/>
      <c r="YP19" s="232"/>
      <c r="YQ19" s="232"/>
      <c r="YR19" s="232"/>
      <c r="YS19" s="232"/>
      <c r="YT19" s="232"/>
      <c r="YU19" s="232"/>
      <c r="YV19" s="232"/>
      <c r="YW19" s="232"/>
      <c r="YX19" s="232"/>
      <c r="YY19" s="232"/>
      <c r="YZ19" s="232"/>
      <c r="ZA19" s="232"/>
      <c r="ZB19" s="232"/>
      <c r="ZC19" s="232"/>
      <c r="ZD19" s="232"/>
      <c r="ZE19" s="232"/>
      <c r="ZF19" s="232"/>
      <c r="ZG19" s="232"/>
      <c r="ZH19" s="232"/>
      <c r="ZI19" s="232"/>
      <c r="ZJ19" s="232"/>
      <c r="ZK19" s="232"/>
      <c r="ZL19" s="232"/>
      <c r="ZM19" s="232"/>
      <c r="ZN19" s="232"/>
      <c r="ZO19" s="232"/>
      <c r="ZP19" s="232"/>
      <c r="ZQ19" s="232"/>
      <c r="ZR19" s="232"/>
      <c r="ZS19" s="232"/>
      <c r="ZT19" s="232"/>
      <c r="ZU19" s="232"/>
      <c r="ZV19" s="232"/>
      <c r="ZW19" s="232"/>
      <c r="ZX19" s="232"/>
      <c r="ZY19" s="232"/>
      <c r="ZZ19" s="232"/>
      <c r="AAA19" s="232"/>
      <c r="AAB19" s="232"/>
      <c r="AAC19" s="232"/>
      <c r="AAD19" s="232"/>
      <c r="AAE19" s="232"/>
      <c r="AAF19" s="232"/>
      <c r="AAG19" s="232"/>
      <c r="AAH19" s="232"/>
      <c r="AAI19" s="232"/>
      <c r="AAJ19" s="232"/>
      <c r="AAK19" s="232"/>
      <c r="AAL19" s="232"/>
      <c r="AAM19" s="232"/>
      <c r="AAN19" s="232"/>
      <c r="AAO19" s="232"/>
      <c r="AAP19" s="232"/>
      <c r="AAQ19" s="232"/>
      <c r="AAR19" s="232"/>
      <c r="AAS19" s="232"/>
      <c r="AAT19" s="232"/>
      <c r="AAU19" s="232"/>
      <c r="AAV19" s="232"/>
      <c r="AAW19" s="232"/>
      <c r="AAX19" s="232"/>
      <c r="AAY19" s="232"/>
      <c r="AAZ19" s="232"/>
      <c r="ABA19" s="232"/>
      <c r="ABB19" s="232"/>
      <c r="ABC19" s="232"/>
      <c r="ABD19" s="232"/>
      <c r="ABE19" s="232"/>
      <c r="ABF19" s="232"/>
      <c r="ABG19" s="232"/>
      <c r="ABH19" s="232"/>
      <c r="ABI19" s="232"/>
      <c r="ABJ19" s="232"/>
      <c r="ABK19" s="232"/>
      <c r="ABL19" s="232"/>
      <c r="ABM19" s="232"/>
      <c r="ABN19" s="232"/>
      <c r="ABO19" s="232"/>
      <c r="ABP19" s="232"/>
      <c r="ABQ19" s="232"/>
      <c r="ABR19" s="232"/>
      <c r="ABS19" s="232"/>
      <c r="ABT19" s="232"/>
      <c r="ABU19" s="232"/>
      <c r="ABV19" s="232"/>
      <c r="ABW19" s="232"/>
      <c r="ABX19" s="232"/>
      <c r="ABY19" s="232"/>
      <c r="ABZ19" s="232"/>
      <c r="ACA19" s="232"/>
      <c r="ACB19" s="232"/>
      <c r="ACC19" s="232"/>
      <c r="ACD19" s="232"/>
      <c r="ACE19" s="232"/>
      <c r="ACF19" s="232"/>
      <c r="ACG19" s="232"/>
      <c r="ACH19" s="232"/>
      <c r="ACI19" s="232"/>
      <c r="ACJ19" s="232"/>
      <c r="ACK19" s="232"/>
      <c r="ACL19" s="232"/>
      <c r="ACM19" s="232"/>
      <c r="ACN19" s="232"/>
      <c r="ACO19" s="232"/>
      <c r="ACP19" s="232"/>
      <c r="ACQ19" s="232"/>
      <c r="ACR19" s="232"/>
      <c r="ACS19" s="232"/>
      <c r="ACT19" s="232"/>
      <c r="ACU19" s="232"/>
      <c r="ACV19" s="232"/>
      <c r="ACW19" s="232"/>
      <c r="ACX19" s="232"/>
      <c r="ACY19" s="232"/>
      <c r="ACZ19" s="232"/>
      <c r="ADA19" s="232"/>
      <c r="ADB19" s="232"/>
      <c r="ADC19" s="232"/>
      <c r="ADD19" s="232"/>
      <c r="ADE19" s="232"/>
      <c r="ADF19" s="232"/>
      <c r="ADG19" s="232"/>
      <c r="ADH19" s="232"/>
      <c r="ADI19" s="232"/>
      <c r="ADJ19" s="232"/>
      <c r="ADK19" s="232"/>
      <c r="ADL19" s="232"/>
      <c r="ADM19" s="232"/>
      <c r="ADN19" s="232"/>
      <c r="ADO19" s="232"/>
      <c r="ADP19" s="232"/>
      <c r="ADQ19" s="232"/>
      <c r="ADR19" s="232"/>
      <c r="ADS19" s="232"/>
      <c r="ADT19" s="232"/>
      <c r="ADU19" s="232"/>
      <c r="ADV19" s="232"/>
      <c r="ADW19" s="232"/>
      <c r="ADX19" s="232"/>
      <c r="ADY19" s="232"/>
      <c r="ADZ19" s="232"/>
      <c r="AEA19" s="232"/>
      <c r="AEB19" s="232"/>
      <c r="AEC19" s="232"/>
      <c r="AED19" s="232"/>
      <c r="AEE19" s="232"/>
      <c r="AEF19" s="232"/>
      <c r="AEG19" s="232"/>
      <c r="AEH19" s="232"/>
      <c r="AEI19" s="232"/>
      <c r="AEJ19" s="232"/>
      <c r="AEK19" s="232"/>
      <c r="AEL19" s="232"/>
      <c r="AEM19" s="232"/>
      <c r="AEN19" s="232"/>
      <c r="AEO19" s="232"/>
      <c r="AEP19" s="232"/>
      <c r="AEQ19" s="232"/>
      <c r="AER19" s="232"/>
      <c r="AES19" s="232"/>
      <c r="AET19" s="232"/>
      <c r="AEU19" s="232"/>
      <c r="AEV19" s="232"/>
      <c r="AEW19" s="232"/>
      <c r="AEX19" s="232"/>
      <c r="AEY19" s="232"/>
      <c r="AEZ19" s="232"/>
      <c r="AFA19" s="232"/>
      <c r="AFB19" s="232"/>
      <c r="AFC19" s="232"/>
      <c r="AFD19" s="232"/>
      <c r="AFE19" s="232"/>
      <c r="AFF19" s="232"/>
      <c r="AFG19" s="232"/>
      <c r="AFH19" s="232"/>
      <c r="AFI19" s="232"/>
      <c r="AFJ19" s="232"/>
      <c r="AFK19" s="232"/>
      <c r="AFL19" s="232"/>
      <c r="AFM19" s="232"/>
      <c r="AFN19" s="232"/>
      <c r="AFO19" s="232"/>
      <c r="AFP19" s="232"/>
      <c r="AFQ19" s="232"/>
      <c r="AFR19" s="232"/>
      <c r="AFS19" s="232"/>
      <c r="AFT19" s="232"/>
      <c r="AFU19" s="232"/>
      <c r="AFV19" s="232"/>
      <c r="AFW19" s="232"/>
      <c r="AFX19" s="232"/>
      <c r="AFY19" s="232"/>
      <c r="AFZ19" s="232"/>
      <c r="AGA19" s="232"/>
      <c r="AGB19" s="232"/>
      <c r="AGC19" s="232"/>
      <c r="AGD19" s="232"/>
      <c r="AGE19" s="232"/>
      <c r="AGF19" s="232"/>
      <c r="AGG19" s="232"/>
      <c r="AGH19" s="232"/>
      <c r="AGI19" s="232"/>
      <c r="AGJ19" s="232"/>
      <c r="AGK19" s="232"/>
      <c r="AGL19" s="232"/>
      <c r="AGM19" s="232"/>
      <c r="AGN19" s="232"/>
      <c r="AGO19" s="232"/>
      <c r="AGP19" s="232"/>
      <c r="AGQ19" s="232"/>
      <c r="AGR19" s="232"/>
      <c r="AGS19" s="232"/>
      <c r="AGT19" s="232"/>
      <c r="AGU19" s="232"/>
      <c r="AGV19" s="232"/>
      <c r="AGW19" s="232"/>
      <c r="AGX19" s="232"/>
      <c r="AGY19" s="232"/>
      <c r="AGZ19" s="232"/>
      <c r="AHA19" s="232"/>
      <c r="AHB19" s="232"/>
      <c r="AHC19" s="232"/>
      <c r="AHD19" s="232"/>
      <c r="AHE19" s="232"/>
      <c r="AHF19" s="232"/>
      <c r="AHG19" s="232"/>
      <c r="AHH19" s="232"/>
      <c r="AHI19" s="232"/>
      <c r="AHJ19" s="232"/>
      <c r="AHK19" s="232"/>
      <c r="AHL19" s="232"/>
      <c r="AHM19" s="232"/>
      <c r="AHN19" s="232"/>
      <c r="AHO19" s="232"/>
      <c r="AHP19" s="232"/>
      <c r="AHQ19" s="232"/>
      <c r="AHR19" s="232"/>
      <c r="AHS19" s="232"/>
      <c r="AHT19" s="232"/>
      <c r="AHU19" s="232"/>
      <c r="AHV19" s="232"/>
      <c r="AHW19" s="232"/>
      <c r="AHX19" s="232"/>
      <c r="AHY19" s="232"/>
      <c r="AHZ19" s="232"/>
      <c r="AIA19" s="232"/>
      <c r="AIB19" s="232"/>
      <c r="AIC19" s="232"/>
      <c r="AID19" s="232"/>
      <c r="AIE19" s="232"/>
      <c r="AIF19" s="232"/>
      <c r="AIG19" s="232"/>
      <c r="AIH19" s="232"/>
      <c r="AII19" s="232"/>
      <c r="AIJ19" s="232"/>
      <c r="AIK19" s="232"/>
      <c r="AIL19" s="232"/>
      <c r="AIM19" s="232"/>
      <c r="AIN19" s="232"/>
      <c r="AIO19" s="232"/>
      <c r="AIP19" s="232"/>
      <c r="AIQ19" s="232"/>
      <c r="AIR19" s="232"/>
      <c r="AIS19" s="232"/>
      <c r="AIT19" s="232"/>
      <c r="AIU19" s="232"/>
      <c r="AIV19" s="232"/>
      <c r="AIW19" s="232"/>
      <c r="AIX19" s="232"/>
      <c r="AIY19" s="232"/>
      <c r="AIZ19" s="232"/>
      <c r="AJA19" s="232"/>
      <c r="AJB19" s="232"/>
      <c r="AJC19" s="232"/>
      <c r="AJD19" s="232"/>
      <c r="AJE19" s="232"/>
      <c r="AJF19" s="232"/>
      <c r="AJG19" s="232"/>
      <c r="AJH19" s="232"/>
      <c r="AJI19" s="232"/>
      <c r="AJJ19" s="232"/>
      <c r="AJK19" s="232"/>
      <c r="AJL19" s="232"/>
      <c r="AJM19" s="232"/>
      <c r="AJN19" s="232"/>
      <c r="AJO19" s="232"/>
      <c r="AJP19" s="232"/>
      <c r="AJQ19" s="232"/>
      <c r="AJR19" s="232"/>
      <c r="AJS19" s="232"/>
      <c r="AJT19" s="232"/>
      <c r="AJU19" s="232"/>
      <c r="AJV19" s="232"/>
      <c r="AJW19" s="232"/>
      <c r="AJX19" s="232"/>
      <c r="AJY19" s="232"/>
      <c r="AJZ19" s="232"/>
      <c r="AKA19" s="232"/>
      <c r="AKB19" s="232"/>
      <c r="AKC19" s="232"/>
      <c r="AKD19" s="232"/>
      <c r="AKE19" s="232"/>
      <c r="AKF19" s="232"/>
      <c r="AKG19" s="232"/>
      <c r="AKH19" s="232"/>
      <c r="AKI19" s="232"/>
      <c r="AKJ19" s="232"/>
      <c r="AKK19" s="232"/>
      <c r="AKL19" s="232"/>
      <c r="AKM19" s="232"/>
      <c r="AKN19" s="232"/>
      <c r="AKO19" s="232"/>
      <c r="AKP19" s="232"/>
      <c r="AKQ19" s="232"/>
      <c r="AKR19" s="232"/>
      <c r="AKS19" s="232"/>
      <c r="AKT19" s="232"/>
      <c r="AKU19" s="232"/>
      <c r="AKV19" s="232"/>
      <c r="AKW19" s="232"/>
      <c r="AKX19" s="232"/>
      <c r="AKY19" s="232"/>
      <c r="AKZ19" s="232"/>
      <c r="ALA19" s="232"/>
      <c r="ALB19" s="232"/>
      <c r="ALC19" s="232"/>
      <c r="ALD19" s="232"/>
      <c r="ALE19" s="232"/>
      <c r="ALF19" s="232"/>
      <c r="ALG19" s="232"/>
      <c r="ALH19" s="232"/>
      <c r="ALI19" s="232"/>
      <c r="ALJ19" s="232"/>
      <c r="ALK19" s="232"/>
      <c r="ALL19" s="232"/>
      <c r="ALM19" s="232"/>
      <c r="ALN19" s="232"/>
      <c r="ALO19" s="232"/>
      <c r="ALP19" s="232"/>
      <c r="ALQ19" s="232"/>
      <c r="ALR19" s="232"/>
      <c r="ALS19" s="232"/>
      <c r="ALT19" s="232"/>
      <c r="ALU19" s="232"/>
      <c r="ALV19" s="232"/>
      <c r="ALW19" s="232"/>
      <c r="ALX19" s="232"/>
      <c r="ALY19" s="232"/>
      <c r="ALZ19" s="232"/>
      <c r="AMA19" s="232"/>
      <c r="AMB19" s="232"/>
      <c r="AMC19" s="232"/>
      <c r="AMD19" s="232"/>
      <c r="AME19" s="232"/>
      <c r="AMF19" s="232"/>
      <c r="AMG19" s="232"/>
      <c r="AMH19" s="232"/>
      <c r="AMI19" s="232"/>
      <c r="AMJ19" s="232"/>
      <c r="AMK19" s="232"/>
      <c r="AML19" s="232"/>
      <c r="AMM19" s="232"/>
      <c r="AMN19" s="232"/>
      <c r="AMO19" s="232"/>
      <c r="AMP19" s="232"/>
      <c r="AMQ19" s="232"/>
      <c r="AMR19" s="232"/>
      <c r="AMS19" s="232"/>
      <c r="AMT19" s="232"/>
      <c r="AMU19" s="232"/>
      <c r="AMV19" s="232"/>
      <c r="AMW19" s="232"/>
      <c r="AMX19" s="232"/>
      <c r="AMY19" s="232"/>
      <c r="AMZ19" s="232"/>
      <c r="ANA19" s="232"/>
      <c r="ANB19" s="232"/>
      <c r="ANC19" s="232"/>
      <c r="AND19" s="232"/>
      <c r="ANE19" s="232"/>
      <c r="ANF19" s="232"/>
      <c r="ANG19" s="232"/>
      <c r="ANH19" s="232"/>
      <c r="ANI19" s="232"/>
      <c r="ANJ19" s="232"/>
      <c r="ANK19" s="232"/>
      <c r="ANL19" s="232"/>
      <c r="ANM19" s="232"/>
      <c r="ANN19" s="232"/>
      <c r="ANO19" s="232"/>
      <c r="ANP19" s="232"/>
      <c r="ANQ19" s="232"/>
      <c r="ANR19" s="232"/>
      <c r="ANS19" s="232"/>
      <c r="ANT19" s="232"/>
      <c r="ANU19" s="232"/>
      <c r="ANV19" s="232"/>
      <c r="ANW19" s="232"/>
      <c r="ANX19" s="232"/>
      <c r="ANY19" s="232"/>
      <c r="ANZ19" s="232"/>
      <c r="AOA19" s="232"/>
      <c r="AOB19" s="232"/>
      <c r="AOC19" s="232"/>
      <c r="AOD19" s="232"/>
      <c r="AOE19" s="232"/>
      <c r="AOF19" s="232"/>
      <c r="AOG19" s="232"/>
    </row>
    <row r="20" spans="1:1073">
      <c r="A20" s="2127"/>
      <c r="B20" s="233">
        <v>12</v>
      </c>
      <c r="C20" s="224"/>
      <c r="D20" s="225"/>
      <c r="E20" s="226"/>
      <c r="F20" s="226"/>
      <c r="G20" s="227" t="str">
        <f>IF(C20="","",IF(Tabelle1[[#This Row],[End Date]]&lt;COV!$E$12,0,IF(COV!E$12="","",IF(Tabelle1[[#This Row],[End Date]]-Tabelle1[[#This Row],[Start Date]]&gt;0,IF(F20&lt;COV!E$11,(F20-IF(E20&lt;COV!E$12,COV!E$12,Tabelle1[[#This Row],[Start Date]])),(COV!E$11-IF(E20&lt;COV!E$12,COV!E$12,Tabelle1[[#This Row],[Start Date]])))/365*12,""))))</f>
        <v/>
      </c>
      <c r="H20" s="225"/>
      <c r="I20" s="234"/>
      <c r="J20" s="229"/>
      <c r="K20" s="1325" t="str">
        <f>IF(Tabelle1[[#This Row],[Project Name]]="","",IF(OR(Tabelle1[[#This Row],[PM Category]]=CAT_A_NAME,Tabelle1[[#This Row],[PM Category]]=CAT_B_NAME,Tabelle1[[#This Row],[PM Category]]=CAT_C_NAME,Tabelle1[[#This Row],[PM Category]]=CAT_D_NAME,Tabelle1[[#This Row],[PM Category]]=CAT_E_NAME,Tabelle1[[#This Row],[PM Category]]=CAT_SPJ,Tabelle1[[#This Row],[PM Category]]=CAT_PJ,Tabelle1[[#This Row],[PM Category]]=""),"","1"))</f>
        <v/>
      </c>
      <c r="L20" s="1326">
        <f>IF(Tabelle1[[#This Row],[Role]]="PJM",1)+IF(Tabelle1[[#This Row],[Role]]="PGM",1)+IF(Tabelle1[[#This Row],[Role]]="PFM",1)+IF(Tabelle1[[#This Row],[Role]]="TPM",1)+IF(Tabelle1[[#This Row],[Role]]="CPM",1)</f>
        <v>0</v>
      </c>
      <c r="M20" s="230" t="str">
        <f>IFERROR(IF(Tabelle1[[#This Row],[Project Name]]&lt;&gt;"",IF(G20*I20&gt;0,G20,""),"")*Tabelle1[[#This Row],[Role Check]],"")</f>
        <v/>
      </c>
      <c r="N20" s="231" t="str">
        <f>IFERROR(Tabelle1[[#This Row],[Duration '[months']]]*Tabelle1[[#This Row],[Avg. time spent in resp. Role]],"")</f>
        <v/>
      </c>
      <c r="O20" s="221"/>
      <c r="S20" s="208" t="str">
        <f>IF(Tabelle1[[#This Row],[Project Name]]&lt;&gt;"",Tabelle1[[#This Row],[Project Name]],"")</f>
        <v/>
      </c>
      <c r="T20" s="232">
        <f t="shared" si="12"/>
        <v>0</v>
      </c>
      <c r="U20" s="545" t="e">
        <f t="shared" si="12"/>
        <v>#VALUE!</v>
      </c>
      <c r="V20" s="545" t="e">
        <f t="shared" si="38"/>
        <v>#VALUE!</v>
      </c>
      <c r="W20" s="232" t="e">
        <f t="shared" si="38"/>
        <v>#VALUE!</v>
      </c>
      <c r="X20" s="232" t="e">
        <f t="shared" si="38"/>
        <v>#VALUE!</v>
      </c>
      <c r="Y20" s="232" t="e">
        <f t="shared" si="38"/>
        <v>#VALUE!</v>
      </c>
      <c r="Z20" s="232" t="e">
        <f t="shared" si="38"/>
        <v>#VALUE!</v>
      </c>
      <c r="AA20" s="232" t="e">
        <f t="shared" si="38"/>
        <v>#VALUE!</v>
      </c>
      <c r="AB20" s="232" t="e">
        <f t="shared" si="38"/>
        <v>#VALUE!</v>
      </c>
      <c r="AC20" s="232" t="e">
        <f t="shared" si="38"/>
        <v>#VALUE!</v>
      </c>
      <c r="AD20" s="232" t="e">
        <f t="shared" si="38"/>
        <v>#VALUE!</v>
      </c>
      <c r="AE20" s="232" t="e">
        <f t="shared" si="38"/>
        <v>#VALUE!</v>
      </c>
      <c r="AF20" s="232" t="e">
        <f t="shared" si="39"/>
        <v>#VALUE!</v>
      </c>
      <c r="AG20" s="232" t="e">
        <f t="shared" si="39"/>
        <v>#VALUE!</v>
      </c>
      <c r="AH20" s="232" t="e">
        <f t="shared" si="39"/>
        <v>#VALUE!</v>
      </c>
      <c r="AI20" s="232" t="e">
        <f t="shared" si="39"/>
        <v>#VALUE!</v>
      </c>
      <c r="AJ20" s="232" t="e">
        <f t="shared" si="39"/>
        <v>#VALUE!</v>
      </c>
      <c r="AK20" s="232" t="e">
        <f t="shared" si="39"/>
        <v>#VALUE!</v>
      </c>
      <c r="AL20" s="232" t="e">
        <f t="shared" si="39"/>
        <v>#VALUE!</v>
      </c>
      <c r="AM20" s="232" t="e">
        <f t="shared" si="39"/>
        <v>#VALUE!</v>
      </c>
      <c r="AN20" s="232" t="e">
        <f t="shared" si="39"/>
        <v>#VALUE!</v>
      </c>
      <c r="AO20" s="232" t="e">
        <f t="shared" si="39"/>
        <v>#VALUE!</v>
      </c>
      <c r="AP20" s="232" t="e">
        <f t="shared" si="40"/>
        <v>#VALUE!</v>
      </c>
      <c r="AQ20" s="232" t="e">
        <f t="shared" si="40"/>
        <v>#VALUE!</v>
      </c>
      <c r="AR20" s="232" t="e">
        <f t="shared" si="40"/>
        <v>#VALUE!</v>
      </c>
      <c r="AS20" s="232" t="e">
        <f t="shared" si="40"/>
        <v>#VALUE!</v>
      </c>
      <c r="AT20" s="232" t="e">
        <f t="shared" si="40"/>
        <v>#VALUE!</v>
      </c>
      <c r="AU20" s="232" t="e">
        <f t="shared" si="40"/>
        <v>#VALUE!</v>
      </c>
      <c r="AV20" s="232" t="e">
        <f t="shared" si="40"/>
        <v>#VALUE!</v>
      </c>
      <c r="AW20" s="232" t="e">
        <f t="shared" si="40"/>
        <v>#VALUE!</v>
      </c>
      <c r="AX20" s="232" t="e">
        <f t="shared" si="40"/>
        <v>#VALUE!</v>
      </c>
      <c r="AY20" s="232" t="e">
        <f t="shared" si="40"/>
        <v>#VALUE!</v>
      </c>
      <c r="AZ20" s="232" t="e">
        <f t="shared" si="41"/>
        <v>#VALUE!</v>
      </c>
      <c r="BA20" s="232" t="e">
        <f t="shared" si="41"/>
        <v>#VALUE!</v>
      </c>
      <c r="BB20" s="232" t="e">
        <f t="shared" si="41"/>
        <v>#VALUE!</v>
      </c>
      <c r="BC20" s="232" t="e">
        <f t="shared" si="41"/>
        <v>#VALUE!</v>
      </c>
      <c r="BD20" s="232" t="e">
        <f t="shared" si="41"/>
        <v>#VALUE!</v>
      </c>
      <c r="BE20" s="232" t="e">
        <f t="shared" si="41"/>
        <v>#VALUE!</v>
      </c>
      <c r="BF20" s="232" t="e">
        <f t="shared" si="41"/>
        <v>#VALUE!</v>
      </c>
      <c r="BG20" s="232" t="e">
        <f t="shared" si="41"/>
        <v>#VALUE!</v>
      </c>
      <c r="BH20" s="232" t="e">
        <f t="shared" si="41"/>
        <v>#VALUE!</v>
      </c>
      <c r="BI20" s="232" t="e">
        <f t="shared" si="41"/>
        <v>#VALUE!</v>
      </c>
      <c r="BJ20" s="232" t="e">
        <f t="shared" si="42"/>
        <v>#VALUE!</v>
      </c>
      <c r="BK20" s="232" t="e">
        <f t="shared" si="42"/>
        <v>#VALUE!</v>
      </c>
      <c r="BL20" s="232" t="e">
        <f t="shared" si="42"/>
        <v>#VALUE!</v>
      </c>
      <c r="BM20" s="232" t="e">
        <f t="shared" si="42"/>
        <v>#VALUE!</v>
      </c>
      <c r="BN20" s="232" t="e">
        <f t="shared" si="42"/>
        <v>#VALUE!</v>
      </c>
      <c r="BO20" s="232" t="e">
        <f t="shared" si="42"/>
        <v>#VALUE!</v>
      </c>
      <c r="BP20" s="232" t="e">
        <f t="shared" si="42"/>
        <v>#VALUE!</v>
      </c>
      <c r="BQ20" s="232" t="e">
        <f t="shared" si="42"/>
        <v>#VALUE!</v>
      </c>
      <c r="BR20" s="232" t="e">
        <f t="shared" si="42"/>
        <v>#VALUE!</v>
      </c>
      <c r="BS20" s="232" t="e">
        <f t="shared" si="42"/>
        <v>#VALUE!</v>
      </c>
      <c r="BT20" s="232" t="e">
        <f t="shared" si="43"/>
        <v>#VALUE!</v>
      </c>
      <c r="BU20" s="232" t="e">
        <f t="shared" si="43"/>
        <v>#VALUE!</v>
      </c>
      <c r="BV20" s="232" t="e">
        <f t="shared" si="43"/>
        <v>#VALUE!</v>
      </c>
      <c r="BW20" s="232" t="e">
        <f t="shared" si="43"/>
        <v>#VALUE!</v>
      </c>
      <c r="BX20" s="232" t="e">
        <f t="shared" si="43"/>
        <v>#VALUE!</v>
      </c>
      <c r="BY20" s="232" t="e">
        <f t="shared" si="43"/>
        <v>#VALUE!</v>
      </c>
      <c r="BZ20" s="232" t="e">
        <f t="shared" si="43"/>
        <v>#VALUE!</v>
      </c>
      <c r="CA20" s="232" t="e">
        <f t="shared" si="43"/>
        <v>#VALUE!</v>
      </c>
      <c r="CB20" s="232" t="e">
        <f t="shared" si="43"/>
        <v>#VALUE!</v>
      </c>
      <c r="CC20" s="232" t="e">
        <f t="shared" si="43"/>
        <v>#VALUE!</v>
      </c>
      <c r="CD20" s="232" t="e">
        <f t="shared" si="44"/>
        <v>#VALUE!</v>
      </c>
      <c r="CE20" s="232" t="e">
        <f t="shared" si="44"/>
        <v>#VALUE!</v>
      </c>
      <c r="CF20" s="232" t="e">
        <f t="shared" si="44"/>
        <v>#VALUE!</v>
      </c>
      <c r="CG20" s="232" t="e">
        <f t="shared" si="44"/>
        <v>#VALUE!</v>
      </c>
      <c r="CH20" s="232" t="e">
        <f t="shared" si="44"/>
        <v>#VALUE!</v>
      </c>
      <c r="CI20" s="232" t="e">
        <f t="shared" si="44"/>
        <v>#VALUE!</v>
      </c>
      <c r="CJ20" s="232" t="e">
        <f t="shared" si="44"/>
        <v>#VALUE!</v>
      </c>
      <c r="CK20" s="232" t="e">
        <f t="shared" si="44"/>
        <v>#VALUE!</v>
      </c>
      <c r="CL20" s="232" t="e">
        <f t="shared" si="44"/>
        <v>#VALUE!</v>
      </c>
      <c r="CM20" s="232" t="e">
        <f t="shared" si="44"/>
        <v>#VALUE!</v>
      </c>
      <c r="CN20" s="232" t="e">
        <f t="shared" si="45"/>
        <v>#VALUE!</v>
      </c>
      <c r="CO20" s="232" t="e">
        <f t="shared" si="45"/>
        <v>#VALUE!</v>
      </c>
      <c r="CP20" s="232" t="e">
        <f t="shared" si="45"/>
        <v>#VALUE!</v>
      </c>
      <c r="CQ20" s="232" t="e">
        <f t="shared" si="45"/>
        <v>#VALUE!</v>
      </c>
      <c r="CR20" s="232" t="e">
        <f t="shared" si="45"/>
        <v>#VALUE!</v>
      </c>
      <c r="CS20" s="232" t="e">
        <f t="shared" si="45"/>
        <v>#VALUE!</v>
      </c>
      <c r="CT20" s="232" t="e">
        <f t="shared" si="45"/>
        <v>#VALUE!</v>
      </c>
      <c r="CU20" s="232" t="e">
        <f t="shared" si="45"/>
        <v>#VALUE!</v>
      </c>
      <c r="CV20" s="232" t="e">
        <f t="shared" si="45"/>
        <v>#VALUE!</v>
      </c>
      <c r="CW20" s="232" t="e">
        <f t="shared" si="45"/>
        <v>#VALUE!</v>
      </c>
      <c r="CX20" s="232" t="e">
        <f t="shared" si="46"/>
        <v>#VALUE!</v>
      </c>
      <c r="CY20" s="232" t="e">
        <f t="shared" si="46"/>
        <v>#VALUE!</v>
      </c>
      <c r="CZ20" s="232" t="e">
        <f t="shared" si="46"/>
        <v>#VALUE!</v>
      </c>
      <c r="DA20" s="232" t="e">
        <f t="shared" si="46"/>
        <v>#VALUE!</v>
      </c>
      <c r="DB20" s="232" t="e">
        <f t="shared" si="46"/>
        <v>#VALUE!</v>
      </c>
      <c r="DC20" s="232" t="e">
        <f t="shared" si="46"/>
        <v>#VALUE!</v>
      </c>
      <c r="DD20" s="232" t="e">
        <f t="shared" si="46"/>
        <v>#VALUE!</v>
      </c>
      <c r="DE20" s="232" t="e">
        <f t="shared" si="46"/>
        <v>#VALUE!</v>
      </c>
      <c r="DF20" s="232" t="e">
        <f t="shared" si="46"/>
        <v>#VALUE!</v>
      </c>
      <c r="DG20" s="232" t="e">
        <f t="shared" si="46"/>
        <v>#VALUE!</v>
      </c>
      <c r="DH20" s="232" t="e">
        <f t="shared" si="47"/>
        <v>#VALUE!</v>
      </c>
      <c r="DI20" s="232" t="e">
        <f t="shared" si="47"/>
        <v>#VALUE!</v>
      </c>
      <c r="DJ20" s="232" t="e">
        <f t="shared" si="47"/>
        <v>#VALUE!</v>
      </c>
      <c r="DK20" s="232" t="e">
        <f t="shared" si="47"/>
        <v>#VALUE!</v>
      </c>
      <c r="DL20" s="232" t="e">
        <f t="shared" si="47"/>
        <v>#VALUE!</v>
      </c>
      <c r="DM20" s="232" t="e">
        <f t="shared" si="47"/>
        <v>#VALUE!</v>
      </c>
      <c r="DN20" s="232" t="e">
        <f t="shared" si="47"/>
        <v>#VALUE!</v>
      </c>
      <c r="DO20" s="232" t="e">
        <f t="shared" si="47"/>
        <v>#VALUE!</v>
      </c>
      <c r="DP20" s="232" t="e">
        <f t="shared" si="47"/>
        <v>#VALUE!</v>
      </c>
      <c r="DQ20" s="232" t="e">
        <f t="shared" si="47"/>
        <v>#VALUE!</v>
      </c>
      <c r="DR20" s="232" t="e">
        <f t="shared" si="48"/>
        <v>#VALUE!</v>
      </c>
      <c r="DS20" s="232" t="e">
        <f t="shared" si="48"/>
        <v>#VALUE!</v>
      </c>
      <c r="DT20" s="232" t="e">
        <f t="shared" si="48"/>
        <v>#VALUE!</v>
      </c>
      <c r="DU20" s="232" t="e">
        <f t="shared" si="48"/>
        <v>#VALUE!</v>
      </c>
      <c r="DV20" s="232" t="e">
        <f t="shared" si="48"/>
        <v>#VALUE!</v>
      </c>
      <c r="DW20" s="232" t="e">
        <f t="shared" si="48"/>
        <v>#VALUE!</v>
      </c>
      <c r="DX20" s="232" t="e">
        <f t="shared" si="48"/>
        <v>#VALUE!</v>
      </c>
      <c r="DY20" s="232" t="e">
        <f t="shared" si="48"/>
        <v>#VALUE!</v>
      </c>
      <c r="DZ20" s="232" t="e">
        <f t="shared" si="48"/>
        <v>#VALUE!</v>
      </c>
      <c r="EA20" s="232" t="e">
        <f t="shared" si="48"/>
        <v>#VALUE!</v>
      </c>
      <c r="EB20" s="232" t="e">
        <f t="shared" si="49"/>
        <v>#VALUE!</v>
      </c>
      <c r="EC20" s="232" t="e">
        <f t="shared" si="49"/>
        <v>#VALUE!</v>
      </c>
      <c r="ED20" s="232" t="e">
        <f t="shared" si="49"/>
        <v>#VALUE!</v>
      </c>
      <c r="EE20" s="232" t="e">
        <f t="shared" si="49"/>
        <v>#VALUE!</v>
      </c>
      <c r="EF20" s="232" t="e">
        <f t="shared" si="49"/>
        <v>#VALUE!</v>
      </c>
      <c r="EG20" s="232" t="e">
        <f t="shared" si="49"/>
        <v>#VALUE!</v>
      </c>
      <c r="EH20" s="232" t="e">
        <f t="shared" si="49"/>
        <v>#VALUE!</v>
      </c>
      <c r="EI20" s="232" t="e">
        <f t="shared" si="49"/>
        <v>#VALUE!</v>
      </c>
      <c r="EJ20" s="232" t="e">
        <f t="shared" si="49"/>
        <v>#VALUE!</v>
      </c>
      <c r="EK20" s="232" t="e">
        <f t="shared" si="49"/>
        <v>#VALUE!</v>
      </c>
      <c r="EL20" s="232" t="e">
        <f t="shared" si="50"/>
        <v>#VALUE!</v>
      </c>
      <c r="EM20" s="232" t="e">
        <f t="shared" si="50"/>
        <v>#VALUE!</v>
      </c>
      <c r="EN20" s="232" t="e">
        <f t="shared" si="50"/>
        <v>#VALUE!</v>
      </c>
      <c r="EO20" s="232" t="e">
        <f t="shared" si="50"/>
        <v>#VALUE!</v>
      </c>
      <c r="EP20" s="232" t="e">
        <f t="shared" si="50"/>
        <v>#VALUE!</v>
      </c>
      <c r="EQ20" s="232" t="e">
        <f t="shared" si="50"/>
        <v>#VALUE!</v>
      </c>
      <c r="ER20" s="232" t="e">
        <f t="shared" si="50"/>
        <v>#VALUE!</v>
      </c>
      <c r="ES20" s="232" t="e">
        <f t="shared" si="50"/>
        <v>#VALUE!</v>
      </c>
      <c r="ET20" s="232" t="e">
        <f t="shared" si="50"/>
        <v>#VALUE!</v>
      </c>
      <c r="EU20" s="232" t="e">
        <f t="shared" si="50"/>
        <v>#VALUE!</v>
      </c>
      <c r="EV20" s="232" t="e">
        <f t="shared" si="51"/>
        <v>#VALUE!</v>
      </c>
      <c r="EW20" s="232" t="e">
        <f t="shared" si="51"/>
        <v>#VALUE!</v>
      </c>
      <c r="EX20" s="232" t="e">
        <f t="shared" si="51"/>
        <v>#VALUE!</v>
      </c>
      <c r="EY20" s="232" t="e">
        <f t="shared" si="51"/>
        <v>#VALUE!</v>
      </c>
      <c r="EZ20" s="232" t="e">
        <f t="shared" si="51"/>
        <v>#VALUE!</v>
      </c>
      <c r="FA20" s="232" t="e">
        <f t="shared" si="51"/>
        <v>#VALUE!</v>
      </c>
      <c r="FB20" s="232" t="e">
        <f t="shared" si="51"/>
        <v>#VALUE!</v>
      </c>
      <c r="FC20" s="232" t="e">
        <f t="shared" si="51"/>
        <v>#VALUE!</v>
      </c>
      <c r="FD20" s="232" t="e">
        <f t="shared" si="51"/>
        <v>#VALUE!</v>
      </c>
      <c r="FE20" s="232" t="e">
        <f t="shared" si="51"/>
        <v>#VALUE!</v>
      </c>
      <c r="FF20" s="232" t="e">
        <f t="shared" si="52"/>
        <v>#VALUE!</v>
      </c>
      <c r="FG20" s="232" t="e">
        <f t="shared" si="52"/>
        <v>#VALUE!</v>
      </c>
      <c r="FH20" s="232" t="e">
        <f t="shared" si="52"/>
        <v>#VALUE!</v>
      </c>
      <c r="FI20" s="232" t="e">
        <f t="shared" si="52"/>
        <v>#VALUE!</v>
      </c>
      <c r="FJ20" s="232" t="e">
        <f t="shared" si="52"/>
        <v>#VALUE!</v>
      </c>
      <c r="FK20" s="232" t="e">
        <f t="shared" si="52"/>
        <v>#VALUE!</v>
      </c>
      <c r="FL20" s="232" t="e">
        <f t="shared" si="52"/>
        <v>#VALUE!</v>
      </c>
      <c r="FM20" s="232" t="e">
        <f t="shared" si="52"/>
        <v>#VALUE!</v>
      </c>
      <c r="FN20" s="232" t="e">
        <f t="shared" si="52"/>
        <v>#VALUE!</v>
      </c>
      <c r="FO20" s="232" t="e">
        <f t="shared" si="52"/>
        <v>#VALUE!</v>
      </c>
      <c r="FP20" s="232" t="e">
        <f t="shared" si="53"/>
        <v>#VALUE!</v>
      </c>
      <c r="FQ20" s="232" t="e">
        <f t="shared" si="53"/>
        <v>#VALUE!</v>
      </c>
      <c r="FR20" s="232" t="e">
        <f t="shared" si="53"/>
        <v>#VALUE!</v>
      </c>
      <c r="FS20" s="232" t="e">
        <f t="shared" si="53"/>
        <v>#VALUE!</v>
      </c>
      <c r="FT20" s="232" t="e">
        <f t="shared" si="53"/>
        <v>#VALUE!</v>
      </c>
      <c r="FU20" s="232" t="e">
        <f t="shared" si="53"/>
        <v>#VALUE!</v>
      </c>
      <c r="FV20" s="232" t="e">
        <f t="shared" si="53"/>
        <v>#VALUE!</v>
      </c>
      <c r="FW20" s="232" t="e">
        <f t="shared" si="53"/>
        <v>#VALUE!</v>
      </c>
      <c r="FX20" s="232" t="e">
        <f t="shared" si="53"/>
        <v>#VALUE!</v>
      </c>
      <c r="FY20" s="232" t="e">
        <f t="shared" si="53"/>
        <v>#VALUE!</v>
      </c>
      <c r="FZ20" s="232" t="e">
        <f t="shared" si="54"/>
        <v>#VALUE!</v>
      </c>
      <c r="GA20" s="232" t="e">
        <f t="shared" si="54"/>
        <v>#VALUE!</v>
      </c>
      <c r="GB20" s="232" t="e">
        <f t="shared" si="54"/>
        <v>#VALUE!</v>
      </c>
      <c r="GC20" s="232" t="e">
        <f t="shared" si="54"/>
        <v>#VALUE!</v>
      </c>
      <c r="GD20" s="232" t="e">
        <f t="shared" si="54"/>
        <v>#VALUE!</v>
      </c>
      <c r="GE20" s="232" t="e">
        <f t="shared" si="54"/>
        <v>#VALUE!</v>
      </c>
      <c r="GF20" s="232" t="e">
        <f t="shared" si="54"/>
        <v>#VALUE!</v>
      </c>
      <c r="GG20" s="232" t="e">
        <f t="shared" si="54"/>
        <v>#VALUE!</v>
      </c>
      <c r="GH20" s="232" t="e">
        <f t="shared" si="54"/>
        <v>#VALUE!</v>
      </c>
      <c r="GI20" s="232" t="e">
        <f t="shared" si="54"/>
        <v>#VALUE!</v>
      </c>
      <c r="GJ20" s="232" t="e">
        <f t="shared" si="55"/>
        <v>#VALUE!</v>
      </c>
      <c r="GK20" s="232" t="e">
        <f t="shared" si="55"/>
        <v>#VALUE!</v>
      </c>
      <c r="GL20" s="232" t="e">
        <f t="shared" si="55"/>
        <v>#VALUE!</v>
      </c>
      <c r="GM20" s="232" t="e">
        <f t="shared" si="55"/>
        <v>#VALUE!</v>
      </c>
      <c r="GN20" s="232" t="e">
        <f t="shared" si="55"/>
        <v>#VALUE!</v>
      </c>
      <c r="GO20" s="232" t="e">
        <f t="shared" si="55"/>
        <v>#VALUE!</v>
      </c>
      <c r="GP20" s="232" t="e">
        <f t="shared" si="55"/>
        <v>#VALUE!</v>
      </c>
      <c r="GQ20" s="232" t="e">
        <f t="shared" si="55"/>
        <v>#VALUE!</v>
      </c>
      <c r="GR20" s="232" t="e">
        <f t="shared" si="55"/>
        <v>#VALUE!</v>
      </c>
      <c r="GS20" s="232" t="e">
        <f t="shared" si="55"/>
        <v>#VALUE!</v>
      </c>
      <c r="GT20" s="232" t="e">
        <f t="shared" si="56"/>
        <v>#VALUE!</v>
      </c>
      <c r="GU20" s="232" t="e">
        <f t="shared" si="56"/>
        <v>#VALUE!</v>
      </c>
      <c r="GV20" s="232" t="e">
        <f t="shared" si="56"/>
        <v>#VALUE!</v>
      </c>
      <c r="GW20" s="232" t="e">
        <f t="shared" si="56"/>
        <v>#VALUE!</v>
      </c>
      <c r="GX20" s="232" t="e">
        <f t="shared" si="56"/>
        <v>#VALUE!</v>
      </c>
      <c r="GY20" s="232" t="e">
        <f t="shared" si="56"/>
        <v>#VALUE!</v>
      </c>
      <c r="GZ20" s="232" t="e">
        <f t="shared" si="56"/>
        <v>#VALUE!</v>
      </c>
      <c r="HA20" s="232" t="e">
        <f t="shared" si="56"/>
        <v>#VALUE!</v>
      </c>
      <c r="HB20" s="232" t="e">
        <f t="shared" si="56"/>
        <v>#VALUE!</v>
      </c>
      <c r="HC20" s="232" t="e">
        <f t="shared" si="56"/>
        <v>#VALUE!</v>
      </c>
      <c r="HD20" s="232" t="e">
        <f t="shared" si="57"/>
        <v>#VALUE!</v>
      </c>
      <c r="HE20" s="232" t="e">
        <f t="shared" si="57"/>
        <v>#VALUE!</v>
      </c>
      <c r="HF20" s="232" t="e">
        <f t="shared" si="57"/>
        <v>#VALUE!</v>
      </c>
      <c r="HG20" s="232" t="e">
        <f t="shared" si="57"/>
        <v>#VALUE!</v>
      </c>
      <c r="HH20" s="232" t="e">
        <f t="shared" si="57"/>
        <v>#VALUE!</v>
      </c>
      <c r="HI20" s="232" t="e">
        <f t="shared" si="57"/>
        <v>#VALUE!</v>
      </c>
      <c r="HJ20" s="232" t="e">
        <f t="shared" si="57"/>
        <v>#VALUE!</v>
      </c>
      <c r="HK20" s="232" t="e">
        <f t="shared" si="57"/>
        <v>#VALUE!</v>
      </c>
      <c r="HL20" s="232" t="e">
        <f t="shared" si="57"/>
        <v>#VALUE!</v>
      </c>
      <c r="HM20" s="232" t="e">
        <f t="shared" si="57"/>
        <v>#VALUE!</v>
      </c>
      <c r="HN20" s="232" t="e">
        <f t="shared" si="58"/>
        <v>#VALUE!</v>
      </c>
      <c r="HO20" s="232" t="e">
        <f t="shared" si="58"/>
        <v>#VALUE!</v>
      </c>
      <c r="HP20" s="232" t="e">
        <f t="shared" si="58"/>
        <v>#VALUE!</v>
      </c>
      <c r="HQ20" s="232" t="e">
        <f t="shared" si="58"/>
        <v>#VALUE!</v>
      </c>
      <c r="HR20" s="232" t="e">
        <f t="shared" si="58"/>
        <v>#VALUE!</v>
      </c>
      <c r="HS20" s="232" t="e">
        <f t="shared" si="58"/>
        <v>#VALUE!</v>
      </c>
      <c r="HT20" s="232" t="e">
        <f t="shared" si="58"/>
        <v>#VALUE!</v>
      </c>
      <c r="HU20" s="232" t="e">
        <f t="shared" si="58"/>
        <v>#VALUE!</v>
      </c>
      <c r="HV20" s="232" t="e">
        <f t="shared" si="58"/>
        <v>#VALUE!</v>
      </c>
      <c r="HW20" s="232" t="e">
        <f t="shared" si="58"/>
        <v>#VALUE!</v>
      </c>
      <c r="HX20" s="232" t="e">
        <f t="shared" si="59"/>
        <v>#VALUE!</v>
      </c>
      <c r="HY20" s="232" t="e">
        <f t="shared" si="59"/>
        <v>#VALUE!</v>
      </c>
      <c r="HZ20" s="232" t="e">
        <f t="shared" si="59"/>
        <v>#VALUE!</v>
      </c>
      <c r="IA20" s="232" t="e">
        <f t="shared" si="59"/>
        <v>#VALUE!</v>
      </c>
      <c r="IB20" s="232" t="e">
        <f t="shared" si="59"/>
        <v>#VALUE!</v>
      </c>
      <c r="IC20" s="232" t="e">
        <f t="shared" si="59"/>
        <v>#VALUE!</v>
      </c>
      <c r="ID20" s="232" t="e">
        <f t="shared" si="59"/>
        <v>#VALUE!</v>
      </c>
      <c r="IE20" s="232" t="e">
        <f t="shared" si="59"/>
        <v>#VALUE!</v>
      </c>
      <c r="IF20" s="232" t="e">
        <f t="shared" si="59"/>
        <v>#VALUE!</v>
      </c>
      <c r="IG20" s="232" t="e">
        <f t="shared" si="59"/>
        <v>#VALUE!</v>
      </c>
      <c r="IH20" s="232" t="e">
        <f t="shared" si="60"/>
        <v>#VALUE!</v>
      </c>
      <c r="II20" s="232" t="e">
        <f t="shared" si="60"/>
        <v>#VALUE!</v>
      </c>
      <c r="IJ20" s="232" t="e">
        <f t="shared" si="60"/>
        <v>#VALUE!</v>
      </c>
      <c r="IK20" s="232" t="e">
        <f t="shared" si="60"/>
        <v>#VALUE!</v>
      </c>
      <c r="IL20" s="232" t="e">
        <f t="shared" si="60"/>
        <v>#VALUE!</v>
      </c>
      <c r="IM20" s="232" t="e">
        <f t="shared" si="60"/>
        <v>#VALUE!</v>
      </c>
      <c r="IN20" s="232" t="e">
        <f t="shared" si="60"/>
        <v>#VALUE!</v>
      </c>
      <c r="IO20" s="232" t="e">
        <f t="shared" si="60"/>
        <v>#VALUE!</v>
      </c>
      <c r="IP20" s="232" t="e">
        <f t="shared" si="60"/>
        <v>#VALUE!</v>
      </c>
      <c r="IQ20" s="232" t="e">
        <f t="shared" si="60"/>
        <v>#VALUE!</v>
      </c>
      <c r="IR20" s="232" t="e">
        <f t="shared" si="61"/>
        <v>#VALUE!</v>
      </c>
      <c r="IS20" s="232" t="e">
        <f t="shared" si="61"/>
        <v>#VALUE!</v>
      </c>
      <c r="IT20" s="232" t="e">
        <f t="shared" si="61"/>
        <v>#VALUE!</v>
      </c>
      <c r="IU20" s="232" t="e">
        <f t="shared" si="61"/>
        <v>#VALUE!</v>
      </c>
      <c r="IV20" s="232" t="e">
        <f t="shared" si="61"/>
        <v>#VALUE!</v>
      </c>
      <c r="IW20" s="232" t="e">
        <f t="shared" si="61"/>
        <v>#VALUE!</v>
      </c>
      <c r="IX20" s="232" t="e">
        <f t="shared" si="61"/>
        <v>#VALUE!</v>
      </c>
      <c r="IY20" s="232" t="e">
        <f t="shared" si="61"/>
        <v>#VALUE!</v>
      </c>
      <c r="IZ20" s="232" t="e">
        <f t="shared" si="61"/>
        <v>#VALUE!</v>
      </c>
      <c r="JA20" s="232" t="e">
        <f t="shared" si="61"/>
        <v>#VALUE!</v>
      </c>
      <c r="JB20" s="232" t="e">
        <f t="shared" si="62"/>
        <v>#VALUE!</v>
      </c>
      <c r="JC20" s="232" t="e">
        <f t="shared" si="62"/>
        <v>#VALUE!</v>
      </c>
      <c r="JD20" s="232" t="e">
        <f t="shared" si="62"/>
        <v>#VALUE!</v>
      </c>
      <c r="JE20" s="232" t="e">
        <f t="shared" si="62"/>
        <v>#VALUE!</v>
      </c>
      <c r="JF20" s="232" t="e">
        <f t="shared" si="62"/>
        <v>#VALUE!</v>
      </c>
      <c r="JG20" s="232" t="e">
        <f t="shared" si="62"/>
        <v>#VALUE!</v>
      </c>
      <c r="JH20" s="232" t="e">
        <f t="shared" si="62"/>
        <v>#VALUE!</v>
      </c>
      <c r="JI20" s="232" t="e">
        <f t="shared" si="62"/>
        <v>#VALUE!</v>
      </c>
      <c r="JJ20" s="232" t="e">
        <f t="shared" si="62"/>
        <v>#VALUE!</v>
      </c>
      <c r="JK20" s="232"/>
      <c r="JL20" s="232"/>
      <c r="JM20" s="232"/>
      <c r="JN20" s="232"/>
      <c r="JO20" s="232"/>
      <c r="JP20" s="232"/>
      <c r="JQ20" s="232"/>
      <c r="JR20" s="232"/>
      <c r="JS20" s="232"/>
      <c r="JT20" s="232"/>
      <c r="JU20" s="232"/>
      <c r="JV20" s="232"/>
      <c r="JW20" s="232"/>
      <c r="JX20" s="232"/>
      <c r="JY20" s="232"/>
      <c r="JZ20" s="232"/>
      <c r="KA20" s="232"/>
      <c r="KB20" s="232"/>
      <c r="KC20" s="232"/>
      <c r="KD20" s="232"/>
      <c r="KE20" s="232"/>
      <c r="KF20" s="232"/>
      <c r="KG20" s="232"/>
      <c r="KH20" s="232"/>
      <c r="KI20" s="232"/>
      <c r="KJ20" s="232"/>
      <c r="KK20" s="232"/>
      <c r="KL20" s="232"/>
      <c r="KM20" s="232"/>
      <c r="KN20" s="232"/>
      <c r="KO20" s="232"/>
      <c r="KP20" s="232"/>
      <c r="KQ20" s="232"/>
      <c r="KR20" s="232"/>
      <c r="KS20" s="232"/>
      <c r="KT20" s="232"/>
      <c r="KU20" s="232"/>
      <c r="KV20" s="232"/>
      <c r="KW20" s="232"/>
      <c r="KX20" s="232"/>
      <c r="KY20" s="232"/>
      <c r="KZ20" s="232"/>
      <c r="LA20" s="232"/>
      <c r="LB20" s="232"/>
      <c r="LC20" s="232"/>
      <c r="LD20" s="232"/>
      <c r="LE20" s="232"/>
      <c r="LF20" s="232"/>
      <c r="LG20" s="232"/>
      <c r="LH20" s="232"/>
      <c r="LI20" s="232"/>
      <c r="LJ20" s="232"/>
      <c r="LK20" s="232"/>
      <c r="LL20" s="232"/>
      <c r="LM20" s="232"/>
      <c r="LN20" s="232"/>
      <c r="LO20" s="232"/>
      <c r="LP20" s="232"/>
      <c r="LQ20" s="232"/>
      <c r="LR20" s="232"/>
      <c r="LS20" s="232"/>
      <c r="LT20" s="232"/>
      <c r="LU20" s="232"/>
      <c r="LV20" s="232"/>
      <c r="LW20" s="232"/>
      <c r="LX20" s="232"/>
      <c r="LY20" s="232"/>
      <c r="LZ20" s="232"/>
      <c r="MA20" s="232"/>
      <c r="MB20" s="232"/>
      <c r="MC20" s="232"/>
      <c r="MD20" s="232"/>
      <c r="ME20" s="232"/>
      <c r="MF20" s="232"/>
      <c r="MG20" s="232"/>
      <c r="MH20" s="232"/>
      <c r="MI20" s="232"/>
      <c r="MJ20" s="232"/>
      <c r="MK20" s="232"/>
      <c r="ML20" s="232"/>
      <c r="MM20" s="232"/>
      <c r="MN20" s="232"/>
      <c r="MO20" s="232"/>
      <c r="MP20" s="232"/>
      <c r="MQ20" s="232"/>
      <c r="MR20" s="232"/>
      <c r="MS20" s="232"/>
      <c r="MT20" s="232"/>
      <c r="MU20" s="232"/>
      <c r="MV20" s="232"/>
      <c r="MW20" s="232"/>
      <c r="MX20" s="232"/>
      <c r="MY20" s="232"/>
      <c r="MZ20" s="232"/>
      <c r="NA20" s="232"/>
      <c r="NB20" s="232"/>
      <c r="NC20" s="232"/>
      <c r="ND20" s="232"/>
      <c r="NE20" s="232"/>
      <c r="NF20" s="232"/>
      <c r="NG20" s="232"/>
      <c r="NH20" s="232"/>
      <c r="NI20" s="232"/>
      <c r="NJ20" s="232"/>
      <c r="NK20" s="232"/>
      <c r="NL20" s="232"/>
      <c r="NM20" s="232"/>
      <c r="NN20" s="232"/>
      <c r="NO20" s="232"/>
      <c r="NP20" s="232"/>
      <c r="NQ20" s="232"/>
      <c r="NR20" s="232"/>
      <c r="NS20" s="232"/>
      <c r="NT20" s="232"/>
      <c r="NU20" s="232"/>
      <c r="NV20" s="232"/>
      <c r="NW20" s="232"/>
      <c r="NX20" s="232"/>
      <c r="NY20" s="232"/>
      <c r="NZ20" s="232"/>
      <c r="OA20" s="232"/>
      <c r="OB20" s="232"/>
      <c r="OC20" s="232"/>
      <c r="OD20" s="232"/>
      <c r="OE20" s="232"/>
      <c r="OF20" s="232"/>
      <c r="OG20" s="232"/>
      <c r="OH20" s="232"/>
      <c r="OI20" s="232"/>
      <c r="OJ20" s="232"/>
      <c r="OK20" s="232"/>
      <c r="OL20" s="232"/>
      <c r="OM20" s="232"/>
      <c r="ON20" s="232"/>
      <c r="OO20" s="232"/>
      <c r="OP20" s="232"/>
      <c r="OQ20" s="232"/>
      <c r="OR20" s="232"/>
      <c r="OS20" s="232"/>
      <c r="OT20" s="232"/>
      <c r="OU20" s="232"/>
      <c r="OV20" s="232"/>
      <c r="OW20" s="232"/>
      <c r="OX20" s="232"/>
      <c r="OY20" s="232"/>
      <c r="OZ20" s="232"/>
      <c r="PA20" s="232"/>
      <c r="PB20" s="232"/>
      <c r="PC20" s="232"/>
      <c r="PD20" s="232"/>
      <c r="PE20" s="232"/>
      <c r="PF20" s="232"/>
      <c r="PG20" s="232"/>
      <c r="PH20" s="232"/>
      <c r="PI20" s="232"/>
      <c r="PJ20" s="232"/>
      <c r="PK20" s="232"/>
      <c r="PL20" s="232"/>
      <c r="PM20" s="232"/>
      <c r="PN20" s="232"/>
      <c r="PO20" s="232"/>
      <c r="PP20" s="232"/>
      <c r="PQ20" s="232"/>
      <c r="PR20" s="232"/>
      <c r="PS20" s="232"/>
      <c r="PT20" s="232"/>
      <c r="PU20" s="232"/>
      <c r="PV20" s="232"/>
      <c r="PW20" s="232"/>
      <c r="PX20" s="232"/>
      <c r="PY20" s="232"/>
      <c r="PZ20" s="232"/>
      <c r="QA20" s="232"/>
      <c r="QB20" s="232"/>
      <c r="QC20" s="232"/>
      <c r="QD20" s="232"/>
      <c r="QE20" s="232"/>
      <c r="QF20" s="232"/>
      <c r="QG20" s="232"/>
      <c r="QH20" s="232"/>
      <c r="QI20" s="232"/>
      <c r="QJ20" s="232"/>
      <c r="QK20" s="232"/>
      <c r="QL20" s="232"/>
      <c r="QM20" s="232"/>
      <c r="QN20" s="232"/>
      <c r="QO20" s="232"/>
      <c r="QP20" s="232"/>
      <c r="QQ20" s="232"/>
      <c r="QR20" s="232"/>
      <c r="QS20" s="232"/>
      <c r="QT20" s="232"/>
      <c r="QU20" s="232"/>
      <c r="QV20" s="232"/>
      <c r="QW20" s="232"/>
      <c r="QX20" s="232"/>
      <c r="QY20" s="232"/>
      <c r="QZ20" s="232"/>
      <c r="RA20" s="232"/>
      <c r="RB20" s="232"/>
      <c r="RC20" s="232"/>
      <c r="RD20" s="232"/>
      <c r="RE20" s="232"/>
      <c r="RF20" s="232"/>
      <c r="RG20" s="232"/>
      <c r="RH20" s="232"/>
      <c r="RI20" s="232"/>
      <c r="RJ20" s="232"/>
      <c r="RK20" s="232"/>
      <c r="RL20" s="232"/>
      <c r="RM20" s="232"/>
      <c r="RN20" s="232"/>
      <c r="RO20" s="232"/>
      <c r="RP20" s="232"/>
      <c r="RQ20" s="232"/>
      <c r="RR20" s="232"/>
      <c r="RS20" s="232"/>
      <c r="RT20" s="232"/>
      <c r="RU20" s="232"/>
      <c r="RV20" s="232"/>
      <c r="RW20" s="232"/>
      <c r="RX20" s="232"/>
      <c r="RY20" s="232"/>
      <c r="RZ20" s="232"/>
      <c r="SA20" s="232"/>
      <c r="SB20" s="232"/>
      <c r="SC20" s="232"/>
      <c r="SD20" s="232"/>
      <c r="SE20" s="232"/>
      <c r="SF20" s="232"/>
      <c r="SG20" s="232"/>
      <c r="SH20" s="232"/>
      <c r="SI20" s="232"/>
      <c r="SJ20" s="232"/>
      <c r="SK20" s="232"/>
      <c r="SL20" s="232"/>
      <c r="SM20" s="232"/>
      <c r="SN20" s="232"/>
      <c r="SO20" s="232"/>
      <c r="SP20" s="232"/>
      <c r="SQ20" s="232"/>
      <c r="SR20" s="232"/>
      <c r="SS20" s="232"/>
      <c r="ST20" s="232"/>
      <c r="SU20" s="232"/>
      <c r="SV20" s="232"/>
      <c r="SW20" s="232"/>
      <c r="SX20" s="232"/>
      <c r="SY20" s="232"/>
      <c r="SZ20" s="232"/>
      <c r="TA20" s="232"/>
      <c r="TB20" s="232"/>
      <c r="TC20" s="232"/>
      <c r="TD20" s="232"/>
      <c r="TE20" s="232"/>
      <c r="TF20" s="232"/>
      <c r="TG20" s="232"/>
      <c r="TH20" s="232"/>
      <c r="TI20" s="232"/>
      <c r="TJ20" s="232"/>
      <c r="TK20" s="232"/>
      <c r="TL20" s="232"/>
      <c r="TM20" s="232"/>
      <c r="TN20" s="232"/>
      <c r="TO20" s="232"/>
      <c r="TP20" s="232"/>
      <c r="TQ20" s="232"/>
      <c r="TR20" s="232"/>
      <c r="TS20" s="232"/>
      <c r="TT20" s="232"/>
      <c r="TU20" s="232"/>
      <c r="TV20" s="232"/>
      <c r="TW20" s="232"/>
      <c r="TX20" s="232"/>
      <c r="TY20" s="232"/>
      <c r="TZ20" s="232"/>
      <c r="UA20" s="232"/>
      <c r="UB20" s="232"/>
      <c r="UC20" s="232"/>
      <c r="UD20" s="232"/>
      <c r="UE20" s="232"/>
      <c r="UF20" s="232"/>
      <c r="UG20" s="232"/>
      <c r="UH20" s="232"/>
      <c r="UI20" s="232"/>
      <c r="UJ20" s="232"/>
      <c r="UK20" s="232"/>
      <c r="UL20" s="232"/>
      <c r="UM20" s="232"/>
      <c r="UN20" s="232"/>
      <c r="UO20" s="232"/>
      <c r="UP20" s="232"/>
      <c r="UQ20" s="232"/>
      <c r="UR20" s="232"/>
      <c r="US20" s="232"/>
      <c r="UT20" s="232"/>
      <c r="UU20" s="232"/>
      <c r="UV20" s="232"/>
      <c r="UW20" s="232"/>
      <c r="UX20" s="232"/>
      <c r="UY20" s="232"/>
      <c r="UZ20" s="232"/>
      <c r="VA20" s="232"/>
      <c r="VB20" s="232"/>
      <c r="VC20" s="232"/>
      <c r="VD20" s="232"/>
      <c r="VE20" s="232"/>
      <c r="VF20" s="232"/>
      <c r="VG20" s="232"/>
      <c r="VH20" s="232"/>
      <c r="VI20" s="232"/>
      <c r="VJ20" s="232"/>
      <c r="VK20" s="232"/>
      <c r="VL20" s="232"/>
      <c r="VM20" s="232"/>
      <c r="VN20" s="232"/>
      <c r="VO20" s="232"/>
      <c r="VP20" s="232"/>
      <c r="VQ20" s="232"/>
      <c r="VR20" s="232"/>
      <c r="VS20" s="232"/>
      <c r="VT20" s="232"/>
      <c r="VU20" s="232"/>
      <c r="VV20" s="232"/>
      <c r="VW20" s="232"/>
      <c r="VX20" s="232"/>
      <c r="VY20" s="232"/>
      <c r="VZ20" s="232"/>
      <c r="WA20" s="232"/>
      <c r="WB20" s="232"/>
      <c r="WC20" s="232"/>
      <c r="WD20" s="232"/>
      <c r="WE20" s="232"/>
      <c r="WF20" s="232"/>
      <c r="WG20" s="232"/>
      <c r="WH20" s="232"/>
      <c r="WI20" s="232"/>
      <c r="WJ20" s="232"/>
      <c r="WK20" s="232"/>
      <c r="WL20" s="232"/>
      <c r="WM20" s="232"/>
      <c r="WN20" s="232"/>
      <c r="WO20" s="232"/>
      <c r="WP20" s="232"/>
      <c r="WQ20" s="232"/>
      <c r="WR20" s="232"/>
      <c r="WS20" s="232"/>
      <c r="WT20" s="232"/>
      <c r="WU20" s="232"/>
      <c r="WV20" s="232"/>
      <c r="WW20" s="232"/>
      <c r="WX20" s="232"/>
      <c r="WY20" s="232"/>
      <c r="WZ20" s="232"/>
      <c r="XA20" s="232"/>
      <c r="XB20" s="232"/>
      <c r="XC20" s="232"/>
      <c r="XD20" s="232"/>
      <c r="XE20" s="232"/>
      <c r="XF20" s="232"/>
      <c r="XG20" s="232"/>
      <c r="XH20" s="232"/>
      <c r="XI20" s="232"/>
      <c r="XJ20" s="232"/>
      <c r="XK20" s="232"/>
      <c r="XL20" s="232"/>
      <c r="XM20" s="232"/>
      <c r="XN20" s="232"/>
      <c r="XO20" s="232"/>
      <c r="XP20" s="232"/>
      <c r="XQ20" s="232"/>
      <c r="XR20" s="232"/>
      <c r="XS20" s="232"/>
      <c r="XT20" s="232"/>
      <c r="XU20" s="232"/>
      <c r="XV20" s="232"/>
      <c r="XW20" s="232"/>
      <c r="XX20" s="232"/>
      <c r="XY20" s="232"/>
      <c r="XZ20" s="232"/>
      <c r="YA20" s="232"/>
      <c r="YB20" s="232"/>
      <c r="YC20" s="232"/>
      <c r="YD20" s="232"/>
      <c r="YE20" s="232"/>
      <c r="YF20" s="232"/>
      <c r="YG20" s="232"/>
      <c r="YH20" s="232"/>
      <c r="YI20" s="232"/>
      <c r="YJ20" s="232"/>
      <c r="YK20" s="232"/>
      <c r="YL20" s="232"/>
      <c r="YM20" s="232"/>
      <c r="YN20" s="232"/>
      <c r="YO20" s="232"/>
      <c r="YP20" s="232"/>
      <c r="YQ20" s="232"/>
      <c r="YR20" s="232"/>
      <c r="YS20" s="232"/>
      <c r="YT20" s="232"/>
      <c r="YU20" s="232"/>
      <c r="YV20" s="232"/>
      <c r="YW20" s="232"/>
      <c r="YX20" s="232"/>
      <c r="YY20" s="232"/>
      <c r="YZ20" s="232"/>
      <c r="ZA20" s="232"/>
      <c r="ZB20" s="232"/>
      <c r="ZC20" s="232"/>
      <c r="ZD20" s="232"/>
      <c r="ZE20" s="232"/>
      <c r="ZF20" s="232"/>
      <c r="ZG20" s="232"/>
      <c r="ZH20" s="232"/>
      <c r="ZI20" s="232"/>
      <c r="ZJ20" s="232"/>
      <c r="ZK20" s="232"/>
      <c r="ZL20" s="232"/>
      <c r="ZM20" s="232"/>
      <c r="ZN20" s="232"/>
      <c r="ZO20" s="232"/>
      <c r="ZP20" s="232"/>
      <c r="ZQ20" s="232"/>
      <c r="ZR20" s="232"/>
      <c r="ZS20" s="232"/>
      <c r="ZT20" s="232"/>
      <c r="ZU20" s="232"/>
      <c r="ZV20" s="232"/>
      <c r="ZW20" s="232"/>
      <c r="ZX20" s="232"/>
      <c r="ZY20" s="232"/>
      <c r="ZZ20" s="232"/>
      <c r="AAA20" s="232"/>
      <c r="AAB20" s="232"/>
      <c r="AAC20" s="232"/>
      <c r="AAD20" s="232"/>
      <c r="AAE20" s="232"/>
      <c r="AAF20" s="232"/>
      <c r="AAG20" s="232"/>
      <c r="AAH20" s="232"/>
      <c r="AAI20" s="232"/>
      <c r="AAJ20" s="232"/>
      <c r="AAK20" s="232"/>
      <c r="AAL20" s="232"/>
      <c r="AAM20" s="232"/>
      <c r="AAN20" s="232"/>
      <c r="AAO20" s="232"/>
      <c r="AAP20" s="232"/>
      <c r="AAQ20" s="232"/>
      <c r="AAR20" s="232"/>
      <c r="AAS20" s="232"/>
      <c r="AAT20" s="232"/>
      <c r="AAU20" s="232"/>
      <c r="AAV20" s="232"/>
      <c r="AAW20" s="232"/>
      <c r="AAX20" s="232"/>
      <c r="AAY20" s="232"/>
      <c r="AAZ20" s="232"/>
      <c r="ABA20" s="232"/>
      <c r="ABB20" s="232"/>
      <c r="ABC20" s="232"/>
      <c r="ABD20" s="232"/>
      <c r="ABE20" s="232"/>
      <c r="ABF20" s="232"/>
      <c r="ABG20" s="232"/>
      <c r="ABH20" s="232"/>
      <c r="ABI20" s="232"/>
      <c r="ABJ20" s="232"/>
      <c r="ABK20" s="232"/>
      <c r="ABL20" s="232"/>
      <c r="ABM20" s="232"/>
      <c r="ABN20" s="232"/>
      <c r="ABO20" s="232"/>
      <c r="ABP20" s="232"/>
      <c r="ABQ20" s="232"/>
      <c r="ABR20" s="232"/>
      <c r="ABS20" s="232"/>
      <c r="ABT20" s="232"/>
      <c r="ABU20" s="232"/>
      <c r="ABV20" s="232"/>
      <c r="ABW20" s="232"/>
      <c r="ABX20" s="232"/>
      <c r="ABY20" s="232"/>
      <c r="ABZ20" s="232"/>
      <c r="ACA20" s="232"/>
      <c r="ACB20" s="232"/>
      <c r="ACC20" s="232"/>
      <c r="ACD20" s="232"/>
      <c r="ACE20" s="232"/>
      <c r="ACF20" s="232"/>
      <c r="ACG20" s="232"/>
      <c r="ACH20" s="232"/>
      <c r="ACI20" s="232"/>
      <c r="ACJ20" s="232"/>
      <c r="ACK20" s="232"/>
      <c r="ACL20" s="232"/>
      <c r="ACM20" s="232"/>
      <c r="ACN20" s="232"/>
      <c r="ACO20" s="232"/>
      <c r="ACP20" s="232"/>
      <c r="ACQ20" s="232"/>
      <c r="ACR20" s="232"/>
      <c r="ACS20" s="232"/>
      <c r="ACT20" s="232"/>
      <c r="ACU20" s="232"/>
      <c r="ACV20" s="232"/>
      <c r="ACW20" s="232"/>
      <c r="ACX20" s="232"/>
      <c r="ACY20" s="232"/>
      <c r="ACZ20" s="232"/>
      <c r="ADA20" s="232"/>
      <c r="ADB20" s="232"/>
      <c r="ADC20" s="232"/>
      <c r="ADD20" s="232"/>
      <c r="ADE20" s="232"/>
      <c r="ADF20" s="232"/>
      <c r="ADG20" s="232"/>
      <c r="ADH20" s="232"/>
      <c r="ADI20" s="232"/>
      <c r="ADJ20" s="232"/>
      <c r="ADK20" s="232"/>
      <c r="ADL20" s="232"/>
      <c r="ADM20" s="232"/>
      <c r="ADN20" s="232"/>
      <c r="ADO20" s="232"/>
      <c r="ADP20" s="232"/>
      <c r="ADQ20" s="232"/>
      <c r="ADR20" s="232"/>
      <c r="ADS20" s="232"/>
      <c r="ADT20" s="232"/>
      <c r="ADU20" s="232"/>
      <c r="ADV20" s="232"/>
      <c r="ADW20" s="232"/>
      <c r="ADX20" s="232"/>
      <c r="ADY20" s="232"/>
      <c r="ADZ20" s="232"/>
      <c r="AEA20" s="232"/>
      <c r="AEB20" s="232"/>
      <c r="AEC20" s="232"/>
      <c r="AED20" s="232"/>
      <c r="AEE20" s="232"/>
      <c r="AEF20" s="232"/>
      <c r="AEG20" s="232"/>
      <c r="AEH20" s="232"/>
      <c r="AEI20" s="232"/>
      <c r="AEJ20" s="232"/>
      <c r="AEK20" s="232"/>
      <c r="AEL20" s="232"/>
      <c r="AEM20" s="232"/>
      <c r="AEN20" s="232"/>
      <c r="AEO20" s="232"/>
      <c r="AEP20" s="232"/>
      <c r="AEQ20" s="232"/>
      <c r="AER20" s="232"/>
      <c r="AES20" s="232"/>
      <c r="AET20" s="232"/>
      <c r="AEU20" s="232"/>
      <c r="AEV20" s="232"/>
      <c r="AEW20" s="232"/>
      <c r="AEX20" s="232"/>
      <c r="AEY20" s="232"/>
      <c r="AEZ20" s="232"/>
      <c r="AFA20" s="232"/>
      <c r="AFB20" s="232"/>
      <c r="AFC20" s="232"/>
      <c r="AFD20" s="232"/>
      <c r="AFE20" s="232"/>
      <c r="AFF20" s="232"/>
      <c r="AFG20" s="232"/>
      <c r="AFH20" s="232"/>
      <c r="AFI20" s="232"/>
      <c r="AFJ20" s="232"/>
      <c r="AFK20" s="232"/>
      <c r="AFL20" s="232"/>
      <c r="AFM20" s="232"/>
      <c r="AFN20" s="232"/>
      <c r="AFO20" s="232"/>
      <c r="AFP20" s="232"/>
      <c r="AFQ20" s="232"/>
      <c r="AFR20" s="232"/>
      <c r="AFS20" s="232"/>
      <c r="AFT20" s="232"/>
      <c r="AFU20" s="232"/>
      <c r="AFV20" s="232"/>
      <c r="AFW20" s="232"/>
      <c r="AFX20" s="232"/>
      <c r="AFY20" s="232"/>
      <c r="AFZ20" s="232"/>
      <c r="AGA20" s="232"/>
      <c r="AGB20" s="232"/>
      <c r="AGC20" s="232"/>
      <c r="AGD20" s="232"/>
      <c r="AGE20" s="232"/>
      <c r="AGF20" s="232"/>
      <c r="AGG20" s="232"/>
      <c r="AGH20" s="232"/>
      <c r="AGI20" s="232"/>
      <c r="AGJ20" s="232"/>
      <c r="AGK20" s="232"/>
      <c r="AGL20" s="232"/>
      <c r="AGM20" s="232"/>
      <c r="AGN20" s="232"/>
      <c r="AGO20" s="232"/>
      <c r="AGP20" s="232"/>
      <c r="AGQ20" s="232"/>
      <c r="AGR20" s="232"/>
      <c r="AGS20" s="232"/>
      <c r="AGT20" s="232"/>
      <c r="AGU20" s="232"/>
      <c r="AGV20" s="232"/>
      <c r="AGW20" s="232"/>
      <c r="AGX20" s="232"/>
      <c r="AGY20" s="232"/>
      <c r="AGZ20" s="232"/>
      <c r="AHA20" s="232"/>
      <c r="AHB20" s="232"/>
      <c r="AHC20" s="232"/>
      <c r="AHD20" s="232"/>
      <c r="AHE20" s="232"/>
      <c r="AHF20" s="232"/>
      <c r="AHG20" s="232"/>
      <c r="AHH20" s="232"/>
      <c r="AHI20" s="232"/>
      <c r="AHJ20" s="232"/>
      <c r="AHK20" s="232"/>
      <c r="AHL20" s="232"/>
      <c r="AHM20" s="232"/>
      <c r="AHN20" s="232"/>
      <c r="AHO20" s="232"/>
      <c r="AHP20" s="232"/>
      <c r="AHQ20" s="232"/>
      <c r="AHR20" s="232"/>
      <c r="AHS20" s="232"/>
      <c r="AHT20" s="232"/>
      <c r="AHU20" s="232"/>
      <c r="AHV20" s="232"/>
      <c r="AHW20" s="232"/>
      <c r="AHX20" s="232"/>
      <c r="AHY20" s="232"/>
      <c r="AHZ20" s="232"/>
      <c r="AIA20" s="232"/>
      <c r="AIB20" s="232"/>
      <c r="AIC20" s="232"/>
      <c r="AID20" s="232"/>
      <c r="AIE20" s="232"/>
      <c r="AIF20" s="232"/>
      <c r="AIG20" s="232"/>
      <c r="AIH20" s="232"/>
      <c r="AII20" s="232"/>
      <c r="AIJ20" s="232"/>
      <c r="AIK20" s="232"/>
      <c r="AIL20" s="232"/>
      <c r="AIM20" s="232"/>
      <c r="AIN20" s="232"/>
      <c r="AIO20" s="232"/>
      <c r="AIP20" s="232"/>
      <c r="AIQ20" s="232"/>
      <c r="AIR20" s="232"/>
      <c r="AIS20" s="232"/>
      <c r="AIT20" s="232"/>
      <c r="AIU20" s="232"/>
      <c r="AIV20" s="232"/>
      <c r="AIW20" s="232"/>
      <c r="AIX20" s="232"/>
      <c r="AIY20" s="232"/>
      <c r="AIZ20" s="232"/>
      <c r="AJA20" s="232"/>
      <c r="AJB20" s="232"/>
      <c r="AJC20" s="232"/>
      <c r="AJD20" s="232"/>
      <c r="AJE20" s="232"/>
      <c r="AJF20" s="232"/>
      <c r="AJG20" s="232"/>
      <c r="AJH20" s="232"/>
      <c r="AJI20" s="232"/>
      <c r="AJJ20" s="232"/>
      <c r="AJK20" s="232"/>
      <c r="AJL20" s="232"/>
      <c r="AJM20" s="232"/>
      <c r="AJN20" s="232"/>
      <c r="AJO20" s="232"/>
      <c r="AJP20" s="232"/>
      <c r="AJQ20" s="232"/>
      <c r="AJR20" s="232"/>
      <c r="AJS20" s="232"/>
      <c r="AJT20" s="232"/>
      <c r="AJU20" s="232"/>
      <c r="AJV20" s="232"/>
      <c r="AJW20" s="232"/>
      <c r="AJX20" s="232"/>
      <c r="AJY20" s="232"/>
      <c r="AJZ20" s="232"/>
      <c r="AKA20" s="232"/>
      <c r="AKB20" s="232"/>
      <c r="AKC20" s="232"/>
      <c r="AKD20" s="232"/>
      <c r="AKE20" s="232"/>
      <c r="AKF20" s="232"/>
      <c r="AKG20" s="232"/>
      <c r="AKH20" s="232"/>
      <c r="AKI20" s="232"/>
      <c r="AKJ20" s="232"/>
      <c r="AKK20" s="232"/>
      <c r="AKL20" s="232"/>
      <c r="AKM20" s="232"/>
      <c r="AKN20" s="232"/>
      <c r="AKO20" s="232"/>
      <c r="AKP20" s="232"/>
      <c r="AKQ20" s="232"/>
      <c r="AKR20" s="232"/>
      <c r="AKS20" s="232"/>
      <c r="AKT20" s="232"/>
      <c r="AKU20" s="232"/>
      <c r="AKV20" s="232"/>
      <c r="AKW20" s="232"/>
      <c r="AKX20" s="232"/>
      <c r="AKY20" s="232"/>
      <c r="AKZ20" s="232"/>
      <c r="ALA20" s="232"/>
      <c r="ALB20" s="232"/>
      <c r="ALC20" s="232"/>
      <c r="ALD20" s="232"/>
      <c r="ALE20" s="232"/>
      <c r="ALF20" s="232"/>
      <c r="ALG20" s="232"/>
      <c r="ALH20" s="232"/>
      <c r="ALI20" s="232"/>
      <c r="ALJ20" s="232"/>
      <c r="ALK20" s="232"/>
      <c r="ALL20" s="232"/>
      <c r="ALM20" s="232"/>
      <c r="ALN20" s="232"/>
      <c r="ALO20" s="232"/>
      <c r="ALP20" s="232"/>
      <c r="ALQ20" s="232"/>
      <c r="ALR20" s="232"/>
      <c r="ALS20" s="232"/>
      <c r="ALT20" s="232"/>
      <c r="ALU20" s="232"/>
      <c r="ALV20" s="232"/>
      <c r="ALW20" s="232"/>
      <c r="ALX20" s="232"/>
      <c r="ALY20" s="232"/>
      <c r="ALZ20" s="232"/>
      <c r="AMA20" s="232"/>
      <c r="AMB20" s="232"/>
      <c r="AMC20" s="232"/>
      <c r="AMD20" s="232"/>
      <c r="AME20" s="232"/>
      <c r="AMF20" s="232"/>
      <c r="AMG20" s="232"/>
      <c r="AMH20" s="232"/>
      <c r="AMI20" s="232"/>
      <c r="AMJ20" s="232"/>
      <c r="AMK20" s="232"/>
      <c r="AML20" s="232"/>
      <c r="AMM20" s="232"/>
      <c r="AMN20" s="232"/>
      <c r="AMO20" s="232"/>
      <c r="AMP20" s="232"/>
      <c r="AMQ20" s="232"/>
      <c r="AMR20" s="232"/>
      <c r="AMS20" s="232"/>
      <c r="AMT20" s="232"/>
      <c r="AMU20" s="232"/>
      <c r="AMV20" s="232"/>
      <c r="AMW20" s="232"/>
      <c r="AMX20" s="232"/>
      <c r="AMY20" s="232"/>
      <c r="AMZ20" s="232"/>
      <c r="ANA20" s="232"/>
      <c r="ANB20" s="232"/>
      <c r="ANC20" s="232"/>
      <c r="AND20" s="232"/>
      <c r="ANE20" s="232"/>
      <c r="ANF20" s="232"/>
      <c r="ANG20" s="232"/>
      <c r="ANH20" s="232"/>
      <c r="ANI20" s="232"/>
      <c r="ANJ20" s="232"/>
      <c r="ANK20" s="232"/>
      <c r="ANL20" s="232"/>
      <c r="ANM20" s="232"/>
      <c r="ANN20" s="232"/>
      <c r="ANO20" s="232"/>
      <c r="ANP20" s="232"/>
      <c r="ANQ20" s="232"/>
      <c r="ANR20" s="232"/>
      <c r="ANS20" s="232"/>
      <c r="ANT20" s="232"/>
      <c r="ANU20" s="232"/>
      <c r="ANV20" s="232"/>
      <c r="ANW20" s="232"/>
      <c r="ANX20" s="232"/>
      <c r="ANY20" s="232"/>
      <c r="ANZ20" s="232"/>
      <c r="AOA20" s="232"/>
      <c r="AOB20" s="232"/>
      <c r="AOC20" s="232"/>
      <c r="AOD20" s="232"/>
      <c r="AOE20" s="232"/>
      <c r="AOF20" s="232"/>
      <c r="AOG20" s="232"/>
    </row>
    <row r="21" spans="1:1073">
      <c r="A21" s="2127"/>
      <c r="B21" s="223">
        <v>13</v>
      </c>
      <c r="C21" s="224"/>
      <c r="D21" s="225"/>
      <c r="E21" s="226"/>
      <c r="F21" s="226"/>
      <c r="G21" s="227" t="str">
        <f>IF(C21="","",IF(Tabelle1[[#This Row],[End Date]]&lt;COV!$E$12,0,IF(COV!E$12="","",IF(Tabelle1[[#This Row],[End Date]]-Tabelle1[[#This Row],[Start Date]]&gt;0,IF(F21&lt;COV!E$11,(F21-IF(E21&lt;COV!E$12,COV!E$12,Tabelle1[[#This Row],[Start Date]])),(COV!E$11-IF(E21&lt;COV!E$12,COV!E$12,Tabelle1[[#This Row],[Start Date]])))/365*12,""))))</f>
        <v/>
      </c>
      <c r="H21" s="225"/>
      <c r="I21" s="234"/>
      <c r="J21" s="229"/>
      <c r="K21" s="1325" t="str">
        <f>IF(Tabelle1[[#This Row],[Project Name]]="","",IF(OR(Tabelle1[[#This Row],[PM Category]]=CAT_A_NAME,Tabelle1[[#This Row],[PM Category]]=CAT_B_NAME,Tabelle1[[#This Row],[PM Category]]=CAT_C_NAME,Tabelle1[[#This Row],[PM Category]]=CAT_D_NAME,Tabelle1[[#This Row],[PM Category]]=CAT_E_NAME,Tabelle1[[#This Row],[PM Category]]=CAT_SPJ,Tabelle1[[#This Row],[PM Category]]=CAT_PJ,Tabelle1[[#This Row],[PM Category]]=""),"","1"))</f>
        <v/>
      </c>
      <c r="L21" s="1326">
        <f>IF(Tabelle1[[#This Row],[Role]]="PJM",1)+IF(Tabelle1[[#This Row],[Role]]="PGM",1)+IF(Tabelle1[[#This Row],[Role]]="PFM",1)+IF(Tabelle1[[#This Row],[Role]]="TPM",1)+IF(Tabelle1[[#This Row],[Role]]="CPM",1)</f>
        <v>0</v>
      </c>
      <c r="M21" s="230" t="str">
        <f>IFERROR(IF(Tabelle1[[#This Row],[Project Name]]&lt;&gt;"",IF(G21*I21&gt;0,G21,""),"")*Tabelle1[[#This Row],[Role Check]],"")</f>
        <v/>
      </c>
      <c r="N21" s="231" t="str">
        <f>IFERROR(Tabelle1[[#This Row],[Duration '[months']]]*Tabelle1[[#This Row],[Avg. time spent in resp. Role]],"")</f>
        <v/>
      </c>
      <c r="O21" s="221"/>
      <c r="S21" s="208" t="str">
        <f>IF(Tabelle1[[#This Row],[Project Name]]&lt;&gt;"",Tabelle1[[#This Row],[Project Name]],"")</f>
        <v/>
      </c>
      <c r="T21" s="232">
        <f t="shared" si="12"/>
        <v>0</v>
      </c>
      <c r="U21" s="545" t="e">
        <f t="shared" si="12"/>
        <v>#VALUE!</v>
      </c>
      <c r="V21" s="545" t="e">
        <f t="shared" si="38"/>
        <v>#VALUE!</v>
      </c>
      <c r="W21" s="232" t="e">
        <f t="shared" si="38"/>
        <v>#VALUE!</v>
      </c>
      <c r="X21" s="232" t="e">
        <f t="shared" si="38"/>
        <v>#VALUE!</v>
      </c>
      <c r="Y21" s="232" t="e">
        <f t="shared" si="38"/>
        <v>#VALUE!</v>
      </c>
      <c r="Z21" s="232" t="e">
        <f t="shared" si="38"/>
        <v>#VALUE!</v>
      </c>
      <c r="AA21" s="232" t="e">
        <f t="shared" si="38"/>
        <v>#VALUE!</v>
      </c>
      <c r="AB21" s="232" t="e">
        <f t="shared" si="38"/>
        <v>#VALUE!</v>
      </c>
      <c r="AC21" s="232" t="e">
        <f t="shared" si="38"/>
        <v>#VALUE!</v>
      </c>
      <c r="AD21" s="232" t="e">
        <f t="shared" si="38"/>
        <v>#VALUE!</v>
      </c>
      <c r="AE21" s="232" t="e">
        <f t="shared" si="38"/>
        <v>#VALUE!</v>
      </c>
      <c r="AF21" s="232" t="e">
        <f t="shared" si="39"/>
        <v>#VALUE!</v>
      </c>
      <c r="AG21" s="232" t="e">
        <f t="shared" si="39"/>
        <v>#VALUE!</v>
      </c>
      <c r="AH21" s="232" t="e">
        <f t="shared" si="39"/>
        <v>#VALUE!</v>
      </c>
      <c r="AI21" s="232" t="e">
        <f t="shared" si="39"/>
        <v>#VALUE!</v>
      </c>
      <c r="AJ21" s="232" t="e">
        <f t="shared" si="39"/>
        <v>#VALUE!</v>
      </c>
      <c r="AK21" s="232" t="e">
        <f t="shared" si="39"/>
        <v>#VALUE!</v>
      </c>
      <c r="AL21" s="232" t="e">
        <f t="shared" si="39"/>
        <v>#VALUE!</v>
      </c>
      <c r="AM21" s="232" t="e">
        <f t="shared" si="39"/>
        <v>#VALUE!</v>
      </c>
      <c r="AN21" s="232" t="e">
        <f t="shared" si="39"/>
        <v>#VALUE!</v>
      </c>
      <c r="AO21" s="232" t="e">
        <f t="shared" si="39"/>
        <v>#VALUE!</v>
      </c>
      <c r="AP21" s="232" t="e">
        <f t="shared" si="40"/>
        <v>#VALUE!</v>
      </c>
      <c r="AQ21" s="232" t="e">
        <f t="shared" si="40"/>
        <v>#VALUE!</v>
      </c>
      <c r="AR21" s="232" t="e">
        <f t="shared" si="40"/>
        <v>#VALUE!</v>
      </c>
      <c r="AS21" s="232" t="e">
        <f t="shared" si="40"/>
        <v>#VALUE!</v>
      </c>
      <c r="AT21" s="232" t="e">
        <f t="shared" si="40"/>
        <v>#VALUE!</v>
      </c>
      <c r="AU21" s="232" t="e">
        <f t="shared" si="40"/>
        <v>#VALUE!</v>
      </c>
      <c r="AV21" s="232" t="e">
        <f t="shared" si="40"/>
        <v>#VALUE!</v>
      </c>
      <c r="AW21" s="232" t="e">
        <f t="shared" si="40"/>
        <v>#VALUE!</v>
      </c>
      <c r="AX21" s="232" t="e">
        <f t="shared" si="40"/>
        <v>#VALUE!</v>
      </c>
      <c r="AY21" s="232" t="e">
        <f t="shared" si="40"/>
        <v>#VALUE!</v>
      </c>
      <c r="AZ21" s="232" t="e">
        <f t="shared" si="41"/>
        <v>#VALUE!</v>
      </c>
      <c r="BA21" s="232" t="e">
        <f t="shared" si="41"/>
        <v>#VALUE!</v>
      </c>
      <c r="BB21" s="232" t="e">
        <f t="shared" si="41"/>
        <v>#VALUE!</v>
      </c>
      <c r="BC21" s="232" t="e">
        <f t="shared" si="41"/>
        <v>#VALUE!</v>
      </c>
      <c r="BD21" s="232" t="e">
        <f t="shared" si="41"/>
        <v>#VALUE!</v>
      </c>
      <c r="BE21" s="232" t="e">
        <f t="shared" si="41"/>
        <v>#VALUE!</v>
      </c>
      <c r="BF21" s="232" t="e">
        <f t="shared" si="41"/>
        <v>#VALUE!</v>
      </c>
      <c r="BG21" s="232" t="e">
        <f t="shared" si="41"/>
        <v>#VALUE!</v>
      </c>
      <c r="BH21" s="232" t="e">
        <f t="shared" si="41"/>
        <v>#VALUE!</v>
      </c>
      <c r="BI21" s="232" t="e">
        <f t="shared" si="41"/>
        <v>#VALUE!</v>
      </c>
      <c r="BJ21" s="232" t="e">
        <f t="shared" si="42"/>
        <v>#VALUE!</v>
      </c>
      <c r="BK21" s="232" t="e">
        <f t="shared" si="42"/>
        <v>#VALUE!</v>
      </c>
      <c r="BL21" s="232" t="e">
        <f t="shared" si="42"/>
        <v>#VALUE!</v>
      </c>
      <c r="BM21" s="232" t="e">
        <f t="shared" si="42"/>
        <v>#VALUE!</v>
      </c>
      <c r="BN21" s="232" t="e">
        <f t="shared" si="42"/>
        <v>#VALUE!</v>
      </c>
      <c r="BO21" s="232" t="e">
        <f t="shared" si="42"/>
        <v>#VALUE!</v>
      </c>
      <c r="BP21" s="232" t="e">
        <f t="shared" si="42"/>
        <v>#VALUE!</v>
      </c>
      <c r="BQ21" s="232" t="e">
        <f t="shared" si="42"/>
        <v>#VALUE!</v>
      </c>
      <c r="BR21" s="232" t="e">
        <f t="shared" si="42"/>
        <v>#VALUE!</v>
      </c>
      <c r="BS21" s="232" t="e">
        <f t="shared" si="42"/>
        <v>#VALUE!</v>
      </c>
      <c r="BT21" s="232" t="e">
        <f t="shared" si="43"/>
        <v>#VALUE!</v>
      </c>
      <c r="BU21" s="232" t="e">
        <f t="shared" si="43"/>
        <v>#VALUE!</v>
      </c>
      <c r="BV21" s="232" t="e">
        <f t="shared" si="43"/>
        <v>#VALUE!</v>
      </c>
      <c r="BW21" s="232" t="e">
        <f t="shared" si="43"/>
        <v>#VALUE!</v>
      </c>
      <c r="BX21" s="232" t="e">
        <f t="shared" si="43"/>
        <v>#VALUE!</v>
      </c>
      <c r="BY21" s="232" t="e">
        <f t="shared" si="43"/>
        <v>#VALUE!</v>
      </c>
      <c r="BZ21" s="232" t="e">
        <f t="shared" si="43"/>
        <v>#VALUE!</v>
      </c>
      <c r="CA21" s="232" t="e">
        <f t="shared" si="43"/>
        <v>#VALUE!</v>
      </c>
      <c r="CB21" s="232" t="e">
        <f t="shared" si="43"/>
        <v>#VALUE!</v>
      </c>
      <c r="CC21" s="232" t="e">
        <f t="shared" si="43"/>
        <v>#VALUE!</v>
      </c>
      <c r="CD21" s="232" t="e">
        <f t="shared" si="44"/>
        <v>#VALUE!</v>
      </c>
      <c r="CE21" s="232" t="e">
        <f t="shared" si="44"/>
        <v>#VALUE!</v>
      </c>
      <c r="CF21" s="232" t="e">
        <f t="shared" si="44"/>
        <v>#VALUE!</v>
      </c>
      <c r="CG21" s="232" t="e">
        <f t="shared" si="44"/>
        <v>#VALUE!</v>
      </c>
      <c r="CH21" s="232" t="e">
        <f t="shared" si="44"/>
        <v>#VALUE!</v>
      </c>
      <c r="CI21" s="232" t="e">
        <f t="shared" si="44"/>
        <v>#VALUE!</v>
      </c>
      <c r="CJ21" s="232" t="e">
        <f t="shared" si="44"/>
        <v>#VALUE!</v>
      </c>
      <c r="CK21" s="232" t="e">
        <f t="shared" si="44"/>
        <v>#VALUE!</v>
      </c>
      <c r="CL21" s="232" t="e">
        <f t="shared" si="44"/>
        <v>#VALUE!</v>
      </c>
      <c r="CM21" s="232" t="e">
        <f t="shared" si="44"/>
        <v>#VALUE!</v>
      </c>
      <c r="CN21" s="232" t="e">
        <f t="shared" si="45"/>
        <v>#VALUE!</v>
      </c>
      <c r="CO21" s="232" t="e">
        <f t="shared" si="45"/>
        <v>#VALUE!</v>
      </c>
      <c r="CP21" s="232" t="e">
        <f t="shared" si="45"/>
        <v>#VALUE!</v>
      </c>
      <c r="CQ21" s="232" t="e">
        <f t="shared" si="45"/>
        <v>#VALUE!</v>
      </c>
      <c r="CR21" s="232" t="e">
        <f t="shared" si="45"/>
        <v>#VALUE!</v>
      </c>
      <c r="CS21" s="232" t="e">
        <f t="shared" si="45"/>
        <v>#VALUE!</v>
      </c>
      <c r="CT21" s="232" t="e">
        <f t="shared" si="45"/>
        <v>#VALUE!</v>
      </c>
      <c r="CU21" s="232" t="e">
        <f t="shared" si="45"/>
        <v>#VALUE!</v>
      </c>
      <c r="CV21" s="232" t="e">
        <f t="shared" si="45"/>
        <v>#VALUE!</v>
      </c>
      <c r="CW21" s="232" t="e">
        <f t="shared" si="45"/>
        <v>#VALUE!</v>
      </c>
      <c r="CX21" s="232" t="e">
        <f t="shared" si="46"/>
        <v>#VALUE!</v>
      </c>
      <c r="CY21" s="232" t="e">
        <f t="shared" si="46"/>
        <v>#VALUE!</v>
      </c>
      <c r="CZ21" s="232" t="e">
        <f t="shared" si="46"/>
        <v>#VALUE!</v>
      </c>
      <c r="DA21" s="232" t="e">
        <f t="shared" si="46"/>
        <v>#VALUE!</v>
      </c>
      <c r="DB21" s="232" t="e">
        <f t="shared" si="46"/>
        <v>#VALUE!</v>
      </c>
      <c r="DC21" s="232" t="e">
        <f t="shared" si="46"/>
        <v>#VALUE!</v>
      </c>
      <c r="DD21" s="232" t="e">
        <f t="shared" si="46"/>
        <v>#VALUE!</v>
      </c>
      <c r="DE21" s="232" t="e">
        <f t="shared" si="46"/>
        <v>#VALUE!</v>
      </c>
      <c r="DF21" s="232" t="e">
        <f t="shared" si="46"/>
        <v>#VALUE!</v>
      </c>
      <c r="DG21" s="232" t="e">
        <f t="shared" si="46"/>
        <v>#VALUE!</v>
      </c>
      <c r="DH21" s="232" t="e">
        <f t="shared" si="47"/>
        <v>#VALUE!</v>
      </c>
      <c r="DI21" s="232" t="e">
        <f t="shared" si="47"/>
        <v>#VALUE!</v>
      </c>
      <c r="DJ21" s="232" t="e">
        <f t="shared" si="47"/>
        <v>#VALUE!</v>
      </c>
      <c r="DK21" s="232" t="e">
        <f t="shared" si="47"/>
        <v>#VALUE!</v>
      </c>
      <c r="DL21" s="232" t="e">
        <f t="shared" si="47"/>
        <v>#VALUE!</v>
      </c>
      <c r="DM21" s="232" t="e">
        <f t="shared" si="47"/>
        <v>#VALUE!</v>
      </c>
      <c r="DN21" s="232" t="e">
        <f t="shared" si="47"/>
        <v>#VALUE!</v>
      </c>
      <c r="DO21" s="232" t="e">
        <f t="shared" si="47"/>
        <v>#VALUE!</v>
      </c>
      <c r="DP21" s="232" t="e">
        <f t="shared" si="47"/>
        <v>#VALUE!</v>
      </c>
      <c r="DQ21" s="232" t="e">
        <f t="shared" si="47"/>
        <v>#VALUE!</v>
      </c>
      <c r="DR21" s="232" t="e">
        <f t="shared" si="48"/>
        <v>#VALUE!</v>
      </c>
      <c r="DS21" s="232" t="e">
        <f t="shared" si="48"/>
        <v>#VALUE!</v>
      </c>
      <c r="DT21" s="232" t="e">
        <f t="shared" si="48"/>
        <v>#VALUE!</v>
      </c>
      <c r="DU21" s="232" t="e">
        <f t="shared" si="48"/>
        <v>#VALUE!</v>
      </c>
      <c r="DV21" s="232" t="e">
        <f t="shared" si="48"/>
        <v>#VALUE!</v>
      </c>
      <c r="DW21" s="232" t="e">
        <f t="shared" si="48"/>
        <v>#VALUE!</v>
      </c>
      <c r="DX21" s="232" t="e">
        <f t="shared" si="48"/>
        <v>#VALUE!</v>
      </c>
      <c r="DY21" s="232" t="e">
        <f t="shared" si="48"/>
        <v>#VALUE!</v>
      </c>
      <c r="DZ21" s="232" t="e">
        <f t="shared" si="48"/>
        <v>#VALUE!</v>
      </c>
      <c r="EA21" s="232" t="e">
        <f t="shared" si="48"/>
        <v>#VALUE!</v>
      </c>
      <c r="EB21" s="232" t="e">
        <f t="shared" si="49"/>
        <v>#VALUE!</v>
      </c>
      <c r="EC21" s="232" t="e">
        <f t="shared" si="49"/>
        <v>#VALUE!</v>
      </c>
      <c r="ED21" s="232" t="e">
        <f t="shared" si="49"/>
        <v>#VALUE!</v>
      </c>
      <c r="EE21" s="232" t="e">
        <f t="shared" si="49"/>
        <v>#VALUE!</v>
      </c>
      <c r="EF21" s="232" t="e">
        <f t="shared" si="49"/>
        <v>#VALUE!</v>
      </c>
      <c r="EG21" s="232" t="e">
        <f t="shared" si="49"/>
        <v>#VALUE!</v>
      </c>
      <c r="EH21" s="232" t="e">
        <f t="shared" si="49"/>
        <v>#VALUE!</v>
      </c>
      <c r="EI21" s="232" t="e">
        <f t="shared" si="49"/>
        <v>#VALUE!</v>
      </c>
      <c r="EJ21" s="232" t="e">
        <f t="shared" si="49"/>
        <v>#VALUE!</v>
      </c>
      <c r="EK21" s="232" t="e">
        <f t="shared" si="49"/>
        <v>#VALUE!</v>
      </c>
      <c r="EL21" s="232" t="e">
        <f t="shared" si="50"/>
        <v>#VALUE!</v>
      </c>
      <c r="EM21" s="232" t="e">
        <f t="shared" si="50"/>
        <v>#VALUE!</v>
      </c>
      <c r="EN21" s="232" t="e">
        <f t="shared" si="50"/>
        <v>#VALUE!</v>
      </c>
      <c r="EO21" s="232" t="e">
        <f t="shared" si="50"/>
        <v>#VALUE!</v>
      </c>
      <c r="EP21" s="232" t="e">
        <f t="shared" si="50"/>
        <v>#VALUE!</v>
      </c>
      <c r="EQ21" s="232" t="e">
        <f t="shared" si="50"/>
        <v>#VALUE!</v>
      </c>
      <c r="ER21" s="232" t="e">
        <f t="shared" si="50"/>
        <v>#VALUE!</v>
      </c>
      <c r="ES21" s="232" t="e">
        <f t="shared" si="50"/>
        <v>#VALUE!</v>
      </c>
      <c r="ET21" s="232" t="e">
        <f t="shared" si="50"/>
        <v>#VALUE!</v>
      </c>
      <c r="EU21" s="232" t="e">
        <f t="shared" si="50"/>
        <v>#VALUE!</v>
      </c>
      <c r="EV21" s="232" t="e">
        <f t="shared" si="51"/>
        <v>#VALUE!</v>
      </c>
      <c r="EW21" s="232" t="e">
        <f t="shared" si="51"/>
        <v>#VALUE!</v>
      </c>
      <c r="EX21" s="232" t="e">
        <f t="shared" si="51"/>
        <v>#VALUE!</v>
      </c>
      <c r="EY21" s="232" t="e">
        <f t="shared" si="51"/>
        <v>#VALUE!</v>
      </c>
      <c r="EZ21" s="232" t="e">
        <f t="shared" si="51"/>
        <v>#VALUE!</v>
      </c>
      <c r="FA21" s="232" t="e">
        <f t="shared" si="51"/>
        <v>#VALUE!</v>
      </c>
      <c r="FB21" s="232" t="e">
        <f t="shared" si="51"/>
        <v>#VALUE!</v>
      </c>
      <c r="FC21" s="232" t="e">
        <f t="shared" si="51"/>
        <v>#VALUE!</v>
      </c>
      <c r="FD21" s="232" t="e">
        <f t="shared" si="51"/>
        <v>#VALUE!</v>
      </c>
      <c r="FE21" s="232" t="e">
        <f t="shared" si="51"/>
        <v>#VALUE!</v>
      </c>
      <c r="FF21" s="232" t="e">
        <f t="shared" si="52"/>
        <v>#VALUE!</v>
      </c>
      <c r="FG21" s="232" t="e">
        <f t="shared" si="52"/>
        <v>#VALUE!</v>
      </c>
      <c r="FH21" s="232" t="e">
        <f t="shared" si="52"/>
        <v>#VALUE!</v>
      </c>
      <c r="FI21" s="232" t="e">
        <f t="shared" si="52"/>
        <v>#VALUE!</v>
      </c>
      <c r="FJ21" s="232" t="e">
        <f t="shared" si="52"/>
        <v>#VALUE!</v>
      </c>
      <c r="FK21" s="232" t="e">
        <f t="shared" si="52"/>
        <v>#VALUE!</v>
      </c>
      <c r="FL21" s="232" t="e">
        <f t="shared" si="52"/>
        <v>#VALUE!</v>
      </c>
      <c r="FM21" s="232" t="e">
        <f t="shared" si="52"/>
        <v>#VALUE!</v>
      </c>
      <c r="FN21" s="232" t="e">
        <f t="shared" si="52"/>
        <v>#VALUE!</v>
      </c>
      <c r="FO21" s="232" t="e">
        <f t="shared" si="52"/>
        <v>#VALUE!</v>
      </c>
      <c r="FP21" s="232" t="e">
        <f t="shared" si="53"/>
        <v>#VALUE!</v>
      </c>
      <c r="FQ21" s="232" t="e">
        <f t="shared" si="53"/>
        <v>#VALUE!</v>
      </c>
      <c r="FR21" s="232" t="e">
        <f t="shared" si="53"/>
        <v>#VALUE!</v>
      </c>
      <c r="FS21" s="232" t="e">
        <f t="shared" si="53"/>
        <v>#VALUE!</v>
      </c>
      <c r="FT21" s="232" t="e">
        <f t="shared" si="53"/>
        <v>#VALUE!</v>
      </c>
      <c r="FU21" s="232" t="e">
        <f t="shared" si="53"/>
        <v>#VALUE!</v>
      </c>
      <c r="FV21" s="232" t="e">
        <f t="shared" si="53"/>
        <v>#VALUE!</v>
      </c>
      <c r="FW21" s="232" t="e">
        <f t="shared" si="53"/>
        <v>#VALUE!</v>
      </c>
      <c r="FX21" s="232" t="e">
        <f t="shared" si="53"/>
        <v>#VALUE!</v>
      </c>
      <c r="FY21" s="232" t="e">
        <f t="shared" si="53"/>
        <v>#VALUE!</v>
      </c>
      <c r="FZ21" s="232" t="e">
        <f t="shared" si="54"/>
        <v>#VALUE!</v>
      </c>
      <c r="GA21" s="232" t="e">
        <f t="shared" si="54"/>
        <v>#VALUE!</v>
      </c>
      <c r="GB21" s="232" t="e">
        <f t="shared" si="54"/>
        <v>#VALUE!</v>
      </c>
      <c r="GC21" s="232" t="e">
        <f t="shared" si="54"/>
        <v>#VALUE!</v>
      </c>
      <c r="GD21" s="232" t="e">
        <f t="shared" si="54"/>
        <v>#VALUE!</v>
      </c>
      <c r="GE21" s="232" t="e">
        <f t="shared" si="54"/>
        <v>#VALUE!</v>
      </c>
      <c r="GF21" s="232" t="e">
        <f t="shared" si="54"/>
        <v>#VALUE!</v>
      </c>
      <c r="GG21" s="232" t="e">
        <f t="shared" si="54"/>
        <v>#VALUE!</v>
      </c>
      <c r="GH21" s="232" t="e">
        <f t="shared" si="54"/>
        <v>#VALUE!</v>
      </c>
      <c r="GI21" s="232" t="e">
        <f t="shared" si="54"/>
        <v>#VALUE!</v>
      </c>
      <c r="GJ21" s="232" t="e">
        <f t="shared" si="55"/>
        <v>#VALUE!</v>
      </c>
      <c r="GK21" s="232" t="e">
        <f t="shared" si="55"/>
        <v>#VALUE!</v>
      </c>
      <c r="GL21" s="232" t="e">
        <f t="shared" si="55"/>
        <v>#VALUE!</v>
      </c>
      <c r="GM21" s="232" t="e">
        <f t="shared" si="55"/>
        <v>#VALUE!</v>
      </c>
      <c r="GN21" s="232" t="e">
        <f t="shared" si="55"/>
        <v>#VALUE!</v>
      </c>
      <c r="GO21" s="232" t="e">
        <f t="shared" si="55"/>
        <v>#VALUE!</v>
      </c>
      <c r="GP21" s="232" t="e">
        <f t="shared" si="55"/>
        <v>#VALUE!</v>
      </c>
      <c r="GQ21" s="232" t="e">
        <f t="shared" si="55"/>
        <v>#VALUE!</v>
      </c>
      <c r="GR21" s="232" t="e">
        <f t="shared" si="55"/>
        <v>#VALUE!</v>
      </c>
      <c r="GS21" s="232" t="e">
        <f t="shared" si="55"/>
        <v>#VALUE!</v>
      </c>
      <c r="GT21" s="232" t="e">
        <f t="shared" si="56"/>
        <v>#VALUE!</v>
      </c>
      <c r="GU21" s="232" t="e">
        <f t="shared" si="56"/>
        <v>#VALUE!</v>
      </c>
      <c r="GV21" s="232" t="e">
        <f t="shared" si="56"/>
        <v>#VALUE!</v>
      </c>
      <c r="GW21" s="232" t="e">
        <f t="shared" si="56"/>
        <v>#VALUE!</v>
      </c>
      <c r="GX21" s="232" t="e">
        <f t="shared" si="56"/>
        <v>#VALUE!</v>
      </c>
      <c r="GY21" s="232" t="e">
        <f t="shared" si="56"/>
        <v>#VALUE!</v>
      </c>
      <c r="GZ21" s="232" t="e">
        <f t="shared" si="56"/>
        <v>#VALUE!</v>
      </c>
      <c r="HA21" s="232" t="e">
        <f t="shared" si="56"/>
        <v>#VALUE!</v>
      </c>
      <c r="HB21" s="232" t="e">
        <f t="shared" si="56"/>
        <v>#VALUE!</v>
      </c>
      <c r="HC21" s="232" t="e">
        <f t="shared" si="56"/>
        <v>#VALUE!</v>
      </c>
      <c r="HD21" s="232" t="e">
        <f t="shared" si="57"/>
        <v>#VALUE!</v>
      </c>
      <c r="HE21" s="232" t="e">
        <f t="shared" si="57"/>
        <v>#VALUE!</v>
      </c>
      <c r="HF21" s="232" t="e">
        <f t="shared" si="57"/>
        <v>#VALUE!</v>
      </c>
      <c r="HG21" s="232" t="e">
        <f t="shared" si="57"/>
        <v>#VALUE!</v>
      </c>
      <c r="HH21" s="232" t="e">
        <f t="shared" si="57"/>
        <v>#VALUE!</v>
      </c>
      <c r="HI21" s="232" t="e">
        <f t="shared" si="57"/>
        <v>#VALUE!</v>
      </c>
      <c r="HJ21" s="232" t="e">
        <f t="shared" si="57"/>
        <v>#VALUE!</v>
      </c>
      <c r="HK21" s="232" t="e">
        <f t="shared" si="57"/>
        <v>#VALUE!</v>
      </c>
      <c r="HL21" s="232" t="e">
        <f t="shared" si="57"/>
        <v>#VALUE!</v>
      </c>
      <c r="HM21" s="232" t="e">
        <f t="shared" si="57"/>
        <v>#VALUE!</v>
      </c>
      <c r="HN21" s="232" t="e">
        <f t="shared" si="58"/>
        <v>#VALUE!</v>
      </c>
      <c r="HO21" s="232" t="e">
        <f t="shared" si="58"/>
        <v>#VALUE!</v>
      </c>
      <c r="HP21" s="232" t="e">
        <f t="shared" si="58"/>
        <v>#VALUE!</v>
      </c>
      <c r="HQ21" s="232" t="e">
        <f t="shared" si="58"/>
        <v>#VALUE!</v>
      </c>
      <c r="HR21" s="232" t="e">
        <f t="shared" si="58"/>
        <v>#VALUE!</v>
      </c>
      <c r="HS21" s="232" t="e">
        <f t="shared" si="58"/>
        <v>#VALUE!</v>
      </c>
      <c r="HT21" s="232" t="e">
        <f t="shared" si="58"/>
        <v>#VALUE!</v>
      </c>
      <c r="HU21" s="232" t="e">
        <f t="shared" si="58"/>
        <v>#VALUE!</v>
      </c>
      <c r="HV21" s="232" t="e">
        <f t="shared" si="58"/>
        <v>#VALUE!</v>
      </c>
      <c r="HW21" s="232" t="e">
        <f t="shared" si="58"/>
        <v>#VALUE!</v>
      </c>
      <c r="HX21" s="232" t="e">
        <f t="shared" si="59"/>
        <v>#VALUE!</v>
      </c>
      <c r="HY21" s="232" t="e">
        <f t="shared" si="59"/>
        <v>#VALUE!</v>
      </c>
      <c r="HZ21" s="232" t="e">
        <f t="shared" si="59"/>
        <v>#VALUE!</v>
      </c>
      <c r="IA21" s="232" t="e">
        <f t="shared" si="59"/>
        <v>#VALUE!</v>
      </c>
      <c r="IB21" s="232" t="e">
        <f t="shared" si="59"/>
        <v>#VALUE!</v>
      </c>
      <c r="IC21" s="232" t="e">
        <f t="shared" si="59"/>
        <v>#VALUE!</v>
      </c>
      <c r="ID21" s="232" t="e">
        <f t="shared" si="59"/>
        <v>#VALUE!</v>
      </c>
      <c r="IE21" s="232" t="e">
        <f t="shared" si="59"/>
        <v>#VALUE!</v>
      </c>
      <c r="IF21" s="232" t="e">
        <f t="shared" si="59"/>
        <v>#VALUE!</v>
      </c>
      <c r="IG21" s="232" t="e">
        <f t="shared" si="59"/>
        <v>#VALUE!</v>
      </c>
      <c r="IH21" s="232" t="e">
        <f t="shared" si="60"/>
        <v>#VALUE!</v>
      </c>
      <c r="II21" s="232" t="e">
        <f t="shared" si="60"/>
        <v>#VALUE!</v>
      </c>
      <c r="IJ21" s="232" t="e">
        <f t="shared" si="60"/>
        <v>#VALUE!</v>
      </c>
      <c r="IK21" s="232" t="e">
        <f t="shared" si="60"/>
        <v>#VALUE!</v>
      </c>
      <c r="IL21" s="232" t="e">
        <f t="shared" si="60"/>
        <v>#VALUE!</v>
      </c>
      <c r="IM21" s="232" t="e">
        <f t="shared" si="60"/>
        <v>#VALUE!</v>
      </c>
      <c r="IN21" s="232" t="e">
        <f t="shared" si="60"/>
        <v>#VALUE!</v>
      </c>
      <c r="IO21" s="232" t="e">
        <f t="shared" si="60"/>
        <v>#VALUE!</v>
      </c>
      <c r="IP21" s="232" t="e">
        <f t="shared" si="60"/>
        <v>#VALUE!</v>
      </c>
      <c r="IQ21" s="232" t="e">
        <f t="shared" si="60"/>
        <v>#VALUE!</v>
      </c>
      <c r="IR21" s="232" t="e">
        <f t="shared" si="61"/>
        <v>#VALUE!</v>
      </c>
      <c r="IS21" s="232" t="e">
        <f t="shared" si="61"/>
        <v>#VALUE!</v>
      </c>
      <c r="IT21" s="232" t="e">
        <f t="shared" si="61"/>
        <v>#VALUE!</v>
      </c>
      <c r="IU21" s="232" t="e">
        <f t="shared" si="61"/>
        <v>#VALUE!</v>
      </c>
      <c r="IV21" s="232" t="e">
        <f t="shared" si="61"/>
        <v>#VALUE!</v>
      </c>
      <c r="IW21" s="232" t="e">
        <f t="shared" si="61"/>
        <v>#VALUE!</v>
      </c>
      <c r="IX21" s="232" t="e">
        <f t="shared" si="61"/>
        <v>#VALUE!</v>
      </c>
      <c r="IY21" s="232" t="e">
        <f t="shared" si="61"/>
        <v>#VALUE!</v>
      </c>
      <c r="IZ21" s="232" t="e">
        <f t="shared" si="61"/>
        <v>#VALUE!</v>
      </c>
      <c r="JA21" s="232" t="e">
        <f t="shared" si="61"/>
        <v>#VALUE!</v>
      </c>
      <c r="JB21" s="232" t="e">
        <f t="shared" si="62"/>
        <v>#VALUE!</v>
      </c>
      <c r="JC21" s="232" t="e">
        <f t="shared" si="62"/>
        <v>#VALUE!</v>
      </c>
      <c r="JD21" s="232" t="e">
        <f t="shared" si="62"/>
        <v>#VALUE!</v>
      </c>
      <c r="JE21" s="232" t="e">
        <f t="shared" si="62"/>
        <v>#VALUE!</v>
      </c>
      <c r="JF21" s="232" t="e">
        <f t="shared" si="62"/>
        <v>#VALUE!</v>
      </c>
      <c r="JG21" s="232" t="e">
        <f t="shared" si="62"/>
        <v>#VALUE!</v>
      </c>
      <c r="JH21" s="232" t="e">
        <f t="shared" si="62"/>
        <v>#VALUE!</v>
      </c>
      <c r="JI21" s="232" t="e">
        <f t="shared" si="62"/>
        <v>#VALUE!</v>
      </c>
      <c r="JJ21" s="232" t="e">
        <f t="shared" si="62"/>
        <v>#VALUE!</v>
      </c>
      <c r="JK21" s="232"/>
      <c r="JL21" s="232"/>
      <c r="JM21" s="232"/>
      <c r="JN21" s="232"/>
      <c r="JO21" s="232"/>
      <c r="JP21" s="232"/>
      <c r="JQ21" s="232"/>
      <c r="JR21" s="232"/>
      <c r="JS21" s="232"/>
      <c r="JT21" s="232"/>
      <c r="JU21" s="232"/>
      <c r="JV21" s="232"/>
      <c r="JW21" s="232"/>
      <c r="JX21" s="232"/>
      <c r="JY21" s="232"/>
      <c r="JZ21" s="232"/>
      <c r="KA21" s="232"/>
      <c r="KB21" s="232"/>
      <c r="KC21" s="232"/>
      <c r="KD21" s="232"/>
      <c r="KE21" s="232"/>
      <c r="KF21" s="232"/>
      <c r="KG21" s="232"/>
      <c r="KH21" s="232"/>
      <c r="KI21" s="232"/>
      <c r="KJ21" s="232"/>
      <c r="KK21" s="232"/>
      <c r="KL21" s="232"/>
      <c r="KM21" s="232"/>
      <c r="KN21" s="232"/>
      <c r="KO21" s="232"/>
      <c r="KP21" s="232"/>
      <c r="KQ21" s="232"/>
      <c r="KR21" s="232"/>
      <c r="KS21" s="232"/>
      <c r="KT21" s="232"/>
      <c r="KU21" s="232"/>
      <c r="KV21" s="232"/>
      <c r="KW21" s="232"/>
      <c r="KX21" s="232"/>
      <c r="KY21" s="232"/>
      <c r="KZ21" s="232"/>
      <c r="LA21" s="232"/>
      <c r="LB21" s="232"/>
      <c r="LC21" s="232"/>
      <c r="LD21" s="232"/>
      <c r="LE21" s="232"/>
      <c r="LF21" s="232"/>
      <c r="LG21" s="232"/>
      <c r="LH21" s="232"/>
      <c r="LI21" s="232"/>
      <c r="LJ21" s="232"/>
      <c r="LK21" s="232"/>
      <c r="LL21" s="232"/>
      <c r="LM21" s="232"/>
      <c r="LN21" s="232"/>
      <c r="LO21" s="232"/>
      <c r="LP21" s="232"/>
      <c r="LQ21" s="232"/>
      <c r="LR21" s="232"/>
      <c r="LS21" s="232"/>
      <c r="LT21" s="232"/>
      <c r="LU21" s="232"/>
      <c r="LV21" s="232"/>
      <c r="LW21" s="232"/>
      <c r="LX21" s="232"/>
      <c r="LY21" s="232"/>
      <c r="LZ21" s="232"/>
      <c r="MA21" s="232"/>
      <c r="MB21" s="232"/>
      <c r="MC21" s="232"/>
      <c r="MD21" s="232"/>
      <c r="ME21" s="232"/>
      <c r="MF21" s="232"/>
      <c r="MG21" s="232"/>
      <c r="MH21" s="232"/>
      <c r="MI21" s="232"/>
      <c r="MJ21" s="232"/>
      <c r="MK21" s="232"/>
      <c r="ML21" s="232"/>
      <c r="MM21" s="232"/>
      <c r="MN21" s="232"/>
      <c r="MO21" s="232"/>
      <c r="MP21" s="232"/>
      <c r="MQ21" s="232"/>
      <c r="MR21" s="232"/>
      <c r="MS21" s="232"/>
      <c r="MT21" s="232"/>
      <c r="MU21" s="232"/>
      <c r="MV21" s="232"/>
      <c r="MW21" s="232"/>
      <c r="MX21" s="232"/>
      <c r="MY21" s="232"/>
      <c r="MZ21" s="232"/>
      <c r="NA21" s="232"/>
      <c r="NB21" s="232"/>
      <c r="NC21" s="232"/>
      <c r="ND21" s="232"/>
      <c r="NE21" s="232"/>
      <c r="NF21" s="232"/>
      <c r="NG21" s="232"/>
      <c r="NH21" s="232"/>
      <c r="NI21" s="232"/>
      <c r="NJ21" s="232"/>
      <c r="NK21" s="232"/>
      <c r="NL21" s="232"/>
      <c r="NM21" s="232"/>
      <c r="NN21" s="232"/>
      <c r="NO21" s="232"/>
      <c r="NP21" s="232"/>
      <c r="NQ21" s="232"/>
      <c r="NR21" s="232"/>
      <c r="NS21" s="232"/>
      <c r="NT21" s="232"/>
      <c r="NU21" s="232"/>
      <c r="NV21" s="232"/>
      <c r="NW21" s="232"/>
      <c r="NX21" s="232"/>
      <c r="NY21" s="232"/>
      <c r="NZ21" s="232"/>
      <c r="OA21" s="232"/>
      <c r="OB21" s="232"/>
      <c r="OC21" s="232"/>
      <c r="OD21" s="232"/>
      <c r="OE21" s="232"/>
      <c r="OF21" s="232"/>
      <c r="OG21" s="232"/>
      <c r="OH21" s="232"/>
      <c r="OI21" s="232"/>
      <c r="OJ21" s="232"/>
      <c r="OK21" s="232"/>
      <c r="OL21" s="232"/>
      <c r="OM21" s="232"/>
      <c r="ON21" s="232"/>
      <c r="OO21" s="232"/>
      <c r="OP21" s="232"/>
      <c r="OQ21" s="232"/>
      <c r="OR21" s="232"/>
      <c r="OS21" s="232"/>
      <c r="OT21" s="232"/>
      <c r="OU21" s="232"/>
      <c r="OV21" s="232"/>
      <c r="OW21" s="232"/>
      <c r="OX21" s="232"/>
      <c r="OY21" s="232"/>
      <c r="OZ21" s="232"/>
      <c r="PA21" s="232"/>
      <c r="PB21" s="232"/>
      <c r="PC21" s="232"/>
      <c r="PD21" s="232"/>
      <c r="PE21" s="232"/>
      <c r="PF21" s="232"/>
      <c r="PG21" s="232"/>
      <c r="PH21" s="232"/>
      <c r="PI21" s="232"/>
      <c r="PJ21" s="232"/>
      <c r="PK21" s="232"/>
      <c r="PL21" s="232"/>
      <c r="PM21" s="232"/>
      <c r="PN21" s="232"/>
      <c r="PO21" s="232"/>
      <c r="PP21" s="232"/>
      <c r="PQ21" s="232"/>
      <c r="PR21" s="232"/>
      <c r="PS21" s="232"/>
      <c r="PT21" s="232"/>
      <c r="PU21" s="232"/>
      <c r="PV21" s="232"/>
      <c r="PW21" s="232"/>
      <c r="PX21" s="232"/>
      <c r="PY21" s="232"/>
      <c r="PZ21" s="232"/>
      <c r="QA21" s="232"/>
      <c r="QB21" s="232"/>
      <c r="QC21" s="232"/>
      <c r="QD21" s="232"/>
      <c r="QE21" s="232"/>
      <c r="QF21" s="232"/>
      <c r="QG21" s="232"/>
      <c r="QH21" s="232"/>
      <c r="QI21" s="232"/>
      <c r="QJ21" s="232"/>
      <c r="QK21" s="232"/>
      <c r="QL21" s="232"/>
      <c r="QM21" s="232"/>
      <c r="QN21" s="232"/>
      <c r="QO21" s="232"/>
      <c r="QP21" s="232"/>
      <c r="QQ21" s="232"/>
      <c r="QR21" s="232"/>
      <c r="QS21" s="232"/>
      <c r="QT21" s="232"/>
      <c r="QU21" s="232"/>
      <c r="QV21" s="232"/>
      <c r="QW21" s="232"/>
      <c r="QX21" s="232"/>
      <c r="QY21" s="232"/>
      <c r="QZ21" s="232"/>
      <c r="RA21" s="232"/>
      <c r="RB21" s="232"/>
      <c r="RC21" s="232"/>
      <c r="RD21" s="232"/>
      <c r="RE21" s="232"/>
      <c r="RF21" s="232"/>
      <c r="RG21" s="232"/>
      <c r="RH21" s="232"/>
      <c r="RI21" s="232"/>
      <c r="RJ21" s="232"/>
      <c r="RK21" s="232"/>
      <c r="RL21" s="232"/>
      <c r="RM21" s="232"/>
      <c r="RN21" s="232"/>
      <c r="RO21" s="232"/>
      <c r="RP21" s="232"/>
      <c r="RQ21" s="232"/>
      <c r="RR21" s="232"/>
      <c r="RS21" s="232"/>
      <c r="RT21" s="232"/>
      <c r="RU21" s="232"/>
      <c r="RV21" s="232"/>
      <c r="RW21" s="232"/>
      <c r="RX21" s="232"/>
      <c r="RY21" s="232"/>
      <c r="RZ21" s="232"/>
      <c r="SA21" s="232"/>
      <c r="SB21" s="232"/>
      <c r="SC21" s="232"/>
      <c r="SD21" s="232"/>
      <c r="SE21" s="232"/>
      <c r="SF21" s="232"/>
      <c r="SG21" s="232"/>
      <c r="SH21" s="232"/>
      <c r="SI21" s="232"/>
      <c r="SJ21" s="232"/>
      <c r="SK21" s="232"/>
      <c r="SL21" s="232"/>
      <c r="SM21" s="232"/>
      <c r="SN21" s="232"/>
      <c r="SO21" s="232"/>
      <c r="SP21" s="232"/>
      <c r="SQ21" s="232"/>
      <c r="SR21" s="232"/>
      <c r="SS21" s="232"/>
      <c r="ST21" s="232"/>
      <c r="SU21" s="232"/>
      <c r="SV21" s="232"/>
      <c r="SW21" s="232"/>
      <c r="SX21" s="232"/>
      <c r="SY21" s="232"/>
      <c r="SZ21" s="232"/>
      <c r="TA21" s="232"/>
      <c r="TB21" s="232"/>
      <c r="TC21" s="232"/>
      <c r="TD21" s="232"/>
      <c r="TE21" s="232"/>
      <c r="TF21" s="232"/>
      <c r="TG21" s="232"/>
      <c r="TH21" s="232"/>
      <c r="TI21" s="232"/>
      <c r="TJ21" s="232"/>
      <c r="TK21" s="232"/>
      <c r="TL21" s="232"/>
      <c r="TM21" s="232"/>
      <c r="TN21" s="232"/>
      <c r="TO21" s="232"/>
      <c r="TP21" s="232"/>
      <c r="TQ21" s="232"/>
      <c r="TR21" s="232"/>
      <c r="TS21" s="232"/>
      <c r="TT21" s="232"/>
      <c r="TU21" s="232"/>
      <c r="TV21" s="232"/>
      <c r="TW21" s="232"/>
      <c r="TX21" s="232"/>
      <c r="TY21" s="232"/>
      <c r="TZ21" s="232"/>
      <c r="UA21" s="232"/>
      <c r="UB21" s="232"/>
      <c r="UC21" s="232"/>
      <c r="UD21" s="232"/>
      <c r="UE21" s="232"/>
      <c r="UF21" s="232"/>
      <c r="UG21" s="232"/>
      <c r="UH21" s="232"/>
      <c r="UI21" s="232"/>
      <c r="UJ21" s="232"/>
      <c r="UK21" s="232"/>
      <c r="UL21" s="232"/>
      <c r="UM21" s="232"/>
      <c r="UN21" s="232"/>
      <c r="UO21" s="232"/>
      <c r="UP21" s="232"/>
      <c r="UQ21" s="232"/>
      <c r="UR21" s="232"/>
      <c r="US21" s="232"/>
      <c r="UT21" s="232"/>
      <c r="UU21" s="232"/>
      <c r="UV21" s="232"/>
      <c r="UW21" s="232"/>
      <c r="UX21" s="232"/>
      <c r="UY21" s="232"/>
      <c r="UZ21" s="232"/>
      <c r="VA21" s="232"/>
      <c r="VB21" s="232"/>
      <c r="VC21" s="232"/>
      <c r="VD21" s="232"/>
      <c r="VE21" s="232"/>
      <c r="VF21" s="232"/>
      <c r="VG21" s="232"/>
      <c r="VH21" s="232"/>
      <c r="VI21" s="232"/>
      <c r="VJ21" s="232"/>
      <c r="VK21" s="232"/>
      <c r="VL21" s="232"/>
      <c r="VM21" s="232"/>
      <c r="VN21" s="232"/>
      <c r="VO21" s="232"/>
      <c r="VP21" s="232"/>
      <c r="VQ21" s="232"/>
      <c r="VR21" s="232"/>
      <c r="VS21" s="232"/>
      <c r="VT21" s="232"/>
      <c r="VU21" s="232"/>
      <c r="VV21" s="232"/>
      <c r="VW21" s="232"/>
      <c r="VX21" s="232"/>
      <c r="VY21" s="232"/>
      <c r="VZ21" s="232"/>
      <c r="WA21" s="232"/>
      <c r="WB21" s="232"/>
      <c r="WC21" s="232"/>
      <c r="WD21" s="232"/>
      <c r="WE21" s="232"/>
      <c r="WF21" s="232"/>
      <c r="WG21" s="232"/>
      <c r="WH21" s="232"/>
      <c r="WI21" s="232"/>
      <c r="WJ21" s="232"/>
      <c r="WK21" s="232"/>
      <c r="WL21" s="232"/>
      <c r="WM21" s="232"/>
      <c r="WN21" s="232"/>
      <c r="WO21" s="232"/>
      <c r="WP21" s="232"/>
      <c r="WQ21" s="232"/>
      <c r="WR21" s="232"/>
      <c r="WS21" s="232"/>
      <c r="WT21" s="232"/>
      <c r="WU21" s="232"/>
      <c r="WV21" s="232"/>
      <c r="WW21" s="232"/>
      <c r="WX21" s="232"/>
      <c r="WY21" s="232"/>
      <c r="WZ21" s="232"/>
      <c r="XA21" s="232"/>
      <c r="XB21" s="232"/>
      <c r="XC21" s="232"/>
      <c r="XD21" s="232"/>
      <c r="XE21" s="232"/>
      <c r="XF21" s="232"/>
      <c r="XG21" s="232"/>
      <c r="XH21" s="232"/>
      <c r="XI21" s="232"/>
      <c r="XJ21" s="232"/>
      <c r="XK21" s="232"/>
      <c r="XL21" s="232"/>
      <c r="XM21" s="232"/>
      <c r="XN21" s="232"/>
      <c r="XO21" s="232"/>
      <c r="XP21" s="232"/>
      <c r="XQ21" s="232"/>
      <c r="XR21" s="232"/>
      <c r="XS21" s="232"/>
      <c r="XT21" s="232"/>
      <c r="XU21" s="232"/>
      <c r="XV21" s="232"/>
      <c r="XW21" s="232"/>
      <c r="XX21" s="232"/>
      <c r="XY21" s="232"/>
      <c r="XZ21" s="232"/>
      <c r="YA21" s="232"/>
      <c r="YB21" s="232"/>
      <c r="YC21" s="232"/>
      <c r="YD21" s="232"/>
      <c r="YE21" s="232"/>
      <c r="YF21" s="232"/>
      <c r="YG21" s="232"/>
      <c r="YH21" s="232"/>
      <c r="YI21" s="232"/>
      <c r="YJ21" s="232"/>
      <c r="YK21" s="232"/>
      <c r="YL21" s="232"/>
      <c r="YM21" s="232"/>
      <c r="YN21" s="232"/>
      <c r="YO21" s="232"/>
      <c r="YP21" s="232"/>
      <c r="YQ21" s="232"/>
      <c r="YR21" s="232"/>
      <c r="YS21" s="232"/>
      <c r="YT21" s="232"/>
      <c r="YU21" s="232"/>
      <c r="YV21" s="232"/>
      <c r="YW21" s="232"/>
      <c r="YX21" s="232"/>
      <c r="YY21" s="232"/>
      <c r="YZ21" s="232"/>
      <c r="ZA21" s="232"/>
      <c r="ZB21" s="232"/>
      <c r="ZC21" s="232"/>
      <c r="ZD21" s="232"/>
      <c r="ZE21" s="232"/>
      <c r="ZF21" s="232"/>
      <c r="ZG21" s="232"/>
      <c r="ZH21" s="232"/>
      <c r="ZI21" s="232"/>
      <c r="ZJ21" s="232"/>
      <c r="ZK21" s="232"/>
      <c r="ZL21" s="232"/>
      <c r="ZM21" s="232"/>
      <c r="ZN21" s="232"/>
      <c r="ZO21" s="232"/>
      <c r="ZP21" s="232"/>
      <c r="ZQ21" s="232"/>
      <c r="ZR21" s="232"/>
      <c r="ZS21" s="232"/>
      <c r="ZT21" s="232"/>
      <c r="ZU21" s="232"/>
      <c r="ZV21" s="232"/>
      <c r="ZW21" s="232"/>
      <c r="ZX21" s="232"/>
      <c r="ZY21" s="232"/>
      <c r="ZZ21" s="232"/>
      <c r="AAA21" s="232"/>
      <c r="AAB21" s="232"/>
      <c r="AAC21" s="232"/>
      <c r="AAD21" s="232"/>
      <c r="AAE21" s="232"/>
      <c r="AAF21" s="232"/>
      <c r="AAG21" s="232"/>
      <c r="AAH21" s="232"/>
      <c r="AAI21" s="232"/>
      <c r="AAJ21" s="232"/>
      <c r="AAK21" s="232"/>
      <c r="AAL21" s="232"/>
      <c r="AAM21" s="232"/>
      <c r="AAN21" s="232"/>
      <c r="AAO21" s="232"/>
      <c r="AAP21" s="232"/>
      <c r="AAQ21" s="232"/>
      <c r="AAR21" s="232"/>
      <c r="AAS21" s="232"/>
      <c r="AAT21" s="232"/>
      <c r="AAU21" s="232"/>
      <c r="AAV21" s="232"/>
      <c r="AAW21" s="232"/>
      <c r="AAX21" s="232"/>
      <c r="AAY21" s="232"/>
      <c r="AAZ21" s="232"/>
      <c r="ABA21" s="232"/>
      <c r="ABB21" s="232"/>
      <c r="ABC21" s="232"/>
      <c r="ABD21" s="232"/>
      <c r="ABE21" s="232"/>
      <c r="ABF21" s="232"/>
      <c r="ABG21" s="232"/>
      <c r="ABH21" s="232"/>
      <c r="ABI21" s="232"/>
      <c r="ABJ21" s="232"/>
      <c r="ABK21" s="232"/>
      <c r="ABL21" s="232"/>
      <c r="ABM21" s="232"/>
      <c r="ABN21" s="232"/>
      <c r="ABO21" s="232"/>
      <c r="ABP21" s="232"/>
      <c r="ABQ21" s="232"/>
      <c r="ABR21" s="232"/>
      <c r="ABS21" s="232"/>
      <c r="ABT21" s="232"/>
      <c r="ABU21" s="232"/>
      <c r="ABV21" s="232"/>
      <c r="ABW21" s="232"/>
      <c r="ABX21" s="232"/>
      <c r="ABY21" s="232"/>
      <c r="ABZ21" s="232"/>
      <c r="ACA21" s="232"/>
      <c r="ACB21" s="232"/>
      <c r="ACC21" s="232"/>
      <c r="ACD21" s="232"/>
      <c r="ACE21" s="232"/>
      <c r="ACF21" s="232"/>
      <c r="ACG21" s="232"/>
      <c r="ACH21" s="232"/>
      <c r="ACI21" s="232"/>
      <c r="ACJ21" s="232"/>
      <c r="ACK21" s="232"/>
      <c r="ACL21" s="232"/>
      <c r="ACM21" s="232"/>
      <c r="ACN21" s="232"/>
      <c r="ACO21" s="232"/>
      <c r="ACP21" s="232"/>
      <c r="ACQ21" s="232"/>
      <c r="ACR21" s="232"/>
      <c r="ACS21" s="232"/>
      <c r="ACT21" s="232"/>
      <c r="ACU21" s="232"/>
      <c r="ACV21" s="232"/>
      <c r="ACW21" s="232"/>
      <c r="ACX21" s="232"/>
      <c r="ACY21" s="232"/>
      <c r="ACZ21" s="232"/>
      <c r="ADA21" s="232"/>
      <c r="ADB21" s="232"/>
      <c r="ADC21" s="232"/>
      <c r="ADD21" s="232"/>
      <c r="ADE21" s="232"/>
      <c r="ADF21" s="232"/>
      <c r="ADG21" s="232"/>
      <c r="ADH21" s="232"/>
      <c r="ADI21" s="232"/>
      <c r="ADJ21" s="232"/>
      <c r="ADK21" s="232"/>
      <c r="ADL21" s="232"/>
      <c r="ADM21" s="232"/>
      <c r="ADN21" s="232"/>
      <c r="ADO21" s="232"/>
      <c r="ADP21" s="232"/>
      <c r="ADQ21" s="232"/>
      <c r="ADR21" s="232"/>
      <c r="ADS21" s="232"/>
      <c r="ADT21" s="232"/>
      <c r="ADU21" s="232"/>
      <c r="ADV21" s="232"/>
      <c r="ADW21" s="232"/>
      <c r="ADX21" s="232"/>
      <c r="ADY21" s="232"/>
      <c r="ADZ21" s="232"/>
      <c r="AEA21" s="232"/>
      <c r="AEB21" s="232"/>
      <c r="AEC21" s="232"/>
      <c r="AED21" s="232"/>
      <c r="AEE21" s="232"/>
      <c r="AEF21" s="232"/>
      <c r="AEG21" s="232"/>
      <c r="AEH21" s="232"/>
      <c r="AEI21" s="232"/>
      <c r="AEJ21" s="232"/>
      <c r="AEK21" s="232"/>
      <c r="AEL21" s="232"/>
      <c r="AEM21" s="232"/>
      <c r="AEN21" s="232"/>
      <c r="AEO21" s="232"/>
      <c r="AEP21" s="232"/>
      <c r="AEQ21" s="232"/>
      <c r="AER21" s="232"/>
      <c r="AES21" s="232"/>
      <c r="AET21" s="232"/>
      <c r="AEU21" s="232"/>
      <c r="AEV21" s="232"/>
      <c r="AEW21" s="232"/>
      <c r="AEX21" s="232"/>
      <c r="AEY21" s="232"/>
      <c r="AEZ21" s="232"/>
      <c r="AFA21" s="232"/>
      <c r="AFB21" s="232"/>
      <c r="AFC21" s="232"/>
      <c r="AFD21" s="232"/>
      <c r="AFE21" s="232"/>
      <c r="AFF21" s="232"/>
      <c r="AFG21" s="232"/>
      <c r="AFH21" s="232"/>
      <c r="AFI21" s="232"/>
      <c r="AFJ21" s="232"/>
      <c r="AFK21" s="232"/>
      <c r="AFL21" s="232"/>
      <c r="AFM21" s="232"/>
      <c r="AFN21" s="232"/>
      <c r="AFO21" s="232"/>
      <c r="AFP21" s="232"/>
      <c r="AFQ21" s="232"/>
      <c r="AFR21" s="232"/>
      <c r="AFS21" s="232"/>
      <c r="AFT21" s="232"/>
      <c r="AFU21" s="232"/>
      <c r="AFV21" s="232"/>
      <c r="AFW21" s="232"/>
      <c r="AFX21" s="232"/>
      <c r="AFY21" s="232"/>
      <c r="AFZ21" s="232"/>
      <c r="AGA21" s="232"/>
      <c r="AGB21" s="232"/>
      <c r="AGC21" s="232"/>
      <c r="AGD21" s="232"/>
      <c r="AGE21" s="232"/>
      <c r="AGF21" s="232"/>
      <c r="AGG21" s="232"/>
      <c r="AGH21" s="232"/>
      <c r="AGI21" s="232"/>
      <c r="AGJ21" s="232"/>
      <c r="AGK21" s="232"/>
      <c r="AGL21" s="232"/>
      <c r="AGM21" s="232"/>
      <c r="AGN21" s="232"/>
      <c r="AGO21" s="232"/>
      <c r="AGP21" s="232"/>
      <c r="AGQ21" s="232"/>
      <c r="AGR21" s="232"/>
      <c r="AGS21" s="232"/>
      <c r="AGT21" s="232"/>
      <c r="AGU21" s="232"/>
      <c r="AGV21" s="232"/>
      <c r="AGW21" s="232"/>
      <c r="AGX21" s="232"/>
      <c r="AGY21" s="232"/>
      <c r="AGZ21" s="232"/>
      <c r="AHA21" s="232"/>
      <c r="AHB21" s="232"/>
      <c r="AHC21" s="232"/>
      <c r="AHD21" s="232"/>
      <c r="AHE21" s="232"/>
      <c r="AHF21" s="232"/>
      <c r="AHG21" s="232"/>
      <c r="AHH21" s="232"/>
      <c r="AHI21" s="232"/>
      <c r="AHJ21" s="232"/>
      <c r="AHK21" s="232"/>
      <c r="AHL21" s="232"/>
      <c r="AHM21" s="232"/>
      <c r="AHN21" s="232"/>
      <c r="AHO21" s="232"/>
      <c r="AHP21" s="232"/>
      <c r="AHQ21" s="232"/>
      <c r="AHR21" s="232"/>
      <c r="AHS21" s="232"/>
      <c r="AHT21" s="232"/>
      <c r="AHU21" s="232"/>
      <c r="AHV21" s="232"/>
      <c r="AHW21" s="232"/>
      <c r="AHX21" s="232"/>
      <c r="AHY21" s="232"/>
      <c r="AHZ21" s="232"/>
      <c r="AIA21" s="232"/>
      <c r="AIB21" s="232"/>
      <c r="AIC21" s="232"/>
      <c r="AID21" s="232"/>
      <c r="AIE21" s="232"/>
      <c r="AIF21" s="232"/>
      <c r="AIG21" s="232"/>
      <c r="AIH21" s="232"/>
      <c r="AII21" s="232"/>
      <c r="AIJ21" s="232"/>
      <c r="AIK21" s="232"/>
      <c r="AIL21" s="232"/>
      <c r="AIM21" s="232"/>
      <c r="AIN21" s="232"/>
      <c r="AIO21" s="232"/>
      <c r="AIP21" s="232"/>
      <c r="AIQ21" s="232"/>
      <c r="AIR21" s="232"/>
      <c r="AIS21" s="232"/>
      <c r="AIT21" s="232"/>
      <c r="AIU21" s="232"/>
      <c r="AIV21" s="232"/>
      <c r="AIW21" s="232"/>
      <c r="AIX21" s="232"/>
      <c r="AIY21" s="232"/>
      <c r="AIZ21" s="232"/>
      <c r="AJA21" s="232"/>
      <c r="AJB21" s="232"/>
      <c r="AJC21" s="232"/>
      <c r="AJD21" s="232"/>
      <c r="AJE21" s="232"/>
      <c r="AJF21" s="232"/>
      <c r="AJG21" s="232"/>
      <c r="AJH21" s="232"/>
      <c r="AJI21" s="232"/>
      <c r="AJJ21" s="232"/>
      <c r="AJK21" s="232"/>
      <c r="AJL21" s="232"/>
      <c r="AJM21" s="232"/>
      <c r="AJN21" s="232"/>
      <c r="AJO21" s="232"/>
      <c r="AJP21" s="232"/>
      <c r="AJQ21" s="232"/>
      <c r="AJR21" s="232"/>
      <c r="AJS21" s="232"/>
      <c r="AJT21" s="232"/>
      <c r="AJU21" s="232"/>
      <c r="AJV21" s="232"/>
      <c r="AJW21" s="232"/>
      <c r="AJX21" s="232"/>
      <c r="AJY21" s="232"/>
      <c r="AJZ21" s="232"/>
      <c r="AKA21" s="232"/>
      <c r="AKB21" s="232"/>
      <c r="AKC21" s="232"/>
      <c r="AKD21" s="232"/>
      <c r="AKE21" s="232"/>
      <c r="AKF21" s="232"/>
      <c r="AKG21" s="232"/>
      <c r="AKH21" s="232"/>
      <c r="AKI21" s="232"/>
      <c r="AKJ21" s="232"/>
      <c r="AKK21" s="232"/>
      <c r="AKL21" s="232"/>
      <c r="AKM21" s="232"/>
      <c r="AKN21" s="232"/>
      <c r="AKO21" s="232"/>
      <c r="AKP21" s="232"/>
      <c r="AKQ21" s="232"/>
      <c r="AKR21" s="232"/>
      <c r="AKS21" s="232"/>
      <c r="AKT21" s="232"/>
      <c r="AKU21" s="232"/>
      <c r="AKV21" s="232"/>
      <c r="AKW21" s="232"/>
      <c r="AKX21" s="232"/>
      <c r="AKY21" s="232"/>
      <c r="AKZ21" s="232"/>
      <c r="ALA21" s="232"/>
      <c r="ALB21" s="232"/>
      <c r="ALC21" s="232"/>
      <c r="ALD21" s="232"/>
      <c r="ALE21" s="232"/>
      <c r="ALF21" s="232"/>
      <c r="ALG21" s="232"/>
      <c r="ALH21" s="232"/>
      <c r="ALI21" s="232"/>
      <c r="ALJ21" s="232"/>
      <c r="ALK21" s="232"/>
      <c r="ALL21" s="232"/>
      <c r="ALM21" s="232"/>
      <c r="ALN21" s="232"/>
      <c r="ALO21" s="232"/>
      <c r="ALP21" s="232"/>
      <c r="ALQ21" s="232"/>
      <c r="ALR21" s="232"/>
      <c r="ALS21" s="232"/>
      <c r="ALT21" s="232"/>
      <c r="ALU21" s="232"/>
      <c r="ALV21" s="232"/>
      <c r="ALW21" s="232"/>
      <c r="ALX21" s="232"/>
      <c r="ALY21" s="232"/>
      <c r="ALZ21" s="232"/>
      <c r="AMA21" s="232"/>
      <c r="AMB21" s="232"/>
      <c r="AMC21" s="232"/>
      <c r="AMD21" s="232"/>
      <c r="AME21" s="232"/>
      <c r="AMF21" s="232"/>
      <c r="AMG21" s="232"/>
      <c r="AMH21" s="232"/>
      <c r="AMI21" s="232"/>
      <c r="AMJ21" s="232"/>
      <c r="AMK21" s="232"/>
      <c r="AML21" s="232"/>
      <c r="AMM21" s="232"/>
      <c r="AMN21" s="232"/>
      <c r="AMO21" s="232"/>
      <c r="AMP21" s="232"/>
      <c r="AMQ21" s="232"/>
      <c r="AMR21" s="232"/>
      <c r="AMS21" s="232"/>
      <c r="AMT21" s="232"/>
      <c r="AMU21" s="232"/>
      <c r="AMV21" s="232"/>
      <c r="AMW21" s="232"/>
      <c r="AMX21" s="232"/>
      <c r="AMY21" s="232"/>
      <c r="AMZ21" s="232"/>
      <c r="ANA21" s="232"/>
      <c r="ANB21" s="232"/>
      <c r="ANC21" s="232"/>
      <c r="AND21" s="232"/>
      <c r="ANE21" s="232"/>
      <c r="ANF21" s="232"/>
      <c r="ANG21" s="232"/>
      <c r="ANH21" s="232"/>
      <c r="ANI21" s="232"/>
      <c r="ANJ21" s="232"/>
      <c r="ANK21" s="232"/>
      <c r="ANL21" s="232"/>
      <c r="ANM21" s="232"/>
      <c r="ANN21" s="232"/>
      <c r="ANO21" s="232"/>
      <c r="ANP21" s="232"/>
      <c r="ANQ21" s="232"/>
      <c r="ANR21" s="232"/>
      <c r="ANS21" s="232"/>
      <c r="ANT21" s="232"/>
      <c r="ANU21" s="232"/>
      <c r="ANV21" s="232"/>
      <c r="ANW21" s="232"/>
      <c r="ANX21" s="232"/>
      <c r="ANY21" s="232"/>
      <c r="ANZ21" s="232"/>
      <c r="AOA21" s="232"/>
      <c r="AOB21" s="232"/>
      <c r="AOC21" s="232"/>
      <c r="AOD21" s="232"/>
      <c r="AOE21" s="232"/>
      <c r="AOF21" s="232"/>
      <c r="AOG21" s="232"/>
    </row>
    <row r="22" spans="1:1073">
      <c r="A22" s="2127"/>
      <c r="B22" s="233">
        <v>14</v>
      </c>
      <c r="C22" s="224"/>
      <c r="D22" s="225"/>
      <c r="E22" s="226"/>
      <c r="F22" s="226"/>
      <c r="G22" s="227" t="str">
        <f>IF(C22="","",IF(Tabelle1[[#This Row],[End Date]]&lt;COV!$E$12,0,IF(COV!E$12="","",IF(Tabelle1[[#This Row],[End Date]]-Tabelle1[[#This Row],[Start Date]]&gt;0,IF(F22&lt;COV!E$11,(F22-IF(E22&lt;COV!E$12,COV!E$12,Tabelle1[[#This Row],[Start Date]])),(COV!E$11-IF(E22&lt;COV!E$12,COV!E$12,Tabelle1[[#This Row],[Start Date]])))/365*12,""))))</f>
        <v/>
      </c>
      <c r="H22" s="225"/>
      <c r="I22" s="234"/>
      <c r="J22" s="229"/>
      <c r="K22" s="1325" t="str">
        <f>IF(Tabelle1[[#This Row],[Project Name]]="","",IF(OR(Tabelle1[[#This Row],[PM Category]]=CAT_A_NAME,Tabelle1[[#This Row],[PM Category]]=CAT_B_NAME,Tabelle1[[#This Row],[PM Category]]=CAT_C_NAME,Tabelle1[[#This Row],[PM Category]]=CAT_D_NAME,Tabelle1[[#This Row],[PM Category]]=CAT_E_NAME,Tabelle1[[#This Row],[PM Category]]=CAT_SPJ,Tabelle1[[#This Row],[PM Category]]=CAT_PJ,Tabelle1[[#This Row],[PM Category]]=""),"","1"))</f>
        <v/>
      </c>
      <c r="L22" s="1326">
        <f>IF(Tabelle1[[#This Row],[Role]]="PJM",1)+IF(Tabelle1[[#This Row],[Role]]="PGM",1)+IF(Tabelle1[[#This Row],[Role]]="PFM",1)+IF(Tabelle1[[#This Row],[Role]]="TPM",1)+IF(Tabelle1[[#This Row],[Role]]="CPM",1)</f>
        <v>0</v>
      </c>
      <c r="M22" s="230" t="str">
        <f>IFERROR(IF(Tabelle1[[#This Row],[Project Name]]&lt;&gt;"",IF(G22*I22&gt;0,G22,""),"")*Tabelle1[[#This Row],[Role Check]],"")</f>
        <v/>
      </c>
      <c r="N22" s="231" t="str">
        <f>IFERROR(Tabelle1[[#This Row],[Duration '[months']]]*Tabelle1[[#This Row],[Avg. time spent in resp. Role]],"")</f>
        <v/>
      </c>
      <c r="O22" s="221"/>
      <c r="S22" s="208" t="str">
        <f>IF(Tabelle1[[#This Row],[Project Name]]&lt;&gt;"",Tabelle1[[#This Row],[Project Name]],"")</f>
        <v/>
      </c>
      <c r="T22" s="232">
        <f t="shared" si="12"/>
        <v>0</v>
      </c>
      <c r="U22" s="545" t="e">
        <f t="shared" si="12"/>
        <v>#VALUE!</v>
      </c>
      <c r="V22" s="545" t="e">
        <f t="shared" si="38"/>
        <v>#VALUE!</v>
      </c>
      <c r="W22" s="232" t="e">
        <f t="shared" si="38"/>
        <v>#VALUE!</v>
      </c>
      <c r="X22" s="232" t="e">
        <f t="shared" si="38"/>
        <v>#VALUE!</v>
      </c>
      <c r="Y22" s="232" t="e">
        <f t="shared" si="38"/>
        <v>#VALUE!</v>
      </c>
      <c r="Z22" s="232" t="e">
        <f t="shared" si="38"/>
        <v>#VALUE!</v>
      </c>
      <c r="AA22" s="232" t="e">
        <f t="shared" si="38"/>
        <v>#VALUE!</v>
      </c>
      <c r="AB22" s="232" t="e">
        <f t="shared" si="38"/>
        <v>#VALUE!</v>
      </c>
      <c r="AC22" s="232" t="e">
        <f t="shared" si="38"/>
        <v>#VALUE!</v>
      </c>
      <c r="AD22" s="232" t="e">
        <f t="shared" si="38"/>
        <v>#VALUE!</v>
      </c>
      <c r="AE22" s="232" t="e">
        <f t="shared" si="38"/>
        <v>#VALUE!</v>
      </c>
      <c r="AF22" s="232" t="e">
        <f t="shared" si="39"/>
        <v>#VALUE!</v>
      </c>
      <c r="AG22" s="232" t="e">
        <f t="shared" si="39"/>
        <v>#VALUE!</v>
      </c>
      <c r="AH22" s="232" t="e">
        <f t="shared" si="39"/>
        <v>#VALUE!</v>
      </c>
      <c r="AI22" s="232" t="e">
        <f t="shared" si="39"/>
        <v>#VALUE!</v>
      </c>
      <c r="AJ22" s="232" t="e">
        <f t="shared" si="39"/>
        <v>#VALUE!</v>
      </c>
      <c r="AK22" s="232" t="e">
        <f t="shared" si="39"/>
        <v>#VALUE!</v>
      </c>
      <c r="AL22" s="232" t="e">
        <f t="shared" si="39"/>
        <v>#VALUE!</v>
      </c>
      <c r="AM22" s="232" t="e">
        <f t="shared" si="39"/>
        <v>#VALUE!</v>
      </c>
      <c r="AN22" s="232" t="e">
        <f t="shared" si="39"/>
        <v>#VALUE!</v>
      </c>
      <c r="AO22" s="232" t="e">
        <f t="shared" si="39"/>
        <v>#VALUE!</v>
      </c>
      <c r="AP22" s="232" t="e">
        <f t="shared" si="40"/>
        <v>#VALUE!</v>
      </c>
      <c r="AQ22" s="232" t="e">
        <f t="shared" si="40"/>
        <v>#VALUE!</v>
      </c>
      <c r="AR22" s="232" t="e">
        <f t="shared" si="40"/>
        <v>#VALUE!</v>
      </c>
      <c r="AS22" s="232" t="e">
        <f t="shared" si="40"/>
        <v>#VALUE!</v>
      </c>
      <c r="AT22" s="232" t="e">
        <f t="shared" si="40"/>
        <v>#VALUE!</v>
      </c>
      <c r="AU22" s="232" t="e">
        <f t="shared" si="40"/>
        <v>#VALUE!</v>
      </c>
      <c r="AV22" s="232" t="e">
        <f t="shared" si="40"/>
        <v>#VALUE!</v>
      </c>
      <c r="AW22" s="232" t="e">
        <f t="shared" si="40"/>
        <v>#VALUE!</v>
      </c>
      <c r="AX22" s="232" t="e">
        <f t="shared" si="40"/>
        <v>#VALUE!</v>
      </c>
      <c r="AY22" s="232" t="e">
        <f t="shared" si="40"/>
        <v>#VALUE!</v>
      </c>
      <c r="AZ22" s="232" t="e">
        <f t="shared" si="41"/>
        <v>#VALUE!</v>
      </c>
      <c r="BA22" s="232" t="e">
        <f t="shared" si="41"/>
        <v>#VALUE!</v>
      </c>
      <c r="BB22" s="232" t="e">
        <f t="shared" si="41"/>
        <v>#VALUE!</v>
      </c>
      <c r="BC22" s="232" t="e">
        <f t="shared" si="41"/>
        <v>#VALUE!</v>
      </c>
      <c r="BD22" s="232" t="e">
        <f t="shared" si="41"/>
        <v>#VALUE!</v>
      </c>
      <c r="BE22" s="232" t="e">
        <f t="shared" si="41"/>
        <v>#VALUE!</v>
      </c>
      <c r="BF22" s="232" t="e">
        <f t="shared" si="41"/>
        <v>#VALUE!</v>
      </c>
      <c r="BG22" s="232" t="e">
        <f t="shared" si="41"/>
        <v>#VALUE!</v>
      </c>
      <c r="BH22" s="232" t="e">
        <f t="shared" si="41"/>
        <v>#VALUE!</v>
      </c>
      <c r="BI22" s="232" t="e">
        <f t="shared" si="41"/>
        <v>#VALUE!</v>
      </c>
      <c r="BJ22" s="232" t="e">
        <f t="shared" si="42"/>
        <v>#VALUE!</v>
      </c>
      <c r="BK22" s="232" t="e">
        <f t="shared" si="42"/>
        <v>#VALUE!</v>
      </c>
      <c r="BL22" s="232" t="e">
        <f t="shared" si="42"/>
        <v>#VALUE!</v>
      </c>
      <c r="BM22" s="232" t="e">
        <f t="shared" si="42"/>
        <v>#VALUE!</v>
      </c>
      <c r="BN22" s="232" t="e">
        <f t="shared" si="42"/>
        <v>#VALUE!</v>
      </c>
      <c r="BO22" s="232" t="e">
        <f t="shared" si="42"/>
        <v>#VALUE!</v>
      </c>
      <c r="BP22" s="232" t="e">
        <f t="shared" si="42"/>
        <v>#VALUE!</v>
      </c>
      <c r="BQ22" s="232" t="e">
        <f t="shared" si="42"/>
        <v>#VALUE!</v>
      </c>
      <c r="BR22" s="232" t="e">
        <f t="shared" si="42"/>
        <v>#VALUE!</v>
      </c>
      <c r="BS22" s="232" t="e">
        <f t="shared" si="42"/>
        <v>#VALUE!</v>
      </c>
      <c r="BT22" s="232" t="e">
        <f t="shared" si="43"/>
        <v>#VALUE!</v>
      </c>
      <c r="BU22" s="232" t="e">
        <f t="shared" si="43"/>
        <v>#VALUE!</v>
      </c>
      <c r="BV22" s="232" t="e">
        <f t="shared" si="43"/>
        <v>#VALUE!</v>
      </c>
      <c r="BW22" s="232" t="e">
        <f t="shared" si="43"/>
        <v>#VALUE!</v>
      </c>
      <c r="BX22" s="232" t="e">
        <f t="shared" si="43"/>
        <v>#VALUE!</v>
      </c>
      <c r="BY22" s="232" t="e">
        <f t="shared" si="43"/>
        <v>#VALUE!</v>
      </c>
      <c r="BZ22" s="232" t="e">
        <f t="shared" si="43"/>
        <v>#VALUE!</v>
      </c>
      <c r="CA22" s="232" t="e">
        <f t="shared" si="43"/>
        <v>#VALUE!</v>
      </c>
      <c r="CB22" s="232" t="e">
        <f t="shared" si="43"/>
        <v>#VALUE!</v>
      </c>
      <c r="CC22" s="232" t="e">
        <f t="shared" si="43"/>
        <v>#VALUE!</v>
      </c>
      <c r="CD22" s="232" t="e">
        <f t="shared" si="44"/>
        <v>#VALUE!</v>
      </c>
      <c r="CE22" s="232" t="e">
        <f t="shared" si="44"/>
        <v>#VALUE!</v>
      </c>
      <c r="CF22" s="232" t="e">
        <f t="shared" si="44"/>
        <v>#VALUE!</v>
      </c>
      <c r="CG22" s="232" t="e">
        <f t="shared" si="44"/>
        <v>#VALUE!</v>
      </c>
      <c r="CH22" s="232" t="e">
        <f t="shared" si="44"/>
        <v>#VALUE!</v>
      </c>
      <c r="CI22" s="232" t="e">
        <f t="shared" si="44"/>
        <v>#VALUE!</v>
      </c>
      <c r="CJ22" s="232" t="e">
        <f t="shared" si="44"/>
        <v>#VALUE!</v>
      </c>
      <c r="CK22" s="232" t="e">
        <f t="shared" si="44"/>
        <v>#VALUE!</v>
      </c>
      <c r="CL22" s="232" t="e">
        <f t="shared" si="44"/>
        <v>#VALUE!</v>
      </c>
      <c r="CM22" s="232" t="e">
        <f t="shared" si="44"/>
        <v>#VALUE!</v>
      </c>
      <c r="CN22" s="232" t="e">
        <f t="shared" si="45"/>
        <v>#VALUE!</v>
      </c>
      <c r="CO22" s="232" t="e">
        <f t="shared" si="45"/>
        <v>#VALUE!</v>
      </c>
      <c r="CP22" s="232" t="e">
        <f t="shared" si="45"/>
        <v>#VALUE!</v>
      </c>
      <c r="CQ22" s="232" t="e">
        <f t="shared" si="45"/>
        <v>#VALUE!</v>
      </c>
      <c r="CR22" s="232" t="e">
        <f t="shared" si="45"/>
        <v>#VALUE!</v>
      </c>
      <c r="CS22" s="232" t="e">
        <f t="shared" si="45"/>
        <v>#VALUE!</v>
      </c>
      <c r="CT22" s="232" t="e">
        <f t="shared" si="45"/>
        <v>#VALUE!</v>
      </c>
      <c r="CU22" s="232" t="e">
        <f t="shared" si="45"/>
        <v>#VALUE!</v>
      </c>
      <c r="CV22" s="232" t="e">
        <f t="shared" si="45"/>
        <v>#VALUE!</v>
      </c>
      <c r="CW22" s="232" t="e">
        <f t="shared" si="45"/>
        <v>#VALUE!</v>
      </c>
      <c r="CX22" s="232" t="e">
        <f t="shared" si="46"/>
        <v>#VALUE!</v>
      </c>
      <c r="CY22" s="232" t="e">
        <f t="shared" si="46"/>
        <v>#VALUE!</v>
      </c>
      <c r="CZ22" s="232" t="e">
        <f t="shared" si="46"/>
        <v>#VALUE!</v>
      </c>
      <c r="DA22" s="232" t="e">
        <f t="shared" si="46"/>
        <v>#VALUE!</v>
      </c>
      <c r="DB22" s="232" t="e">
        <f t="shared" si="46"/>
        <v>#VALUE!</v>
      </c>
      <c r="DC22" s="232" t="e">
        <f t="shared" si="46"/>
        <v>#VALUE!</v>
      </c>
      <c r="DD22" s="232" t="e">
        <f t="shared" si="46"/>
        <v>#VALUE!</v>
      </c>
      <c r="DE22" s="232" t="e">
        <f t="shared" si="46"/>
        <v>#VALUE!</v>
      </c>
      <c r="DF22" s="232" t="e">
        <f t="shared" si="46"/>
        <v>#VALUE!</v>
      </c>
      <c r="DG22" s="232" t="e">
        <f t="shared" si="46"/>
        <v>#VALUE!</v>
      </c>
      <c r="DH22" s="232" t="e">
        <f t="shared" si="47"/>
        <v>#VALUE!</v>
      </c>
      <c r="DI22" s="232" t="e">
        <f t="shared" si="47"/>
        <v>#VALUE!</v>
      </c>
      <c r="DJ22" s="232" t="e">
        <f t="shared" si="47"/>
        <v>#VALUE!</v>
      </c>
      <c r="DK22" s="232" t="e">
        <f t="shared" si="47"/>
        <v>#VALUE!</v>
      </c>
      <c r="DL22" s="232" t="e">
        <f t="shared" si="47"/>
        <v>#VALUE!</v>
      </c>
      <c r="DM22" s="232" t="e">
        <f t="shared" si="47"/>
        <v>#VALUE!</v>
      </c>
      <c r="DN22" s="232" t="e">
        <f t="shared" si="47"/>
        <v>#VALUE!</v>
      </c>
      <c r="DO22" s="232" t="e">
        <f t="shared" si="47"/>
        <v>#VALUE!</v>
      </c>
      <c r="DP22" s="232" t="e">
        <f t="shared" si="47"/>
        <v>#VALUE!</v>
      </c>
      <c r="DQ22" s="232" t="e">
        <f t="shared" si="47"/>
        <v>#VALUE!</v>
      </c>
      <c r="DR22" s="232" t="e">
        <f t="shared" si="48"/>
        <v>#VALUE!</v>
      </c>
      <c r="DS22" s="232" t="e">
        <f t="shared" si="48"/>
        <v>#VALUE!</v>
      </c>
      <c r="DT22" s="232" t="e">
        <f t="shared" si="48"/>
        <v>#VALUE!</v>
      </c>
      <c r="DU22" s="232" t="e">
        <f t="shared" si="48"/>
        <v>#VALUE!</v>
      </c>
      <c r="DV22" s="232" t="e">
        <f t="shared" si="48"/>
        <v>#VALUE!</v>
      </c>
      <c r="DW22" s="232" t="e">
        <f t="shared" si="48"/>
        <v>#VALUE!</v>
      </c>
      <c r="DX22" s="232" t="e">
        <f t="shared" si="48"/>
        <v>#VALUE!</v>
      </c>
      <c r="DY22" s="232" t="e">
        <f t="shared" si="48"/>
        <v>#VALUE!</v>
      </c>
      <c r="DZ22" s="232" t="e">
        <f t="shared" si="48"/>
        <v>#VALUE!</v>
      </c>
      <c r="EA22" s="232" t="e">
        <f t="shared" si="48"/>
        <v>#VALUE!</v>
      </c>
      <c r="EB22" s="232" t="e">
        <f t="shared" si="49"/>
        <v>#VALUE!</v>
      </c>
      <c r="EC22" s="232" t="e">
        <f t="shared" si="49"/>
        <v>#VALUE!</v>
      </c>
      <c r="ED22" s="232" t="e">
        <f t="shared" si="49"/>
        <v>#VALUE!</v>
      </c>
      <c r="EE22" s="232" t="e">
        <f t="shared" si="49"/>
        <v>#VALUE!</v>
      </c>
      <c r="EF22" s="232" t="e">
        <f t="shared" si="49"/>
        <v>#VALUE!</v>
      </c>
      <c r="EG22" s="232" t="e">
        <f t="shared" si="49"/>
        <v>#VALUE!</v>
      </c>
      <c r="EH22" s="232" t="e">
        <f t="shared" si="49"/>
        <v>#VALUE!</v>
      </c>
      <c r="EI22" s="232" t="e">
        <f t="shared" si="49"/>
        <v>#VALUE!</v>
      </c>
      <c r="EJ22" s="232" t="e">
        <f t="shared" si="49"/>
        <v>#VALUE!</v>
      </c>
      <c r="EK22" s="232" t="e">
        <f t="shared" si="49"/>
        <v>#VALUE!</v>
      </c>
      <c r="EL22" s="232" t="e">
        <f t="shared" si="50"/>
        <v>#VALUE!</v>
      </c>
      <c r="EM22" s="232" t="e">
        <f t="shared" si="50"/>
        <v>#VALUE!</v>
      </c>
      <c r="EN22" s="232" t="e">
        <f t="shared" si="50"/>
        <v>#VALUE!</v>
      </c>
      <c r="EO22" s="232" t="e">
        <f t="shared" si="50"/>
        <v>#VALUE!</v>
      </c>
      <c r="EP22" s="232" t="e">
        <f t="shared" si="50"/>
        <v>#VALUE!</v>
      </c>
      <c r="EQ22" s="232" t="e">
        <f t="shared" si="50"/>
        <v>#VALUE!</v>
      </c>
      <c r="ER22" s="232" t="e">
        <f t="shared" si="50"/>
        <v>#VALUE!</v>
      </c>
      <c r="ES22" s="232" t="e">
        <f t="shared" si="50"/>
        <v>#VALUE!</v>
      </c>
      <c r="ET22" s="232" t="e">
        <f t="shared" si="50"/>
        <v>#VALUE!</v>
      </c>
      <c r="EU22" s="232" t="e">
        <f t="shared" si="50"/>
        <v>#VALUE!</v>
      </c>
      <c r="EV22" s="232" t="e">
        <f t="shared" si="51"/>
        <v>#VALUE!</v>
      </c>
      <c r="EW22" s="232" t="e">
        <f t="shared" si="51"/>
        <v>#VALUE!</v>
      </c>
      <c r="EX22" s="232" t="e">
        <f t="shared" si="51"/>
        <v>#VALUE!</v>
      </c>
      <c r="EY22" s="232" t="e">
        <f t="shared" si="51"/>
        <v>#VALUE!</v>
      </c>
      <c r="EZ22" s="232" t="e">
        <f t="shared" si="51"/>
        <v>#VALUE!</v>
      </c>
      <c r="FA22" s="232" t="e">
        <f t="shared" si="51"/>
        <v>#VALUE!</v>
      </c>
      <c r="FB22" s="232" t="e">
        <f t="shared" si="51"/>
        <v>#VALUE!</v>
      </c>
      <c r="FC22" s="232" t="e">
        <f t="shared" si="51"/>
        <v>#VALUE!</v>
      </c>
      <c r="FD22" s="232" t="e">
        <f t="shared" si="51"/>
        <v>#VALUE!</v>
      </c>
      <c r="FE22" s="232" t="e">
        <f t="shared" si="51"/>
        <v>#VALUE!</v>
      </c>
      <c r="FF22" s="232" t="e">
        <f t="shared" si="52"/>
        <v>#VALUE!</v>
      </c>
      <c r="FG22" s="232" t="e">
        <f t="shared" si="52"/>
        <v>#VALUE!</v>
      </c>
      <c r="FH22" s="232" t="e">
        <f t="shared" si="52"/>
        <v>#VALUE!</v>
      </c>
      <c r="FI22" s="232" t="e">
        <f t="shared" si="52"/>
        <v>#VALUE!</v>
      </c>
      <c r="FJ22" s="232" t="e">
        <f t="shared" si="52"/>
        <v>#VALUE!</v>
      </c>
      <c r="FK22" s="232" t="e">
        <f t="shared" si="52"/>
        <v>#VALUE!</v>
      </c>
      <c r="FL22" s="232" t="e">
        <f t="shared" si="52"/>
        <v>#VALUE!</v>
      </c>
      <c r="FM22" s="232" t="e">
        <f t="shared" si="52"/>
        <v>#VALUE!</v>
      </c>
      <c r="FN22" s="232" t="e">
        <f t="shared" si="52"/>
        <v>#VALUE!</v>
      </c>
      <c r="FO22" s="232" t="e">
        <f t="shared" si="52"/>
        <v>#VALUE!</v>
      </c>
      <c r="FP22" s="232" t="e">
        <f t="shared" si="53"/>
        <v>#VALUE!</v>
      </c>
      <c r="FQ22" s="232" t="e">
        <f t="shared" si="53"/>
        <v>#VALUE!</v>
      </c>
      <c r="FR22" s="232" t="e">
        <f t="shared" si="53"/>
        <v>#VALUE!</v>
      </c>
      <c r="FS22" s="232" t="e">
        <f t="shared" si="53"/>
        <v>#VALUE!</v>
      </c>
      <c r="FT22" s="232" t="e">
        <f t="shared" si="53"/>
        <v>#VALUE!</v>
      </c>
      <c r="FU22" s="232" t="e">
        <f t="shared" si="53"/>
        <v>#VALUE!</v>
      </c>
      <c r="FV22" s="232" t="e">
        <f t="shared" si="53"/>
        <v>#VALUE!</v>
      </c>
      <c r="FW22" s="232" t="e">
        <f t="shared" si="53"/>
        <v>#VALUE!</v>
      </c>
      <c r="FX22" s="232" t="e">
        <f t="shared" si="53"/>
        <v>#VALUE!</v>
      </c>
      <c r="FY22" s="232" t="e">
        <f t="shared" si="53"/>
        <v>#VALUE!</v>
      </c>
      <c r="FZ22" s="232" t="e">
        <f t="shared" si="54"/>
        <v>#VALUE!</v>
      </c>
      <c r="GA22" s="232" t="e">
        <f t="shared" si="54"/>
        <v>#VALUE!</v>
      </c>
      <c r="GB22" s="232" t="e">
        <f t="shared" si="54"/>
        <v>#VALUE!</v>
      </c>
      <c r="GC22" s="232" t="e">
        <f t="shared" si="54"/>
        <v>#VALUE!</v>
      </c>
      <c r="GD22" s="232" t="e">
        <f t="shared" si="54"/>
        <v>#VALUE!</v>
      </c>
      <c r="GE22" s="232" t="e">
        <f t="shared" si="54"/>
        <v>#VALUE!</v>
      </c>
      <c r="GF22" s="232" t="e">
        <f t="shared" si="54"/>
        <v>#VALUE!</v>
      </c>
      <c r="GG22" s="232" t="e">
        <f t="shared" si="54"/>
        <v>#VALUE!</v>
      </c>
      <c r="GH22" s="232" t="e">
        <f t="shared" si="54"/>
        <v>#VALUE!</v>
      </c>
      <c r="GI22" s="232" t="e">
        <f t="shared" si="54"/>
        <v>#VALUE!</v>
      </c>
      <c r="GJ22" s="232" t="e">
        <f t="shared" si="55"/>
        <v>#VALUE!</v>
      </c>
      <c r="GK22" s="232" t="e">
        <f t="shared" si="55"/>
        <v>#VALUE!</v>
      </c>
      <c r="GL22" s="232" t="e">
        <f t="shared" si="55"/>
        <v>#VALUE!</v>
      </c>
      <c r="GM22" s="232" t="e">
        <f t="shared" si="55"/>
        <v>#VALUE!</v>
      </c>
      <c r="GN22" s="232" t="e">
        <f t="shared" si="55"/>
        <v>#VALUE!</v>
      </c>
      <c r="GO22" s="232" t="e">
        <f t="shared" si="55"/>
        <v>#VALUE!</v>
      </c>
      <c r="GP22" s="232" t="e">
        <f t="shared" si="55"/>
        <v>#VALUE!</v>
      </c>
      <c r="GQ22" s="232" t="e">
        <f t="shared" si="55"/>
        <v>#VALUE!</v>
      </c>
      <c r="GR22" s="232" t="e">
        <f t="shared" si="55"/>
        <v>#VALUE!</v>
      </c>
      <c r="GS22" s="232" t="e">
        <f t="shared" si="55"/>
        <v>#VALUE!</v>
      </c>
      <c r="GT22" s="232" t="e">
        <f t="shared" si="56"/>
        <v>#VALUE!</v>
      </c>
      <c r="GU22" s="232" t="e">
        <f t="shared" si="56"/>
        <v>#VALUE!</v>
      </c>
      <c r="GV22" s="232" t="e">
        <f t="shared" si="56"/>
        <v>#VALUE!</v>
      </c>
      <c r="GW22" s="232" t="e">
        <f t="shared" si="56"/>
        <v>#VALUE!</v>
      </c>
      <c r="GX22" s="232" t="e">
        <f t="shared" si="56"/>
        <v>#VALUE!</v>
      </c>
      <c r="GY22" s="232" t="e">
        <f t="shared" si="56"/>
        <v>#VALUE!</v>
      </c>
      <c r="GZ22" s="232" t="e">
        <f t="shared" si="56"/>
        <v>#VALUE!</v>
      </c>
      <c r="HA22" s="232" t="e">
        <f t="shared" si="56"/>
        <v>#VALUE!</v>
      </c>
      <c r="HB22" s="232" t="e">
        <f t="shared" si="56"/>
        <v>#VALUE!</v>
      </c>
      <c r="HC22" s="232" t="e">
        <f t="shared" si="56"/>
        <v>#VALUE!</v>
      </c>
      <c r="HD22" s="232" t="e">
        <f t="shared" si="57"/>
        <v>#VALUE!</v>
      </c>
      <c r="HE22" s="232" t="e">
        <f t="shared" si="57"/>
        <v>#VALUE!</v>
      </c>
      <c r="HF22" s="232" t="e">
        <f t="shared" si="57"/>
        <v>#VALUE!</v>
      </c>
      <c r="HG22" s="232" t="e">
        <f t="shared" si="57"/>
        <v>#VALUE!</v>
      </c>
      <c r="HH22" s="232" t="e">
        <f t="shared" si="57"/>
        <v>#VALUE!</v>
      </c>
      <c r="HI22" s="232" t="e">
        <f t="shared" si="57"/>
        <v>#VALUE!</v>
      </c>
      <c r="HJ22" s="232" t="e">
        <f t="shared" si="57"/>
        <v>#VALUE!</v>
      </c>
      <c r="HK22" s="232" t="e">
        <f t="shared" si="57"/>
        <v>#VALUE!</v>
      </c>
      <c r="HL22" s="232" t="e">
        <f t="shared" si="57"/>
        <v>#VALUE!</v>
      </c>
      <c r="HM22" s="232" t="e">
        <f t="shared" si="57"/>
        <v>#VALUE!</v>
      </c>
      <c r="HN22" s="232" t="e">
        <f t="shared" si="58"/>
        <v>#VALUE!</v>
      </c>
      <c r="HO22" s="232" t="e">
        <f t="shared" si="58"/>
        <v>#VALUE!</v>
      </c>
      <c r="HP22" s="232" t="e">
        <f t="shared" si="58"/>
        <v>#VALUE!</v>
      </c>
      <c r="HQ22" s="232" t="e">
        <f t="shared" si="58"/>
        <v>#VALUE!</v>
      </c>
      <c r="HR22" s="232" t="e">
        <f t="shared" si="58"/>
        <v>#VALUE!</v>
      </c>
      <c r="HS22" s="232" t="e">
        <f t="shared" si="58"/>
        <v>#VALUE!</v>
      </c>
      <c r="HT22" s="232" t="e">
        <f t="shared" si="58"/>
        <v>#VALUE!</v>
      </c>
      <c r="HU22" s="232" t="e">
        <f t="shared" si="58"/>
        <v>#VALUE!</v>
      </c>
      <c r="HV22" s="232" t="e">
        <f t="shared" si="58"/>
        <v>#VALUE!</v>
      </c>
      <c r="HW22" s="232" t="e">
        <f t="shared" si="58"/>
        <v>#VALUE!</v>
      </c>
      <c r="HX22" s="232" t="e">
        <f t="shared" si="59"/>
        <v>#VALUE!</v>
      </c>
      <c r="HY22" s="232" t="e">
        <f t="shared" si="59"/>
        <v>#VALUE!</v>
      </c>
      <c r="HZ22" s="232" t="e">
        <f t="shared" si="59"/>
        <v>#VALUE!</v>
      </c>
      <c r="IA22" s="232" t="e">
        <f t="shared" si="59"/>
        <v>#VALUE!</v>
      </c>
      <c r="IB22" s="232" t="e">
        <f t="shared" si="59"/>
        <v>#VALUE!</v>
      </c>
      <c r="IC22" s="232" t="e">
        <f t="shared" si="59"/>
        <v>#VALUE!</v>
      </c>
      <c r="ID22" s="232" t="e">
        <f t="shared" si="59"/>
        <v>#VALUE!</v>
      </c>
      <c r="IE22" s="232" t="e">
        <f t="shared" si="59"/>
        <v>#VALUE!</v>
      </c>
      <c r="IF22" s="232" t="e">
        <f t="shared" si="59"/>
        <v>#VALUE!</v>
      </c>
      <c r="IG22" s="232" t="e">
        <f t="shared" si="59"/>
        <v>#VALUE!</v>
      </c>
      <c r="IH22" s="232" t="e">
        <f t="shared" si="60"/>
        <v>#VALUE!</v>
      </c>
      <c r="II22" s="232" t="e">
        <f t="shared" si="60"/>
        <v>#VALUE!</v>
      </c>
      <c r="IJ22" s="232" t="e">
        <f t="shared" si="60"/>
        <v>#VALUE!</v>
      </c>
      <c r="IK22" s="232" t="e">
        <f t="shared" si="60"/>
        <v>#VALUE!</v>
      </c>
      <c r="IL22" s="232" t="e">
        <f t="shared" si="60"/>
        <v>#VALUE!</v>
      </c>
      <c r="IM22" s="232" t="e">
        <f t="shared" si="60"/>
        <v>#VALUE!</v>
      </c>
      <c r="IN22" s="232" t="e">
        <f t="shared" si="60"/>
        <v>#VALUE!</v>
      </c>
      <c r="IO22" s="232" t="e">
        <f t="shared" si="60"/>
        <v>#VALUE!</v>
      </c>
      <c r="IP22" s="232" t="e">
        <f t="shared" si="60"/>
        <v>#VALUE!</v>
      </c>
      <c r="IQ22" s="232" t="e">
        <f t="shared" si="60"/>
        <v>#VALUE!</v>
      </c>
      <c r="IR22" s="232" t="e">
        <f t="shared" si="61"/>
        <v>#VALUE!</v>
      </c>
      <c r="IS22" s="232" t="e">
        <f t="shared" si="61"/>
        <v>#VALUE!</v>
      </c>
      <c r="IT22" s="232" t="e">
        <f t="shared" si="61"/>
        <v>#VALUE!</v>
      </c>
      <c r="IU22" s="232" t="e">
        <f t="shared" si="61"/>
        <v>#VALUE!</v>
      </c>
      <c r="IV22" s="232" t="e">
        <f t="shared" si="61"/>
        <v>#VALUE!</v>
      </c>
      <c r="IW22" s="232" t="e">
        <f t="shared" si="61"/>
        <v>#VALUE!</v>
      </c>
      <c r="IX22" s="232" t="e">
        <f t="shared" si="61"/>
        <v>#VALUE!</v>
      </c>
      <c r="IY22" s="232" t="e">
        <f t="shared" si="61"/>
        <v>#VALUE!</v>
      </c>
      <c r="IZ22" s="232" t="e">
        <f t="shared" si="61"/>
        <v>#VALUE!</v>
      </c>
      <c r="JA22" s="232" t="e">
        <f t="shared" si="61"/>
        <v>#VALUE!</v>
      </c>
      <c r="JB22" s="232" t="e">
        <f t="shared" si="62"/>
        <v>#VALUE!</v>
      </c>
      <c r="JC22" s="232" t="e">
        <f t="shared" si="62"/>
        <v>#VALUE!</v>
      </c>
      <c r="JD22" s="232" t="e">
        <f t="shared" si="62"/>
        <v>#VALUE!</v>
      </c>
      <c r="JE22" s="232" t="e">
        <f t="shared" si="62"/>
        <v>#VALUE!</v>
      </c>
      <c r="JF22" s="232" t="e">
        <f t="shared" si="62"/>
        <v>#VALUE!</v>
      </c>
      <c r="JG22" s="232" t="e">
        <f t="shared" si="62"/>
        <v>#VALUE!</v>
      </c>
      <c r="JH22" s="232" t="e">
        <f t="shared" si="62"/>
        <v>#VALUE!</v>
      </c>
      <c r="JI22" s="232" t="e">
        <f t="shared" si="62"/>
        <v>#VALUE!</v>
      </c>
      <c r="JJ22" s="232" t="e">
        <f t="shared" si="62"/>
        <v>#VALUE!</v>
      </c>
      <c r="JK22" s="232"/>
      <c r="JL22" s="232"/>
      <c r="JM22" s="232"/>
      <c r="JN22" s="232"/>
      <c r="JO22" s="232"/>
      <c r="JP22" s="232"/>
      <c r="JQ22" s="232"/>
      <c r="JR22" s="232"/>
      <c r="JS22" s="232"/>
      <c r="JT22" s="232"/>
      <c r="JU22" s="232"/>
      <c r="JV22" s="232"/>
      <c r="JW22" s="232"/>
      <c r="JX22" s="232"/>
      <c r="JY22" s="232"/>
      <c r="JZ22" s="232"/>
      <c r="KA22" s="232"/>
      <c r="KB22" s="232"/>
      <c r="KC22" s="232"/>
      <c r="KD22" s="232"/>
      <c r="KE22" s="232"/>
      <c r="KF22" s="232"/>
      <c r="KG22" s="232"/>
      <c r="KH22" s="232"/>
      <c r="KI22" s="232"/>
      <c r="KJ22" s="232"/>
      <c r="KK22" s="232"/>
      <c r="KL22" s="232"/>
      <c r="KM22" s="232"/>
      <c r="KN22" s="232"/>
      <c r="KO22" s="232"/>
      <c r="KP22" s="232"/>
      <c r="KQ22" s="232"/>
      <c r="KR22" s="232"/>
      <c r="KS22" s="232"/>
      <c r="KT22" s="232"/>
      <c r="KU22" s="232"/>
      <c r="KV22" s="232"/>
      <c r="KW22" s="232"/>
      <c r="KX22" s="232"/>
      <c r="KY22" s="232"/>
      <c r="KZ22" s="232"/>
      <c r="LA22" s="232"/>
      <c r="LB22" s="232"/>
      <c r="LC22" s="232"/>
      <c r="LD22" s="232"/>
      <c r="LE22" s="232"/>
      <c r="LF22" s="232"/>
      <c r="LG22" s="232"/>
      <c r="LH22" s="232"/>
      <c r="LI22" s="232"/>
      <c r="LJ22" s="232"/>
      <c r="LK22" s="232"/>
      <c r="LL22" s="232"/>
      <c r="LM22" s="232"/>
      <c r="LN22" s="232"/>
      <c r="LO22" s="232"/>
      <c r="LP22" s="232"/>
      <c r="LQ22" s="232"/>
      <c r="LR22" s="232"/>
      <c r="LS22" s="232"/>
      <c r="LT22" s="232"/>
      <c r="LU22" s="232"/>
      <c r="LV22" s="232"/>
      <c r="LW22" s="232"/>
      <c r="LX22" s="232"/>
      <c r="LY22" s="232"/>
      <c r="LZ22" s="232"/>
      <c r="MA22" s="232"/>
      <c r="MB22" s="232"/>
      <c r="MC22" s="232"/>
      <c r="MD22" s="232"/>
      <c r="ME22" s="232"/>
      <c r="MF22" s="232"/>
      <c r="MG22" s="232"/>
      <c r="MH22" s="232"/>
      <c r="MI22" s="232"/>
      <c r="MJ22" s="232"/>
      <c r="MK22" s="232"/>
      <c r="ML22" s="232"/>
      <c r="MM22" s="232"/>
      <c r="MN22" s="232"/>
      <c r="MO22" s="232"/>
      <c r="MP22" s="232"/>
      <c r="MQ22" s="232"/>
      <c r="MR22" s="232"/>
      <c r="MS22" s="232"/>
      <c r="MT22" s="232"/>
      <c r="MU22" s="232"/>
      <c r="MV22" s="232"/>
      <c r="MW22" s="232"/>
      <c r="MX22" s="232"/>
      <c r="MY22" s="232"/>
      <c r="MZ22" s="232"/>
      <c r="NA22" s="232"/>
      <c r="NB22" s="232"/>
      <c r="NC22" s="232"/>
      <c r="ND22" s="232"/>
      <c r="NE22" s="232"/>
      <c r="NF22" s="232"/>
      <c r="NG22" s="232"/>
      <c r="NH22" s="232"/>
      <c r="NI22" s="232"/>
      <c r="NJ22" s="232"/>
      <c r="NK22" s="232"/>
      <c r="NL22" s="232"/>
      <c r="NM22" s="232"/>
      <c r="NN22" s="232"/>
      <c r="NO22" s="232"/>
      <c r="NP22" s="232"/>
      <c r="NQ22" s="232"/>
      <c r="NR22" s="232"/>
      <c r="NS22" s="232"/>
      <c r="NT22" s="232"/>
      <c r="NU22" s="232"/>
      <c r="NV22" s="232"/>
      <c r="NW22" s="232"/>
      <c r="NX22" s="232"/>
      <c r="NY22" s="232"/>
      <c r="NZ22" s="232"/>
      <c r="OA22" s="232"/>
      <c r="OB22" s="232"/>
      <c r="OC22" s="232"/>
      <c r="OD22" s="232"/>
      <c r="OE22" s="232"/>
      <c r="OF22" s="232"/>
      <c r="OG22" s="232"/>
      <c r="OH22" s="232"/>
      <c r="OI22" s="232"/>
      <c r="OJ22" s="232"/>
      <c r="OK22" s="232"/>
      <c r="OL22" s="232"/>
      <c r="OM22" s="232"/>
      <c r="ON22" s="232"/>
      <c r="OO22" s="232"/>
      <c r="OP22" s="232"/>
      <c r="OQ22" s="232"/>
      <c r="OR22" s="232"/>
      <c r="OS22" s="232"/>
      <c r="OT22" s="232"/>
      <c r="OU22" s="232"/>
      <c r="OV22" s="232"/>
      <c r="OW22" s="232"/>
      <c r="OX22" s="232"/>
      <c r="OY22" s="232"/>
      <c r="OZ22" s="232"/>
      <c r="PA22" s="232"/>
      <c r="PB22" s="232"/>
      <c r="PC22" s="232"/>
      <c r="PD22" s="232"/>
      <c r="PE22" s="232"/>
      <c r="PF22" s="232"/>
      <c r="PG22" s="232"/>
      <c r="PH22" s="232"/>
      <c r="PI22" s="232"/>
      <c r="PJ22" s="232"/>
      <c r="PK22" s="232"/>
      <c r="PL22" s="232"/>
      <c r="PM22" s="232"/>
      <c r="PN22" s="232"/>
      <c r="PO22" s="232"/>
      <c r="PP22" s="232"/>
      <c r="PQ22" s="232"/>
      <c r="PR22" s="232"/>
      <c r="PS22" s="232"/>
      <c r="PT22" s="232"/>
      <c r="PU22" s="232"/>
      <c r="PV22" s="232"/>
      <c r="PW22" s="232"/>
      <c r="PX22" s="232"/>
      <c r="PY22" s="232"/>
      <c r="PZ22" s="232"/>
      <c r="QA22" s="232"/>
      <c r="QB22" s="232"/>
      <c r="QC22" s="232"/>
      <c r="QD22" s="232"/>
      <c r="QE22" s="232"/>
      <c r="QF22" s="232"/>
      <c r="QG22" s="232"/>
      <c r="QH22" s="232"/>
      <c r="QI22" s="232"/>
      <c r="QJ22" s="232"/>
      <c r="QK22" s="232"/>
      <c r="QL22" s="232"/>
      <c r="QM22" s="232"/>
      <c r="QN22" s="232"/>
      <c r="QO22" s="232"/>
      <c r="QP22" s="232"/>
      <c r="QQ22" s="232"/>
      <c r="QR22" s="232"/>
      <c r="QS22" s="232"/>
      <c r="QT22" s="232"/>
      <c r="QU22" s="232"/>
      <c r="QV22" s="232"/>
      <c r="QW22" s="232"/>
      <c r="QX22" s="232"/>
      <c r="QY22" s="232"/>
      <c r="QZ22" s="232"/>
      <c r="RA22" s="232"/>
      <c r="RB22" s="232"/>
      <c r="RC22" s="232"/>
      <c r="RD22" s="232"/>
      <c r="RE22" s="232"/>
      <c r="RF22" s="232"/>
      <c r="RG22" s="232"/>
      <c r="RH22" s="232"/>
      <c r="RI22" s="232"/>
      <c r="RJ22" s="232"/>
      <c r="RK22" s="232"/>
      <c r="RL22" s="232"/>
      <c r="RM22" s="232"/>
      <c r="RN22" s="232"/>
      <c r="RO22" s="232"/>
      <c r="RP22" s="232"/>
      <c r="RQ22" s="232"/>
      <c r="RR22" s="232"/>
      <c r="RS22" s="232"/>
      <c r="RT22" s="232"/>
      <c r="RU22" s="232"/>
      <c r="RV22" s="232"/>
      <c r="RW22" s="232"/>
      <c r="RX22" s="232"/>
      <c r="RY22" s="232"/>
      <c r="RZ22" s="232"/>
      <c r="SA22" s="232"/>
      <c r="SB22" s="232"/>
      <c r="SC22" s="232"/>
      <c r="SD22" s="232"/>
      <c r="SE22" s="232"/>
      <c r="SF22" s="232"/>
      <c r="SG22" s="232"/>
      <c r="SH22" s="232"/>
      <c r="SI22" s="232"/>
      <c r="SJ22" s="232"/>
      <c r="SK22" s="232"/>
      <c r="SL22" s="232"/>
      <c r="SM22" s="232"/>
      <c r="SN22" s="232"/>
      <c r="SO22" s="232"/>
      <c r="SP22" s="232"/>
      <c r="SQ22" s="232"/>
      <c r="SR22" s="232"/>
      <c r="SS22" s="232"/>
      <c r="ST22" s="232"/>
      <c r="SU22" s="232"/>
      <c r="SV22" s="232"/>
      <c r="SW22" s="232"/>
      <c r="SX22" s="232"/>
      <c r="SY22" s="232"/>
      <c r="SZ22" s="232"/>
      <c r="TA22" s="232"/>
      <c r="TB22" s="232"/>
      <c r="TC22" s="232"/>
      <c r="TD22" s="232"/>
      <c r="TE22" s="232"/>
      <c r="TF22" s="232"/>
      <c r="TG22" s="232"/>
      <c r="TH22" s="232"/>
      <c r="TI22" s="232"/>
      <c r="TJ22" s="232"/>
      <c r="TK22" s="232"/>
      <c r="TL22" s="232"/>
      <c r="TM22" s="232"/>
      <c r="TN22" s="232"/>
      <c r="TO22" s="232"/>
      <c r="TP22" s="232"/>
      <c r="TQ22" s="232"/>
      <c r="TR22" s="232"/>
      <c r="TS22" s="232"/>
      <c r="TT22" s="232"/>
      <c r="TU22" s="232"/>
      <c r="TV22" s="232"/>
      <c r="TW22" s="232"/>
      <c r="TX22" s="232"/>
      <c r="TY22" s="232"/>
      <c r="TZ22" s="232"/>
      <c r="UA22" s="232"/>
      <c r="UB22" s="232"/>
      <c r="UC22" s="232"/>
      <c r="UD22" s="232"/>
      <c r="UE22" s="232"/>
      <c r="UF22" s="232"/>
      <c r="UG22" s="232"/>
      <c r="UH22" s="232"/>
      <c r="UI22" s="232"/>
      <c r="UJ22" s="232"/>
      <c r="UK22" s="232"/>
      <c r="UL22" s="232"/>
      <c r="UM22" s="232"/>
      <c r="UN22" s="232"/>
      <c r="UO22" s="232"/>
      <c r="UP22" s="232"/>
      <c r="UQ22" s="232"/>
      <c r="UR22" s="232"/>
      <c r="US22" s="232"/>
      <c r="UT22" s="232"/>
      <c r="UU22" s="232"/>
      <c r="UV22" s="232"/>
      <c r="UW22" s="232"/>
      <c r="UX22" s="232"/>
      <c r="UY22" s="232"/>
      <c r="UZ22" s="232"/>
      <c r="VA22" s="232"/>
      <c r="VB22" s="232"/>
      <c r="VC22" s="232"/>
      <c r="VD22" s="232"/>
      <c r="VE22" s="232"/>
      <c r="VF22" s="232"/>
      <c r="VG22" s="232"/>
      <c r="VH22" s="232"/>
      <c r="VI22" s="232"/>
      <c r="VJ22" s="232"/>
      <c r="VK22" s="232"/>
      <c r="VL22" s="232"/>
      <c r="VM22" s="232"/>
      <c r="VN22" s="232"/>
      <c r="VO22" s="232"/>
      <c r="VP22" s="232"/>
      <c r="VQ22" s="232"/>
      <c r="VR22" s="232"/>
      <c r="VS22" s="232"/>
      <c r="VT22" s="232"/>
      <c r="VU22" s="232"/>
      <c r="VV22" s="232"/>
      <c r="VW22" s="232"/>
      <c r="VX22" s="232"/>
      <c r="VY22" s="232"/>
      <c r="VZ22" s="232"/>
      <c r="WA22" s="232"/>
      <c r="WB22" s="232"/>
      <c r="WC22" s="232"/>
      <c r="WD22" s="232"/>
      <c r="WE22" s="232"/>
      <c r="WF22" s="232"/>
      <c r="WG22" s="232"/>
      <c r="WH22" s="232"/>
      <c r="WI22" s="232"/>
      <c r="WJ22" s="232"/>
      <c r="WK22" s="232"/>
      <c r="WL22" s="232"/>
      <c r="WM22" s="232"/>
      <c r="WN22" s="232"/>
      <c r="WO22" s="232"/>
      <c r="WP22" s="232"/>
      <c r="WQ22" s="232"/>
      <c r="WR22" s="232"/>
      <c r="WS22" s="232"/>
      <c r="WT22" s="232"/>
      <c r="WU22" s="232"/>
      <c r="WV22" s="232"/>
      <c r="WW22" s="232"/>
      <c r="WX22" s="232"/>
      <c r="WY22" s="232"/>
      <c r="WZ22" s="232"/>
      <c r="XA22" s="232"/>
      <c r="XB22" s="232"/>
      <c r="XC22" s="232"/>
      <c r="XD22" s="232"/>
      <c r="XE22" s="232"/>
      <c r="XF22" s="232"/>
      <c r="XG22" s="232"/>
      <c r="XH22" s="232"/>
      <c r="XI22" s="232"/>
      <c r="XJ22" s="232"/>
      <c r="XK22" s="232"/>
      <c r="XL22" s="232"/>
      <c r="XM22" s="232"/>
      <c r="XN22" s="232"/>
      <c r="XO22" s="232"/>
      <c r="XP22" s="232"/>
      <c r="XQ22" s="232"/>
      <c r="XR22" s="232"/>
      <c r="XS22" s="232"/>
      <c r="XT22" s="232"/>
      <c r="XU22" s="232"/>
      <c r="XV22" s="232"/>
      <c r="XW22" s="232"/>
      <c r="XX22" s="232"/>
      <c r="XY22" s="232"/>
      <c r="XZ22" s="232"/>
      <c r="YA22" s="232"/>
      <c r="YB22" s="232"/>
      <c r="YC22" s="232"/>
      <c r="YD22" s="232"/>
      <c r="YE22" s="232"/>
      <c r="YF22" s="232"/>
      <c r="YG22" s="232"/>
      <c r="YH22" s="232"/>
      <c r="YI22" s="232"/>
      <c r="YJ22" s="232"/>
      <c r="YK22" s="232"/>
      <c r="YL22" s="232"/>
      <c r="YM22" s="232"/>
      <c r="YN22" s="232"/>
      <c r="YO22" s="232"/>
      <c r="YP22" s="232"/>
      <c r="YQ22" s="232"/>
      <c r="YR22" s="232"/>
      <c r="YS22" s="232"/>
      <c r="YT22" s="232"/>
      <c r="YU22" s="232"/>
      <c r="YV22" s="232"/>
      <c r="YW22" s="232"/>
      <c r="YX22" s="232"/>
      <c r="YY22" s="232"/>
      <c r="YZ22" s="232"/>
      <c r="ZA22" s="232"/>
      <c r="ZB22" s="232"/>
      <c r="ZC22" s="232"/>
      <c r="ZD22" s="232"/>
      <c r="ZE22" s="232"/>
      <c r="ZF22" s="232"/>
      <c r="ZG22" s="232"/>
      <c r="ZH22" s="232"/>
      <c r="ZI22" s="232"/>
      <c r="ZJ22" s="232"/>
      <c r="ZK22" s="232"/>
      <c r="ZL22" s="232"/>
      <c r="ZM22" s="232"/>
      <c r="ZN22" s="232"/>
      <c r="ZO22" s="232"/>
      <c r="ZP22" s="232"/>
      <c r="ZQ22" s="232"/>
      <c r="ZR22" s="232"/>
      <c r="ZS22" s="232"/>
      <c r="ZT22" s="232"/>
      <c r="ZU22" s="232"/>
      <c r="ZV22" s="232"/>
      <c r="ZW22" s="232"/>
      <c r="ZX22" s="232"/>
      <c r="ZY22" s="232"/>
      <c r="ZZ22" s="232"/>
      <c r="AAA22" s="232"/>
      <c r="AAB22" s="232"/>
      <c r="AAC22" s="232"/>
      <c r="AAD22" s="232"/>
      <c r="AAE22" s="232"/>
      <c r="AAF22" s="232"/>
      <c r="AAG22" s="232"/>
      <c r="AAH22" s="232"/>
      <c r="AAI22" s="232"/>
      <c r="AAJ22" s="232"/>
      <c r="AAK22" s="232"/>
      <c r="AAL22" s="232"/>
      <c r="AAM22" s="232"/>
      <c r="AAN22" s="232"/>
      <c r="AAO22" s="232"/>
      <c r="AAP22" s="232"/>
      <c r="AAQ22" s="232"/>
      <c r="AAR22" s="232"/>
      <c r="AAS22" s="232"/>
      <c r="AAT22" s="232"/>
      <c r="AAU22" s="232"/>
      <c r="AAV22" s="232"/>
      <c r="AAW22" s="232"/>
      <c r="AAX22" s="232"/>
      <c r="AAY22" s="232"/>
      <c r="AAZ22" s="232"/>
      <c r="ABA22" s="232"/>
      <c r="ABB22" s="232"/>
      <c r="ABC22" s="232"/>
      <c r="ABD22" s="232"/>
      <c r="ABE22" s="232"/>
      <c r="ABF22" s="232"/>
      <c r="ABG22" s="232"/>
      <c r="ABH22" s="232"/>
      <c r="ABI22" s="232"/>
      <c r="ABJ22" s="232"/>
      <c r="ABK22" s="232"/>
      <c r="ABL22" s="232"/>
      <c r="ABM22" s="232"/>
      <c r="ABN22" s="232"/>
      <c r="ABO22" s="232"/>
      <c r="ABP22" s="232"/>
      <c r="ABQ22" s="232"/>
      <c r="ABR22" s="232"/>
      <c r="ABS22" s="232"/>
      <c r="ABT22" s="232"/>
      <c r="ABU22" s="232"/>
      <c r="ABV22" s="232"/>
      <c r="ABW22" s="232"/>
      <c r="ABX22" s="232"/>
      <c r="ABY22" s="232"/>
      <c r="ABZ22" s="232"/>
      <c r="ACA22" s="232"/>
      <c r="ACB22" s="232"/>
      <c r="ACC22" s="232"/>
      <c r="ACD22" s="232"/>
      <c r="ACE22" s="232"/>
      <c r="ACF22" s="232"/>
      <c r="ACG22" s="232"/>
      <c r="ACH22" s="232"/>
      <c r="ACI22" s="232"/>
      <c r="ACJ22" s="232"/>
      <c r="ACK22" s="232"/>
      <c r="ACL22" s="232"/>
      <c r="ACM22" s="232"/>
      <c r="ACN22" s="232"/>
      <c r="ACO22" s="232"/>
      <c r="ACP22" s="232"/>
      <c r="ACQ22" s="232"/>
      <c r="ACR22" s="232"/>
      <c r="ACS22" s="232"/>
      <c r="ACT22" s="232"/>
      <c r="ACU22" s="232"/>
      <c r="ACV22" s="232"/>
      <c r="ACW22" s="232"/>
      <c r="ACX22" s="232"/>
      <c r="ACY22" s="232"/>
      <c r="ACZ22" s="232"/>
      <c r="ADA22" s="232"/>
      <c r="ADB22" s="232"/>
      <c r="ADC22" s="232"/>
      <c r="ADD22" s="232"/>
      <c r="ADE22" s="232"/>
      <c r="ADF22" s="232"/>
      <c r="ADG22" s="232"/>
      <c r="ADH22" s="232"/>
      <c r="ADI22" s="232"/>
      <c r="ADJ22" s="232"/>
      <c r="ADK22" s="232"/>
      <c r="ADL22" s="232"/>
      <c r="ADM22" s="232"/>
      <c r="ADN22" s="232"/>
      <c r="ADO22" s="232"/>
      <c r="ADP22" s="232"/>
      <c r="ADQ22" s="232"/>
      <c r="ADR22" s="232"/>
      <c r="ADS22" s="232"/>
      <c r="ADT22" s="232"/>
      <c r="ADU22" s="232"/>
      <c r="ADV22" s="232"/>
      <c r="ADW22" s="232"/>
      <c r="ADX22" s="232"/>
      <c r="ADY22" s="232"/>
      <c r="ADZ22" s="232"/>
      <c r="AEA22" s="232"/>
      <c r="AEB22" s="232"/>
      <c r="AEC22" s="232"/>
      <c r="AED22" s="232"/>
      <c r="AEE22" s="232"/>
      <c r="AEF22" s="232"/>
      <c r="AEG22" s="232"/>
      <c r="AEH22" s="232"/>
      <c r="AEI22" s="232"/>
      <c r="AEJ22" s="232"/>
      <c r="AEK22" s="232"/>
      <c r="AEL22" s="232"/>
      <c r="AEM22" s="232"/>
      <c r="AEN22" s="232"/>
      <c r="AEO22" s="232"/>
      <c r="AEP22" s="232"/>
      <c r="AEQ22" s="232"/>
      <c r="AER22" s="232"/>
      <c r="AES22" s="232"/>
      <c r="AET22" s="232"/>
      <c r="AEU22" s="232"/>
      <c r="AEV22" s="232"/>
      <c r="AEW22" s="232"/>
      <c r="AEX22" s="232"/>
      <c r="AEY22" s="232"/>
      <c r="AEZ22" s="232"/>
      <c r="AFA22" s="232"/>
      <c r="AFB22" s="232"/>
      <c r="AFC22" s="232"/>
      <c r="AFD22" s="232"/>
      <c r="AFE22" s="232"/>
      <c r="AFF22" s="232"/>
      <c r="AFG22" s="232"/>
      <c r="AFH22" s="232"/>
      <c r="AFI22" s="232"/>
      <c r="AFJ22" s="232"/>
      <c r="AFK22" s="232"/>
      <c r="AFL22" s="232"/>
      <c r="AFM22" s="232"/>
      <c r="AFN22" s="232"/>
      <c r="AFO22" s="232"/>
      <c r="AFP22" s="232"/>
      <c r="AFQ22" s="232"/>
      <c r="AFR22" s="232"/>
      <c r="AFS22" s="232"/>
      <c r="AFT22" s="232"/>
      <c r="AFU22" s="232"/>
      <c r="AFV22" s="232"/>
      <c r="AFW22" s="232"/>
      <c r="AFX22" s="232"/>
      <c r="AFY22" s="232"/>
      <c r="AFZ22" s="232"/>
      <c r="AGA22" s="232"/>
      <c r="AGB22" s="232"/>
      <c r="AGC22" s="232"/>
      <c r="AGD22" s="232"/>
      <c r="AGE22" s="232"/>
      <c r="AGF22" s="232"/>
      <c r="AGG22" s="232"/>
      <c r="AGH22" s="232"/>
      <c r="AGI22" s="232"/>
      <c r="AGJ22" s="232"/>
      <c r="AGK22" s="232"/>
      <c r="AGL22" s="232"/>
      <c r="AGM22" s="232"/>
      <c r="AGN22" s="232"/>
      <c r="AGO22" s="232"/>
      <c r="AGP22" s="232"/>
      <c r="AGQ22" s="232"/>
      <c r="AGR22" s="232"/>
      <c r="AGS22" s="232"/>
      <c r="AGT22" s="232"/>
      <c r="AGU22" s="232"/>
      <c r="AGV22" s="232"/>
      <c r="AGW22" s="232"/>
      <c r="AGX22" s="232"/>
      <c r="AGY22" s="232"/>
      <c r="AGZ22" s="232"/>
      <c r="AHA22" s="232"/>
      <c r="AHB22" s="232"/>
      <c r="AHC22" s="232"/>
      <c r="AHD22" s="232"/>
      <c r="AHE22" s="232"/>
      <c r="AHF22" s="232"/>
      <c r="AHG22" s="232"/>
      <c r="AHH22" s="232"/>
      <c r="AHI22" s="232"/>
      <c r="AHJ22" s="232"/>
      <c r="AHK22" s="232"/>
      <c r="AHL22" s="232"/>
      <c r="AHM22" s="232"/>
      <c r="AHN22" s="232"/>
      <c r="AHO22" s="232"/>
      <c r="AHP22" s="232"/>
      <c r="AHQ22" s="232"/>
      <c r="AHR22" s="232"/>
      <c r="AHS22" s="232"/>
      <c r="AHT22" s="232"/>
      <c r="AHU22" s="232"/>
      <c r="AHV22" s="232"/>
      <c r="AHW22" s="232"/>
      <c r="AHX22" s="232"/>
      <c r="AHY22" s="232"/>
      <c r="AHZ22" s="232"/>
      <c r="AIA22" s="232"/>
      <c r="AIB22" s="232"/>
      <c r="AIC22" s="232"/>
      <c r="AID22" s="232"/>
      <c r="AIE22" s="232"/>
      <c r="AIF22" s="232"/>
      <c r="AIG22" s="232"/>
      <c r="AIH22" s="232"/>
      <c r="AII22" s="232"/>
      <c r="AIJ22" s="232"/>
      <c r="AIK22" s="232"/>
      <c r="AIL22" s="232"/>
      <c r="AIM22" s="232"/>
      <c r="AIN22" s="232"/>
      <c r="AIO22" s="232"/>
      <c r="AIP22" s="232"/>
      <c r="AIQ22" s="232"/>
      <c r="AIR22" s="232"/>
      <c r="AIS22" s="232"/>
      <c r="AIT22" s="232"/>
      <c r="AIU22" s="232"/>
      <c r="AIV22" s="232"/>
      <c r="AIW22" s="232"/>
      <c r="AIX22" s="232"/>
      <c r="AIY22" s="232"/>
      <c r="AIZ22" s="232"/>
      <c r="AJA22" s="232"/>
      <c r="AJB22" s="232"/>
      <c r="AJC22" s="232"/>
      <c r="AJD22" s="232"/>
      <c r="AJE22" s="232"/>
      <c r="AJF22" s="232"/>
      <c r="AJG22" s="232"/>
      <c r="AJH22" s="232"/>
      <c r="AJI22" s="232"/>
      <c r="AJJ22" s="232"/>
      <c r="AJK22" s="232"/>
      <c r="AJL22" s="232"/>
      <c r="AJM22" s="232"/>
      <c r="AJN22" s="232"/>
      <c r="AJO22" s="232"/>
      <c r="AJP22" s="232"/>
      <c r="AJQ22" s="232"/>
      <c r="AJR22" s="232"/>
      <c r="AJS22" s="232"/>
      <c r="AJT22" s="232"/>
      <c r="AJU22" s="232"/>
      <c r="AJV22" s="232"/>
      <c r="AJW22" s="232"/>
      <c r="AJX22" s="232"/>
      <c r="AJY22" s="232"/>
      <c r="AJZ22" s="232"/>
      <c r="AKA22" s="232"/>
      <c r="AKB22" s="232"/>
      <c r="AKC22" s="232"/>
      <c r="AKD22" s="232"/>
      <c r="AKE22" s="232"/>
      <c r="AKF22" s="232"/>
      <c r="AKG22" s="232"/>
      <c r="AKH22" s="232"/>
      <c r="AKI22" s="232"/>
      <c r="AKJ22" s="232"/>
      <c r="AKK22" s="232"/>
      <c r="AKL22" s="232"/>
      <c r="AKM22" s="232"/>
      <c r="AKN22" s="232"/>
      <c r="AKO22" s="232"/>
      <c r="AKP22" s="232"/>
      <c r="AKQ22" s="232"/>
      <c r="AKR22" s="232"/>
      <c r="AKS22" s="232"/>
      <c r="AKT22" s="232"/>
      <c r="AKU22" s="232"/>
      <c r="AKV22" s="232"/>
      <c r="AKW22" s="232"/>
      <c r="AKX22" s="232"/>
      <c r="AKY22" s="232"/>
      <c r="AKZ22" s="232"/>
      <c r="ALA22" s="232"/>
      <c r="ALB22" s="232"/>
      <c r="ALC22" s="232"/>
      <c r="ALD22" s="232"/>
      <c r="ALE22" s="232"/>
      <c r="ALF22" s="232"/>
      <c r="ALG22" s="232"/>
      <c r="ALH22" s="232"/>
      <c r="ALI22" s="232"/>
      <c r="ALJ22" s="232"/>
      <c r="ALK22" s="232"/>
      <c r="ALL22" s="232"/>
      <c r="ALM22" s="232"/>
      <c r="ALN22" s="232"/>
      <c r="ALO22" s="232"/>
      <c r="ALP22" s="232"/>
      <c r="ALQ22" s="232"/>
      <c r="ALR22" s="232"/>
      <c r="ALS22" s="232"/>
      <c r="ALT22" s="232"/>
      <c r="ALU22" s="232"/>
      <c r="ALV22" s="232"/>
      <c r="ALW22" s="232"/>
      <c r="ALX22" s="232"/>
      <c r="ALY22" s="232"/>
      <c r="ALZ22" s="232"/>
      <c r="AMA22" s="232"/>
      <c r="AMB22" s="232"/>
      <c r="AMC22" s="232"/>
      <c r="AMD22" s="232"/>
      <c r="AME22" s="232"/>
      <c r="AMF22" s="232"/>
      <c r="AMG22" s="232"/>
      <c r="AMH22" s="232"/>
      <c r="AMI22" s="232"/>
      <c r="AMJ22" s="232"/>
      <c r="AMK22" s="232"/>
      <c r="AML22" s="232"/>
      <c r="AMM22" s="232"/>
      <c r="AMN22" s="232"/>
      <c r="AMO22" s="232"/>
      <c r="AMP22" s="232"/>
      <c r="AMQ22" s="232"/>
      <c r="AMR22" s="232"/>
      <c r="AMS22" s="232"/>
      <c r="AMT22" s="232"/>
      <c r="AMU22" s="232"/>
      <c r="AMV22" s="232"/>
      <c r="AMW22" s="232"/>
      <c r="AMX22" s="232"/>
      <c r="AMY22" s="232"/>
      <c r="AMZ22" s="232"/>
      <c r="ANA22" s="232"/>
      <c r="ANB22" s="232"/>
      <c r="ANC22" s="232"/>
      <c r="AND22" s="232"/>
      <c r="ANE22" s="232"/>
      <c r="ANF22" s="232"/>
      <c r="ANG22" s="232"/>
      <c r="ANH22" s="232"/>
      <c r="ANI22" s="232"/>
      <c r="ANJ22" s="232"/>
      <c r="ANK22" s="232"/>
      <c r="ANL22" s="232"/>
      <c r="ANM22" s="232"/>
      <c r="ANN22" s="232"/>
      <c r="ANO22" s="232"/>
      <c r="ANP22" s="232"/>
      <c r="ANQ22" s="232"/>
      <c r="ANR22" s="232"/>
      <c r="ANS22" s="232"/>
      <c r="ANT22" s="232"/>
      <c r="ANU22" s="232"/>
      <c r="ANV22" s="232"/>
      <c r="ANW22" s="232"/>
      <c r="ANX22" s="232"/>
      <c r="ANY22" s="232"/>
      <c r="ANZ22" s="232"/>
      <c r="AOA22" s="232"/>
      <c r="AOB22" s="232"/>
      <c r="AOC22" s="232"/>
      <c r="AOD22" s="232"/>
      <c r="AOE22" s="232"/>
      <c r="AOF22" s="232"/>
      <c r="AOG22" s="232"/>
    </row>
    <row r="23" spans="1:1073">
      <c r="A23" s="2127"/>
      <c r="B23" s="223">
        <v>15</v>
      </c>
      <c r="C23" s="224"/>
      <c r="D23" s="225"/>
      <c r="E23" s="226"/>
      <c r="F23" s="226"/>
      <c r="G23" s="227" t="str">
        <f>IF(C23="","",IF(Tabelle1[[#This Row],[End Date]]&lt;COV!$E$12,0,IF(COV!E$12="","",IF(Tabelle1[[#This Row],[End Date]]-Tabelle1[[#This Row],[Start Date]]&gt;0,IF(F23&lt;COV!E$11,(F23-IF(E23&lt;COV!E$12,COV!E$12,Tabelle1[[#This Row],[Start Date]])),(COV!E$11-IF(E23&lt;COV!E$12,COV!E$12,Tabelle1[[#This Row],[Start Date]])))/365*12,""))))</f>
        <v/>
      </c>
      <c r="H23" s="225"/>
      <c r="I23" s="234"/>
      <c r="J23" s="229"/>
      <c r="K23" s="1325" t="str">
        <f>IF(Tabelle1[[#This Row],[Project Name]]="","",IF(OR(Tabelle1[[#This Row],[PM Category]]=CAT_A_NAME,Tabelle1[[#This Row],[PM Category]]=CAT_B_NAME,Tabelle1[[#This Row],[PM Category]]=CAT_C_NAME,Tabelle1[[#This Row],[PM Category]]=CAT_D_NAME,Tabelle1[[#This Row],[PM Category]]=CAT_E_NAME,Tabelle1[[#This Row],[PM Category]]=CAT_SPJ,Tabelle1[[#This Row],[PM Category]]=CAT_PJ,Tabelle1[[#This Row],[PM Category]]=""),"","1"))</f>
        <v/>
      </c>
      <c r="L23" s="1326">
        <f>IF(Tabelle1[[#This Row],[Role]]="PJM",1)+IF(Tabelle1[[#This Row],[Role]]="PGM",1)+IF(Tabelle1[[#This Row],[Role]]="PFM",1)+IF(Tabelle1[[#This Row],[Role]]="TPM",1)+IF(Tabelle1[[#This Row],[Role]]="CPM",1)</f>
        <v>0</v>
      </c>
      <c r="M23" s="230" t="str">
        <f>IFERROR(IF(Tabelle1[[#This Row],[Project Name]]&lt;&gt;"",IF(G23*I23&gt;0,G23,""),"")*Tabelle1[[#This Row],[Role Check]],"")</f>
        <v/>
      </c>
      <c r="N23" s="231" t="str">
        <f>IFERROR(Tabelle1[[#This Row],[Duration '[months']]]*Tabelle1[[#This Row],[Avg. time spent in resp. Role]],"")</f>
        <v/>
      </c>
      <c r="O23" s="221"/>
      <c r="S23" s="208" t="str">
        <f>IF(Tabelle1[[#This Row],[Project Name]]&lt;&gt;"",Tabelle1[[#This Row],[Project Name]],"")</f>
        <v/>
      </c>
      <c r="T23" s="232">
        <f t="shared" si="12"/>
        <v>0</v>
      </c>
      <c r="U23" s="545" t="e">
        <f t="shared" si="12"/>
        <v>#VALUE!</v>
      </c>
      <c r="V23" s="545" t="e">
        <f t="shared" si="38"/>
        <v>#VALUE!</v>
      </c>
      <c r="W23" s="232" t="e">
        <f t="shared" si="38"/>
        <v>#VALUE!</v>
      </c>
      <c r="X23" s="232" t="e">
        <f t="shared" si="38"/>
        <v>#VALUE!</v>
      </c>
      <c r="Y23" s="232" t="e">
        <f t="shared" si="38"/>
        <v>#VALUE!</v>
      </c>
      <c r="Z23" s="232" t="e">
        <f t="shared" si="38"/>
        <v>#VALUE!</v>
      </c>
      <c r="AA23" s="232" t="e">
        <f t="shared" si="38"/>
        <v>#VALUE!</v>
      </c>
      <c r="AB23" s="232" t="e">
        <f t="shared" si="38"/>
        <v>#VALUE!</v>
      </c>
      <c r="AC23" s="232" t="e">
        <f t="shared" si="38"/>
        <v>#VALUE!</v>
      </c>
      <c r="AD23" s="232" t="e">
        <f t="shared" si="38"/>
        <v>#VALUE!</v>
      </c>
      <c r="AE23" s="232" t="e">
        <f t="shared" si="38"/>
        <v>#VALUE!</v>
      </c>
      <c r="AF23" s="232" t="e">
        <f t="shared" si="39"/>
        <v>#VALUE!</v>
      </c>
      <c r="AG23" s="232" t="e">
        <f t="shared" si="39"/>
        <v>#VALUE!</v>
      </c>
      <c r="AH23" s="232" t="e">
        <f t="shared" si="39"/>
        <v>#VALUE!</v>
      </c>
      <c r="AI23" s="232" t="e">
        <f t="shared" si="39"/>
        <v>#VALUE!</v>
      </c>
      <c r="AJ23" s="232" t="e">
        <f t="shared" si="39"/>
        <v>#VALUE!</v>
      </c>
      <c r="AK23" s="232" t="e">
        <f t="shared" si="39"/>
        <v>#VALUE!</v>
      </c>
      <c r="AL23" s="232" t="e">
        <f t="shared" si="39"/>
        <v>#VALUE!</v>
      </c>
      <c r="AM23" s="232" t="e">
        <f t="shared" si="39"/>
        <v>#VALUE!</v>
      </c>
      <c r="AN23" s="232" t="e">
        <f t="shared" si="39"/>
        <v>#VALUE!</v>
      </c>
      <c r="AO23" s="232" t="e">
        <f t="shared" si="39"/>
        <v>#VALUE!</v>
      </c>
      <c r="AP23" s="232" t="e">
        <f t="shared" si="40"/>
        <v>#VALUE!</v>
      </c>
      <c r="AQ23" s="232" t="e">
        <f t="shared" si="40"/>
        <v>#VALUE!</v>
      </c>
      <c r="AR23" s="232" t="e">
        <f t="shared" si="40"/>
        <v>#VALUE!</v>
      </c>
      <c r="AS23" s="232" t="e">
        <f t="shared" si="40"/>
        <v>#VALUE!</v>
      </c>
      <c r="AT23" s="232" t="e">
        <f t="shared" si="40"/>
        <v>#VALUE!</v>
      </c>
      <c r="AU23" s="232" t="e">
        <f t="shared" si="40"/>
        <v>#VALUE!</v>
      </c>
      <c r="AV23" s="232" t="e">
        <f t="shared" si="40"/>
        <v>#VALUE!</v>
      </c>
      <c r="AW23" s="232" t="e">
        <f t="shared" si="40"/>
        <v>#VALUE!</v>
      </c>
      <c r="AX23" s="232" t="e">
        <f t="shared" si="40"/>
        <v>#VALUE!</v>
      </c>
      <c r="AY23" s="232" t="e">
        <f t="shared" si="40"/>
        <v>#VALUE!</v>
      </c>
      <c r="AZ23" s="232" t="e">
        <f t="shared" si="41"/>
        <v>#VALUE!</v>
      </c>
      <c r="BA23" s="232" t="e">
        <f t="shared" si="41"/>
        <v>#VALUE!</v>
      </c>
      <c r="BB23" s="232" t="e">
        <f t="shared" si="41"/>
        <v>#VALUE!</v>
      </c>
      <c r="BC23" s="232" t="e">
        <f t="shared" si="41"/>
        <v>#VALUE!</v>
      </c>
      <c r="BD23" s="232" t="e">
        <f t="shared" si="41"/>
        <v>#VALUE!</v>
      </c>
      <c r="BE23" s="232" t="e">
        <f t="shared" si="41"/>
        <v>#VALUE!</v>
      </c>
      <c r="BF23" s="232" t="e">
        <f t="shared" si="41"/>
        <v>#VALUE!</v>
      </c>
      <c r="BG23" s="232" t="e">
        <f t="shared" si="41"/>
        <v>#VALUE!</v>
      </c>
      <c r="BH23" s="232" t="e">
        <f t="shared" si="41"/>
        <v>#VALUE!</v>
      </c>
      <c r="BI23" s="232" t="e">
        <f t="shared" si="41"/>
        <v>#VALUE!</v>
      </c>
      <c r="BJ23" s="232" t="e">
        <f t="shared" si="42"/>
        <v>#VALUE!</v>
      </c>
      <c r="BK23" s="232" t="e">
        <f t="shared" si="42"/>
        <v>#VALUE!</v>
      </c>
      <c r="BL23" s="232" t="e">
        <f t="shared" si="42"/>
        <v>#VALUE!</v>
      </c>
      <c r="BM23" s="232" t="e">
        <f t="shared" si="42"/>
        <v>#VALUE!</v>
      </c>
      <c r="BN23" s="232" t="e">
        <f t="shared" si="42"/>
        <v>#VALUE!</v>
      </c>
      <c r="BO23" s="232" t="e">
        <f t="shared" si="42"/>
        <v>#VALUE!</v>
      </c>
      <c r="BP23" s="232" t="e">
        <f t="shared" si="42"/>
        <v>#VALUE!</v>
      </c>
      <c r="BQ23" s="232" t="e">
        <f t="shared" si="42"/>
        <v>#VALUE!</v>
      </c>
      <c r="BR23" s="232" t="e">
        <f t="shared" si="42"/>
        <v>#VALUE!</v>
      </c>
      <c r="BS23" s="232" t="e">
        <f t="shared" si="42"/>
        <v>#VALUE!</v>
      </c>
      <c r="BT23" s="232" t="e">
        <f t="shared" si="43"/>
        <v>#VALUE!</v>
      </c>
      <c r="BU23" s="232" t="e">
        <f t="shared" si="43"/>
        <v>#VALUE!</v>
      </c>
      <c r="BV23" s="232" t="e">
        <f t="shared" si="43"/>
        <v>#VALUE!</v>
      </c>
      <c r="BW23" s="232" t="e">
        <f t="shared" si="43"/>
        <v>#VALUE!</v>
      </c>
      <c r="BX23" s="232" t="e">
        <f t="shared" si="43"/>
        <v>#VALUE!</v>
      </c>
      <c r="BY23" s="232" t="e">
        <f t="shared" si="43"/>
        <v>#VALUE!</v>
      </c>
      <c r="BZ23" s="232" t="e">
        <f t="shared" si="43"/>
        <v>#VALUE!</v>
      </c>
      <c r="CA23" s="232" t="e">
        <f t="shared" si="43"/>
        <v>#VALUE!</v>
      </c>
      <c r="CB23" s="232" t="e">
        <f t="shared" si="43"/>
        <v>#VALUE!</v>
      </c>
      <c r="CC23" s="232" t="e">
        <f t="shared" si="43"/>
        <v>#VALUE!</v>
      </c>
      <c r="CD23" s="232" t="e">
        <f t="shared" si="44"/>
        <v>#VALUE!</v>
      </c>
      <c r="CE23" s="232" t="e">
        <f t="shared" si="44"/>
        <v>#VALUE!</v>
      </c>
      <c r="CF23" s="232" t="e">
        <f t="shared" si="44"/>
        <v>#VALUE!</v>
      </c>
      <c r="CG23" s="232" t="e">
        <f t="shared" si="44"/>
        <v>#VALUE!</v>
      </c>
      <c r="CH23" s="232" t="e">
        <f t="shared" si="44"/>
        <v>#VALUE!</v>
      </c>
      <c r="CI23" s="232" t="e">
        <f t="shared" si="44"/>
        <v>#VALUE!</v>
      </c>
      <c r="CJ23" s="232" t="e">
        <f t="shared" si="44"/>
        <v>#VALUE!</v>
      </c>
      <c r="CK23" s="232" t="e">
        <f t="shared" si="44"/>
        <v>#VALUE!</v>
      </c>
      <c r="CL23" s="232" t="e">
        <f t="shared" si="44"/>
        <v>#VALUE!</v>
      </c>
      <c r="CM23" s="232" t="e">
        <f t="shared" si="44"/>
        <v>#VALUE!</v>
      </c>
      <c r="CN23" s="232" t="e">
        <f t="shared" si="45"/>
        <v>#VALUE!</v>
      </c>
      <c r="CO23" s="232" t="e">
        <f t="shared" si="45"/>
        <v>#VALUE!</v>
      </c>
      <c r="CP23" s="232" t="e">
        <f t="shared" si="45"/>
        <v>#VALUE!</v>
      </c>
      <c r="CQ23" s="232" t="e">
        <f t="shared" si="45"/>
        <v>#VALUE!</v>
      </c>
      <c r="CR23" s="232" t="e">
        <f t="shared" si="45"/>
        <v>#VALUE!</v>
      </c>
      <c r="CS23" s="232" t="e">
        <f t="shared" si="45"/>
        <v>#VALUE!</v>
      </c>
      <c r="CT23" s="232" t="e">
        <f t="shared" si="45"/>
        <v>#VALUE!</v>
      </c>
      <c r="CU23" s="232" t="e">
        <f t="shared" si="45"/>
        <v>#VALUE!</v>
      </c>
      <c r="CV23" s="232" t="e">
        <f t="shared" si="45"/>
        <v>#VALUE!</v>
      </c>
      <c r="CW23" s="232" t="e">
        <f t="shared" si="45"/>
        <v>#VALUE!</v>
      </c>
      <c r="CX23" s="232" t="e">
        <f t="shared" si="46"/>
        <v>#VALUE!</v>
      </c>
      <c r="CY23" s="232" t="e">
        <f t="shared" si="46"/>
        <v>#VALUE!</v>
      </c>
      <c r="CZ23" s="232" t="e">
        <f t="shared" si="46"/>
        <v>#VALUE!</v>
      </c>
      <c r="DA23" s="232" t="e">
        <f t="shared" si="46"/>
        <v>#VALUE!</v>
      </c>
      <c r="DB23" s="232" t="e">
        <f t="shared" si="46"/>
        <v>#VALUE!</v>
      </c>
      <c r="DC23" s="232" t="e">
        <f t="shared" si="46"/>
        <v>#VALUE!</v>
      </c>
      <c r="DD23" s="232" t="e">
        <f t="shared" si="46"/>
        <v>#VALUE!</v>
      </c>
      <c r="DE23" s="232" t="e">
        <f t="shared" si="46"/>
        <v>#VALUE!</v>
      </c>
      <c r="DF23" s="232" t="e">
        <f t="shared" si="46"/>
        <v>#VALUE!</v>
      </c>
      <c r="DG23" s="232" t="e">
        <f t="shared" si="46"/>
        <v>#VALUE!</v>
      </c>
      <c r="DH23" s="232" t="e">
        <f t="shared" si="47"/>
        <v>#VALUE!</v>
      </c>
      <c r="DI23" s="232" t="e">
        <f t="shared" si="47"/>
        <v>#VALUE!</v>
      </c>
      <c r="DJ23" s="232" t="e">
        <f t="shared" si="47"/>
        <v>#VALUE!</v>
      </c>
      <c r="DK23" s="232" t="e">
        <f t="shared" si="47"/>
        <v>#VALUE!</v>
      </c>
      <c r="DL23" s="232" t="e">
        <f t="shared" si="47"/>
        <v>#VALUE!</v>
      </c>
      <c r="DM23" s="232" t="e">
        <f t="shared" si="47"/>
        <v>#VALUE!</v>
      </c>
      <c r="DN23" s="232" t="e">
        <f t="shared" si="47"/>
        <v>#VALUE!</v>
      </c>
      <c r="DO23" s="232" t="e">
        <f t="shared" si="47"/>
        <v>#VALUE!</v>
      </c>
      <c r="DP23" s="232" t="e">
        <f t="shared" si="47"/>
        <v>#VALUE!</v>
      </c>
      <c r="DQ23" s="232" t="e">
        <f t="shared" si="47"/>
        <v>#VALUE!</v>
      </c>
      <c r="DR23" s="232" t="e">
        <f t="shared" si="48"/>
        <v>#VALUE!</v>
      </c>
      <c r="DS23" s="232" t="e">
        <f t="shared" si="48"/>
        <v>#VALUE!</v>
      </c>
      <c r="DT23" s="232" t="e">
        <f t="shared" si="48"/>
        <v>#VALUE!</v>
      </c>
      <c r="DU23" s="232" t="e">
        <f t="shared" si="48"/>
        <v>#VALUE!</v>
      </c>
      <c r="DV23" s="232" t="e">
        <f t="shared" si="48"/>
        <v>#VALUE!</v>
      </c>
      <c r="DW23" s="232" t="e">
        <f t="shared" si="48"/>
        <v>#VALUE!</v>
      </c>
      <c r="DX23" s="232" t="e">
        <f t="shared" si="48"/>
        <v>#VALUE!</v>
      </c>
      <c r="DY23" s="232" t="e">
        <f t="shared" si="48"/>
        <v>#VALUE!</v>
      </c>
      <c r="DZ23" s="232" t="e">
        <f t="shared" si="48"/>
        <v>#VALUE!</v>
      </c>
      <c r="EA23" s="232" t="e">
        <f t="shared" si="48"/>
        <v>#VALUE!</v>
      </c>
      <c r="EB23" s="232" t="e">
        <f t="shared" si="49"/>
        <v>#VALUE!</v>
      </c>
      <c r="EC23" s="232" t="e">
        <f t="shared" si="49"/>
        <v>#VALUE!</v>
      </c>
      <c r="ED23" s="232" t="e">
        <f t="shared" si="49"/>
        <v>#VALUE!</v>
      </c>
      <c r="EE23" s="232" t="e">
        <f t="shared" si="49"/>
        <v>#VALUE!</v>
      </c>
      <c r="EF23" s="232" t="e">
        <f t="shared" si="49"/>
        <v>#VALUE!</v>
      </c>
      <c r="EG23" s="232" t="e">
        <f t="shared" si="49"/>
        <v>#VALUE!</v>
      </c>
      <c r="EH23" s="232" t="e">
        <f t="shared" si="49"/>
        <v>#VALUE!</v>
      </c>
      <c r="EI23" s="232" t="e">
        <f t="shared" si="49"/>
        <v>#VALUE!</v>
      </c>
      <c r="EJ23" s="232" t="e">
        <f t="shared" si="49"/>
        <v>#VALUE!</v>
      </c>
      <c r="EK23" s="232" t="e">
        <f t="shared" si="49"/>
        <v>#VALUE!</v>
      </c>
      <c r="EL23" s="232" t="e">
        <f t="shared" si="50"/>
        <v>#VALUE!</v>
      </c>
      <c r="EM23" s="232" t="e">
        <f t="shared" si="50"/>
        <v>#VALUE!</v>
      </c>
      <c r="EN23" s="232" t="e">
        <f t="shared" si="50"/>
        <v>#VALUE!</v>
      </c>
      <c r="EO23" s="232" t="e">
        <f t="shared" si="50"/>
        <v>#VALUE!</v>
      </c>
      <c r="EP23" s="232" t="e">
        <f t="shared" si="50"/>
        <v>#VALUE!</v>
      </c>
      <c r="EQ23" s="232" t="e">
        <f t="shared" si="50"/>
        <v>#VALUE!</v>
      </c>
      <c r="ER23" s="232" t="e">
        <f t="shared" si="50"/>
        <v>#VALUE!</v>
      </c>
      <c r="ES23" s="232" t="e">
        <f t="shared" si="50"/>
        <v>#VALUE!</v>
      </c>
      <c r="ET23" s="232" t="e">
        <f t="shared" si="50"/>
        <v>#VALUE!</v>
      </c>
      <c r="EU23" s="232" t="e">
        <f t="shared" si="50"/>
        <v>#VALUE!</v>
      </c>
      <c r="EV23" s="232" t="e">
        <f t="shared" si="51"/>
        <v>#VALUE!</v>
      </c>
      <c r="EW23" s="232" t="e">
        <f t="shared" si="51"/>
        <v>#VALUE!</v>
      </c>
      <c r="EX23" s="232" t="e">
        <f t="shared" si="51"/>
        <v>#VALUE!</v>
      </c>
      <c r="EY23" s="232" t="e">
        <f t="shared" si="51"/>
        <v>#VALUE!</v>
      </c>
      <c r="EZ23" s="232" t="e">
        <f t="shared" si="51"/>
        <v>#VALUE!</v>
      </c>
      <c r="FA23" s="232" t="e">
        <f t="shared" si="51"/>
        <v>#VALUE!</v>
      </c>
      <c r="FB23" s="232" t="e">
        <f t="shared" si="51"/>
        <v>#VALUE!</v>
      </c>
      <c r="FC23" s="232" t="e">
        <f t="shared" si="51"/>
        <v>#VALUE!</v>
      </c>
      <c r="FD23" s="232" t="e">
        <f t="shared" si="51"/>
        <v>#VALUE!</v>
      </c>
      <c r="FE23" s="232" t="e">
        <f t="shared" si="51"/>
        <v>#VALUE!</v>
      </c>
      <c r="FF23" s="232" t="e">
        <f t="shared" si="52"/>
        <v>#VALUE!</v>
      </c>
      <c r="FG23" s="232" t="e">
        <f t="shared" si="52"/>
        <v>#VALUE!</v>
      </c>
      <c r="FH23" s="232" t="e">
        <f t="shared" si="52"/>
        <v>#VALUE!</v>
      </c>
      <c r="FI23" s="232" t="e">
        <f t="shared" si="52"/>
        <v>#VALUE!</v>
      </c>
      <c r="FJ23" s="232" t="e">
        <f t="shared" si="52"/>
        <v>#VALUE!</v>
      </c>
      <c r="FK23" s="232" t="e">
        <f t="shared" si="52"/>
        <v>#VALUE!</v>
      </c>
      <c r="FL23" s="232" t="e">
        <f t="shared" si="52"/>
        <v>#VALUE!</v>
      </c>
      <c r="FM23" s="232" t="e">
        <f t="shared" si="52"/>
        <v>#VALUE!</v>
      </c>
      <c r="FN23" s="232" t="e">
        <f t="shared" si="52"/>
        <v>#VALUE!</v>
      </c>
      <c r="FO23" s="232" t="e">
        <f t="shared" si="52"/>
        <v>#VALUE!</v>
      </c>
      <c r="FP23" s="232" t="e">
        <f t="shared" si="53"/>
        <v>#VALUE!</v>
      </c>
      <c r="FQ23" s="232" t="e">
        <f t="shared" si="53"/>
        <v>#VALUE!</v>
      </c>
      <c r="FR23" s="232" t="e">
        <f t="shared" si="53"/>
        <v>#VALUE!</v>
      </c>
      <c r="FS23" s="232" t="e">
        <f t="shared" si="53"/>
        <v>#VALUE!</v>
      </c>
      <c r="FT23" s="232" t="e">
        <f t="shared" si="53"/>
        <v>#VALUE!</v>
      </c>
      <c r="FU23" s="232" t="e">
        <f t="shared" si="53"/>
        <v>#VALUE!</v>
      </c>
      <c r="FV23" s="232" t="e">
        <f t="shared" si="53"/>
        <v>#VALUE!</v>
      </c>
      <c r="FW23" s="232" t="e">
        <f t="shared" si="53"/>
        <v>#VALUE!</v>
      </c>
      <c r="FX23" s="232" t="e">
        <f t="shared" si="53"/>
        <v>#VALUE!</v>
      </c>
      <c r="FY23" s="232" t="e">
        <f t="shared" si="53"/>
        <v>#VALUE!</v>
      </c>
      <c r="FZ23" s="232" t="e">
        <f t="shared" si="54"/>
        <v>#VALUE!</v>
      </c>
      <c r="GA23" s="232" t="e">
        <f t="shared" si="54"/>
        <v>#VALUE!</v>
      </c>
      <c r="GB23" s="232" t="e">
        <f t="shared" si="54"/>
        <v>#VALUE!</v>
      </c>
      <c r="GC23" s="232" t="e">
        <f t="shared" si="54"/>
        <v>#VALUE!</v>
      </c>
      <c r="GD23" s="232" t="e">
        <f t="shared" si="54"/>
        <v>#VALUE!</v>
      </c>
      <c r="GE23" s="232" t="e">
        <f t="shared" si="54"/>
        <v>#VALUE!</v>
      </c>
      <c r="GF23" s="232" t="e">
        <f t="shared" si="54"/>
        <v>#VALUE!</v>
      </c>
      <c r="GG23" s="232" t="e">
        <f t="shared" si="54"/>
        <v>#VALUE!</v>
      </c>
      <c r="GH23" s="232" t="e">
        <f t="shared" si="54"/>
        <v>#VALUE!</v>
      </c>
      <c r="GI23" s="232" t="e">
        <f t="shared" si="54"/>
        <v>#VALUE!</v>
      </c>
      <c r="GJ23" s="232" t="e">
        <f t="shared" si="55"/>
        <v>#VALUE!</v>
      </c>
      <c r="GK23" s="232" t="e">
        <f t="shared" si="55"/>
        <v>#VALUE!</v>
      </c>
      <c r="GL23" s="232" t="e">
        <f t="shared" si="55"/>
        <v>#VALUE!</v>
      </c>
      <c r="GM23" s="232" t="e">
        <f t="shared" si="55"/>
        <v>#VALUE!</v>
      </c>
      <c r="GN23" s="232" t="e">
        <f t="shared" si="55"/>
        <v>#VALUE!</v>
      </c>
      <c r="GO23" s="232" t="e">
        <f t="shared" si="55"/>
        <v>#VALUE!</v>
      </c>
      <c r="GP23" s="232" t="e">
        <f t="shared" si="55"/>
        <v>#VALUE!</v>
      </c>
      <c r="GQ23" s="232" t="e">
        <f t="shared" si="55"/>
        <v>#VALUE!</v>
      </c>
      <c r="GR23" s="232" t="e">
        <f t="shared" si="55"/>
        <v>#VALUE!</v>
      </c>
      <c r="GS23" s="232" t="e">
        <f t="shared" si="55"/>
        <v>#VALUE!</v>
      </c>
      <c r="GT23" s="232" t="e">
        <f t="shared" si="56"/>
        <v>#VALUE!</v>
      </c>
      <c r="GU23" s="232" t="e">
        <f t="shared" si="56"/>
        <v>#VALUE!</v>
      </c>
      <c r="GV23" s="232" t="e">
        <f t="shared" si="56"/>
        <v>#VALUE!</v>
      </c>
      <c r="GW23" s="232" t="e">
        <f t="shared" si="56"/>
        <v>#VALUE!</v>
      </c>
      <c r="GX23" s="232" t="e">
        <f t="shared" si="56"/>
        <v>#VALUE!</v>
      </c>
      <c r="GY23" s="232" t="e">
        <f t="shared" si="56"/>
        <v>#VALUE!</v>
      </c>
      <c r="GZ23" s="232" t="e">
        <f t="shared" si="56"/>
        <v>#VALUE!</v>
      </c>
      <c r="HA23" s="232" t="e">
        <f t="shared" si="56"/>
        <v>#VALUE!</v>
      </c>
      <c r="HB23" s="232" t="e">
        <f t="shared" si="56"/>
        <v>#VALUE!</v>
      </c>
      <c r="HC23" s="232" t="e">
        <f t="shared" si="56"/>
        <v>#VALUE!</v>
      </c>
      <c r="HD23" s="232" t="e">
        <f t="shared" si="57"/>
        <v>#VALUE!</v>
      </c>
      <c r="HE23" s="232" t="e">
        <f t="shared" si="57"/>
        <v>#VALUE!</v>
      </c>
      <c r="HF23" s="232" t="e">
        <f t="shared" si="57"/>
        <v>#VALUE!</v>
      </c>
      <c r="HG23" s="232" t="e">
        <f t="shared" si="57"/>
        <v>#VALUE!</v>
      </c>
      <c r="HH23" s="232" t="e">
        <f t="shared" si="57"/>
        <v>#VALUE!</v>
      </c>
      <c r="HI23" s="232" t="e">
        <f t="shared" si="57"/>
        <v>#VALUE!</v>
      </c>
      <c r="HJ23" s="232" t="e">
        <f t="shared" si="57"/>
        <v>#VALUE!</v>
      </c>
      <c r="HK23" s="232" t="e">
        <f t="shared" si="57"/>
        <v>#VALUE!</v>
      </c>
      <c r="HL23" s="232" t="e">
        <f t="shared" si="57"/>
        <v>#VALUE!</v>
      </c>
      <c r="HM23" s="232" t="e">
        <f t="shared" si="57"/>
        <v>#VALUE!</v>
      </c>
      <c r="HN23" s="232" t="e">
        <f t="shared" si="58"/>
        <v>#VALUE!</v>
      </c>
      <c r="HO23" s="232" t="e">
        <f t="shared" si="58"/>
        <v>#VALUE!</v>
      </c>
      <c r="HP23" s="232" t="e">
        <f t="shared" si="58"/>
        <v>#VALUE!</v>
      </c>
      <c r="HQ23" s="232" t="e">
        <f t="shared" si="58"/>
        <v>#VALUE!</v>
      </c>
      <c r="HR23" s="232" t="e">
        <f t="shared" si="58"/>
        <v>#VALUE!</v>
      </c>
      <c r="HS23" s="232" t="e">
        <f t="shared" si="58"/>
        <v>#VALUE!</v>
      </c>
      <c r="HT23" s="232" t="e">
        <f t="shared" si="58"/>
        <v>#VALUE!</v>
      </c>
      <c r="HU23" s="232" t="e">
        <f t="shared" si="58"/>
        <v>#VALUE!</v>
      </c>
      <c r="HV23" s="232" t="e">
        <f t="shared" si="58"/>
        <v>#VALUE!</v>
      </c>
      <c r="HW23" s="232" t="e">
        <f t="shared" si="58"/>
        <v>#VALUE!</v>
      </c>
      <c r="HX23" s="232" t="e">
        <f t="shared" si="59"/>
        <v>#VALUE!</v>
      </c>
      <c r="HY23" s="232" t="e">
        <f t="shared" si="59"/>
        <v>#VALUE!</v>
      </c>
      <c r="HZ23" s="232" t="e">
        <f t="shared" si="59"/>
        <v>#VALUE!</v>
      </c>
      <c r="IA23" s="232" t="e">
        <f t="shared" si="59"/>
        <v>#VALUE!</v>
      </c>
      <c r="IB23" s="232" t="e">
        <f t="shared" si="59"/>
        <v>#VALUE!</v>
      </c>
      <c r="IC23" s="232" t="e">
        <f t="shared" si="59"/>
        <v>#VALUE!</v>
      </c>
      <c r="ID23" s="232" t="e">
        <f t="shared" si="59"/>
        <v>#VALUE!</v>
      </c>
      <c r="IE23" s="232" t="e">
        <f t="shared" si="59"/>
        <v>#VALUE!</v>
      </c>
      <c r="IF23" s="232" t="e">
        <f t="shared" si="59"/>
        <v>#VALUE!</v>
      </c>
      <c r="IG23" s="232" t="e">
        <f t="shared" si="59"/>
        <v>#VALUE!</v>
      </c>
      <c r="IH23" s="232" t="e">
        <f t="shared" si="60"/>
        <v>#VALUE!</v>
      </c>
      <c r="II23" s="232" t="e">
        <f t="shared" si="60"/>
        <v>#VALUE!</v>
      </c>
      <c r="IJ23" s="232" t="e">
        <f t="shared" si="60"/>
        <v>#VALUE!</v>
      </c>
      <c r="IK23" s="232" t="e">
        <f t="shared" si="60"/>
        <v>#VALUE!</v>
      </c>
      <c r="IL23" s="232" t="e">
        <f t="shared" si="60"/>
        <v>#VALUE!</v>
      </c>
      <c r="IM23" s="232" t="e">
        <f t="shared" si="60"/>
        <v>#VALUE!</v>
      </c>
      <c r="IN23" s="232" t="e">
        <f t="shared" si="60"/>
        <v>#VALUE!</v>
      </c>
      <c r="IO23" s="232" t="e">
        <f t="shared" si="60"/>
        <v>#VALUE!</v>
      </c>
      <c r="IP23" s="232" t="e">
        <f t="shared" si="60"/>
        <v>#VALUE!</v>
      </c>
      <c r="IQ23" s="232" t="e">
        <f t="shared" si="60"/>
        <v>#VALUE!</v>
      </c>
      <c r="IR23" s="232" t="e">
        <f t="shared" si="61"/>
        <v>#VALUE!</v>
      </c>
      <c r="IS23" s="232" t="e">
        <f t="shared" si="61"/>
        <v>#VALUE!</v>
      </c>
      <c r="IT23" s="232" t="e">
        <f t="shared" si="61"/>
        <v>#VALUE!</v>
      </c>
      <c r="IU23" s="232" t="e">
        <f t="shared" si="61"/>
        <v>#VALUE!</v>
      </c>
      <c r="IV23" s="232" t="e">
        <f t="shared" si="61"/>
        <v>#VALUE!</v>
      </c>
      <c r="IW23" s="232" t="e">
        <f t="shared" si="61"/>
        <v>#VALUE!</v>
      </c>
      <c r="IX23" s="232" t="e">
        <f t="shared" si="61"/>
        <v>#VALUE!</v>
      </c>
      <c r="IY23" s="232" t="e">
        <f t="shared" si="61"/>
        <v>#VALUE!</v>
      </c>
      <c r="IZ23" s="232" t="e">
        <f t="shared" si="61"/>
        <v>#VALUE!</v>
      </c>
      <c r="JA23" s="232" t="e">
        <f t="shared" si="61"/>
        <v>#VALUE!</v>
      </c>
      <c r="JB23" s="232" t="e">
        <f t="shared" si="62"/>
        <v>#VALUE!</v>
      </c>
      <c r="JC23" s="232" t="e">
        <f t="shared" si="62"/>
        <v>#VALUE!</v>
      </c>
      <c r="JD23" s="232" t="e">
        <f t="shared" si="62"/>
        <v>#VALUE!</v>
      </c>
      <c r="JE23" s="232" t="e">
        <f t="shared" si="62"/>
        <v>#VALUE!</v>
      </c>
      <c r="JF23" s="232" t="e">
        <f t="shared" si="62"/>
        <v>#VALUE!</v>
      </c>
      <c r="JG23" s="232" t="e">
        <f t="shared" si="62"/>
        <v>#VALUE!</v>
      </c>
      <c r="JH23" s="232" t="e">
        <f t="shared" si="62"/>
        <v>#VALUE!</v>
      </c>
      <c r="JI23" s="232" t="e">
        <f t="shared" si="62"/>
        <v>#VALUE!</v>
      </c>
      <c r="JJ23" s="232" t="e">
        <f t="shared" si="62"/>
        <v>#VALUE!</v>
      </c>
      <c r="JK23" s="232"/>
      <c r="JL23" s="232"/>
      <c r="JM23" s="232"/>
      <c r="JN23" s="232"/>
      <c r="JO23" s="232"/>
      <c r="JP23" s="232"/>
      <c r="JQ23" s="232"/>
      <c r="JR23" s="232"/>
      <c r="JS23" s="232"/>
      <c r="JT23" s="232"/>
      <c r="JU23" s="232"/>
      <c r="JV23" s="232"/>
      <c r="JW23" s="232"/>
      <c r="JX23" s="232"/>
      <c r="JY23" s="232"/>
      <c r="JZ23" s="232"/>
      <c r="KA23" s="232"/>
      <c r="KB23" s="232"/>
      <c r="KC23" s="232"/>
      <c r="KD23" s="232"/>
      <c r="KE23" s="232"/>
      <c r="KF23" s="232"/>
      <c r="KG23" s="232"/>
      <c r="KH23" s="232"/>
      <c r="KI23" s="232"/>
      <c r="KJ23" s="232"/>
      <c r="KK23" s="232"/>
      <c r="KL23" s="232"/>
      <c r="KM23" s="232"/>
      <c r="KN23" s="232"/>
      <c r="KO23" s="232"/>
      <c r="KP23" s="232"/>
      <c r="KQ23" s="232"/>
      <c r="KR23" s="232"/>
      <c r="KS23" s="232"/>
      <c r="KT23" s="232"/>
      <c r="KU23" s="232"/>
      <c r="KV23" s="232"/>
      <c r="KW23" s="232"/>
      <c r="KX23" s="232"/>
      <c r="KY23" s="232"/>
      <c r="KZ23" s="232"/>
      <c r="LA23" s="232"/>
      <c r="LB23" s="232"/>
      <c r="LC23" s="232"/>
      <c r="LD23" s="232"/>
      <c r="LE23" s="232"/>
      <c r="LF23" s="232"/>
      <c r="LG23" s="232"/>
      <c r="LH23" s="232"/>
      <c r="LI23" s="232"/>
      <c r="LJ23" s="232"/>
      <c r="LK23" s="232"/>
      <c r="LL23" s="232"/>
      <c r="LM23" s="232"/>
      <c r="LN23" s="232"/>
      <c r="LO23" s="232"/>
      <c r="LP23" s="232"/>
      <c r="LQ23" s="232"/>
      <c r="LR23" s="232"/>
      <c r="LS23" s="232"/>
      <c r="LT23" s="232"/>
      <c r="LU23" s="232"/>
      <c r="LV23" s="232"/>
      <c r="LW23" s="232"/>
      <c r="LX23" s="232"/>
      <c r="LY23" s="232"/>
      <c r="LZ23" s="232"/>
      <c r="MA23" s="232"/>
      <c r="MB23" s="232"/>
      <c r="MC23" s="232"/>
      <c r="MD23" s="232"/>
      <c r="ME23" s="232"/>
      <c r="MF23" s="232"/>
      <c r="MG23" s="232"/>
      <c r="MH23" s="232"/>
      <c r="MI23" s="232"/>
      <c r="MJ23" s="232"/>
      <c r="MK23" s="232"/>
      <c r="ML23" s="232"/>
      <c r="MM23" s="232"/>
      <c r="MN23" s="232"/>
      <c r="MO23" s="232"/>
      <c r="MP23" s="232"/>
      <c r="MQ23" s="232"/>
      <c r="MR23" s="232"/>
      <c r="MS23" s="232"/>
      <c r="MT23" s="232"/>
      <c r="MU23" s="232"/>
      <c r="MV23" s="232"/>
      <c r="MW23" s="232"/>
      <c r="MX23" s="232"/>
      <c r="MY23" s="232"/>
      <c r="MZ23" s="232"/>
      <c r="NA23" s="232"/>
      <c r="NB23" s="232"/>
      <c r="NC23" s="232"/>
      <c r="ND23" s="232"/>
      <c r="NE23" s="232"/>
      <c r="NF23" s="232"/>
      <c r="NG23" s="232"/>
      <c r="NH23" s="232"/>
      <c r="NI23" s="232"/>
      <c r="NJ23" s="232"/>
      <c r="NK23" s="232"/>
      <c r="NL23" s="232"/>
      <c r="NM23" s="232"/>
      <c r="NN23" s="232"/>
      <c r="NO23" s="232"/>
      <c r="NP23" s="232"/>
      <c r="NQ23" s="232"/>
      <c r="NR23" s="232"/>
      <c r="NS23" s="232"/>
      <c r="NT23" s="232"/>
      <c r="NU23" s="232"/>
      <c r="NV23" s="232"/>
      <c r="NW23" s="232"/>
      <c r="NX23" s="232"/>
      <c r="NY23" s="232"/>
      <c r="NZ23" s="232"/>
      <c r="OA23" s="232"/>
      <c r="OB23" s="232"/>
      <c r="OC23" s="232"/>
      <c r="OD23" s="232"/>
      <c r="OE23" s="232"/>
      <c r="OF23" s="232"/>
      <c r="OG23" s="232"/>
      <c r="OH23" s="232"/>
      <c r="OI23" s="232"/>
      <c r="OJ23" s="232"/>
      <c r="OK23" s="232"/>
      <c r="OL23" s="232"/>
      <c r="OM23" s="232"/>
      <c r="ON23" s="232"/>
      <c r="OO23" s="232"/>
      <c r="OP23" s="232"/>
      <c r="OQ23" s="232"/>
      <c r="OR23" s="232"/>
      <c r="OS23" s="232"/>
      <c r="OT23" s="232"/>
      <c r="OU23" s="232"/>
      <c r="OV23" s="232"/>
      <c r="OW23" s="232"/>
      <c r="OX23" s="232"/>
      <c r="OY23" s="232"/>
      <c r="OZ23" s="232"/>
      <c r="PA23" s="232"/>
      <c r="PB23" s="232"/>
      <c r="PC23" s="232"/>
      <c r="PD23" s="232"/>
      <c r="PE23" s="232"/>
      <c r="PF23" s="232"/>
      <c r="PG23" s="232"/>
      <c r="PH23" s="232"/>
      <c r="PI23" s="232"/>
      <c r="PJ23" s="232"/>
      <c r="PK23" s="232"/>
      <c r="PL23" s="232"/>
      <c r="PM23" s="232"/>
      <c r="PN23" s="232"/>
      <c r="PO23" s="232"/>
      <c r="PP23" s="232"/>
      <c r="PQ23" s="232"/>
      <c r="PR23" s="232"/>
      <c r="PS23" s="232"/>
      <c r="PT23" s="232"/>
      <c r="PU23" s="232"/>
      <c r="PV23" s="232"/>
      <c r="PW23" s="232"/>
      <c r="PX23" s="232"/>
      <c r="PY23" s="232"/>
      <c r="PZ23" s="232"/>
      <c r="QA23" s="232"/>
      <c r="QB23" s="232"/>
      <c r="QC23" s="232"/>
      <c r="QD23" s="232"/>
      <c r="QE23" s="232"/>
      <c r="QF23" s="232"/>
      <c r="QG23" s="232"/>
      <c r="QH23" s="232"/>
      <c r="QI23" s="232"/>
      <c r="QJ23" s="232"/>
      <c r="QK23" s="232"/>
      <c r="QL23" s="232"/>
      <c r="QM23" s="232"/>
      <c r="QN23" s="232"/>
      <c r="QO23" s="232"/>
      <c r="QP23" s="232"/>
      <c r="QQ23" s="232"/>
      <c r="QR23" s="232"/>
      <c r="QS23" s="232"/>
      <c r="QT23" s="232"/>
      <c r="QU23" s="232"/>
      <c r="QV23" s="232"/>
      <c r="QW23" s="232"/>
      <c r="QX23" s="232"/>
      <c r="QY23" s="232"/>
      <c r="QZ23" s="232"/>
      <c r="RA23" s="232"/>
      <c r="RB23" s="232"/>
      <c r="RC23" s="232"/>
      <c r="RD23" s="232"/>
      <c r="RE23" s="232"/>
      <c r="RF23" s="232"/>
      <c r="RG23" s="232"/>
      <c r="RH23" s="232"/>
      <c r="RI23" s="232"/>
      <c r="RJ23" s="232"/>
      <c r="RK23" s="232"/>
      <c r="RL23" s="232"/>
      <c r="RM23" s="232"/>
      <c r="RN23" s="232"/>
      <c r="RO23" s="232"/>
      <c r="RP23" s="232"/>
      <c r="RQ23" s="232"/>
      <c r="RR23" s="232"/>
      <c r="RS23" s="232"/>
      <c r="RT23" s="232"/>
      <c r="RU23" s="232"/>
      <c r="RV23" s="232"/>
      <c r="RW23" s="232"/>
      <c r="RX23" s="232"/>
      <c r="RY23" s="232"/>
      <c r="RZ23" s="232"/>
      <c r="SA23" s="232"/>
      <c r="SB23" s="232"/>
      <c r="SC23" s="232"/>
      <c r="SD23" s="232"/>
      <c r="SE23" s="232"/>
      <c r="SF23" s="232"/>
      <c r="SG23" s="232"/>
      <c r="SH23" s="232"/>
      <c r="SI23" s="232"/>
      <c r="SJ23" s="232"/>
      <c r="SK23" s="232"/>
      <c r="SL23" s="232"/>
      <c r="SM23" s="232"/>
      <c r="SN23" s="232"/>
      <c r="SO23" s="232"/>
      <c r="SP23" s="232"/>
      <c r="SQ23" s="232"/>
      <c r="SR23" s="232"/>
      <c r="SS23" s="232"/>
      <c r="ST23" s="232"/>
      <c r="SU23" s="232"/>
      <c r="SV23" s="232"/>
      <c r="SW23" s="232"/>
      <c r="SX23" s="232"/>
      <c r="SY23" s="232"/>
      <c r="SZ23" s="232"/>
      <c r="TA23" s="232"/>
      <c r="TB23" s="232"/>
      <c r="TC23" s="232"/>
      <c r="TD23" s="232"/>
      <c r="TE23" s="232"/>
      <c r="TF23" s="232"/>
      <c r="TG23" s="232"/>
      <c r="TH23" s="232"/>
      <c r="TI23" s="232"/>
      <c r="TJ23" s="232"/>
      <c r="TK23" s="232"/>
      <c r="TL23" s="232"/>
      <c r="TM23" s="232"/>
      <c r="TN23" s="232"/>
      <c r="TO23" s="232"/>
      <c r="TP23" s="232"/>
      <c r="TQ23" s="232"/>
      <c r="TR23" s="232"/>
      <c r="TS23" s="232"/>
      <c r="TT23" s="232"/>
      <c r="TU23" s="232"/>
      <c r="TV23" s="232"/>
      <c r="TW23" s="232"/>
      <c r="TX23" s="232"/>
      <c r="TY23" s="232"/>
      <c r="TZ23" s="232"/>
      <c r="UA23" s="232"/>
      <c r="UB23" s="232"/>
      <c r="UC23" s="232"/>
      <c r="UD23" s="232"/>
      <c r="UE23" s="232"/>
      <c r="UF23" s="232"/>
      <c r="UG23" s="232"/>
      <c r="UH23" s="232"/>
      <c r="UI23" s="232"/>
      <c r="UJ23" s="232"/>
      <c r="UK23" s="232"/>
      <c r="UL23" s="232"/>
      <c r="UM23" s="232"/>
      <c r="UN23" s="232"/>
      <c r="UO23" s="232"/>
      <c r="UP23" s="232"/>
      <c r="UQ23" s="232"/>
      <c r="UR23" s="232"/>
      <c r="US23" s="232"/>
      <c r="UT23" s="232"/>
      <c r="UU23" s="232"/>
      <c r="UV23" s="232"/>
      <c r="UW23" s="232"/>
      <c r="UX23" s="232"/>
      <c r="UY23" s="232"/>
      <c r="UZ23" s="232"/>
      <c r="VA23" s="232"/>
      <c r="VB23" s="232"/>
      <c r="VC23" s="232"/>
      <c r="VD23" s="232"/>
      <c r="VE23" s="232"/>
      <c r="VF23" s="232"/>
      <c r="VG23" s="232"/>
      <c r="VH23" s="232"/>
      <c r="VI23" s="232"/>
      <c r="VJ23" s="232"/>
      <c r="VK23" s="232"/>
      <c r="VL23" s="232"/>
      <c r="VM23" s="232"/>
      <c r="VN23" s="232"/>
      <c r="VO23" s="232"/>
      <c r="VP23" s="232"/>
      <c r="VQ23" s="232"/>
      <c r="VR23" s="232"/>
      <c r="VS23" s="232"/>
      <c r="VT23" s="232"/>
      <c r="VU23" s="232"/>
      <c r="VV23" s="232"/>
      <c r="VW23" s="232"/>
      <c r="VX23" s="232"/>
      <c r="VY23" s="232"/>
      <c r="VZ23" s="232"/>
      <c r="WA23" s="232"/>
      <c r="WB23" s="232"/>
      <c r="WC23" s="232"/>
      <c r="WD23" s="232"/>
      <c r="WE23" s="232"/>
      <c r="WF23" s="232"/>
      <c r="WG23" s="232"/>
      <c r="WH23" s="232"/>
      <c r="WI23" s="232"/>
      <c r="WJ23" s="232"/>
      <c r="WK23" s="232"/>
      <c r="WL23" s="232"/>
      <c r="WM23" s="232"/>
      <c r="WN23" s="232"/>
      <c r="WO23" s="232"/>
      <c r="WP23" s="232"/>
      <c r="WQ23" s="232"/>
      <c r="WR23" s="232"/>
      <c r="WS23" s="232"/>
      <c r="WT23" s="232"/>
      <c r="WU23" s="232"/>
      <c r="WV23" s="232"/>
      <c r="WW23" s="232"/>
      <c r="WX23" s="232"/>
      <c r="WY23" s="232"/>
      <c r="WZ23" s="232"/>
      <c r="XA23" s="232"/>
      <c r="XB23" s="232"/>
      <c r="XC23" s="232"/>
      <c r="XD23" s="232"/>
      <c r="XE23" s="232"/>
      <c r="XF23" s="232"/>
      <c r="XG23" s="232"/>
      <c r="XH23" s="232"/>
      <c r="XI23" s="232"/>
      <c r="XJ23" s="232"/>
      <c r="XK23" s="232"/>
      <c r="XL23" s="232"/>
      <c r="XM23" s="232"/>
      <c r="XN23" s="232"/>
      <c r="XO23" s="232"/>
      <c r="XP23" s="232"/>
      <c r="XQ23" s="232"/>
      <c r="XR23" s="232"/>
      <c r="XS23" s="232"/>
      <c r="XT23" s="232"/>
      <c r="XU23" s="232"/>
      <c r="XV23" s="232"/>
      <c r="XW23" s="232"/>
      <c r="XX23" s="232"/>
      <c r="XY23" s="232"/>
      <c r="XZ23" s="232"/>
      <c r="YA23" s="232"/>
      <c r="YB23" s="232"/>
      <c r="YC23" s="232"/>
      <c r="YD23" s="232"/>
      <c r="YE23" s="232"/>
      <c r="YF23" s="232"/>
      <c r="YG23" s="232"/>
      <c r="YH23" s="232"/>
      <c r="YI23" s="232"/>
      <c r="YJ23" s="232"/>
      <c r="YK23" s="232"/>
      <c r="YL23" s="232"/>
      <c r="YM23" s="232"/>
      <c r="YN23" s="232"/>
      <c r="YO23" s="232"/>
      <c r="YP23" s="232"/>
      <c r="YQ23" s="232"/>
      <c r="YR23" s="232"/>
      <c r="YS23" s="232"/>
      <c r="YT23" s="232"/>
      <c r="YU23" s="232"/>
      <c r="YV23" s="232"/>
      <c r="YW23" s="232"/>
      <c r="YX23" s="232"/>
      <c r="YY23" s="232"/>
      <c r="YZ23" s="232"/>
      <c r="ZA23" s="232"/>
      <c r="ZB23" s="232"/>
      <c r="ZC23" s="232"/>
      <c r="ZD23" s="232"/>
      <c r="ZE23" s="232"/>
      <c r="ZF23" s="232"/>
      <c r="ZG23" s="232"/>
      <c r="ZH23" s="232"/>
      <c r="ZI23" s="232"/>
      <c r="ZJ23" s="232"/>
      <c r="ZK23" s="232"/>
      <c r="ZL23" s="232"/>
      <c r="ZM23" s="232"/>
      <c r="ZN23" s="232"/>
      <c r="ZO23" s="232"/>
      <c r="ZP23" s="232"/>
      <c r="ZQ23" s="232"/>
      <c r="ZR23" s="232"/>
      <c r="ZS23" s="232"/>
      <c r="ZT23" s="232"/>
      <c r="ZU23" s="232"/>
      <c r="ZV23" s="232"/>
      <c r="ZW23" s="232"/>
      <c r="ZX23" s="232"/>
      <c r="ZY23" s="232"/>
      <c r="ZZ23" s="232"/>
      <c r="AAA23" s="232"/>
      <c r="AAB23" s="232"/>
      <c r="AAC23" s="232"/>
      <c r="AAD23" s="232"/>
      <c r="AAE23" s="232"/>
      <c r="AAF23" s="232"/>
      <c r="AAG23" s="232"/>
      <c r="AAH23" s="232"/>
      <c r="AAI23" s="232"/>
      <c r="AAJ23" s="232"/>
      <c r="AAK23" s="232"/>
      <c r="AAL23" s="232"/>
      <c r="AAM23" s="232"/>
      <c r="AAN23" s="232"/>
      <c r="AAO23" s="232"/>
      <c r="AAP23" s="232"/>
      <c r="AAQ23" s="232"/>
      <c r="AAR23" s="232"/>
      <c r="AAS23" s="232"/>
      <c r="AAT23" s="232"/>
      <c r="AAU23" s="232"/>
      <c r="AAV23" s="232"/>
      <c r="AAW23" s="232"/>
      <c r="AAX23" s="232"/>
      <c r="AAY23" s="232"/>
      <c r="AAZ23" s="232"/>
      <c r="ABA23" s="232"/>
      <c r="ABB23" s="232"/>
      <c r="ABC23" s="232"/>
      <c r="ABD23" s="232"/>
      <c r="ABE23" s="232"/>
      <c r="ABF23" s="232"/>
      <c r="ABG23" s="232"/>
      <c r="ABH23" s="232"/>
      <c r="ABI23" s="232"/>
      <c r="ABJ23" s="232"/>
      <c r="ABK23" s="232"/>
      <c r="ABL23" s="232"/>
      <c r="ABM23" s="232"/>
      <c r="ABN23" s="232"/>
      <c r="ABO23" s="232"/>
      <c r="ABP23" s="232"/>
      <c r="ABQ23" s="232"/>
      <c r="ABR23" s="232"/>
      <c r="ABS23" s="232"/>
      <c r="ABT23" s="232"/>
      <c r="ABU23" s="232"/>
      <c r="ABV23" s="232"/>
      <c r="ABW23" s="232"/>
      <c r="ABX23" s="232"/>
      <c r="ABY23" s="232"/>
      <c r="ABZ23" s="232"/>
      <c r="ACA23" s="232"/>
      <c r="ACB23" s="232"/>
      <c r="ACC23" s="232"/>
      <c r="ACD23" s="232"/>
      <c r="ACE23" s="232"/>
      <c r="ACF23" s="232"/>
      <c r="ACG23" s="232"/>
      <c r="ACH23" s="232"/>
      <c r="ACI23" s="232"/>
      <c r="ACJ23" s="232"/>
      <c r="ACK23" s="232"/>
      <c r="ACL23" s="232"/>
      <c r="ACM23" s="232"/>
      <c r="ACN23" s="232"/>
      <c r="ACO23" s="232"/>
      <c r="ACP23" s="232"/>
      <c r="ACQ23" s="232"/>
      <c r="ACR23" s="232"/>
      <c r="ACS23" s="232"/>
      <c r="ACT23" s="232"/>
      <c r="ACU23" s="232"/>
      <c r="ACV23" s="232"/>
      <c r="ACW23" s="232"/>
      <c r="ACX23" s="232"/>
      <c r="ACY23" s="232"/>
      <c r="ACZ23" s="232"/>
      <c r="ADA23" s="232"/>
      <c r="ADB23" s="232"/>
      <c r="ADC23" s="232"/>
      <c r="ADD23" s="232"/>
      <c r="ADE23" s="232"/>
      <c r="ADF23" s="232"/>
      <c r="ADG23" s="232"/>
      <c r="ADH23" s="232"/>
      <c r="ADI23" s="232"/>
      <c r="ADJ23" s="232"/>
      <c r="ADK23" s="232"/>
      <c r="ADL23" s="232"/>
      <c r="ADM23" s="232"/>
      <c r="ADN23" s="232"/>
      <c r="ADO23" s="232"/>
      <c r="ADP23" s="232"/>
      <c r="ADQ23" s="232"/>
      <c r="ADR23" s="232"/>
      <c r="ADS23" s="232"/>
      <c r="ADT23" s="232"/>
      <c r="ADU23" s="232"/>
      <c r="ADV23" s="232"/>
      <c r="ADW23" s="232"/>
      <c r="ADX23" s="232"/>
      <c r="ADY23" s="232"/>
      <c r="ADZ23" s="232"/>
      <c r="AEA23" s="232"/>
      <c r="AEB23" s="232"/>
      <c r="AEC23" s="232"/>
      <c r="AED23" s="232"/>
      <c r="AEE23" s="232"/>
      <c r="AEF23" s="232"/>
      <c r="AEG23" s="232"/>
      <c r="AEH23" s="232"/>
      <c r="AEI23" s="232"/>
      <c r="AEJ23" s="232"/>
      <c r="AEK23" s="232"/>
      <c r="AEL23" s="232"/>
      <c r="AEM23" s="232"/>
      <c r="AEN23" s="232"/>
      <c r="AEO23" s="232"/>
      <c r="AEP23" s="232"/>
      <c r="AEQ23" s="232"/>
      <c r="AER23" s="232"/>
      <c r="AES23" s="232"/>
      <c r="AET23" s="232"/>
      <c r="AEU23" s="232"/>
      <c r="AEV23" s="232"/>
      <c r="AEW23" s="232"/>
      <c r="AEX23" s="232"/>
      <c r="AEY23" s="232"/>
      <c r="AEZ23" s="232"/>
      <c r="AFA23" s="232"/>
      <c r="AFB23" s="232"/>
      <c r="AFC23" s="232"/>
      <c r="AFD23" s="232"/>
      <c r="AFE23" s="232"/>
      <c r="AFF23" s="232"/>
      <c r="AFG23" s="232"/>
      <c r="AFH23" s="232"/>
      <c r="AFI23" s="232"/>
      <c r="AFJ23" s="232"/>
      <c r="AFK23" s="232"/>
      <c r="AFL23" s="232"/>
      <c r="AFM23" s="232"/>
      <c r="AFN23" s="232"/>
      <c r="AFO23" s="232"/>
      <c r="AFP23" s="232"/>
      <c r="AFQ23" s="232"/>
      <c r="AFR23" s="232"/>
      <c r="AFS23" s="232"/>
      <c r="AFT23" s="232"/>
      <c r="AFU23" s="232"/>
      <c r="AFV23" s="232"/>
      <c r="AFW23" s="232"/>
      <c r="AFX23" s="232"/>
      <c r="AFY23" s="232"/>
      <c r="AFZ23" s="232"/>
      <c r="AGA23" s="232"/>
      <c r="AGB23" s="232"/>
      <c r="AGC23" s="232"/>
      <c r="AGD23" s="232"/>
      <c r="AGE23" s="232"/>
      <c r="AGF23" s="232"/>
      <c r="AGG23" s="232"/>
      <c r="AGH23" s="232"/>
      <c r="AGI23" s="232"/>
      <c r="AGJ23" s="232"/>
      <c r="AGK23" s="232"/>
      <c r="AGL23" s="232"/>
      <c r="AGM23" s="232"/>
      <c r="AGN23" s="232"/>
      <c r="AGO23" s="232"/>
      <c r="AGP23" s="232"/>
      <c r="AGQ23" s="232"/>
      <c r="AGR23" s="232"/>
      <c r="AGS23" s="232"/>
      <c r="AGT23" s="232"/>
      <c r="AGU23" s="232"/>
      <c r="AGV23" s="232"/>
      <c r="AGW23" s="232"/>
      <c r="AGX23" s="232"/>
      <c r="AGY23" s="232"/>
      <c r="AGZ23" s="232"/>
      <c r="AHA23" s="232"/>
      <c r="AHB23" s="232"/>
      <c r="AHC23" s="232"/>
      <c r="AHD23" s="232"/>
      <c r="AHE23" s="232"/>
      <c r="AHF23" s="232"/>
      <c r="AHG23" s="232"/>
      <c r="AHH23" s="232"/>
      <c r="AHI23" s="232"/>
      <c r="AHJ23" s="232"/>
      <c r="AHK23" s="232"/>
      <c r="AHL23" s="232"/>
      <c r="AHM23" s="232"/>
      <c r="AHN23" s="232"/>
      <c r="AHO23" s="232"/>
      <c r="AHP23" s="232"/>
      <c r="AHQ23" s="232"/>
      <c r="AHR23" s="232"/>
      <c r="AHS23" s="232"/>
      <c r="AHT23" s="232"/>
      <c r="AHU23" s="232"/>
      <c r="AHV23" s="232"/>
      <c r="AHW23" s="232"/>
      <c r="AHX23" s="232"/>
      <c r="AHY23" s="232"/>
      <c r="AHZ23" s="232"/>
      <c r="AIA23" s="232"/>
      <c r="AIB23" s="232"/>
      <c r="AIC23" s="232"/>
      <c r="AID23" s="232"/>
      <c r="AIE23" s="232"/>
      <c r="AIF23" s="232"/>
      <c r="AIG23" s="232"/>
      <c r="AIH23" s="232"/>
      <c r="AII23" s="232"/>
      <c r="AIJ23" s="232"/>
      <c r="AIK23" s="232"/>
      <c r="AIL23" s="232"/>
      <c r="AIM23" s="232"/>
      <c r="AIN23" s="232"/>
      <c r="AIO23" s="232"/>
      <c r="AIP23" s="232"/>
      <c r="AIQ23" s="232"/>
      <c r="AIR23" s="232"/>
      <c r="AIS23" s="232"/>
      <c r="AIT23" s="232"/>
      <c r="AIU23" s="232"/>
      <c r="AIV23" s="232"/>
      <c r="AIW23" s="232"/>
      <c r="AIX23" s="232"/>
      <c r="AIY23" s="232"/>
      <c r="AIZ23" s="232"/>
      <c r="AJA23" s="232"/>
      <c r="AJB23" s="232"/>
      <c r="AJC23" s="232"/>
      <c r="AJD23" s="232"/>
      <c r="AJE23" s="232"/>
      <c r="AJF23" s="232"/>
      <c r="AJG23" s="232"/>
      <c r="AJH23" s="232"/>
      <c r="AJI23" s="232"/>
      <c r="AJJ23" s="232"/>
      <c r="AJK23" s="232"/>
      <c r="AJL23" s="232"/>
      <c r="AJM23" s="232"/>
      <c r="AJN23" s="232"/>
      <c r="AJO23" s="232"/>
      <c r="AJP23" s="232"/>
      <c r="AJQ23" s="232"/>
      <c r="AJR23" s="232"/>
      <c r="AJS23" s="232"/>
      <c r="AJT23" s="232"/>
      <c r="AJU23" s="232"/>
      <c r="AJV23" s="232"/>
      <c r="AJW23" s="232"/>
      <c r="AJX23" s="232"/>
      <c r="AJY23" s="232"/>
      <c r="AJZ23" s="232"/>
      <c r="AKA23" s="232"/>
      <c r="AKB23" s="232"/>
      <c r="AKC23" s="232"/>
      <c r="AKD23" s="232"/>
      <c r="AKE23" s="232"/>
      <c r="AKF23" s="232"/>
      <c r="AKG23" s="232"/>
      <c r="AKH23" s="232"/>
      <c r="AKI23" s="232"/>
      <c r="AKJ23" s="232"/>
      <c r="AKK23" s="232"/>
      <c r="AKL23" s="232"/>
      <c r="AKM23" s="232"/>
      <c r="AKN23" s="232"/>
      <c r="AKO23" s="232"/>
      <c r="AKP23" s="232"/>
      <c r="AKQ23" s="232"/>
      <c r="AKR23" s="232"/>
      <c r="AKS23" s="232"/>
      <c r="AKT23" s="232"/>
      <c r="AKU23" s="232"/>
      <c r="AKV23" s="232"/>
      <c r="AKW23" s="232"/>
      <c r="AKX23" s="232"/>
      <c r="AKY23" s="232"/>
      <c r="AKZ23" s="232"/>
      <c r="ALA23" s="232"/>
      <c r="ALB23" s="232"/>
      <c r="ALC23" s="232"/>
      <c r="ALD23" s="232"/>
      <c r="ALE23" s="232"/>
      <c r="ALF23" s="232"/>
      <c r="ALG23" s="232"/>
      <c r="ALH23" s="232"/>
      <c r="ALI23" s="232"/>
      <c r="ALJ23" s="232"/>
      <c r="ALK23" s="232"/>
      <c r="ALL23" s="232"/>
      <c r="ALM23" s="232"/>
      <c r="ALN23" s="232"/>
      <c r="ALO23" s="232"/>
      <c r="ALP23" s="232"/>
      <c r="ALQ23" s="232"/>
      <c r="ALR23" s="232"/>
      <c r="ALS23" s="232"/>
      <c r="ALT23" s="232"/>
      <c r="ALU23" s="232"/>
      <c r="ALV23" s="232"/>
      <c r="ALW23" s="232"/>
      <c r="ALX23" s="232"/>
      <c r="ALY23" s="232"/>
      <c r="ALZ23" s="232"/>
      <c r="AMA23" s="232"/>
      <c r="AMB23" s="232"/>
      <c r="AMC23" s="232"/>
      <c r="AMD23" s="232"/>
      <c r="AME23" s="232"/>
      <c r="AMF23" s="232"/>
      <c r="AMG23" s="232"/>
      <c r="AMH23" s="232"/>
      <c r="AMI23" s="232"/>
      <c r="AMJ23" s="232"/>
      <c r="AMK23" s="232"/>
      <c r="AML23" s="232"/>
      <c r="AMM23" s="232"/>
      <c r="AMN23" s="232"/>
      <c r="AMO23" s="232"/>
      <c r="AMP23" s="232"/>
      <c r="AMQ23" s="232"/>
      <c r="AMR23" s="232"/>
      <c r="AMS23" s="232"/>
      <c r="AMT23" s="232"/>
      <c r="AMU23" s="232"/>
      <c r="AMV23" s="232"/>
      <c r="AMW23" s="232"/>
      <c r="AMX23" s="232"/>
      <c r="AMY23" s="232"/>
      <c r="AMZ23" s="232"/>
      <c r="ANA23" s="232"/>
      <c r="ANB23" s="232"/>
      <c r="ANC23" s="232"/>
      <c r="AND23" s="232"/>
      <c r="ANE23" s="232"/>
      <c r="ANF23" s="232"/>
      <c r="ANG23" s="232"/>
      <c r="ANH23" s="232"/>
      <c r="ANI23" s="232"/>
      <c r="ANJ23" s="232"/>
      <c r="ANK23" s="232"/>
      <c r="ANL23" s="232"/>
      <c r="ANM23" s="232"/>
      <c r="ANN23" s="232"/>
      <c r="ANO23" s="232"/>
      <c r="ANP23" s="232"/>
      <c r="ANQ23" s="232"/>
      <c r="ANR23" s="232"/>
      <c r="ANS23" s="232"/>
      <c r="ANT23" s="232"/>
      <c r="ANU23" s="232"/>
      <c r="ANV23" s="232"/>
      <c r="ANW23" s="232"/>
      <c r="ANX23" s="232"/>
      <c r="ANY23" s="232"/>
      <c r="ANZ23" s="232"/>
      <c r="AOA23" s="232"/>
      <c r="AOB23" s="232"/>
      <c r="AOC23" s="232"/>
      <c r="AOD23" s="232"/>
      <c r="AOE23" s="232"/>
      <c r="AOF23" s="232"/>
      <c r="AOG23" s="232"/>
    </row>
    <row r="24" spans="1:1073">
      <c r="A24" s="2127"/>
      <c r="B24" s="233">
        <v>16</v>
      </c>
      <c r="C24" s="224"/>
      <c r="D24" s="225"/>
      <c r="E24" s="226"/>
      <c r="F24" s="226"/>
      <c r="G24" s="227" t="str">
        <f>IF(C24="","",IF(Tabelle1[[#This Row],[End Date]]&lt;COV!$E$12,0,IF(COV!E$12="","",IF(Tabelle1[[#This Row],[End Date]]-Tabelle1[[#This Row],[Start Date]]&gt;0,IF(F24&lt;COV!E$11,(F24-IF(E24&lt;COV!E$12,COV!E$12,Tabelle1[[#This Row],[Start Date]])),(COV!E$11-IF(E24&lt;COV!E$12,COV!E$12,Tabelle1[[#This Row],[Start Date]])))/365*12,""))))</f>
        <v/>
      </c>
      <c r="H24" s="225"/>
      <c r="I24" s="234"/>
      <c r="J24" s="229"/>
      <c r="K24" s="1325" t="str">
        <f>IF(Tabelle1[[#This Row],[Project Name]]="","",IF(OR(Tabelle1[[#This Row],[PM Category]]=CAT_A_NAME,Tabelle1[[#This Row],[PM Category]]=CAT_B_NAME,Tabelle1[[#This Row],[PM Category]]=CAT_C_NAME,Tabelle1[[#This Row],[PM Category]]=CAT_D_NAME,Tabelle1[[#This Row],[PM Category]]=CAT_E_NAME,Tabelle1[[#This Row],[PM Category]]=CAT_SPJ,Tabelle1[[#This Row],[PM Category]]=CAT_PJ,Tabelle1[[#This Row],[PM Category]]=""),"","1"))</f>
        <v/>
      </c>
      <c r="L24" s="1326">
        <f>IF(Tabelle1[[#This Row],[Role]]="PJM",1)+IF(Tabelle1[[#This Row],[Role]]="PGM",1)+IF(Tabelle1[[#This Row],[Role]]="PFM",1)+IF(Tabelle1[[#This Row],[Role]]="TPM",1)+IF(Tabelle1[[#This Row],[Role]]="CPM",1)</f>
        <v>0</v>
      </c>
      <c r="M24" s="230" t="str">
        <f>IFERROR(IF(Tabelle1[[#This Row],[Project Name]]&lt;&gt;"",IF(G24*I24&gt;0,G24,""),"")*Tabelle1[[#This Row],[Role Check]],"")</f>
        <v/>
      </c>
      <c r="N24" s="231" t="str">
        <f>IFERROR(Tabelle1[[#This Row],[Duration '[months']]]*Tabelle1[[#This Row],[Avg. time spent in resp. Role]],"")</f>
        <v/>
      </c>
      <c r="O24" s="221"/>
      <c r="S24" s="208" t="str">
        <f>IF(Tabelle1[[#This Row],[Project Name]]&lt;&gt;"",Tabelle1[[#This Row],[Project Name]],"")</f>
        <v/>
      </c>
      <c r="T24" s="232">
        <f t="shared" si="12"/>
        <v>0</v>
      </c>
      <c r="U24" s="545" t="e">
        <f t="shared" si="12"/>
        <v>#VALUE!</v>
      </c>
      <c r="V24" s="545" t="e">
        <f t="shared" si="38"/>
        <v>#VALUE!</v>
      </c>
      <c r="W24" s="232" t="e">
        <f t="shared" si="38"/>
        <v>#VALUE!</v>
      </c>
      <c r="X24" s="232" t="e">
        <f t="shared" si="38"/>
        <v>#VALUE!</v>
      </c>
      <c r="Y24" s="232" t="e">
        <f t="shared" si="38"/>
        <v>#VALUE!</v>
      </c>
      <c r="Z24" s="232" t="e">
        <f t="shared" si="38"/>
        <v>#VALUE!</v>
      </c>
      <c r="AA24" s="232" t="e">
        <f t="shared" si="38"/>
        <v>#VALUE!</v>
      </c>
      <c r="AB24" s="232" t="e">
        <f t="shared" si="38"/>
        <v>#VALUE!</v>
      </c>
      <c r="AC24" s="232" t="e">
        <f t="shared" si="38"/>
        <v>#VALUE!</v>
      </c>
      <c r="AD24" s="232" t="e">
        <f t="shared" si="38"/>
        <v>#VALUE!</v>
      </c>
      <c r="AE24" s="232" t="e">
        <f t="shared" si="38"/>
        <v>#VALUE!</v>
      </c>
      <c r="AF24" s="232" t="e">
        <f t="shared" si="39"/>
        <v>#VALUE!</v>
      </c>
      <c r="AG24" s="232" t="e">
        <f t="shared" si="39"/>
        <v>#VALUE!</v>
      </c>
      <c r="AH24" s="232" t="e">
        <f t="shared" si="39"/>
        <v>#VALUE!</v>
      </c>
      <c r="AI24" s="232" t="e">
        <f t="shared" si="39"/>
        <v>#VALUE!</v>
      </c>
      <c r="AJ24" s="232" t="e">
        <f t="shared" si="39"/>
        <v>#VALUE!</v>
      </c>
      <c r="AK24" s="232" t="e">
        <f t="shared" si="39"/>
        <v>#VALUE!</v>
      </c>
      <c r="AL24" s="232" t="e">
        <f t="shared" si="39"/>
        <v>#VALUE!</v>
      </c>
      <c r="AM24" s="232" t="e">
        <f t="shared" si="39"/>
        <v>#VALUE!</v>
      </c>
      <c r="AN24" s="232" t="e">
        <f t="shared" si="39"/>
        <v>#VALUE!</v>
      </c>
      <c r="AO24" s="232" t="e">
        <f t="shared" si="39"/>
        <v>#VALUE!</v>
      </c>
      <c r="AP24" s="232" t="e">
        <f t="shared" si="40"/>
        <v>#VALUE!</v>
      </c>
      <c r="AQ24" s="232" t="e">
        <f t="shared" si="40"/>
        <v>#VALUE!</v>
      </c>
      <c r="AR24" s="232" t="e">
        <f t="shared" si="40"/>
        <v>#VALUE!</v>
      </c>
      <c r="AS24" s="232" t="e">
        <f t="shared" si="40"/>
        <v>#VALUE!</v>
      </c>
      <c r="AT24" s="232" t="e">
        <f t="shared" si="40"/>
        <v>#VALUE!</v>
      </c>
      <c r="AU24" s="232" t="e">
        <f t="shared" si="40"/>
        <v>#VALUE!</v>
      </c>
      <c r="AV24" s="232" t="e">
        <f t="shared" si="40"/>
        <v>#VALUE!</v>
      </c>
      <c r="AW24" s="232" t="e">
        <f t="shared" si="40"/>
        <v>#VALUE!</v>
      </c>
      <c r="AX24" s="232" t="e">
        <f t="shared" si="40"/>
        <v>#VALUE!</v>
      </c>
      <c r="AY24" s="232" t="e">
        <f t="shared" si="40"/>
        <v>#VALUE!</v>
      </c>
      <c r="AZ24" s="232" t="e">
        <f t="shared" si="41"/>
        <v>#VALUE!</v>
      </c>
      <c r="BA24" s="232" t="e">
        <f t="shared" si="41"/>
        <v>#VALUE!</v>
      </c>
      <c r="BB24" s="232" t="e">
        <f t="shared" si="41"/>
        <v>#VALUE!</v>
      </c>
      <c r="BC24" s="232" t="e">
        <f t="shared" si="41"/>
        <v>#VALUE!</v>
      </c>
      <c r="BD24" s="232" t="e">
        <f t="shared" si="41"/>
        <v>#VALUE!</v>
      </c>
      <c r="BE24" s="232" t="e">
        <f t="shared" si="41"/>
        <v>#VALUE!</v>
      </c>
      <c r="BF24" s="232" t="e">
        <f t="shared" si="41"/>
        <v>#VALUE!</v>
      </c>
      <c r="BG24" s="232" t="e">
        <f t="shared" si="41"/>
        <v>#VALUE!</v>
      </c>
      <c r="BH24" s="232" t="e">
        <f t="shared" si="41"/>
        <v>#VALUE!</v>
      </c>
      <c r="BI24" s="232" t="e">
        <f t="shared" si="41"/>
        <v>#VALUE!</v>
      </c>
      <c r="BJ24" s="232" t="e">
        <f t="shared" si="42"/>
        <v>#VALUE!</v>
      </c>
      <c r="BK24" s="232" t="e">
        <f t="shared" si="42"/>
        <v>#VALUE!</v>
      </c>
      <c r="BL24" s="232" t="e">
        <f t="shared" si="42"/>
        <v>#VALUE!</v>
      </c>
      <c r="BM24" s="232" t="e">
        <f t="shared" si="42"/>
        <v>#VALUE!</v>
      </c>
      <c r="BN24" s="232" t="e">
        <f t="shared" si="42"/>
        <v>#VALUE!</v>
      </c>
      <c r="BO24" s="232" t="e">
        <f t="shared" si="42"/>
        <v>#VALUE!</v>
      </c>
      <c r="BP24" s="232" t="e">
        <f t="shared" si="42"/>
        <v>#VALUE!</v>
      </c>
      <c r="BQ24" s="232" t="e">
        <f t="shared" si="42"/>
        <v>#VALUE!</v>
      </c>
      <c r="BR24" s="232" t="e">
        <f t="shared" si="42"/>
        <v>#VALUE!</v>
      </c>
      <c r="BS24" s="232" t="e">
        <f t="shared" si="42"/>
        <v>#VALUE!</v>
      </c>
      <c r="BT24" s="232" t="e">
        <f t="shared" si="43"/>
        <v>#VALUE!</v>
      </c>
      <c r="BU24" s="232" t="e">
        <f t="shared" si="43"/>
        <v>#VALUE!</v>
      </c>
      <c r="BV24" s="232" t="e">
        <f t="shared" si="43"/>
        <v>#VALUE!</v>
      </c>
      <c r="BW24" s="232" t="e">
        <f t="shared" si="43"/>
        <v>#VALUE!</v>
      </c>
      <c r="BX24" s="232" t="e">
        <f t="shared" si="43"/>
        <v>#VALUE!</v>
      </c>
      <c r="BY24" s="232" t="e">
        <f t="shared" si="43"/>
        <v>#VALUE!</v>
      </c>
      <c r="BZ24" s="232" t="e">
        <f t="shared" si="43"/>
        <v>#VALUE!</v>
      </c>
      <c r="CA24" s="232" t="e">
        <f t="shared" si="43"/>
        <v>#VALUE!</v>
      </c>
      <c r="CB24" s="232" t="e">
        <f t="shared" si="43"/>
        <v>#VALUE!</v>
      </c>
      <c r="CC24" s="232" t="e">
        <f t="shared" si="43"/>
        <v>#VALUE!</v>
      </c>
      <c r="CD24" s="232" t="e">
        <f t="shared" si="44"/>
        <v>#VALUE!</v>
      </c>
      <c r="CE24" s="232" t="e">
        <f t="shared" si="44"/>
        <v>#VALUE!</v>
      </c>
      <c r="CF24" s="232" t="e">
        <f t="shared" si="44"/>
        <v>#VALUE!</v>
      </c>
      <c r="CG24" s="232" t="e">
        <f t="shared" si="44"/>
        <v>#VALUE!</v>
      </c>
      <c r="CH24" s="232" t="e">
        <f t="shared" si="44"/>
        <v>#VALUE!</v>
      </c>
      <c r="CI24" s="232" t="e">
        <f t="shared" si="44"/>
        <v>#VALUE!</v>
      </c>
      <c r="CJ24" s="232" t="e">
        <f t="shared" si="44"/>
        <v>#VALUE!</v>
      </c>
      <c r="CK24" s="232" t="e">
        <f t="shared" si="44"/>
        <v>#VALUE!</v>
      </c>
      <c r="CL24" s="232" t="e">
        <f t="shared" si="44"/>
        <v>#VALUE!</v>
      </c>
      <c r="CM24" s="232" t="e">
        <f t="shared" si="44"/>
        <v>#VALUE!</v>
      </c>
      <c r="CN24" s="232" t="e">
        <f t="shared" si="45"/>
        <v>#VALUE!</v>
      </c>
      <c r="CO24" s="232" t="e">
        <f t="shared" si="45"/>
        <v>#VALUE!</v>
      </c>
      <c r="CP24" s="232" t="e">
        <f t="shared" si="45"/>
        <v>#VALUE!</v>
      </c>
      <c r="CQ24" s="232" t="e">
        <f t="shared" si="45"/>
        <v>#VALUE!</v>
      </c>
      <c r="CR24" s="232" t="e">
        <f t="shared" si="45"/>
        <v>#VALUE!</v>
      </c>
      <c r="CS24" s="232" t="e">
        <f t="shared" si="45"/>
        <v>#VALUE!</v>
      </c>
      <c r="CT24" s="232" t="e">
        <f t="shared" si="45"/>
        <v>#VALUE!</v>
      </c>
      <c r="CU24" s="232" t="e">
        <f t="shared" si="45"/>
        <v>#VALUE!</v>
      </c>
      <c r="CV24" s="232" t="e">
        <f t="shared" si="45"/>
        <v>#VALUE!</v>
      </c>
      <c r="CW24" s="232" t="e">
        <f t="shared" si="45"/>
        <v>#VALUE!</v>
      </c>
      <c r="CX24" s="232" t="e">
        <f t="shared" si="46"/>
        <v>#VALUE!</v>
      </c>
      <c r="CY24" s="232" t="e">
        <f t="shared" si="46"/>
        <v>#VALUE!</v>
      </c>
      <c r="CZ24" s="232" t="e">
        <f t="shared" si="46"/>
        <v>#VALUE!</v>
      </c>
      <c r="DA24" s="232" t="e">
        <f t="shared" si="46"/>
        <v>#VALUE!</v>
      </c>
      <c r="DB24" s="232" t="e">
        <f t="shared" si="46"/>
        <v>#VALUE!</v>
      </c>
      <c r="DC24" s="232" t="e">
        <f t="shared" si="46"/>
        <v>#VALUE!</v>
      </c>
      <c r="DD24" s="232" t="e">
        <f t="shared" si="46"/>
        <v>#VALUE!</v>
      </c>
      <c r="DE24" s="232" t="e">
        <f t="shared" si="46"/>
        <v>#VALUE!</v>
      </c>
      <c r="DF24" s="232" t="e">
        <f t="shared" si="46"/>
        <v>#VALUE!</v>
      </c>
      <c r="DG24" s="232" t="e">
        <f t="shared" si="46"/>
        <v>#VALUE!</v>
      </c>
      <c r="DH24" s="232" t="e">
        <f t="shared" si="47"/>
        <v>#VALUE!</v>
      </c>
      <c r="DI24" s="232" t="e">
        <f t="shared" si="47"/>
        <v>#VALUE!</v>
      </c>
      <c r="DJ24" s="232" t="e">
        <f t="shared" si="47"/>
        <v>#VALUE!</v>
      </c>
      <c r="DK24" s="232" t="e">
        <f t="shared" si="47"/>
        <v>#VALUE!</v>
      </c>
      <c r="DL24" s="232" t="e">
        <f t="shared" si="47"/>
        <v>#VALUE!</v>
      </c>
      <c r="DM24" s="232" t="e">
        <f t="shared" si="47"/>
        <v>#VALUE!</v>
      </c>
      <c r="DN24" s="232" t="e">
        <f t="shared" si="47"/>
        <v>#VALUE!</v>
      </c>
      <c r="DO24" s="232" t="e">
        <f t="shared" si="47"/>
        <v>#VALUE!</v>
      </c>
      <c r="DP24" s="232" t="e">
        <f t="shared" si="47"/>
        <v>#VALUE!</v>
      </c>
      <c r="DQ24" s="232" t="e">
        <f t="shared" si="47"/>
        <v>#VALUE!</v>
      </c>
      <c r="DR24" s="232" t="e">
        <f t="shared" si="48"/>
        <v>#VALUE!</v>
      </c>
      <c r="DS24" s="232" t="e">
        <f t="shared" si="48"/>
        <v>#VALUE!</v>
      </c>
      <c r="DT24" s="232" t="e">
        <f t="shared" si="48"/>
        <v>#VALUE!</v>
      </c>
      <c r="DU24" s="232" t="e">
        <f t="shared" si="48"/>
        <v>#VALUE!</v>
      </c>
      <c r="DV24" s="232" t="e">
        <f t="shared" si="48"/>
        <v>#VALUE!</v>
      </c>
      <c r="DW24" s="232" t="e">
        <f t="shared" si="48"/>
        <v>#VALUE!</v>
      </c>
      <c r="DX24" s="232" t="e">
        <f t="shared" si="48"/>
        <v>#VALUE!</v>
      </c>
      <c r="DY24" s="232" t="e">
        <f t="shared" si="48"/>
        <v>#VALUE!</v>
      </c>
      <c r="DZ24" s="232" t="e">
        <f t="shared" si="48"/>
        <v>#VALUE!</v>
      </c>
      <c r="EA24" s="232" t="e">
        <f t="shared" si="48"/>
        <v>#VALUE!</v>
      </c>
      <c r="EB24" s="232" t="e">
        <f t="shared" si="49"/>
        <v>#VALUE!</v>
      </c>
      <c r="EC24" s="232" t="e">
        <f t="shared" si="49"/>
        <v>#VALUE!</v>
      </c>
      <c r="ED24" s="232" t="e">
        <f t="shared" si="49"/>
        <v>#VALUE!</v>
      </c>
      <c r="EE24" s="232" t="e">
        <f t="shared" si="49"/>
        <v>#VALUE!</v>
      </c>
      <c r="EF24" s="232" t="e">
        <f t="shared" si="49"/>
        <v>#VALUE!</v>
      </c>
      <c r="EG24" s="232" t="e">
        <f t="shared" si="49"/>
        <v>#VALUE!</v>
      </c>
      <c r="EH24" s="232" t="e">
        <f t="shared" si="49"/>
        <v>#VALUE!</v>
      </c>
      <c r="EI24" s="232" t="e">
        <f t="shared" si="49"/>
        <v>#VALUE!</v>
      </c>
      <c r="EJ24" s="232" t="e">
        <f t="shared" si="49"/>
        <v>#VALUE!</v>
      </c>
      <c r="EK24" s="232" t="e">
        <f t="shared" si="49"/>
        <v>#VALUE!</v>
      </c>
      <c r="EL24" s="232" t="e">
        <f t="shared" si="50"/>
        <v>#VALUE!</v>
      </c>
      <c r="EM24" s="232" t="e">
        <f t="shared" si="50"/>
        <v>#VALUE!</v>
      </c>
      <c r="EN24" s="232" t="e">
        <f t="shared" si="50"/>
        <v>#VALUE!</v>
      </c>
      <c r="EO24" s="232" t="e">
        <f t="shared" si="50"/>
        <v>#VALUE!</v>
      </c>
      <c r="EP24" s="232" t="e">
        <f t="shared" si="50"/>
        <v>#VALUE!</v>
      </c>
      <c r="EQ24" s="232" t="e">
        <f t="shared" si="50"/>
        <v>#VALUE!</v>
      </c>
      <c r="ER24" s="232" t="e">
        <f t="shared" si="50"/>
        <v>#VALUE!</v>
      </c>
      <c r="ES24" s="232" t="e">
        <f t="shared" si="50"/>
        <v>#VALUE!</v>
      </c>
      <c r="ET24" s="232" t="e">
        <f t="shared" si="50"/>
        <v>#VALUE!</v>
      </c>
      <c r="EU24" s="232" t="e">
        <f t="shared" si="50"/>
        <v>#VALUE!</v>
      </c>
      <c r="EV24" s="232" t="e">
        <f t="shared" si="51"/>
        <v>#VALUE!</v>
      </c>
      <c r="EW24" s="232" t="e">
        <f t="shared" si="51"/>
        <v>#VALUE!</v>
      </c>
      <c r="EX24" s="232" t="e">
        <f t="shared" si="51"/>
        <v>#VALUE!</v>
      </c>
      <c r="EY24" s="232" t="e">
        <f t="shared" si="51"/>
        <v>#VALUE!</v>
      </c>
      <c r="EZ24" s="232" t="e">
        <f t="shared" si="51"/>
        <v>#VALUE!</v>
      </c>
      <c r="FA24" s="232" t="e">
        <f t="shared" si="51"/>
        <v>#VALUE!</v>
      </c>
      <c r="FB24" s="232" t="e">
        <f t="shared" si="51"/>
        <v>#VALUE!</v>
      </c>
      <c r="FC24" s="232" t="e">
        <f t="shared" si="51"/>
        <v>#VALUE!</v>
      </c>
      <c r="FD24" s="232" t="e">
        <f t="shared" si="51"/>
        <v>#VALUE!</v>
      </c>
      <c r="FE24" s="232" t="e">
        <f t="shared" si="51"/>
        <v>#VALUE!</v>
      </c>
      <c r="FF24" s="232" t="e">
        <f t="shared" si="52"/>
        <v>#VALUE!</v>
      </c>
      <c r="FG24" s="232" t="e">
        <f t="shared" si="52"/>
        <v>#VALUE!</v>
      </c>
      <c r="FH24" s="232" t="e">
        <f t="shared" si="52"/>
        <v>#VALUE!</v>
      </c>
      <c r="FI24" s="232" t="e">
        <f t="shared" si="52"/>
        <v>#VALUE!</v>
      </c>
      <c r="FJ24" s="232" t="e">
        <f t="shared" si="52"/>
        <v>#VALUE!</v>
      </c>
      <c r="FK24" s="232" t="e">
        <f t="shared" si="52"/>
        <v>#VALUE!</v>
      </c>
      <c r="FL24" s="232" t="e">
        <f t="shared" si="52"/>
        <v>#VALUE!</v>
      </c>
      <c r="FM24" s="232" t="e">
        <f t="shared" si="52"/>
        <v>#VALUE!</v>
      </c>
      <c r="FN24" s="232" t="e">
        <f t="shared" si="52"/>
        <v>#VALUE!</v>
      </c>
      <c r="FO24" s="232" t="e">
        <f t="shared" si="52"/>
        <v>#VALUE!</v>
      </c>
      <c r="FP24" s="232" t="e">
        <f t="shared" si="53"/>
        <v>#VALUE!</v>
      </c>
      <c r="FQ24" s="232" t="e">
        <f t="shared" si="53"/>
        <v>#VALUE!</v>
      </c>
      <c r="FR24" s="232" t="e">
        <f t="shared" si="53"/>
        <v>#VALUE!</v>
      </c>
      <c r="FS24" s="232" t="e">
        <f t="shared" si="53"/>
        <v>#VALUE!</v>
      </c>
      <c r="FT24" s="232" t="e">
        <f t="shared" si="53"/>
        <v>#VALUE!</v>
      </c>
      <c r="FU24" s="232" t="e">
        <f t="shared" si="53"/>
        <v>#VALUE!</v>
      </c>
      <c r="FV24" s="232" t="e">
        <f t="shared" si="53"/>
        <v>#VALUE!</v>
      </c>
      <c r="FW24" s="232" t="e">
        <f t="shared" si="53"/>
        <v>#VALUE!</v>
      </c>
      <c r="FX24" s="232" t="e">
        <f t="shared" si="53"/>
        <v>#VALUE!</v>
      </c>
      <c r="FY24" s="232" t="e">
        <f t="shared" si="53"/>
        <v>#VALUE!</v>
      </c>
      <c r="FZ24" s="232" t="e">
        <f t="shared" si="54"/>
        <v>#VALUE!</v>
      </c>
      <c r="GA24" s="232" t="e">
        <f t="shared" si="54"/>
        <v>#VALUE!</v>
      </c>
      <c r="GB24" s="232" t="e">
        <f t="shared" si="54"/>
        <v>#VALUE!</v>
      </c>
      <c r="GC24" s="232" t="e">
        <f t="shared" si="54"/>
        <v>#VALUE!</v>
      </c>
      <c r="GD24" s="232" t="e">
        <f t="shared" si="54"/>
        <v>#VALUE!</v>
      </c>
      <c r="GE24" s="232" t="e">
        <f t="shared" si="54"/>
        <v>#VALUE!</v>
      </c>
      <c r="GF24" s="232" t="e">
        <f t="shared" si="54"/>
        <v>#VALUE!</v>
      </c>
      <c r="GG24" s="232" t="e">
        <f t="shared" si="54"/>
        <v>#VALUE!</v>
      </c>
      <c r="GH24" s="232" t="e">
        <f t="shared" si="54"/>
        <v>#VALUE!</v>
      </c>
      <c r="GI24" s="232" t="e">
        <f t="shared" si="54"/>
        <v>#VALUE!</v>
      </c>
      <c r="GJ24" s="232" t="e">
        <f t="shared" si="55"/>
        <v>#VALUE!</v>
      </c>
      <c r="GK24" s="232" t="e">
        <f t="shared" si="55"/>
        <v>#VALUE!</v>
      </c>
      <c r="GL24" s="232" t="e">
        <f t="shared" si="55"/>
        <v>#VALUE!</v>
      </c>
      <c r="GM24" s="232" t="e">
        <f t="shared" si="55"/>
        <v>#VALUE!</v>
      </c>
      <c r="GN24" s="232" t="e">
        <f t="shared" si="55"/>
        <v>#VALUE!</v>
      </c>
      <c r="GO24" s="232" t="e">
        <f t="shared" si="55"/>
        <v>#VALUE!</v>
      </c>
      <c r="GP24" s="232" t="e">
        <f t="shared" si="55"/>
        <v>#VALUE!</v>
      </c>
      <c r="GQ24" s="232" t="e">
        <f t="shared" si="55"/>
        <v>#VALUE!</v>
      </c>
      <c r="GR24" s="232" t="e">
        <f t="shared" si="55"/>
        <v>#VALUE!</v>
      </c>
      <c r="GS24" s="232" t="e">
        <f t="shared" si="55"/>
        <v>#VALUE!</v>
      </c>
      <c r="GT24" s="232" t="e">
        <f t="shared" si="56"/>
        <v>#VALUE!</v>
      </c>
      <c r="GU24" s="232" t="e">
        <f t="shared" si="56"/>
        <v>#VALUE!</v>
      </c>
      <c r="GV24" s="232" t="e">
        <f t="shared" si="56"/>
        <v>#VALUE!</v>
      </c>
      <c r="GW24" s="232" t="e">
        <f t="shared" si="56"/>
        <v>#VALUE!</v>
      </c>
      <c r="GX24" s="232" t="e">
        <f t="shared" si="56"/>
        <v>#VALUE!</v>
      </c>
      <c r="GY24" s="232" t="e">
        <f t="shared" si="56"/>
        <v>#VALUE!</v>
      </c>
      <c r="GZ24" s="232" t="e">
        <f t="shared" si="56"/>
        <v>#VALUE!</v>
      </c>
      <c r="HA24" s="232" t="e">
        <f t="shared" si="56"/>
        <v>#VALUE!</v>
      </c>
      <c r="HB24" s="232" t="e">
        <f t="shared" si="56"/>
        <v>#VALUE!</v>
      </c>
      <c r="HC24" s="232" t="e">
        <f t="shared" si="56"/>
        <v>#VALUE!</v>
      </c>
      <c r="HD24" s="232" t="e">
        <f t="shared" si="57"/>
        <v>#VALUE!</v>
      </c>
      <c r="HE24" s="232" t="e">
        <f t="shared" si="57"/>
        <v>#VALUE!</v>
      </c>
      <c r="HF24" s="232" t="e">
        <f t="shared" si="57"/>
        <v>#VALUE!</v>
      </c>
      <c r="HG24" s="232" t="e">
        <f t="shared" si="57"/>
        <v>#VALUE!</v>
      </c>
      <c r="HH24" s="232" t="e">
        <f t="shared" si="57"/>
        <v>#VALUE!</v>
      </c>
      <c r="HI24" s="232" t="e">
        <f t="shared" si="57"/>
        <v>#VALUE!</v>
      </c>
      <c r="HJ24" s="232" t="e">
        <f t="shared" si="57"/>
        <v>#VALUE!</v>
      </c>
      <c r="HK24" s="232" t="e">
        <f t="shared" si="57"/>
        <v>#VALUE!</v>
      </c>
      <c r="HL24" s="232" t="e">
        <f t="shared" si="57"/>
        <v>#VALUE!</v>
      </c>
      <c r="HM24" s="232" t="e">
        <f t="shared" si="57"/>
        <v>#VALUE!</v>
      </c>
      <c r="HN24" s="232" t="e">
        <f t="shared" si="58"/>
        <v>#VALUE!</v>
      </c>
      <c r="HO24" s="232" t="e">
        <f t="shared" si="58"/>
        <v>#VALUE!</v>
      </c>
      <c r="HP24" s="232" t="e">
        <f t="shared" si="58"/>
        <v>#VALUE!</v>
      </c>
      <c r="HQ24" s="232" t="e">
        <f t="shared" si="58"/>
        <v>#VALUE!</v>
      </c>
      <c r="HR24" s="232" t="e">
        <f t="shared" si="58"/>
        <v>#VALUE!</v>
      </c>
      <c r="HS24" s="232" t="e">
        <f t="shared" si="58"/>
        <v>#VALUE!</v>
      </c>
      <c r="HT24" s="232" t="e">
        <f t="shared" si="58"/>
        <v>#VALUE!</v>
      </c>
      <c r="HU24" s="232" t="e">
        <f t="shared" si="58"/>
        <v>#VALUE!</v>
      </c>
      <c r="HV24" s="232" t="e">
        <f t="shared" si="58"/>
        <v>#VALUE!</v>
      </c>
      <c r="HW24" s="232" t="e">
        <f t="shared" si="58"/>
        <v>#VALUE!</v>
      </c>
      <c r="HX24" s="232" t="e">
        <f t="shared" si="59"/>
        <v>#VALUE!</v>
      </c>
      <c r="HY24" s="232" t="e">
        <f t="shared" si="59"/>
        <v>#VALUE!</v>
      </c>
      <c r="HZ24" s="232" t="e">
        <f t="shared" si="59"/>
        <v>#VALUE!</v>
      </c>
      <c r="IA24" s="232" t="e">
        <f t="shared" si="59"/>
        <v>#VALUE!</v>
      </c>
      <c r="IB24" s="232" t="e">
        <f t="shared" si="59"/>
        <v>#VALUE!</v>
      </c>
      <c r="IC24" s="232" t="e">
        <f t="shared" si="59"/>
        <v>#VALUE!</v>
      </c>
      <c r="ID24" s="232" t="e">
        <f t="shared" si="59"/>
        <v>#VALUE!</v>
      </c>
      <c r="IE24" s="232" t="e">
        <f t="shared" si="59"/>
        <v>#VALUE!</v>
      </c>
      <c r="IF24" s="232" t="e">
        <f t="shared" si="59"/>
        <v>#VALUE!</v>
      </c>
      <c r="IG24" s="232" t="e">
        <f t="shared" si="59"/>
        <v>#VALUE!</v>
      </c>
      <c r="IH24" s="232" t="e">
        <f t="shared" si="60"/>
        <v>#VALUE!</v>
      </c>
      <c r="II24" s="232" t="e">
        <f t="shared" si="60"/>
        <v>#VALUE!</v>
      </c>
      <c r="IJ24" s="232" t="e">
        <f t="shared" si="60"/>
        <v>#VALUE!</v>
      </c>
      <c r="IK24" s="232" t="e">
        <f t="shared" si="60"/>
        <v>#VALUE!</v>
      </c>
      <c r="IL24" s="232" t="e">
        <f t="shared" si="60"/>
        <v>#VALUE!</v>
      </c>
      <c r="IM24" s="232" t="e">
        <f t="shared" si="60"/>
        <v>#VALUE!</v>
      </c>
      <c r="IN24" s="232" t="e">
        <f t="shared" si="60"/>
        <v>#VALUE!</v>
      </c>
      <c r="IO24" s="232" t="e">
        <f t="shared" si="60"/>
        <v>#VALUE!</v>
      </c>
      <c r="IP24" s="232" t="e">
        <f t="shared" si="60"/>
        <v>#VALUE!</v>
      </c>
      <c r="IQ24" s="232" t="e">
        <f t="shared" si="60"/>
        <v>#VALUE!</v>
      </c>
      <c r="IR24" s="232" t="e">
        <f t="shared" si="61"/>
        <v>#VALUE!</v>
      </c>
      <c r="IS24" s="232" t="e">
        <f t="shared" si="61"/>
        <v>#VALUE!</v>
      </c>
      <c r="IT24" s="232" t="e">
        <f t="shared" si="61"/>
        <v>#VALUE!</v>
      </c>
      <c r="IU24" s="232" t="e">
        <f t="shared" si="61"/>
        <v>#VALUE!</v>
      </c>
      <c r="IV24" s="232" t="e">
        <f t="shared" si="61"/>
        <v>#VALUE!</v>
      </c>
      <c r="IW24" s="232" t="e">
        <f t="shared" si="61"/>
        <v>#VALUE!</v>
      </c>
      <c r="IX24" s="232" t="e">
        <f t="shared" si="61"/>
        <v>#VALUE!</v>
      </c>
      <c r="IY24" s="232" t="e">
        <f t="shared" si="61"/>
        <v>#VALUE!</v>
      </c>
      <c r="IZ24" s="232" t="e">
        <f t="shared" si="61"/>
        <v>#VALUE!</v>
      </c>
      <c r="JA24" s="232" t="e">
        <f t="shared" si="61"/>
        <v>#VALUE!</v>
      </c>
      <c r="JB24" s="232" t="e">
        <f t="shared" si="62"/>
        <v>#VALUE!</v>
      </c>
      <c r="JC24" s="232" t="e">
        <f t="shared" si="62"/>
        <v>#VALUE!</v>
      </c>
      <c r="JD24" s="232" t="e">
        <f t="shared" si="62"/>
        <v>#VALUE!</v>
      </c>
      <c r="JE24" s="232" t="e">
        <f t="shared" si="62"/>
        <v>#VALUE!</v>
      </c>
      <c r="JF24" s="232" t="e">
        <f t="shared" si="62"/>
        <v>#VALUE!</v>
      </c>
      <c r="JG24" s="232" t="e">
        <f t="shared" si="62"/>
        <v>#VALUE!</v>
      </c>
      <c r="JH24" s="232" t="e">
        <f t="shared" si="62"/>
        <v>#VALUE!</v>
      </c>
      <c r="JI24" s="232" t="e">
        <f t="shared" si="62"/>
        <v>#VALUE!</v>
      </c>
      <c r="JJ24" s="232" t="e">
        <f t="shared" si="62"/>
        <v>#VALUE!</v>
      </c>
      <c r="JK24" s="232"/>
      <c r="JL24" s="232"/>
      <c r="JM24" s="232"/>
      <c r="JN24" s="232"/>
      <c r="JO24" s="232"/>
      <c r="JP24" s="232"/>
      <c r="JQ24" s="232"/>
      <c r="JR24" s="232"/>
      <c r="JS24" s="232"/>
      <c r="JT24" s="232"/>
      <c r="JU24" s="232"/>
      <c r="JV24" s="232"/>
      <c r="JW24" s="232"/>
      <c r="JX24" s="232"/>
      <c r="JY24" s="232"/>
      <c r="JZ24" s="232"/>
      <c r="KA24" s="232"/>
      <c r="KB24" s="232"/>
      <c r="KC24" s="232"/>
      <c r="KD24" s="232"/>
      <c r="KE24" s="232"/>
      <c r="KF24" s="232"/>
      <c r="KG24" s="232"/>
      <c r="KH24" s="232"/>
      <c r="KI24" s="232"/>
      <c r="KJ24" s="232"/>
      <c r="KK24" s="232"/>
      <c r="KL24" s="232"/>
      <c r="KM24" s="232"/>
      <c r="KN24" s="232"/>
      <c r="KO24" s="232"/>
      <c r="KP24" s="232"/>
      <c r="KQ24" s="232"/>
      <c r="KR24" s="232"/>
      <c r="KS24" s="232"/>
      <c r="KT24" s="232"/>
      <c r="KU24" s="232"/>
      <c r="KV24" s="232"/>
      <c r="KW24" s="232"/>
      <c r="KX24" s="232"/>
      <c r="KY24" s="232"/>
      <c r="KZ24" s="232"/>
      <c r="LA24" s="232"/>
      <c r="LB24" s="232"/>
      <c r="LC24" s="232"/>
      <c r="LD24" s="232"/>
      <c r="LE24" s="232"/>
      <c r="LF24" s="232"/>
      <c r="LG24" s="232"/>
      <c r="LH24" s="232"/>
      <c r="LI24" s="232"/>
      <c r="LJ24" s="232"/>
      <c r="LK24" s="232"/>
      <c r="LL24" s="232"/>
      <c r="LM24" s="232"/>
      <c r="LN24" s="232"/>
      <c r="LO24" s="232"/>
      <c r="LP24" s="232"/>
      <c r="LQ24" s="232"/>
      <c r="LR24" s="232"/>
      <c r="LS24" s="232"/>
      <c r="LT24" s="232"/>
      <c r="LU24" s="232"/>
      <c r="LV24" s="232"/>
      <c r="LW24" s="232"/>
      <c r="LX24" s="232"/>
      <c r="LY24" s="232"/>
      <c r="LZ24" s="232"/>
      <c r="MA24" s="232"/>
      <c r="MB24" s="232"/>
      <c r="MC24" s="232"/>
      <c r="MD24" s="232"/>
      <c r="ME24" s="232"/>
      <c r="MF24" s="232"/>
      <c r="MG24" s="232"/>
      <c r="MH24" s="232"/>
      <c r="MI24" s="232"/>
      <c r="MJ24" s="232"/>
      <c r="MK24" s="232"/>
      <c r="ML24" s="232"/>
      <c r="MM24" s="232"/>
      <c r="MN24" s="232"/>
      <c r="MO24" s="232"/>
      <c r="MP24" s="232"/>
      <c r="MQ24" s="232"/>
      <c r="MR24" s="232"/>
      <c r="MS24" s="232"/>
      <c r="MT24" s="232"/>
      <c r="MU24" s="232"/>
      <c r="MV24" s="232"/>
      <c r="MW24" s="232"/>
      <c r="MX24" s="232"/>
      <c r="MY24" s="232"/>
      <c r="MZ24" s="232"/>
      <c r="NA24" s="232"/>
      <c r="NB24" s="232"/>
      <c r="NC24" s="232"/>
      <c r="ND24" s="232"/>
      <c r="NE24" s="232"/>
      <c r="NF24" s="232"/>
      <c r="NG24" s="232"/>
      <c r="NH24" s="232"/>
      <c r="NI24" s="232"/>
      <c r="NJ24" s="232"/>
      <c r="NK24" s="232"/>
      <c r="NL24" s="232"/>
      <c r="NM24" s="232"/>
      <c r="NN24" s="232"/>
      <c r="NO24" s="232"/>
      <c r="NP24" s="232"/>
      <c r="NQ24" s="232"/>
      <c r="NR24" s="232"/>
      <c r="NS24" s="232"/>
      <c r="NT24" s="232"/>
      <c r="NU24" s="232"/>
      <c r="NV24" s="232"/>
      <c r="NW24" s="232"/>
      <c r="NX24" s="232"/>
      <c r="NY24" s="232"/>
      <c r="NZ24" s="232"/>
      <c r="OA24" s="232"/>
      <c r="OB24" s="232"/>
      <c r="OC24" s="232"/>
      <c r="OD24" s="232"/>
      <c r="OE24" s="232"/>
      <c r="OF24" s="232"/>
      <c r="OG24" s="232"/>
      <c r="OH24" s="232"/>
      <c r="OI24" s="232"/>
      <c r="OJ24" s="232"/>
      <c r="OK24" s="232"/>
      <c r="OL24" s="232"/>
      <c r="OM24" s="232"/>
      <c r="ON24" s="232"/>
      <c r="OO24" s="232"/>
      <c r="OP24" s="232"/>
      <c r="OQ24" s="232"/>
      <c r="OR24" s="232"/>
      <c r="OS24" s="232"/>
      <c r="OT24" s="232"/>
      <c r="OU24" s="232"/>
      <c r="OV24" s="232"/>
      <c r="OW24" s="232"/>
      <c r="OX24" s="232"/>
      <c r="OY24" s="232"/>
      <c r="OZ24" s="232"/>
      <c r="PA24" s="232"/>
      <c r="PB24" s="232"/>
      <c r="PC24" s="232"/>
      <c r="PD24" s="232"/>
      <c r="PE24" s="232"/>
      <c r="PF24" s="232"/>
      <c r="PG24" s="232"/>
      <c r="PH24" s="232"/>
      <c r="PI24" s="232"/>
      <c r="PJ24" s="232"/>
      <c r="PK24" s="232"/>
      <c r="PL24" s="232"/>
      <c r="PM24" s="232"/>
      <c r="PN24" s="232"/>
      <c r="PO24" s="232"/>
      <c r="PP24" s="232"/>
      <c r="PQ24" s="232"/>
      <c r="PR24" s="232"/>
      <c r="PS24" s="232"/>
      <c r="PT24" s="232"/>
      <c r="PU24" s="232"/>
      <c r="PV24" s="232"/>
      <c r="PW24" s="232"/>
      <c r="PX24" s="232"/>
      <c r="PY24" s="232"/>
      <c r="PZ24" s="232"/>
      <c r="QA24" s="232"/>
      <c r="QB24" s="232"/>
      <c r="QC24" s="232"/>
      <c r="QD24" s="232"/>
      <c r="QE24" s="232"/>
      <c r="QF24" s="232"/>
      <c r="QG24" s="232"/>
      <c r="QH24" s="232"/>
      <c r="QI24" s="232"/>
      <c r="QJ24" s="232"/>
      <c r="QK24" s="232"/>
      <c r="QL24" s="232"/>
      <c r="QM24" s="232"/>
      <c r="QN24" s="232"/>
      <c r="QO24" s="232"/>
      <c r="QP24" s="232"/>
      <c r="QQ24" s="232"/>
      <c r="QR24" s="232"/>
      <c r="QS24" s="232"/>
      <c r="QT24" s="232"/>
      <c r="QU24" s="232"/>
      <c r="QV24" s="232"/>
      <c r="QW24" s="232"/>
      <c r="QX24" s="232"/>
      <c r="QY24" s="232"/>
      <c r="QZ24" s="232"/>
      <c r="RA24" s="232"/>
      <c r="RB24" s="232"/>
      <c r="RC24" s="232"/>
      <c r="RD24" s="232"/>
      <c r="RE24" s="232"/>
      <c r="RF24" s="232"/>
      <c r="RG24" s="232"/>
      <c r="RH24" s="232"/>
      <c r="RI24" s="232"/>
      <c r="RJ24" s="232"/>
      <c r="RK24" s="232"/>
      <c r="RL24" s="232"/>
      <c r="RM24" s="232"/>
      <c r="RN24" s="232"/>
      <c r="RO24" s="232"/>
      <c r="RP24" s="232"/>
      <c r="RQ24" s="232"/>
      <c r="RR24" s="232"/>
      <c r="RS24" s="232"/>
      <c r="RT24" s="232"/>
      <c r="RU24" s="232"/>
      <c r="RV24" s="232"/>
      <c r="RW24" s="232"/>
      <c r="RX24" s="232"/>
      <c r="RY24" s="232"/>
      <c r="RZ24" s="232"/>
      <c r="SA24" s="232"/>
      <c r="SB24" s="232"/>
      <c r="SC24" s="232"/>
      <c r="SD24" s="232"/>
      <c r="SE24" s="232"/>
      <c r="SF24" s="232"/>
      <c r="SG24" s="232"/>
      <c r="SH24" s="232"/>
      <c r="SI24" s="232"/>
      <c r="SJ24" s="232"/>
      <c r="SK24" s="232"/>
      <c r="SL24" s="232"/>
      <c r="SM24" s="232"/>
      <c r="SN24" s="232"/>
      <c r="SO24" s="232"/>
      <c r="SP24" s="232"/>
      <c r="SQ24" s="232"/>
      <c r="SR24" s="232"/>
      <c r="SS24" s="232"/>
      <c r="ST24" s="232"/>
      <c r="SU24" s="232"/>
      <c r="SV24" s="232"/>
      <c r="SW24" s="232"/>
      <c r="SX24" s="232"/>
      <c r="SY24" s="232"/>
      <c r="SZ24" s="232"/>
      <c r="TA24" s="232"/>
      <c r="TB24" s="232"/>
      <c r="TC24" s="232"/>
      <c r="TD24" s="232"/>
      <c r="TE24" s="232"/>
      <c r="TF24" s="232"/>
      <c r="TG24" s="232"/>
      <c r="TH24" s="232"/>
      <c r="TI24" s="232"/>
      <c r="TJ24" s="232"/>
      <c r="TK24" s="232"/>
      <c r="TL24" s="232"/>
      <c r="TM24" s="232"/>
      <c r="TN24" s="232"/>
      <c r="TO24" s="232"/>
      <c r="TP24" s="232"/>
      <c r="TQ24" s="232"/>
      <c r="TR24" s="232"/>
      <c r="TS24" s="232"/>
      <c r="TT24" s="232"/>
      <c r="TU24" s="232"/>
      <c r="TV24" s="232"/>
      <c r="TW24" s="232"/>
      <c r="TX24" s="232"/>
      <c r="TY24" s="232"/>
      <c r="TZ24" s="232"/>
      <c r="UA24" s="232"/>
      <c r="UB24" s="232"/>
      <c r="UC24" s="232"/>
      <c r="UD24" s="232"/>
      <c r="UE24" s="232"/>
      <c r="UF24" s="232"/>
      <c r="UG24" s="232"/>
      <c r="UH24" s="232"/>
      <c r="UI24" s="232"/>
      <c r="UJ24" s="232"/>
      <c r="UK24" s="232"/>
      <c r="UL24" s="232"/>
      <c r="UM24" s="232"/>
      <c r="UN24" s="232"/>
      <c r="UO24" s="232"/>
      <c r="UP24" s="232"/>
      <c r="UQ24" s="232"/>
      <c r="UR24" s="232"/>
      <c r="US24" s="232"/>
      <c r="UT24" s="232"/>
      <c r="UU24" s="232"/>
      <c r="UV24" s="232"/>
      <c r="UW24" s="232"/>
      <c r="UX24" s="232"/>
      <c r="UY24" s="232"/>
      <c r="UZ24" s="232"/>
      <c r="VA24" s="232"/>
      <c r="VB24" s="232"/>
      <c r="VC24" s="232"/>
      <c r="VD24" s="232"/>
      <c r="VE24" s="232"/>
      <c r="VF24" s="232"/>
      <c r="VG24" s="232"/>
      <c r="VH24" s="232"/>
      <c r="VI24" s="232"/>
      <c r="VJ24" s="232"/>
      <c r="VK24" s="232"/>
      <c r="VL24" s="232"/>
      <c r="VM24" s="232"/>
      <c r="VN24" s="232"/>
      <c r="VO24" s="232"/>
      <c r="VP24" s="232"/>
      <c r="VQ24" s="232"/>
      <c r="VR24" s="232"/>
      <c r="VS24" s="232"/>
      <c r="VT24" s="232"/>
      <c r="VU24" s="232"/>
      <c r="VV24" s="232"/>
      <c r="VW24" s="232"/>
      <c r="VX24" s="232"/>
      <c r="VY24" s="232"/>
      <c r="VZ24" s="232"/>
      <c r="WA24" s="232"/>
      <c r="WB24" s="232"/>
      <c r="WC24" s="232"/>
      <c r="WD24" s="232"/>
      <c r="WE24" s="232"/>
      <c r="WF24" s="232"/>
      <c r="WG24" s="232"/>
      <c r="WH24" s="232"/>
      <c r="WI24" s="232"/>
      <c r="WJ24" s="232"/>
      <c r="WK24" s="232"/>
      <c r="WL24" s="232"/>
      <c r="WM24" s="232"/>
      <c r="WN24" s="232"/>
      <c r="WO24" s="232"/>
      <c r="WP24" s="232"/>
      <c r="WQ24" s="232"/>
      <c r="WR24" s="232"/>
      <c r="WS24" s="232"/>
      <c r="WT24" s="232"/>
      <c r="WU24" s="232"/>
      <c r="WV24" s="232"/>
      <c r="WW24" s="232"/>
      <c r="WX24" s="232"/>
      <c r="WY24" s="232"/>
      <c r="WZ24" s="232"/>
      <c r="XA24" s="232"/>
      <c r="XB24" s="232"/>
      <c r="XC24" s="232"/>
      <c r="XD24" s="232"/>
      <c r="XE24" s="232"/>
      <c r="XF24" s="232"/>
      <c r="XG24" s="232"/>
      <c r="XH24" s="232"/>
      <c r="XI24" s="232"/>
      <c r="XJ24" s="232"/>
      <c r="XK24" s="232"/>
      <c r="XL24" s="232"/>
      <c r="XM24" s="232"/>
      <c r="XN24" s="232"/>
      <c r="XO24" s="232"/>
      <c r="XP24" s="232"/>
      <c r="XQ24" s="232"/>
      <c r="XR24" s="232"/>
      <c r="XS24" s="232"/>
      <c r="XT24" s="232"/>
      <c r="XU24" s="232"/>
      <c r="XV24" s="232"/>
      <c r="XW24" s="232"/>
      <c r="XX24" s="232"/>
      <c r="XY24" s="232"/>
      <c r="XZ24" s="232"/>
      <c r="YA24" s="232"/>
      <c r="YB24" s="232"/>
      <c r="YC24" s="232"/>
      <c r="YD24" s="232"/>
      <c r="YE24" s="232"/>
      <c r="YF24" s="232"/>
      <c r="YG24" s="232"/>
      <c r="YH24" s="232"/>
      <c r="YI24" s="232"/>
      <c r="YJ24" s="232"/>
      <c r="YK24" s="232"/>
      <c r="YL24" s="232"/>
      <c r="YM24" s="232"/>
      <c r="YN24" s="232"/>
      <c r="YO24" s="232"/>
      <c r="YP24" s="232"/>
      <c r="YQ24" s="232"/>
      <c r="YR24" s="232"/>
      <c r="YS24" s="232"/>
      <c r="YT24" s="232"/>
      <c r="YU24" s="232"/>
      <c r="YV24" s="232"/>
      <c r="YW24" s="232"/>
      <c r="YX24" s="232"/>
      <c r="YY24" s="232"/>
      <c r="YZ24" s="232"/>
      <c r="ZA24" s="232"/>
      <c r="ZB24" s="232"/>
      <c r="ZC24" s="232"/>
      <c r="ZD24" s="232"/>
      <c r="ZE24" s="232"/>
      <c r="ZF24" s="232"/>
      <c r="ZG24" s="232"/>
      <c r="ZH24" s="232"/>
      <c r="ZI24" s="232"/>
      <c r="ZJ24" s="232"/>
      <c r="ZK24" s="232"/>
      <c r="ZL24" s="232"/>
      <c r="ZM24" s="232"/>
      <c r="ZN24" s="232"/>
      <c r="ZO24" s="232"/>
      <c r="ZP24" s="232"/>
      <c r="ZQ24" s="232"/>
      <c r="ZR24" s="232"/>
      <c r="ZS24" s="232"/>
      <c r="ZT24" s="232"/>
      <c r="ZU24" s="232"/>
      <c r="ZV24" s="232"/>
      <c r="ZW24" s="232"/>
      <c r="ZX24" s="232"/>
      <c r="ZY24" s="232"/>
      <c r="ZZ24" s="232"/>
      <c r="AAA24" s="232"/>
      <c r="AAB24" s="232"/>
      <c r="AAC24" s="232"/>
      <c r="AAD24" s="232"/>
      <c r="AAE24" s="232"/>
      <c r="AAF24" s="232"/>
      <c r="AAG24" s="232"/>
      <c r="AAH24" s="232"/>
      <c r="AAI24" s="232"/>
      <c r="AAJ24" s="232"/>
      <c r="AAK24" s="232"/>
      <c r="AAL24" s="232"/>
      <c r="AAM24" s="232"/>
      <c r="AAN24" s="232"/>
      <c r="AAO24" s="232"/>
      <c r="AAP24" s="232"/>
      <c r="AAQ24" s="232"/>
      <c r="AAR24" s="232"/>
      <c r="AAS24" s="232"/>
      <c r="AAT24" s="232"/>
      <c r="AAU24" s="232"/>
      <c r="AAV24" s="232"/>
      <c r="AAW24" s="232"/>
      <c r="AAX24" s="232"/>
      <c r="AAY24" s="232"/>
      <c r="AAZ24" s="232"/>
      <c r="ABA24" s="232"/>
      <c r="ABB24" s="232"/>
      <c r="ABC24" s="232"/>
      <c r="ABD24" s="232"/>
      <c r="ABE24" s="232"/>
      <c r="ABF24" s="232"/>
      <c r="ABG24" s="232"/>
      <c r="ABH24" s="232"/>
      <c r="ABI24" s="232"/>
      <c r="ABJ24" s="232"/>
      <c r="ABK24" s="232"/>
      <c r="ABL24" s="232"/>
      <c r="ABM24" s="232"/>
      <c r="ABN24" s="232"/>
      <c r="ABO24" s="232"/>
      <c r="ABP24" s="232"/>
      <c r="ABQ24" s="232"/>
      <c r="ABR24" s="232"/>
      <c r="ABS24" s="232"/>
      <c r="ABT24" s="232"/>
      <c r="ABU24" s="232"/>
      <c r="ABV24" s="232"/>
      <c r="ABW24" s="232"/>
      <c r="ABX24" s="232"/>
      <c r="ABY24" s="232"/>
      <c r="ABZ24" s="232"/>
      <c r="ACA24" s="232"/>
      <c r="ACB24" s="232"/>
      <c r="ACC24" s="232"/>
      <c r="ACD24" s="232"/>
      <c r="ACE24" s="232"/>
      <c r="ACF24" s="232"/>
      <c r="ACG24" s="232"/>
      <c r="ACH24" s="232"/>
      <c r="ACI24" s="232"/>
      <c r="ACJ24" s="232"/>
      <c r="ACK24" s="232"/>
      <c r="ACL24" s="232"/>
      <c r="ACM24" s="232"/>
      <c r="ACN24" s="232"/>
      <c r="ACO24" s="232"/>
      <c r="ACP24" s="232"/>
      <c r="ACQ24" s="232"/>
      <c r="ACR24" s="232"/>
      <c r="ACS24" s="232"/>
      <c r="ACT24" s="232"/>
      <c r="ACU24" s="232"/>
      <c r="ACV24" s="232"/>
      <c r="ACW24" s="232"/>
      <c r="ACX24" s="232"/>
      <c r="ACY24" s="232"/>
      <c r="ACZ24" s="232"/>
      <c r="ADA24" s="232"/>
      <c r="ADB24" s="232"/>
      <c r="ADC24" s="232"/>
      <c r="ADD24" s="232"/>
      <c r="ADE24" s="232"/>
      <c r="ADF24" s="232"/>
      <c r="ADG24" s="232"/>
      <c r="ADH24" s="232"/>
      <c r="ADI24" s="232"/>
      <c r="ADJ24" s="232"/>
      <c r="ADK24" s="232"/>
      <c r="ADL24" s="232"/>
      <c r="ADM24" s="232"/>
      <c r="ADN24" s="232"/>
      <c r="ADO24" s="232"/>
      <c r="ADP24" s="232"/>
      <c r="ADQ24" s="232"/>
      <c r="ADR24" s="232"/>
      <c r="ADS24" s="232"/>
      <c r="ADT24" s="232"/>
      <c r="ADU24" s="232"/>
      <c r="ADV24" s="232"/>
      <c r="ADW24" s="232"/>
      <c r="ADX24" s="232"/>
      <c r="ADY24" s="232"/>
      <c r="ADZ24" s="232"/>
      <c r="AEA24" s="232"/>
      <c r="AEB24" s="232"/>
      <c r="AEC24" s="232"/>
      <c r="AED24" s="232"/>
      <c r="AEE24" s="232"/>
      <c r="AEF24" s="232"/>
      <c r="AEG24" s="232"/>
      <c r="AEH24" s="232"/>
      <c r="AEI24" s="232"/>
      <c r="AEJ24" s="232"/>
      <c r="AEK24" s="232"/>
      <c r="AEL24" s="232"/>
      <c r="AEM24" s="232"/>
      <c r="AEN24" s="232"/>
      <c r="AEO24" s="232"/>
      <c r="AEP24" s="232"/>
      <c r="AEQ24" s="232"/>
      <c r="AER24" s="232"/>
      <c r="AES24" s="232"/>
      <c r="AET24" s="232"/>
      <c r="AEU24" s="232"/>
      <c r="AEV24" s="232"/>
      <c r="AEW24" s="232"/>
      <c r="AEX24" s="232"/>
      <c r="AEY24" s="232"/>
      <c r="AEZ24" s="232"/>
      <c r="AFA24" s="232"/>
      <c r="AFB24" s="232"/>
      <c r="AFC24" s="232"/>
      <c r="AFD24" s="232"/>
      <c r="AFE24" s="232"/>
      <c r="AFF24" s="232"/>
      <c r="AFG24" s="232"/>
      <c r="AFH24" s="232"/>
      <c r="AFI24" s="232"/>
      <c r="AFJ24" s="232"/>
      <c r="AFK24" s="232"/>
      <c r="AFL24" s="232"/>
      <c r="AFM24" s="232"/>
      <c r="AFN24" s="232"/>
      <c r="AFO24" s="232"/>
      <c r="AFP24" s="232"/>
      <c r="AFQ24" s="232"/>
      <c r="AFR24" s="232"/>
      <c r="AFS24" s="232"/>
      <c r="AFT24" s="232"/>
      <c r="AFU24" s="232"/>
      <c r="AFV24" s="232"/>
      <c r="AFW24" s="232"/>
      <c r="AFX24" s="232"/>
      <c r="AFY24" s="232"/>
      <c r="AFZ24" s="232"/>
      <c r="AGA24" s="232"/>
      <c r="AGB24" s="232"/>
      <c r="AGC24" s="232"/>
      <c r="AGD24" s="232"/>
      <c r="AGE24" s="232"/>
      <c r="AGF24" s="232"/>
      <c r="AGG24" s="232"/>
      <c r="AGH24" s="232"/>
      <c r="AGI24" s="232"/>
      <c r="AGJ24" s="232"/>
      <c r="AGK24" s="232"/>
      <c r="AGL24" s="232"/>
      <c r="AGM24" s="232"/>
      <c r="AGN24" s="232"/>
      <c r="AGO24" s="232"/>
      <c r="AGP24" s="232"/>
      <c r="AGQ24" s="232"/>
      <c r="AGR24" s="232"/>
      <c r="AGS24" s="232"/>
      <c r="AGT24" s="232"/>
      <c r="AGU24" s="232"/>
      <c r="AGV24" s="232"/>
      <c r="AGW24" s="232"/>
      <c r="AGX24" s="232"/>
      <c r="AGY24" s="232"/>
      <c r="AGZ24" s="232"/>
      <c r="AHA24" s="232"/>
      <c r="AHB24" s="232"/>
      <c r="AHC24" s="232"/>
      <c r="AHD24" s="232"/>
      <c r="AHE24" s="232"/>
      <c r="AHF24" s="232"/>
      <c r="AHG24" s="232"/>
      <c r="AHH24" s="232"/>
      <c r="AHI24" s="232"/>
      <c r="AHJ24" s="232"/>
      <c r="AHK24" s="232"/>
      <c r="AHL24" s="232"/>
      <c r="AHM24" s="232"/>
      <c r="AHN24" s="232"/>
      <c r="AHO24" s="232"/>
      <c r="AHP24" s="232"/>
      <c r="AHQ24" s="232"/>
      <c r="AHR24" s="232"/>
      <c r="AHS24" s="232"/>
      <c r="AHT24" s="232"/>
      <c r="AHU24" s="232"/>
      <c r="AHV24" s="232"/>
      <c r="AHW24" s="232"/>
      <c r="AHX24" s="232"/>
      <c r="AHY24" s="232"/>
      <c r="AHZ24" s="232"/>
      <c r="AIA24" s="232"/>
      <c r="AIB24" s="232"/>
      <c r="AIC24" s="232"/>
      <c r="AID24" s="232"/>
      <c r="AIE24" s="232"/>
      <c r="AIF24" s="232"/>
      <c r="AIG24" s="232"/>
      <c r="AIH24" s="232"/>
      <c r="AII24" s="232"/>
      <c r="AIJ24" s="232"/>
      <c r="AIK24" s="232"/>
      <c r="AIL24" s="232"/>
      <c r="AIM24" s="232"/>
      <c r="AIN24" s="232"/>
      <c r="AIO24" s="232"/>
      <c r="AIP24" s="232"/>
      <c r="AIQ24" s="232"/>
      <c r="AIR24" s="232"/>
      <c r="AIS24" s="232"/>
      <c r="AIT24" s="232"/>
      <c r="AIU24" s="232"/>
      <c r="AIV24" s="232"/>
      <c r="AIW24" s="232"/>
      <c r="AIX24" s="232"/>
      <c r="AIY24" s="232"/>
      <c r="AIZ24" s="232"/>
      <c r="AJA24" s="232"/>
      <c r="AJB24" s="232"/>
      <c r="AJC24" s="232"/>
      <c r="AJD24" s="232"/>
      <c r="AJE24" s="232"/>
      <c r="AJF24" s="232"/>
      <c r="AJG24" s="232"/>
      <c r="AJH24" s="232"/>
      <c r="AJI24" s="232"/>
      <c r="AJJ24" s="232"/>
      <c r="AJK24" s="232"/>
      <c r="AJL24" s="232"/>
      <c r="AJM24" s="232"/>
      <c r="AJN24" s="232"/>
      <c r="AJO24" s="232"/>
      <c r="AJP24" s="232"/>
      <c r="AJQ24" s="232"/>
      <c r="AJR24" s="232"/>
      <c r="AJS24" s="232"/>
      <c r="AJT24" s="232"/>
      <c r="AJU24" s="232"/>
      <c r="AJV24" s="232"/>
      <c r="AJW24" s="232"/>
      <c r="AJX24" s="232"/>
      <c r="AJY24" s="232"/>
      <c r="AJZ24" s="232"/>
      <c r="AKA24" s="232"/>
      <c r="AKB24" s="232"/>
      <c r="AKC24" s="232"/>
      <c r="AKD24" s="232"/>
      <c r="AKE24" s="232"/>
      <c r="AKF24" s="232"/>
      <c r="AKG24" s="232"/>
      <c r="AKH24" s="232"/>
      <c r="AKI24" s="232"/>
      <c r="AKJ24" s="232"/>
      <c r="AKK24" s="232"/>
      <c r="AKL24" s="232"/>
      <c r="AKM24" s="232"/>
      <c r="AKN24" s="232"/>
      <c r="AKO24" s="232"/>
      <c r="AKP24" s="232"/>
      <c r="AKQ24" s="232"/>
      <c r="AKR24" s="232"/>
      <c r="AKS24" s="232"/>
      <c r="AKT24" s="232"/>
      <c r="AKU24" s="232"/>
      <c r="AKV24" s="232"/>
      <c r="AKW24" s="232"/>
      <c r="AKX24" s="232"/>
      <c r="AKY24" s="232"/>
      <c r="AKZ24" s="232"/>
      <c r="ALA24" s="232"/>
      <c r="ALB24" s="232"/>
      <c r="ALC24" s="232"/>
      <c r="ALD24" s="232"/>
      <c r="ALE24" s="232"/>
      <c r="ALF24" s="232"/>
      <c r="ALG24" s="232"/>
      <c r="ALH24" s="232"/>
      <c r="ALI24" s="232"/>
      <c r="ALJ24" s="232"/>
      <c r="ALK24" s="232"/>
      <c r="ALL24" s="232"/>
      <c r="ALM24" s="232"/>
      <c r="ALN24" s="232"/>
      <c r="ALO24" s="232"/>
      <c r="ALP24" s="232"/>
      <c r="ALQ24" s="232"/>
      <c r="ALR24" s="232"/>
      <c r="ALS24" s="232"/>
      <c r="ALT24" s="232"/>
      <c r="ALU24" s="232"/>
      <c r="ALV24" s="232"/>
      <c r="ALW24" s="232"/>
      <c r="ALX24" s="232"/>
      <c r="ALY24" s="232"/>
      <c r="ALZ24" s="232"/>
      <c r="AMA24" s="232"/>
      <c r="AMB24" s="232"/>
      <c r="AMC24" s="232"/>
      <c r="AMD24" s="232"/>
      <c r="AME24" s="232"/>
      <c r="AMF24" s="232"/>
      <c r="AMG24" s="232"/>
      <c r="AMH24" s="232"/>
      <c r="AMI24" s="232"/>
      <c r="AMJ24" s="232"/>
      <c r="AMK24" s="232"/>
      <c r="AML24" s="232"/>
      <c r="AMM24" s="232"/>
      <c r="AMN24" s="232"/>
      <c r="AMO24" s="232"/>
      <c r="AMP24" s="232"/>
      <c r="AMQ24" s="232"/>
      <c r="AMR24" s="232"/>
      <c r="AMS24" s="232"/>
      <c r="AMT24" s="232"/>
      <c r="AMU24" s="232"/>
      <c r="AMV24" s="232"/>
      <c r="AMW24" s="232"/>
      <c r="AMX24" s="232"/>
      <c r="AMY24" s="232"/>
      <c r="AMZ24" s="232"/>
      <c r="ANA24" s="232"/>
      <c r="ANB24" s="232"/>
      <c r="ANC24" s="232"/>
      <c r="AND24" s="232"/>
      <c r="ANE24" s="232"/>
      <c r="ANF24" s="232"/>
      <c r="ANG24" s="232"/>
      <c r="ANH24" s="232"/>
      <c r="ANI24" s="232"/>
      <c r="ANJ24" s="232"/>
      <c r="ANK24" s="232"/>
      <c r="ANL24" s="232"/>
      <c r="ANM24" s="232"/>
      <c r="ANN24" s="232"/>
      <c r="ANO24" s="232"/>
      <c r="ANP24" s="232"/>
      <c r="ANQ24" s="232"/>
      <c r="ANR24" s="232"/>
      <c r="ANS24" s="232"/>
      <c r="ANT24" s="232"/>
      <c r="ANU24" s="232"/>
      <c r="ANV24" s="232"/>
      <c r="ANW24" s="232"/>
      <c r="ANX24" s="232"/>
      <c r="ANY24" s="232"/>
      <c r="ANZ24" s="232"/>
      <c r="AOA24" s="232"/>
      <c r="AOB24" s="232"/>
      <c r="AOC24" s="232"/>
      <c r="AOD24" s="232"/>
      <c r="AOE24" s="232"/>
      <c r="AOF24" s="232"/>
      <c r="AOG24" s="232"/>
    </row>
    <row r="25" spans="1:1073">
      <c r="A25" s="2127"/>
      <c r="B25" s="223">
        <v>17</v>
      </c>
      <c r="C25" s="224"/>
      <c r="D25" s="225"/>
      <c r="E25" s="226"/>
      <c r="F25" s="226"/>
      <c r="G25" s="227" t="str">
        <f>IF(C25="","",IF(Tabelle1[[#This Row],[End Date]]&lt;COV!$E$12,0,IF(COV!E$12="","",IF(Tabelle1[[#This Row],[End Date]]-Tabelle1[[#This Row],[Start Date]]&gt;0,IF(F25&lt;COV!E$11,(F25-IF(E25&lt;COV!E$12,COV!E$12,Tabelle1[[#This Row],[Start Date]])),(COV!E$11-IF(E25&lt;COV!E$12,COV!E$12,Tabelle1[[#This Row],[Start Date]])))/365*12,""))))</f>
        <v/>
      </c>
      <c r="H25" s="225"/>
      <c r="I25" s="234"/>
      <c r="J25" s="229"/>
      <c r="K25" s="1325" t="str">
        <f>IF(Tabelle1[[#This Row],[Project Name]]="","",IF(OR(Tabelle1[[#This Row],[PM Category]]=CAT_A_NAME,Tabelle1[[#This Row],[PM Category]]=CAT_B_NAME,Tabelle1[[#This Row],[PM Category]]=CAT_C_NAME,Tabelle1[[#This Row],[PM Category]]=CAT_D_NAME,Tabelle1[[#This Row],[PM Category]]=CAT_E_NAME,Tabelle1[[#This Row],[PM Category]]=CAT_SPJ,Tabelle1[[#This Row],[PM Category]]=CAT_PJ,Tabelle1[[#This Row],[PM Category]]=""),"","1"))</f>
        <v/>
      </c>
      <c r="L25" s="1326">
        <f>IF(Tabelle1[[#This Row],[Role]]="PJM",1)+IF(Tabelle1[[#This Row],[Role]]="PGM",1)+IF(Tabelle1[[#This Row],[Role]]="PFM",1)+IF(Tabelle1[[#This Row],[Role]]="TPM",1)+IF(Tabelle1[[#This Row],[Role]]="CPM",1)</f>
        <v>0</v>
      </c>
      <c r="M25" s="230" t="str">
        <f>IFERROR(IF(Tabelle1[[#This Row],[Project Name]]&lt;&gt;"",IF(G25*I25&gt;0,G25,""),"")*Tabelle1[[#This Row],[Role Check]],"")</f>
        <v/>
      </c>
      <c r="N25" s="231" t="str">
        <f>IFERROR(Tabelle1[[#This Row],[Duration '[months']]]*Tabelle1[[#This Row],[Avg. time spent in resp. Role]],"")</f>
        <v/>
      </c>
      <c r="O25" s="221"/>
      <c r="S25" s="208" t="str">
        <f>IF(Tabelle1[[#This Row],[Project Name]]&lt;&gt;"",Tabelle1[[#This Row],[Project Name]],"")</f>
        <v/>
      </c>
      <c r="T25" s="232">
        <f t="shared" si="12"/>
        <v>0</v>
      </c>
      <c r="U25" s="545" t="e">
        <f t="shared" si="12"/>
        <v>#VALUE!</v>
      </c>
      <c r="V25" s="545" t="e">
        <f t="shared" si="38"/>
        <v>#VALUE!</v>
      </c>
      <c r="W25" s="232" t="e">
        <f t="shared" si="38"/>
        <v>#VALUE!</v>
      </c>
      <c r="X25" s="232" t="e">
        <f t="shared" si="38"/>
        <v>#VALUE!</v>
      </c>
      <c r="Y25" s="232" t="e">
        <f t="shared" si="38"/>
        <v>#VALUE!</v>
      </c>
      <c r="Z25" s="232" t="e">
        <f t="shared" si="38"/>
        <v>#VALUE!</v>
      </c>
      <c r="AA25" s="232" t="e">
        <f t="shared" si="38"/>
        <v>#VALUE!</v>
      </c>
      <c r="AB25" s="232" t="e">
        <f t="shared" si="38"/>
        <v>#VALUE!</v>
      </c>
      <c r="AC25" s="232" t="e">
        <f t="shared" si="38"/>
        <v>#VALUE!</v>
      </c>
      <c r="AD25" s="232" t="e">
        <f t="shared" si="38"/>
        <v>#VALUE!</v>
      </c>
      <c r="AE25" s="232" t="e">
        <f t="shared" si="38"/>
        <v>#VALUE!</v>
      </c>
      <c r="AF25" s="232" t="e">
        <f t="shared" si="39"/>
        <v>#VALUE!</v>
      </c>
      <c r="AG25" s="232" t="e">
        <f t="shared" si="39"/>
        <v>#VALUE!</v>
      </c>
      <c r="AH25" s="232" t="e">
        <f t="shared" si="39"/>
        <v>#VALUE!</v>
      </c>
      <c r="AI25" s="232" t="e">
        <f t="shared" si="39"/>
        <v>#VALUE!</v>
      </c>
      <c r="AJ25" s="232" t="e">
        <f t="shared" si="39"/>
        <v>#VALUE!</v>
      </c>
      <c r="AK25" s="232" t="e">
        <f t="shared" si="39"/>
        <v>#VALUE!</v>
      </c>
      <c r="AL25" s="232" t="e">
        <f t="shared" si="39"/>
        <v>#VALUE!</v>
      </c>
      <c r="AM25" s="232" t="e">
        <f t="shared" si="39"/>
        <v>#VALUE!</v>
      </c>
      <c r="AN25" s="232" t="e">
        <f t="shared" si="39"/>
        <v>#VALUE!</v>
      </c>
      <c r="AO25" s="232" t="e">
        <f t="shared" si="39"/>
        <v>#VALUE!</v>
      </c>
      <c r="AP25" s="232" t="e">
        <f t="shared" si="40"/>
        <v>#VALUE!</v>
      </c>
      <c r="AQ25" s="232" t="e">
        <f t="shared" si="40"/>
        <v>#VALUE!</v>
      </c>
      <c r="AR25" s="232" t="e">
        <f t="shared" si="40"/>
        <v>#VALUE!</v>
      </c>
      <c r="AS25" s="232" t="e">
        <f t="shared" si="40"/>
        <v>#VALUE!</v>
      </c>
      <c r="AT25" s="232" t="e">
        <f t="shared" si="40"/>
        <v>#VALUE!</v>
      </c>
      <c r="AU25" s="232" t="e">
        <f t="shared" si="40"/>
        <v>#VALUE!</v>
      </c>
      <c r="AV25" s="232" t="e">
        <f t="shared" si="40"/>
        <v>#VALUE!</v>
      </c>
      <c r="AW25" s="232" t="e">
        <f t="shared" si="40"/>
        <v>#VALUE!</v>
      </c>
      <c r="AX25" s="232" t="e">
        <f t="shared" si="40"/>
        <v>#VALUE!</v>
      </c>
      <c r="AY25" s="232" t="e">
        <f t="shared" si="40"/>
        <v>#VALUE!</v>
      </c>
      <c r="AZ25" s="232" t="e">
        <f t="shared" si="41"/>
        <v>#VALUE!</v>
      </c>
      <c r="BA25" s="232" t="e">
        <f t="shared" si="41"/>
        <v>#VALUE!</v>
      </c>
      <c r="BB25" s="232" t="e">
        <f t="shared" si="41"/>
        <v>#VALUE!</v>
      </c>
      <c r="BC25" s="232" t="e">
        <f t="shared" si="41"/>
        <v>#VALUE!</v>
      </c>
      <c r="BD25" s="232" t="e">
        <f t="shared" si="41"/>
        <v>#VALUE!</v>
      </c>
      <c r="BE25" s="232" t="e">
        <f t="shared" si="41"/>
        <v>#VALUE!</v>
      </c>
      <c r="BF25" s="232" t="e">
        <f t="shared" si="41"/>
        <v>#VALUE!</v>
      </c>
      <c r="BG25" s="232" t="e">
        <f t="shared" si="41"/>
        <v>#VALUE!</v>
      </c>
      <c r="BH25" s="232" t="e">
        <f t="shared" si="41"/>
        <v>#VALUE!</v>
      </c>
      <c r="BI25" s="232" t="e">
        <f t="shared" si="41"/>
        <v>#VALUE!</v>
      </c>
      <c r="BJ25" s="232" t="e">
        <f t="shared" si="42"/>
        <v>#VALUE!</v>
      </c>
      <c r="BK25" s="232" t="e">
        <f t="shared" si="42"/>
        <v>#VALUE!</v>
      </c>
      <c r="BL25" s="232" t="e">
        <f t="shared" si="42"/>
        <v>#VALUE!</v>
      </c>
      <c r="BM25" s="232" t="e">
        <f t="shared" si="42"/>
        <v>#VALUE!</v>
      </c>
      <c r="BN25" s="232" t="e">
        <f t="shared" si="42"/>
        <v>#VALUE!</v>
      </c>
      <c r="BO25" s="232" t="e">
        <f t="shared" si="42"/>
        <v>#VALUE!</v>
      </c>
      <c r="BP25" s="232" t="e">
        <f t="shared" si="42"/>
        <v>#VALUE!</v>
      </c>
      <c r="BQ25" s="232" t="e">
        <f t="shared" si="42"/>
        <v>#VALUE!</v>
      </c>
      <c r="BR25" s="232" t="e">
        <f t="shared" si="42"/>
        <v>#VALUE!</v>
      </c>
      <c r="BS25" s="232" t="e">
        <f t="shared" si="42"/>
        <v>#VALUE!</v>
      </c>
      <c r="BT25" s="232" t="e">
        <f t="shared" si="43"/>
        <v>#VALUE!</v>
      </c>
      <c r="BU25" s="232" t="e">
        <f t="shared" si="43"/>
        <v>#VALUE!</v>
      </c>
      <c r="BV25" s="232" t="e">
        <f t="shared" si="43"/>
        <v>#VALUE!</v>
      </c>
      <c r="BW25" s="232" t="e">
        <f t="shared" si="43"/>
        <v>#VALUE!</v>
      </c>
      <c r="BX25" s="232" t="e">
        <f t="shared" si="43"/>
        <v>#VALUE!</v>
      </c>
      <c r="BY25" s="232" t="e">
        <f t="shared" si="43"/>
        <v>#VALUE!</v>
      </c>
      <c r="BZ25" s="232" t="e">
        <f t="shared" si="43"/>
        <v>#VALUE!</v>
      </c>
      <c r="CA25" s="232" t="e">
        <f t="shared" si="43"/>
        <v>#VALUE!</v>
      </c>
      <c r="CB25" s="232" t="e">
        <f t="shared" si="43"/>
        <v>#VALUE!</v>
      </c>
      <c r="CC25" s="232" t="e">
        <f t="shared" si="43"/>
        <v>#VALUE!</v>
      </c>
      <c r="CD25" s="232" t="e">
        <f t="shared" si="44"/>
        <v>#VALUE!</v>
      </c>
      <c r="CE25" s="232" t="e">
        <f t="shared" si="44"/>
        <v>#VALUE!</v>
      </c>
      <c r="CF25" s="232" t="e">
        <f t="shared" si="44"/>
        <v>#VALUE!</v>
      </c>
      <c r="CG25" s="232" t="e">
        <f t="shared" si="44"/>
        <v>#VALUE!</v>
      </c>
      <c r="CH25" s="232" t="e">
        <f t="shared" si="44"/>
        <v>#VALUE!</v>
      </c>
      <c r="CI25" s="232" t="e">
        <f t="shared" si="44"/>
        <v>#VALUE!</v>
      </c>
      <c r="CJ25" s="232" t="e">
        <f t="shared" si="44"/>
        <v>#VALUE!</v>
      </c>
      <c r="CK25" s="232" t="e">
        <f t="shared" si="44"/>
        <v>#VALUE!</v>
      </c>
      <c r="CL25" s="232" t="e">
        <f t="shared" si="44"/>
        <v>#VALUE!</v>
      </c>
      <c r="CM25" s="232" t="e">
        <f t="shared" si="44"/>
        <v>#VALUE!</v>
      </c>
      <c r="CN25" s="232" t="e">
        <f t="shared" si="45"/>
        <v>#VALUE!</v>
      </c>
      <c r="CO25" s="232" t="e">
        <f t="shared" si="45"/>
        <v>#VALUE!</v>
      </c>
      <c r="CP25" s="232" t="e">
        <f t="shared" si="45"/>
        <v>#VALUE!</v>
      </c>
      <c r="CQ25" s="232" t="e">
        <f t="shared" si="45"/>
        <v>#VALUE!</v>
      </c>
      <c r="CR25" s="232" t="e">
        <f t="shared" si="45"/>
        <v>#VALUE!</v>
      </c>
      <c r="CS25" s="232" t="e">
        <f t="shared" si="45"/>
        <v>#VALUE!</v>
      </c>
      <c r="CT25" s="232" t="e">
        <f t="shared" si="45"/>
        <v>#VALUE!</v>
      </c>
      <c r="CU25" s="232" t="e">
        <f t="shared" si="45"/>
        <v>#VALUE!</v>
      </c>
      <c r="CV25" s="232" t="e">
        <f t="shared" si="45"/>
        <v>#VALUE!</v>
      </c>
      <c r="CW25" s="232" t="e">
        <f t="shared" si="45"/>
        <v>#VALUE!</v>
      </c>
      <c r="CX25" s="232" t="e">
        <f t="shared" si="46"/>
        <v>#VALUE!</v>
      </c>
      <c r="CY25" s="232" t="e">
        <f t="shared" si="46"/>
        <v>#VALUE!</v>
      </c>
      <c r="CZ25" s="232" t="e">
        <f t="shared" si="46"/>
        <v>#VALUE!</v>
      </c>
      <c r="DA25" s="232" t="e">
        <f t="shared" si="46"/>
        <v>#VALUE!</v>
      </c>
      <c r="DB25" s="232" t="e">
        <f t="shared" si="46"/>
        <v>#VALUE!</v>
      </c>
      <c r="DC25" s="232" t="e">
        <f t="shared" si="46"/>
        <v>#VALUE!</v>
      </c>
      <c r="DD25" s="232" t="e">
        <f t="shared" si="46"/>
        <v>#VALUE!</v>
      </c>
      <c r="DE25" s="232" t="e">
        <f t="shared" si="46"/>
        <v>#VALUE!</v>
      </c>
      <c r="DF25" s="232" t="e">
        <f t="shared" si="46"/>
        <v>#VALUE!</v>
      </c>
      <c r="DG25" s="232" t="e">
        <f t="shared" si="46"/>
        <v>#VALUE!</v>
      </c>
      <c r="DH25" s="232" t="e">
        <f t="shared" si="47"/>
        <v>#VALUE!</v>
      </c>
      <c r="DI25" s="232" t="e">
        <f t="shared" si="47"/>
        <v>#VALUE!</v>
      </c>
      <c r="DJ25" s="232" t="e">
        <f t="shared" si="47"/>
        <v>#VALUE!</v>
      </c>
      <c r="DK25" s="232" t="e">
        <f t="shared" si="47"/>
        <v>#VALUE!</v>
      </c>
      <c r="DL25" s="232" t="e">
        <f t="shared" si="47"/>
        <v>#VALUE!</v>
      </c>
      <c r="DM25" s="232" t="e">
        <f t="shared" si="47"/>
        <v>#VALUE!</v>
      </c>
      <c r="DN25" s="232" t="e">
        <f t="shared" si="47"/>
        <v>#VALUE!</v>
      </c>
      <c r="DO25" s="232" t="e">
        <f t="shared" si="47"/>
        <v>#VALUE!</v>
      </c>
      <c r="DP25" s="232" t="e">
        <f t="shared" si="47"/>
        <v>#VALUE!</v>
      </c>
      <c r="DQ25" s="232" t="e">
        <f t="shared" si="47"/>
        <v>#VALUE!</v>
      </c>
      <c r="DR25" s="232" t="e">
        <f t="shared" si="48"/>
        <v>#VALUE!</v>
      </c>
      <c r="DS25" s="232" t="e">
        <f t="shared" si="48"/>
        <v>#VALUE!</v>
      </c>
      <c r="DT25" s="232" t="e">
        <f t="shared" si="48"/>
        <v>#VALUE!</v>
      </c>
      <c r="DU25" s="232" t="e">
        <f t="shared" si="48"/>
        <v>#VALUE!</v>
      </c>
      <c r="DV25" s="232" t="e">
        <f t="shared" si="48"/>
        <v>#VALUE!</v>
      </c>
      <c r="DW25" s="232" t="e">
        <f t="shared" si="48"/>
        <v>#VALUE!</v>
      </c>
      <c r="DX25" s="232" t="e">
        <f t="shared" si="48"/>
        <v>#VALUE!</v>
      </c>
      <c r="DY25" s="232" t="e">
        <f t="shared" si="48"/>
        <v>#VALUE!</v>
      </c>
      <c r="DZ25" s="232" t="e">
        <f t="shared" si="48"/>
        <v>#VALUE!</v>
      </c>
      <c r="EA25" s="232" t="e">
        <f t="shared" si="48"/>
        <v>#VALUE!</v>
      </c>
      <c r="EB25" s="232" t="e">
        <f t="shared" si="49"/>
        <v>#VALUE!</v>
      </c>
      <c r="EC25" s="232" t="e">
        <f t="shared" si="49"/>
        <v>#VALUE!</v>
      </c>
      <c r="ED25" s="232" t="e">
        <f t="shared" si="49"/>
        <v>#VALUE!</v>
      </c>
      <c r="EE25" s="232" t="e">
        <f t="shared" si="49"/>
        <v>#VALUE!</v>
      </c>
      <c r="EF25" s="232" t="e">
        <f t="shared" si="49"/>
        <v>#VALUE!</v>
      </c>
      <c r="EG25" s="232" t="e">
        <f t="shared" si="49"/>
        <v>#VALUE!</v>
      </c>
      <c r="EH25" s="232" t="e">
        <f t="shared" si="49"/>
        <v>#VALUE!</v>
      </c>
      <c r="EI25" s="232" t="e">
        <f t="shared" si="49"/>
        <v>#VALUE!</v>
      </c>
      <c r="EJ25" s="232" t="e">
        <f t="shared" si="49"/>
        <v>#VALUE!</v>
      </c>
      <c r="EK25" s="232" t="e">
        <f t="shared" si="49"/>
        <v>#VALUE!</v>
      </c>
      <c r="EL25" s="232" t="e">
        <f t="shared" si="50"/>
        <v>#VALUE!</v>
      </c>
      <c r="EM25" s="232" t="e">
        <f t="shared" si="50"/>
        <v>#VALUE!</v>
      </c>
      <c r="EN25" s="232" t="e">
        <f t="shared" si="50"/>
        <v>#VALUE!</v>
      </c>
      <c r="EO25" s="232" t="e">
        <f t="shared" si="50"/>
        <v>#VALUE!</v>
      </c>
      <c r="EP25" s="232" t="e">
        <f t="shared" si="50"/>
        <v>#VALUE!</v>
      </c>
      <c r="EQ25" s="232" t="e">
        <f t="shared" si="50"/>
        <v>#VALUE!</v>
      </c>
      <c r="ER25" s="232" t="e">
        <f t="shared" si="50"/>
        <v>#VALUE!</v>
      </c>
      <c r="ES25" s="232" t="e">
        <f t="shared" si="50"/>
        <v>#VALUE!</v>
      </c>
      <c r="ET25" s="232" t="e">
        <f t="shared" si="50"/>
        <v>#VALUE!</v>
      </c>
      <c r="EU25" s="232" t="e">
        <f t="shared" si="50"/>
        <v>#VALUE!</v>
      </c>
      <c r="EV25" s="232" t="e">
        <f t="shared" si="51"/>
        <v>#VALUE!</v>
      </c>
      <c r="EW25" s="232" t="e">
        <f t="shared" si="51"/>
        <v>#VALUE!</v>
      </c>
      <c r="EX25" s="232" t="e">
        <f t="shared" si="51"/>
        <v>#VALUE!</v>
      </c>
      <c r="EY25" s="232" t="e">
        <f t="shared" si="51"/>
        <v>#VALUE!</v>
      </c>
      <c r="EZ25" s="232" t="e">
        <f t="shared" si="51"/>
        <v>#VALUE!</v>
      </c>
      <c r="FA25" s="232" t="e">
        <f t="shared" si="51"/>
        <v>#VALUE!</v>
      </c>
      <c r="FB25" s="232" t="e">
        <f t="shared" si="51"/>
        <v>#VALUE!</v>
      </c>
      <c r="FC25" s="232" t="e">
        <f t="shared" si="51"/>
        <v>#VALUE!</v>
      </c>
      <c r="FD25" s="232" t="e">
        <f t="shared" si="51"/>
        <v>#VALUE!</v>
      </c>
      <c r="FE25" s="232" t="e">
        <f t="shared" si="51"/>
        <v>#VALUE!</v>
      </c>
      <c r="FF25" s="232" t="e">
        <f t="shared" si="52"/>
        <v>#VALUE!</v>
      </c>
      <c r="FG25" s="232" t="e">
        <f t="shared" si="52"/>
        <v>#VALUE!</v>
      </c>
      <c r="FH25" s="232" t="e">
        <f t="shared" si="52"/>
        <v>#VALUE!</v>
      </c>
      <c r="FI25" s="232" t="e">
        <f t="shared" si="52"/>
        <v>#VALUE!</v>
      </c>
      <c r="FJ25" s="232" t="e">
        <f t="shared" si="52"/>
        <v>#VALUE!</v>
      </c>
      <c r="FK25" s="232" t="e">
        <f t="shared" si="52"/>
        <v>#VALUE!</v>
      </c>
      <c r="FL25" s="232" t="e">
        <f t="shared" si="52"/>
        <v>#VALUE!</v>
      </c>
      <c r="FM25" s="232" t="e">
        <f t="shared" si="52"/>
        <v>#VALUE!</v>
      </c>
      <c r="FN25" s="232" t="e">
        <f t="shared" si="52"/>
        <v>#VALUE!</v>
      </c>
      <c r="FO25" s="232" t="e">
        <f t="shared" si="52"/>
        <v>#VALUE!</v>
      </c>
      <c r="FP25" s="232" t="e">
        <f t="shared" si="53"/>
        <v>#VALUE!</v>
      </c>
      <c r="FQ25" s="232" t="e">
        <f t="shared" si="53"/>
        <v>#VALUE!</v>
      </c>
      <c r="FR25" s="232" t="e">
        <f t="shared" si="53"/>
        <v>#VALUE!</v>
      </c>
      <c r="FS25" s="232" t="e">
        <f t="shared" si="53"/>
        <v>#VALUE!</v>
      </c>
      <c r="FT25" s="232" t="e">
        <f t="shared" si="53"/>
        <v>#VALUE!</v>
      </c>
      <c r="FU25" s="232" t="e">
        <f t="shared" si="53"/>
        <v>#VALUE!</v>
      </c>
      <c r="FV25" s="232" t="e">
        <f t="shared" si="53"/>
        <v>#VALUE!</v>
      </c>
      <c r="FW25" s="232" t="e">
        <f t="shared" si="53"/>
        <v>#VALUE!</v>
      </c>
      <c r="FX25" s="232" t="e">
        <f t="shared" si="53"/>
        <v>#VALUE!</v>
      </c>
      <c r="FY25" s="232" t="e">
        <f t="shared" si="53"/>
        <v>#VALUE!</v>
      </c>
      <c r="FZ25" s="232" t="e">
        <f t="shared" si="54"/>
        <v>#VALUE!</v>
      </c>
      <c r="GA25" s="232" t="e">
        <f t="shared" si="54"/>
        <v>#VALUE!</v>
      </c>
      <c r="GB25" s="232" t="e">
        <f t="shared" si="54"/>
        <v>#VALUE!</v>
      </c>
      <c r="GC25" s="232" t="e">
        <f t="shared" si="54"/>
        <v>#VALUE!</v>
      </c>
      <c r="GD25" s="232" t="e">
        <f t="shared" si="54"/>
        <v>#VALUE!</v>
      </c>
      <c r="GE25" s="232" t="e">
        <f t="shared" si="54"/>
        <v>#VALUE!</v>
      </c>
      <c r="GF25" s="232" t="e">
        <f t="shared" si="54"/>
        <v>#VALUE!</v>
      </c>
      <c r="GG25" s="232" t="e">
        <f t="shared" si="54"/>
        <v>#VALUE!</v>
      </c>
      <c r="GH25" s="232" t="e">
        <f t="shared" si="54"/>
        <v>#VALUE!</v>
      </c>
      <c r="GI25" s="232" t="e">
        <f t="shared" si="54"/>
        <v>#VALUE!</v>
      </c>
      <c r="GJ25" s="232" t="e">
        <f t="shared" si="55"/>
        <v>#VALUE!</v>
      </c>
      <c r="GK25" s="232" t="e">
        <f t="shared" si="55"/>
        <v>#VALUE!</v>
      </c>
      <c r="GL25" s="232" t="e">
        <f t="shared" si="55"/>
        <v>#VALUE!</v>
      </c>
      <c r="GM25" s="232" t="e">
        <f t="shared" si="55"/>
        <v>#VALUE!</v>
      </c>
      <c r="GN25" s="232" t="e">
        <f t="shared" si="55"/>
        <v>#VALUE!</v>
      </c>
      <c r="GO25" s="232" t="e">
        <f t="shared" si="55"/>
        <v>#VALUE!</v>
      </c>
      <c r="GP25" s="232" t="e">
        <f t="shared" si="55"/>
        <v>#VALUE!</v>
      </c>
      <c r="GQ25" s="232" t="e">
        <f t="shared" si="55"/>
        <v>#VALUE!</v>
      </c>
      <c r="GR25" s="232" t="e">
        <f t="shared" si="55"/>
        <v>#VALUE!</v>
      </c>
      <c r="GS25" s="232" t="e">
        <f t="shared" si="55"/>
        <v>#VALUE!</v>
      </c>
      <c r="GT25" s="232" t="e">
        <f t="shared" si="56"/>
        <v>#VALUE!</v>
      </c>
      <c r="GU25" s="232" t="e">
        <f t="shared" si="56"/>
        <v>#VALUE!</v>
      </c>
      <c r="GV25" s="232" t="e">
        <f t="shared" si="56"/>
        <v>#VALUE!</v>
      </c>
      <c r="GW25" s="232" t="e">
        <f t="shared" si="56"/>
        <v>#VALUE!</v>
      </c>
      <c r="GX25" s="232" t="e">
        <f t="shared" si="56"/>
        <v>#VALUE!</v>
      </c>
      <c r="GY25" s="232" t="e">
        <f t="shared" si="56"/>
        <v>#VALUE!</v>
      </c>
      <c r="GZ25" s="232" t="e">
        <f t="shared" si="56"/>
        <v>#VALUE!</v>
      </c>
      <c r="HA25" s="232" t="e">
        <f t="shared" si="56"/>
        <v>#VALUE!</v>
      </c>
      <c r="HB25" s="232" t="e">
        <f t="shared" si="56"/>
        <v>#VALUE!</v>
      </c>
      <c r="HC25" s="232" t="e">
        <f t="shared" si="56"/>
        <v>#VALUE!</v>
      </c>
      <c r="HD25" s="232" t="e">
        <f t="shared" si="57"/>
        <v>#VALUE!</v>
      </c>
      <c r="HE25" s="232" t="e">
        <f t="shared" si="57"/>
        <v>#VALUE!</v>
      </c>
      <c r="HF25" s="232" t="e">
        <f t="shared" si="57"/>
        <v>#VALUE!</v>
      </c>
      <c r="HG25" s="232" t="e">
        <f t="shared" si="57"/>
        <v>#VALUE!</v>
      </c>
      <c r="HH25" s="232" t="e">
        <f t="shared" si="57"/>
        <v>#VALUE!</v>
      </c>
      <c r="HI25" s="232" t="e">
        <f t="shared" si="57"/>
        <v>#VALUE!</v>
      </c>
      <c r="HJ25" s="232" t="e">
        <f t="shared" si="57"/>
        <v>#VALUE!</v>
      </c>
      <c r="HK25" s="232" t="e">
        <f t="shared" si="57"/>
        <v>#VALUE!</v>
      </c>
      <c r="HL25" s="232" t="e">
        <f t="shared" si="57"/>
        <v>#VALUE!</v>
      </c>
      <c r="HM25" s="232" t="e">
        <f t="shared" si="57"/>
        <v>#VALUE!</v>
      </c>
      <c r="HN25" s="232" t="e">
        <f t="shared" si="58"/>
        <v>#VALUE!</v>
      </c>
      <c r="HO25" s="232" t="e">
        <f t="shared" si="58"/>
        <v>#VALUE!</v>
      </c>
      <c r="HP25" s="232" t="e">
        <f t="shared" si="58"/>
        <v>#VALUE!</v>
      </c>
      <c r="HQ25" s="232" t="e">
        <f t="shared" si="58"/>
        <v>#VALUE!</v>
      </c>
      <c r="HR25" s="232" t="e">
        <f t="shared" si="58"/>
        <v>#VALUE!</v>
      </c>
      <c r="HS25" s="232" t="e">
        <f t="shared" si="58"/>
        <v>#VALUE!</v>
      </c>
      <c r="HT25" s="232" t="e">
        <f t="shared" si="58"/>
        <v>#VALUE!</v>
      </c>
      <c r="HU25" s="232" t="e">
        <f t="shared" si="58"/>
        <v>#VALUE!</v>
      </c>
      <c r="HV25" s="232" t="e">
        <f t="shared" si="58"/>
        <v>#VALUE!</v>
      </c>
      <c r="HW25" s="232" t="e">
        <f t="shared" si="58"/>
        <v>#VALUE!</v>
      </c>
      <c r="HX25" s="232" t="e">
        <f t="shared" si="59"/>
        <v>#VALUE!</v>
      </c>
      <c r="HY25" s="232" t="e">
        <f t="shared" si="59"/>
        <v>#VALUE!</v>
      </c>
      <c r="HZ25" s="232" t="e">
        <f t="shared" si="59"/>
        <v>#VALUE!</v>
      </c>
      <c r="IA25" s="232" t="e">
        <f t="shared" si="59"/>
        <v>#VALUE!</v>
      </c>
      <c r="IB25" s="232" t="e">
        <f t="shared" si="59"/>
        <v>#VALUE!</v>
      </c>
      <c r="IC25" s="232" t="e">
        <f t="shared" si="59"/>
        <v>#VALUE!</v>
      </c>
      <c r="ID25" s="232" t="e">
        <f t="shared" si="59"/>
        <v>#VALUE!</v>
      </c>
      <c r="IE25" s="232" t="e">
        <f t="shared" si="59"/>
        <v>#VALUE!</v>
      </c>
      <c r="IF25" s="232" t="e">
        <f t="shared" si="59"/>
        <v>#VALUE!</v>
      </c>
      <c r="IG25" s="232" t="e">
        <f t="shared" si="59"/>
        <v>#VALUE!</v>
      </c>
      <c r="IH25" s="232" t="e">
        <f t="shared" si="60"/>
        <v>#VALUE!</v>
      </c>
      <c r="II25" s="232" t="e">
        <f t="shared" si="60"/>
        <v>#VALUE!</v>
      </c>
      <c r="IJ25" s="232" t="e">
        <f t="shared" si="60"/>
        <v>#VALUE!</v>
      </c>
      <c r="IK25" s="232" t="e">
        <f t="shared" si="60"/>
        <v>#VALUE!</v>
      </c>
      <c r="IL25" s="232" t="e">
        <f t="shared" si="60"/>
        <v>#VALUE!</v>
      </c>
      <c r="IM25" s="232" t="e">
        <f t="shared" si="60"/>
        <v>#VALUE!</v>
      </c>
      <c r="IN25" s="232" t="e">
        <f t="shared" si="60"/>
        <v>#VALUE!</v>
      </c>
      <c r="IO25" s="232" t="e">
        <f t="shared" si="60"/>
        <v>#VALUE!</v>
      </c>
      <c r="IP25" s="232" t="e">
        <f t="shared" si="60"/>
        <v>#VALUE!</v>
      </c>
      <c r="IQ25" s="232" t="e">
        <f t="shared" si="60"/>
        <v>#VALUE!</v>
      </c>
      <c r="IR25" s="232" t="e">
        <f t="shared" si="61"/>
        <v>#VALUE!</v>
      </c>
      <c r="IS25" s="232" t="e">
        <f t="shared" si="61"/>
        <v>#VALUE!</v>
      </c>
      <c r="IT25" s="232" t="e">
        <f t="shared" si="61"/>
        <v>#VALUE!</v>
      </c>
      <c r="IU25" s="232" t="e">
        <f t="shared" si="61"/>
        <v>#VALUE!</v>
      </c>
      <c r="IV25" s="232" t="e">
        <f t="shared" si="61"/>
        <v>#VALUE!</v>
      </c>
      <c r="IW25" s="232" t="e">
        <f t="shared" si="61"/>
        <v>#VALUE!</v>
      </c>
      <c r="IX25" s="232" t="e">
        <f t="shared" si="61"/>
        <v>#VALUE!</v>
      </c>
      <c r="IY25" s="232" t="e">
        <f t="shared" si="61"/>
        <v>#VALUE!</v>
      </c>
      <c r="IZ25" s="232" t="e">
        <f t="shared" si="61"/>
        <v>#VALUE!</v>
      </c>
      <c r="JA25" s="232" t="e">
        <f t="shared" si="61"/>
        <v>#VALUE!</v>
      </c>
      <c r="JB25" s="232" t="e">
        <f t="shared" si="62"/>
        <v>#VALUE!</v>
      </c>
      <c r="JC25" s="232" t="e">
        <f t="shared" si="62"/>
        <v>#VALUE!</v>
      </c>
      <c r="JD25" s="232" t="e">
        <f t="shared" si="62"/>
        <v>#VALUE!</v>
      </c>
      <c r="JE25" s="232" t="e">
        <f t="shared" si="62"/>
        <v>#VALUE!</v>
      </c>
      <c r="JF25" s="232" t="e">
        <f t="shared" si="62"/>
        <v>#VALUE!</v>
      </c>
      <c r="JG25" s="232" t="e">
        <f t="shared" si="62"/>
        <v>#VALUE!</v>
      </c>
      <c r="JH25" s="232" t="e">
        <f t="shared" si="62"/>
        <v>#VALUE!</v>
      </c>
      <c r="JI25" s="232" t="e">
        <f t="shared" si="62"/>
        <v>#VALUE!</v>
      </c>
      <c r="JJ25" s="232" t="e">
        <f t="shared" si="62"/>
        <v>#VALUE!</v>
      </c>
      <c r="JK25" s="232"/>
      <c r="JL25" s="232"/>
      <c r="JM25" s="232"/>
      <c r="JN25" s="232"/>
      <c r="JO25" s="232"/>
      <c r="JP25" s="232"/>
      <c r="JQ25" s="232"/>
      <c r="JR25" s="232"/>
      <c r="JS25" s="232"/>
      <c r="JT25" s="232"/>
      <c r="JU25" s="232"/>
      <c r="JV25" s="232"/>
      <c r="JW25" s="232"/>
      <c r="JX25" s="232"/>
      <c r="JY25" s="232"/>
      <c r="JZ25" s="232"/>
      <c r="KA25" s="232"/>
      <c r="KB25" s="232"/>
      <c r="KC25" s="232"/>
      <c r="KD25" s="232"/>
      <c r="KE25" s="232"/>
      <c r="KF25" s="232"/>
      <c r="KG25" s="232"/>
      <c r="KH25" s="232"/>
      <c r="KI25" s="232"/>
      <c r="KJ25" s="232"/>
      <c r="KK25" s="232"/>
      <c r="KL25" s="232"/>
      <c r="KM25" s="232"/>
      <c r="KN25" s="232"/>
      <c r="KO25" s="232"/>
      <c r="KP25" s="232"/>
      <c r="KQ25" s="232"/>
      <c r="KR25" s="232"/>
      <c r="KS25" s="232"/>
      <c r="KT25" s="232"/>
      <c r="KU25" s="232"/>
      <c r="KV25" s="232"/>
      <c r="KW25" s="232"/>
      <c r="KX25" s="232"/>
      <c r="KY25" s="232"/>
      <c r="KZ25" s="232"/>
      <c r="LA25" s="232"/>
      <c r="LB25" s="232"/>
      <c r="LC25" s="232"/>
      <c r="LD25" s="232"/>
      <c r="LE25" s="232"/>
      <c r="LF25" s="232"/>
      <c r="LG25" s="232"/>
      <c r="LH25" s="232"/>
      <c r="LI25" s="232"/>
      <c r="LJ25" s="232"/>
      <c r="LK25" s="232"/>
      <c r="LL25" s="232"/>
      <c r="LM25" s="232"/>
      <c r="LN25" s="232"/>
      <c r="LO25" s="232"/>
      <c r="LP25" s="232"/>
      <c r="LQ25" s="232"/>
      <c r="LR25" s="232"/>
      <c r="LS25" s="232"/>
      <c r="LT25" s="232"/>
      <c r="LU25" s="232"/>
      <c r="LV25" s="232"/>
      <c r="LW25" s="232"/>
      <c r="LX25" s="232"/>
      <c r="LY25" s="232"/>
      <c r="LZ25" s="232"/>
      <c r="MA25" s="232"/>
      <c r="MB25" s="232"/>
      <c r="MC25" s="232"/>
      <c r="MD25" s="232"/>
      <c r="ME25" s="232"/>
      <c r="MF25" s="232"/>
      <c r="MG25" s="232"/>
      <c r="MH25" s="232"/>
      <c r="MI25" s="232"/>
      <c r="MJ25" s="232"/>
      <c r="MK25" s="232"/>
      <c r="ML25" s="232"/>
      <c r="MM25" s="232"/>
      <c r="MN25" s="232"/>
      <c r="MO25" s="232"/>
      <c r="MP25" s="232"/>
      <c r="MQ25" s="232"/>
      <c r="MR25" s="232"/>
      <c r="MS25" s="232"/>
      <c r="MT25" s="232"/>
      <c r="MU25" s="232"/>
      <c r="MV25" s="232"/>
      <c r="MW25" s="232"/>
      <c r="MX25" s="232"/>
      <c r="MY25" s="232"/>
      <c r="MZ25" s="232"/>
      <c r="NA25" s="232"/>
      <c r="NB25" s="232"/>
      <c r="NC25" s="232"/>
      <c r="ND25" s="232"/>
      <c r="NE25" s="232"/>
      <c r="NF25" s="232"/>
      <c r="NG25" s="232"/>
      <c r="NH25" s="232"/>
      <c r="NI25" s="232"/>
      <c r="NJ25" s="232"/>
      <c r="NK25" s="232"/>
      <c r="NL25" s="232"/>
      <c r="NM25" s="232"/>
      <c r="NN25" s="232"/>
      <c r="NO25" s="232"/>
      <c r="NP25" s="232"/>
      <c r="NQ25" s="232"/>
      <c r="NR25" s="232"/>
      <c r="NS25" s="232"/>
      <c r="NT25" s="232"/>
      <c r="NU25" s="232"/>
      <c r="NV25" s="232"/>
      <c r="NW25" s="232"/>
      <c r="NX25" s="232"/>
      <c r="NY25" s="232"/>
      <c r="NZ25" s="232"/>
      <c r="OA25" s="232"/>
      <c r="OB25" s="232"/>
      <c r="OC25" s="232"/>
      <c r="OD25" s="232"/>
      <c r="OE25" s="232"/>
      <c r="OF25" s="232"/>
      <c r="OG25" s="232"/>
      <c r="OH25" s="232"/>
      <c r="OI25" s="232"/>
      <c r="OJ25" s="232"/>
      <c r="OK25" s="232"/>
      <c r="OL25" s="232"/>
      <c r="OM25" s="232"/>
      <c r="ON25" s="232"/>
      <c r="OO25" s="232"/>
      <c r="OP25" s="232"/>
      <c r="OQ25" s="232"/>
      <c r="OR25" s="232"/>
      <c r="OS25" s="232"/>
      <c r="OT25" s="232"/>
      <c r="OU25" s="232"/>
      <c r="OV25" s="232"/>
      <c r="OW25" s="232"/>
      <c r="OX25" s="232"/>
      <c r="OY25" s="232"/>
      <c r="OZ25" s="232"/>
      <c r="PA25" s="232"/>
      <c r="PB25" s="232"/>
      <c r="PC25" s="232"/>
      <c r="PD25" s="232"/>
      <c r="PE25" s="232"/>
      <c r="PF25" s="232"/>
      <c r="PG25" s="232"/>
      <c r="PH25" s="232"/>
      <c r="PI25" s="232"/>
      <c r="PJ25" s="232"/>
      <c r="PK25" s="232"/>
      <c r="PL25" s="232"/>
      <c r="PM25" s="232"/>
      <c r="PN25" s="232"/>
      <c r="PO25" s="232"/>
      <c r="PP25" s="232"/>
      <c r="PQ25" s="232"/>
      <c r="PR25" s="232"/>
      <c r="PS25" s="232"/>
      <c r="PT25" s="232"/>
      <c r="PU25" s="232"/>
      <c r="PV25" s="232"/>
      <c r="PW25" s="232"/>
      <c r="PX25" s="232"/>
      <c r="PY25" s="232"/>
      <c r="PZ25" s="232"/>
      <c r="QA25" s="232"/>
      <c r="QB25" s="232"/>
      <c r="QC25" s="232"/>
      <c r="QD25" s="232"/>
      <c r="QE25" s="232"/>
      <c r="QF25" s="232"/>
      <c r="QG25" s="232"/>
      <c r="QH25" s="232"/>
      <c r="QI25" s="232"/>
      <c r="QJ25" s="232"/>
      <c r="QK25" s="232"/>
      <c r="QL25" s="232"/>
      <c r="QM25" s="232"/>
      <c r="QN25" s="232"/>
      <c r="QO25" s="232"/>
      <c r="QP25" s="232"/>
      <c r="QQ25" s="232"/>
      <c r="QR25" s="232"/>
      <c r="QS25" s="232"/>
      <c r="QT25" s="232"/>
      <c r="QU25" s="232"/>
      <c r="QV25" s="232"/>
      <c r="QW25" s="232"/>
      <c r="QX25" s="232"/>
      <c r="QY25" s="232"/>
      <c r="QZ25" s="232"/>
      <c r="RA25" s="232"/>
      <c r="RB25" s="232"/>
      <c r="RC25" s="232"/>
      <c r="RD25" s="232"/>
      <c r="RE25" s="232"/>
      <c r="RF25" s="232"/>
      <c r="RG25" s="232"/>
      <c r="RH25" s="232"/>
      <c r="RI25" s="232"/>
      <c r="RJ25" s="232"/>
      <c r="RK25" s="232"/>
      <c r="RL25" s="232"/>
      <c r="RM25" s="232"/>
      <c r="RN25" s="232"/>
      <c r="RO25" s="232"/>
      <c r="RP25" s="232"/>
      <c r="RQ25" s="232"/>
      <c r="RR25" s="232"/>
      <c r="RS25" s="232"/>
      <c r="RT25" s="232"/>
      <c r="RU25" s="232"/>
      <c r="RV25" s="232"/>
      <c r="RW25" s="232"/>
      <c r="RX25" s="232"/>
      <c r="RY25" s="232"/>
      <c r="RZ25" s="232"/>
      <c r="SA25" s="232"/>
      <c r="SB25" s="232"/>
      <c r="SC25" s="232"/>
      <c r="SD25" s="232"/>
      <c r="SE25" s="232"/>
      <c r="SF25" s="232"/>
      <c r="SG25" s="232"/>
      <c r="SH25" s="232"/>
      <c r="SI25" s="232"/>
      <c r="SJ25" s="232"/>
      <c r="SK25" s="232"/>
      <c r="SL25" s="232"/>
      <c r="SM25" s="232"/>
      <c r="SN25" s="232"/>
      <c r="SO25" s="232"/>
      <c r="SP25" s="232"/>
      <c r="SQ25" s="232"/>
      <c r="SR25" s="232"/>
      <c r="SS25" s="232"/>
      <c r="ST25" s="232"/>
      <c r="SU25" s="232"/>
      <c r="SV25" s="232"/>
      <c r="SW25" s="232"/>
      <c r="SX25" s="232"/>
      <c r="SY25" s="232"/>
      <c r="SZ25" s="232"/>
      <c r="TA25" s="232"/>
      <c r="TB25" s="232"/>
      <c r="TC25" s="232"/>
      <c r="TD25" s="232"/>
      <c r="TE25" s="232"/>
      <c r="TF25" s="232"/>
      <c r="TG25" s="232"/>
      <c r="TH25" s="232"/>
      <c r="TI25" s="232"/>
      <c r="TJ25" s="232"/>
      <c r="TK25" s="232"/>
      <c r="TL25" s="232"/>
      <c r="TM25" s="232"/>
      <c r="TN25" s="232"/>
      <c r="TO25" s="232"/>
      <c r="TP25" s="232"/>
      <c r="TQ25" s="232"/>
      <c r="TR25" s="232"/>
      <c r="TS25" s="232"/>
      <c r="TT25" s="232"/>
      <c r="TU25" s="232"/>
      <c r="TV25" s="232"/>
      <c r="TW25" s="232"/>
      <c r="TX25" s="232"/>
      <c r="TY25" s="232"/>
      <c r="TZ25" s="232"/>
      <c r="UA25" s="232"/>
      <c r="UB25" s="232"/>
      <c r="UC25" s="232"/>
      <c r="UD25" s="232"/>
      <c r="UE25" s="232"/>
      <c r="UF25" s="232"/>
      <c r="UG25" s="232"/>
      <c r="UH25" s="232"/>
      <c r="UI25" s="232"/>
      <c r="UJ25" s="232"/>
      <c r="UK25" s="232"/>
      <c r="UL25" s="232"/>
      <c r="UM25" s="232"/>
      <c r="UN25" s="232"/>
      <c r="UO25" s="232"/>
      <c r="UP25" s="232"/>
      <c r="UQ25" s="232"/>
      <c r="UR25" s="232"/>
      <c r="US25" s="232"/>
      <c r="UT25" s="232"/>
      <c r="UU25" s="232"/>
      <c r="UV25" s="232"/>
      <c r="UW25" s="232"/>
      <c r="UX25" s="232"/>
      <c r="UY25" s="232"/>
      <c r="UZ25" s="232"/>
      <c r="VA25" s="232"/>
      <c r="VB25" s="232"/>
      <c r="VC25" s="232"/>
      <c r="VD25" s="232"/>
      <c r="VE25" s="232"/>
      <c r="VF25" s="232"/>
      <c r="VG25" s="232"/>
      <c r="VH25" s="232"/>
      <c r="VI25" s="232"/>
      <c r="VJ25" s="232"/>
      <c r="VK25" s="232"/>
      <c r="VL25" s="232"/>
      <c r="VM25" s="232"/>
      <c r="VN25" s="232"/>
      <c r="VO25" s="232"/>
      <c r="VP25" s="232"/>
      <c r="VQ25" s="232"/>
      <c r="VR25" s="232"/>
      <c r="VS25" s="232"/>
      <c r="VT25" s="232"/>
      <c r="VU25" s="232"/>
      <c r="VV25" s="232"/>
      <c r="VW25" s="232"/>
      <c r="VX25" s="232"/>
      <c r="VY25" s="232"/>
      <c r="VZ25" s="232"/>
      <c r="WA25" s="232"/>
      <c r="WB25" s="232"/>
      <c r="WC25" s="232"/>
      <c r="WD25" s="232"/>
      <c r="WE25" s="232"/>
      <c r="WF25" s="232"/>
      <c r="WG25" s="232"/>
      <c r="WH25" s="232"/>
      <c r="WI25" s="232"/>
      <c r="WJ25" s="232"/>
      <c r="WK25" s="232"/>
      <c r="WL25" s="232"/>
      <c r="WM25" s="232"/>
      <c r="WN25" s="232"/>
      <c r="WO25" s="232"/>
      <c r="WP25" s="232"/>
      <c r="WQ25" s="232"/>
      <c r="WR25" s="232"/>
      <c r="WS25" s="232"/>
      <c r="WT25" s="232"/>
      <c r="WU25" s="232"/>
      <c r="WV25" s="232"/>
      <c r="WW25" s="232"/>
      <c r="WX25" s="232"/>
      <c r="WY25" s="232"/>
      <c r="WZ25" s="232"/>
      <c r="XA25" s="232"/>
      <c r="XB25" s="232"/>
      <c r="XC25" s="232"/>
      <c r="XD25" s="232"/>
      <c r="XE25" s="232"/>
      <c r="XF25" s="232"/>
      <c r="XG25" s="232"/>
      <c r="XH25" s="232"/>
      <c r="XI25" s="232"/>
      <c r="XJ25" s="232"/>
      <c r="XK25" s="232"/>
      <c r="XL25" s="232"/>
      <c r="XM25" s="232"/>
      <c r="XN25" s="232"/>
      <c r="XO25" s="232"/>
      <c r="XP25" s="232"/>
      <c r="XQ25" s="232"/>
      <c r="XR25" s="232"/>
      <c r="XS25" s="232"/>
      <c r="XT25" s="232"/>
      <c r="XU25" s="232"/>
      <c r="XV25" s="232"/>
      <c r="XW25" s="232"/>
      <c r="XX25" s="232"/>
      <c r="XY25" s="232"/>
      <c r="XZ25" s="232"/>
      <c r="YA25" s="232"/>
      <c r="YB25" s="232"/>
      <c r="YC25" s="232"/>
      <c r="YD25" s="232"/>
      <c r="YE25" s="232"/>
      <c r="YF25" s="232"/>
      <c r="YG25" s="232"/>
      <c r="YH25" s="232"/>
      <c r="YI25" s="232"/>
      <c r="YJ25" s="232"/>
      <c r="YK25" s="232"/>
      <c r="YL25" s="232"/>
      <c r="YM25" s="232"/>
      <c r="YN25" s="232"/>
      <c r="YO25" s="232"/>
      <c r="YP25" s="232"/>
      <c r="YQ25" s="232"/>
      <c r="YR25" s="232"/>
      <c r="YS25" s="232"/>
      <c r="YT25" s="232"/>
      <c r="YU25" s="232"/>
      <c r="YV25" s="232"/>
      <c r="YW25" s="232"/>
      <c r="YX25" s="232"/>
      <c r="YY25" s="232"/>
      <c r="YZ25" s="232"/>
      <c r="ZA25" s="232"/>
      <c r="ZB25" s="232"/>
      <c r="ZC25" s="232"/>
      <c r="ZD25" s="232"/>
      <c r="ZE25" s="232"/>
      <c r="ZF25" s="232"/>
      <c r="ZG25" s="232"/>
      <c r="ZH25" s="232"/>
      <c r="ZI25" s="232"/>
      <c r="ZJ25" s="232"/>
      <c r="ZK25" s="232"/>
      <c r="ZL25" s="232"/>
      <c r="ZM25" s="232"/>
      <c r="ZN25" s="232"/>
      <c r="ZO25" s="232"/>
      <c r="ZP25" s="232"/>
      <c r="ZQ25" s="232"/>
      <c r="ZR25" s="232"/>
      <c r="ZS25" s="232"/>
      <c r="ZT25" s="232"/>
      <c r="ZU25" s="232"/>
      <c r="ZV25" s="232"/>
      <c r="ZW25" s="232"/>
      <c r="ZX25" s="232"/>
      <c r="ZY25" s="232"/>
      <c r="ZZ25" s="232"/>
      <c r="AAA25" s="232"/>
      <c r="AAB25" s="232"/>
      <c r="AAC25" s="232"/>
      <c r="AAD25" s="232"/>
      <c r="AAE25" s="232"/>
      <c r="AAF25" s="232"/>
      <c r="AAG25" s="232"/>
      <c r="AAH25" s="232"/>
      <c r="AAI25" s="232"/>
      <c r="AAJ25" s="232"/>
      <c r="AAK25" s="232"/>
      <c r="AAL25" s="232"/>
      <c r="AAM25" s="232"/>
      <c r="AAN25" s="232"/>
      <c r="AAO25" s="232"/>
      <c r="AAP25" s="232"/>
      <c r="AAQ25" s="232"/>
      <c r="AAR25" s="232"/>
      <c r="AAS25" s="232"/>
      <c r="AAT25" s="232"/>
      <c r="AAU25" s="232"/>
      <c r="AAV25" s="232"/>
      <c r="AAW25" s="232"/>
      <c r="AAX25" s="232"/>
      <c r="AAY25" s="232"/>
      <c r="AAZ25" s="232"/>
      <c r="ABA25" s="232"/>
      <c r="ABB25" s="232"/>
      <c r="ABC25" s="232"/>
      <c r="ABD25" s="232"/>
      <c r="ABE25" s="232"/>
      <c r="ABF25" s="232"/>
      <c r="ABG25" s="232"/>
      <c r="ABH25" s="232"/>
      <c r="ABI25" s="232"/>
      <c r="ABJ25" s="232"/>
      <c r="ABK25" s="232"/>
      <c r="ABL25" s="232"/>
      <c r="ABM25" s="232"/>
      <c r="ABN25" s="232"/>
      <c r="ABO25" s="232"/>
      <c r="ABP25" s="232"/>
      <c r="ABQ25" s="232"/>
      <c r="ABR25" s="232"/>
      <c r="ABS25" s="232"/>
      <c r="ABT25" s="232"/>
      <c r="ABU25" s="232"/>
      <c r="ABV25" s="232"/>
      <c r="ABW25" s="232"/>
      <c r="ABX25" s="232"/>
      <c r="ABY25" s="232"/>
      <c r="ABZ25" s="232"/>
      <c r="ACA25" s="232"/>
      <c r="ACB25" s="232"/>
      <c r="ACC25" s="232"/>
      <c r="ACD25" s="232"/>
      <c r="ACE25" s="232"/>
      <c r="ACF25" s="232"/>
      <c r="ACG25" s="232"/>
      <c r="ACH25" s="232"/>
      <c r="ACI25" s="232"/>
      <c r="ACJ25" s="232"/>
      <c r="ACK25" s="232"/>
      <c r="ACL25" s="232"/>
      <c r="ACM25" s="232"/>
      <c r="ACN25" s="232"/>
      <c r="ACO25" s="232"/>
      <c r="ACP25" s="232"/>
      <c r="ACQ25" s="232"/>
      <c r="ACR25" s="232"/>
      <c r="ACS25" s="232"/>
      <c r="ACT25" s="232"/>
      <c r="ACU25" s="232"/>
      <c r="ACV25" s="232"/>
      <c r="ACW25" s="232"/>
      <c r="ACX25" s="232"/>
      <c r="ACY25" s="232"/>
      <c r="ACZ25" s="232"/>
      <c r="ADA25" s="232"/>
      <c r="ADB25" s="232"/>
      <c r="ADC25" s="232"/>
      <c r="ADD25" s="232"/>
      <c r="ADE25" s="232"/>
      <c r="ADF25" s="232"/>
      <c r="ADG25" s="232"/>
      <c r="ADH25" s="232"/>
      <c r="ADI25" s="232"/>
      <c r="ADJ25" s="232"/>
      <c r="ADK25" s="232"/>
      <c r="ADL25" s="232"/>
      <c r="ADM25" s="232"/>
      <c r="ADN25" s="232"/>
      <c r="ADO25" s="232"/>
      <c r="ADP25" s="232"/>
      <c r="ADQ25" s="232"/>
      <c r="ADR25" s="232"/>
      <c r="ADS25" s="232"/>
      <c r="ADT25" s="232"/>
      <c r="ADU25" s="232"/>
      <c r="ADV25" s="232"/>
      <c r="ADW25" s="232"/>
      <c r="ADX25" s="232"/>
      <c r="ADY25" s="232"/>
      <c r="ADZ25" s="232"/>
      <c r="AEA25" s="232"/>
      <c r="AEB25" s="232"/>
      <c r="AEC25" s="232"/>
      <c r="AED25" s="232"/>
      <c r="AEE25" s="232"/>
      <c r="AEF25" s="232"/>
      <c r="AEG25" s="232"/>
      <c r="AEH25" s="232"/>
      <c r="AEI25" s="232"/>
      <c r="AEJ25" s="232"/>
      <c r="AEK25" s="232"/>
      <c r="AEL25" s="232"/>
      <c r="AEM25" s="232"/>
      <c r="AEN25" s="232"/>
      <c r="AEO25" s="232"/>
      <c r="AEP25" s="232"/>
      <c r="AEQ25" s="232"/>
      <c r="AER25" s="232"/>
      <c r="AES25" s="232"/>
      <c r="AET25" s="232"/>
      <c r="AEU25" s="232"/>
      <c r="AEV25" s="232"/>
      <c r="AEW25" s="232"/>
      <c r="AEX25" s="232"/>
      <c r="AEY25" s="232"/>
      <c r="AEZ25" s="232"/>
      <c r="AFA25" s="232"/>
      <c r="AFB25" s="232"/>
      <c r="AFC25" s="232"/>
      <c r="AFD25" s="232"/>
      <c r="AFE25" s="232"/>
      <c r="AFF25" s="232"/>
      <c r="AFG25" s="232"/>
      <c r="AFH25" s="232"/>
      <c r="AFI25" s="232"/>
      <c r="AFJ25" s="232"/>
      <c r="AFK25" s="232"/>
      <c r="AFL25" s="232"/>
      <c r="AFM25" s="232"/>
      <c r="AFN25" s="232"/>
      <c r="AFO25" s="232"/>
      <c r="AFP25" s="232"/>
      <c r="AFQ25" s="232"/>
      <c r="AFR25" s="232"/>
      <c r="AFS25" s="232"/>
      <c r="AFT25" s="232"/>
      <c r="AFU25" s="232"/>
      <c r="AFV25" s="232"/>
      <c r="AFW25" s="232"/>
      <c r="AFX25" s="232"/>
      <c r="AFY25" s="232"/>
      <c r="AFZ25" s="232"/>
      <c r="AGA25" s="232"/>
      <c r="AGB25" s="232"/>
      <c r="AGC25" s="232"/>
      <c r="AGD25" s="232"/>
      <c r="AGE25" s="232"/>
      <c r="AGF25" s="232"/>
      <c r="AGG25" s="232"/>
      <c r="AGH25" s="232"/>
      <c r="AGI25" s="232"/>
      <c r="AGJ25" s="232"/>
      <c r="AGK25" s="232"/>
      <c r="AGL25" s="232"/>
      <c r="AGM25" s="232"/>
      <c r="AGN25" s="232"/>
      <c r="AGO25" s="232"/>
      <c r="AGP25" s="232"/>
      <c r="AGQ25" s="232"/>
      <c r="AGR25" s="232"/>
      <c r="AGS25" s="232"/>
      <c r="AGT25" s="232"/>
      <c r="AGU25" s="232"/>
      <c r="AGV25" s="232"/>
      <c r="AGW25" s="232"/>
      <c r="AGX25" s="232"/>
      <c r="AGY25" s="232"/>
      <c r="AGZ25" s="232"/>
      <c r="AHA25" s="232"/>
      <c r="AHB25" s="232"/>
      <c r="AHC25" s="232"/>
      <c r="AHD25" s="232"/>
      <c r="AHE25" s="232"/>
      <c r="AHF25" s="232"/>
      <c r="AHG25" s="232"/>
      <c r="AHH25" s="232"/>
      <c r="AHI25" s="232"/>
      <c r="AHJ25" s="232"/>
      <c r="AHK25" s="232"/>
      <c r="AHL25" s="232"/>
      <c r="AHM25" s="232"/>
      <c r="AHN25" s="232"/>
      <c r="AHO25" s="232"/>
      <c r="AHP25" s="232"/>
      <c r="AHQ25" s="232"/>
      <c r="AHR25" s="232"/>
      <c r="AHS25" s="232"/>
      <c r="AHT25" s="232"/>
      <c r="AHU25" s="232"/>
      <c r="AHV25" s="232"/>
      <c r="AHW25" s="232"/>
      <c r="AHX25" s="232"/>
      <c r="AHY25" s="232"/>
      <c r="AHZ25" s="232"/>
      <c r="AIA25" s="232"/>
      <c r="AIB25" s="232"/>
      <c r="AIC25" s="232"/>
      <c r="AID25" s="232"/>
      <c r="AIE25" s="232"/>
      <c r="AIF25" s="232"/>
      <c r="AIG25" s="232"/>
      <c r="AIH25" s="232"/>
      <c r="AII25" s="232"/>
      <c r="AIJ25" s="232"/>
      <c r="AIK25" s="232"/>
      <c r="AIL25" s="232"/>
      <c r="AIM25" s="232"/>
      <c r="AIN25" s="232"/>
      <c r="AIO25" s="232"/>
      <c r="AIP25" s="232"/>
      <c r="AIQ25" s="232"/>
      <c r="AIR25" s="232"/>
      <c r="AIS25" s="232"/>
      <c r="AIT25" s="232"/>
      <c r="AIU25" s="232"/>
      <c r="AIV25" s="232"/>
      <c r="AIW25" s="232"/>
      <c r="AIX25" s="232"/>
      <c r="AIY25" s="232"/>
      <c r="AIZ25" s="232"/>
      <c r="AJA25" s="232"/>
      <c r="AJB25" s="232"/>
      <c r="AJC25" s="232"/>
      <c r="AJD25" s="232"/>
      <c r="AJE25" s="232"/>
      <c r="AJF25" s="232"/>
      <c r="AJG25" s="232"/>
      <c r="AJH25" s="232"/>
      <c r="AJI25" s="232"/>
      <c r="AJJ25" s="232"/>
      <c r="AJK25" s="232"/>
      <c r="AJL25" s="232"/>
      <c r="AJM25" s="232"/>
      <c r="AJN25" s="232"/>
      <c r="AJO25" s="232"/>
      <c r="AJP25" s="232"/>
      <c r="AJQ25" s="232"/>
      <c r="AJR25" s="232"/>
      <c r="AJS25" s="232"/>
      <c r="AJT25" s="232"/>
      <c r="AJU25" s="232"/>
      <c r="AJV25" s="232"/>
      <c r="AJW25" s="232"/>
      <c r="AJX25" s="232"/>
      <c r="AJY25" s="232"/>
      <c r="AJZ25" s="232"/>
      <c r="AKA25" s="232"/>
      <c r="AKB25" s="232"/>
      <c r="AKC25" s="232"/>
      <c r="AKD25" s="232"/>
      <c r="AKE25" s="232"/>
      <c r="AKF25" s="232"/>
      <c r="AKG25" s="232"/>
      <c r="AKH25" s="232"/>
      <c r="AKI25" s="232"/>
      <c r="AKJ25" s="232"/>
      <c r="AKK25" s="232"/>
      <c r="AKL25" s="232"/>
      <c r="AKM25" s="232"/>
      <c r="AKN25" s="232"/>
      <c r="AKO25" s="232"/>
      <c r="AKP25" s="232"/>
      <c r="AKQ25" s="232"/>
      <c r="AKR25" s="232"/>
      <c r="AKS25" s="232"/>
      <c r="AKT25" s="232"/>
      <c r="AKU25" s="232"/>
      <c r="AKV25" s="232"/>
      <c r="AKW25" s="232"/>
      <c r="AKX25" s="232"/>
      <c r="AKY25" s="232"/>
      <c r="AKZ25" s="232"/>
      <c r="ALA25" s="232"/>
      <c r="ALB25" s="232"/>
      <c r="ALC25" s="232"/>
      <c r="ALD25" s="232"/>
      <c r="ALE25" s="232"/>
      <c r="ALF25" s="232"/>
      <c r="ALG25" s="232"/>
      <c r="ALH25" s="232"/>
      <c r="ALI25" s="232"/>
      <c r="ALJ25" s="232"/>
      <c r="ALK25" s="232"/>
      <c r="ALL25" s="232"/>
      <c r="ALM25" s="232"/>
      <c r="ALN25" s="232"/>
      <c r="ALO25" s="232"/>
      <c r="ALP25" s="232"/>
      <c r="ALQ25" s="232"/>
      <c r="ALR25" s="232"/>
      <c r="ALS25" s="232"/>
      <c r="ALT25" s="232"/>
      <c r="ALU25" s="232"/>
      <c r="ALV25" s="232"/>
      <c r="ALW25" s="232"/>
      <c r="ALX25" s="232"/>
      <c r="ALY25" s="232"/>
      <c r="ALZ25" s="232"/>
      <c r="AMA25" s="232"/>
      <c r="AMB25" s="232"/>
      <c r="AMC25" s="232"/>
      <c r="AMD25" s="232"/>
      <c r="AME25" s="232"/>
      <c r="AMF25" s="232"/>
      <c r="AMG25" s="232"/>
      <c r="AMH25" s="232"/>
      <c r="AMI25" s="232"/>
      <c r="AMJ25" s="232"/>
      <c r="AMK25" s="232"/>
      <c r="AML25" s="232"/>
      <c r="AMM25" s="232"/>
      <c r="AMN25" s="232"/>
      <c r="AMO25" s="232"/>
      <c r="AMP25" s="232"/>
      <c r="AMQ25" s="232"/>
      <c r="AMR25" s="232"/>
      <c r="AMS25" s="232"/>
      <c r="AMT25" s="232"/>
      <c r="AMU25" s="232"/>
      <c r="AMV25" s="232"/>
      <c r="AMW25" s="232"/>
      <c r="AMX25" s="232"/>
      <c r="AMY25" s="232"/>
      <c r="AMZ25" s="232"/>
      <c r="ANA25" s="232"/>
      <c r="ANB25" s="232"/>
      <c r="ANC25" s="232"/>
      <c r="AND25" s="232"/>
      <c r="ANE25" s="232"/>
      <c r="ANF25" s="232"/>
      <c r="ANG25" s="232"/>
      <c r="ANH25" s="232"/>
      <c r="ANI25" s="232"/>
      <c r="ANJ25" s="232"/>
      <c r="ANK25" s="232"/>
      <c r="ANL25" s="232"/>
      <c r="ANM25" s="232"/>
      <c r="ANN25" s="232"/>
      <c r="ANO25" s="232"/>
      <c r="ANP25" s="232"/>
      <c r="ANQ25" s="232"/>
      <c r="ANR25" s="232"/>
      <c r="ANS25" s="232"/>
      <c r="ANT25" s="232"/>
      <c r="ANU25" s="232"/>
      <c r="ANV25" s="232"/>
      <c r="ANW25" s="232"/>
      <c r="ANX25" s="232"/>
      <c r="ANY25" s="232"/>
      <c r="ANZ25" s="232"/>
      <c r="AOA25" s="232"/>
      <c r="AOB25" s="232"/>
      <c r="AOC25" s="232"/>
      <c r="AOD25" s="232"/>
      <c r="AOE25" s="232"/>
      <c r="AOF25" s="232"/>
      <c r="AOG25" s="232"/>
    </row>
    <row r="26" spans="1:1073" ht="8" customHeight="1"/>
    <row r="27" spans="1:1073" s="238" customFormat="1" ht="55.5" customHeight="1">
      <c r="A27" s="235"/>
      <c r="B27" s="235"/>
      <c r="C27" s="2126" t="str">
        <f>"*"&amp;Dictionary!B572&amp;IF(SEGPMC_Flag="","",CHAR(10)&amp;SE_CAT_A_NAME&amp;CHAR(10)&amp;SE_CAT_B_NAME&amp;CHAR(10)&amp;SE_CAT_C_NAME&amp;CHAR(10)&amp;SE_CAT_SMALL_NAME)&amp;IF(GOIPJM_Flag="","",CHAR(10)&amp;IF_CAT_A_NAME&amp;CHAR(10)&amp;IF_CAT_B_NAME&amp;CHAR(10)&amp;IF_CAT_C_NAME&amp;CHAR(10)&amp;IF_CAT_D_NAME&amp;CHAR(10)&amp;IF_CAT_E_NAME)</f>
        <v xml:space="preserve">*Verfügbare PM-Kategories / -Domänen:
Teilprojekt
Projekt
Programm
Portfolio
</v>
      </c>
      <c r="D27" s="2126" t="str">
        <f>"**"&amp;IF(COV!D87="",Dictionary!B576,Dictionary!B577)</f>
        <v>**Erlaubte Rollen: 
PJM: Projektmanager
PGM: Programm-Manager
PFM: Projektportfolio-Manager
CPM: Kaufmännischer Projektmanager
TPM: Technischer Projektmanager
Sub-PM: Teilprojektleiter
WPM: Arbeitspaketverantwortlicher
PDO: Product Owner
PMO: Project Management Office
FPM: Fachlicher Projekt Manager
SCO: SCRUM-Master</v>
      </c>
      <c r="E27" s="2126"/>
      <c r="F27" s="2126"/>
      <c r="G27" s="2125" t="str">
        <f>Dictionary!B574</f>
        <v>Hinweis: 
Die Gesamtdauer Ihrer PM-Erfahrung endet mit dem auf dem Deckblatt angegebenen Zertifizierungsdatum. PM-Erfahrungen, die nach dem Zertifizierungsdatum enden, können eingetragen werden, aber die Zeit nach dem Zertifizierungsdatum wird nicht auf die erforderliche Vorerfahrung angerechnet.</v>
      </c>
      <c r="H27" s="602" t="str">
        <f>Dictionary!B566</f>
        <v>Kumulierte Nettomonate in führender PM-Rolle:</v>
      </c>
      <c r="I27" s="603">
        <f>IF(COV!E12="",0,SUM(Tabelle1[weighted Duration '[months']]))</f>
        <v>0</v>
      </c>
      <c r="J27" s="236"/>
      <c r="K27" s="236"/>
      <c r="L27" s="202"/>
      <c r="M27" s="235"/>
      <c r="N27" s="237"/>
      <c r="O27" s="202"/>
      <c r="P27" s="235"/>
      <c r="R27" s="579"/>
    </row>
    <row r="28" spans="1:1073" s="238" customFormat="1" ht="55.5" customHeight="1">
      <c r="A28" s="235"/>
      <c r="B28" s="235"/>
      <c r="C28" s="2126"/>
      <c r="D28" s="2126"/>
      <c r="E28" s="2126"/>
      <c r="F28" s="2126"/>
      <c r="G28" s="2125"/>
      <c r="H28" s="606" t="str">
        <f>IF(RE_CERT="",IF(APPLICATION_LVL=COV!V66,Dictionary!B567,IF(APPLICATION_LVL=COV!V65,Dictionary!B569,IF(APPLICATION_LVL=COV!V64,Dictionary!B570,"LVL ERROR"))),Dictionary!B568)</f>
        <v>60 Monate im Durchschnitt über 12 Jahre in Direktoren-Rolle:</v>
      </c>
      <c r="I28" s="604">
        <f>IF(RE_CERT="",IF(APPLICATION_LVL=COV!V66,I27/36,IF(APPLICATION_LVL=COV!V65,I27/60,IF(APPLICATION_LVL=COV!V64,I27/60,0))),I27/30)</f>
        <v>0</v>
      </c>
      <c r="J28" s="236"/>
      <c r="K28" s="236"/>
      <c r="L28" s="202"/>
      <c r="M28" s="235"/>
      <c r="N28" s="239"/>
      <c r="O28" s="202"/>
      <c r="P28" s="235"/>
      <c r="R28" s="579"/>
    </row>
    <row r="29" spans="1:1073" s="238" customFormat="1" ht="55.5" customHeight="1">
      <c r="A29" s="235"/>
      <c r="B29" s="235"/>
      <c r="C29" s="2126"/>
      <c r="D29" s="2126"/>
      <c r="E29" s="2126"/>
      <c r="F29" s="2126"/>
      <c r="G29" s="2125"/>
      <c r="H29" s="236"/>
      <c r="I29" s="236"/>
      <c r="J29" s="236"/>
      <c r="K29" s="236"/>
      <c r="L29" s="236"/>
      <c r="M29" s="235"/>
      <c r="N29" s="237"/>
      <c r="O29" s="202"/>
      <c r="P29" s="202"/>
      <c r="R29" s="579"/>
    </row>
    <row r="30" spans="1:1073" s="238" customFormat="1" ht="16">
      <c r="A30" s="190"/>
      <c r="B30" s="190"/>
      <c r="C30" s="190"/>
      <c r="D30" s="190"/>
      <c r="E30" s="190"/>
      <c r="F30" s="190"/>
      <c r="G30" s="190"/>
      <c r="H30" s="190"/>
      <c r="I30" s="236"/>
      <c r="J30" s="236"/>
      <c r="K30" s="236"/>
      <c r="L30" s="236"/>
      <c r="M30" s="236"/>
      <c r="N30" s="236"/>
      <c r="O30" s="235"/>
      <c r="P30" s="235"/>
      <c r="R30" s="579"/>
    </row>
    <row r="31" spans="1:1073" s="238" customFormat="1" ht="16">
      <c r="A31" s="190"/>
      <c r="B31" s="2054"/>
      <c r="C31" s="2054"/>
      <c r="D31" s="2054"/>
      <c r="E31" s="190"/>
      <c r="F31" s="190"/>
      <c r="G31" s="190"/>
      <c r="H31" s="190"/>
      <c r="I31" s="236"/>
      <c r="J31" s="236"/>
      <c r="K31" s="236"/>
      <c r="L31" s="236"/>
      <c r="M31" s="236"/>
      <c r="N31" s="236"/>
      <c r="O31" s="235"/>
      <c r="P31" s="235"/>
      <c r="R31" s="579"/>
    </row>
    <row r="32" spans="1:1073" s="238" customFormat="1" ht="17" thickBot="1">
      <c r="A32" s="190"/>
      <c r="B32" s="460"/>
      <c r="C32" s="460"/>
      <c r="D32" s="460"/>
      <c r="E32" s="460"/>
      <c r="F32" s="460"/>
      <c r="G32" s="460"/>
      <c r="H32" s="460"/>
      <c r="I32" s="460"/>
      <c r="J32" s="460"/>
      <c r="K32" s="460"/>
      <c r="L32" s="460"/>
      <c r="M32" s="460"/>
      <c r="N32" s="460"/>
      <c r="O32" s="460"/>
      <c r="P32" s="460"/>
      <c r="R32" s="579"/>
    </row>
    <row r="33" spans="2:16" ht="16.25" customHeight="1">
      <c r="B33" s="70"/>
      <c r="O33" s="70"/>
      <c r="P33" s="465" t="s">
        <v>105</v>
      </c>
    </row>
    <row r="36" spans="2:16" ht="17.25" hidden="1" customHeight="1"/>
    <row r="37" spans="2:16" hidden="1">
      <c r="C37" s="1970" t="s">
        <v>249</v>
      </c>
      <c r="D37" s="2023"/>
      <c r="E37" s="1971"/>
      <c r="G37" s="1827" t="s">
        <v>4117</v>
      </c>
    </row>
    <row r="38" spans="2:16" hidden="1">
      <c r="C38" s="240" t="str">
        <f>Dictionary!B25</f>
        <v>Teilprojekt</v>
      </c>
      <c r="D38" s="1828" t="s">
        <v>970</v>
      </c>
      <c r="E38" s="241" t="s">
        <v>1026</v>
      </c>
      <c r="G38" s="1828"/>
    </row>
    <row r="39" spans="2:16" hidden="1">
      <c r="C39" s="240" t="str">
        <f>Dictionary!B26</f>
        <v>Projekt</v>
      </c>
      <c r="D39" s="1828" t="s">
        <v>1024</v>
      </c>
      <c r="E39" s="241" t="s">
        <v>1027</v>
      </c>
      <c r="G39" s="1827" t="str">
        <f>IF(GC_Flag="","",IF(NOT(GOIPJM_Flag=""),EXP!C44,IF(NOT(SEGPMC_Flag=""),SE_CAT_A_NAME,"")))</f>
        <v/>
      </c>
    </row>
    <row r="40" spans="2:16" hidden="1">
      <c r="C40" s="240" t="str">
        <f>Dictionary!B27</f>
        <v>Programm</v>
      </c>
      <c r="D40" s="1828" t="s">
        <v>1025</v>
      </c>
      <c r="E40" s="241"/>
      <c r="G40" s="1828" t="str">
        <f>IF(GC_Flag="","",IF(NOT(GOIPJM_Flag=""),EXP!C45,IF(NOT(SEGPMC_Flag=""),SE_CAT_B_NAME,"")))</f>
        <v/>
      </c>
    </row>
    <row r="41" spans="2:16" hidden="1">
      <c r="C41" s="240" t="str">
        <f>Dictionary!B28</f>
        <v>Portfolio</v>
      </c>
      <c r="D41" s="1828" t="s">
        <v>729</v>
      </c>
      <c r="E41" s="241"/>
      <c r="G41" s="1828" t="str">
        <f>IF(GC_Flag="","",IF(NOT(GOIPJM_Flag=""),EXP!C46,IF(NOT(SEGPMC_Flag=""),SE_CAT_C_NAME,"")))</f>
        <v/>
      </c>
    </row>
    <row r="42" spans="2:16" hidden="1">
      <c r="C42" s="240" t="str">
        <f>IF(PMO_MODE="","",Dictionary!B29)</f>
        <v/>
      </c>
      <c r="D42" s="1828" t="s">
        <v>730</v>
      </c>
      <c r="E42" s="241"/>
      <c r="G42" s="1828" t="str">
        <f>IF(GC_Flag="","",IF(NOT(GOIPJM_Flag=""),EXP!C47,IF(NOT(SEGPMC_Flag=""),SE_CAT_SMALL_NAME,"")))</f>
        <v/>
      </c>
    </row>
    <row r="43" spans="2:16" hidden="1">
      <c r="C43" s="240"/>
      <c r="D43" s="1828" t="s">
        <v>3377</v>
      </c>
      <c r="E43" s="241"/>
      <c r="G43" s="1829" t="str">
        <f>IF(GC_Flag="","",IF(NOT(GOIPJM_Flag=""),EXP!C48,IF(NOT(SEGPMC_Flag=""),SE_CAT_SMALL_NAME,"")))</f>
        <v/>
      </c>
    </row>
    <row r="44" spans="2:16" hidden="1">
      <c r="B44" s="2129" t="s">
        <v>4128</v>
      </c>
      <c r="C44" s="1830" t="str">
        <f>IF(GOIPJM_Flag="","","IFX Class A Project")</f>
        <v/>
      </c>
      <c r="D44" s="1827" t="str">
        <f>IF(COV!D87="","WPM","")</f>
        <v>WPM</v>
      </c>
      <c r="E44" s="241"/>
      <c r="G44" s="1828"/>
    </row>
    <row r="45" spans="2:16" hidden="1">
      <c r="B45" s="2129"/>
      <c r="C45" s="240" t="str">
        <f>IF(GOIPJM_Flag="","","IFX Class B Project")</f>
        <v/>
      </c>
      <c r="D45" s="1828" t="str">
        <f>IF(LD_MODE="","","TEAM")</f>
        <v/>
      </c>
      <c r="E45" s="241"/>
      <c r="G45" s="1828"/>
    </row>
    <row r="46" spans="2:16" hidden="1">
      <c r="B46" s="2129"/>
      <c r="C46" s="240" t="str">
        <f>IF(GOIPJM_Flag="","","IFX Class C Project")</f>
        <v/>
      </c>
      <c r="D46" s="1828" t="s">
        <v>1083</v>
      </c>
      <c r="E46" s="241"/>
      <c r="G46" s="1828"/>
    </row>
    <row r="47" spans="2:16" hidden="1">
      <c r="B47" s="2129"/>
      <c r="C47" s="240" t="str">
        <f>IF(GOIPJM_Flag="","","IFX Class D Project")</f>
        <v/>
      </c>
      <c r="D47" s="1828" t="str">
        <f>IF(COV!D87="","PMO","")</f>
        <v>PMO</v>
      </c>
      <c r="E47" s="241"/>
      <c r="G47" s="1828"/>
    </row>
    <row r="48" spans="2:16" hidden="1">
      <c r="B48" s="2129"/>
      <c r="C48" s="240" t="str">
        <f>IF(GOIPJM_Flag="","","IFX Class E Project")</f>
        <v/>
      </c>
      <c r="D48" s="1828" t="s">
        <v>3433</v>
      </c>
      <c r="E48" s="241"/>
      <c r="G48" s="1828"/>
    </row>
    <row r="49" spans="2:7" hidden="1">
      <c r="B49" s="2129"/>
      <c r="C49" s="242"/>
      <c r="D49" s="1829" t="s">
        <v>1082</v>
      </c>
      <c r="E49" s="241"/>
      <c r="G49" s="1828"/>
    </row>
    <row r="50" spans="2:7" hidden="1">
      <c r="C50" s="240"/>
      <c r="D50" s="1828"/>
      <c r="E50" s="241"/>
      <c r="G50" s="1828"/>
    </row>
    <row r="51" spans="2:7" hidden="1">
      <c r="B51" s="2129" t="s">
        <v>4129</v>
      </c>
      <c r="C51" s="1830" t="str">
        <f>IF(SEGPMC_Flag="","","SE CAT A Project")</f>
        <v/>
      </c>
      <c r="D51" s="1827"/>
      <c r="E51" s="241"/>
      <c r="G51" s="1828"/>
    </row>
    <row r="52" spans="2:7" hidden="1">
      <c r="B52" s="2129"/>
      <c r="C52" s="240" t="str">
        <f>IF(SEGPMC_Flag="","","SE CAT B Project")</f>
        <v/>
      </c>
      <c r="D52" s="1828"/>
      <c r="E52" s="241"/>
      <c r="G52" s="1828"/>
    </row>
    <row r="53" spans="2:7" hidden="1">
      <c r="B53" s="2129"/>
      <c r="C53" s="240" t="str">
        <f>IF(SEGPMC_Flag="","","SE CAT C Project")</f>
        <v/>
      </c>
      <c r="D53" s="1828"/>
      <c r="E53" s="241"/>
      <c r="G53" s="1828"/>
    </row>
    <row r="54" spans="2:7" hidden="1">
      <c r="B54" s="2129"/>
      <c r="C54" s="242" t="str">
        <f>IF(SEGPMC_Flag="","","SE CAT Small Project")</f>
        <v/>
      </c>
      <c r="D54" s="1829"/>
      <c r="E54" s="241"/>
      <c r="G54" s="1828"/>
    </row>
    <row r="55" spans="2:7" hidden="1">
      <c r="C55" s="240"/>
      <c r="D55" s="1828"/>
      <c r="E55" s="241"/>
      <c r="G55" s="1828"/>
    </row>
    <row r="56" spans="2:7" hidden="1">
      <c r="C56" s="240"/>
      <c r="D56" s="1828"/>
      <c r="E56" s="241"/>
      <c r="G56" s="1828"/>
    </row>
    <row r="57" spans="2:7" hidden="1">
      <c r="C57" s="240"/>
      <c r="D57" s="1828"/>
      <c r="E57" s="241"/>
      <c r="G57" s="1828"/>
    </row>
    <row r="58" spans="2:7" hidden="1">
      <c r="C58" s="242"/>
      <c r="D58" s="1829"/>
      <c r="E58" s="185"/>
      <c r="G58" s="1829"/>
    </row>
    <row r="59" spans="2:7" hidden="1"/>
    <row r="60" spans="2:7" hidden="1"/>
    <row r="61" spans="2:7" hidden="1"/>
    <row r="62" spans="2:7" hidden="1"/>
    <row r="63" spans="2:7" hidden="1"/>
    <row r="64" spans="2:7" hidden="1"/>
    <row r="65" hidden="1"/>
  </sheetData>
  <sheetProtection algorithmName="SHA-512" hashValue="vJ8zZtFf77GJlb+XSLeNu5ZdSrZMAk1+vfhPtvQIH0YHBPHpGAF7nbe2xvlCTDAYXKjhY6FzuZW2pK/lUX7iKg==" saltValue="i1N7EaE3FDjzHSlLTK+uRA==" spinCount="100000" sheet="1" objects="1" scenarios="1" selectLockedCells="1"/>
  <mergeCells count="11">
    <mergeCell ref="A6:A25"/>
    <mergeCell ref="C27:C29"/>
    <mergeCell ref="B6:L6"/>
    <mergeCell ref="B44:B49"/>
    <mergeCell ref="B51:B54"/>
    <mergeCell ref="B3:P3"/>
    <mergeCell ref="B31:D31"/>
    <mergeCell ref="B5:P5"/>
    <mergeCell ref="G27:G29"/>
    <mergeCell ref="C37:E37"/>
    <mergeCell ref="D27:F29"/>
  </mergeCells>
  <dataValidations count="5">
    <dataValidation type="list" allowBlank="1" showInputMessage="1" showErrorMessage="1" sqref="H9:H25" xr:uid="{00000000-0002-0000-0A00-000000000000}">
      <formula1>$D$38:$D$57</formula1>
    </dataValidation>
    <dataValidation type="list" allowBlank="1" showInputMessage="1" showErrorMessage="1" sqref="D9:D25" xr:uid="{00000000-0002-0000-0A00-000001000000}">
      <formula1>$C$38:$C$58</formula1>
    </dataValidation>
    <dataValidation type="list" allowBlank="1" showInputMessage="1" showErrorMessage="1" errorTitle="Incorrect value" error="Please select either ESR 1, ESR or blank._x000a_Bitte entweder ESR 1 oder ESR auswählen, oder leer lassen." promptTitle="ESR Indicator / ESR Indikator" prompt="EN: Choose ESR 1 for the title project of your report, and ESR for other projects covered. Not relevant for re-certification._x000a__x000a_DE: Wählen Sie ESR1 für das Titel-Projekt Ihres Reports, und ESR für jedes weitere Projekt im ESR. Nicht relevant für Re-Zert." sqref="J9:J25" xr:uid="{00000000-0002-0000-0A00-000002000000}">
      <formula1>$E$38:$E$39</formula1>
    </dataValidation>
    <dataValidation type="date" operator="lessThan" allowBlank="1" showInputMessage="1" showErrorMessage="1" error="EN_x000a_End must occur after start._x000a__x000a_DE_x000a_Das Ende muss nach dem Start kommen._x000a_ " sqref="E9:E25" xr:uid="{00000000-0002-0000-0A00-000003000000}">
      <formula1>F9</formula1>
    </dataValidation>
    <dataValidation type="date" operator="greaterThan" allowBlank="1" showInputMessage="1" showErrorMessage="1" error="EN_x000a_End must occur after start._x000a__x000a_DE_x000a_Das Ende muss nach dem Start kommen._x000a_ " sqref="F9:F25" xr:uid="{00000000-0002-0000-0A00-000004000000}">
      <formula1>E9</formula1>
    </dataValidation>
  </dataValidations>
  <pageMargins left="0.7" right="0.7" top="0.78740157499999996" bottom="0.78740157499999996" header="0.3" footer="0.3"/>
  <pageSetup paperSize="9" scale="46" fitToHeight="0" orientation="landscape" r:id="rId1"/>
  <headerFooter>
    <oddFooter>&amp;LDok.-Nr./Rev./Datum
F01         /  03   / 04.12.2020
&amp;F&amp;C&amp;U&amp;A&amp;RSeite &amp;P / &amp;N</oddFooter>
  </headerFooter>
  <drawing r:id="rId2"/>
  <legacyDrawing r:id="rId3"/>
  <tableParts count="1">
    <tablePart r:id="rId4"/>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theme="9"/>
  </sheetPr>
  <dimension ref="B1:E68"/>
  <sheetViews>
    <sheetView topLeftCell="A4" zoomScale="130" zoomScaleNormal="130" workbookViewId="0">
      <selection activeCell="E8" sqref="E8"/>
    </sheetView>
  </sheetViews>
  <sheetFormatPr baseColWidth="10" defaultColWidth="11.5" defaultRowHeight="15"/>
  <cols>
    <col min="1" max="1" width="2.5" style="89" customWidth="1"/>
    <col min="2" max="2" width="45.5" style="89" customWidth="1"/>
    <col min="3" max="3" width="22.83203125" style="89" customWidth="1"/>
    <col min="4" max="4" width="32" style="89" customWidth="1"/>
    <col min="5" max="5" width="22.83203125" style="89" customWidth="1"/>
    <col min="6" max="6" width="3.1640625" style="89" customWidth="1"/>
    <col min="7" max="7" width="20" style="89" customWidth="1"/>
    <col min="8" max="9" width="11.5" style="89"/>
    <col min="10" max="10" width="8.5" style="89" customWidth="1"/>
    <col min="11" max="16384" width="11.5" style="89"/>
  </cols>
  <sheetData>
    <row r="1" spans="2:5" ht="15.75" customHeight="1" thickBot="1">
      <c r="B1" s="497" t="str">
        <f ca="1">COV!C20</f>
        <v>DECKBLATT BITTE VOLLSTÄNDIG AUSFÜLLEN!</v>
      </c>
      <c r="C1" s="459"/>
      <c r="D1" s="459"/>
      <c r="E1" s="459"/>
    </row>
    <row r="2" spans="2:5" ht="5.25" customHeight="1" thickTop="1"/>
    <row r="3" spans="2:5" ht="21">
      <c r="B3" s="2046" t="str">
        <f>Dictionary!B614&amp;'(7b) Project List'!A9</f>
        <v>Steckbrief für Management Erfahrung 1</v>
      </c>
      <c r="C3" s="2046"/>
      <c r="D3" s="2046"/>
      <c r="E3" s="2046"/>
    </row>
    <row r="4" spans="2:5" ht="21">
      <c r="B4" s="488"/>
      <c r="C4" s="488"/>
      <c r="D4" s="488"/>
      <c r="E4" s="488"/>
    </row>
    <row r="5" spans="2:5" ht="21">
      <c r="B5" s="489" t="str">
        <f>EXP!B5</f>
        <v xml:space="preserve"> , Level A, Projekt Management, Erstzertifizierung</v>
      </c>
      <c r="C5" s="490"/>
      <c r="D5" s="490"/>
      <c r="E5" s="490"/>
    </row>
    <row r="7" spans="2:5">
      <c r="B7" s="2013" t="str">
        <f>Dictionary!B618</f>
        <v>Kopfzeile</v>
      </c>
      <c r="C7" s="2013"/>
      <c r="D7" s="2013"/>
      <c r="E7" s="2013"/>
    </row>
    <row r="8" spans="2:5" ht="16.5" customHeight="1">
      <c r="B8" s="503" t="str">
        <f>EXP!D9&amp;" "&amp;Dictionary!B615</f>
        <v xml:space="preserve"> Name </v>
      </c>
      <c r="C8" s="504" t="str">
        <f>IF('(7b) Project List'!B9="","",'(7b) Project List'!B9)</f>
        <v/>
      </c>
      <c r="D8" s="508" t="str">
        <f>EXP!D9&amp;" "&amp;Dictionary!B616</f>
        <v xml:space="preserve"> Nummer </v>
      </c>
      <c r="E8" s="509"/>
    </row>
    <row r="9" spans="2:5" ht="16.5" customHeight="1">
      <c r="B9" s="510" t="str">
        <f>Dictionary!B617</f>
        <v>Kunde/AuftraggeberIn:</v>
      </c>
      <c r="C9" s="2138"/>
      <c r="D9" s="2138"/>
      <c r="E9" s="511"/>
    </row>
    <row r="10" spans="2:5" ht="16.5" customHeight="1"/>
    <row r="11" spans="2:5" ht="16.5" customHeight="1">
      <c r="B11" s="2013" t="str">
        <f>Dictionary!B620</f>
        <v>Governance &amp; eigene Rolle</v>
      </c>
      <c r="C11" s="2013"/>
      <c r="D11" s="2013"/>
      <c r="E11" s="2013"/>
    </row>
    <row r="12" spans="2:5" ht="16.5" customHeight="1">
      <c r="B12" s="503" t="str">
        <f>Dictionary!B621</f>
        <v>Eigene Rolle:</v>
      </c>
      <c r="C12" s="504" t="str">
        <f>IF('(7b) Project List'!E9="","",'(7b) Project List'!E9)</f>
        <v/>
      </c>
      <c r="D12" s="2130" t="str">
        <f>Dictionary!B622</f>
        <v>Anmerkungen:</v>
      </c>
      <c r="E12" s="2131"/>
    </row>
    <row r="13" spans="2:5" ht="16.5" customHeight="1">
      <c r="B13" s="505" t="str">
        <f>Dictionary!B623</f>
        <v>Verantwortung für den Umfang/die Ergebnisse:</v>
      </c>
      <c r="C13" s="506"/>
      <c r="D13" s="2142"/>
      <c r="E13" s="2143"/>
    </row>
    <row r="14" spans="2:5" ht="16.5" customHeight="1">
      <c r="B14" s="505" t="str">
        <f>Dictionary!B624</f>
        <v>Verantwortung für die Terminplanung:</v>
      </c>
      <c r="C14" s="506"/>
      <c r="D14" s="2142"/>
      <c r="E14" s="2143"/>
    </row>
    <row r="15" spans="2:5" ht="16.5" customHeight="1">
      <c r="B15" s="505" t="str">
        <f>Dictionary!B625</f>
        <v>Verantwortung für das Budget:</v>
      </c>
      <c r="C15" s="506"/>
      <c r="D15" s="2142"/>
      <c r="E15" s="2143"/>
    </row>
    <row r="16" spans="2:5" ht="16.5" customHeight="1">
      <c r="B16" s="561" t="str">
        <f>EXP!D9&amp;" "&amp;Dictionary!B627</f>
        <v xml:space="preserve"> Typ</v>
      </c>
      <c r="C16" s="507"/>
      <c r="D16" s="2142"/>
      <c r="E16" s="2143"/>
    </row>
    <row r="17" spans="2:5" ht="16.5" customHeight="1">
      <c r="B17" s="561" t="str">
        <f>Dictionary!B626</f>
        <v>Art der PM Organisation</v>
      </c>
      <c r="C17" s="507"/>
      <c r="D17" s="2142"/>
      <c r="E17" s="2143"/>
    </row>
    <row r="18" spans="2:5" ht="16.5" customHeight="1">
      <c r="B18" s="2139" t="str">
        <f>Dictionary!B628</f>
        <v>Kurze Beschreibung Ihrer eigenen Rolle, Verantwortung und Aktivitäten; wem sind Sie unterstellt?</v>
      </c>
      <c r="C18" s="2140"/>
      <c r="D18" s="2140"/>
      <c r="E18" s="2141"/>
    </row>
    <row r="19" spans="2:5" ht="57" customHeight="1">
      <c r="B19" s="2149"/>
      <c r="C19" s="2150"/>
      <c r="D19" s="2150"/>
      <c r="E19" s="2151"/>
    </row>
    <row r="20" spans="2:5" ht="18" customHeight="1"/>
    <row r="21" spans="2:5" ht="16.5" customHeight="1">
      <c r="B21" s="2013" t="str">
        <f>Dictionary!B630</f>
        <v>Allgemeine Informationen und Beschreibung</v>
      </c>
      <c r="C21" s="2013"/>
      <c r="D21" s="2013"/>
      <c r="E21" s="2013"/>
    </row>
    <row r="22" spans="2:5" ht="16.5" customHeight="1">
      <c r="B22" s="2157" t="str">
        <f>Dictionary!B631</f>
        <v>Kurze Beschreibung der KPI, Ergebnisse und Liefergegenstände:</v>
      </c>
      <c r="C22" s="2158"/>
      <c r="D22" s="2158"/>
      <c r="E22" s="2159"/>
    </row>
    <row r="23" spans="2:5" ht="57" customHeight="1">
      <c r="B23" s="2160"/>
      <c r="C23" s="2161"/>
      <c r="D23" s="2161"/>
      <c r="E23" s="2162"/>
    </row>
    <row r="24" spans="2:5" ht="16.5" customHeight="1">
      <c r="B24" s="2139" t="str">
        <f>Dictionary!B632</f>
        <v>Kurze Beschreibung des Umfangs und der Ziele, für die Sie verantwortlich sind:</v>
      </c>
      <c r="C24" s="2140"/>
      <c r="D24" s="2140"/>
      <c r="E24" s="2141"/>
    </row>
    <row r="25" spans="2:5" ht="57" customHeight="1">
      <c r="B25" s="2160"/>
      <c r="C25" s="2161"/>
      <c r="D25" s="2161"/>
      <c r="E25" s="2162"/>
    </row>
    <row r="26" spans="2:5" ht="16.5" customHeight="1">
      <c r="B26" s="2139" t="str">
        <f>Dictionary!B633</f>
        <v>Informationen über erhebliche Planabweichungen und/oder kritische Managementsituationen:</v>
      </c>
      <c r="C26" s="2140"/>
      <c r="D26" s="2140"/>
      <c r="E26" s="2141"/>
    </row>
    <row r="27" spans="2:5" ht="54.75" customHeight="1">
      <c r="B27" s="2146"/>
      <c r="C27" s="2152"/>
      <c r="D27" s="2152"/>
      <c r="E27" s="2153"/>
    </row>
    <row r="28" spans="2:5" ht="18" customHeight="1"/>
    <row r="29" spans="2:5" ht="18" customHeight="1">
      <c r="B29" s="2013" t="str">
        <f>EXP!D9&amp;" "&amp;Dictionary!B635</f>
        <v xml:space="preserve"> Planung</v>
      </c>
      <c r="C29" s="2013"/>
      <c r="D29" s="2013"/>
      <c r="E29" s="2013"/>
    </row>
    <row r="30" spans="2:5" ht="16.5" customHeight="1">
      <c r="B30" s="512" t="str">
        <f>Dictionary!B636</f>
        <v>Beginn des Vorhabens:</v>
      </c>
      <c r="C30" s="513" t="str">
        <f>C31</f>
        <v/>
      </c>
      <c r="D30" s="508" t="str">
        <f>Dictionary!B642</f>
        <v>Ende des Vorhabens:</v>
      </c>
      <c r="E30" s="514" t="str">
        <f>E31</f>
        <v/>
      </c>
    </row>
    <row r="31" spans="2:5" ht="16.5" customHeight="1">
      <c r="B31" s="515" t="str">
        <f>Dictionary!B637</f>
        <v>Ihr Beginn in dieser Rolle:</v>
      </c>
      <c r="C31" s="516" t="str">
        <f>IF('(7b) Project List'!F9="","",'(7b) Project List'!F9)</f>
        <v/>
      </c>
      <c r="D31" s="517" t="str">
        <f>Dictionary!B643</f>
        <v>Ende Ihrer Beteiligung:</v>
      </c>
      <c r="E31" s="518" t="str">
        <f>IF('(7b) Project List'!G9="","",'(7b) Project List'!G9)</f>
        <v/>
      </c>
    </row>
    <row r="32" spans="2:5" ht="16.5" customHeight="1">
      <c r="B32" s="2139" t="str">
        <f>IF(ISNUMBER(SEARCH("ortfolio",B29)),Dictionary!B640,Dictionary!B638)</f>
        <v>Phasen:</v>
      </c>
      <c r="C32" s="2140"/>
      <c r="D32" s="2140" t="str">
        <f>IF(ISNUMBER(SEARCH("ortfolio",B29)),Dictionary!B641,Dictionary!B639)</f>
        <v>Meilensteine:</v>
      </c>
      <c r="E32" s="2141"/>
    </row>
    <row r="33" spans="2:5">
      <c r="B33" s="2154"/>
      <c r="C33" s="2142"/>
      <c r="D33" s="2133"/>
      <c r="E33" s="2143"/>
    </row>
    <row r="34" spans="2:5">
      <c r="B34" s="2155"/>
      <c r="C34" s="2142"/>
      <c r="D34" s="2142"/>
      <c r="E34" s="2143"/>
    </row>
    <row r="35" spans="2:5">
      <c r="B35" s="2155"/>
      <c r="C35" s="2142"/>
      <c r="D35" s="2142"/>
      <c r="E35" s="2143"/>
    </row>
    <row r="36" spans="2:5">
      <c r="B36" s="2155"/>
      <c r="C36" s="2142"/>
      <c r="D36" s="2142"/>
      <c r="E36" s="2143"/>
    </row>
    <row r="37" spans="2:5">
      <c r="B37" s="2155"/>
      <c r="C37" s="2142"/>
      <c r="D37" s="2142"/>
      <c r="E37" s="2143"/>
    </row>
    <row r="38" spans="2:5">
      <c r="B38" s="2155"/>
      <c r="C38" s="2142"/>
      <c r="D38" s="2142"/>
      <c r="E38" s="2143"/>
    </row>
    <row r="39" spans="2:5">
      <c r="B39" s="2155"/>
      <c r="C39" s="2142"/>
      <c r="D39" s="2142"/>
      <c r="E39" s="2143"/>
    </row>
    <row r="40" spans="2:5">
      <c r="B40" s="2155"/>
      <c r="C40" s="2142"/>
      <c r="D40" s="2142"/>
      <c r="E40" s="2143"/>
    </row>
    <row r="41" spans="2:5">
      <c r="B41" s="2155"/>
      <c r="C41" s="2142"/>
      <c r="D41" s="2142"/>
      <c r="E41" s="2143"/>
    </row>
    <row r="42" spans="2:5">
      <c r="B42" s="2156"/>
      <c r="C42" s="2150"/>
      <c r="D42" s="2150"/>
      <c r="E42" s="2151"/>
    </row>
    <row r="44" spans="2:5" ht="18" customHeight="1">
      <c r="B44" s="2132" t="str">
        <f>IF(PMO_MODE="",Dictionary!B645,IF(ISNUMBER(FIND(EXP!C42,B8)),Dictionary!B646,Dictionary!B645))</f>
        <v>Ressourcen, für die Sie direkt verantwortlich sind</v>
      </c>
      <c r="C44" s="2132"/>
      <c r="D44" s="2132"/>
      <c r="E44" s="2132"/>
    </row>
    <row r="45" spans="2:5" ht="16.5" customHeight="1">
      <c r="B45" s="519"/>
      <c r="C45" s="524" t="str">
        <f>Dictionary!B647</f>
        <v>Wert</v>
      </c>
      <c r="D45" s="2130" t="str">
        <f>Dictionary!B648</f>
        <v>Anmerkungen</v>
      </c>
      <c r="E45" s="2131"/>
    </row>
    <row r="46" spans="2:5" ht="16">
      <c r="B46" s="520" t="str">
        <f>Dictionary!B649</f>
        <v>Anzahl der Ihnen direkt unterstellten Teammitglieder:</v>
      </c>
      <c r="C46" s="1720"/>
      <c r="D46" s="2133"/>
      <c r="E46" s="2134"/>
    </row>
    <row r="47" spans="2:5" ht="32">
      <c r="B47" s="520" t="str">
        <f>Dictionary!B650</f>
        <v>Anzahl der Mitglieder des Teams gemäß dem Organigramm (inkl. Sie selbst):</v>
      </c>
      <c r="C47" s="1720"/>
      <c r="D47" s="2133"/>
      <c r="E47" s="2134"/>
    </row>
    <row r="48" spans="2:5" ht="16.5" customHeight="1">
      <c r="B48" s="521" t="str">
        <f>Dictionary!B651</f>
        <v>Gesamtaufwand [Personentage]:</v>
      </c>
      <c r="C48" s="1720"/>
      <c r="D48" s="2133"/>
      <c r="E48" s="2134"/>
    </row>
    <row r="49" spans="2:5" ht="16.5" customHeight="1">
      <c r="B49" s="522" t="str">
        <f>Dictionary!B652</f>
        <v>Externer Arbeitsaufwand [Personentage]:</v>
      </c>
      <c r="C49" s="1720"/>
      <c r="D49" s="2133"/>
      <c r="E49" s="2134"/>
    </row>
    <row r="50" spans="2:5" ht="16.5" customHeight="1">
      <c r="B50" s="522" t="str">
        <f>Dictionary!B653</f>
        <v>Interner Arbeitsaufwand [Personentage]:</v>
      </c>
      <c r="C50" s="1720"/>
      <c r="D50" s="2133"/>
      <c r="E50" s="2134"/>
    </row>
    <row r="51" spans="2:5" ht="16.5" customHeight="1">
      <c r="B51" s="522" t="str">
        <f>Dictionary!B654</f>
        <v>Enthaltener PM-Aufwand [Personentage]:</v>
      </c>
      <c r="C51" s="1720"/>
      <c r="D51" s="2133"/>
      <c r="E51" s="2134"/>
    </row>
    <row r="52" spans="2:5" ht="16.5" customHeight="1">
      <c r="B52" s="522" t="str">
        <f>Dictionary!B655</f>
        <v>Budget (Aufwand) unter Ihrer Verantwortung [€]:</v>
      </c>
      <c r="C52" s="1721"/>
      <c r="D52" s="2133"/>
      <c r="E52" s="2134"/>
    </row>
    <row r="53" spans="2:5" ht="16.5" customHeight="1">
      <c r="B53" s="523" t="str">
        <f>Dictionary!B656</f>
        <v>Budget (Sachmittel) unter Ihrer Verantwortung [€]:</v>
      </c>
      <c r="C53" s="1722"/>
      <c r="D53" s="2144"/>
      <c r="E53" s="2145"/>
    </row>
    <row r="54" spans="2:5" ht="16.5" customHeight="1">
      <c r="B54" s="1615" t="str">
        <f>Dictionary!B657</f>
        <v>Gesamtbudget unter Ihrer Verantwortung [€]:</v>
      </c>
      <c r="C54" s="1723">
        <f>C52+C53</f>
        <v>0</v>
      </c>
      <c r="D54" s="1724"/>
      <c r="E54" s="1725"/>
    </row>
    <row r="55" spans="2:5" ht="18" customHeight="1"/>
    <row r="56" spans="2:5" ht="18" customHeight="1">
      <c r="B56" s="2013" t="str">
        <f>Dictionary!B658</f>
        <v xml:space="preserve">Anmerkungen </v>
      </c>
      <c r="C56" s="2013"/>
      <c r="D56" s="2013"/>
      <c r="E56" s="2013"/>
    </row>
    <row r="57" spans="2:5" ht="16.5" customHeight="1">
      <c r="B57" s="2157" t="str">
        <f>Dictionary!B659</f>
        <v>Anmerkungen zur Komplexität:</v>
      </c>
      <c r="C57" s="2158"/>
      <c r="D57" s="2158"/>
      <c r="E57" s="2159"/>
    </row>
    <row r="58" spans="2:5">
      <c r="B58" s="2135"/>
      <c r="C58" s="2136"/>
      <c r="D58" s="2136"/>
      <c r="E58" s="2137"/>
    </row>
    <row r="59" spans="2:5">
      <c r="B59" s="2135"/>
      <c r="C59" s="2136"/>
      <c r="D59" s="2136"/>
      <c r="E59" s="2137"/>
    </row>
    <row r="60" spans="2:5" ht="27" customHeight="1">
      <c r="B60" s="2135"/>
      <c r="C60" s="2136"/>
      <c r="D60" s="2136"/>
      <c r="E60" s="2137"/>
    </row>
    <row r="61" spans="2:5" ht="16.5" customHeight="1">
      <c r="B61" s="2139" t="str">
        <f>Dictionary!B660</f>
        <v>Allgemeine Anmerkungen:</v>
      </c>
      <c r="C61" s="2140"/>
      <c r="D61" s="2140"/>
      <c r="E61" s="2141"/>
    </row>
    <row r="62" spans="2:5" ht="15" customHeight="1">
      <c r="B62" s="2135"/>
      <c r="C62" s="2136"/>
      <c r="D62" s="2136"/>
      <c r="E62" s="2137"/>
    </row>
    <row r="63" spans="2:5">
      <c r="B63" s="2135"/>
      <c r="C63" s="2136"/>
      <c r="D63" s="2136"/>
      <c r="E63" s="2137"/>
    </row>
    <row r="64" spans="2:5">
      <c r="B64" s="2135"/>
      <c r="C64" s="2136"/>
      <c r="D64" s="2136"/>
      <c r="E64" s="2137"/>
    </row>
    <row r="65" spans="2:5" ht="41" customHeight="1">
      <c r="B65" s="2146"/>
      <c r="C65" s="2147"/>
      <c r="D65" s="2147"/>
      <c r="E65" s="2148"/>
    </row>
    <row r="67" spans="2:5" ht="17" thickBot="1">
      <c r="B67" s="460"/>
      <c r="C67" s="460"/>
      <c r="D67" s="460"/>
      <c r="E67" s="460"/>
    </row>
    <row r="68" spans="2:5">
      <c r="E68" s="464" t="s">
        <v>105</v>
      </c>
    </row>
  </sheetData>
  <sheetProtection algorithmName="SHA-512" hashValue="e2g0mgpm/x+Okaf0Xgz0a7OIjoF58Oabohl0KFpTaquHCNsaiSUnqzyTtepK35mlmbEJm7Z1AJfpsFxdJqn8Nw==" saltValue="peIZTONAzajS+28W7uUt4g==" spinCount="100000" sheet="1" objects="1" scenarios="1" selectLockedCells="1"/>
  <mergeCells count="39">
    <mergeCell ref="B61:E61"/>
    <mergeCell ref="B62:E65"/>
    <mergeCell ref="B19:E19"/>
    <mergeCell ref="B26:E26"/>
    <mergeCell ref="B27:E27"/>
    <mergeCell ref="B32:C32"/>
    <mergeCell ref="D32:E32"/>
    <mergeCell ref="B33:C42"/>
    <mergeCell ref="D33:E42"/>
    <mergeCell ref="B57:E57"/>
    <mergeCell ref="B24:E24"/>
    <mergeCell ref="B25:E25"/>
    <mergeCell ref="B22:E22"/>
    <mergeCell ref="B23:E23"/>
    <mergeCell ref="D48:E48"/>
    <mergeCell ref="D51:E51"/>
    <mergeCell ref="B3:E3"/>
    <mergeCell ref="B58:E60"/>
    <mergeCell ref="C9:D9"/>
    <mergeCell ref="B18:E18"/>
    <mergeCell ref="B56:E56"/>
    <mergeCell ref="D52:E52"/>
    <mergeCell ref="B29:E29"/>
    <mergeCell ref="B21:E21"/>
    <mergeCell ref="B7:E7"/>
    <mergeCell ref="D14:E14"/>
    <mergeCell ref="D15:E15"/>
    <mergeCell ref="D13:E13"/>
    <mergeCell ref="D16:E16"/>
    <mergeCell ref="D17:E17"/>
    <mergeCell ref="D53:E53"/>
    <mergeCell ref="D50:E50"/>
    <mergeCell ref="B11:E11"/>
    <mergeCell ref="D12:E12"/>
    <mergeCell ref="B44:E44"/>
    <mergeCell ref="D45:E45"/>
    <mergeCell ref="D49:E49"/>
    <mergeCell ref="D47:E47"/>
    <mergeCell ref="D46:E46"/>
  </mergeCells>
  <conditionalFormatting sqref="C16:C17">
    <cfRule type="notContainsBlanks" dxfId="437" priority="2">
      <formula>LEN(TRIM(C16))&gt;0</formula>
    </cfRule>
  </conditionalFormatting>
  <conditionalFormatting sqref="E8 C9:D9 B19:E19 B23:E23 B25:E25 B27:E27 C30 E30 B33:E42 C46:D54 B58:E60 B62:E65">
    <cfRule type="notContainsBlanks" dxfId="436" priority="3">
      <formula>LEN(TRIM(B8))&gt;0</formula>
    </cfRule>
  </conditionalFormatting>
  <dataValidations count="7">
    <dataValidation type="decimal" allowBlank="1" showInputMessage="1" showErrorMessage="1" error="EN: Enter a number_x000a_DE: Geben Sie eine Zahl ein" prompt="EN: Effort in person-days_x000a_DE: Aufwand in Personentagen" sqref="C49:C51" xr:uid="{00000000-0002-0000-0B00-000000000000}">
      <formula1>1</formula1>
      <formula2>1000000000</formula2>
    </dataValidation>
    <dataValidation type="decimal" allowBlank="1" showInputMessage="1" showErrorMessage="1" error="EN: Enter a number _x000a_DE: Geben Sie eine Zahl ein" prompt="EN: Effort in person-days_x000a_DE: Aufwand in Personentagen" sqref="C48:C49" xr:uid="{00000000-0002-0000-0B00-000001000000}">
      <formula1>1</formula1>
      <formula2>1000000000</formula2>
    </dataValidation>
    <dataValidation type="decimal" allowBlank="1" showInputMessage="1" showErrorMessage="1" error="EN: please enter a number_x000a_DE: Bitte geben Sie eine Zahl ein" prompt="EN: enter a Euro value_x000a_DE Geben Sie einen Wert in Euro an" sqref="C52:C53" xr:uid="{00000000-0002-0000-0B00-000002000000}">
      <formula1>1</formula1>
      <formula2>1000000000000</formula2>
    </dataValidation>
    <dataValidation type="whole" allowBlank="1" showInputMessage="1" showErrorMessage="1" error="EN: please enter a whole number_x000a_DE: Bitte geben Sie eine ganze Zahl ein" prompt="EN: please enter a valid number_x000a_DE: Bitte geben Sie eine plausible Zahl ein" sqref="C47" xr:uid="{00000000-0002-0000-0B00-000003000000}">
      <formula1>1</formula1>
      <formula2>1000000</formula2>
    </dataValidation>
    <dataValidation allowBlank="1" error="EN: Enter a number _x000a_DE: Geben Sie eine Zahl ein" prompt="EN: Effort in person-days_x000a_DE: Aufwand in Personentagen" sqref="D46:E54" xr:uid="{00000000-0002-0000-0B00-000004000000}"/>
    <dataValidation allowBlank="1" showInputMessage="1" showErrorMessage="1" error="EN: please enter a number_x000a_DE: Bitte geben Sie eine Zahl ein" prompt="EN: enter a Euro value_x000a_DE Geben Sie einen Wert in Euro an" sqref="C54" xr:uid="{00000000-0002-0000-0B00-000005000000}"/>
    <dataValidation type="whole" allowBlank="1" showInputMessage="1" showErrorMessage="1" error="EN: please enter a whole number_x000a_DE: Bitte geben Sie eine ganze Zahl ein" prompt="EN: please enter a valid number_x000a_DE: Bitte geben Sie eine plausible Zahl ein" sqref="C46" xr:uid="{00000000-0002-0000-0B00-000006000000}">
      <formula1>0</formula1>
      <formula2>1000000</formula2>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ignoredErrors>
    <ignoredError sqref="C30 E30" unlockedFormula="1"/>
    <ignoredError sqref="D30" formula="1"/>
  </ignoredErrors>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B00-000007000000}">
          <x14:formula1>
            <xm:f>'Control Values'!$B$18:$B$19</xm:f>
          </x14:formula1>
          <xm:sqref>C13:C15</xm:sqref>
        </x14:dataValidation>
        <x14:dataValidation type="list" allowBlank="1" showInputMessage="1" showErrorMessage="1" xr:uid="{00000000-0002-0000-0B00-000008000000}">
          <x14:formula1>
            <xm:f>'Control Values'!$B$23:$B$26</xm:f>
          </x14:formula1>
          <xm:sqref>C16</xm:sqref>
        </x14:dataValidation>
        <x14:dataValidation type="list" allowBlank="1" showInputMessage="1" showErrorMessage="1" xr:uid="{00000000-0002-0000-0B00-000009000000}">
          <x14:formula1>
            <xm:f>'Control Values'!$B$29:$B$34</xm:f>
          </x14:formula1>
          <xm:sqref>C17</xm:sqref>
        </x14:dataValidation>
        <x14:dataValidation type="list" allowBlank="1" showInputMessage="1" showErrorMessage="1" xr:uid="{00000000-0002-0000-0B00-00000A000000}">
          <x14:formula1>
            <xm:f>'Control Values'!$B$14:$B$15</xm:f>
          </x14:formula1>
          <xm:sqref>E9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218B3-FE76-4692-A1B2-7FB2A88832DB}">
  <sheetPr codeName="Sheet71">
    <tabColor theme="9"/>
  </sheetPr>
  <dimension ref="A1:S60"/>
  <sheetViews>
    <sheetView zoomScale="80" zoomScaleNormal="80" workbookViewId="0">
      <selection activeCell="C10" sqref="C10"/>
    </sheetView>
  </sheetViews>
  <sheetFormatPr baseColWidth="10" defaultColWidth="11.5" defaultRowHeight="15"/>
  <cols>
    <col min="1" max="1" width="8.6640625" style="89" customWidth="1"/>
    <col min="2" max="2" width="11.5" style="89" customWidth="1"/>
    <col min="3" max="3" width="44.33203125" style="89" customWidth="1"/>
    <col min="4" max="4" width="23.1640625" style="89" customWidth="1"/>
    <col min="5" max="5" width="37.5" style="89" customWidth="1"/>
    <col min="6" max="6" width="32" style="89" customWidth="1"/>
    <col min="7" max="7" width="11.6640625" style="89" customWidth="1"/>
    <col min="8" max="11" width="32" style="89" customWidth="1"/>
    <col min="12" max="13" width="32.5" style="89" customWidth="1"/>
    <col min="14" max="14" width="26.1640625" style="89" customWidth="1"/>
    <col min="15" max="15" width="20" style="89" customWidth="1"/>
    <col min="16" max="17" width="11.5" style="89"/>
    <col min="18" max="18" width="8.5" style="89" customWidth="1"/>
    <col min="19" max="16384" width="11.5" style="89"/>
  </cols>
  <sheetData>
    <row r="1" spans="1:19" ht="19.5" customHeight="1" thickBot="1">
      <c r="B1" s="497" t="str">
        <f ca="1">COV!C20</f>
        <v>DECKBLATT BITTE VOLLSTÄNDIG AUSFÜLLEN!</v>
      </c>
      <c r="C1" s="459"/>
      <c r="D1" s="459"/>
      <c r="E1" s="459"/>
      <c r="F1" s="459"/>
      <c r="G1" s="459"/>
      <c r="H1" s="459"/>
      <c r="I1" s="459"/>
      <c r="J1" s="459"/>
      <c r="K1" s="459"/>
      <c r="L1" s="459"/>
      <c r="M1" s="459"/>
    </row>
    <row r="2" spans="1:19" ht="5.25" customHeight="1" thickTop="1"/>
    <row r="3" spans="1:19" ht="21">
      <c r="B3" s="2046" t="str">
        <f>Dictionary!B663&amp;" "&amp;'(7b) Project List'!A9&amp;", "&amp;EXP!D9&amp;": "&amp;EXP!C9</f>
        <v xml:space="preserve">Projektliste für Eintrag 1, : </v>
      </c>
      <c r="C3" s="2046"/>
      <c r="D3" s="2046"/>
      <c r="E3" s="2046"/>
      <c r="F3" s="2046"/>
      <c r="G3" s="2046"/>
      <c r="H3" s="2046"/>
      <c r="I3" s="2046"/>
      <c r="J3" s="2046"/>
      <c r="K3" s="2046"/>
      <c r="L3" s="2046"/>
      <c r="M3" s="2046"/>
    </row>
    <row r="4" spans="1:19" ht="21">
      <c r="B4" s="488"/>
      <c r="C4" s="488"/>
      <c r="D4" s="488"/>
      <c r="E4" s="488"/>
      <c r="F4" s="488"/>
      <c r="G4" s="488"/>
      <c r="H4" s="488"/>
      <c r="I4" s="488"/>
      <c r="J4" s="488"/>
      <c r="K4" s="488"/>
      <c r="L4" s="488"/>
      <c r="M4" s="488"/>
    </row>
    <row r="5" spans="1:19" ht="21">
      <c r="B5" s="489" t="str">
        <f>EXP!B5</f>
        <v xml:space="preserve"> , Level A, Projekt Management, Erstzertifizierung</v>
      </c>
      <c r="C5" s="490"/>
      <c r="D5" s="490"/>
      <c r="E5" s="490"/>
      <c r="F5" s="490"/>
      <c r="G5" s="490"/>
      <c r="H5" s="490"/>
      <c r="I5" s="490"/>
      <c r="J5" s="490"/>
      <c r="K5" s="490"/>
      <c r="L5" s="490"/>
      <c r="M5" s="490"/>
    </row>
    <row r="6" spans="1:19" ht="15" customHeight="1">
      <c r="A6" s="1284"/>
      <c r="B6" s="554"/>
      <c r="C6" s="554"/>
      <c r="D6" s="554"/>
      <c r="E6" s="554"/>
      <c r="F6" s="554"/>
      <c r="G6" s="554"/>
      <c r="H6" s="554"/>
      <c r="I6" s="554"/>
      <c r="J6" s="554"/>
      <c r="K6" s="554"/>
      <c r="L6" s="554"/>
      <c r="M6" s="554"/>
      <c r="N6" s="554"/>
      <c r="O6" s="554"/>
      <c r="P6" s="554"/>
      <c r="Q6" s="554"/>
      <c r="R6" s="554"/>
      <c r="S6" s="554"/>
    </row>
    <row r="7" spans="1:19" ht="24">
      <c r="A7" s="1284"/>
      <c r="B7" s="2171" t="str">
        <f>Dictionary!B665</f>
        <v>Nr.</v>
      </c>
      <c r="C7" s="2166" t="str">
        <f>Dictionary!B666</f>
        <v>Projektname</v>
      </c>
      <c r="D7" s="2166" t="str">
        <f>Dictionary!B667</f>
        <v>PM Domäne</v>
      </c>
      <c r="E7" s="2166" t="s">
        <v>269</v>
      </c>
      <c r="F7" s="2166" t="str">
        <f>Dictionary!B676</f>
        <v>Projekt- / Programm Typ</v>
      </c>
      <c r="G7" s="2173" t="str">
        <f>Dictionary!B677</f>
        <v>Strategisch</v>
      </c>
      <c r="H7" s="2166" t="str">
        <f>Dictionary!B670</f>
        <v>Dauer</v>
      </c>
      <c r="I7" s="2166"/>
      <c r="J7" s="2166" t="str">
        <f>Dictionary!B671</f>
        <v>Gesamtaufwand [Personentage]:</v>
      </c>
      <c r="K7" s="2166"/>
      <c r="L7" s="2166" t="str">
        <f>Dictionary!B672</f>
        <v>Gesamtbudget [€]:</v>
      </c>
      <c r="M7" s="2175"/>
      <c r="N7" s="554"/>
      <c r="O7" s="554"/>
      <c r="P7" s="554"/>
      <c r="Q7" s="554"/>
      <c r="R7" s="554"/>
      <c r="S7" s="554"/>
    </row>
    <row r="8" spans="1:19" ht="24">
      <c r="A8" s="1284"/>
      <c r="B8" s="2172"/>
      <c r="C8" s="2167"/>
      <c r="D8" s="2167"/>
      <c r="E8" s="2167"/>
      <c r="F8" s="2167"/>
      <c r="G8" s="2174"/>
      <c r="H8" s="1305" t="str">
        <f>Dictionary!B668</f>
        <v>Startdatum</v>
      </c>
      <c r="I8" s="1305" t="str">
        <f>Dictionary!B669</f>
        <v>Endtermin</v>
      </c>
      <c r="J8" s="1305" t="str">
        <f>Dictionary!B673</f>
        <v>geplant</v>
      </c>
      <c r="K8" s="1305" t="str">
        <f>Dictionary!B674</f>
        <v>realisiert</v>
      </c>
      <c r="L8" s="1305" t="str">
        <f>Dictionary!B673</f>
        <v>geplant</v>
      </c>
      <c r="M8" s="1306" t="str">
        <f>Dictionary!B674</f>
        <v>realisiert</v>
      </c>
      <c r="N8" s="554"/>
      <c r="O8" s="554"/>
      <c r="P8" s="554"/>
      <c r="Q8" s="554"/>
      <c r="R8" s="554"/>
      <c r="S8" s="554"/>
    </row>
    <row r="9" spans="1:19" ht="24" hidden="1">
      <c r="A9" s="1284"/>
      <c r="B9" s="1304" t="s">
        <v>2826</v>
      </c>
      <c r="C9" s="1297" t="s">
        <v>2827</v>
      </c>
      <c r="D9" s="1297" t="s">
        <v>2837</v>
      </c>
      <c r="E9" s="1297" t="s">
        <v>2828</v>
      </c>
      <c r="F9" s="1297" t="s">
        <v>2829</v>
      </c>
      <c r="G9" s="1298" t="s">
        <v>2830</v>
      </c>
      <c r="H9" s="1299" t="s">
        <v>2831</v>
      </c>
      <c r="I9" s="1299" t="s">
        <v>2832</v>
      </c>
      <c r="J9" s="1300" t="s">
        <v>2833</v>
      </c>
      <c r="K9" s="1300" t="s">
        <v>2834</v>
      </c>
      <c r="L9" s="1300" t="s">
        <v>2835</v>
      </c>
      <c r="M9" s="1300" t="s">
        <v>2836</v>
      </c>
      <c r="N9" s="554"/>
      <c r="O9" s="554"/>
      <c r="P9" s="554"/>
      <c r="Q9" s="554"/>
      <c r="R9" s="554"/>
      <c r="S9" s="554"/>
    </row>
    <row r="10" spans="1:19" ht="24">
      <c r="A10" s="1284"/>
      <c r="B10" s="1292">
        <v>1</v>
      </c>
      <c r="C10" s="1291"/>
      <c r="D10" s="1291"/>
      <c r="E10" s="1291"/>
      <c r="F10" s="1291"/>
      <c r="G10" s="1296"/>
      <c r="H10" s="1307"/>
      <c r="I10" s="1308"/>
      <c r="J10" s="1321"/>
      <c r="K10" s="1321"/>
      <c r="L10" s="1293"/>
      <c r="M10" s="1293"/>
      <c r="N10" s="554"/>
      <c r="O10" s="554"/>
      <c r="P10" s="554"/>
      <c r="Q10" s="554"/>
      <c r="R10" s="554"/>
      <c r="S10" s="554"/>
    </row>
    <row r="11" spans="1:19" ht="24">
      <c r="A11" s="1284"/>
      <c r="B11" s="1292">
        <v>2</v>
      </c>
      <c r="C11" s="1291"/>
      <c r="D11" s="1291"/>
      <c r="E11" s="1291"/>
      <c r="F11" s="1291"/>
      <c r="G11" s="1296"/>
      <c r="H11" s="1309"/>
      <c r="I11" s="1310"/>
      <c r="J11" s="1321"/>
      <c r="K11" s="1321"/>
      <c r="L11" s="1293"/>
      <c r="M11" s="1293"/>
      <c r="N11" s="554"/>
      <c r="O11" s="554"/>
      <c r="P11" s="554"/>
      <c r="Q11" s="554"/>
      <c r="R11" s="554"/>
      <c r="S11" s="554"/>
    </row>
    <row r="12" spans="1:19" ht="24">
      <c r="A12" s="1284"/>
      <c r="B12" s="1292">
        <v>3</v>
      </c>
      <c r="C12" s="1291"/>
      <c r="D12" s="1291"/>
      <c r="E12" s="1291"/>
      <c r="F12" s="1291"/>
      <c r="G12" s="1296"/>
      <c r="H12" s="1309"/>
      <c r="I12" s="1310"/>
      <c r="J12" s="1321"/>
      <c r="K12" s="1321"/>
      <c r="L12" s="1293"/>
      <c r="M12" s="1293"/>
      <c r="N12" s="554"/>
      <c r="O12" s="554"/>
      <c r="P12" s="554"/>
      <c r="Q12" s="554"/>
      <c r="R12" s="554"/>
      <c r="S12" s="554"/>
    </row>
    <row r="13" spans="1:19" ht="24">
      <c r="A13" s="1284"/>
      <c r="B13" s="1292">
        <v>4</v>
      </c>
      <c r="C13" s="1291"/>
      <c r="D13" s="1291"/>
      <c r="E13" s="1291"/>
      <c r="F13" s="1291"/>
      <c r="G13" s="1296"/>
      <c r="H13" s="1309"/>
      <c r="I13" s="1310"/>
      <c r="J13" s="1321"/>
      <c r="K13" s="1321"/>
      <c r="L13" s="1293"/>
      <c r="M13" s="1293"/>
      <c r="N13" s="554"/>
      <c r="O13" s="554"/>
      <c r="P13" s="554"/>
      <c r="Q13" s="554"/>
      <c r="R13" s="554"/>
      <c r="S13" s="554"/>
    </row>
    <row r="14" spans="1:19" ht="24">
      <c r="A14" s="1284"/>
      <c r="B14" s="1292">
        <v>5</v>
      </c>
      <c r="C14" s="1291"/>
      <c r="D14" s="1291"/>
      <c r="E14" s="1291"/>
      <c r="F14" s="1291"/>
      <c r="G14" s="1296"/>
      <c r="H14" s="1309"/>
      <c r="I14" s="1310"/>
      <c r="J14" s="1321"/>
      <c r="K14" s="1321"/>
      <c r="L14" s="1293"/>
      <c r="M14" s="1293"/>
      <c r="N14" s="554"/>
      <c r="O14" s="554"/>
      <c r="P14" s="554"/>
      <c r="Q14" s="554"/>
      <c r="R14" s="554"/>
      <c r="S14" s="554"/>
    </row>
    <row r="15" spans="1:19" ht="24">
      <c r="A15" s="1284"/>
      <c r="B15" s="1292">
        <v>6</v>
      </c>
      <c r="C15" s="1291"/>
      <c r="D15" s="1291"/>
      <c r="E15" s="1291"/>
      <c r="F15" s="1291"/>
      <c r="G15" s="1296"/>
      <c r="H15" s="1309"/>
      <c r="I15" s="1310"/>
      <c r="J15" s="1321"/>
      <c r="K15" s="1321"/>
      <c r="L15" s="1293"/>
      <c r="M15" s="1293"/>
      <c r="N15" s="554"/>
      <c r="O15" s="554"/>
      <c r="P15" s="554"/>
      <c r="Q15" s="554"/>
      <c r="R15" s="554"/>
      <c r="S15" s="554"/>
    </row>
    <row r="16" spans="1:19" ht="24">
      <c r="A16" s="1284"/>
      <c r="B16" s="1292">
        <v>7</v>
      </c>
      <c r="C16" s="1291"/>
      <c r="D16" s="1291"/>
      <c r="E16" s="1291"/>
      <c r="F16" s="1291"/>
      <c r="G16" s="1296"/>
      <c r="H16" s="1309"/>
      <c r="I16" s="1310"/>
      <c r="J16" s="1321"/>
      <c r="K16" s="1321"/>
      <c r="L16" s="1293"/>
      <c r="M16" s="1293"/>
      <c r="N16" s="554"/>
      <c r="O16" s="554"/>
      <c r="P16" s="554"/>
      <c r="Q16" s="554"/>
      <c r="R16" s="554"/>
      <c r="S16" s="554"/>
    </row>
    <row r="17" spans="1:19" ht="24">
      <c r="A17" s="1284"/>
      <c r="B17" s="1292">
        <v>8</v>
      </c>
      <c r="C17" s="1291"/>
      <c r="D17" s="1291"/>
      <c r="E17" s="1291"/>
      <c r="F17" s="1291"/>
      <c r="G17" s="1296"/>
      <c r="H17" s="1309"/>
      <c r="I17" s="1310"/>
      <c r="J17" s="1321"/>
      <c r="K17" s="1321"/>
      <c r="L17" s="1293"/>
      <c r="M17" s="1293"/>
      <c r="N17" s="554"/>
      <c r="O17" s="554"/>
      <c r="P17" s="554"/>
      <c r="Q17" s="554"/>
      <c r="R17" s="554"/>
      <c r="S17" s="554"/>
    </row>
    <row r="18" spans="1:19" ht="24">
      <c r="A18" s="1284"/>
      <c r="B18" s="1292">
        <v>9</v>
      </c>
      <c r="C18" s="1291"/>
      <c r="D18" s="1291"/>
      <c r="E18" s="1291"/>
      <c r="F18" s="1291"/>
      <c r="G18" s="1296"/>
      <c r="H18" s="1309"/>
      <c r="I18" s="1310"/>
      <c r="J18" s="1321"/>
      <c r="K18" s="1321"/>
      <c r="L18" s="1293"/>
      <c r="M18" s="1293"/>
      <c r="N18" s="554"/>
      <c r="O18" s="554"/>
      <c r="P18" s="554"/>
      <c r="Q18" s="554"/>
      <c r="R18" s="554"/>
      <c r="S18" s="554"/>
    </row>
    <row r="19" spans="1:19" ht="24">
      <c r="A19" s="1284"/>
      <c r="B19" s="1292">
        <v>10</v>
      </c>
      <c r="C19" s="1291"/>
      <c r="D19" s="1291"/>
      <c r="E19" s="1291"/>
      <c r="F19" s="1291"/>
      <c r="G19" s="1296"/>
      <c r="H19" s="1309"/>
      <c r="I19" s="1310"/>
      <c r="J19" s="1321"/>
      <c r="K19" s="1321"/>
      <c r="L19" s="1293"/>
      <c r="M19" s="1293"/>
      <c r="N19" s="554"/>
      <c r="O19" s="554"/>
      <c r="P19" s="554"/>
      <c r="Q19" s="554"/>
      <c r="R19" s="554"/>
      <c r="S19" s="554"/>
    </row>
    <row r="20" spans="1:19" ht="24">
      <c r="A20" s="1284"/>
      <c r="B20" s="1292">
        <v>11</v>
      </c>
      <c r="C20" s="1291"/>
      <c r="D20" s="1291"/>
      <c r="E20" s="1291"/>
      <c r="F20" s="1291"/>
      <c r="G20" s="1296"/>
      <c r="H20" s="1309"/>
      <c r="I20" s="1310"/>
      <c r="J20" s="1321"/>
      <c r="K20" s="1321"/>
      <c r="L20" s="1293"/>
      <c r="M20" s="1293"/>
      <c r="N20" s="554"/>
      <c r="O20" s="554"/>
      <c r="P20" s="554"/>
      <c r="Q20" s="554"/>
      <c r="R20" s="554"/>
      <c r="S20" s="554"/>
    </row>
    <row r="21" spans="1:19" ht="24">
      <c r="A21" s="1284"/>
      <c r="B21" s="1292">
        <v>12</v>
      </c>
      <c r="C21" s="1291"/>
      <c r="D21" s="1291"/>
      <c r="E21" s="1291"/>
      <c r="F21" s="1291"/>
      <c r="G21" s="1296"/>
      <c r="H21" s="1309"/>
      <c r="I21" s="1310"/>
      <c r="J21" s="1321"/>
      <c r="K21" s="1321"/>
      <c r="L21" s="1293"/>
      <c r="M21" s="1293"/>
      <c r="N21" s="554"/>
      <c r="O21" s="554"/>
      <c r="P21" s="554"/>
      <c r="Q21" s="554"/>
      <c r="R21" s="554"/>
      <c r="S21" s="554"/>
    </row>
    <row r="22" spans="1:19" ht="24">
      <c r="A22" s="1284"/>
      <c r="B22" s="1292">
        <v>13</v>
      </c>
      <c r="C22" s="1291"/>
      <c r="D22" s="1291"/>
      <c r="E22" s="1291"/>
      <c r="F22" s="1291"/>
      <c r="G22" s="1296"/>
      <c r="H22" s="1309"/>
      <c r="I22" s="1310"/>
      <c r="J22" s="1321"/>
      <c r="K22" s="1321"/>
      <c r="L22" s="1293"/>
      <c r="M22" s="1293"/>
      <c r="N22" s="554"/>
      <c r="O22" s="554"/>
      <c r="P22" s="554"/>
      <c r="Q22" s="554"/>
      <c r="R22" s="554"/>
      <c r="S22" s="554"/>
    </row>
    <row r="23" spans="1:19" ht="24">
      <c r="A23" s="1284"/>
      <c r="B23" s="1292">
        <v>14</v>
      </c>
      <c r="C23" s="1291"/>
      <c r="D23" s="1291"/>
      <c r="E23" s="1291"/>
      <c r="F23" s="1291"/>
      <c r="G23" s="1296"/>
      <c r="H23" s="1309"/>
      <c r="I23" s="1310"/>
      <c r="J23" s="1321"/>
      <c r="K23" s="1321"/>
      <c r="L23" s="1293"/>
      <c r="M23" s="1293"/>
      <c r="N23" s="554"/>
      <c r="O23" s="554"/>
      <c r="P23" s="554"/>
      <c r="Q23" s="554"/>
      <c r="R23" s="554"/>
      <c r="S23" s="554"/>
    </row>
    <row r="24" spans="1:19" ht="24">
      <c r="A24" s="1284"/>
      <c r="B24" s="1292">
        <v>15</v>
      </c>
      <c r="C24" s="1291"/>
      <c r="D24" s="1291"/>
      <c r="E24" s="1291"/>
      <c r="F24" s="1291"/>
      <c r="G24" s="1296"/>
      <c r="H24" s="1309"/>
      <c r="I24" s="1310"/>
      <c r="J24" s="1321"/>
      <c r="K24" s="1321"/>
      <c r="L24" s="1293"/>
      <c r="M24" s="1293"/>
      <c r="N24" s="554"/>
      <c r="O24" s="554"/>
      <c r="P24" s="554"/>
      <c r="Q24" s="554"/>
      <c r="R24" s="554"/>
      <c r="S24" s="554"/>
    </row>
    <row r="25" spans="1:19" ht="24">
      <c r="A25" s="1284"/>
      <c r="B25" s="1292">
        <v>16</v>
      </c>
      <c r="C25" s="1291"/>
      <c r="D25" s="1291"/>
      <c r="E25" s="1291"/>
      <c r="F25" s="1291"/>
      <c r="G25" s="1296"/>
      <c r="H25" s="1309"/>
      <c r="I25" s="1310"/>
      <c r="J25" s="1321"/>
      <c r="K25" s="1321"/>
      <c r="L25" s="1293"/>
      <c r="M25" s="1293"/>
      <c r="N25" s="554"/>
      <c r="O25" s="554"/>
      <c r="P25" s="554"/>
      <c r="Q25" s="554"/>
      <c r="R25" s="554"/>
      <c r="S25" s="554"/>
    </row>
    <row r="26" spans="1:19" ht="24">
      <c r="A26" s="1284"/>
      <c r="B26" s="1292">
        <v>17</v>
      </c>
      <c r="C26" s="1291"/>
      <c r="D26" s="1291"/>
      <c r="E26" s="1291"/>
      <c r="F26" s="1291"/>
      <c r="G26" s="1296"/>
      <c r="H26" s="1309"/>
      <c r="I26" s="1310"/>
      <c r="J26" s="1321"/>
      <c r="K26" s="1321"/>
      <c r="L26" s="1293"/>
      <c r="M26" s="1293"/>
      <c r="N26" s="554"/>
      <c r="O26" s="554"/>
      <c r="P26" s="554"/>
      <c r="Q26" s="554"/>
      <c r="R26" s="554"/>
      <c r="S26" s="554"/>
    </row>
    <row r="27" spans="1:19" ht="24">
      <c r="A27" s="1284"/>
      <c r="B27" s="1292">
        <v>18</v>
      </c>
      <c r="C27" s="1291"/>
      <c r="D27" s="1291"/>
      <c r="E27" s="1291"/>
      <c r="F27" s="1291"/>
      <c r="G27" s="1296"/>
      <c r="H27" s="1309"/>
      <c r="I27" s="1310"/>
      <c r="J27" s="1321"/>
      <c r="K27" s="1321"/>
      <c r="L27" s="1293"/>
      <c r="M27" s="1293"/>
      <c r="N27" s="554"/>
      <c r="O27" s="554"/>
      <c r="P27" s="554"/>
      <c r="Q27" s="554"/>
      <c r="R27" s="554"/>
      <c r="S27" s="554"/>
    </row>
    <row r="28" spans="1:19" ht="24">
      <c r="A28" s="1284"/>
      <c r="B28" s="1292">
        <v>19</v>
      </c>
      <c r="C28" s="1291"/>
      <c r="D28" s="1291"/>
      <c r="E28" s="1291"/>
      <c r="F28" s="1291"/>
      <c r="G28" s="1296"/>
      <c r="H28" s="1309"/>
      <c r="I28" s="1310"/>
      <c r="J28" s="1321"/>
      <c r="K28" s="1321"/>
      <c r="L28" s="1293"/>
      <c r="M28" s="1293"/>
      <c r="N28" s="554"/>
      <c r="O28" s="554"/>
      <c r="P28" s="554"/>
      <c r="Q28" s="554"/>
      <c r="R28" s="554"/>
      <c r="S28" s="554"/>
    </row>
    <row r="29" spans="1:19" ht="24">
      <c r="A29" s="1284"/>
      <c r="B29" s="1292">
        <v>20</v>
      </c>
      <c r="C29" s="1291"/>
      <c r="D29" s="1291"/>
      <c r="E29" s="1291"/>
      <c r="F29" s="1291"/>
      <c r="G29" s="1296"/>
      <c r="H29" s="1309"/>
      <c r="I29" s="1310"/>
      <c r="J29" s="1321"/>
      <c r="K29" s="1321"/>
      <c r="L29" s="1293"/>
      <c r="M29" s="1293"/>
      <c r="N29" s="554"/>
      <c r="O29" s="554"/>
      <c r="P29" s="554"/>
      <c r="Q29" s="554"/>
      <c r="R29" s="554"/>
      <c r="S29" s="554"/>
    </row>
    <row r="30" spans="1:19" ht="24">
      <c r="A30" s="1284"/>
      <c r="B30" s="1292">
        <v>21</v>
      </c>
      <c r="C30" s="1291"/>
      <c r="D30" s="1291"/>
      <c r="E30" s="1291"/>
      <c r="F30" s="1291"/>
      <c r="G30" s="1296"/>
      <c r="H30" s="1309"/>
      <c r="I30" s="1310"/>
      <c r="J30" s="1321"/>
      <c r="K30" s="1321"/>
      <c r="L30" s="1293"/>
      <c r="M30" s="1293"/>
      <c r="N30" s="554"/>
      <c r="O30" s="554"/>
      <c r="P30" s="554"/>
      <c r="Q30" s="554"/>
      <c r="R30" s="554"/>
      <c r="S30" s="554"/>
    </row>
    <row r="31" spans="1:19" ht="24">
      <c r="A31" s="1284"/>
      <c r="B31" s="1292">
        <v>22</v>
      </c>
      <c r="C31" s="1291"/>
      <c r="D31" s="1291"/>
      <c r="E31" s="1291"/>
      <c r="F31" s="1291"/>
      <c r="G31" s="1296"/>
      <c r="H31" s="1309"/>
      <c r="I31" s="1310"/>
      <c r="J31" s="1321"/>
      <c r="K31" s="1321"/>
      <c r="L31" s="1293"/>
      <c r="M31" s="1293"/>
      <c r="N31" s="554"/>
      <c r="O31" s="554"/>
      <c r="P31" s="554"/>
      <c r="Q31" s="554"/>
      <c r="R31" s="554"/>
      <c r="S31" s="554"/>
    </row>
    <row r="32" spans="1:19" ht="24">
      <c r="A32" s="1284"/>
      <c r="B32" s="1292">
        <v>23</v>
      </c>
      <c r="C32" s="1291"/>
      <c r="D32" s="1291"/>
      <c r="E32" s="1291"/>
      <c r="F32" s="1291"/>
      <c r="G32" s="1296"/>
      <c r="H32" s="1309"/>
      <c r="I32" s="1310"/>
      <c r="J32" s="1321"/>
      <c r="K32" s="1321"/>
      <c r="L32" s="1293"/>
      <c r="M32" s="1293"/>
      <c r="N32" s="554"/>
      <c r="O32" s="554"/>
      <c r="P32" s="554"/>
      <c r="Q32" s="554"/>
      <c r="R32" s="554"/>
      <c r="S32" s="554"/>
    </row>
    <row r="33" spans="1:19" ht="24">
      <c r="A33" s="1284"/>
      <c r="B33" s="1292">
        <v>24</v>
      </c>
      <c r="C33" s="1291"/>
      <c r="D33" s="1291"/>
      <c r="E33" s="1291"/>
      <c r="F33" s="1291"/>
      <c r="G33" s="1296"/>
      <c r="H33" s="1309"/>
      <c r="I33" s="1310"/>
      <c r="J33" s="1321"/>
      <c r="K33" s="1321"/>
      <c r="L33" s="1293"/>
      <c r="M33" s="1293"/>
      <c r="N33" s="554"/>
      <c r="O33" s="554"/>
      <c r="P33" s="554"/>
      <c r="Q33" s="554"/>
      <c r="R33" s="554"/>
      <c r="S33" s="554"/>
    </row>
    <row r="34" spans="1:19" ht="24">
      <c r="A34" s="1284"/>
      <c r="B34" s="1292">
        <v>25</v>
      </c>
      <c r="C34" s="1291"/>
      <c r="D34" s="1291"/>
      <c r="E34" s="1291"/>
      <c r="F34" s="1291"/>
      <c r="G34" s="1296"/>
      <c r="H34" s="1309"/>
      <c r="I34" s="1310"/>
      <c r="J34" s="1321"/>
      <c r="K34" s="1321"/>
      <c r="L34" s="1293"/>
      <c r="M34" s="1293"/>
      <c r="N34" s="554"/>
      <c r="O34" s="554"/>
      <c r="P34" s="554"/>
      <c r="Q34" s="554"/>
      <c r="R34" s="554"/>
      <c r="S34" s="554"/>
    </row>
    <row r="35" spans="1:19" ht="24">
      <c r="A35" s="1284"/>
      <c r="B35" s="1292">
        <v>26</v>
      </c>
      <c r="C35" s="1291"/>
      <c r="D35" s="1291"/>
      <c r="E35" s="1291"/>
      <c r="F35" s="1291"/>
      <c r="G35" s="1296"/>
      <c r="H35" s="1309"/>
      <c r="I35" s="1310"/>
      <c r="J35" s="1321"/>
      <c r="K35" s="1321"/>
      <c r="L35" s="1293"/>
      <c r="M35" s="1293"/>
      <c r="N35" s="554"/>
      <c r="O35" s="554"/>
      <c r="P35" s="554"/>
      <c r="Q35" s="554"/>
      <c r="R35" s="554"/>
      <c r="S35" s="554"/>
    </row>
    <row r="36" spans="1:19" ht="24">
      <c r="A36" s="1284"/>
      <c r="B36" s="1292">
        <v>27</v>
      </c>
      <c r="C36" s="1291"/>
      <c r="D36" s="1291"/>
      <c r="E36" s="1291"/>
      <c r="F36" s="1291"/>
      <c r="G36" s="1296"/>
      <c r="H36" s="1309"/>
      <c r="I36" s="1310"/>
      <c r="J36" s="1321"/>
      <c r="K36" s="1321"/>
      <c r="L36" s="1293"/>
      <c r="M36" s="1293"/>
      <c r="N36" s="554"/>
      <c r="O36" s="554"/>
      <c r="P36" s="554"/>
      <c r="Q36" s="554"/>
      <c r="R36" s="554"/>
      <c r="S36" s="554"/>
    </row>
    <row r="37" spans="1:19" ht="24">
      <c r="A37" s="1284"/>
      <c r="B37" s="1292">
        <v>28</v>
      </c>
      <c r="C37" s="1291"/>
      <c r="D37" s="1291"/>
      <c r="E37" s="1291"/>
      <c r="F37" s="1291"/>
      <c r="G37" s="1296"/>
      <c r="H37" s="1309"/>
      <c r="I37" s="1310"/>
      <c r="J37" s="1321"/>
      <c r="K37" s="1321"/>
      <c r="L37" s="1293"/>
      <c r="M37" s="1293"/>
      <c r="N37" s="554"/>
      <c r="O37" s="554"/>
      <c r="P37" s="554"/>
      <c r="Q37" s="554"/>
      <c r="R37" s="554"/>
      <c r="S37" s="554"/>
    </row>
    <row r="38" spans="1:19" ht="24">
      <c r="A38" s="1284"/>
      <c r="B38" s="1292">
        <v>29</v>
      </c>
      <c r="C38" s="1291"/>
      <c r="D38" s="1291"/>
      <c r="E38" s="1291"/>
      <c r="F38" s="1291"/>
      <c r="G38" s="1296"/>
      <c r="H38" s="1309"/>
      <c r="I38" s="1310"/>
      <c r="J38" s="1321"/>
      <c r="K38" s="1321"/>
      <c r="L38" s="1293"/>
      <c r="M38" s="1293"/>
      <c r="N38" s="554"/>
      <c r="O38" s="554"/>
      <c r="P38" s="554"/>
      <c r="Q38" s="554"/>
      <c r="R38" s="554"/>
      <c r="S38" s="554"/>
    </row>
    <row r="39" spans="1:19" ht="24">
      <c r="A39" s="1284"/>
      <c r="B39" s="1292">
        <v>30</v>
      </c>
      <c r="C39" s="1311"/>
      <c r="D39" s="1311"/>
      <c r="E39" s="1311"/>
      <c r="F39" s="1311"/>
      <c r="G39" s="1312"/>
      <c r="H39" s="1313"/>
      <c r="I39" s="1314"/>
      <c r="J39" s="1322"/>
      <c r="K39" s="1322"/>
      <c r="L39" s="1315"/>
      <c r="M39" s="1315"/>
      <c r="N39" s="554"/>
      <c r="O39" s="554"/>
      <c r="P39" s="554"/>
      <c r="Q39" s="554"/>
      <c r="R39" s="554"/>
      <c r="S39" s="554"/>
    </row>
    <row r="40" spans="1:19" ht="24">
      <c r="A40" s="1284"/>
      <c r="B40" s="1301"/>
      <c r="C40" s="2168" t="str">
        <f>Dictionary!B675</f>
        <v xml:space="preserve">Programm / Portfolio Verwaltung </v>
      </c>
      <c r="D40" s="2169"/>
      <c r="E40" s="2169"/>
      <c r="F40" s="2169"/>
      <c r="G40" s="2170"/>
      <c r="H40" s="1319"/>
      <c r="I40" s="1320"/>
      <c r="J40" s="1323"/>
      <c r="K40" s="1323"/>
      <c r="L40" s="1294"/>
      <c r="M40" s="1295"/>
      <c r="N40" s="554"/>
      <c r="O40" s="554"/>
      <c r="P40" s="554"/>
      <c r="Q40" s="554"/>
      <c r="R40" s="554"/>
      <c r="S40" s="554"/>
    </row>
    <row r="41" spans="1:19" ht="24">
      <c r="A41" s="1284"/>
      <c r="B41" s="1302"/>
      <c r="C41" s="1316"/>
      <c r="D41" s="1316"/>
      <c r="E41" s="1316"/>
      <c r="F41" s="1316"/>
      <c r="G41" s="1316"/>
      <c r="H41" s="2176" t="s">
        <v>2825</v>
      </c>
      <c r="I41" s="2176"/>
      <c r="J41" s="1317">
        <f>SUM(J9:J40)</f>
        <v>0</v>
      </c>
      <c r="K41" s="1317">
        <f>SUM(K9:K40)</f>
        <v>0</v>
      </c>
      <c r="L41" s="1318">
        <f>SUM(L9:L40)</f>
        <v>0</v>
      </c>
      <c r="M41" s="1318">
        <f>SUM(M9:M40)</f>
        <v>0</v>
      </c>
      <c r="N41" s="554"/>
      <c r="O41" s="554"/>
      <c r="P41" s="554"/>
      <c r="Q41" s="554"/>
      <c r="R41" s="554"/>
      <c r="S41" s="554"/>
    </row>
    <row r="42" spans="1:19" ht="24">
      <c r="B42" s="554"/>
      <c r="C42" s="554"/>
      <c r="D42" s="554"/>
      <c r="E42" s="554"/>
      <c r="F42" s="554"/>
      <c r="G42" s="554"/>
      <c r="H42" s="554"/>
      <c r="I42" s="554"/>
      <c r="J42" s="554"/>
      <c r="K42" s="554"/>
      <c r="L42" s="554"/>
      <c r="M42" s="554"/>
    </row>
    <row r="43" spans="1:19" ht="17" thickBot="1">
      <c r="B43" s="460"/>
      <c r="C43" s="460"/>
      <c r="D43" s="460"/>
      <c r="E43" s="460"/>
      <c r="F43" s="460"/>
      <c r="G43" s="460"/>
      <c r="H43" s="460"/>
      <c r="I43" s="460"/>
      <c r="J43" s="460"/>
      <c r="K43" s="460"/>
      <c r="L43" s="460"/>
      <c r="M43" s="460"/>
    </row>
    <row r="44" spans="1:19">
      <c r="M44" s="464" t="s">
        <v>105</v>
      </c>
    </row>
    <row r="50" spans="3:6" hidden="1"/>
    <row r="51" spans="3:6" hidden="1">
      <c r="C51" s="2163" t="s">
        <v>249</v>
      </c>
      <c r="D51" s="2164"/>
      <c r="E51" s="2164"/>
      <c r="F51" s="2165"/>
    </row>
    <row r="52" spans="3:6" hidden="1">
      <c r="C52" s="240"/>
      <c r="D52" s="172"/>
      <c r="E52" s="241"/>
      <c r="F52" s="241"/>
    </row>
    <row r="53" spans="3:6" hidden="1">
      <c r="C53" s="1905" t="s">
        <v>970</v>
      </c>
      <c r="D53" s="172" t="s">
        <v>1037</v>
      </c>
      <c r="E53" s="241"/>
      <c r="F53" s="241"/>
    </row>
    <row r="54" spans="3:6" hidden="1">
      <c r="C54" s="1906" t="s">
        <v>1024</v>
      </c>
      <c r="D54" s="172"/>
      <c r="E54" s="241"/>
      <c r="F54" s="241"/>
    </row>
    <row r="55" spans="3:6" hidden="1">
      <c r="C55" s="1907" t="s">
        <v>1025</v>
      </c>
      <c r="D55" s="172"/>
      <c r="E55" s="241"/>
      <c r="F55" s="241"/>
    </row>
    <row r="56" spans="3:6" hidden="1">
      <c r="C56" s="240"/>
      <c r="D56" s="172"/>
      <c r="E56" s="241"/>
      <c r="F56" s="241"/>
    </row>
    <row r="57" spans="3:6" hidden="1">
      <c r="C57" s="240"/>
      <c r="D57" s="172"/>
      <c r="E57" s="241"/>
      <c r="F57" s="241"/>
    </row>
    <row r="58" spans="3:6" hidden="1">
      <c r="C58" s="240"/>
      <c r="D58" s="172"/>
      <c r="E58" s="241"/>
      <c r="F58" s="241"/>
    </row>
    <row r="59" spans="3:6" hidden="1">
      <c r="C59" s="242"/>
      <c r="D59" s="1303"/>
      <c r="E59" s="185"/>
      <c r="F59" s="185"/>
    </row>
    <row r="60" spans="3:6" hidden="1"/>
  </sheetData>
  <sheetProtection algorithmName="SHA-512" hashValue="b0KIw3jvVYLVR1C97BAJouzpSS85Lf5kNDyrjSTj46egSfuwZxAwl5nYi9NrFo2SBi0SLeNI4nRRbU/8DMFzXg==" saltValue="BDmYBUt4tgV4LdI1j7Y/pg==" spinCount="100000" sheet="1" objects="1" scenarios="1" selectLockedCells="1"/>
  <mergeCells count="13">
    <mergeCell ref="C51:F51"/>
    <mergeCell ref="B3:M3"/>
    <mergeCell ref="D7:D8"/>
    <mergeCell ref="C40:G40"/>
    <mergeCell ref="B7:B8"/>
    <mergeCell ref="C7:C8"/>
    <mergeCell ref="E7:E8"/>
    <mergeCell ref="F7:F8"/>
    <mergeCell ref="G7:G8"/>
    <mergeCell ref="H7:I7"/>
    <mergeCell ref="J7:K7"/>
    <mergeCell ref="L7:M7"/>
    <mergeCell ref="H41:I41"/>
  </mergeCells>
  <dataValidations count="6">
    <dataValidation type="whole" operator="greaterThan" allowBlank="1" showInputMessage="1" showErrorMessage="1" error="Bitte eine ganze Zahl grösser als 0 eingeben!" promptTitle="Investition" prompt="Unter Investition werden die gesamten Kosten verstanden, inkl.der personellen Aufwände." sqref="L9" xr:uid="{00000000-0002-0000-0C00-000000000000}">
      <formula1>0</formula1>
    </dataValidation>
    <dataValidation type="whole" operator="greaterThan" allowBlank="1" showInputMessage="1" showErrorMessage="1" error="Bitte eine ganze Zahl grösser als 0 eingeben!" sqref="J9:K40 M9:M40 L10:L40" xr:uid="{00000000-0002-0000-0C00-000001000000}">
      <formula1>0</formula1>
    </dataValidation>
    <dataValidation type="list" allowBlank="1" showInputMessage="1" showErrorMessage="1" sqref="D10:D39" xr:uid="{00000000-0002-0000-0C00-000002000000}">
      <formula1>$C$53:$C$55</formula1>
    </dataValidation>
    <dataValidation type="list" allowBlank="1" showInputMessage="1" showErrorMessage="1" sqref="G10:G39" xr:uid="{00000000-0002-0000-0C00-000003000000}">
      <formula1>$D$53:$D$54</formula1>
    </dataValidation>
    <dataValidation type="date" operator="greaterThan" allowBlank="1" showInputMessage="1" showErrorMessage="1" error="EN_x000a_End must occur after start._x000a__x000a_DE_x000a_Das Ende muss nach dem Start kommen._x000a_ " sqref="I10:I40" xr:uid="{00000000-0002-0000-0C00-000004000000}">
      <formula1>H10</formula1>
    </dataValidation>
    <dataValidation type="date" operator="lessThan" allowBlank="1" showInputMessage="1" showErrorMessage="1" error="EN_x000a_End must occur after start._x000a__x000a_DE_x000a_Das Ende muss nach dem Start kommen._x000a_ " sqref="H10:H40" xr:uid="{00000000-0002-0000-0C00-000005000000}">
      <formula1>I10</formula1>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6000000}">
          <x14:formula1>
            <xm:f>'Control Values'!$B$23:$B$26</xm:f>
          </x14:formula1>
          <xm:sqref>F10:F39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9">
    <tabColor theme="9" tint="-0.24994659260841701"/>
  </sheetPr>
  <dimension ref="B1:L70"/>
  <sheetViews>
    <sheetView showGridLines="0" showZeros="0" workbookViewId="0">
      <pane xSplit="8" ySplit="9" topLeftCell="I10" activePane="bottomRight" state="frozenSplit"/>
      <selection activeCell="B109" sqref="B109"/>
      <selection pane="topRight" activeCell="B109" sqref="B109"/>
      <selection pane="bottomLeft" activeCell="B109" sqref="B109"/>
      <selection pane="bottomRight" activeCell="I11" sqref="I11"/>
    </sheetView>
  </sheetViews>
  <sheetFormatPr baseColWidth="10" defaultColWidth="10" defaultRowHeight="14"/>
  <cols>
    <col min="1" max="1" width="2.6640625" style="472" customWidth="1"/>
    <col min="2" max="2" width="5.5" style="471" customWidth="1"/>
    <col min="3" max="3" width="17.1640625" style="472" customWidth="1"/>
    <col min="4" max="4" width="46.33203125" style="472" customWidth="1"/>
    <col min="5" max="8" width="26.5" style="472" customWidth="1"/>
    <col min="9" max="10" width="11.1640625" style="471" customWidth="1"/>
    <col min="11" max="11" width="55.33203125" style="473" customWidth="1"/>
    <col min="12" max="12" width="9.6640625" style="472" customWidth="1"/>
    <col min="13" max="16384" width="10" style="472"/>
  </cols>
  <sheetData>
    <row r="1" spans="2:11" ht="20.25" customHeight="1" thickBot="1">
      <c r="B1" s="497" t="str">
        <f ca="1">COV!C20</f>
        <v>DECKBLATT BITTE VOLLSTÄNDIG AUSFÜLLEN!</v>
      </c>
      <c r="C1" s="459"/>
      <c r="D1" s="459"/>
      <c r="E1" s="459"/>
      <c r="F1" s="459"/>
      <c r="G1" s="459"/>
      <c r="H1" s="459"/>
      <c r="I1" s="459"/>
      <c r="J1" s="459"/>
      <c r="K1" s="459"/>
    </row>
    <row r="2" spans="2:11" ht="5.25" customHeight="1" thickTop="1"/>
    <row r="3" spans="2:11" ht="21">
      <c r="B3" s="2046" t="str">
        <f>Dictionary!B680&amp;'(7b) Project List'!A9&amp;IF('(7b) Project List'!B9="","",": "&amp;'(7b) Project List'!B9)</f>
        <v>Bewertung der Managementkomplexität für Erfahrung 1</v>
      </c>
      <c r="C3" s="2046"/>
      <c r="D3" s="2046"/>
      <c r="E3" s="2046"/>
      <c r="F3" s="2046"/>
      <c r="G3" s="2046"/>
      <c r="H3" s="2046"/>
      <c r="I3" s="2046"/>
      <c r="J3" s="2046"/>
      <c r="K3" s="2046"/>
    </row>
    <row r="4" spans="2:11" s="498" customFormat="1" ht="21">
      <c r="B4" s="488"/>
      <c r="C4" s="488"/>
      <c r="D4" s="488"/>
      <c r="E4" s="488"/>
      <c r="F4" s="488"/>
      <c r="G4" s="488"/>
      <c r="H4" s="488"/>
      <c r="I4" s="488"/>
      <c r="J4" s="488"/>
      <c r="K4" s="488"/>
    </row>
    <row r="5" spans="2:11" s="467" customFormat="1" ht="22.5" customHeight="1">
      <c r="B5" s="489" t="str">
        <f>EXP!B5</f>
        <v xml:space="preserve"> , Level A, Projekt Management, Erstzertifizierung</v>
      </c>
      <c r="C5" s="491"/>
      <c r="D5" s="491"/>
      <c r="E5" s="492"/>
      <c r="F5" s="491"/>
      <c r="G5" s="493"/>
      <c r="H5" s="492"/>
      <c r="I5" s="492"/>
      <c r="J5" s="492"/>
      <c r="K5" s="494"/>
    </row>
    <row r="6" spans="2:11" s="467" customFormat="1" ht="20" customHeight="1">
      <c r="B6" s="466"/>
      <c r="C6" s="468"/>
      <c r="D6" s="468"/>
      <c r="E6" s="321"/>
      <c r="F6" s="2183"/>
      <c r="G6" s="2183"/>
      <c r="H6" s="2183"/>
      <c r="I6" s="469"/>
      <c r="J6" s="470"/>
    </row>
    <row r="7" spans="2:11" ht="15" customHeight="1"/>
    <row r="8" spans="2:11" s="334" customFormat="1" ht="22.25" customHeight="1">
      <c r="B8" s="2184" t="s">
        <v>294</v>
      </c>
      <c r="C8" s="2187" t="str">
        <f>Dictionary!B681</f>
        <v>Komplexitätsindikatoren und Teilindikatoren</v>
      </c>
      <c r="D8" s="2188"/>
      <c r="E8" s="2186" t="str">
        <f>Dictionary!B682</f>
        <v>Zu bewertende Kriterien:</v>
      </c>
      <c r="F8" s="2186"/>
      <c r="G8" s="2186"/>
      <c r="H8" s="2186"/>
      <c r="I8" s="2177" t="str">
        <f>Dictionary!B683</f>
        <v>Bewertungen und Kommentare</v>
      </c>
      <c r="J8" s="2178"/>
      <c r="K8" s="2179"/>
    </row>
    <row r="9" spans="2:11" s="334" customFormat="1" ht="30" customHeight="1">
      <c r="B9" s="2185"/>
      <c r="C9" s="2189"/>
      <c r="D9" s="2190"/>
      <c r="E9" s="474" t="str">
        <f>Dictionary!B684</f>
        <v>wenig komplex   (1)</v>
      </c>
      <c r="F9" s="474" t="str">
        <f>Dictionary!B685</f>
        <v>begrenzt komplex   (2)</v>
      </c>
      <c r="G9" s="474" t="str">
        <f>Dictionary!B686</f>
        <v>komplex   (3)</v>
      </c>
      <c r="H9" s="474" t="str">
        <f>Dictionary!B687</f>
        <v>sehr komplex   (4)</v>
      </c>
      <c r="I9" s="475" t="str">
        <f>Dictionary!B689</f>
        <v>Bewerber/in</v>
      </c>
      <c r="J9" s="476" t="str">
        <f>Dictionary!B690</f>
        <v>Leitende/r Assessor/in</v>
      </c>
      <c r="K9" s="476" t="str">
        <f>Dictionary!B691</f>
        <v>Anmerkungen, Kommentare, Nachweise (fakultativ)</v>
      </c>
    </row>
    <row r="10" spans="2:11" ht="30" customHeight="1">
      <c r="B10" s="477">
        <v>1</v>
      </c>
      <c r="C10" s="2180" t="str">
        <f>Dictionary!B693</f>
        <v>Indikatoren bezogen auf die technischen Fähigkeiten</v>
      </c>
      <c r="D10" s="2181"/>
      <c r="E10" s="2181"/>
      <c r="F10" s="2181"/>
      <c r="G10" s="2181"/>
      <c r="H10" s="2182"/>
      <c r="K10" s="478"/>
    </row>
    <row r="11" spans="2:11" ht="75">
      <c r="B11" s="479">
        <f>B10+0.1</f>
        <v>1.1000000000000001</v>
      </c>
      <c r="C11" s="558" t="str">
        <f>Dictionary!B694</f>
        <v>Ziele und Ergebnisse</v>
      </c>
      <c r="D11" s="558" t="str">
        <f>Dictionary!B695</f>
        <v>Anzahl und Unterschiedlichkeit der Einzelziele unter Berücksichtigung der Ziele und Erwartungen der relevanten Stakeholder, unterschiedliche Zielkategorien: Prozessziele, Nutzungsziele (Business Case), Operationalisierbarkeit, Transparenz und Abhängigkeiten</v>
      </c>
      <c r="E11" s="557" t="str">
        <f>Dictionary!B696</f>
        <v>sehr wenige klare Ziele, alle quantitativ angegeben, operabel</v>
      </c>
      <c r="F11" s="557" t="str">
        <f>Dictionary!B697</f>
        <v>wenige Ziele, gut formuliert, wenig Zielkonflikte</v>
      </c>
      <c r="G11" s="557" t="str">
        <f>Dictionary!B698</f>
        <v>mehrere Ziele unterschiedlicher Art, teilweise unklar definiert</v>
      </c>
      <c r="H11" s="557" t="str">
        <f>Dictionary!B699</f>
        <v>viele, teilweise konkurrierende  Ziele, strategische und politische Ziele, versteckte Ziele, Nutzungsziele</v>
      </c>
      <c r="I11" s="495"/>
      <c r="J11" s="495"/>
      <c r="K11" s="496"/>
    </row>
    <row r="12" spans="2:11" ht="65">
      <c r="B12" s="479">
        <f>B11+0.1</f>
        <v>1.2000000000000002</v>
      </c>
      <c r="C12" s="558" t="str">
        <f>Dictionary!B701</f>
        <v>Aufgaben und Prozesse</v>
      </c>
      <c r="D12" s="558" t="str">
        <f>Dictionary!B702</f>
        <v>Umfang der Aufgaben, Annahmen und Randbedingungen und deren Abhängigkeiten, eingesetzte Prozesse, Tools und Methoden, eingesetzte Team- und Kommunikationsstrukturen</v>
      </c>
      <c r="E12" s="557" t="str">
        <f>Dictionary!B703</f>
        <v>bekannte Aufgabenstellung und Randbedingungen; wenige Standard-/Reportingverfahren</v>
      </c>
      <c r="F12" s="557" t="str">
        <f>Dictionary!B704</f>
        <v>mehrere Aufgaben, ergänzt durch Annahmen; Einsatz bekannter Prozesse und Tools, einige Reporting-Vorgaben</v>
      </c>
      <c r="G12" s="557" t="str">
        <f>Dictionary!B705</f>
        <v>umfangreiches System von Aufgaben und Annahmen; viele Sachfaktoren; teilweise Einsatz neuartiger Tools und Prozesse, Reporting-Vorgaben</v>
      </c>
      <c r="H12" s="557" t="str">
        <f>Dictionary!B706</f>
        <v>sehr komplexe Aufgabenstellung, umfangreiches sachliches Umfeld; erfordert den Einsatz umfangreicher Prozess- und Toolwelt, strenge Reporting-Vorgaben</v>
      </c>
      <c r="I12" s="495"/>
      <c r="J12" s="495"/>
      <c r="K12" s="496"/>
    </row>
    <row r="13" spans="2:11" ht="65">
      <c r="B13" s="479">
        <f>B12+0.1</f>
        <v>1.3000000000000003</v>
      </c>
      <c r="C13" s="558" t="str">
        <f>Dictionary!B708</f>
        <v>Ressourcen und Finanzen</v>
      </c>
      <c r="D13" s="558" t="str">
        <f>Dictionary!B709</f>
        <v>Akquisition und Bereitstellung der erforderlichen Budgets sowie deren Management; Anzahl der Geldgeber; Verfügbarkeit und Qualität der notwendigen (personellen und sonstigen) Ressourcen; Ressourcen-Management und Beschaffungsprozesse</v>
      </c>
      <c r="E13" s="557" t="str">
        <f>Dictionary!B710</f>
        <v>Budget-Ermittlung ohne Verhandlung, einfache Kostenüberwachung; Ressourcen verfügbar, geringe Ressourcenkonflikte; geringfügige Beschaffungsvorgänge</v>
      </c>
      <c r="F13" s="557" t="str">
        <f>Dictionary!B711</f>
        <v>Budget-Ermittlung und  -Verhandlung; Verhandlung der benötigten Ressourcen, teilweise externe Ressourcen-Beschaffung</v>
      </c>
      <c r="G13" s="557" t="str">
        <f>Dictionary!B712</f>
        <v>Budget- und Ressourcenbeschaffung im Wettbewerb mit anderen Projekten; wesentliche Beschaffungsvorgänge</v>
      </c>
      <c r="H13" s="557" t="str">
        <f>Dictionary!B713</f>
        <v>Beschaffung wesentlicher Finanzmittel, Finanzierung durch unterschiedliche Geldgeber intern und extern; Steuerung wesentlicher Unterauftragnehmer</v>
      </c>
      <c r="I13" s="495"/>
      <c r="J13" s="495"/>
      <c r="K13" s="496"/>
    </row>
    <row r="14" spans="2:11" ht="60">
      <c r="B14" s="479">
        <f>B13+0.1</f>
        <v>1.4000000000000004</v>
      </c>
      <c r="C14" s="558" t="str">
        <f>Dictionary!B715</f>
        <v>Chancen und Risiken</v>
      </c>
      <c r="D14" s="558" t="str">
        <f>Dictionary!B716</f>
        <v xml:space="preserve">Bewertung der Chancen und Risiken im Projekt; Ermittlung und Steuerung des Risikosystems; Ableitung von validen Maßnahmen; Ermittlung und Nutzung von Chancen; Anwendung von Tools zur Steuerung des Risiko-Budgets </v>
      </c>
      <c r="E14" s="557" t="str">
        <f>Dictionary!B717</f>
        <v>wenige Risiken in überschaubarer Höhe, kein Chancen-Management</v>
      </c>
      <c r="F14" s="557" t="str">
        <f>Dictionary!B718</f>
        <v>mehrere Risiken und Chancen; stabiles Risiko-System; Management eines Risiko-Budgets</v>
      </c>
      <c r="G14" s="557" t="str">
        <f>Dictionary!B719</f>
        <v>mehrere Risiken mit begrenzter Schadenshöhe; Möglichkeit der Chancen-Nutzung zur Entlastung des Projektes</v>
      </c>
      <c r="H14" s="557" t="str">
        <f>Dictionary!B720</f>
        <v>Umfangreiches Risiko-Potential inklusive hoher strategischer Risiken; Anwendung valider Steuerungsmöglichkeiten; Meldung nach KONTRAG</v>
      </c>
      <c r="I14" s="495"/>
      <c r="J14" s="495"/>
      <c r="K14" s="496"/>
    </row>
    <row r="15" spans="2:11" s="387" customFormat="1" ht="24" customHeight="1">
      <c r="H15" s="387" t="str">
        <f>Dictionary!B721</f>
        <v>Durchschnitt der eingegebenen Detailbewertungen:</v>
      </c>
      <c r="I15" s="480" t="str">
        <f>IF(SUM(I11:I14)=0,"",ROUNDDOWN(AVERAGE(I11:I14),1))</f>
        <v/>
      </c>
      <c r="J15" s="480" t="str">
        <f>IF(SUM(J11:J14)=0,"",ROUNDDOWN(AVERAGE(J11:J14),1))</f>
        <v/>
      </c>
      <c r="K15" s="481"/>
    </row>
    <row r="16" spans="2:11">
      <c r="C16" s="473"/>
      <c r="D16" s="473"/>
      <c r="E16" s="482"/>
      <c r="F16" s="482"/>
      <c r="G16" s="482"/>
      <c r="H16" s="482"/>
    </row>
    <row r="17" spans="2:11" ht="30" customHeight="1">
      <c r="B17" s="477">
        <v>2</v>
      </c>
      <c r="C17" s="2180" t="str">
        <f>Dictionary!B723</f>
        <v>Indikatoren bezogen auf den Kontext</v>
      </c>
      <c r="D17" s="2181"/>
      <c r="E17" s="2181"/>
      <c r="F17" s="2181"/>
      <c r="G17" s="2181"/>
      <c r="H17" s="2182"/>
    </row>
    <row r="18" spans="2:11" ht="60">
      <c r="B18" s="479">
        <f>B17+0.1</f>
        <v>2.1</v>
      </c>
      <c r="C18" s="558" t="str">
        <f>Dictionary!B724</f>
        <v xml:space="preserve">Strategie, Stakeholder </v>
      </c>
      <c r="D18" s="558" t="str">
        <f>Dictionary!B725</f>
        <v>Einfluss der Unternehmens-Strategie, Auswirkungen des Projektes auf das Unternehmen, Stakeholder-Interessen;
Gesetze und Regularien</v>
      </c>
      <c r="E18" s="559" t="str">
        <f>Dictionary!B726</f>
        <v>wenige strategische Einflüsse; Projekt ist rein operativ ausgerichtet</v>
      </c>
      <c r="F18" s="559" t="str">
        <f>Dictionary!B727</f>
        <v>Stakeholder-Interessen  beeinflussen das Projekt begrenzte Einflüsse aus der Unternehmens-Strategie</v>
      </c>
      <c r="G18" s="559" t="str">
        <f>Dictionary!B728</f>
        <v>Viele Komponenten (?) unterschiedlicher Art</v>
      </c>
      <c r="H18" s="559" t="str">
        <f>Dictionary!B729</f>
        <v>Projekt hat erheblichen Einfluss auf das Unternehmen und seinen Erfolg; starke Auswirkungen von Gesetzen und Regularien</v>
      </c>
      <c r="I18" s="495"/>
      <c r="J18" s="495"/>
      <c r="K18" s="496"/>
    </row>
    <row r="19" spans="2:11" ht="135">
      <c r="B19" s="479">
        <f>B18+0.1</f>
        <v>2.2000000000000002</v>
      </c>
      <c r="C19" s="558" t="str">
        <f>Dictionary!B731</f>
        <v>Stammorganisation</v>
      </c>
      <c r="D19" s="558" t="str">
        <f>Dictionary!B732</f>
        <v>Umfang der Vernetzung über Schnittstellen des Projektes mit den Strukturen, Berichtswesen und Entscheidungswegen der Stammorganisation</v>
      </c>
      <c r="E19" s="559" t="str">
        <f>Dictionary!B733</f>
        <v xml:space="preserve">starke Abgrenzung des Projektes von der Stammorganisation, Entscheidungen fallen wesentlich in der Stammorganisation, viele ähnliche Projekte wurden bereits im Unternehmen durchgeführt </v>
      </c>
      <c r="F19" s="559" t="str">
        <f>Dictionary!B734</f>
        <v>klare Schnittstellen zur Stammorganisation z.B. über Leitungsgremium; Berichtswesen und Entscheidungswege begrenzt und klar definiert Projekt hat geringe Auswirkungen auf Prozesse der Stammorganisation,  ähnliche Projekte wurden bereits im Unternehmen durchgeführt</v>
      </c>
      <c r="G19" s="559" t="str">
        <f>Dictionary!B735</f>
        <v>viele operative Schnittstellen wirken auf  das Projekt ein; Berichte und Entscheidungen machen erheblichen Arbeitsanteil aus, Projekt hat  Auswirkungen auf Prozesse der Stammorganisation, wenige ähnliche Projekte wurden bereits im Unternehmen durchgeführt</v>
      </c>
      <c r="H19" s="559" t="str">
        <f>Dictionary!B736</f>
        <v>Starke Einflüsse der Stammorganisation auf strategischer Ebene; Entscheidungen durch Verhandlungen mit der Stammorganisation, Projekt hat starke Auswirkungen auf Prozesse der Stammorganisation , Projekt ist neuartig für Unternehmen</v>
      </c>
      <c r="I19" s="495"/>
      <c r="J19" s="495"/>
      <c r="K19" s="496"/>
    </row>
    <row r="20" spans="2:11" ht="65">
      <c r="B20" s="479">
        <f>B19+0.1</f>
        <v>2.3000000000000003</v>
      </c>
      <c r="C20" s="558" t="str">
        <f>Dictionary!B738</f>
        <v>Sozio-Kulturelle Einflüsse</v>
      </c>
      <c r="D20" s="558" t="str">
        <f>Dictionary!B739</f>
        <v>Einfluss der sozio-kulturellen Unterschiede im Projektteam, insbesondere bei verteilten oder Firmen-übergreifenden Teams</v>
      </c>
      <c r="E20" s="557" t="str">
        <f>Dictionary!B740</f>
        <v>keine Auswirkungen zu erwarten (Projekt an einem Standort, eine Sprache, homogene Projektgruppe)</v>
      </c>
      <c r="F20" s="557" t="str">
        <f>Dictionary!B741</f>
        <v>wenig Auswirkungen zu erwarten</v>
      </c>
      <c r="G20" s="557" t="str">
        <f>Dictionary!B742</f>
        <v>Auswirkungen infolge lokal verteilter Teams, mehreren Sprachen oder heterogenen Kulturkreisen erfordern in Einzelfällen Führungsmaßnahmen</v>
      </c>
      <c r="H20" s="557" t="str">
        <f>Dictionary!B743</f>
        <v>Auswirkungen infolge lokal verteilter Teams oder großer Teams aus unterschiedlichen Unternehmen und Kulturkreisen erfordern umfangreiche Führungsmaßnahmen</v>
      </c>
      <c r="I20" s="495"/>
      <c r="J20" s="495"/>
      <c r="K20" s="496"/>
    </row>
    <row r="21" spans="2:11" s="387" customFormat="1" ht="24" customHeight="1">
      <c r="H21" s="387" t="str">
        <f>Dictionary!B744</f>
        <v>Durchschnitt der eingegebenen Detailbewertungen:</v>
      </c>
      <c r="I21" s="480" t="str">
        <f>IF(SUM(I18:I20)=0,"",ROUNDDOWN(AVERAGE(I18:I20),1))</f>
        <v/>
      </c>
      <c r="J21" s="480" t="str">
        <f>IF(SUM(J18:J20)=0,"",ROUNDDOWN(AVERAGE(J18:J20),1))</f>
        <v/>
      </c>
      <c r="K21" s="481"/>
    </row>
    <row r="22" spans="2:11">
      <c r="C22" s="473"/>
      <c r="D22" s="473"/>
      <c r="E22" s="482"/>
      <c r="F22" s="482"/>
      <c r="G22" s="482"/>
      <c r="H22" s="482"/>
    </row>
    <row r="23" spans="2:11" ht="30" customHeight="1">
      <c r="B23" s="477">
        <v>3</v>
      </c>
      <c r="C23" s="2180" t="str">
        <f>Dictionary!B746</f>
        <v>Indikatoren bezogen auf Management und Führung</v>
      </c>
      <c r="D23" s="2181"/>
      <c r="E23" s="2181"/>
      <c r="F23" s="2181"/>
      <c r="G23" s="2181"/>
      <c r="H23" s="2182"/>
    </row>
    <row r="24" spans="2:11" ht="90">
      <c r="B24" s="479">
        <f>B23+0.1</f>
        <v>3.1</v>
      </c>
      <c r="C24" s="560" t="str">
        <f>Dictionary!B747</f>
        <v xml:space="preserve">Führung und Teamwork </v>
      </c>
      <c r="D24" s="560" t="str">
        <f>Dictionary!B748</f>
        <v>Umfang der Führungs-, Teambildungs und-Steuerungsmaßnahmen</v>
      </c>
      <c r="E24" s="559" t="str">
        <f>Dictionary!B749</f>
        <v>fast alle Teammitglieder haben bereits mit PL gearbeitet, PL hat Erfahrung im Mgt von Teams über 5 J, Governance Vorgaben sind klar definiert, das Projektteam hat hohe PM Skills</v>
      </c>
      <c r="F24" s="559" t="str">
        <f>Dictionary!B750</f>
        <v>sehr viele Teammitglieder haben bereits mit PL gearbeitet, PL hat Erfahrung im Mgt von Teams über 3 J, governance Vorgaben sind teilweise definiert, das Projektteam hat  PM Skills</v>
      </c>
      <c r="G24" s="559" t="str">
        <f>Dictionary!B751</f>
        <v>viele Teammitglieder haben bereits mit PL gearbeitet, PL hat Erfahrung im Mgt von Teams über 1-2 J, einige Governance Vorgaben sind klar definiert, das Projektteam hat einige PM Skills</v>
      </c>
      <c r="H24" s="559" t="str">
        <f>Dictionary!B752</f>
        <v>wenige Teammitglieder haben bereits mit PL gearbeitet, PL hat Erfahrung im Mgt von Teams weniger 1J, wenige Governance Vorgaben sind definiert, das Projektteam hat sehr wenig PM Skills</v>
      </c>
      <c r="I24" s="495"/>
      <c r="J24" s="495"/>
      <c r="K24" s="496"/>
    </row>
    <row r="25" spans="2:11" ht="91" customHeight="1">
      <c r="B25" s="479">
        <f>B24+0.1</f>
        <v>3.2</v>
      </c>
      <c r="C25" s="558" t="str">
        <f>Dictionary!B754</f>
        <v xml:space="preserve"> Innovation</v>
      </c>
      <c r="D25" s="558" t="str">
        <f>Dictionary!B755</f>
        <v>technische Neuartigkeit des Projektes und seine Auswirkungen auf Ressourcenauswahl und Aus- und Weiterbildung während des Projektes; Umgang mit neuartigen Ansätzen und Ergebnissen</v>
      </c>
      <c r="E25" s="559" t="str">
        <f>Dictionary!B756</f>
        <v>kein Handlungsbedarf infolge geringer Neuartigkeit, z.B. Wiederholprojekte</v>
      </c>
      <c r="F25" s="559" t="str">
        <f>Dictionary!B757</f>
        <v>einige Maßnahmen erforderlich infolge der Neuartigkeit in einzelnen Bereichen</v>
      </c>
      <c r="G25" s="559" t="str">
        <f>Dictionary!B758</f>
        <v>Neuartigkeit des Projektgegenstandes und/oder von Prozessen bedingt vorbereitende Qualifizerungsmaßnahmen</v>
      </c>
      <c r="H25" s="559" t="str">
        <f>Dictionary!B759</f>
        <v xml:space="preserve">Neuartigkeit des Projektgegenstandes und/oder von Prozessen in Verbindung mit großem Projektvolumen bedingt Planung der Qualifizierung, aber auch intensives Risiko-Management </v>
      </c>
      <c r="I25" s="495"/>
      <c r="J25" s="495"/>
      <c r="K25" s="496"/>
    </row>
    <row r="26" spans="2:11" ht="60">
      <c r="B26" s="479">
        <f>B25+0.1</f>
        <v>3.3000000000000003</v>
      </c>
      <c r="C26" s="558" t="str">
        <f>Dictionary!B761</f>
        <v>Autonomie und Verantwortung</v>
      </c>
      <c r="D26" s="558" t="str">
        <f>Dictionary!B762</f>
        <v>Entscheidungs- und Verantwortungsspielraum des Projektleiters; Umfang der Delegation in das Projektteam; Vertretung des Projektes gegenüber dem gesamten sozialen Umfeld</v>
      </c>
      <c r="E26" s="559" t="str">
        <f>Dictionary!B763</f>
        <v xml:space="preserve">wenig Autonomie/Gestaltungsspielräume des PL bzgl. Entscheidungen und Vertretung des Projektes nach aussen </v>
      </c>
      <c r="F26" s="559" t="str">
        <f>Dictionary!B764</f>
        <v>Verhandlung Lasten- und Pflichtenheft; Gesaltungs-spielräume ergeben sich hauptsächlich durch Änderungsprozesse</v>
      </c>
      <c r="G26" s="559" t="str">
        <f>Dictionary!B765</f>
        <v>Projektleiter vertritt das Projekt und damit auch das Unternehmen auch gegenüber externen Stakeholdern</v>
      </c>
      <c r="H26" s="559" t="str">
        <f>Dictionary!B766</f>
        <v>umfangreiche Verantwortungs- und Entscheidungsspielräume, z.B. durch Vollmachts- oder Unterschriftenregelung</v>
      </c>
      <c r="I26" s="495"/>
      <c r="J26" s="495"/>
      <c r="K26" s="496"/>
    </row>
    <row r="27" spans="2:11" s="387" customFormat="1" ht="24" customHeight="1">
      <c r="H27" s="387" t="str">
        <f>Dictionary!B767</f>
        <v>Durchschnitt der eingegebenen Detailbewertungen:</v>
      </c>
      <c r="I27" s="480" t="str">
        <f>IF(SUM(I24:I26)=0,"",ROUNDDOWN(AVERAGE(I24:I26),1))</f>
        <v/>
      </c>
      <c r="J27" s="480" t="str">
        <f>IF(SUM(J24:J26)=0,"",ROUNDDOWN(AVERAGE(J24:J26),1))</f>
        <v/>
      </c>
      <c r="K27" s="481"/>
    </row>
    <row r="28" spans="2:11">
      <c r="C28" s="473"/>
      <c r="D28" s="473"/>
      <c r="E28" s="482"/>
      <c r="F28" s="482"/>
      <c r="G28" s="482"/>
      <c r="H28" s="482"/>
    </row>
    <row r="29" spans="2:11" ht="17" customHeight="1"/>
    <row r="30" spans="2:11" ht="17" customHeight="1">
      <c r="F30" s="334" t="str">
        <f>Dictionary!B768</f>
        <v>Zusammenfassende Bewertungen (gerundet)</v>
      </c>
    </row>
    <row r="31" spans="2:11" ht="17" customHeight="1">
      <c r="G31" s="483" t="str">
        <f>Dictionary!B769</f>
        <v>Indikator</v>
      </c>
      <c r="H31" s="471">
        <v>1</v>
      </c>
      <c r="I31" s="484" t="str">
        <f>IF(I15="","",I15)</f>
        <v/>
      </c>
      <c r="J31" s="484" t="str">
        <f>IF(J15="","",J15)</f>
        <v/>
      </c>
    </row>
    <row r="32" spans="2:11" ht="17" customHeight="1">
      <c r="G32" s="483" t="str">
        <f>Dictionary!B769</f>
        <v>Indikator</v>
      </c>
      <c r="H32" s="471">
        <f>1+H31</f>
        <v>2</v>
      </c>
      <c r="I32" s="485" t="str">
        <f>IF(I21="","",I21)</f>
        <v/>
      </c>
      <c r="J32" s="485" t="str">
        <f>IF(J21="","",J21)</f>
        <v/>
      </c>
    </row>
    <row r="33" spans="2:12" ht="17" customHeight="1">
      <c r="G33" s="483" t="str">
        <f>Dictionary!B769</f>
        <v>Indikator</v>
      </c>
      <c r="H33" s="471">
        <f>1+H32</f>
        <v>3</v>
      </c>
      <c r="I33" s="485" t="str">
        <f>IF(I27="","",I27)</f>
        <v/>
      </c>
      <c r="J33" s="485" t="str">
        <f>IF(J27="","",J27)</f>
        <v/>
      </c>
    </row>
    <row r="34" spans="2:12" s="473" customFormat="1" ht="17" customHeight="1">
      <c r="B34" s="471"/>
      <c r="C34" s="472"/>
      <c r="D34" s="472"/>
      <c r="E34" s="472"/>
      <c r="F34" s="472"/>
      <c r="G34" s="472"/>
      <c r="H34" s="387" t="str">
        <f>Dictionary!B770</f>
        <v xml:space="preserve">Gesamtbewertung   </v>
      </c>
      <c r="I34" s="485">
        <f>SUM(I11:I14)+SUM(I18:I20)+SUM(I24:I26)</f>
        <v>0</v>
      </c>
      <c r="J34" s="485">
        <f>SUM(J11:J14)+SUM(J18:J20)+SUM(J24:J26)</f>
        <v>0</v>
      </c>
      <c r="L34" s="472"/>
    </row>
    <row r="35" spans="2:12" s="473" customFormat="1" ht="17" customHeight="1">
      <c r="B35" s="471"/>
      <c r="C35" s="472"/>
      <c r="D35" s="472"/>
      <c r="E35" s="472"/>
      <c r="F35" s="472"/>
      <c r="G35" s="472"/>
      <c r="H35" s="387"/>
      <c r="I35" s="486"/>
      <c r="J35" s="486"/>
      <c r="L35" s="472"/>
    </row>
    <row r="36" spans="2:12" s="473" customFormat="1" ht="17" customHeight="1">
      <c r="B36" s="471"/>
      <c r="C36" s="487"/>
      <c r="D36" s="487"/>
      <c r="E36" s="472"/>
      <c r="F36" s="472"/>
      <c r="G36" s="472"/>
      <c r="H36" s="472"/>
      <c r="I36" s="471"/>
      <c r="J36" s="471"/>
      <c r="L36" s="472"/>
    </row>
    <row r="37" spans="2:12" s="473" customFormat="1" ht="17" customHeight="1" thickBot="1">
      <c r="B37" s="460"/>
      <c r="C37" s="460"/>
      <c r="D37" s="460"/>
      <c r="E37" s="460"/>
      <c r="F37" s="460"/>
      <c r="G37" s="460"/>
      <c r="H37" s="460"/>
      <c r="I37" s="460"/>
      <c r="J37" s="460"/>
      <c r="K37" s="460"/>
      <c r="L37" s="472"/>
    </row>
    <row r="38" spans="2:12" s="473" customFormat="1" ht="17" customHeight="1">
      <c r="B38" s="89"/>
      <c r="C38" s="89"/>
      <c r="D38" s="89"/>
      <c r="F38" s="472"/>
      <c r="G38" s="472"/>
      <c r="H38" s="472"/>
      <c r="I38" s="471"/>
      <c r="J38" s="471"/>
      <c r="K38" s="464" t="s">
        <v>105</v>
      </c>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ht="17" customHeight="1"/>
    <row r="50" ht="17" customHeight="1"/>
    <row r="51" ht="17" customHeight="1"/>
    <row r="52" ht="17" customHeight="1"/>
    <row r="53" ht="17" customHeight="1"/>
    <row r="54" ht="17" customHeight="1"/>
    <row r="55" ht="17" customHeight="1"/>
    <row r="56" ht="17" customHeight="1"/>
    <row r="57" ht="17" customHeight="1"/>
    <row r="58" ht="17" customHeight="1"/>
    <row r="59" ht="17" customHeight="1"/>
    <row r="60" ht="17" customHeight="1"/>
    <row r="61" ht="17" customHeight="1"/>
    <row r="62" ht="17" customHeight="1"/>
    <row r="63" ht="17" customHeight="1"/>
    <row r="64" ht="17" customHeight="1"/>
    <row r="65" ht="17" customHeight="1"/>
    <row r="66" ht="17" customHeight="1"/>
    <row r="67" ht="17" customHeight="1"/>
    <row r="68" ht="17" customHeight="1"/>
    <row r="69" ht="17" customHeight="1"/>
    <row r="70" ht="17" customHeight="1"/>
  </sheetData>
  <sheetProtection algorithmName="SHA-512" hashValue="04JkBG4lC/nkZQ7/HxXgYUB8AXvsshBcadys7Kh2EKjom2sE+vF0bcoWgyDI/pLMlsklSiPCukJXg3sMQ104gw==" saltValue="sOftvdIGHu9rY3WPR/rxXQ==" spinCount="100000" sheet="1" objects="1" scenarios="1" selectLockedCells="1"/>
  <mergeCells count="9">
    <mergeCell ref="B3:K3"/>
    <mergeCell ref="I8:K8"/>
    <mergeCell ref="C10:H10"/>
    <mergeCell ref="C17:H17"/>
    <mergeCell ref="C23:H23"/>
    <mergeCell ref="F6:H6"/>
    <mergeCell ref="B8:B9"/>
    <mergeCell ref="E8:H8"/>
    <mergeCell ref="C8:D9"/>
  </mergeCells>
  <conditionalFormatting sqref="I35:J35">
    <cfRule type="cellIs" dxfId="435" priority="1" operator="equal">
      <formula>"Yes"</formula>
    </cfRule>
    <cfRule type="cellIs" dxfId="434" priority="2" operator="equal">
      <formula>"No"</formula>
    </cfRule>
  </conditionalFormatting>
  <dataValidations count="1">
    <dataValidation type="whole" allowBlank="1" showInputMessage="1" showErrorMessage="1" sqref="I11:J14 I18:J20 I24:J26" xr:uid="{00000000-0002-0000-0D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80B3A-2F17-4861-B867-3F61C81C4C71}">
  <sheetPr codeName="Sheet5">
    <tabColor theme="9"/>
  </sheetPr>
  <dimension ref="B1:E68"/>
  <sheetViews>
    <sheetView topLeftCell="A4" zoomScale="130" zoomScaleNormal="130" workbookViewId="0">
      <selection activeCell="B19" sqref="B19:E19"/>
    </sheetView>
  </sheetViews>
  <sheetFormatPr baseColWidth="10" defaultColWidth="11.5" defaultRowHeight="15"/>
  <cols>
    <col min="1" max="1" width="2.5" style="89" customWidth="1"/>
    <col min="2" max="2" width="45.5" style="89" customWidth="1"/>
    <col min="3" max="3" width="22.83203125" style="89" customWidth="1"/>
    <col min="4" max="4" width="32" style="89" customWidth="1"/>
    <col min="5" max="5" width="22.83203125" style="89" customWidth="1"/>
    <col min="6" max="6" width="3.1640625" style="89" customWidth="1"/>
    <col min="7" max="7" width="20" style="89" customWidth="1"/>
    <col min="8" max="9" width="11.5" style="89"/>
    <col min="10" max="10" width="8.5" style="89" customWidth="1"/>
    <col min="11" max="16384" width="11.5" style="89"/>
  </cols>
  <sheetData>
    <row r="1" spans="2:5" ht="15.75" customHeight="1" thickBot="1">
      <c r="B1" s="497" t="str">
        <f ca="1">COV!C20</f>
        <v>DECKBLATT BITTE VOLLSTÄNDIG AUSFÜLLEN!</v>
      </c>
      <c r="C1" s="459"/>
      <c r="D1" s="459"/>
      <c r="E1" s="459"/>
    </row>
    <row r="2" spans="2:5" ht="5.25" customHeight="1" thickTop="1"/>
    <row r="3" spans="2:5" ht="21">
      <c r="B3" s="2046" t="str">
        <f>Dictionary!B614&amp;'(7b) Project List'!A10</f>
        <v>Steckbrief für Management Erfahrung 2</v>
      </c>
      <c r="C3" s="2046"/>
      <c r="D3" s="2046"/>
      <c r="E3" s="2046"/>
    </row>
    <row r="4" spans="2:5" ht="21">
      <c r="B4" s="488"/>
      <c r="C4" s="488"/>
      <c r="D4" s="488"/>
      <c r="E4" s="488"/>
    </row>
    <row r="5" spans="2:5" ht="21">
      <c r="B5" s="489" t="str">
        <f>EXP!B5</f>
        <v xml:space="preserve"> , Level A, Projekt Management, Erstzertifizierung</v>
      </c>
      <c r="C5" s="490"/>
      <c r="D5" s="490"/>
      <c r="E5" s="490"/>
    </row>
    <row r="7" spans="2:5">
      <c r="B7" s="2013" t="str">
        <f>Dictionary!B618</f>
        <v>Kopfzeile</v>
      </c>
      <c r="C7" s="2013"/>
      <c r="D7" s="2013"/>
      <c r="E7" s="2013"/>
    </row>
    <row r="8" spans="2:5" ht="16.5" customHeight="1">
      <c r="B8" s="503" t="str">
        <f>EXP!D10&amp;" "&amp;Dictionary!B615</f>
        <v xml:space="preserve"> Name </v>
      </c>
      <c r="C8" s="504" t="str">
        <f>IF('(7b) Project List'!B10="","",'(7b) Project List'!B10)</f>
        <v/>
      </c>
      <c r="D8" s="508" t="str">
        <f>EXP!D10&amp;" "&amp;Dictionary!B616</f>
        <v xml:space="preserve"> Nummer </v>
      </c>
      <c r="E8" s="509"/>
    </row>
    <row r="9" spans="2:5" ht="16.5" customHeight="1">
      <c r="B9" s="510" t="str">
        <f>Dictionary!B617</f>
        <v>Kunde/AuftraggeberIn:</v>
      </c>
      <c r="C9" s="2138"/>
      <c r="D9" s="2138"/>
      <c r="E9" s="511"/>
    </row>
    <row r="10" spans="2:5" ht="16.5" customHeight="1"/>
    <row r="11" spans="2:5" ht="16.5" customHeight="1">
      <c r="B11" s="2013" t="str">
        <f>Dictionary!B620</f>
        <v>Governance &amp; eigene Rolle</v>
      </c>
      <c r="C11" s="2013"/>
      <c r="D11" s="2013"/>
      <c r="E11" s="2013"/>
    </row>
    <row r="12" spans="2:5" ht="16.5" customHeight="1">
      <c r="B12" s="503" t="str">
        <f>Dictionary!B621</f>
        <v>Eigene Rolle:</v>
      </c>
      <c r="C12" s="504" t="str">
        <f>IF('(7b) Project List'!E10="","",'(7b) Project List'!E10)</f>
        <v/>
      </c>
      <c r="D12" s="2130" t="str">
        <f>Dictionary!B622</f>
        <v>Anmerkungen:</v>
      </c>
      <c r="E12" s="2131"/>
    </row>
    <row r="13" spans="2:5" ht="16.5" customHeight="1">
      <c r="B13" s="505" t="str">
        <f>Dictionary!B623</f>
        <v>Verantwortung für den Umfang/die Ergebnisse:</v>
      </c>
      <c r="C13" s="506"/>
      <c r="D13" s="2142"/>
      <c r="E13" s="2143"/>
    </row>
    <row r="14" spans="2:5" ht="16.5" customHeight="1">
      <c r="B14" s="505" t="str">
        <f>Dictionary!B624</f>
        <v>Verantwortung für die Terminplanung:</v>
      </c>
      <c r="C14" s="506"/>
      <c r="D14" s="2142"/>
      <c r="E14" s="2143"/>
    </row>
    <row r="15" spans="2:5" ht="16.5" customHeight="1">
      <c r="B15" s="505" t="str">
        <f>Dictionary!B625</f>
        <v>Verantwortung für das Budget:</v>
      </c>
      <c r="C15" s="506"/>
      <c r="D15" s="2142"/>
      <c r="E15" s="2143"/>
    </row>
    <row r="16" spans="2:5" ht="16.5" customHeight="1">
      <c r="B16" s="561" t="str">
        <f>EXP!D10&amp;" "&amp;Dictionary!B627</f>
        <v xml:space="preserve"> Typ</v>
      </c>
      <c r="C16" s="507"/>
      <c r="D16" s="2142"/>
      <c r="E16" s="2143"/>
    </row>
    <row r="17" spans="2:5" ht="16.5" customHeight="1">
      <c r="B17" s="561" t="str">
        <f>Dictionary!B626</f>
        <v>Art der PM Organisation</v>
      </c>
      <c r="C17" s="507"/>
      <c r="D17" s="2142"/>
      <c r="E17" s="2143"/>
    </row>
    <row r="18" spans="2:5" ht="16.5" customHeight="1">
      <c r="B18" s="2139" t="str">
        <f>Dictionary!B628</f>
        <v>Kurze Beschreibung Ihrer eigenen Rolle, Verantwortung und Aktivitäten; wem sind Sie unterstellt?</v>
      </c>
      <c r="C18" s="2140"/>
      <c r="D18" s="2140"/>
      <c r="E18" s="2141"/>
    </row>
    <row r="19" spans="2:5" ht="57" customHeight="1">
      <c r="B19" s="2149"/>
      <c r="C19" s="2150"/>
      <c r="D19" s="2150"/>
      <c r="E19" s="2151"/>
    </row>
    <row r="20" spans="2:5" ht="18" customHeight="1"/>
    <row r="21" spans="2:5" ht="16.5" customHeight="1">
      <c r="B21" s="2013" t="str">
        <f>Dictionary!B630</f>
        <v>Allgemeine Informationen und Beschreibung</v>
      </c>
      <c r="C21" s="2013"/>
      <c r="D21" s="2013"/>
      <c r="E21" s="2013"/>
    </row>
    <row r="22" spans="2:5" ht="16.5" customHeight="1">
      <c r="B22" s="2157" t="str">
        <f>Dictionary!B631</f>
        <v>Kurze Beschreibung der KPI, Ergebnisse und Liefergegenstände:</v>
      </c>
      <c r="C22" s="2158"/>
      <c r="D22" s="2158"/>
      <c r="E22" s="2159"/>
    </row>
    <row r="23" spans="2:5" ht="57" customHeight="1">
      <c r="B23" s="2160"/>
      <c r="C23" s="2161"/>
      <c r="D23" s="2161"/>
      <c r="E23" s="2162"/>
    </row>
    <row r="24" spans="2:5" ht="16.5" customHeight="1">
      <c r="B24" s="2139" t="str">
        <f>Dictionary!B632</f>
        <v>Kurze Beschreibung des Umfangs und der Ziele, für die Sie verantwortlich sind:</v>
      </c>
      <c r="C24" s="2140"/>
      <c r="D24" s="2140"/>
      <c r="E24" s="2141"/>
    </row>
    <row r="25" spans="2:5" ht="57" customHeight="1">
      <c r="B25" s="2160"/>
      <c r="C25" s="2161"/>
      <c r="D25" s="2161"/>
      <c r="E25" s="2162"/>
    </row>
    <row r="26" spans="2:5" ht="16.5" customHeight="1">
      <c r="B26" s="2139" t="str">
        <f>Dictionary!B633</f>
        <v>Informationen über erhebliche Planabweichungen und/oder kritische Managementsituationen:</v>
      </c>
      <c r="C26" s="2140"/>
      <c r="D26" s="2140"/>
      <c r="E26" s="2141"/>
    </row>
    <row r="27" spans="2:5" ht="54.75" customHeight="1">
      <c r="B27" s="2146"/>
      <c r="C27" s="2152"/>
      <c r="D27" s="2152"/>
      <c r="E27" s="2153"/>
    </row>
    <row r="28" spans="2:5" ht="18" customHeight="1"/>
    <row r="29" spans="2:5" ht="18" customHeight="1">
      <c r="B29" s="2013" t="str">
        <f>EXP!D10&amp;" "&amp;Dictionary!B635</f>
        <v xml:space="preserve"> Planung</v>
      </c>
      <c r="C29" s="2013"/>
      <c r="D29" s="2013"/>
      <c r="E29" s="2013"/>
    </row>
    <row r="30" spans="2:5" ht="16.5" customHeight="1">
      <c r="B30" s="512" t="str">
        <f>Dictionary!B636</f>
        <v>Beginn des Vorhabens:</v>
      </c>
      <c r="C30" s="513" t="str">
        <f>C31</f>
        <v/>
      </c>
      <c r="D30" s="508" t="str">
        <f>Dictionary!B642</f>
        <v>Ende des Vorhabens:</v>
      </c>
      <c r="E30" s="514" t="str">
        <f>E31</f>
        <v/>
      </c>
    </row>
    <row r="31" spans="2:5" ht="16.5" customHeight="1">
      <c r="B31" s="515" t="str">
        <f>Dictionary!B637</f>
        <v>Ihr Beginn in dieser Rolle:</v>
      </c>
      <c r="C31" s="516" t="str">
        <f>IF('(7b) Project List'!F10="","",'(7b) Project List'!F10)</f>
        <v/>
      </c>
      <c r="D31" s="517" t="str">
        <f>Dictionary!B643</f>
        <v>Ende Ihrer Beteiligung:</v>
      </c>
      <c r="E31" s="518" t="str">
        <f>IF('(7b) Project List'!G10="","",'(7b) Project List'!G10)</f>
        <v/>
      </c>
    </row>
    <row r="32" spans="2:5" ht="16.5" customHeight="1">
      <c r="B32" s="2139" t="str">
        <f>IF(ISNUMBER(SEARCH("ortfolio",B29)),Dictionary!B640,Dictionary!B638)</f>
        <v>Phasen:</v>
      </c>
      <c r="C32" s="2140"/>
      <c r="D32" s="2140" t="str">
        <f>IF(ISNUMBER(SEARCH("ortfolio",B29)),Dictionary!B641,Dictionary!B639)</f>
        <v>Meilensteine:</v>
      </c>
      <c r="E32" s="2141"/>
    </row>
    <row r="33" spans="2:5">
      <c r="B33" s="2154"/>
      <c r="C33" s="2142"/>
      <c r="D33" s="2133"/>
      <c r="E33" s="2143"/>
    </row>
    <row r="34" spans="2:5">
      <c r="B34" s="2155"/>
      <c r="C34" s="2142"/>
      <c r="D34" s="2142"/>
      <c r="E34" s="2143"/>
    </row>
    <row r="35" spans="2:5">
      <c r="B35" s="2155"/>
      <c r="C35" s="2142"/>
      <c r="D35" s="2142"/>
      <c r="E35" s="2143"/>
    </row>
    <row r="36" spans="2:5">
      <c r="B36" s="2155"/>
      <c r="C36" s="2142"/>
      <c r="D36" s="2142"/>
      <c r="E36" s="2143"/>
    </row>
    <row r="37" spans="2:5">
      <c r="B37" s="2155"/>
      <c r="C37" s="2142"/>
      <c r="D37" s="2142"/>
      <c r="E37" s="2143"/>
    </row>
    <row r="38" spans="2:5">
      <c r="B38" s="2155"/>
      <c r="C38" s="2142"/>
      <c r="D38" s="2142"/>
      <c r="E38" s="2143"/>
    </row>
    <row r="39" spans="2:5">
      <c r="B39" s="2155"/>
      <c r="C39" s="2142"/>
      <c r="D39" s="2142"/>
      <c r="E39" s="2143"/>
    </row>
    <row r="40" spans="2:5">
      <c r="B40" s="2155"/>
      <c r="C40" s="2142"/>
      <c r="D40" s="2142"/>
      <c r="E40" s="2143"/>
    </row>
    <row r="41" spans="2:5">
      <c r="B41" s="2155"/>
      <c r="C41" s="2142"/>
      <c r="D41" s="2142"/>
      <c r="E41" s="2143"/>
    </row>
    <row r="42" spans="2:5">
      <c r="B42" s="2156"/>
      <c r="C42" s="2150"/>
      <c r="D42" s="2150"/>
      <c r="E42" s="2151"/>
    </row>
    <row r="44" spans="2:5" ht="18" customHeight="1">
      <c r="B44" s="2132" t="str">
        <f>IF(PMO_MODE="",Dictionary!B645,IF(ISNUMBER(FIND(EXP!C42,B8)),Dictionary!B646,Dictionary!B645))</f>
        <v>Ressourcen, für die Sie direkt verantwortlich sind</v>
      </c>
      <c r="C44" s="2132"/>
      <c r="D44" s="2132"/>
      <c r="E44" s="2132"/>
    </row>
    <row r="45" spans="2:5" ht="16.5" customHeight="1">
      <c r="B45" s="519"/>
      <c r="C45" s="524" t="str">
        <f>Dictionary!B647</f>
        <v>Wert</v>
      </c>
      <c r="D45" s="2130" t="str">
        <f>Dictionary!B648</f>
        <v>Anmerkungen</v>
      </c>
      <c r="E45" s="2131"/>
    </row>
    <row r="46" spans="2:5" ht="16">
      <c r="B46" s="520" t="str">
        <f>Dictionary!B649</f>
        <v>Anzahl der Ihnen direkt unterstellten Teammitglieder:</v>
      </c>
      <c r="C46" s="1720"/>
      <c r="D46" s="2133"/>
      <c r="E46" s="2134"/>
    </row>
    <row r="47" spans="2:5" ht="32">
      <c r="B47" s="520" t="str">
        <f>Dictionary!B650</f>
        <v>Anzahl der Mitglieder des Teams gemäß dem Organigramm (inkl. Sie selbst):</v>
      </c>
      <c r="C47" s="1720"/>
      <c r="D47" s="2133"/>
      <c r="E47" s="2134"/>
    </row>
    <row r="48" spans="2:5" ht="16.5" customHeight="1">
      <c r="B48" s="521" t="str">
        <f>Dictionary!B651</f>
        <v>Gesamtaufwand [Personentage]:</v>
      </c>
      <c r="C48" s="1720"/>
      <c r="D48" s="2133"/>
      <c r="E48" s="2134"/>
    </row>
    <row r="49" spans="2:5" ht="16.5" customHeight="1">
      <c r="B49" s="522" t="str">
        <f>Dictionary!B652</f>
        <v>Externer Arbeitsaufwand [Personentage]:</v>
      </c>
      <c r="C49" s="1720"/>
      <c r="D49" s="2133"/>
      <c r="E49" s="2134"/>
    </row>
    <row r="50" spans="2:5" ht="16.5" customHeight="1">
      <c r="B50" s="522" t="str">
        <f>Dictionary!B653</f>
        <v>Interner Arbeitsaufwand [Personentage]:</v>
      </c>
      <c r="C50" s="1720"/>
      <c r="D50" s="2133"/>
      <c r="E50" s="2134"/>
    </row>
    <row r="51" spans="2:5" ht="16.5" customHeight="1">
      <c r="B51" s="522" t="str">
        <f>Dictionary!B654</f>
        <v>Enthaltener PM-Aufwand [Personentage]:</v>
      </c>
      <c r="C51" s="1720"/>
      <c r="D51" s="2133"/>
      <c r="E51" s="2134"/>
    </row>
    <row r="52" spans="2:5" ht="16.5" customHeight="1">
      <c r="B52" s="522" t="str">
        <f>Dictionary!B655</f>
        <v>Budget (Aufwand) unter Ihrer Verantwortung [€]:</v>
      </c>
      <c r="C52" s="1721"/>
      <c r="D52" s="2133"/>
      <c r="E52" s="2134"/>
    </row>
    <row r="53" spans="2:5" ht="16.5" customHeight="1">
      <c r="B53" s="523" t="str">
        <f>Dictionary!B656</f>
        <v>Budget (Sachmittel) unter Ihrer Verantwortung [€]:</v>
      </c>
      <c r="C53" s="1722"/>
      <c r="D53" s="2144"/>
      <c r="E53" s="2145"/>
    </row>
    <row r="54" spans="2:5" ht="16.5" customHeight="1">
      <c r="B54" s="1615" t="str">
        <f>Dictionary!B657</f>
        <v>Gesamtbudget unter Ihrer Verantwortung [€]:</v>
      </c>
      <c r="C54" s="1723">
        <f>C52+C53</f>
        <v>0</v>
      </c>
      <c r="D54" s="1724"/>
      <c r="E54" s="1725"/>
    </row>
    <row r="55" spans="2:5" ht="18" customHeight="1"/>
    <row r="56" spans="2:5" ht="18" customHeight="1">
      <c r="B56" s="2013" t="str">
        <f>Dictionary!B658</f>
        <v xml:space="preserve">Anmerkungen </v>
      </c>
      <c r="C56" s="2013"/>
      <c r="D56" s="2013"/>
      <c r="E56" s="2013"/>
    </row>
    <row r="57" spans="2:5" ht="16.5" customHeight="1">
      <c r="B57" s="2157" t="str">
        <f>Dictionary!B659</f>
        <v>Anmerkungen zur Komplexität:</v>
      </c>
      <c r="C57" s="2158"/>
      <c r="D57" s="2158"/>
      <c r="E57" s="2159"/>
    </row>
    <row r="58" spans="2:5">
      <c r="B58" s="2135"/>
      <c r="C58" s="2136"/>
      <c r="D58" s="2136"/>
      <c r="E58" s="2137"/>
    </row>
    <row r="59" spans="2:5">
      <c r="B59" s="2135"/>
      <c r="C59" s="2136"/>
      <c r="D59" s="2136"/>
      <c r="E59" s="2137"/>
    </row>
    <row r="60" spans="2:5" ht="27" customHeight="1">
      <c r="B60" s="2135"/>
      <c r="C60" s="2136"/>
      <c r="D60" s="2136"/>
      <c r="E60" s="2137"/>
    </row>
    <row r="61" spans="2:5" ht="16.5" customHeight="1">
      <c r="B61" s="2139" t="str">
        <f>Dictionary!B660</f>
        <v>Allgemeine Anmerkungen:</v>
      </c>
      <c r="C61" s="2140"/>
      <c r="D61" s="2140"/>
      <c r="E61" s="2141"/>
    </row>
    <row r="62" spans="2:5" ht="15" customHeight="1">
      <c r="B62" s="2135"/>
      <c r="C62" s="2136"/>
      <c r="D62" s="2136"/>
      <c r="E62" s="2137"/>
    </row>
    <row r="63" spans="2:5">
      <c r="B63" s="2135"/>
      <c r="C63" s="2136"/>
      <c r="D63" s="2136"/>
      <c r="E63" s="2137"/>
    </row>
    <row r="64" spans="2:5">
      <c r="B64" s="2135"/>
      <c r="C64" s="2136"/>
      <c r="D64" s="2136"/>
      <c r="E64" s="2137"/>
    </row>
    <row r="65" spans="2:5" ht="41" customHeight="1">
      <c r="B65" s="2146"/>
      <c r="C65" s="2147"/>
      <c r="D65" s="2147"/>
      <c r="E65" s="2148"/>
    </row>
    <row r="67" spans="2:5" ht="17" thickBot="1">
      <c r="B67" s="460"/>
      <c r="C67" s="460"/>
      <c r="D67" s="460"/>
      <c r="E67" s="460"/>
    </row>
    <row r="68" spans="2:5">
      <c r="E68" s="464" t="s">
        <v>105</v>
      </c>
    </row>
  </sheetData>
  <sheetProtection algorithmName="SHA-512" hashValue="2cet8upV3XBL0MGgGewph9xBPgiPtxZGL4etAM2UtYkWoA4IxA8/ZlEgedGeoFxcTVNFO1i3Mk+z9eCunSiMeg==" saltValue="k3qeTrsCQxh726rNw3R/hQ==" spinCount="100000" sheet="1" objects="1" scenarios="1" selectLockedCells="1"/>
  <mergeCells count="39">
    <mergeCell ref="B58:E60"/>
    <mergeCell ref="B61:E61"/>
    <mergeCell ref="B62:E65"/>
    <mergeCell ref="D50:E50"/>
    <mergeCell ref="D51:E51"/>
    <mergeCell ref="D52:E52"/>
    <mergeCell ref="D53:E53"/>
    <mergeCell ref="B56:E56"/>
    <mergeCell ref="B57:E57"/>
    <mergeCell ref="D49:E49"/>
    <mergeCell ref="B27:E27"/>
    <mergeCell ref="B29:E29"/>
    <mergeCell ref="B32:C32"/>
    <mergeCell ref="D32:E32"/>
    <mergeCell ref="B33:C42"/>
    <mergeCell ref="D33:E42"/>
    <mergeCell ref="B44:E44"/>
    <mergeCell ref="D45:E45"/>
    <mergeCell ref="D46:E46"/>
    <mergeCell ref="D47:E47"/>
    <mergeCell ref="D48:E48"/>
    <mergeCell ref="B26:E26"/>
    <mergeCell ref="D14:E14"/>
    <mergeCell ref="D15:E15"/>
    <mergeCell ref="D16:E16"/>
    <mergeCell ref="D17:E17"/>
    <mergeCell ref="B18:E18"/>
    <mergeCell ref="B19:E19"/>
    <mergeCell ref="B21:E21"/>
    <mergeCell ref="B22:E22"/>
    <mergeCell ref="B23:E23"/>
    <mergeCell ref="B24:E24"/>
    <mergeCell ref="B25:E25"/>
    <mergeCell ref="D13:E13"/>
    <mergeCell ref="B3:E3"/>
    <mergeCell ref="B7:E7"/>
    <mergeCell ref="C9:D9"/>
    <mergeCell ref="B11:E11"/>
    <mergeCell ref="D12:E12"/>
  </mergeCells>
  <conditionalFormatting sqref="C16:C17">
    <cfRule type="notContainsBlanks" dxfId="433" priority="1">
      <formula>LEN(TRIM(C16))&gt;0</formula>
    </cfRule>
  </conditionalFormatting>
  <conditionalFormatting sqref="E8 C9:D9 B19:E19 B23:E23 B25:E25 B27:E27 C30 E30 B33:E42 C46:D54 B58:E60 B62:E65">
    <cfRule type="notContainsBlanks" dxfId="432" priority="2">
      <formula>LEN(TRIM(B8))&gt;0</formula>
    </cfRule>
  </conditionalFormatting>
  <dataValidations count="7">
    <dataValidation type="whole" allowBlank="1" showInputMessage="1" showErrorMessage="1" error="EN: please enter a whole number_x000a_DE: Bitte geben Sie eine ganze Zahl ein" prompt="EN: please enter a valid number_x000a_DE: Bitte geben Sie eine plausible Zahl ein" sqref="C46" xr:uid="{00000000-0002-0000-0E00-000000000000}">
      <formula1>0</formula1>
      <formula2>1000000</formula2>
    </dataValidation>
    <dataValidation allowBlank="1" showInputMessage="1" showErrorMessage="1" error="EN: please enter a number_x000a_DE: Bitte geben Sie eine Zahl ein" prompt="EN: enter a Euro value_x000a_DE Geben Sie einen Wert in Euro an" sqref="C54" xr:uid="{00000000-0002-0000-0E00-000001000000}"/>
    <dataValidation allowBlank="1" error="EN: Enter a number _x000a_DE: Geben Sie eine Zahl ein" prompt="EN: Effort in person-days_x000a_DE: Aufwand in Personentagen" sqref="D46:E54" xr:uid="{00000000-0002-0000-0E00-000002000000}"/>
    <dataValidation type="whole" allowBlank="1" showInputMessage="1" showErrorMessage="1" error="EN: please enter a whole number_x000a_DE: Bitte geben Sie eine ganze Zahl ein" prompt="EN: please enter a valid number_x000a_DE: Bitte geben Sie eine plausible Zahl ein" sqref="C47" xr:uid="{00000000-0002-0000-0E00-000003000000}">
      <formula1>1</formula1>
      <formula2>1000000</formula2>
    </dataValidation>
    <dataValidation type="decimal" allowBlank="1" showInputMessage="1" showErrorMessage="1" error="EN: please enter a number_x000a_DE: Bitte geben Sie eine Zahl ein" prompt="EN: enter a Euro value_x000a_DE Geben Sie einen Wert in Euro an" sqref="C52:C53" xr:uid="{00000000-0002-0000-0E00-000004000000}">
      <formula1>1</formula1>
      <formula2>1000000000000</formula2>
    </dataValidation>
    <dataValidation type="decimal" allowBlank="1" showInputMessage="1" showErrorMessage="1" error="EN: Enter a number _x000a_DE: Geben Sie eine Zahl ein" prompt="EN: Effort in person-days_x000a_DE: Aufwand in Personentagen" sqref="C48:C49" xr:uid="{00000000-0002-0000-0E00-000005000000}">
      <formula1>1</formula1>
      <formula2>1000000000</formula2>
    </dataValidation>
    <dataValidation type="decimal" allowBlank="1" showInputMessage="1" showErrorMessage="1" error="EN: Enter a number_x000a_DE: Geben Sie eine Zahl ein" prompt="EN: Effort in person-days_x000a_DE: Aufwand in Personentagen" sqref="C49:C51" xr:uid="{00000000-0002-0000-0E00-000006000000}">
      <formula1>1</formula1>
      <formula2>1000000000</formula2>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7000000}">
          <x14:formula1>
            <xm:f>'Control Values'!$B$14:$B$15</xm:f>
          </x14:formula1>
          <xm:sqref>E9</xm:sqref>
        </x14:dataValidation>
        <x14:dataValidation type="list" allowBlank="1" showInputMessage="1" showErrorMessage="1" xr:uid="{00000000-0002-0000-0E00-000008000000}">
          <x14:formula1>
            <xm:f>'Control Values'!$B$29:$B$34</xm:f>
          </x14:formula1>
          <xm:sqref>C17</xm:sqref>
        </x14:dataValidation>
        <x14:dataValidation type="list" allowBlank="1" showInputMessage="1" showErrorMessage="1" xr:uid="{00000000-0002-0000-0E00-000009000000}">
          <x14:formula1>
            <xm:f>'Control Values'!$B$23:$B$26</xm:f>
          </x14:formula1>
          <xm:sqref>C16</xm:sqref>
        </x14:dataValidation>
        <x14:dataValidation type="list" allowBlank="1" showInputMessage="1" showErrorMessage="1" xr:uid="{00000000-0002-0000-0E00-00000A000000}">
          <x14:formula1>
            <xm:f>'Control Values'!$B$18:$B$19</xm:f>
          </x14:formula1>
          <xm:sqref>C13:C15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E1985-D7A9-4862-BCF1-2BEAC7C5F6BE}">
  <sheetPr codeName="Sheet74">
    <tabColor theme="9"/>
  </sheetPr>
  <dimension ref="A1:S60"/>
  <sheetViews>
    <sheetView topLeftCell="A3" zoomScale="80" zoomScaleNormal="80" workbookViewId="0">
      <selection activeCell="C10" sqref="C10"/>
    </sheetView>
  </sheetViews>
  <sheetFormatPr baseColWidth="10" defaultColWidth="11.5" defaultRowHeight="15"/>
  <cols>
    <col min="1" max="1" width="8.6640625" style="89" customWidth="1"/>
    <col min="2" max="2" width="11.5" style="89" customWidth="1"/>
    <col min="3" max="3" width="44.33203125" style="89" customWidth="1"/>
    <col min="4" max="4" width="23.1640625" style="89" customWidth="1"/>
    <col min="5" max="5" width="37.5" style="89" customWidth="1"/>
    <col min="6" max="6" width="32" style="89" customWidth="1"/>
    <col min="7" max="7" width="11.6640625" style="89" customWidth="1"/>
    <col min="8" max="11" width="32" style="89" customWidth="1"/>
    <col min="12" max="13" width="32.5" style="89" customWidth="1"/>
    <col min="14" max="14" width="26.1640625" style="89" customWidth="1"/>
    <col min="15" max="15" width="20" style="89" customWidth="1"/>
    <col min="16" max="17" width="11.5" style="89"/>
    <col min="18" max="18" width="8.5" style="89" customWidth="1"/>
    <col min="19" max="16384" width="11.5" style="89"/>
  </cols>
  <sheetData>
    <row r="1" spans="1:19" ht="19.5" customHeight="1" thickBot="1">
      <c r="B1" s="497" t="str">
        <f ca="1">COV!C20</f>
        <v>DECKBLATT BITTE VOLLSTÄNDIG AUSFÜLLEN!</v>
      </c>
      <c r="C1" s="459"/>
      <c r="D1" s="459"/>
      <c r="E1" s="459"/>
      <c r="F1" s="459"/>
      <c r="G1" s="459"/>
      <c r="H1" s="459"/>
      <c r="I1" s="459"/>
      <c r="J1" s="459"/>
      <c r="K1" s="459"/>
      <c r="L1" s="459"/>
      <c r="M1" s="459"/>
    </row>
    <row r="2" spans="1:19" ht="5.25" customHeight="1" thickTop="1"/>
    <row r="3" spans="1:19" ht="21">
      <c r="B3" s="2046" t="str">
        <f>Dictionary!B663&amp;" "&amp;'(7b) Project List'!A10&amp;", "&amp;EXP!D10&amp;": "&amp;EXP!C10</f>
        <v xml:space="preserve">Projektliste für Eintrag 2, : </v>
      </c>
      <c r="C3" s="2046"/>
      <c r="D3" s="2046"/>
      <c r="E3" s="2046"/>
      <c r="F3" s="2046"/>
      <c r="G3" s="2046"/>
      <c r="H3" s="2046"/>
      <c r="I3" s="2046"/>
      <c r="J3" s="2046"/>
      <c r="K3" s="2046"/>
      <c r="L3" s="2046"/>
      <c r="M3" s="2046"/>
    </row>
    <row r="4" spans="1:19" ht="21">
      <c r="B4" s="488"/>
      <c r="C4" s="488"/>
      <c r="D4" s="488"/>
      <c r="E4" s="488"/>
      <c r="F4" s="488"/>
      <c r="G4" s="488"/>
      <c r="H4" s="488"/>
      <c r="I4" s="488"/>
      <c r="J4" s="488"/>
      <c r="K4" s="488"/>
      <c r="L4" s="488"/>
      <c r="M4" s="488"/>
    </row>
    <row r="5" spans="1:19" ht="21">
      <c r="B5" s="489" t="str">
        <f>EXP!B5</f>
        <v xml:space="preserve"> , Level A, Projekt Management, Erstzertifizierung</v>
      </c>
      <c r="C5" s="490"/>
      <c r="D5" s="490"/>
      <c r="E5" s="490"/>
      <c r="F5" s="490"/>
      <c r="G5" s="490"/>
      <c r="H5" s="490"/>
      <c r="I5" s="490"/>
      <c r="J5" s="490"/>
      <c r="K5" s="490"/>
      <c r="L5" s="490"/>
      <c r="M5" s="490"/>
    </row>
    <row r="6" spans="1:19" ht="15" customHeight="1">
      <c r="A6" s="1284"/>
      <c r="B6" s="554"/>
      <c r="C6" s="554"/>
      <c r="D6" s="554"/>
      <c r="E6" s="554"/>
      <c r="F6" s="554"/>
      <c r="G6" s="554"/>
      <c r="H6" s="554"/>
      <c r="I6" s="554"/>
      <c r="J6" s="554"/>
      <c r="K6" s="554"/>
      <c r="L6" s="554"/>
      <c r="M6" s="554"/>
      <c r="N6" s="554"/>
      <c r="O6" s="554"/>
      <c r="P6" s="554"/>
      <c r="Q6" s="554"/>
      <c r="R6" s="554"/>
      <c r="S6" s="554"/>
    </row>
    <row r="7" spans="1:19" ht="24">
      <c r="A7" s="1284"/>
      <c r="B7" s="2171" t="str">
        <f>Dictionary!B665</f>
        <v>Nr.</v>
      </c>
      <c r="C7" s="2166" t="str">
        <f>Dictionary!B666</f>
        <v>Projektname</v>
      </c>
      <c r="D7" s="2166" t="str">
        <f>Dictionary!B667</f>
        <v>PM Domäne</v>
      </c>
      <c r="E7" s="2166" t="s">
        <v>269</v>
      </c>
      <c r="F7" s="2166" t="str">
        <f>Dictionary!B676</f>
        <v>Projekt- / Programm Typ</v>
      </c>
      <c r="G7" s="2173" t="str">
        <f>Dictionary!B677</f>
        <v>Strategisch</v>
      </c>
      <c r="H7" s="2166" t="str">
        <f>Dictionary!B670</f>
        <v>Dauer</v>
      </c>
      <c r="I7" s="2166"/>
      <c r="J7" s="2166" t="str">
        <f>Dictionary!B671</f>
        <v>Gesamtaufwand [Personentage]:</v>
      </c>
      <c r="K7" s="2166"/>
      <c r="L7" s="2166" t="str">
        <f>Dictionary!B672</f>
        <v>Gesamtbudget [€]:</v>
      </c>
      <c r="M7" s="2175"/>
      <c r="N7" s="554"/>
      <c r="O7" s="554"/>
      <c r="P7" s="554"/>
      <c r="Q7" s="554"/>
      <c r="R7" s="554"/>
      <c r="S7" s="554"/>
    </row>
    <row r="8" spans="1:19" ht="24">
      <c r="A8" s="1284"/>
      <c r="B8" s="2172"/>
      <c r="C8" s="2167"/>
      <c r="D8" s="2167"/>
      <c r="E8" s="2167"/>
      <c r="F8" s="2167"/>
      <c r="G8" s="2174"/>
      <c r="H8" s="1305" t="str">
        <f>Dictionary!B668</f>
        <v>Startdatum</v>
      </c>
      <c r="I8" s="1305" t="str">
        <f>Dictionary!B669</f>
        <v>Endtermin</v>
      </c>
      <c r="J8" s="1305" t="str">
        <f>Dictionary!B673</f>
        <v>geplant</v>
      </c>
      <c r="K8" s="1305" t="str">
        <f>Dictionary!B674</f>
        <v>realisiert</v>
      </c>
      <c r="L8" s="1305" t="str">
        <f>Dictionary!B673</f>
        <v>geplant</v>
      </c>
      <c r="M8" s="1306" t="str">
        <f>Dictionary!B674</f>
        <v>realisiert</v>
      </c>
      <c r="N8" s="554"/>
      <c r="O8" s="554"/>
      <c r="P8" s="554"/>
      <c r="Q8" s="554"/>
      <c r="R8" s="554"/>
      <c r="S8" s="554"/>
    </row>
    <row r="9" spans="1:19" ht="24" hidden="1">
      <c r="A9" s="1284"/>
      <c r="B9" s="1304" t="s">
        <v>2826</v>
      </c>
      <c r="C9" s="1297" t="s">
        <v>2827</v>
      </c>
      <c r="D9" s="1297" t="s">
        <v>2837</v>
      </c>
      <c r="E9" s="1297" t="s">
        <v>2828</v>
      </c>
      <c r="F9" s="1297" t="s">
        <v>2829</v>
      </c>
      <c r="G9" s="1298" t="s">
        <v>2830</v>
      </c>
      <c r="H9" s="1299" t="s">
        <v>2831</v>
      </c>
      <c r="I9" s="1299" t="s">
        <v>2832</v>
      </c>
      <c r="J9" s="1300" t="s">
        <v>2833</v>
      </c>
      <c r="K9" s="1300" t="s">
        <v>2834</v>
      </c>
      <c r="L9" s="1300" t="s">
        <v>2835</v>
      </c>
      <c r="M9" s="1300" t="s">
        <v>2836</v>
      </c>
      <c r="N9" s="554"/>
      <c r="O9" s="554"/>
      <c r="P9" s="554"/>
      <c r="Q9" s="554"/>
      <c r="R9" s="554"/>
      <c r="S9" s="554"/>
    </row>
    <row r="10" spans="1:19" ht="24">
      <c r="A10" s="1284"/>
      <c r="B10" s="1292">
        <v>1</v>
      </c>
      <c r="C10" s="1291"/>
      <c r="D10" s="1291"/>
      <c r="E10" s="1291"/>
      <c r="F10" s="1291"/>
      <c r="G10" s="1296"/>
      <c r="H10" s="1307"/>
      <c r="I10" s="1308"/>
      <c r="J10" s="1321"/>
      <c r="K10" s="1321"/>
      <c r="L10" s="1293"/>
      <c r="M10" s="1293"/>
      <c r="N10" s="554"/>
      <c r="O10" s="554"/>
      <c r="P10" s="554"/>
      <c r="Q10" s="554"/>
      <c r="R10" s="554"/>
      <c r="S10" s="554"/>
    </row>
    <row r="11" spans="1:19" ht="24">
      <c r="A11" s="1284"/>
      <c r="B11" s="1292">
        <v>2</v>
      </c>
      <c r="C11" s="1291"/>
      <c r="D11" s="1291"/>
      <c r="E11" s="1291"/>
      <c r="F11" s="1291"/>
      <c r="G11" s="1296"/>
      <c r="H11" s="1309"/>
      <c r="I11" s="1310"/>
      <c r="J11" s="1321"/>
      <c r="K11" s="1321"/>
      <c r="L11" s="1293"/>
      <c r="M11" s="1293"/>
      <c r="N11" s="554"/>
      <c r="O11" s="554"/>
      <c r="P11" s="554"/>
      <c r="Q11" s="554"/>
      <c r="R11" s="554"/>
      <c r="S11" s="554"/>
    </row>
    <row r="12" spans="1:19" ht="24">
      <c r="A12" s="1284"/>
      <c r="B12" s="1292">
        <v>3</v>
      </c>
      <c r="C12" s="1291"/>
      <c r="D12" s="1291"/>
      <c r="E12" s="1291"/>
      <c r="F12" s="1291"/>
      <c r="G12" s="1296"/>
      <c r="H12" s="1309"/>
      <c r="I12" s="1310"/>
      <c r="J12" s="1321"/>
      <c r="K12" s="1321"/>
      <c r="L12" s="1293"/>
      <c r="M12" s="1293"/>
      <c r="N12" s="554"/>
      <c r="O12" s="554"/>
      <c r="P12" s="554"/>
      <c r="Q12" s="554"/>
      <c r="R12" s="554"/>
      <c r="S12" s="554"/>
    </row>
    <row r="13" spans="1:19" ht="24">
      <c r="A13" s="1284"/>
      <c r="B13" s="1292">
        <v>4</v>
      </c>
      <c r="C13" s="1291"/>
      <c r="D13" s="1291"/>
      <c r="E13" s="1291"/>
      <c r="F13" s="1291"/>
      <c r="G13" s="1296"/>
      <c r="H13" s="1309"/>
      <c r="I13" s="1310"/>
      <c r="J13" s="1321"/>
      <c r="K13" s="1321"/>
      <c r="L13" s="1293"/>
      <c r="M13" s="1293"/>
      <c r="N13" s="554"/>
      <c r="O13" s="554"/>
      <c r="P13" s="554"/>
      <c r="Q13" s="554"/>
      <c r="R13" s="554"/>
      <c r="S13" s="554"/>
    </row>
    <row r="14" spans="1:19" ht="24">
      <c r="A14" s="1284"/>
      <c r="B14" s="1292">
        <v>5</v>
      </c>
      <c r="C14" s="1291"/>
      <c r="D14" s="1291"/>
      <c r="E14" s="1291"/>
      <c r="F14" s="1291"/>
      <c r="G14" s="1296"/>
      <c r="H14" s="1309"/>
      <c r="I14" s="1310"/>
      <c r="J14" s="1321"/>
      <c r="K14" s="1321"/>
      <c r="L14" s="1293"/>
      <c r="M14" s="1293"/>
      <c r="N14" s="554"/>
      <c r="O14" s="554"/>
      <c r="P14" s="554"/>
      <c r="Q14" s="554"/>
      <c r="R14" s="554"/>
      <c r="S14" s="554"/>
    </row>
    <row r="15" spans="1:19" ht="24">
      <c r="A15" s="1284"/>
      <c r="B15" s="1292">
        <v>6</v>
      </c>
      <c r="C15" s="1291"/>
      <c r="D15" s="1291"/>
      <c r="E15" s="1291"/>
      <c r="F15" s="1291"/>
      <c r="G15" s="1296"/>
      <c r="H15" s="1309"/>
      <c r="I15" s="1310"/>
      <c r="J15" s="1321"/>
      <c r="K15" s="1321"/>
      <c r="L15" s="1293"/>
      <c r="M15" s="1293"/>
      <c r="N15" s="554"/>
      <c r="O15" s="554"/>
      <c r="P15" s="554"/>
      <c r="Q15" s="554"/>
      <c r="R15" s="554"/>
      <c r="S15" s="554"/>
    </row>
    <row r="16" spans="1:19" ht="24">
      <c r="A16" s="1284"/>
      <c r="B16" s="1292">
        <v>7</v>
      </c>
      <c r="C16" s="1291"/>
      <c r="D16" s="1291"/>
      <c r="E16" s="1291"/>
      <c r="F16" s="1291"/>
      <c r="G16" s="1296"/>
      <c r="H16" s="1309"/>
      <c r="I16" s="1310"/>
      <c r="J16" s="1321"/>
      <c r="K16" s="1321"/>
      <c r="L16" s="1293"/>
      <c r="M16" s="1293"/>
      <c r="N16" s="554"/>
      <c r="O16" s="554"/>
      <c r="P16" s="554"/>
      <c r="Q16" s="554"/>
      <c r="R16" s="554"/>
      <c r="S16" s="554"/>
    </row>
    <row r="17" spans="1:19" ht="24">
      <c r="A17" s="1284"/>
      <c r="B17" s="1292">
        <v>8</v>
      </c>
      <c r="C17" s="1291"/>
      <c r="D17" s="1291"/>
      <c r="E17" s="1291"/>
      <c r="F17" s="1291"/>
      <c r="G17" s="1296"/>
      <c r="H17" s="1309"/>
      <c r="I17" s="1310"/>
      <c r="J17" s="1321"/>
      <c r="K17" s="1321"/>
      <c r="L17" s="1293"/>
      <c r="M17" s="1293"/>
      <c r="N17" s="554"/>
      <c r="O17" s="554"/>
      <c r="P17" s="554"/>
      <c r="Q17" s="554"/>
      <c r="R17" s="554"/>
      <c r="S17" s="554"/>
    </row>
    <row r="18" spans="1:19" ht="24">
      <c r="A18" s="1284"/>
      <c r="B18" s="1292">
        <v>9</v>
      </c>
      <c r="C18" s="1291"/>
      <c r="D18" s="1291"/>
      <c r="E18" s="1291"/>
      <c r="F18" s="1291"/>
      <c r="G18" s="1296"/>
      <c r="H18" s="1309"/>
      <c r="I18" s="1310"/>
      <c r="J18" s="1321"/>
      <c r="K18" s="1321"/>
      <c r="L18" s="1293"/>
      <c r="M18" s="1293"/>
      <c r="N18" s="554"/>
      <c r="O18" s="554"/>
      <c r="P18" s="554"/>
      <c r="Q18" s="554"/>
      <c r="R18" s="554"/>
      <c r="S18" s="554"/>
    </row>
    <row r="19" spans="1:19" ht="24">
      <c r="A19" s="1284"/>
      <c r="B19" s="1292">
        <v>10</v>
      </c>
      <c r="C19" s="1291"/>
      <c r="D19" s="1291"/>
      <c r="E19" s="1291"/>
      <c r="F19" s="1291"/>
      <c r="G19" s="1296"/>
      <c r="H19" s="1309"/>
      <c r="I19" s="1310"/>
      <c r="J19" s="1321"/>
      <c r="K19" s="1321"/>
      <c r="L19" s="1293"/>
      <c r="M19" s="1293"/>
      <c r="N19" s="554"/>
      <c r="O19" s="554"/>
      <c r="P19" s="554"/>
      <c r="Q19" s="554"/>
      <c r="R19" s="554"/>
      <c r="S19" s="554"/>
    </row>
    <row r="20" spans="1:19" ht="24">
      <c r="A20" s="1284"/>
      <c r="B20" s="1292">
        <v>11</v>
      </c>
      <c r="C20" s="1291"/>
      <c r="D20" s="1291"/>
      <c r="E20" s="1291"/>
      <c r="F20" s="1291"/>
      <c r="G20" s="1296"/>
      <c r="H20" s="1309"/>
      <c r="I20" s="1310"/>
      <c r="J20" s="1321"/>
      <c r="K20" s="1321"/>
      <c r="L20" s="1293"/>
      <c r="M20" s="1293"/>
      <c r="N20" s="554"/>
      <c r="O20" s="554"/>
      <c r="P20" s="554"/>
      <c r="Q20" s="554"/>
      <c r="R20" s="554"/>
      <c r="S20" s="554"/>
    </row>
    <row r="21" spans="1:19" ht="24">
      <c r="A21" s="1284"/>
      <c r="B21" s="1292">
        <v>12</v>
      </c>
      <c r="C21" s="1291"/>
      <c r="D21" s="1291"/>
      <c r="E21" s="1291"/>
      <c r="F21" s="1291"/>
      <c r="G21" s="1296"/>
      <c r="H21" s="1309"/>
      <c r="I21" s="1310"/>
      <c r="J21" s="1321"/>
      <c r="K21" s="1321"/>
      <c r="L21" s="1293"/>
      <c r="M21" s="1293"/>
      <c r="N21" s="554"/>
      <c r="O21" s="554"/>
      <c r="P21" s="554"/>
      <c r="Q21" s="554"/>
      <c r="R21" s="554"/>
      <c r="S21" s="554"/>
    </row>
    <row r="22" spans="1:19" ht="24">
      <c r="A22" s="1284"/>
      <c r="B22" s="1292">
        <v>13</v>
      </c>
      <c r="C22" s="1291"/>
      <c r="D22" s="1291"/>
      <c r="E22" s="1291"/>
      <c r="F22" s="1291"/>
      <c r="G22" s="1296"/>
      <c r="H22" s="1309"/>
      <c r="I22" s="1310"/>
      <c r="J22" s="1321"/>
      <c r="K22" s="1321"/>
      <c r="L22" s="1293"/>
      <c r="M22" s="1293"/>
      <c r="N22" s="554"/>
      <c r="O22" s="554"/>
      <c r="P22" s="554"/>
      <c r="Q22" s="554"/>
      <c r="R22" s="554"/>
      <c r="S22" s="554"/>
    </row>
    <row r="23" spans="1:19" ht="24">
      <c r="A23" s="1284"/>
      <c r="B23" s="1292">
        <v>14</v>
      </c>
      <c r="C23" s="1291"/>
      <c r="D23" s="1291"/>
      <c r="E23" s="1291"/>
      <c r="F23" s="1291"/>
      <c r="G23" s="1296"/>
      <c r="H23" s="1309"/>
      <c r="I23" s="1310"/>
      <c r="J23" s="1321"/>
      <c r="K23" s="1321"/>
      <c r="L23" s="1293"/>
      <c r="M23" s="1293"/>
      <c r="N23" s="554"/>
      <c r="O23" s="554"/>
      <c r="P23" s="554"/>
      <c r="Q23" s="554"/>
      <c r="R23" s="554"/>
      <c r="S23" s="554"/>
    </row>
    <row r="24" spans="1:19" ht="24">
      <c r="A24" s="1284"/>
      <c r="B24" s="1292">
        <v>15</v>
      </c>
      <c r="C24" s="1291"/>
      <c r="D24" s="1291"/>
      <c r="E24" s="1291"/>
      <c r="F24" s="1291"/>
      <c r="G24" s="1296"/>
      <c r="H24" s="1309"/>
      <c r="I24" s="1310"/>
      <c r="J24" s="1321"/>
      <c r="K24" s="1321"/>
      <c r="L24" s="1293"/>
      <c r="M24" s="1293"/>
      <c r="N24" s="554"/>
      <c r="O24" s="554"/>
      <c r="P24" s="554"/>
      <c r="Q24" s="554"/>
      <c r="R24" s="554"/>
      <c r="S24" s="554"/>
    </row>
    <row r="25" spans="1:19" ht="24">
      <c r="A25" s="1284"/>
      <c r="B25" s="1292">
        <v>16</v>
      </c>
      <c r="C25" s="1291"/>
      <c r="D25" s="1291"/>
      <c r="E25" s="1291"/>
      <c r="F25" s="1291"/>
      <c r="G25" s="1296"/>
      <c r="H25" s="1309"/>
      <c r="I25" s="1310"/>
      <c r="J25" s="1321"/>
      <c r="K25" s="1321"/>
      <c r="L25" s="1293"/>
      <c r="M25" s="1293"/>
      <c r="N25" s="554"/>
      <c r="O25" s="554"/>
      <c r="P25" s="554"/>
      <c r="Q25" s="554"/>
      <c r="R25" s="554"/>
      <c r="S25" s="554"/>
    </row>
    <row r="26" spans="1:19" ht="24">
      <c r="A26" s="1284"/>
      <c r="B26" s="1292">
        <v>17</v>
      </c>
      <c r="C26" s="1291"/>
      <c r="D26" s="1291"/>
      <c r="E26" s="1291"/>
      <c r="F26" s="1291"/>
      <c r="G26" s="1296"/>
      <c r="H26" s="1309"/>
      <c r="I26" s="1310"/>
      <c r="J26" s="1321"/>
      <c r="K26" s="1321"/>
      <c r="L26" s="1293"/>
      <c r="M26" s="1293"/>
      <c r="N26" s="554"/>
      <c r="O26" s="554"/>
      <c r="P26" s="554"/>
      <c r="Q26" s="554"/>
      <c r="R26" s="554"/>
      <c r="S26" s="554"/>
    </row>
    <row r="27" spans="1:19" ht="24">
      <c r="A27" s="1284"/>
      <c r="B27" s="1292">
        <v>18</v>
      </c>
      <c r="C27" s="1291"/>
      <c r="D27" s="1291"/>
      <c r="E27" s="1291"/>
      <c r="F27" s="1291"/>
      <c r="G27" s="1296"/>
      <c r="H27" s="1309"/>
      <c r="I27" s="1310"/>
      <c r="J27" s="1321"/>
      <c r="K27" s="1321"/>
      <c r="L27" s="1293"/>
      <c r="M27" s="1293"/>
      <c r="N27" s="554"/>
      <c r="O27" s="554"/>
      <c r="P27" s="554"/>
      <c r="Q27" s="554"/>
      <c r="R27" s="554"/>
      <c r="S27" s="554"/>
    </row>
    <row r="28" spans="1:19" ht="24">
      <c r="A28" s="1284"/>
      <c r="B28" s="1292">
        <v>19</v>
      </c>
      <c r="C28" s="1291"/>
      <c r="D28" s="1291"/>
      <c r="E28" s="1291"/>
      <c r="F28" s="1291"/>
      <c r="G28" s="1296"/>
      <c r="H28" s="1309"/>
      <c r="I28" s="1310"/>
      <c r="J28" s="1321"/>
      <c r="K28" s="1321"/>
      <c r="L28" s="1293"/>
      <c r="M28" s="1293"/>
      <c r="N28" s="554"/>
      <c r="O28" s="554"/>
      <c r="P28" s="554"/>
      <c r="Q28" s="554"/>
      <c r="R28" s="554"/>
      <c r="S28" s="554"/>
    </row>
    <row r="29" spans="1:19" ht="24">
      <c r="A29" s="1284"/>
      <c r="B29" s="1292">
        <v>20</v>
      </c>
      <c r="C29" s="1291"/>
      <c r="D29" s="1291"/>
      <c r="E29" s="1291"/>
      <c r="F29" s="1291"/>
      <c r="G29" s="1296"/>
      <c r="H29" s="1309"/>
      <c r="I29" s="1310"/>
      <c r="J29" s="1321"/>
      <c r="K29" s="1321"/>
      <c r="L29" s="1293"/>
      <c r="M29" s="1293"/>
      <c r="N29" s="554"/>
      <c r="O29" s="554"/>
      <c r="P29" s="554"/>
      <c r="Q29" s="554"/>
      <c r="R29" s="554"/>
      <c r="S29" s="554"/>
    </row>
    <row r="30" spans="1:19" ht="24">
      <c r="A30" s="1284"/>
      <c r="B30" s="1292">
        <v>21</v>
      </c>
      <c r="C30" s="1291"/>
      <c r="D30" s="1291"/>
      <c r="E30" s="1291"/>
      <c r="F30" s="1291"/>
      <c r="G30" s="1296"/>
      <c r="H30" s="1309"/>
      <c r="I30" s="1310"/>
      <c r="J30" s="1321"/>
      <c r="K30" s="1321"/>
      <c r="L30" s="1293"/>
      <c r="M30" s="1293"/>
      <c r="N30" s="554"/>
      <c r="O30" s="554"/>
      <c r="P30" s="554"/>
      <c r="Q30" s="554"/>
      <c r="R30" s="554"/>
      <c r="S30" s="554"/>
    </row>
    <row r="31" spans="1:19" ht="24">
      <c r="A31" s="1284"/>
      <c r="B31" s="1292">
        <v>22</v>
      </c>
      <c r="C31" s="1291"/>
      <c r="D31" s="1291"/>
      <c r="E31" s="1291"/>
      <c r="F31" s="1291"/>
      <c r="G31" s="1296"/>
      <c r="H31" s="1309"/>
      <c r="I31" s="1310"/>
      <c r="J31" s="1321"/>
      <c r="K31" s="1321"/>
      <c r="L31" s="1293"/>
      <c r="M31" s="1293"/>
      <c r="N31" s="554"/>
      <c r="O31" s="554"/>
      <c r="P31" s="554"/>
      <c r="Q31" s="554"/>
      <c r="R31" s="554"/>
      <c r="S31" s="554"/>
    </row>
    <row r="32" spans="1:19" ht="24">
      <c r="A32" s="1284"/>
      <c r="B32" s="1292">
        <v>23</v>
      </c>
      <c r="C32" s="1291"/>
      <c r="D32" s="1291"/>
      <c r="E32" s="1291"/>
      <c r="F32" s="1291"/>
      <c r="G32" s="1296"/>
      <c r="H32" s="1309"/>
      <c r="I32" s="1310"/>
      <c r="J32" s="1321"/>
      <c r="K32" s="1321"/>
      <c r="L32" s="1293"/>
      <c r="M32" s="1293"/>
      <c r="N32" s="554"/>
      <c r="O32" s="554"/>
      <c r="P32" s="554"/>
      <c r="Q32" s="554"/>
      <c r="R32" s="554"/>
      <c r="S32" s="554"/>
    </row>
    <row r="33" spans="1:19" ht="24">
      <c r="A33" s="1284"/>
      <c r="B33" s="1292">
        <v>24</v>
      </c>
      <c r="C33" s="1291"/>
      <c r="D33" s="1291"/>
      <c r="E33" s="1291"/>
      <c r="F33" s="1291"/>
      <c r="G33" s="1296"/>
      <c r="H33" s="1309"/>
      <c r="I33" s="1310"/>
      <c r="J33" s="1321"/>
      <c r="K33" s="1321"/>
      <c r="L33" s="1293"/>
      <c r="M33" s="1293"/>
      <c r="N33" s="554"/>
      <c r="O33" s="554"/>
      <c r="P33" s="554"/>
      <c r="Q33" s="554"/>
      <c r="R33" s="554"/>
      <c r="S33" s="554"/>
    </row>
    <row r="34" spans="1:19" ht="24">
      <c r="A34" s="1284"/>
      <c r="B34" s="1292">
        <v>25</v>
      </c>
      <c r="C34" s="1291"/>
      <c r="D34" s="1291"/>
      <c r="E34" s="1291"/>
      <c r="F34" s="1291"/>
      <c r="G34" s="1296"/>
      <c r="H34" s="1309"/>
      <c r="I34" s="1310"/>
      <c r="J34" s="1321"/>
      <c r="K34" s="1321"/>
      <c r="L34" s="1293"/>
      <c r="M34" s="1293"/>
      <c r="N34" s="554"/>
      <c r="O34" s="554"/>
      <c r="P34" s="554"/>
      <c r="Q34" s="554"/>
      <c r="R34" s="554"/>
      <c r="S34" s="554"/>
    </row>
    <row r="35" spans="1:19" ht="24">
      <c r="A35" s="1284"/>
      <c r="B35" s="1292">
        <v>26</v>
      </c>
      <c r="C35" s="1291"/>
      <c r="D35" s="1291"/>
      <c r="E35" s="1291"/>
      <c r="F35" s="1291"/>
      <c r="G35" s="1296"/>
      <c r="H35" s="1309"/>
      <c r="I35" s="1310"/>
      <c r="J35" s="1321"/>
      <c r="K35" s="1321"/>
      <c r="L35" s="1293"/>
      <c r="M35" s="1293"/>
      <c r="N35" s="554"/>
      <c r="O35" s="554"/>
      <c r="P35" s="554"/>
      <c r="Q35" s="554"/>
      <c r="R35" s="554"/>
      <c r="S35" s="554"/>
    </row>
    <row r="36" spans="1:19" ht="24">
      <c r="A36" s="1284"/>
      <c r="B36" s="1292">
        <v>27</v>
      </c>
      <c r="C36" s="1291"/>
      <c r="D36" s="1291"/>
      <c r="E36" s="1291"/>
      <c r="F36" s="1291"/>
      <c r="G36" s="1296"/>
      <c r="H36" s="1309"/>
      <c r="I36" s="1310"/>
      <c r="J36" s="1321"/>
      <c r="K36" s="1321"/>
      <c r="L36" s="1293"/>
      <c r="M36" s="1293"/>
      <c r="N36" s="554"/>
      <c r="O36" s="554"/>
      <c r="P36" s="554"/>
      <c r="Q36" s="554"/>
      <c r="R36" s="554"/>
      <c r="S36" s="554"/>
    </row>
    <row r="37" spans="1:19" ht="24">
      <c r="A37" s="1284"/>
      <c r="B37" s="1292">
        <v>28</v>
      </c>
      <c r="C37" s="1291"/>
      <c r="D37" s="1291"/>
      <c r="E37" s="1291"/>
      <c r="F37" s="1291"/>
      <c r="G37" s="1296"/>
      <c r="H37" s="1309"/>
      <c r="I37" s="1310"/>
      <c r="J37" s="1321"/>
      <c r="K37" s="1321"/>
      <c r="L37" s="1293"/>
      <c r="M37" s="1293"/>
      <c r="N37" s="554"/>
      <c r="O37" s="554"/>
      <c r="P37" s="554"/>
      <c r="Q37" s="554"/>
      <c r="R37" s="554"/>
      <c r="S37" s="554"/>
    </row>
    <row r="38" spans="1:19" ht="24">
      <c r="A38" s="1284"/>
      <c r="B38" s="1292">
        <v>29</v>
      </c>
      <c r="C38" s="1291"/>
      <c r="D38" s="1291"/>
      <c r="E38" s="1291"/>
      <c r="F38" s="1291"/>
      <c r="G38" s="1296"/>
      <c r="H38" s="1309"/>
      <c r="I38" s="1310"/>
      <c r="J38" s="1321"/>
      <c r="K38" s="1321"/>
      <c r="L38" s="1293"/>
      <c r="M38" s="1293"/>
      <c r="N38" s="554"/>
      <c r="O38" s="554"/>
      <c r="P38" s="554"/>
      <c r="Q38" s="554"/>
      <c r="R38" s="554"/>
      <c r="S38" s="554"/>
    </row>
    <row r="39" spans="1:19" ht="24">
      <c r="A39" s="1284"/>
      <c r="B39" s="1292">
        <v>30</v>
      </c>
      <c r="C39" s="1311"/>
      <c r="D39" s="1311"/>
      <c r="E39" s="1311"/>
      <c r="F39" s="1311"/>
      <c r="G39" s="1312"/>
      <c r="H39" s="1313"/>
      <c r="I39" s="1314"/>
      <c r="J39" s="1322"/>
      <c r="K39" s="1322"/>
      <c r="L39" s="1315"/>
      <c r="M39" s="1315"/>
      <c r="N39" s="554"/>
      <c r="O39" s="554"/>
      <c r="P39" s="554"/>
      <c r="Q39" s="554"/>
      <c r="R39" s="554"/>
      <c r="S39" s="554"/>
    </row>
    <row r="40" spans="1:19" ht="24">
      <c r="A40" s="1284"/>
      <c r="B40" s="1301"/>
      <c r="C40" s="2168" t="str">
        <f>Dictionary!B675</f>
        <v xml:space="preserve">Programm / Portfolio Verwaltung </v>
      </c>
      <c r="D40" s="2169"/>
      <c r="E40" s="2169"/>
      <c r="F40" s="2169"/>
      <c r="G40" s="2170"/>
      <c r="H40" s="1319"/>
      <c r="I40" s="1320"/>
      <c r="J40" s="1323"/>
      <c r="K40" s="1323"/>
      <c r="L40" s="1294"/>
      <c r="M40" s="1295"/>
      <c r="N40" s="554"/>
      <c r="O40" s="554"/>
      <c r="P40" s="554"/>
      <c r="Q40" s="554"/>
      <c r="R40" s="554"/>
      <c r="S40" s="554"/>
    </row>
    <row r="41" spans="1:19" ht="24">
      <c r="A41" s="1284"/>
      <c r="B41" s="1302"/>
      <c r="C41" s="1316"/>
      <c r="D41" s="1316"/>
      <c r="E41" s="1316"/>
      <c r="F41" s="1316"/>
      <c r="G41" s="1316"/>
      <c r="H41" s="2176" t="s">
        <v>2825</v>
      </c>
      <c r="I41" s="2176"/>
      <c r="J41" s="1317">
        <f>SUM(J9:J40)</f>
        <v>0</v>
      </c>
      <c r="K41" s="1317">
        <f>SUM(K9:K40)</f>
        <v>0</v>
      </c>
      <c r="L41" s="1318">
        <f>SUM(L9:L40)</f>
        <v>0</v>
      </c>
      <c r="M41" s="1318">
        <f>SUM(M9:M40)</f>
        <v>0</v>
      </c>
      <c r="N41" s="554"/>
      <c r="O41" s="554"/>
      <c r="P41" s="554"/>
      <c r="Q41" s="554"/>
      <c r="R41" s="554"/>
      <c r="S41" s="554"/>
    </row>
    <row r="42" spans="1:19" ht="24">
      <c r="B42" s="554"/>
      <c r="C42" s="554"/>
      <c r="D42" s="554"/>
      <c r="E42" s="554"/>
      <c r="F42" s="554"/>
      <c r="G42" s="554"/>
      <c r="H42" s="554"/>
      <c r="I42" s="554"/>
      <c r="J42" s="554"/>
      <c r="K42" s="554"/>
      <c r="L42" s="554"/>
      <c r="M42" s="554"/>
    </row>
    <row r="43" spans="1:19" ht="17" thickBot="1">
      <c r="B43" s="460"/>
      <c r="C43" s="460"/>
      <c r="D43" s="460"/>
      <c r="E43" s="460"/>
      <c r="F43" s="460"/>
      <c r="G43" s="460"/>
      <c r="H43" s="460"/>
      <c r="I43" s="460"/>
      <c r="J43" s="460"/>
      <c r="K43" s="460"/>
      <c r="L43" s="460"/>
      <c r="M43" s="460"/>
    </row>
    <row r="44" spans="1:19">
      <c r="M44" s="464" t="s">
        <v>105</v>
      </c>
    </row>
    <row r="50" spans="3:6" hidden="1"/>
    <row r="51" spans="3:6" hidden="1">
      <c r="C51" s="2163" t="s">
        <v>249</v>
      </c>
      <c r="D51" s="2164"/>
      <c r="E51" s="2164"/>
      <c r="F51" s="2165"/>
    </row>
    <row r="52" spans="3:6" hidden="1">
      <c r="C52" s="240"/>
      <c r="D52" s="172"/>
      <c r="E52" s="241"/>
      <c r="F52" s="241"/>
    </row>
    <row r="53" spans="3:6" hidden="1">
      <c r="C53" s="1905" t="s">
        <v>970</v>
      </c>
      <c r="D53" s="172" t="s">
        <v>1037</v>
      </c>
      <c r="E53" s="241"/>
      <c r="F53" s="241"/>
    </row>
    <row r="54" spans="3:6" hidden="1">
      <c r="C54" s="1906" t="s">
        <v>1024</v>
      </c>
      <c r="D54" s="172"/>
      <c r="E54" s="241"/>
      <c r="F54" s="241"/>
    </row>
    <row r="55" spans="3:6" hidden="1">
      <c r="C55" s="1907" t="s">
        <v>1025</v>
      </c>
      <c r="D55" s="172"/>
      <c r="E55" s="241"/>
      <c r="F55" s="241"/>
    </row>
    <row r="56" spans="3:6" hidden="1">
      <c r="C56" s="240"/>
      <c r="D56" s="172"/>
      <c r="E56" s="241"/>
      <c r="F56" s="241"/>
    </row>
    <row r="57" spans="3:6" hidden="1">
      <c r="C57" s="240"/>
      <c r="D57" s="172"/>
      <c r="E57" s="241"/>
      <c r="F57" s="241"/>
    </row>
    <row r="58" spans="3:6" hidden="1">
      <c r="C58" s="240"/>
      <c r="D58" s="172"/>
      <c r="E58" s="241"/>
      <c r="F58" s="241"/>
    </row>
    <row r="59" spans="3:6" hidden="1">
      <c r="C59" s="242"/>
      <c r="D59" s="1303"/>
      <c r="E59" s="185"/>
      <c r="F59" s="185"/>
    </row>
    <row r="60" spans="3:6" hidden="1"/>
  </sheetData>
  <sheetProtection algorithmName="SHA-512" hashValue="+OeKACw6obl8khqTS7SLIDu67+kjB95u2Uc/xot//wULlCEsYxIFIiPCozmlA77c0uZHWJ6jbow78yBdnF4qXA==" saltValue="6fDCAiIkPQxw6beclJ5kkA==" spinCount="100000" sheet="1" objects="1" scenarios="1" selectLockedCells="1"/>
  <mergeCells count="13">
    <mergeCell ref="C40:G40"/>
    <mergeCell ref="H41:I41"/>
    <mergeCell ref="C51:F51"/>
    <mergeCell ref="B3:M3"/>
    <mergeCell ref="B7:B8"/>
    <mergeCell ref="C7:C8"/>
    <mergeCell ref="D7:D8"/>
    <mergeCell ref="E7:E8"/>
    <mergeCell ref="F7:F8"/>
    <mergeCell ref="G7:G8"/>
    <mergeCell ref="H7:I7"/>
    <mergeCell ref="J7:K7"/>
    <mergeCell ref="L7:M7"/>
  </mergeCells>
  <dataValidations count="6">
    <dataValidation type="date" operator="lessThan" allowBlank="1" showInputMessage="1" showErrorMessage="1" error="EN_x000a_End must occur after start._x000a__x000a_DE_x000a_Das Ende muss nach dem Start kommen._x000a_ " sqref="H10:H40" xr:uid="{00000000-0002-0000-0F00-000000000000}">
      <formula1>I10</formula1>
    </dataValidation>
    <dataValidation type="date" operator="greaterThan" allowBlank="1" showInputMessage="1" showErrorMessage="1" error="EN_x000a_End must occur after start._x000a__x000a_DE_x000a_Das Ende muss nach dem Start kommen._x000a_ " sqref="I10:I40" xr:uid="{00000000-0002-0000-0F00-000001000000}">
      <formula1>H10</formula1>
    </dataValidation>
    <dataValidation type="list" allowBlank="1" showInputMessage="1" showErrorMessage="1" sqref="G10:G39" xr:uid="{00000000-0002-0000-0F00-000002000000}">
      <formula1>$D$53:$D$54</formula1>
    </dataValidation>
    <dataValidation type="list" allowBlank="1" showInputMessage="1" showErrorMessage="1" sqref="D10:D39" xr:uid="{00000000-0002-0000-0F00-000003000000}">
      <formula1>$C$53:$C$55</formula1>
    </dataValidation>
    <dataValidation type="whole" operator="greaterThan" allowBlank="1" showInputMessage="1" showErrorMessage="1" error="Bitte eine ganze Zahl grösser als 0 eingeben!" sqref="J9:K40 M9:M40 L10:L40" xr:uid="{00000000-0002-0000-0F00-000004000000}">
      <formula1>0</formula1>
    </dataValidation>
    <dataValidation type="whole" operator="greaterThan" allowBlank="1" showInputMessage="1" showErrorMessage="1" error="Bitte eine ganze Zahl grösser als 0 eingeben!" promptTitle="Investition" prompt="Unter Investition werden die gesamten Kosten verstanden, inkl.der personellen Aufwände." sqref="L9" xr:uid="{00000000-0002-0000-0F00-000005000000}">
      <formula1>0</formula1>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6000000}">
          <x14:formula1>
            <xm:f>'Control Values'!$B$23:$B$26</xm:f>
          </x14:formula1>
          <xm:sqref>F10:F39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82E59-F7D4-4C48-A6BA-6E7B590BFB4C}">
  <sheetPr codeName="Sheet30">
    <tabColor theme="9" tint="-0.24994659260841701"/>
  </sheetPr>
  <dimension ref="B1:L70"/>
  <sheetViews>
    <sheetView showGridLines="0" showZeros="0" workbookViewId="0">
      <pane xSplit="8" ySplit="9" topLeftCell="I10" activePane="bottomRight" state="frozenSplit"/>
      <selection activeCell="B109" sqref="B109"/>
      <selection pane="topRight" activeCell="B109" sqref="B109"/>
      <selection pane="bottomLeft" activeCell="B109" sqref="B109"/>
      <selection pane="bottomRight" activeCell="I11" sqref="I11"/>
    </sheetView>
  </sheetViews>
  <sheetFormatPr baseColWidth="10" defaultColWidth="10" defaultRowHeight="14"/>
  <cols>
    <col min="1" max="1" width="2.6640625" style="472" customWidth="1"/>
    <col min="2" max="2" width="5.5" style="471" customWidth="1"/>
    <col min="3" max="3" width="17.1640625" style="472" customWidth="1"/>
    <col min="4" max="4" width="46.33203125" style="472" customWidth="1"/>
    <col min="5" max="8" width="26.5" style="472" customWidth="1"/>
    <col min="9" max="10" width="11.1640625" style="471" customWidth="1"/>
    <col min="11" max="11" width="55.33203125" style="473" customWidth="1"/>
    <col min="12" max="12" width="9.6640625" style="472" customWidth="1"/>
    <col min="13" max="16384" width="10" style="472"/>
  </cols>
  <sheetData>
    <row r="1" spans="2:11" ht="20.25" customHeight="1" thickBot="1">
      <c r="B1" s="497" t="str">
        <f ca="1">COV!C20</f>
        <v>DECKBLATT BITTE VOLLSTÄNDIG AUSFÜLLEN!</v>
      </c>
      <c r="C1" s="459"/>
      <c r="D1" s="459"/>
      <c r="E1" s="459"/>
      <c r="F1" s="459"/>
      <c r="G1" s="459"/>
      <c r="H1" s="459"/>
      <c r="I1" s="459"/>
      <c r="J1" s="459"/>
      <c r="K1" s="459"/>
    </row>
    <row r="2" spans="2:11" ht="5.25" customHeight="1" thickTop="1"/>
    <row r="3" spans="2:11" ht="21">
      <c r="B3" s="2046" t="str">
        <f>Dictionary!B680&amp;'(7b) Project List'!A10&amp;IF('(7b) Project List'!B10="","",": "&amp;'(7b) Project List'!B10)</f>
        <v>Bewertung der Managementkomplexität für Erfahrung 2</v>
      </c>
      <c r="C3" s="2046"/>
      <c r="D3" s="2046"/>
      <c r="E3" s="2046"/>
      <c r="F3" s="2046"/>
      <c r="G3" s="2046"/>
      <c r="H3" s="2046"/>
      <c r="I3" s="2046"/>
      <c r="J3" s="2046"/>
      <c r="K3" s="2046"/>
    </row>
    <row r="4" spans="2:11" s="498" customFormat="1" ht="21">
      <c r="B4" s="488"/>
      <c r="C4" s="488"/>
      <c r="D4" s="488"/>
      <c r="E4" s="488"/>
      <c r="F4" s="488"/>
      <c r="G4" s="488"/>
      <c r="H4" s="488"/>
      <c r="I4" s="488"/>
      <c r="J4" s="488"/>
      <c r="K4" s="488"/>
    </row>
    <row r="5" spans="2:11" s="467" customFormat="1" ht="22.5" customHeight="1">
      <c r="B5" s="489" t="str">
        <f>EXP!B5</f>
        <v xml:space="preserve"> , Level A, Projekt Management, Erstzertifizierung</v>
      </c>
      <c r="C5" s="491"/>
      <c r="D5" s="491"/>
      <c r="E5" s="492"/>
      <c r="F5" s="491"/>
      <c r="G5" s="493"/>
      <c r="H5" s="492"/>
      <c r="I5" s="492"/>
      <c r="J5" s="492"/>
      <c r="K5" s="494"/>
    </row>
    <row r="6" spans="2:11" s="467" customFormat="1" ht="20" customHeight="1">
      <c r="B6" s="466"/>
      <c r="C6" s="468"/>
      <c r="D6" s="468"/>
      <c r="E6" s="321"/>
      <c r="F6" s="2183"/>
      <c r="G6" s="2183"/>
      <c r="H6" s="2183"/>
      <c r="I6" s="469"/>
      <c r="J6" s="470"/>
    </row>
    <row r="7" spans="2:11" ht="15" customHeight="1"/>
    <row r="8" spans="2:11" s="334" customFormat="1" ht="22.25" customHeight="1">
      <c r="B8" s="2184" t="s">
        <v>294</v>
      </c>
      <c r="C8" s="2187" t="str">
        <f>Dictionary!B681</f>
        <v>Komplexitätsindikatoren und Teilindikatoren</v>
      </c>
      <c r="D8" s="2188"/>
      <c r="E8" s="2186" t="str">
        <f>Dictionary!B682</f>
        <v>Zu bewertende Kriterien:</v>
      </c>
      <c r="F8" s="2186"/>
      <c r="G8" s="2186"/>
      <c r="H8" s="2186"/>
      <c r="I8" s="2177" t="str">
        <f>Dictionary!B683</f>
        <v>Bewertungen und Kommentare</v>
      </c>
      <c r="J8" s="2178"/>
      <c r="K8" s="2179"/>
    </row>
    <row r="9" spans="2:11" s="334" customFormat="1" ht="30" customHeight="1">
      <c r="B9" s="2185"/>
      <c r="C9" s="2189"/>
      <c r="D9" s="2190"/>
      <c r="E9" s="474" t="str">
        <f>Dictionary!B684</f>
        <v>wenig komplex   (1)</v>
      </c>
      <c r="F9" s="474" t="str">
        <f>Dictionary!B685</f>
        <v>begrenzt komplex   (2)</v>
      </c>
      <c r="G9" s="474" t="str">
        <f>Dictionary!B686</f>
        <v>komplex   (3)</v>
      </c>
      <c r="H9" s="474" t="str">
        <f>Dictionary!B687</f>
        <v>sehr komplex   (4)</v>
      </c>
      <c r="I9" s="475" t="str">
        <f>Dictionary!B689</f>
        <v>Bewerber/in</v>
      </c>
      <c r="J9" s="476" t="str">
        <f>Dictionary!B690</f>
        <v>Leitende/r Assessor/in</v>
      </c>
      <c r="K9" s="476" t="str">
        <f>Dictionary!B691</f>
        <v>Anmerkungen, Kommentare, Nachweise (fakultativ)</v>
      </c>
    </row>
    <row r="10" spans="2:11" ht="30" customHeight="1">
      <c r="B10" s="477">
        <v>1</v>
      </c>
      <c r="C10" s="2180" t="str">
        <f>Dictionary!B693</f>
        <v>Indikatoren bezogen auf die technischen Fähigkeiten</v>
      </c>
      <c r="D10" s="2181"/>
      <c r="E10" s="2181"/>
      <c r="F10" s="2181"/>
      <c r="G10" s="2181"/>
      <c r="H10" s="2182"/>
      <c r="K10" s="478"/>
    </row>
    <row r="11" spans="2:11" ht="75">
      <c r="B11" s="479">
        <f>B10+0.1</f>
        <v>1.1000000000000001</v>
      </c>
      <c r="C11" s="558" t="str">
        <f>Dictionary!B694</f>
        <v>Ziele und Ergebnisse</v>
      </c>
      <c r="D11" s="558" t="str">
        <f>Dictionary!B695</f>
        <v>Anzahl und Unterschiedlichkeit der Einzelziele unter Berücksichtigung der Ziele und Erwartungen der relevanten Stakeholder, unterschiedliche Zielkategorien: Prozessziele, Nutzungsziele (Business Case), Operationalisierbarkeit, Transparenz und Abhängigkeiten</v>
      </c>
      <c r="E11" s="557" t="str">
        <f>Dictionary!B696</f>
        <v>sehr wenige klare Ziele, alle quantitativ angegeben, operabel</v>
      </c>
      <c r="F11" s="557" t="str">
        <f>Dictionary!B697</f>
        <v>wenige Ziele, gut formuliert, wenig Zielkonflikte</v>
      </c>
      <c r="G11" s="557" t="str">
        <f>Dictionary!B698</f>
        <v>mehrere Ziele unterschiedlicher Art, teilweise unklar definiert</v>
      </c>
      <c r="H11" s="557" t="str">
        <f>Dictionary!B699</f>
        <v>viele, teilweise konkurrierende  Ziele, strategische und politische Ziele, versteckte Ziele, Nutzungsziele</v>
      </c>
      <c r="I11" s="495"/>
      <c r="J11" s="495"/>
      <c r="K11" s="496"/>
    </row>
    <row r="12" spans="2:11" ht="65">
      <c r="B12" s="479">
        <f>B11+0.1</f>
        <v>1.2000000000000002</v>
      </c>
      <c r="C12" s="558" t="str">
        <f>Dictionary!B701</f>
        <v>Aufgaben und Prozesse</v>
      </c>
      <c r="D12" s="558" t="str">
        <f>Dictionary!B702</f>
        <v>Umfang der Aufgaben, Annahmen und Randbedingungen und deren Abhängigkeiten, eingesetzte Prozesse, Tools und Methoden, eingesetzte Team- und Kommunikationsstrukturen</v>
      </c>
      <c r="E12" s="557" t="str">
        <f>Dictionary!B703</f>
        <v>bekannte Aufgabenstellung und Randbedingungen; wenige Standard-/Reportingverfahren</v>
      </c>
      <c r="F12" s="557" t="str">
        <f>Dictionary!B704</f>
        <v>mehrere Aufgaben, ergänzt durch Annahmen; Einsatz bekannter Prozesse und Tools, einige Reporting-Vorgaben</v>
      </c>
      <c r="G12" s="557" t="str">
        <f>Dictionary!B705</f>
        <v>umfangreiches System von Aufgaben und Annahmen; viele Sachfaktoren; teilweise Einsatz neuartiger Tools und Prozesse, Reporting-Vorgaben</v>
      </c>
      <c r="H12" s="557" t="str">
        <f>Dictionary!B706</f>
        <v>sehr komplexe Aufgabenstellung, umfangreiches sachliches Umfeld; erfordert den Einsatz umfangreicher Prozess- und Toolwelt, strenge Reporting-Vorgaben</v>
      </c>
      <c r="I12" s="495"/>
      <c r="J12" s="495"/>
      <c r="K12" s="496"/>
    </row>
    <row r="13" spans="2:11" ht="65">
      <c r="B13" s="479">
        <f>B12+0.1</f>
        <v>1.3000000000000003</v>
      </c>
      <c r="C13" s="558" t="str">
        <f>Dictionary!B708</f>
        <v>Ressourcen und Finanzen</v>
      </c>
      <c r="D13" s="558" t="str">
        <f>Dictionary!B709</f>
        <v>Akquisition und Bereitstellung der erforderlichen Budgets sowie deren Management; Anzahl der Geldgeber; Verfügbarkeit und Qualität der notwendigen (personellen und sonstigen) Ressourcen; Ressourcen-Management und Beschaffungsprozesse</v>
      </c>
      <c r="E13" s="557" t="str">
        <f>Dictionary!B710</f>
        <v>Budget-Ermittlung ohne Verhandlung, einfache Kostenüberwachung; Ressourcen verfügbar, geringe Ressourcenkonflikte; geringfügige Beschaffungsvorgänge</v>
      </c>
      <c r="F13" s="557" t="str">
        <f>Dictionary!B711</f>
        <v>Budget-Ermittlung und  -Verhandlung; Verhandlung der benötigten Ressourcen, teilweise externe Ressourcen-Beschaffung</v>
      </c>
      <c r="G13" s="557" t="str">
        <f>Dictionary!B712</f>
        <v>Budget- und Ressourcenbeschaffung im Wettbewerb mit anderen Projekten; wesentliche Beschaffungsvorgänge</v>
      </c>
      <c r="H13" s="557" t="str">
        <f>Dictionary!B713</f>
        <v>Beschaffung wesentlicher Finanzmittel, Finanzierung durch unterschiedliche Geldgeber intern und extern; Steuerung wesentlicher Unterauftragnehmer</v>
      </c>
      <c r="I13" s="495"/>
      <c r="J13" s="495"/>
      <c r="K13" s="496"/>
    </row>
    <row r="14" spans="2:11" ht="60">
      <c r="B14" s="479">
        <f>B13+0.1</f>
        <v>1.4000000000000004</v>
      </c>
      <c r="C14" s="558" t="str">
        <f>Dictionary!B715</f>
        <v>Chancen und Risiken</v>
      </c>
      <c r="D14" s="558" t="str">
        <f>Dictionary!B716</f>
        <v xml:space="preserve">Bewertung der Chancen und Risiken im Projekt; Ermittlung und Steuerung des Risikosystems; Ableitung von validen Maßnahmen; Ermittlung und Nutzung von Chancen; Anwendung von Tools zur Steuerung des Risiko-Budgets </v>
      </c>
      <c r="E14" s="557" t="str">
        <f>Dictionary!B717</f>
        <v>wenige Risiken in überschaubarer Höhe, kein Chancen-Management</v>
      </c>
      <c r="F14" s="557" t="str">
        <f>Dictionary!B718</f>
        <v>mehrere Risiken und Chancen; stabiles Risiko-System; Management eines Risiko-Budgets</v>
      </c>
      <c r="G14" s="557" t="str">
        <f>Dictionary!B719</f>
        <v>mehrere Risiken mit begrenzter Schadenshöhe; Möglichkeit der Chancen-Nutzung zur Entlastung des Projektes</v>
      </c>
      <c r="H14" s="557" t="str">
        <f>Dictionary!B720</f>
        <v>Umfangreiches Risiko-Potential inklusive hoher strategischer Risiken; Anwendung valider Steuerungsmöglichkeiten; Meldung nach KONTRAG</v>
      </c>
      <c r="I14" s="495"/>
      <c r="J14" s="495"/>
      <c r="K14" s="496"/>
    </row>
    <row r="15" spans="2:11" s="387" customFormat="1" ht="24" customHeight="1">
      <c r="H15" s="387" t="str">
        <f>Dictionary!B721</f>
        <v>Durchschnitt der eingegebenen Detailbewertungen:</v>
      </c>
      <c r="I15" s="480" t="str">
        <f>IF(SUM(I11:I14)=0,"",ROUNDDOWN(AVERAGE(I11:I14),1))</f>
        <v/>
      </c>
      <c r="J15" s="480" t="str">
        <f>IF(SUM(J11:J14)=0,"",ROUNDDOWN(AVERAGE(J11:J14),1))</f>
        <v/>
      </c>
      <c r="K15" s="481"/>
    </row>
    <row r="16" spans="2:11">
      <c r="C16" s="473"/>
      <c r="D16" s="473"/>
      <c r="E16" s="482"/>
      <c r="F16" s="482"/>
      <c r="G16" s="482"/>
      <c r="H16" s="482"/>
    </row>
    <row r="17" spans="2:11" ht="30" customHeight="1">
      <c r="B17" s="477">
        <v>2</v>
      </c>
      <c r="C17" s="2180" t="str">
        <f>Dictionary!B723</f>
        <v>Indikatoren bezogen auf den Kontext</v>
      </c>
      <c r="D17" s="2181"/>
      <c r="E17" s="2181"/>
      <c r="F17" s="2181"/>
      <c r="G17" s="2181"/>
      <c r="H17" s="2182"/>
    </row>
    <row r="18" spans="2:11" ht="60">
      <c r="B18" s="479">
        <f>B17+0.1</f>
        <v>2.1</v>
      </c>
      <c r="C18" s="558" t="str">
        <f>Dictionary!B724</f>
        <v xml:space="preserve">Strategie, Stakeholder </v>
      </c>
      <c r="D18" s="558" t="str">
        <f>Dictionary!B725</f>
        <v>Einfluss der Unternehmens-Strategie, Auswirkungen des Projektes auf das Unternehmen, Stakeholder-Interessen;
Gesetze und Regularien</v>
      </c>
      <c r="E18" s="559" t="str">
        <f>Dictionary!B726</f>
        <v>wenige strategische Einflüsse; Projekt ist rein operativ ausgerichtet</v>
      </c>
      <c r="F18" s="559" t="str">
        <f>Dictionary!B727</f>
        <v>Stakeholder-Interessen  beeinflussen das Projekt begrenzte Einflüsse aus der Unternehmens-Strategie</v>
      </c>
      <c r="G18" s="559" t="str">
        <f>Dictionary!B728</f>
        <v>Viele Komponenten (?) unterschiedlicher Art</v>
      </c>
      <c r="H18" s="559" t="str">
        <f>Dictionary!B729</f>
        <v>Projekt hat erheblichen Einfluss auf das Unternehmen und seinen Erfolg; starke Auswirkungen von Gesetzen und Regularien</v>
      </c>
      <c r="I18" s="495"/>
      <c r="J18" s="495"/>
      <c r="K18" s="496"/>
    </row>
    <row r="19" spans="2:11" ht="135">
      <c r="B19" s="479">
        <f>B18+0.1</f>
        <v>2.2000000000000002</v>
      </c>
      <c r="C19" s="558" t="str">
        <f>Dictionary!B731</f>
        <v>Stammorganisation</v>
      </c>
      <c r="D19" s="558" t="str">
        <f>Dictionary!B732</f>
        <v>Umfang der Vernetzung über Schnittstellen des Projektes mit den Strukturen, Berichtswesen und Entscheidungswegen der Stammorganisation</v>
      </c>
      <c r="E19" s="559" t="str">
        <f>Dictionary!B733</f>
        <v xml:space="preserve">starke Abgrenzung des Projektes von der Stammorganisation, Entscheidungen fallen wesentlich in der Stammorganisation, viele ähnliche Projekte wurden bereits im Unternehmen durchgeführt </v>
      </c>
      <c r="F19" s="559" t="str">
        <f>Dictionary!B734</f>
        <v>klare Schnittstellen zur Stammorganisation z.B. über Leitungsgremium; Berichtswesen und Entscheidungswege begrenzt und klar definiert Projekt hat geringe Auswirkungen auf Prozesse der Stammorganisation,  ähnliche Projekte wurden bereits im Unternehmen durchgeführt</v>
      </c>
      <c r="G19" s="559" t="str">
        <f>Dictionary!B735</f>
        <v>viele operative Schnittstellen wirken auf  das Projekt ein; Berichte und Entscheidungen machen erheblichen Arbeitsanteil aus, Projekt hat  Auswirkungen auf Prozesse der Stammorganisation, wenige ähnliche Projekte wurden bereits im Unternehmen durchgeführt</v>
      </c>
      <c r="H19" s="559" t="str">
        <f>Dictionary!B736</f>
        <v>Starke Einflüsse der Stammorganisation auf strategischer Ebene; Entscheidungen durch Verhandlungen mit der Stammorganisation, Projekt hat starke Auswirkungen auf Prozesse der Stammorganisation , Projekt ist neuartig für Unternehmen</v>
      </c>
      <c r="I19" s="495"/>
      <c r="J19" s="495"/>
      <c r="K19" s="496"/>
    </row>
    <row r="20" spans="2:11" ht="65">
      <c r="B20" s="479">
        <f>B19+0.1</f>
        <v>2.3000000000000003</v>
      </c>
      <c r="C20" s="558" t="str">
        <f>Dictionary!B738</f>
        <v>Sozio-Kulturelle Einflüsse</v>
      </c>
      <c r="D20" s="558" t="str">
        <f>Dictionary!B739</f>
        <v>Einfluss der sozio-kulturellen Unterschiede im Projektteam, insbesondere bei verteilten oder Firmen-übergreifenden Teams</v>
      </c>
      <c r="E20" s="557" t="str">
        <f>Dictionary!B740</f>
        <v>keine Auswirkungen zu erwarten (Projekt an einem Standort, eine Sprache, homogene Projektgruppe)</v>
      </c>
      <c r="F20" s="557" t="str">
        <f>Dictionary!B741</f>
        <v>wenig Auswirkungen zu erwarten</v>
      </c>
      <c r="G20" s="557" t="str">
        <f>Dictionary!B742</f>
        <v>Auswirkungen infolge lokal verteilter Teams, mehreren Sprachen oder heterogenen Kulturkreisen erfordern in Einzelfällen Führungsmaßnahmen</v>
      </c>
      <c r="H20" s="557" t="str">
        <f>Dictionary!B743</f>
        <v>Auswirkungen infolge lokal verteilter Teams oder großer Teams aus unterschiedlichen Unternehmen und Kulturkreisen erfordern umfangreiche Führungsmaßnahmen</v>
      </c>
      <c r="I20" s="495"/>
      <c r="J20" s="495"/>
      <c r="K20" s="496"/>
    </row>
    <row r="21" spans="2:11" s="387" customFormat="1" ht="24" customHeight="1">
      <c r="H21" s="387" t="str">
        <f>Dictionary!B744</f>
        <v>Durchschnitt der eingegebenen Detailbewertungen:</v>
      </c>
      <c r="I21" s="480" t="str">
        <f>IF(SUM(I18:I20)=0,"",ROUNDDOWN(AVERAGE(I18:I20),1))</f>
        <v/>
      </c>
      <c r="J21" s="480" t="str">
        <f>IF(SUM(J18:J20)=0,"",ROUNDDOWN(AVERAGE(J18:J20),1))</f>
        <v/>
      </c>
      <c r="K21" s="481"/>
    </row>
    <row r="22" spans="2:11">
      <c r="C22" s="473"/>
      <c r="D22" s="473"/>
      <c r="E22" s="482"/>
      <c r="F22" s="482"/>
      <c r="G22" s="482"/>
      <c r="H22" s="482"/>
    </row>
    <row r="23" spans="2:11" ht="30" customHeight="1">
      <c r="B23" s="477">
        <v>3</v>
      </c>
      <c r="C23" s="2180" t="str">
        <f>Dictionary!B746</f>
        <v>Indikatoren bezogen auf Management und Führung</v>
      </c>
      <c r="D23" s="2181"/>
      <c r="E23" s="2181"/>
      <c r="F23" s="2181"/>
      <c r="G23" s="2181"/>
      <c r="H23" s="2182"/>
    </row>
    <row r="24" spans="2:11" ht="90">
      <c r="B24" s="479">
        <f>B23+0.1</f>
        <v>3.1</v>
      </c>
      <c r="C24" s="560" t="str">
        <f>Dictionary!B747</f>
        <v xml:space="preserve">Führung und Teamwork </v>
      </c>
      <c r="D24" s="560" t="str">
        <f>Dictionary!B748</f>
        <v>Umfang der Führungs-, Teambildungs und-Steuerungsmaßnahmen</v>
      </c>
      <c r="E24" s="559" t="str">
        <f>Dictionary!B749</f>
        <v>fast alle Teammitglieder haben bereits mit PL gearbeitet, PL hat Erfahrung im Mgt von Teams über 5 J, Governance Vorgaben sind klar definiert, das Projektteam hat hohe PM Skills</v>
      </c>
      <c r="F24" s="559" t="str">
        <f>Dictionary!B750</f>
        <v>sehr viele Teammitglieder haben bereits mit PL gearbeitet, PL hat Erfahrung im Mgt von Teams über 3 J, governance Vorgaben sind teilweise definiert, das Projektteam hat  PM Skills</v>
      </c>
      <c r="G24" s="559" t="str">
        <f>Dictionary!B751</f>
        <v>viele Teammitglieder haben bereits mit PL gearbeitet, PL hat Erfahrung im Mgt von Teams über 1-2 J, einige Governance Vorgaben sind klar definiert, das Projektteam hat einige PM Skills</v>
      </c>
      <c r="H24" s="559" t="str">
        <f>Dictionary!B752</f>
        <v>wenige Teammitglieder haben bereits mit PL gearbeitet, PL hat Erfahrung im Mgt von Teams weniger 1J, wenige Governance Vorgaben sind definiert, das Projektteam hat sehr wenig PM Skills</v>
      </c>
      <c r="I24" s="495"/>
      <c r="J24" s="495"/>
      <c r="K24" s="496"/>
    </row>
    <row r="25" spans="2:11" ht="91" customHeight="1">
      <c r="B25" s="479">
        <f>B24+0.1</f>
        <v>3.2</v>
      </c>
      <c r="C25" s="558" t="str">
        <f>Dictionary!B754</f>
        <v xml:space="preserve"> Innovation</v>
      </c>
      <c r="D25" s="558" t="str">
        <f>Dictionary!B755</f>
        <v>technische Neuartigkeit des Projektes und seine Auswirkungen auf Ressourcenauswahl und Aus- und Weiterbildung während des Projektes; Umgang mit neuartigen Ansätzen und Ergebnissen</v>
      </c>
      <c r="E25" s="559" t="str">
        <f>Dictionary!B756</f>
        <v>kein Handlungsbedarf infolge geringer Neuartigkeit, z.B. Wiederholprojekte</v>
      </c>
      <c r="F25" s="559" t="str">
        <f>Dictionary!B757</f>
        <v>einige Maßnahmen erforderlich infolge der Neuartigkeit in einzelnen Bereichen</v>
      </c>
      <c r="G25" s="559" t="str">
        <f>Dictionary!B758</f>
        <v>Neuartigkeit des Projektgegenstandes und/oder von Prozessen bedingt vorbereitende Qualifizerungsmaßnahmen</v>
      </c>
      <c r="H25" s="559" t="str">
        <f>Dictionary!B759</f>
        <v xml:space="preserve">Neuartigkeit des Projektgegenstandes und/oder von Prozessen in Verbindung mit großem Projektvolumen bedingt Planung der Qualifizierung, aber auch intensives Risiko-Management </v>
      </c>
      <c r="I25" s="495"/>
      <c r="J25" s="495"/>
      <c r="K25" s="496"/>
    </row>
    <row r="26" spans="2:11" ht="60">
      <c r="B26" s="479">
        <f>B25+0.1</f>
        <v>3.3000000000000003</v>
      </c>
      <c r="C26" s="558" t="str">
        <f>Dictionary!B761</f>
        <v>Autonomie und Verantwortung</v>
      </c>
      <c r="D26" s="558" t="str">
        <f>Dictionary!B762</f>
        <v>Entscheidungs- und Verantwortungsspielraum des Projektleiters; Umfang der Delegation in das Projektteam; Vertretung des Projektes gegenüber dem gesamten sozialen Umfeld</v>
      </c>
      <c r="E26" s="559" t="str">
        <f>Dictionary!B763</f>
        <v xml:space="preserve">wenig Autonomie/Gestaltungsspielräume des PL bzgl. Entscheidungen und Vertretung des Projektes nach aussen </v>
      </c>
      <c r="F26" s="559" t="str">
        <f>Dictionary!B764</f>
        <v>Verhandlung Lasten- und Pflichtenheft; Gesaltungs-spielräume ergeben sich hauptsächlich durch Änderungsprozesse</v>
      </c>
      <c r="G26" s="559" t="str">
        <f>Dictionary!B765</f>
        <v>Projektleiter vertritt das Projekt und damit auch das Unternehmen auch gegenüber externen Stakeholdern</v>
      </c>
      <c r="H26" s="559" t="str">
        <f>Dictionary!B766</f>
        <v>umfangreiche Verantwortungs- und Entscheidungsspielräume, z.B. durch Vollmachts- oder Unterschriftenregelung</v>
      </c>
      <c r="I26" s="495"/>
      <c r="J26" s="495"/>
      <c r="K26" s="496"/>
    </row>
    <row r="27" spans="2:11" s="387" customFormat="1" ht="24" customHeight="1">
      <c r="H27" s="387" t="str">
        <f>Dictionary!B767</f>
        <v>Durchschnitt der eingegebenen Detailbewertungen:</v>
      </c>
      <c r="I27" s="480" t="str">
        <f>IF(SUM(I24:I26)=0,"",ROUNDDOWN(AVERAGE(I24:I26),1))</f>
        <v/>
      </c>
      <c r="J27" s="480" t="str">
        <f>IF(SUM(J24:J26)=0,"",ROUNDDOWN(AVERAGE(J24:J26),1))</f>
        <v/>
      </c>
      <c r="K27" s="481"/>
    </row>
    <row r="28" spans="2:11">
      <c r="C28" s="473"/>
      <c r="D28" s="473"/>
      <c r="E28" s="482"/>
      <c r="F28" s="482"/>
      <c r="G28" s="482"/>
      <c r="H28" s="482"/>
    </row>
    <row r="29" spans="2:11" ht="17" customHeight="1"/>
    <row r="30" spans="2:11" ht="17" customHeight="1">
      <c r="F30" s="334" t="str">
        <f>Dictionary!B768</f>
        <v>Zusammenfassende Bewertungen (gerundet)</v>
      </c>
    </row>
    <row r="31" spans="2:11" ht="17" customHeight="1">
      <c r="G31" s="483" t="str">
        <f>Dictionary!B769</f>
        <v>Indikator</v>
      </c>
      <c r="H31" s="471">
        <v>1</v>
      </c>
      <c r="I31" s="484" t="str">
        <f>IF(I15="","",I15)</f>
        <v/>
      </c>
      <c r="J31" s="484" t="str">
        <f>IF(J15="","",J15)</f>
        <v/>
      </c>
    </row>
    <row r="32" spans="2:11" ht="17" customHeight="1">
      <c r="G32" s="483" t="str">
        <f>Dictionary!B769</f>
        <v>Indikator</v>
      </c>
      <c r="H32" s="471">
        <f>1+H31</f>
        <v>2</v>
      </c>
      <c r="I32" s="485" t="str">
        <f>IF(I21="","",I21)</f>
        <v/>
      </c>
      <c r="J32" s="485" t="str">
        <f>IF(J21="","",J21)</f>
        <v/>
      </c>
    </row>
    <row r="33" spans="2:12" ht="17" customHeight="1">
      <c r="G33" s="483" t="str">
        <f>Dictionary!B769</f>
        <v>Indikator</v>
      </c>
      <c r="H33" s="471">
        <f>1+H32</f>
        <v>3</v>
      </c>
      <c r="I33" s="485" t="str">
        <f>IF(I27="","",I27)</f>
        <v/>
      </c>
      <c r="J33" s="485" t="str">
        <f>IF(J27="","",J27)</f>
        <v/>
      </c>
    </row>
    <row r="34" spans="2:12" s="473" customFormat="1" ht="17" customHeight="1">
      <c r="B34" s="471"/>
      <c r="C34" s="472"/>
      <c r="D34" s="472"/>
      <c r="E34" s="472"/>
      <c r="F34" s="472"/>
      <c r="G34" s="472"/>
      <c r="H34" s="387" t="str">
        <f>Dictionary!B770</f>
        <v xml:space="preserve">Gesamtbewertung   </v>
      </c>
      <c r="I34" s="485">
        <f>SUM(I11:I14)+SUM(I18:I20)+SUM(I24:I26)</f>
        <v>0</v>
      </c>
      <c r="J34" s="485">
        <f>SUM(J11:J14)+SUM(J18:J20)+SUM(J24:J26)</f>
        <v>0</v>
      </c>
      <c r="L34" s="472"/>
    </row>
    <row r="35" spans="2:12" s="473" customFormat="1" ht="17" customHeight="1">
      <c r="B35" s="471"/>
      <c r="C35" s="472"/>
      <c r="D35" s="472"/>
      <c r="E35" s="472"/>
      <c r="F35" s="472"/>
      <c r="G35" s="472"/>
      <c r="H35" s="387"/>
      <c r="I35" s="486"/>
      <c r="J35" s="486"/>
      <c r="L35" s="472"/>
    </row>
    <row r="36" spans="2:12" s="473" customFormat="1" ht="17" customHeight="1">
      <c r="B36" s="471"/>
      <c r="C36" s="487"/>
      <c r="D36" s="487"/>
      <c r="E36" s="472"/>
      <c r="F36" s="472"/>
      <c r="G36" s="472"/>
      <c r="H36" s="472"/>
      <c r="I36" s="471"/>
      <c r="J36" s="471"/>
      <c r="L36" s="472"/>
    </row>
    <row r="37" spans="2:12" s="473" customFormat="1" ht="17" customHeight="1" thickBot="1">
      <c r="B37" s="460"/>
      <c r="C37" s="460"/>
      <c r="D37" s="460"/>
      <c r="E37" s="460"/>
      <c r="F37" s="460"/>
      <c r="G37" s="460"/>
      <c r="H37" s="460"/>
      <c r="I37" s="460"/>
      <c r="J37" s="460"/>
      <c r="K37" s="460"/>
      <c r="L37" s="472"/>
    </row>
    <row r="38" spans="2:12" s="473" customFormat="1" ht="17" customHeight="1">
      <c r="B38" s="89"/>
      <c r="C38" s="89"/>
      <c r="D38" s="89"/>
      <c r="F38" s="472"/>
      <c r="G38" s="472"/>
      <c r="H38" s="472"/>
      <c r="I38" s="471"/>
      <c r="J38" s="471"/>
      <c r="K38" s="464" t="s">
        <v>105</v>
      </c>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ht="17" customHeight="1"/>
    <row r="50" ht="17" customHeight="1"/>
    <row r="51" ht="17" customHeight="1"/>
    <row r="52" ht="17" customHeight="1"/>
    <row r="53" ht="17" customHeight="1"/>
    <row r="54" ht="17" customHeight="1"/>
    <row r="55" ht="17" customHeight="1"/>
    <row r="56" ht="17" customHeight="1"/>
    <row r="57" ht="17" customHeight="1"/>
    <row r="58" ht="17" customHeight="1"/>
    <row r="59" ht="17" customHeight="1"/>
    <row r="60" ht="17" customHeight="1"/>
    <row r="61" ht="17" customHeight="1"/>
    <row r="62" ht="17" customHeight="1"/>
    <row r="63" ht="17" customHeight="1"/>
    <row r="64" ht="17" customHeight="1"/>
    <row r="65" ht="17" customHeight="1"/>
    <row r="66" ht="17" customHeight="1"/>
    <row r="67" ht="17" customHeight="1"/>
    <row r="68" ht="17" customHeight="1"/>
    <row r="69" ht="17" customHeight="1"/>
    <row r="70" ht="17" customHeight="1"/>
  </sheetData>
  <sheetProtection algorithmName="SHA-512" hashValue="kisB3Y4NZR43Pza9+go57uXKx+Q0zRiTpfl/ASPYCHkHRokqwGWk2hPZEcC7qyK/kQoimpqtNmwbPUykee+V+w==" saltValue="r994g9+fIa2Vo9e5ZNFiHA==" spinCount="100000" sheet="1" objects="1" scenarios="1" selectLockedCells="1"/>
  <mergeCells count="9">
    <mergeCell ref="C10:H10"/>
    <mergeCell ref="C17:H17"/>
    <mergeCell ref="C23:H23"/>
    <mergeCell ref="B3:K3"/>
    <mergeCell ref="F6:H6"/>
    <mergeCell ref="B8:B9"/>
    <mergeCell ref="C8:D9"/>
    <mergeCell ref="E8:H8"/>
    <mergeCell ref="I8:K8"/>
  </mergeCells>
  <conditionalFormatting sqref="I35:J35">
    <cfRule type="cellIs" dxfId="431" priority="1" operator="equal">
      <formula>"Yes"</formula>
    </cfRule>
    <cfRule type="cellIs" dxfId="430" priority="2" operator="equal">
      <formula>"No"</formula>
    </cfRule>
  </conditionalFormatting>
  <dataValidations count="1">
    <dataValidation type="whole" allowBlank="1" showInputMessage="1" showErrorMessage="1" sqref="I11:J14 I18:J20 I24:J26" xr:uid="{00000000-0002-0000-10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B56EA-90D1-4D0B-90DC-ED0E3FE63206}">
  <sheetPr codeName="Sheet6">
    <tabColor theme="9"/>
  </sheetPr>
  <dimension ref="B1:E68"/>
  <sheetViews>
    <sheetView topLeftCell="A4" zoomScale="130" zoomScaleNormal="130" workbookViewId="0">
      <selection activeCell="B19" sqref="B19:E19"/>
    </sheetView>
  </sheetViews>
  <sheetFormatPr baseColWidth="10" defaultColWidth="11.5" defaultRowHeight="15"/>
  <cols>
    <col min="1" max="1" width="2.5" style="89" customWidth="1"/>
    <col min="2" max="2" width="45.5" style="89" customWidth="1"/>
    <col min="3" max="3" width="22.83203125" style="89" customWidth="1"/>
    <col min="4" max="4" width="32" style="89" customWidth="1"/>
    <col min="5" max="5" width="22.83203125" style="89" customWidth="1"/>
    <col min="6" max="6" width="3.1640625" style="89" customWidth="1"/>
    <col min="7" max="7" width="20" style="89" customWidth="1"/>
    <col min="8" max="9" width="11.5" style="89"/>
    <col min="10" max="10" width="8.5" style="89" customWidth="1"/>
    <col min="11" max="16384" width="11.5" style="89"/>
  </cols>
  <sheetData>
    <row r="1" spans="2:5" ht="15.75" customHeight="1" thickBot="1">
      <c r="B1" s="497" t="str">
        <f ca="1">COV!C20</f>
        <v>DECKBLATT BITTE VOLLSTÄNDIG AUSFÜLLEN!</v>
      </c>
      <c r="C1" s="459"/>
      <c r="D1" s="459"/>
      <c r="E1" s="459"/>
    </row>
    <row r="2" spans="2:5" ht="5.25" customHeight="1" thickTop="1"/>
    <row r="3" spans="2:5" ht="21">
      <c r="B3" s="2046" t="str">
        <f>Dictionary!B614&amp;'(7b) Project List'!A11</f>
        <v>Steckbrief für Management Erfahrung 3</v>
      </c>
      <c r="C3" s="2046"/>
      <c r="D3" s="2046"/>
      <c r="E3" s="2046"/>
    </row>
    <row r="4" spans="2:5" ht="21">
      <c r="B4" s="488"/>
      <c r="C4" s="488"/>
      <c r="D4" s="488"/>
      <c r="E4" s="488"/>
    </row>
    <row r="5" spans="2:5" ht="21">
      <c r="B5" s="489" t="str">
        <f>EXP!B5</f>
        <v xml:space="preserve"> , Level A, Projekt Management, Erstzertifizierung</v>
      </c>
      <c r="C5" s="490"/>
      <c r="D5" s="490"/>
      <c r="E5" s="490"/>
    </row>
    <row r="7" spans="2:5">
      <c r="B7" s="2013" t="str">
        <f>Dictionary!B618</f>
        <v>Kopfzeile</v>
      </c>
      <c r="C7" s="2013"/>
      <c r="D7" s="2013"/>
      <c r="E7" s="2013"/>
    </row>
    <row r="8" spans="2:5" ht="16.5" customHeight="1">
      <c r="B8" s="503" t="str">
        <f>EXP!D11&amp;" "&amp;Dictionary!B615</f>
        <v xml:space="preserve"> Name </v>
      </c>
      <c r="C8" s="504" t="str">
        <f>IF('(7b) Project List'!B11="","",'(7b) Project List'!B11)</f>
        <v/>
      </c>
      <c r="D8" s="508" t="str">
        <f>EXP!D11&amp;" "&amp;Dictionary!B616</f>
        <v xml:space="preserve"> Nummer </v>
      </c>
      <c r="E8" s="509"/>
    </row>
    <row r="9" spans="2:5" ht="16.5" customHeight="1">
      <c r="B9" s="510" t="str">
        <f>Dictionary!B617</f>
        <v>Kunde/AuftraggeberIn:</v>
      </c>
      <c r="C9" s="2138"/>
      <c r="D9" s="2138"/>
      <c r="E9" s="511"/>
    </row>
    <row r="10" spans="2:5" ht="16.5" customHeight="1"/>
    <row r="11" spans="2:5" ht="16.5" customHeight="1">
      <c r="B11" s="2013" t="str">
        <f>Dictionary!B620</f>
        <v>Governance &amp; eigene Rolle</v>
      </c>
      <c r="C11" s="2013"/>
      <c r="D11" s="2013"/>
      <c r="E11" s="2013"/>
    </row>
    <row r="12" spans="2:5" ht="16.5" customHeight="1">
      <c r="B12" s="503" t="str">
        <f>Dictionary!B621</f>
        <v>Eigene Rolle:</v>
      </c>
      <c r="C12" s="504" t="str">
        <f>IF('(7b) Project List'!E11="","",'(7b) Project List'!E11)</f>
        <v/>
      </c>
      <c r="D12" s="2130" t="str">
        <f>Dictionary!B622</f>
        <v>Anmerkungen:</v>
      </c>
      <c r="E12" s="2131"/>
    </row>
    <row r="13" spans="2:5" ht="16.5" customHeight="1">
      <c r="B13" s="505" t="str">
        <f>Dictionary!B623</f>
        <v>Verantwortung für den Umfang/die Ergebnisse:</v>
      </c>
      <c r="C13" s="506"/>
      <c r="D13" s="2142"/>
      <c r="E13" s="2143"/>
    </row>
    <row r="14" spans="2:5" ht="16.5" customHeight="1">
      <c r="B14" s="505" t="str">
        <f>Dictionary!B624</f>
        <v>Verantwortung für die Terminplanung:</v>
      </c>
      <c r="C14" s="506"/>
      <c r="D14" s="2142"/>
      <c r="E14" s="2143"/>
    </row>
    <row r="15" spans="2:5" ht="16.5" customHeight="1">
      <c r="B15" s="505" t="str">
        <f>Dictionary!B625</f>
        <v>Verantwortung für das Budget:</v>
      </c>
      <c r="C15" s="506"/>
      <c r="D15" s="2142"/>
      <c r="E15" s="2143"/>
    </row>
    <row r="16" spans="2:5" ht="16.5" customHeight="1">
      <c r="B16" s="561" t="str">
        <f>EXP!D11&amp;" "&amp;Dictionary!B627</f>
        <v xml:space="preserve"> Typ</v>
      </c>
      <c r="C16" s="507"/>
      <c r="D16" s="2142"/>
      <c r="E16" s="2143"/>
    </row>
    <row r="17" spans="2:5" ht="16.5" customHeight="1">
      <c r="B17" s="561" t="str">
        <f>Dictionary!B626</f>
        <v>Art der PM Organisation</v>
      </c>
      <c r="C17" s="507"/>
      <c r="D17" s="2142"/>
      <c r="E17" s="2143"/>
    </row>
    <row r="18" spans="2:5" ht="16.5" customHeight="1">
      <c r="B18" s="2139" t="str">
        <f>Dictionary!B628</f>
        <v>Kurze Beschreibung Ihrer eigenen Rolle, Verantwortung und Aktivitäten; wem sind Sie unterstellt?</v>
      </c>
      <c r="C18" s="2140"/>
      <c r="D18" s="2140"/>
      <c r="E18" s="2141"/>
    </row>
    <row r="19" spans="2:5" ht="57" customHeight="1">
      <c r="B19" s="2149"/>
      <c r="C19" s="2150"/>
      <c r="D19" s="2150"/>
      <c r="E19" s="2151"/>
    </row>
    <row r="20" spans="2:5" ht="18" customHeight="1"/>
    <row r="21" spans="2:5" ht="16.5" customHeight="1">
      <c r="B21" s="2013" t="str">
        <f>Dictionary!B630</f>
        <v>Allgemeine Informationen und Beschreibung</v>
      </c>
      <c r="C21" s="2013"/>
      <c r="D21" s="2013"/>
      <c r="E21" s="2013"/>
    </row>
    <row r="22" spans="2:5" ht="16.5" customHeight="1">
      <c r="B22" s="2157" t="str">
        <f>Dictionary!B631</f>
        <v>Kurze Beschreibung der KPI, Ergebnisse und Liefergegenstände:</v>
      </c>
      <c r="C22" s="2158"/>
      <c r="D22" s="2158"/>
      <c r="E22" s="2159"/>
    </row>
    <row r="23" spans="2:5" ht="57" customHeight="1">
      <c r="B23" s="2160"/>
      <c r="C23" s="2161"/>
      <c r="D23" s="2161"/>
      <c r="E23" s="2162"/>
    </row>
    <row r="24" spans="2:5" ht="16.5" customHeight="1">
      <c r="B24" s="2139" t="str">
        <f>Dictionary!B632</f>
        <v>Kurze Beschreibung des Umfangs und der Ziele, für die Sie verantwortlich sind:</v>
      </c>
      <c r="C24" s="2140"/>
      <c r="D24" s="2140"/>
      <c r="E24" s="2141"/>
    </row>
    <row r="25" spans="2:5" ht="57" customHeight="1">
      <c r="B25" s="2160"/>
      <c r="C25" s="2161"/>
      <c r="D25" s="2161"/>
      <c r="E25" s="2162"/>
    </row>
    <row r="26" spans="2:5" ht="16.5" customHeight="1">
      <c r="B26" s="2139" t="str">
        <f>Dictionary!B633</f>
        <v>Informationen über erhebliche Planabweichungen und/oder kritische Managementsituationen:</v>
      </c>
      <c r="C26" s="2140"/>
      <c r="D26" s="2140"/>
      <c r="E26" s="2141"/>
    </row>
    <row r="27" spans="2:5" ht="54.75" customHeight="1">
      <c r="B27" s="2146"/>
      <c r="C27" s="2152"/>
      <c r="D27" s="2152"/>
      <c r="E27" s="2153"/>
    </row>
    <row r="28" spans="2:5" ht="18" customHeight="1"/>
    <row r="29" spans="2:5" ht="18" customHeight="1">
      <c r="B29" s="2013" t="str">
        <f>EXP!D11&amp;" "&amp;Dictionary!B635</f>
        <v xml:space="preserve"> Planung</v>
      </c>
      <c r="C29" s="2013"/>
      <c r="D29" s="2013"/>
      <c r="E29" s="2013"/>
    </row>
    <row r="30" spans="2:5" ht="16.5" customHeight="1">
      <c r="B30" s="512" t="str">
        <f>Dictionary!B636</f>
        <v>Beginn des Vorhabens:</v>
      </c>
      <c r="C30" s="513" t="str">
        <f>C31</f>
        <v/>
      </c>
      <c r="D30" s="508" t="str">
        <f>Dictionary!B642</f>
        <v>Ende des Vorhabens:</v>
      </c>
      <c r="E30" s="514" t="str">
        <f>E31</f>
        <v/>
      </c>
    </row>
    <row r="31" spans="2:5" ht="16.5" customHeight="1">
      <c r="B31" s="515" t="str">
        <f>Dictionary!B637</f>
        <v>Ihr Beginn in dieser Rolle:</v>
      </c>
      <c r="C31" s="516" t="str">
        <f>IF('(7b) Project List'!F11="","",'(7b) Project List'!F11)</f>
        <v/>
      </c>
      <c r="D31" s="517" t="str">
        <f>Dictionary!B643</f>
        <v>Ende Ihrer Beteiligung:</v>
      </c>
      <c r="E31" s="518" t="str">
        <f>IF('(7b) Project List'!G11="","",'(7b) Project List'!G11)</f>
        <v/>
      </c>
    </row>
    <row r="32" spans="2:5" ht="16.5" customHeight="1">
      <c r="B32" s="2139" t="str">
        <f>IF(ISNUMBER(SEARCH("ortfolio",B29)),Dictionary!B640,Dictionary!B638)</f>
        <v>Phasen:</v>
      </c>
      <c r="C32" s="2140"/>
      <c r="D32" s="2140" t="str">
        <f>IF(ISNUMBER(SEARCH("ortfolio",B29)),Dictionary!B641,Dictionary!B639)</f>
        <v>Meilensteine:</v>
      </c>
      <c r="E32" s="2141"/>
    </row>
    <row r="33" spans="2:5">
      <c r="B33" s="2154"/>
      <c r="C33" s="2142"/>
      <c r="D33" s="2133"/>
      <c r="E33" s="2143"/>
    </row>
    <row r="34" spans="2:5">
      <c r="B34" s="2155"/>
      <c r="C34" s="2142"/>
      <c r="D34" s="2142"/>
      <c r="E34" s="2143"/>
    </row>
    <row r="35" spans="2:5">
      <c r="B35" s="2155"/>
      <c r="C35" s="2142"/>
      <c r="D35" s="2142"/>
      <c r="E35" s="2143"/>
    </row>
    <row r="36" spans="2:5">
      <c r="B36" s="2155"/>
      <c r="C36" s="2142"/>
      <c r="D36" s="2142"/>
      <c r="E36" s="2143"/>
    </row>
    <row r="37" spans="2:5">
      <c r="B37" s="2155"/>
      <c r="C37" s="2142"/>
      <c r="D37" s="2142"/>
      <c r="E37" s="2143"/>
    </row>
    <row r="38" spans="2:5">
      <c r="B38" s="2155"/>
      <c r="C38" s="2142"/>
      <c r="D38" s="2142"/>
      <c r="E38" s="2143"/>
    </row>
    <row r="39" spans="2:5">
      <c r="B39" s="2155"/>
      <c r="C39" s="2142"/>
      <c r="D39" s="2142"/>
      <c r="E39" s="2143"/>
    </row>
    <row r="40" spans="2:5">
      <c r="B40" s="2155"/>
      <c r="C40" s="2142"/>
      <c r="D40" s="2142"/>
      <c r="E40" s="2143"/>
    </row>
    <row r="41" spans="2:5">
      <c r="B41" s="2155"/>
      <c r="C41" s="2142"/>
      <c r="D41" s="2142"/>
      <c r="E41" s="2143"/>
    </row>
    <row r="42" spans="2:5">
      <c r="B42" s="2156"/>
      <c r="C42" s="2150"/>
      <c r="D42" s="2150"/>
      <c r="E42" s="2151"/>
    </row>
    <row r="44" spans="2:5" ht="18" customHeight="1">
      <c r="B44" s="2132" t="str">
        <f>IF(PMO_MODE="",Dictionary!B645,IF(ISNUMBER(FIND(EXP!C42,B8)),Dictionary!B646,Dictionary!B645))</f>
        <v>Ressourcen, für die Sie direkt verantwortlich sind</v>
      </c>
      <c r="C44" s="2132"/>
      <c r="D44" s="2132"/>
      <c r="E44" s="2132"/>
    </row>
    <row r="45" spans="2:5" ht="16.5" customHeight="1">
      <c r="B45" s="519"/>
      <c r="C45" s="524" t="str">
        <f>Dictionary!B647</f>
        <v>Wert</v>
      </c>
      <c r="D45" s="2130" t="str">
        <f>Dictionary!B648</f>
        <v>Anmerkungen</v>
      </c>
      <c r="E45" s="2131"/>
    </row>
    <row r="46" spans="2:5" ht="16">
      <c r="B46" s="520" t="str">
        <f>Dictionary!B649</f>
        <v>Anzahl der Ihnen direkt unterstellten Teammitglieder:</v>
      </c>
      <c r="C46" s="1720"/>
      <c r="D46" s="2133"/>
      <c r="E46" s="2134"/>
    </row>
    <row r="47" spans="2:5" ht="32">
      <c r="B47" s="520" t="str">
        <f>Dictionary!B650</f>
        <v>Anzahl der Mitglieder des Teams gemäß dem Organigramm (inkl. Sie selbst):</v>
      </c>
      <c r="C47" s="1720"/>
      <c r="D47" s="2133"/>
      <c r="E47" s="2134"/>
    </row>
    <row r="48" spans="2:5" ht="16.5" customHeight="1">
      <c r="B48" s="521" t="str">
        <f>Dictionary!B651</f>
        <v>Gesamtaufwand [Personentage]:</v>
      </c>
      <c r="C48" s="1720"/>
      <c r="D48" s="2133"/>
      <c r="E48" s="2134"/>
    </row>
    <row r="49" spans="2:5" ht="16.5" customHeight="1">
      <c r="B49" s="522" t="str">
        <f>Dictionary!B652</f>
        <v>Externer Arbeitsaufwand [Personentage]:</v>
      </c>
      <c r="C49" s="1720"/>
      <c r="D49" s="2133"/>
      <c r="E49" s="2134"/>
    </row>
    <row r="50" spans="2:5" ht="16.5" customHeight="1">
      <c r="B50" s="522" t="str">
        <f>Dictionary!B653</f>
        <v>Interner Arbeitsaufwand [Personentage]:</v>
      </c>
      <c r="C50" s="1720"/>
      <c r="D50" s="2133"/>
      <c r="E50" s="2134"/>
    </row>
    <row r="51" spans="2:5" ht="16.5" customHeight="1">
      <c r="B51" s="522" t="str">
        <f>Dictionary!B654</f>
        <v>Enthaltener PM-Aufwand [Personentage]:</v>
      </c>
      <c r="C51" s="1720"/>
      <c r="D51" s="2133"/>
      <c r="E51" s="2134"/>
    </row>
    <row r="52" spans="2:5" ht="16.5" customHeight="1">
      <c r="B52" s="522" t="str">
        <f>Dictionary!B655</f>
        <v>Budget (Aufwand) unter Ihrer Verantwortung [€]:</v>
      </c>
      <c r="C52" s="1721"/>
      <c r="D52" s="2133"/>
      <c r="E52" s="2134"/>
    </row>
    <row r="53" spans="2:5" ht="16.5" customHeight="1">
      <c r="B53" s="523" t="str">
        <f>Dictionary!B656</f>
        <v>Budget (Sachmittel) unter Ihrer Verantwortung [€]:</v>
      </c>
      <c r="C53" s="1722"/>
      <c r="D53" s="2144"/>
      <c r="E53" s="2145"/>
    </row>
    <row r="54" spans="2:5" ht="16.5" customHeight="1">
      <c r="B54" s="1615" t="str">
        <f>Dictionary!B657</f>
        <v>Gesamtbudget unter Ihrer Verantwortung [€]:</v>
      </c>
      <c r="C54" s="1723">
        <f>C52+C53</f>
        <v>0</v>
      </c>
      <c r="D54" s="1724"/>
      <c r="E54" s="1725"/>
    </row>
    <row r="55" spans="2:5" ht="18" customHeight="1"/>
    <row r="56" spans="2:5" ht="18" customHeight="1">
      <c r="B56" s="2013" t="str">
        <f>Dictionary!B658</f>
        <v xml:space="preserve">Anmerkungen </v>
      </c>
      <c r="C56" s="2013"/>
      <c r="D56" s="2013"/>
      <c r="E56" s="2013"/>
    </row>
    <row r="57" spans="2:5" ht="16.5" customHeight="1">
      <c r="B57" s="2157" t="str">
        <f>Dictionary!B659</f>
        <v>Anmerkungen zur Komplexität:</v>
      </c>
      <c r="C57" s="2158"/>
      <c r="D57" s="2158"/>
      <c r="E57" s="2159"/>
    </row>
    <row r="58" spans="2:5">
      <c r="B58" s="2135"/>
      <c r="C58" s="2136"/>
      <c r="D58" s="2136"/>
      <c r="E58" s="2137"/>
    </row>
    <row r="59" spans="2:5">
      <c r="B59" s="2135"/>
      <c r="C59" s="2136"/>
      <c r="D59" s="2136"/>
      <c r="E59" s="2137"/>
    </row>
    <row r="60" spans="2:5" ht="27" customHeight="1">
      <c r="B60" s="2135"/>
      <c r="C60" s="2136"/>
      <c r="D60" s="2136"/>
      <c r="E60" s="2137"/>
    </row>
    <row r="61" spans="2:5" ht="16.5" customHeight="1">
      <c r="B61" s="2139" t="str">
        <f>Dictionary!B660</f>
        <v>Allgemeine Anmerkungen:</v>
      </c>
      <c r="C61" s="2140"/>
      <c r="D61" s="2140"/>
      <c r="E61" s="2141"/>
    </row>
    <row r="62" spans="2:5" ht="15" customHeight="1">
      <c r="B62" s="2135"/>
      <c r="C62" s="2136"/>
      <c r="D62" s="2136"/>
      <c r="E62" s="2137"/>
    </row>
    <row r="63" spans="2:5">
      <c r="B63" s="2135"/>
      <c r="C63" s="2136"/>
      <c r="D63" s="2136"/>
      <c r="E63" s="2137"/>
    </row>
    <row r="64" spans="2:5">
      <c r="B64" s="2135"/>
      <c r="C64" s="2136"/>
      <c r="D64" s="2136"/>
      <c r="E64" s="2137"/>
    </row>
    <row r="65" spans="2:5" ht="41" customHeight="1">
      <c r="B65" s="2146"/>
      <c r="C65" s="2147"/>
      <c r="D65" s="2147"/>
      <c r="E65" s="2148"/>
    </row>
    <row r="67" spans="2:5" ht="17" thickBot="1">
      <c r="B67" s="460"/>
      <c r="C67" s="460"/>
      <c r="D67" s="460"/>
      <c r="E67" s="460"/>
    </row>
    <row r="68" spans="2:5">
      <c r="E68" s="464" t="s">
        <v>105</v>
      </c>
    </row>
  </sheetData>
  <sheetProtection algorithmName="SHA-512" hashValue="NEhhPa/8qFMYM8KQ1zZbwifWbGs5tsrOCdpE1L20t3Bx0cHWGb5qJ46iWOEHQEa3KimAbxlT9qSrUu5Oz3D4jg==" saltValue="Zk4nWz0R2xagvp0dglxKAw==" spinCount="100000" sheet="1" objects="1" scenarios="1" selectLockedCells="1"/>
  <mergeCells count="39">
    <mergeCell ref="B58:E60"/>
    <mergeCell ref="B61:E61"/>
    <mergeCell ref="B62:E65"/>
    <mergeCell ref="D50:E50"/>
    <mergeCell ref="D51:E51"/>
    <mergeCell ref="D52:E52"/>
    <mergeCell ref="D53:E53"/>
    <mergeCell ref="B56:E56"/>
    <mergeCell ref="B57:E57"/>
    <mergeCell ref="D49:E49"/>
    <mergeCell ref="B27:E27"/>
    <mergeCell ref="B29:E29"/>
    <mergeCell ref="B32:C32"/>
    <mergeCell ref="D32:E32"/>
    <mergeCell ref="B33:C42"/>
    <mergeCell ref="D33:E42"/>
    <mergeCell ref="B44:E44"/>
    <mergeCell ref="D45:E45"/>
    <mergeCell ref="D46:E46"/>
    <mergeCell ref="D47:E47"/>
    <mergeCell ref="D48:E48"/>
    <mergeCell ref="B26:E26"/>
    <mergeCell ref="D14:E14"/>
    <mergeCell ref="D15:E15"/>
    <mergeCell ref="D16:E16"/>
    <mergeCell ref="D17:E17"/>
    <mergeCell ref="B18:E18"/>
    <mergeCell ref="B19:E19"/>
    <mergeCell ref="B21:E21"/>
    <mergeCell ref="B22:E22"/>
    <mergeCell ref="B23:E23"/>
    <mergeCell ref="B24:E24"/>
    <mergeCell ref="B25:E25"/>
    <mergeCell ref="D13:E13"/>
    <mergeCell ref="B3:E3"/>
    <mergeCell ref="B7:E7"/>
    <mergeCell ref="C9:D9"/>
    <mergeCell ref="B11:E11"/>
    <mergeCell ref="D12:E12"/>
  </mergeCells>
  <conditionalFormatting sqref="C16:C17">
    <cfRule type="notContainsBlanks" dxfId="429" priority="1">
      <formula>LEN(TRIM(C16))&gt;0</formula>
    </cfRule>
  </conditionalFormatting>
  <conditionalFormatting sqref="E8 C9:D9 B19:E19 B23:E23 B25:E25 B27:E27 C30 E30 B33:E42 C46:D54 B58:E60 B62:E65">
    <cfRule type="notContainsBlanks" dxfId="428" priority="2">
      <formula>LEN(TRIM(B8))&gt;0</formula>
    </cfRule>
  </conditionalFormatting>
  <dataValidations count="7">
    <dataValidation type="whole" allowBlank="1" showInputMessage="1" showErrorMessage="1" error="EN: please enter a whole number_x000a_DE: Bitte geben Sie eine ganze Zahl ein" prompt="EN: please enter a valid number_x000a_DE: Bitte geben Sie eine plausible Zahl ein" sqref="C46" xr:uid="{00000000-0002-0000-1100-000000000000}">
      <formula1>0</formula1>
      <formula2>1000000</formula2>
    </dataValidation>
    <dataValidation allowBlank="1" showInputMessage="1" showErrorMessage="1" error="EN: please enter a number_x000a_DE: Bitte geben Sie eine Zahl ein" prompt="EN: enter a Euro value_x000a_DE Geben Sie einen Wert in Euro an" sqref="C54" xr:uid="{00000000-0002-0000-1100-000001000000}"/>
    <dataValidation allowBlank="1" error="EN: Enter a number _x000a_DE: Geben Sie eine Zahl ein" prompt="EN: Effort in person-days_x000a_DE: Aufwand in Personentagen" sqref="D46:E54" xr:uid="{00000000-0002-0000-1100-000002000000}"/>
    <dataValidation type="whole" allowBlank="1" showInputMessage="1" showErrorMessage="1" error="EN: please enter a whole number_x000a_DE: Bitte geben Sie eine ganze Zahl ein" prompt="EN: please enter a valid number_x000a_DE: Bitte geben Sie eine plausible Zahl ein" sqref="C47" xr:uid="{00000000-0002-0000-1100-000003000000}">
      <formula1>1</formula1>
      <formula2>1000000</formula2>
    </dataValidation>
    <dataValidation type="decimal" allowBlank="1" showInputMessage="1" showErrorMessage="1" error="EN: please enter a number_x000a_DE: Bitte geben Sie eine Zahl ein" prompt="EN: enter a Euro value_x000a_DE Geben Sie einen Wert in Euro an" sqref="C52:C53" xr:uid="{00000000-0002-0000-1100-000004000000}">
      <formula1>1</formula1>
      <formula2>1000000000000</formula2>
    </dataValidation>
    <dataValidation type="decimal" allowBlank="1" showInputMessage="1" showErrorMessage="1" error="EN: Enter a number _x000a_DE: Geben Sie eine Zahl ein" prompt="EN: Effort in person-days_x000a_DE: Aufwand in Personentagen" sqref="C48:C49" xr:uid="{00000000-0002-0000-1100-000005000000}">
      <formula1>1</formula1>
      <formula2>1000000000</formula2>
    </dataValidation>
    <dataValidation type="decimal" allowBlank="1" showInputMessage="1" showErrorMessage="1" error="EN: Enter a number_x000a_DE: Geben Sie eine Zahl ein" prompt="EN: Effort in person-days_x000a_DE: Aufwand in Personentagen" sqref="C49:C51" xr:uid="{00000000-0002-0000-1100-000006000000}">
      <formula1>1</formula1>
      <formula2>1000000000</formula2>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100-000007000000}">
          <x14:formula1>
            <xm:f>'Control Values'!$B$14:$B$15</xm:f>
          </x14:formula1>
          <xm:sqref>E9</xm:sqref>
        </x14:dataValidation>
        <x14:dataValidation type="list" allowBlank="1" showInputMessage="1" showErrorMessage="1" xr:uid="{00000000-0002-0000-1100-000008000000}">
          <x14:formula1>
            <xm:f>'Control Values'!$B$29:$B$34</xm:f>
          </x14:formula1>
          <xm:sqref>C17</xm:sqref>
        </x14:dataValidation>
        <x14:dataValidation type="list" allowBlank="1" showInputMessage="1" showErrorMessage="1" xr:uid="{00000000-0002-0000-1100-000009000000}">
          <x14:formula1>
            <xm:f>'Control Values'!$B$23:$B$26</xm:f>
          </x14:formula1>
          <xm:sqref>C16</xm:sqref>
        </x14:dataValidation>
        <x14:dataValidation type="list" allowBlank="1" showInputMessage="1" showErrorMessage="1" xr:uid="{00000000-0002-0000-1100-00000A000000}">
          <x14:formula1>
            <xm:f>'Control Values'!$B$18:$B$19</xm:f>
          </x14:formula1>
          <xm:sqref>C13:C15</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8E594-B914-4985-8182-A0AE64E95D34}">
  <sheetPr codeName="Sheet75">
    <tabColor theme="9"/>
  </sheetPr>
  <dimension ref="A1:S60"/>
  <sheetViews>
    <sheetView zoomScale="80" zoomScaleNormal="80" workbookViewId="0">
      <selection activeCell="C10" sqref="C10"/>
    </sheetView>
  </sheetViews>
  <sheetFormatPr baseColWidth="10" defaultColWidth="11.5" defaultRowHeight="15"/>
  <cols>
    <col min="1" max="1" width="8.6640625" style="89" customWidth="1"/>
    <col min="2" max="2" width="11.5" style="89" customWidth="1"/>
    <col min="3" max="3" width="44.33203125" style="89" customWidth="1"/>
    <col min="4" max="4" width="23.1640625" style="89" customWidth="1"/>
    <col min="5" max="5" width="37.5" style="89" customWidth="1"/>
    <col min="6" max="6" width="32" style="89" customWidth="1"/>
    <col min="7" max="7" width="11.6640625" style="89" customWidth="1"/>
    <col min="8" max="11" width="32" style="89" customWidth="1"/>
    <col min="12" max="13" width="32.5" style="89" customWidth="1"/>
    <col min="14" max="14" width="26.1640625" style="89" customWidth="1"/>
    <col min="15" max="15" width="20" style="89" customWidth="1"/>
    <col min="16" max="17" width="11.5" style="89"/>
    <col min="18" max="18" width="8.5" style="89" customWidth="1"/>
    <col min="19" max="16384" width="11.5" style="89"/>
  </cols>
  <sheetData>
    <row r="1" spans="1:19" ht="19.5" customHeight="1" thickBot="1">
      <c r="B1" s="497" t="str">
        <f ca="1">COV!C20</f>
        <v>DECKBLATT BITTE VOLLSTÄNDIG AUSFÜLLEN!</v>
      </c>
      <c r="C1" s="459"/>
      <c r="D1" s="459"/>
      <c r="E1" s="459"/>
      <c r="F1" s="459"/>
      <c r="G1" s="459"/>
      <c r="H1" s="459"/>
      <c r="I1" s="459"/>
      <c r="J1" s="459"/>
      <c r="K1" s="459"/>
      <c r="L1" s="459"/>
      <c r="M1" s="459"/>
    </row>
    <row r="2" spans="1:19" ht="5.25" customHeight="1" thickTop="1"/>
    <row r="3" spans="1:19" ht="21">
      <c r="B3" s="2046" t="str">
        <f>Dictionary!B663&amp;" "&amp;'(7b) Project List'!A11&amp;", "&amp;EXP!D11&amp;": "&amp;EXP!C11</f>
        <v xml:space="preserve">Projektliste für Eintrag 3, : </v>
      </c>
      <c r="C3" s="2046"/>
      <c r="D3" s="2046"/>
      <c r="E3" s="2046"/>
      <c r="F3" s="2046"/>
      <c r="G3" s="2046"/>
      <c r="H3" s="2046"/>
      <c r="I3" s="2046"/>
      <c r="J3" s="2046"/>
      <c r="K3" s="2046"/>
      <c r="L3" s="2046"/>
      <c r="M3" s="2046"/>
    </row>
    <row r="4" spans="1:19" ht="21">
      <c r="B4" s="488"/>
      <c r="C4" s="488"/>
      <c r="D4" s="488"/>
      <c r="E4" s="488"/>
      <c r="F4" s="488"/>
      <c r="G4" s="488"/>
      <c r="H4" s="488"/>
      <c r="I4" s="488"/>
      <c r="J4" s="488"/>
      <c r="K4" s="488"/>
      <c r="L4" s="488"/>
      <c r="M4" s="488"/>
    </row>
    <row r="5" spans="1:19" ht="21">
      <c r="B5" s="489" t="str">
        <f>EXP!B5</f>
        <v xml:space="preserve"> , Level A, Projekt Management, Erstzertifizierung</v>
      </c>
      <c r="C5" s="490"/>
      <c r="D5" s="490"/>
      <c r="E5" s="490"/>
      <c r="F5" s="490"/>
      <c r="G5" s="490"/>
      <c r="H5" s="490"/>
      <c r="I5" s="490"/>
      <c r="J5" s="490"/>
      <c r="K5" s="490"/>
      <c r="L5" s="490"/>
      <c r="M5" s="490"/>
    </row>
    <row r="6" spans="1:19" ht="15" customHeight="1">
      <c r="A6" s="1284"/>
      <c r="B6" s="554"/>
      <c r="C6" s="554"/>
      <c r="D6" s="554"/>
      <c r="E6" s="554"/>
      <c r="F6" s="554"/>
      <c r="G6" s="554"/>
      <c r="H6" s="554"/>
      <c r="I6" s="554"/>
      <c r="J6" s="554"/>
      <c r="K6" s="554"/>
      <c r="L6" s="554"/>
      <c r="M6" s="554"/>
      <c r="N6" s="554"/>
      <c r="O6" s="554"/>
      <c r="P6" s="554"/>
      <c r="Q6" s="554"/>
      <c r="R6" s="554"/>
      <c r="S6" s="554"/>
    </row>
    <row r="7" spans="1:19" ht="24">
      <c r="A7" s="1284"/>
      <c r="B7" s="2171" t="str">
        <f>Dictionary!B665</f>
        <v>Nr.</v>
      </c>
      <c r="C7" s="2166" t="str">
        <f>Dictionary!B666</f>
        <v>Projektname</v>
      </c>
      <c r="D7" s="2166" t="str">
        <f>Dictionary!B667</f>
        <v>PM Domäne</v>
      </c>
      <c r="E7" s="2166" t="s">
        <v>269</v>
      </c>
      <c r="F7" s="2166" t="str">
        <f>Dictionary!B676</f>
        <v>Projekt- / Programm Typ</v>
      </c>
      <c r="G7" s="2173" t="str">
        <f>Dictionary!B677</f>
        <v>Strategisch</v>
      </c>
      <c r="H7" s="2166" t="str">
        <f>Dictionary!B670</f>
        <v>Dauer</v>
      </c>
      <c r="I7" s="2166"/>
      <c r="J7" s="2166" t="str">
        <f>Dictionary!B671</f>
        <v>Gesamtaufwand [Personentage]:</v>
      </c>
      <c r="K7" s="2166"/>
      <c r="L7" s="2166" t="str">
        <f>Dictionary!B672</f>
        <v>Gesamtbudget [€]:</v>
      </c>
      <c r="M7" s="2175"/>
      <c r="N7" s="554"/>
      <c r="O7" s="554"/>
      <c r="P7" s="554"/>
      <c r="Q7" s="554"/>
      <c r="R7" s="554"/>
      <c r="S7" s="554"/>
    </row>
    <row r="8" spans="1:19" ht="24">
      <c r="A8" s="1284"/>
      <c r="B8" s="2172"/>
      <c r="C8" s="2167"/>
      <c r="D8" s="2167"/>
      <c r="E8" s="2167"/>
      <c r="F8" s="2167"/>
      <c r="G8" s="2174"/>
      <c r="H8" s="1305" t="str">
        <f>Dictionary!B668</f>
        <v>Startdatum</v>
      </c>
      <c r="I8" s="1305" t="str">
        <f>Dictionary!B669</f>
        <v>Endtermin</v>
      </c>
      <c r="J8" s="1305" t="str">
        <f>Dictionary!B673</f>
        <v>geplant</v>
      </c>
      <c r="K8" s="1305" t="str">
        <f>Dictionary!B674</f>
        <v>realisiert</v>
      </c>
      <c r="L8" s="1305" t="str">
        <f>Dictionary!B673</f>
        <v>geplant</v>
      </c>
      <c r="M8" s="1306" t="str">
        <f>Dictionary!B674</f>
        <v>realisiert</v>
      </c>
      <c r="N8" s="554"/>
      <c r="O8" s="554"/>
      <c r="P8" s="554"/>
      <c r="Q8" s="554"/>
      <c r="R8" s="554"/>
      <c r="S8" s="554"/>
    </row>
    <row r="9" spans="1:19" ht="24" hidden="1">
      <c r="A9" s="1284"/>
      <c r="B9" s="1304" t="s">
        <v>2826</v>
      </c>
      <c r="C9" s="1297" t="s">
        <v>2827</v>
      </c>
      <c r="D9" s="1297" t="s">
        <v>2837</v>
      </c>
      <c r="E9" s="1297" t="s">
        <v>2828</v>
      </c>
      <c r="F9" s="1297" t="s">
        <v>2829</v>
      </c>
      <c r="G9" s="1298" t="s">
        <v>2830</v>
      </c>
      <c r="H9" s="1299" t="s">
        <v>2831</v>
      </c>
      <c r="I9" s="1299" t="s">
        <v>2832</v>
      </c>
      <c r="J9" s="1300" t="s">
        <v>2833</v>
      </c>
      <c r="K9" s="1300" t="s">
        <v>2834</v>
      </c>
      <c r="L9" s="1300" t="s">
        <v>2835</v>
      </c>
      <c r="M9" s="1300" t="s">
        <v>2836</v>
      </c>
      <c r="N9" s="554"/>
      <c r="O9" s="554"/>
      <c r="P9" s="554"/>
      <c r="Q9" s="554"/>
      <c r="R9" s="554"/>
      <c r="S9" s="554"/>
    </row>
    <row r="10" spans="1:19" ht="24">
      <c r="A10" s="1284"/>
      <c r="B10" s="1292">
        <v>1</v>
      </c>
      <c r="C10" s="1291"/>
      <c r="D10" s="1291"/>
      <c r="E10" s="1291"/>
      <c r="F10" s="1291"/>
      <c r="G10" s="1296"/>
      <c r="H10" s="1307"/>
      <c r="I10" s="1308"/>
      <c r="J10" s="1321"/>
      <c r="K10" s="1321"/>
      <c r="L10" s="1293"/>
      <c r="M10" s="1293"/>
      <c r="N10" s="554"/>
      <c r="O10" s="554"/>
      <c r="P10" s="554"/>
      <c r="Q10" s="554"/>
      <c r="R10" s="554"/>
      <c r="S10" s="554"/>
    </row>
    <row r="11" spans="1:19" ht="24">
      <c r="A11" s="1284"/>
      <c r="B11" s="1292">
        <v>2</v>
      </c>
      <c r="C11" s="1291"/>
      <c r="D11" s="1291"/>
      <c r="E11" s="1291"/>
      <c r="F11" s="1291"/>
      <c r="G11" s="1296"/>
      <c r="H11" s="1309"/>
      <c r="I11" s="1310"/>
      <c r="J11" s="1321"/>
      <c r="K11" s="1321"/>
      <c r="L11" s="1293"/>
      <c r="M11" s="1293"/>
      <c r="N11" s="554"/>
      <c r="O11" s="554"/>
      <c r="P11" s="554"/>
      <c r="Q11" s="554"/>
      <c r="R11" s="554"/>
      <c r="S11" s="554"/>
    </row>
    <row r="12" spans="1:19" ht="24">
      <c r="A12" s="1284"/>
      <c r="B12" s="1292">
        <v>3</v>
      </c>
      <c r="C12" s="1291"/>
      <c r="D12" s="1291"/>
      <c r="E12" s="1291"/>
      <c r="F12" s="1291"/>
      <c r="G12" s="1296"/>
      <c r="H12" s="1309"/>
      <c r="I12" s="1310"/>
      <c r="J12" s="1321"/>
      <c r="K12" s="1321"/>
      <c r="L12" s="1293"/>
      <c r="M12" s="1293"/>
      <c r="N12" s="554"/>
      <c r="O12" s="554"/>
      <c r="P12" s="554"/>
      <c r="Q12" s="554"/>
      <c r="R12" s="554"/>
      <c r="S12" s="554"/>
    </row>
    <row r="13" spans="1:19" ht="24">
      <c r="A13" s="1284"/>
      <c r="B13" s="1292">
        <v>4</v>
      </c>
      <c r="C13" s="1291"/>
      <c r="D13" s="1291"/>
      <c r="E13" s="1291"/>
      <c r="F13" s="1291"/>
      <c r="G13" s="1296"/>
      <c r="H13" s="1309"/>
      <c r="I13" s="1310"/>
      <c r="J13" s="1321"/>
      <c r="K13" s="1321"/>
      <c r="L13" s="1293"/>
      <c r="M13" s="1293"/>
      <c r="N13" s="554"/>
      <c r="O13" s="554"/>
      <c r="P13" s="554"/>
      <c r="Q13" s="554"/>
      <c r="R13" s="554"/>
      <c r="S13" s="554"/>
    </row>
    <row r="14" spans="1:19" ht="24">
      <c r="A14" s="1284"/>
      <c r="B14" s="1292">
        <v>5</v>
      </c>
      <c r="C14" s="1291"/>
      <c r="D14" s="1291"/>
      <c r="E14" s="1291"/>
      <c r="F14" s="1291"/>
      <c r="G14" s="1296"/>
      <c r="H14" s="1309"/>
      <c r="I14" s="1310"/>
      <c r="J14" s="1321"/>
      <c r="K14" s="1321"/>
      <c r="L14" s="1293"/>
      <c r="M14" s="1293"/>
      <c r="N14" s="554"/>
      <c r="O14" s="554"/>
      <c r="P14" s="554"/>
      <c r="Q14" s="554"/>
      <c r="R14" s="554"/>
      <c r="S14" s="554"/>
    </row>
    <row r="15" spans="1:19" ht="24">
      <c r="A15" s="1284"/>
      <c r="B15" s="1292">
        <v>6</v>
      </c>
      <c r="C15" s="1291"/>
      <c r="D15" s="1291"/>
      <c r="E15" s="1291"/>
      <c r="F15" s="1291"/>
      <c r="G15" s="1296"/>
      <c r="H15" s="1309"/>
      <c r="I15" s="1310"/>
      <c r="J15" s="1321"/>
      <c r="K15" s="1321"/>
      <c r="L15" s="1293"/>
      <c r="M15" s="1293"/>
      <c r="N15" s="554"/>
      <c r="O15" s="554"/>
      <c r="P15" s="554"/>
      <c r="Q15" s="554"/>
      <c r="R15" s="554"/>
      <c r="S15" s="554"/>
    </row>
    <row r="16" spans="1:19" ht="24">
      <c r="A16" s="1284"/>
      <c r="B16" s="1292">
        <v>7</v>
      </c>
      <c r="C16" s="1291"/>
      <c r="D16" s="1291"/>
      <c r="E16" s="1291"/>
      <c r="F16" s="1291"/>
      <c r="G16" s="1296"/>
      <c r="H16" s="1309"/>
      <c r="I16" s="1310"/>
      <c r="J16" s="1321"/>
      <c r="K16" s="1321"/>
      <c r="L16" s="1293"/>
      <c r="M16" s="1293"/>
      <c r="N16" s="554"/>
      <c r="O16" s="554"/>
      <c r="P16" s="554"/>
      <c r="Q16" s="554"/>
      <c r="R16" s="554"/>
      <c r="S16" s="554"/>
    </row>
    <row r="17" spans="1:19" ht="24">
      <c r="A17" s="1284"/>
      <c r="B17" s="1292">
        <v>8</v>
      </c>
      <c r="C17" s="1291"/>
      <c r="D17" s="1291"/>
      <c r="E17" s="1291"/>
      <c r="F17" s="1291"/>
      <c r="G17" s="1296"/>
      <c r="H17" s="1309"/>
      <c r="I17" s="1310"/>
      <c r="J17" s="1321"/>
      <c r="K17" s="1321"/>
      <c r="L17" s="1293"/>
      <c r="M17" s="1293"/>
      <c r="N17" s="554"/>
      <c r="O17" s="554"/>
      <c r="P17" s="554"/>
      <c r="Q17" s="554"/>
      <c r="R17" s="554"/>
      <c r="S17" s="554"/>
    </row>
    <row r="18" spans="1:19" ht="24">
      <c r="A18" s="1284"/>
      <c r="B18" s="1292">
        <v>9</v>
      </c>
      <c r="C18" s="1291"/>
      <c r="D18" s="1291"/>
      <c r="E18" s="1291"/>
      <c r="F18" s="1291"/>
      <c r="G18" s="1296"/>
      <c r="H18" s="1309"/>
      <c r="I18" s="1310"/>
      <c r="J18" s="1321"/>
      <c r="K18" s="1321"/>
      <c r="L18" s="1293"/>
      <c r="M18" s="1293"/>
      <c r="N18" s="554"/>
      <c r="O18" s="554"/>
      <c r="P18" s="554"/>
      <c r="Q18" s="554"/>
      <c r="R18" s="554"/>
      <c r="S18" s="554"/>
    </row>
    <row r="19" spans="1:19" ht="24">
      <c r="A19" s="1284"/>
      <c r="B19" s="1292">
        <v>10</v>
      </c>
      <c r="C19" s="1291"/>
      <c r="D19" s="1291"/>
      <c r="E19" s="1291"/>
      <c r="F19" s="1291"/>
      <c r="G19" s="1296"/>
      <c r="H19" s="1309"/>
      <c r="I19" s="1310"/>
      <c r="J19" s="1321"/>
      <c r="K19" s="1321"/>
      <c r="L19" s="1293"/>
      <c r="M19" s="1293"/>
      <c r="N19" s="554"/>
      <c r="O19" s="554"/>
      <c r="P19" s="554"/>
      <c r="Q19" s="554"/>
      <c r="R19" s="554"/>
      <c r="S19" s="554"/>
    </row>
    <row r="20" spans="1:19" ht="24">
      <c r="A20" s="1284"/>
      <c r="B20" s="1292">
        <v>11</v>
      </c>
      <c r="C20" s="1291"/>
      <c r="D20" s="1291"/>
      <c r="E20" s="1291"/>
      <c r="F20" s="1291"/>
      <c r="G20" s="1296"/>
      <c r="H20" s="1309"/>
      <c r="I20" s="1310"/>
      <c r="J20" s="1321"/>
      <c r="K20" s="1321"/>
      <c r="L20" s="1293"/>
      <c r="M20" s="1293"/>
      <c r="N20" s="554"/>
      <c r="O20" s="554"/>
      <c r="P20" s="554"/>
      <c r="Q20" s="554"/>
      <c r="R20" s="554"/>
      <c r="S20" s="554"/>
    </row>
    <row r="21" spans="1:19" ht="24">
      <c r="A21" s="1284"/>
      <c r="B21" s="1292">
        <v>12</v>
      </c>
      <c r="C21" s="1291"/>
      <c r="D21" s="1291"/>
      <c r="E21" s="1291"/>
      <c r="F21" s="1291"/>
      <c r="G21" s="1296"/>
      <c r="H21" s="1309"/>
      <c r="I21" s="1310"/>
      <c r="J21" s="1321"/>
      <c r="K21" s="1321"/>
      <c r="L21" s="1293"/>
      <c r="M21" s="1293"/>
      <c r="N21" s="554"/>
      <c r="O21" s="554"/>
      <c r="P21" s="554"/>
      <c r="Q21" s="554"/>
      <c r="R21" s="554"/>
      <c r="S21" s="554"/>
    </row>
    <row r="22" spans="1:19" ht="24">
      <c r="A22" s="1284"/>
      <c r="B22" s="1292">
        <v>13</v>
      </c>
      <c r="C22" s="1291"/>
      <c r="D22" s="1291"/>
      <c r="E22" s="1291"/>
      <c r="F22" s="1291"/>
      <c r="G22" s="1296"/>
      <c r="H22" s="1309"/>
      <c r="I22" s="1310"/>
      <c r="J22" s="1321"/>
      <c r="K22" s="1321"/>
      <c r="L22" s="1293"/>
      <c r="M22" s="1293"/>
      <c r="N22" s="554"/>
      <c r="O22" s="554"/>
      <c r="P22" s="554"/>
      <c r="Q22" s="554"/>
      <c r="R22" s="554"/>
      <c r="S22" s="554"/>
    </row>
    <row r="23" spans="1:19" ht="24">
      <c r="A23" s="1284"/>
      <c r="B23" s="1292">
        <v>14</v>
      </c>
      <c r="C23" s="1291"/>
      <c r="D23" s="1291"/>
      <c r="E23" s="1291"/>
      <c r="F23" s="1291"/>
      <c r="G23" s="1296"/>
      <c r="H23" s="1309"/>
      <c r="I23" s="1310"/>
      <c r="J23" s="1321"/>
      <c r="K23" s="1321"/>
      <c r="L23" s="1293"/>
      <c r="M23" s="1293"/>
      <c r="N23" s="554"/>
      <c r="O23" s="554"/>
      <c r="P23" s="554"/>
      <c r="Q23" s="554"/>
      <c r="R23" s="554"/>
      <c r="S23" s="554"/>
    </row>
    <row r="24" spans="1:19" ht="24">
      <c r="A24" s="1284"/>
      <c r="B24" s="1292">
        <v>15</v>
      </c>
      <c r="C24" s="1291"/>
      <c r="D24" s="1291"/>
      <c r="E24" s="1291"/>
      <c r="F24" s="1291"/>
      <c r="G24" s="1296"/>
      <c r="H24" s="1309"/>
      <c r="I24" s="1310"/>
      <c r="J24" s="1321"/>
      <c r="K24" s="1321"/>
      <c r="L24" s="1293"/>
      <c r="M24" s="1293"/>
      <c r="N24" s="554"/>
      <c r="O24" s="554"/>
      <c r="P24" s="554"/>
      <c r="Q24" s="554"/>
      <c r="R24" s="554"/>
      <c r="S24" s="554"/>
    </row>
    <row r="25" spans="1:19" ht="24">
      <c r="A25" s="1284"/>
      <c r="B25" s="1292">
        <v>16</v>
      </c>
      <c r="C25" s="1291"/>
      <c r="D25" s="1291"/>
      <c r="E25" s="1291"/>
      <c r="F25" s="1291"/>
      <c r="G25" s="1296"/>
      <c r="H25" s="1309"/>
      <c r="I25" s="1310"/>
      <c r="J25" s="1321"/>
      <c r="K25" s="1321"/>
      <c r="L25" s="1293"/>
      <c r="M25" s="1293"/>
      <c r="N25" s="554"/>
      <c r="O25" s="554"/>
      <c r="P25" s="554"/>
      <c r="Q25" s="554"/>
      <c r="R25" s="554"/>
      <c r="S25" s="554"/>
    </row>
    <row r="26" spans="1:19" ht="24">
      <c r="A26" s="1284"/>
      <c r="B26" s="1292">
        <v>17</v>
      </c>
      <c r="C26" s="1291"/>
      <c r="D26" s="1291"/>
      <c r="E26" s="1291"/>
      <c r="F26" s="1291"/>
      <c r="G26" s="1296"/>
      <c r="H26" s="1309"/>
      <c r="I26" s="1310"/>
      <c r="J26" s="1321"/>
      <c r="K26" s="1321"/>
      <c r="L26" s="1293"/>
      <c r="M26" s="1293"/>
      <c r="N26" s="554"/>
      <c r="O26" s="554"/>
      <c r="P26" s="554"/>
      <c r="Q26" s="554"/>
      <c r="R26" s="554"/>
      <c r="S26" s="554"/>
    </row>
    <row r="27" spans="1:19" ht="24">
      <c r="A27" s="1284"/>
      <c r="B27" s="1292">
        <v>18</v>
      </c>
      <c r="C27" s="1291"/>
      <c r="D27" s="1291"/>
      <c r="E27" s="1291"/>
      <c r="F27" s="1291"/>
      <c r="G27" s="1296"/>
      <c r="H27" s="1309"/>
      <c r="I27" s="1310"/>
      <c r="J27" s="1321"/>
      <c r="K27" s="1321"/>
      <c r="L27" s="1293"/>
      <c r="M27" s="1293"/>
      <c r="N27" s="554"/>
      <c r="O27" s="554"/>
      <c r="P27" s="554"/>
      <c r="Q27" s="554"/>
      <c r="R27" s="554"/>
      <c r="S27" s="554"/>
    </row>
    <row r="28" spans="1:19" ht="24">
      <c r="A28" s="1284"/>
      <c r="B28" s="1292">
        <v>19</v>
      </c>
      <c r="C28" s="1291"/>
      <c r="D28" s="1291"/>
      <c r="E28" s="1291"/>
      <c r="F28" s="1291"/>
      <c r="G28" s="1296"/>
      <c r="H28" s="1309"/>
      <c r="I28" s="1310"/>
      <c r="J28" s="1321"/>
      <c r="K28" s="1321"/>
      <c r="L28" s="1293"/>
      <c r="M28" s="1293"/>
      <c r="N28" s="554"/>
      <c r="O28" s="554"/>
      <c r="P28" s="554"/>
      <c r="Q28" s="554"/>
      <c r="R28" s="554"/>
      <c r="S28" s="554"/>
    </row>
    <row r="29" spans="1:19" ht="24">
      <c r="A29" s="1284"/>
      <c r="B29" s="1292">
        <v>20</v>
      </c>
      <c r="C29" s="1291"/>
      <c r="D29" s="1291"/>
      <c r="E29" s="1291"/>
      <c r="F29" s="1291"/>
      <c r="G29" s="1296"/>
      <c r="H29" s="1309"/>
      <c r="I29" s="1310"/>
      <c r="J29" s="1321"/>
      <c r="K29" s="1321"/>
      <c r="L29" s="1293"/>
      <c r="M29" s="1293"/>
      <c r="N29" s="554"/>
      <c r="O29" s="554"/>
      <c r="P29" s="554"/>
      <c r="Q29" s="554"/>
      <c r="R29" s="554"/>
      <c r="S29" s="554"/>
    </row>
    <row r="30" spans="1:19" ht="24">
      <c r="A30" s="1284"/>
      <c r="B30" s="1292">
        <v>21</v>
      </c>
      <c r="C30" s="1291"/>
      <c r="D30" s="1291"/>
      <c r="E30" s="1291"/>
      <c r="F30" s="1291"/>
      <c r="G30" s="1296"/>
      <c r="H30" s="1309"/>
      <c r="I30" s="1310"/>
      <c r="J30" s="1321"/>
      <c r="K30" s="1321"/>
      <c r="L30" s="1293"/>
      <c r="M30" s="1293"/>
      <c r="N30" s="554"/>
      <c r="O30" s="554"/>
      <c r="P30" s="554"/>
      <c r="Q30" s="554"/>
      <c r="R30" s="554"/>
      <c r="S30" s="554"/>
    </row>
    <row r="31" spans="1:19" ht="24">
      <c r="A31" s="1284"/>
      <c r="B31" s="1292">
        <v>22</v>
      </c>
      <c r="C31" s="1291"/>
      <c r="D31" s="1291"/>
      <c r="E31" s="1291"/>
      <c r="F31" s="1291"/>
      <c r="G31" s="1296"/>
      <c r="H31" s="1309"/>
      <c r="I31" s="1310"/>
      <c r="J31" s="1321"/>
      <c r="K31" s="1321"/>
      <c r="L31" s="1293"/>
      <c r="M31" s="1293"/>
      <c r="N31" s="554"/>
      <c r="O31" s="554"/>
      <c r="P31" s="554"/>
      <c r="Q31" s="554"/>
      <c r="R31" s="554"/>
      <c r="S31" s="554"/>
    </row>
    <row r="32" spans="1:19" ht="24">
      <c r="A32" s="1284"/>
      <c r="B32" s="1292">
        <v>23</v>
      </c>
      <c r="C32" s="1291"/>
      <c r="D32" s="1291"/>
      <c r="E32" s="1291"/>
      <c r="F32" s="1291"/>
      <c r="G32" s="1296"/>
      <c r="H32" s="1309"/>
      <c r="I32" s="1310"/>
      <c r="J32" s="1321"/>
      <c r="K32" s="1321"/>
      <c r="L32" s="1293"/>
      <c r="M32" s="1293"/>
      <c r="N32" s="554"/>
      <c r="O32" s="554"/>
      <c r="P32" s="554"/>
      <c r="Q32" s="554"/>
      <c r="R32" s="554"/>
      <c r="S32" s="554"/>
    </row>
    <row r="33" spans="1:19" ht="24">
      <c r="A33" s="1284"/>
      <c r="B33" s="1292">
        <v>24</v>
      </c>
      <c r="C33" s="1291"/>
      <c r="D33" s="1291"/>
      <c r="E33" s="1291"/>
      <c r="F33" s="1291"/>
      <c r="G33" s="1296"/>
      <c r="H33" s="1309"/>
      <c r="I33" s="1310"/>
      <c r="J33" s="1321"/>
      <c r="K33" s="1321"/>
      <c r="L33" s="1293"/>
      <c r="M33" s="1293"/>
      <c r="N33" s="554"/>
      <c r="O33" s="554"/>
      <c r="P33" s="554"/>
      <c r="Q33" s="554"/>
      <c r="R33" s="554"/>
      <c r="S33" s="554"/>
    </row>
    <row r="34" spans="1:19" ht="24">
      <c r="A34" s="1284"/>
      <c r="B34" s="1292">
        <v>25</v>
      </c>
      <c r="C34" s="1291"/>
      <c r="D34" s="1291"/>
      <c r="E34" s="1291"/>
      <c r="F34" s="1291"/>
      <c r="G34" s="1296"/>
      <c r="H34" s="1309"/>
      <c r="I34" s="1310"/>
      <c r="J34" s="1321"/>
      <c r="K34" s="1321"/>
      <c r="L34" s="1293"/>
      <c r="M34" s="1293"/>
      <c r="N34" s="554"/>
      <c r="O34" s="554"/>
      <c r="P34" s="554"/>
      <c r="Q34" s="554"/>
      <c r="R34" s="554"/>
      <c r="S34" s="554"/>
    </row>
    <row r="35" spans="1:19" ht="24">
      <c r="A35" s="1284"/>
      <c r="B35" s="1292">
        <v>26</v>
      </c>
      <c r="C35" s="1291"/>
      <c r="D35" s="1291"/>
      <c r="E35" s="1291"/>
      <c r="F35" s="1291"/>
      <c r="G35" s="1296"/>
      <c r="H35" s="1309"/>
      <c r="I35" s="1310"/>
      <c r="J35" s="1321"/>
      <c r="K35" s="1321"/>
      <c r="L35" s="1293"/>
      <c r="M35" s="1293"/>
      <c r="N35" s="554"/>
      <c r="O35" s="554"/>
      <c r="P35" s="554"/>
      <c r="Q35" s="554"/>
      <c r="R35" s="554"/>
      <c r="S35" s="554"/>
    </row>
    <row r="36" spans="1:19" ht="24">
      <c r="A36" s="1284"/>
      <c r="B36" s="1292">
        <v>27</v>
      </c>
      <c r="C36" s="1291"/>
      <c r="D36" s="1291"/>
      <c r="E36" s="1291"/>
      <c r="F36" s="1291"/>
      <c r="G36" s="1296"/>
      <c r="H36" s="1309"/>
      <c r="I36" s="1310"/>
      <c r="J36" s="1321"/>
      <c r="K36" s="1321"/>
      <c r="L36" s="1293"/>
      <c r="M36" s="1293"/>
      <c r="N36" s="554"/>
      <c r="O36" s="554"/>
      <c r="P36" s="554"/>
      <c r="Q36" s="554"/>
      <c r="R36" s="554"/>
      <c r="S36" s="554"/>
    </row>
    <row r="37" spans="1:19" ht="24">
      <c r="A37" s="1284"/>
      <c r="B37" s="1292">
        <v>28</v>
      </c>
      <c r="C37" s="1291"/>
      <c r="D37" s="1291"/>
      <c r="E37" s="1291"/>
      <c r="F37" s="1291"/>
      <c r="G37" s="1296"/>
      <c r="H37" s="1309"/>
      <c r="I37" s="1310"/>
      <c r="J37" s="1321"/>
      <c r="K37" s="1321"/>
      <c r="L37" s="1293"/>
      <c r="M37" s="1293"/>
      <c r="N37" s="554"/>
      <c r="O37" s="554"/>
      <c r="P37" s="554"/>
      <c r="Q37" s="554"/>
      <c r="R37" s="554"/>
      <c r="S37" s="554"/>
    </row>
    <row r="38" spans="1:19" ht="24">
      <c r="A38" s="1284"/>
      <c r="B38" s="1292">
        <v>29</v>
      </c>
      <c r="C38" s="1291"/>
      <c r="D38" s="1291"/>
      <c r="E38" s="1291"/>
      <c r="F38" s="1291"/>
      <c r="G38" s="1296"/>
      <c r="H38" s="1309"/>
      <c r="I38" s="1310"/>
      <c r="J38" s="1321"/>
      <c r="K38" s="1321"/>
      <c r="L38" s="1293"/>
      <c r="M38" s="1293"/>
      <c r="N38" s="554"/>
      <c r="O38" s="554"/>
      <c r="P38" s="554"/>
      <c r="Q38" s="554"/>
      <c r="R38" s="554"/>
      <c r="S38" s="554"/>
    </row>
    <row r="39" spans="1:19" ht="24">
      <c r="A39" s="1284"/>
      <c r="B39" s="1292">
        <v>30</v>
      </c>
      <c r="C39" s="1311"/>
      <c r="D39" s="1311"/>
      <c r="E39" s="1311"/>
      <c r="F39" s="1311"/>
      <c r="G39" s="1312"/>
      <c r="H39" s="1313"/>
      <c r="I39" s="1314"/>
      <c r="J39" s="1322"/>
      <c r="K39" s="1322"/>
      <c r="L39" s="1315"/>
      <c r="M39" s="1315"/>
      <c r="N39" s="554"/>
      <c r="O39" s="554"/>
      <c r="P39" s="554"/>
      <c r="Q39" s="554"/>
      <c r="R39" s="554"/>
      <c r="S39" s="554"/>
    </row>
    <row r="40" spans="1:19" ht="24">
      <c r="A40" s="1284"/>
      <c r="B40" s="1301"/>
      <c r="C40" s="2168" t="str">
        <f>Dictionary!B675</f>
        <v xml:space="preserve">Programm / Portfolio Verwaltung </v>
      </c>
      <c r="D40" s="2169"/>
      <c r="E40" s="2169"/>
      <c r="F40" s="2169"/>
      <c r="G40" s="2170"/>
      <c r="H40" s="1319"/>
      <c r="I40" s="1320"/>
      <c r="J40" s="1323"/>
      <c r="K40" s="1323"/>
      <c r="L40" s="1294"/>
      <c r="M40" s="1295"/>
      <c r="N40" s="554"/>
      <c r="O40" s="554"/>
      <c r="P40" s="554"/>
      <c r="Q40" s="554"/>
      <c r="R40" s="554"/>
      <c r="S40" s="554"/>
    </row>
    <row r="41" spans="1:19" ht="24">
      <c r="A41" s="1284"/>
      <c r="B41" s="1302"/>
      <c r="C41" s="1316"/>
      <c r="D41" s="1316"/>
      <c r="E41" s="1316"/>
      <c r="F41" s="1316"/>
      <c r="G41" s="1316"/>
      <c r="H41" s="2176" t="s">
        <v>2825</v>
      </c>
      <c r="I41" s="2176"/>
      <c r="J41" s="1317">
        <f>SUM(J9:J40)</f>
        <v>0</v>
      </c>
      <c r="K41" s="1317">
        <f>SUM(K9:K40)</f>
        <v>0</v>
      </c>
      <c r="L41" s="1318">
        <f>SUM(L9:L40)</f>
        <v>0</v>
      </c>
      <c r="M41" s="1318">
        <f>SUM(M9:M40)</f>
        <v>0</v>
      </c>
      <c r="N41" s="554"/>
      <c r="O41" s="554"/>
      <c r="P41" s="554"/>
      <c r="Q41" s="554"/>
      <c r="R41" s="554"/>
      <c r="S41" s="554"/>
    </row>
    <row r="42" spans="1:19" ht="24">
      <c r="B42" s="554"/>
      <c r="C42" s="554"/>
      <c r="D42" s="554"/>
      <c r="E42" s="554"/>
      <c r="F42" s="554"/>
      <c r="G42" s="554"/>
      <c r="H42" s="554"/>
      <c r="I42" s="554"/>
      <c r="J42" s="554"/>
      <c r="K42" s="554"/>
      <c r="L42" s="554"/>
      <c r="M42" s="554"/>
    </row>
    <row r="43" spans="1:19" ht="17" thickBot="1">
      <c r="B43" s="460"/>
      <c r="C43" s="460"/>
      <c r="D43" s="460"/>
      <c r="E43" s="460"/>
      <c r="F43" s="460"/>
      <c r="G43" s="460"/>
      <c r="H43" s="460"/>
      <c r="I43" s="460"/>
      <c r="J43" s="460"/>
      <c r="K43" s="460"/>
      <c r="L43" s="460"/>
      <c r="M43" s="460"/>
    </row>
    <row r="44" spans="1:19">
      <c r="M44" s="464" t="s">
        <v>105</v>
      </c>
    </row>
    <row r="50" spans="3:6" hidden="1"/>
    <row r="51" spans="3:6" hidden="1">
      <c r="C51" s="2163" t="s">
        <v>249</v>
      </c>
      <c r="D51" s="2164"/>
      <c r="E51" s="2164"/>
      <c r="F51" s="2165"/>
    </row>
    <row r="52" spans="3:6" hidden="1">
      <c r="C52" s="240"/>
      <c r="D52" s="172"/>
      <c r="E52" s="241"/>
      <c r="F52" s="241"/>
    </row>
    <row r="53" spans="3:6" hidden="1">
      <c r="C53" s="1905" t="s">
        <v>970</v>
      </c>
      <c r="D53" s="172" t="s">
        <v>1037</v>
      </c>
      <c r="E53" s="241"/>
      <c r="F53" s="241"/>
    </row>
    <row r="54" spans="3:6" hidden="1">
      <c r="C54" s="1906" t="s">
        <v>1024</v>
      </c>
      <c r="D54" s="172"/>
      <c r="E54" s="241"/>
      <c r="F54" s="241"/>
    </row>
    <row r="55" spans="3:6" hidden="1">
      <c r="C55" s="1907" t="s">
        <v>1025</v>
      </c>
      <c r="D55" s="172"/>
      <c r="E55" s="241"/>
      <c r="F55" s="241"/>
    </row>
    <row r="56" spans="3:6" hidden="1">
      <c r="C56" s="240"/>
      <c r="D56" s="172"/>
      <c r="E56" s="241"/>
      <c r="F56" s="241"/>
    </row>
    <row r="57" spans="3:6" hidden="1">
      <c r="C57" s="240"/>
      <c r="D57" s="172"/>
      <c r="E57" s="241"/>
      <c r="F57" s="241"/>
    </row>
    <row r="58" spans="3:6" hidden="1">
      <c r="C58" s="240"/>
      <c r="D58" s="172"/>
      <c r="E58" s="241"/>
      <c r="F58" s="241"/>
    </row>
    <row r="59" spans="3:6" hidden="1">
      <c r="C59" s="242"/>
      <c r="D59" s="1303"/>
      <c r="E59" s="185"/>
      <c r="F59" s="185"/>
    </row>
    <row r="60" spans="3:6" hidden="1"/>
  </sheetData>
  <sheetProtection algorithmName="SHA-512" hashValue="3oRaecprijFqlo4B3LvTJrIRh1rfihmZXfuIZ9RosUuSu1tdBNVASBP0zTikMzBO4I1tHP/UJFUSiEYW4sr+cg==" saltValue="1C2wmBwJ/+EDR+RLah9qFg==" spinCount="100000" sheet="1" objects="1" scenarios="1" selectLockedCells="1"/>
  <mergeCells count="13">
    <mergeCell ref="C40:G40"/>
    <mergeCell ref="H41:I41"/>
    <mergeCell ref="C51:F51"/>
    <mergeCell ref="B3:M3"/>
    <mergeCell ref="B7:B8"/>
    <mergeCell ref="C7:C8"/>
    <mergeCell ref="D7:D8"/>
    <mergeCell ref="E7:E8"/>
    <mergeCell ref="F7:F8"/>
    <mergeCell ref="G7:G8"/>
    <mergeCell ref="H7:I7"/>
    <mergeCell ref="J7:K7"/>
    <mergeCell ref="L7:M7"/>
  </mergeCells>
  <dataValidations count="6">
    <dataValidation type="date" operator="lessThan" allowBlank="1" showInputMessage="1" showErrorMessage="1" error="EN_x000a_End must occur after start._x000a__x000a_DE_x000a_Das Ende muss nach dem Start kommen._x000a_ " sqref="H10:H40" xr:uid="{00000000-0002-0000-1200-000000000000}">
      <formula1>I10</formula1>
    </dataValidation>
    <dataValidation type="date" operator="greaterThan" allowBlank="1" showInputMessage="1" showErrorMessage="1" error="EN_x000a_End must occur after start._x000a__x000a_DE_x000a_Das Ende muss nach dem Start kommen._x000a_ " sqref="I10:I40" xr:uid="{00000000-0002-0000-1200-000001000000}">
      <formula1>H10</formula1>
    </dataValidation>
    <dataValidation type="list" allowBlank="1" showInputMessage="1" showErrorMessage="1" sqref="G10:G39" xr:uid="{00000000-0002-0000-1200-000002000000}">
      <formula1>$D$53:$D$54</formula1>
    </dataValidation>
    <dataValidation type="list" allowBlank="1" showInputMessage="1" showErrorMessage="1" sqref="D10:D39" xr:uid="{00000000-0002-0000-1200-000003000000}">
      <formula1>$C$53:$C$55</formula1>
    </dataValidation>
    <dataValidation type="whole" operator="greaterThan" allowBlank="1" showInputMessage="1" showErrorMessage="1" error="Bitte eine ganze Zahl grösser als 0 eingeben!" sqref="J9:K40 M9:M40 L10:L40" xr:uid="{00000000-0002-0000-1200-000004000000}">
      <formula1>0</formula1>
    </dataValidation>
    <dataValidation type="whole" operator="greaterThan" allowBlank="1" showInputMessage="1" showErrorMessage="1" error="Bitte eine ganze Zahl grösser als 0 eingeben!" promptTitle="Investition" prompt="Unter Investition werden die gesamten Kosten verstanden, inkl.der personellen Aufwände." sqref="L9" xr:uid="{00000000-0002-0000-1200-000005000000}">
      <formula1>0</formula1>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6000000}">
          <x14:formula1>
            <xm:f>'Control Values'!$B$23:$B$26</xm:f>
          </x14:formula1>
          <xm:sqref>F10:F39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862B7-04A5-4514-9E72-C2897900DB18}">
  <sheetPr codeName="Dictionary"/>
  <dimension ref="A1:BC1491"/>
  <sheetViews>
    <sheetView zoomScale="90" zoomScaleNormal="90" workbookViewId="0">
      <pane ySplit="5" topLeftCell="A920" activePane="bottomLeft" state="frozen"/>
      <selection pane="bottomLeft" activeCell="E966" sqref="E966"/>
    </sheetView>
  </sheetViews>
  <sheetFormatPr baseColWidth="10" defaultColWidth="8.6640625" defaultRowHeight="15"/>
  <cols>
    <col min="2" max="2" width="70.5" style="616" customWidth="1"/>
    <col min="3" max="4" width="8.6640625" style="615"/>
    <col min="5" max="5" width="76.5" style="616" customWidth="1"/>
    <col min="6" max="6" width="8.6640625" style="615"/>
    <col min="7" max="7" width="70.5" style="616" customWidth="1"/>
    <col min="8" max="8" width="16.83203125" customWidth="1"/>
    <col min="9" max="9" width="13.1640625" style="615" customWidth="1"/>
    <col min="10" max="10" width="13.5" style="615" customWidth="1"/>
    <col min="11" max="11" width="2" style="615" customWidth="1"/>
    <col min="12" max="12" width="48.6640625" style="616" customWidth="1"/>
    <col min="13" max="13" width="2" style="615" customWidth="1"/>
    <col min="14" max="14" width="48.6640625" style="616" customWidth="1"/>
    <col min="15" max="15" width="2" style="615" customWidth="1"/>
    <col min="16" max="16" width="48.6640625" style="616" customWidth="1"/>
    <col min="17" max="17" width="6.83203125" customWidth="1"/>
    <col min="18" max="18" width="48.6640625" style="645" customWidth="1"/>
    <col min="19" max="19" width="2" customWidth="1"/>
    <col min="20" max="20" width="48.6640625" style="645" customWidth="1"/>
    <col min="21" max="21" width="2" customWidth="1"/>
    <col min="22" max="22" width="48.6640625" style="645" customWidth="1"/>
    <col min="28" max="28" width="2.1640625" customWidth="1"/>
    <col min="32" max="32" width="2.1640625" customWidth="1"/>
    <col min="36" max="36" width="4" customWidth="1"/>
    <col min="39" max="39" width="2.1640625" customWidth="1"/>
    <col min="41" max="41" width="2.1640625" customWidth="1"/>
    <col min="43" max="43" width="2.5" customWidth="1"/>
    <col min="46" max="46" width="2.1640625" customWidth="1"/>
    <col min="48" max="48" width="2.1640625" customWidth="1"/>
    <col min="51" max="55" width="51.6640625" customWidth="1"/>
  </cols>
  <sheetData>
    <row r="1" spans="1:55">
      <c r="A1" t="s">
        <v>3709</v>
      </c>
    </row>
    <row r="3" spans="1:55" ht="16">
      <c r="B3" s="623" t="s">
        <v>940</v>
      </c>
      <c r="C3" s="624" t="str">
        <f>IF(GC_Flag="",COV!E5,ENG)</f>
        <v>Deutsch</v>
      </c>
      <c r="X3" s="1396" t="s">
        <v>3413</v>
      </c>
      <c r="Z3" s="1389" t="s">
        <v>3396</v>
      </c>
      <c r="AA3" s="1389"/>
      <c r="AB3" s="1389"/>
      <c r="AC3" s="1389"/>
      <c r="AD3" s="1389"/>
      <c r="AE3" s="1389"/>
      <c r="AF3" s="1389"/>
      <c r="AG3" s="1389"/>
      <c r="AH3" s="1389"/>
      <c r="AI3" s="1389"/>
      <c r="AK3" s="1727" t="s">
        <v>4098</v>
      </c>
      <c r="AL3" s="1727"/>
      <c r="AM3" s="1727"/>
      <c r="AN3" s="1727"/>
      <c r="AO3" s="1727"/>
      <c r="AP3" s="1727"/>
      <c r="AR3" s="1774" t="s">
        <v>4097</v>
      </c>
      <c r="AS3" s="1774"/>
      <c r="AT3" s="1774"/>
      <c r="AU3" s="1774"/>
      <c r="AV3" s="1774"/>
      <c r="AW3" s="1774"/>
      <c r="AY3" s="1842" t="s">
        <v>4156</v>
      </c>
      <c r="AZ3" s="1842"/>
      <c r="BB3" s="1842" t="s">
        <v>4157</v>
      </c>
      <c r="BC3" s="1842"/>
    </row>
    <row r="4" spans="1:55" ht="16">
      <c r="L4" s="616" t="s">
        <v>970</v>
      </c>
      <c r="N4" s="616" t="s">
        <v>1024</v>
      </c>
      <c r="P4" s="616" t="s">
        <v>1025</v>
      </c>
      <c r="R4" s="616" t="s">
        <v>970</v>
      </c>
      <c r="S4" s="615"/>
      <c r="T4" s="616" t="s">
        <v>1024</v>
      </c>
      <c r="U4" s="615"/>
      <c r="V4" s="616" t="s">
        <v>1025</v>
      </c>
      <c r="X4" s="1396" t="s">
        <v>3414</v>
      </c>
      <c r="Z4" s="1777" t="s">
        <v>14</v>
      </c>
      <c r="AA4" s="1777" t="s">
        <v>3397</v>
      </c>
      <c r="AB4" s="1778"/>
      <c r="AC4" s="1777" t="s">
        <v>7</v>
      </c>
      <c r="AD4" s="1770"/>
      <c r="AE4" s="1770"/>
      <c r="AF4" s="1394"/>
      <c r="AG4" s="1777" t="s">
        <v>229</v>
      </c>
      <c r="AH4" s="1770"/>
      <c r="AI4" s="1770"/>
      <c r="AK4" s="1772" t="s">
        <v>14</v>
      </c>
      <c r="AL4" s="1772" t="s">
        <v>3397</v>
      </c>
      <c r="AM4" s="1773"/>
      <c r="AN4" s="1772" t="s">
        <v>7</v>
      </c>
      <c r="AO4" s="1773"/>
      <c r="AP4" s="1772" t="s">
        <v>229</v>
      </c>
      <c r="AR4" s="1775" t="s">
        <v>4088</v>
      </c>
      <c r="AS4" s="1775" t="s">
        <v>3397</v>
      </c>
      <c r="AT4" s="1775"/>
      <c r="AU4" s="1775" t="s">
        <v>7</v>
      </c>
      <c r="AV4" s="1775"/>
      <c r="AW4" s="1775" t="s">
        <v>229</v>
      </c>
      <c r="AY4" s="1842" t="s">
        <v>14</v>
      </c>
      <c r="AZ4" s="1842" t="s">
        <v>4155</v>
      </c>
      <c r="BB4" s="1842" t="s">
        <v>14</v>
      </c>
      <c r="BC4" s="1842" t="s">
        <v>4155</v>
      </c>
    </row>
    <row r="5" spans="1:55" ht="16">
      <c r="B5" s="625" t="s">
        <v>939</v>
      </c>
      <c r="C5" s="626"/>
      <c r="D5" s="626"/>
      <c r="E5" s="625" t="s">
        <v>941</v>
      </c>
      <c r="F5" s="626"/>
      <c r="G5" s="625" t="s">
        <v>942</v>
      </c>
      <c r="H5" s="2044" t="s">
        <v>3982</v>
      </c>
      <c r="I5" s="2044"/>
      <c r="L5" s="2038" t="s">
        <v>2706</v>
      </c>
      <c r="M5" s="2038"/>
      <c r="N5" s="2038"/>
      <c r="O5" s="2038"/>
      <c r="P5" s="2038"/>
      <c r="R5" s="2038" t="s">
        <v>2707</v>
      </c>
      <c r="S5" s="2038"/>
      <c r="T5" s="2038"/>
      <c r="U5" s="2038"/>
      <c r="V5" s="2038"/>
      <c r="X5" s="1396"/>
      <c r="Z5" s="1778" t="s">
        <v>970</v>
      </c>
      <c r="AA5" s="1778" t="s">
        <v>970</v>
      </c>
      <c r="AB5" s="1778"/>
      <c r="AC5" s="1778" t="s">
        <v>970</v>
      </c>
      <c r="AD5" s="1394" t="s">
        <v>1024</v>
      </c>
      <c r="AE5" s="1394" t="s">
        <v>1025</v>
      </c>
      <c r="AF5" s="1394"/>
      <c r="AG5" s="1778" t="s">
        <v>970</v>
      </c>
      <c r="AH5" s="1394" t="s">
        <v>1024</v>
      </c>
      <c r="AI5" s="1394" t="s">
        <v>1025</v>
      </c>
      <c r="AK5" s="1773" t="s">
        <v>970</v>
      </c>
      <c r="AL5" s="1773" t="s">
        <v>970</v>
      </c>
      <c r="AM5" s="1773"/>
      <c r="AN5" s="1773" t="s">
        <v>970</v>
      </c>
      <c r="AO5" s="1773"/>
      <c r="AP5" s="1773" t="s">
        <v>970</v>
      </c>
      <c r="AR5" s="1776" t="s">
        <v>970</v>
      </c>
      <c r="AS5" s="1776" t="s">
        <v>970</v>
      </c>
      <c r="AT5" s="1776"/>
      <c r="AU5" s="1776" t="s">
        <v>970</v>
      </c>
      <c r="AV5" s="1776"/>
      <c r="AW5" s="1776" t="s">
        <v>970</v>
      </c>
      <c r="AY5" s="1842"/>
      <c r="AZ5" s="1842"/>
      <c r="BB5" s="1842"/>
      <c r="BC5" s="1842"/>
    </row>
    <row r="6" spans="1:55">
      <c r="B6" s="627"/>
      <c r="C6" s="628"/>
      <c r="D6" s="628"/>
      <c r="E6" s="627"/>
      <c r="F6" s="628"/>
      <c r="G6" s="627"/>
      <c r="L6" s="615"/>
      <c r="N6" s="615"/>
      <c r="P6" s="615"/>
      <c r="Q6" s="615"/>
      <c r="R6" s="615"/>
      <c r="S6" s="615"/>
      <c r="T6" s="615"/>
      <c r="U6" s="615"/>
      <c r="V6" s="615"/>
      <c r="W6" s="615"/>
      <c r="X6" s="615"/>
      <c r="Y6" s="615"/>
    </row>
    <row r="7" spans="1:55">
      <c r="B7" s="2039" t="s">
        <v>1964</v>
      </c>
      <c r="C7" s="2039"/>
      <c r="D7" s="2039"/>
      <c r="E7" s="2039"/>
      <c r="F7" s="2039"/>
      <c r="G7" s="2039"/>
      <c r="L7" s="615"/>
      <c r="N7" s="615"/>
      <c r="P7" s="615"/>
      <c r="Q7" s="615"/>
      <c r="R7" s="615"/>
      <c r="S7" s="615"/>
      <c r="T7" s="615"/>
      <c r="U7" s="615"/>
      <c r="V7" s="615"/>
      <c r="W7" s="615"/>
      <c r="X7" s="615"/>
      <c r="Y7" s="615"/>
    </row>
    <row r="8" spans="1:55">
      <c r="B8" s="627"/>
      <c r="C8" s="628"/>
      <c r="D8" s="628"/>
      <c r="E8" s="627"/>
      <c r="F8" s="628"/>
      <c r="G8" s="627"/>
      <c r="L8" s="615"/>
      <c r="N8" s="615"/>
      <c r="P8" s="615"/>
      <c r="Q8" s="615"/>
      <c r="R8" s="615"/>
      <c r="S8" s="615"/>
      <c r="T8" s="615"/>
      <c r="U8" s="615"/>
      <c r="V8" s="615"/>
      <c r="W8" s="615"/>
      <c r="X8" s="615"/>
      <c r="Y8" s="615"/>
    </row>
    <row r="9" spans="1:55" ht="16">
      <c r="B9" s="616" t="str">
        <f>IF(FORM_LANGUAGE=GER,Dictionary!G9,Dictionary!E9)</f>
        <v>Bestanden</v>
      </c>
      <c r="E9" s="616" t="s">
        <v>2002</v>
      </c>
      <c r="G9" s="616" t="s">
        <v>1965</v>
      </c>
      <c r="L9" s="615"/>
      <c r="N9" s="615"/>
      <c r="P9" s="615"/>
      <c r="Q9" s="615"/>
      <c r="R9" s="615"/>
      <c r="S9" s="615"/>
      <c r="T9" s="615"/>
      <c r="U9" s="615"/>
      <c r="V9" s="615"/>
      <c r="W9" s="615"/>
      <c r="X9" s="615"/>
      <c r="Y9" s="615"/>
    </row>
    <row r="10" spans="1:55" ht="16">
      <c r="B10" s="616" t="str">
        <f>IF(FORM_LANGUAGE=GER,Dictionary!G10,Dictionary!E10)</f>
        <v>Noch nicht best.</v>
      </c>
      <c r="E10" s="616" t="s">
        <v>1966</v>
      </c>
      <c r="G10" s="616" t="s">
        <v>1967</v>
      </c>
      <c r="L10" s="615"/>
      <c r="N10" s="615"/>
      <c r="P10" s="615"/>
      <c r="Q10" s="615"/>
      <c r="R10" s="615"/>
      <c r="S10" s="615"/>
      <c r="T10" s="615"/>
      <c r="U10" s="615"/>
      <c r="V10" s="615"/>
      <c r="W10" s="615"/>
      <c r="X10" s="615"/>
      <c r="Y10" s="615"/>
    </row>
    <row r="11" spans="1:55" ht="16">
      <c r="B11" s="616" t="str">
        <f>IF(FORM_LANGUAGE=GER,Dictionary!G11,Dictionary!E11)</f>
        <v xml:space="preserve">Gesamt Ergebnis: </v>
      </c>
      <c r="E11" s="616" t="s">
        <v>1970</v>
      </c>
      <c r="G11" s="616" t="s">
        <v>1971</v>
      </c>
      <c r="L11" s="615"/>
      <c r="N11" s="615"/>
      <c r="P11" s="615"/>
      <c r="Q11" s="615"/>
      <c r="R11" s="615"/>
      <c r="S11" s="615"/>
      <c r="T11" s="615"/>
      <c r="U11" s="615"/>
      <c r="V11" s="615"/>
      <c r="W11" s="615"/>
      <c r="X11" s="615"/>
      <c r="Y11" s="615"/>
    </row>
    <row r="12" spans="1:55" ht="16">
      <c r="B12" s="616" t="str">
        <f>IF(FORM_LANGUAGE=GER,Dictionary!G12,Dictionary!E12)</f>
        <v xml:space="preserve">IPMA Zertifizierung </v>
      </c>
      <c r="E12" s="616" t="s">
        <v>4172</v>
      </c>
      <c r="G12" s="616" t="s">
        <v>4173</v>
      </c>
      <c r="L12" s="615"/>
      <c r="N12" s="615"/>
      <c r="P12" s="615"/>
      <c r="Q12" s="615"/>
      <c r="R12" s="615"/>
      <c r="S12" s="615"/>
      <c r="T12" s="615"/>
      <c r="U12" s="615"/>
      <c r="V12" s="615"/>
      <c r="W12" s="615"/>
      <c r="X12" s="615"/>
      <c r="Y12" s="615"/>
    </row>
    <row r="13" spans="1:55" ht="16">
      <c r="B13" s="616" t="str">
        <f>IF(FORM_LANGUAGE=GER,Dictionary!G13,Dictionary!E13)</f>
        <v xml:space="preserve">Report Feedback für </v>
      </c>
      <c r="E13" s="616" t="s">
        <v>1974</v>
      </c>
      <c r="G13" s="616" t="s">
        <v>1975</v>
      </c>
      <c r="L13" s="615"/>
      <c r="N13" s="615"/>
      <c r="P13" s="615"/>
      <c r="Q13" s="615"/>
      <c r="R13" s="615"/>
      <c r="S13" s="615"/>
      <c r="T13" s="615"/>
      <c r="U13" s="615"/>
      <c r="V13" s="615"/>
      <c r="W13" s="615"/>
      <c r="X13" s="615"/>
      <c r="Y13" s="615"/>
    </row>
    <row r="14" spans="1:55" ht="16">
      <c r="B14" s="616" t="str">
        <f>IF(FORM_LANGUAGE=GER,Dictionary!G14,Dictionary!E14)</f>
        <v xml:space="preserve">von </v>
      </c>
      <c r="E14" s="616" t="s">
        <v>1977</v>
      </c>
      <c r="G14" s="616" t="s">
        <v>1978</v>
      </c>
      <c r="L14" s="615"/>
      <c r="N14" s="615"/>
      <c r="P14" s="615"/>
      <c r="Q14" s="615"/>
      <c r="R14" s="615"/>
      <c r="S14" s="615"/>
      <c r="T14" s="615"/>
      <c r="U14" s="615"/>
      <c r="V14" s="615"/>
      <c r="W14" s="615"/>
      <c r="X14" s="615"/>
      <c r="Y14" s="615"/>
    </row>
    <row r="15" spans="1:55" ht="48">
      <c r="B15" s="616" t="str">
        <f>IF(FORM_LANGUAGE=GER,Dictionary!G15,Dictionary!E15)</f>
        <v>Erf.
Kompet.
Stufe</v>
      </c>
      <c r="E15" s="616" t="s">
        <v>3511</v>
      </c>
      <c r="G15" s="616" t="s">
        <v>3512</v>
      </c>
      <c r="L15" s="615"/>
      <c r="N15" s="615"/>
      <c r="P15" s="615"/>
      <c r="Q15" s="615"/>
      <c r="R15" s="615"/>
      <c r="S15" s="615"/>
      <c r="T15" s="615"/>
      <c r="U15" s="615"/>
      <c r="V15" s="615"/>
      <c r="W15" s="615"/>
      <c r="X15" s="615"/>
      <c r="Y15" s="615"/>
    </row>
    <row r="16" spans="1:55" ht="16">
      <c r="B16" s="616" t="str">
        <f>IF(FORM_LANGUAGE=GER,Dictionary!G16,Dictionary!E16)</f>
        <v>Feedback Kommentar</v>
      </c>
      <c r="E16" s="616" t="s">
        <v>1979</v>
      </c>
      <c r="G16" s="616" t="s">
        <v>1981</v>
      </c>
      <c r="L16" s="615"/>
      <c r="N16" s="615"/>
      <c r="P16" s="615"/>
      <c r="Q16" s="615"/>
      <c r="R16" s="615"/>
      <c r="S16" s="615"/>
      <c r="T16" s="615"/>
      <c r="U16" s="615"/>
      <c r="V16" s="615"/>
      <c r="W16" s="615"/>
      <c r="X16" s="615"/>
      <c r="Y16" s="615"/>
    </row>
    <row r="17" spans="2:25" ht="16">
      <c r="B17" s="616" t="str">
        <f>IF(FORM_LANGUAGE=GER,Dictionary!G17,Dictionary!E17)</f>
        <v>Bewertung</v>
      </c>
      <c r="E17" s="616" t="s">
        <v>1980</v>
      </c>
      <c r="G17" s="616" t="s">
        <v>1189</v>
      </c>
      <c r="L17" s="615"/>
      <c r="N17" s="615"/>
      <c r="P17" s="615"/>
      <c r="Q17" s="615"/>
      <c r="R17" s="615"/>
      <c r="S17" s="615"/>
      <c r="T17" s="615"/>
      <c r="U17" s="615"/>
      <c r="V17" s="615"/>
      <c r="W17" s="615"/>
      <c r="X17" s="615"/>
      <c r="Y17" s="615"/>
    </row>
    <row r="18" spans="2:25" ht="16">
      <c r="B18" s="616" t="str">
        <f>IF(FORM_LANGUAGE=GER,Dictionary!G18,Dictionary!E18)</f>
        <v>Nicht relevant</v>
      </c>
      <c r="E18" s="616" t="s">
        <v>1986</v>
      </c>
      <c r="G18" s="616" t="s">
        <v>1987</v>
      </c>
      <c r="L18" s="615"/>
      <c r="N18" s="615"/>
      <c r="P18" s="615"/>
      <c r="Q18" s="615"/>
      <c r="R18" s="615"/>
      <c r="S18" s="615"/>
      <c r="T18" s="615"/>
      <c r="U18" s="615"/>
      <c r="V18" s="615"/>
      <c r="W18" s="615"/>
      <c r="X18" s="615"/>
      <c r="Y18" s="615"/>
    </row>
    <row r="19" spans="2:25" ht="16">
      <c r="B19" s="616" t="str">
        <f>IF(FORM_LANGUAGE=GER,Dictionary!G19,Dictionary!E19)</f>
        <v>- KEINE ANGABE -</v>
      </c>
      <c r="E19" s="616" t="str">
        <f>"- NONE -"</f>
        <v>- NONE -</v>
      </c>
      <c r="G19" s="616" t="str">
        <f>"- KEINE ANGABE -"</f>
        <v>- KEINE ANGABE -</v>
      </c>
      <c r="L19" s="615"/>
      <c r="N19" s="615"/>
      <c r="P19" s="615"/>
      <c r="Q19" s="615"/>
      <c r="R19" s="615"/>
      <c r="S19" s="615"/>
      <c r="T19" s="615"/>
      <c r="U19" s="615"/>
      <c r="V19" s="615"/>
      <c r="W19" s="615"/>
      <c r="X19" s="615"/>
      <c r="Y19" s="615"/>
    </row>
    <row r="20" spans="2:25" ht="16">
      <c r="B20" s="616" t="str">
        <f>IF(FORM_LANGUAGE=GER,Dictionary!G20,Dictionary!E20)</f>
        <v>Ja</v>
      </c>
      <c r="E20" s="616" t="s">
        <v>2510</v>
      </c>
      <c r="G20" s="616" t="s">
        <v>2508</v>
      </c>
      <c r="L20" s="615"/>
      <c r="N20" s="615"/>
      <c r="P20" s="615"/>
      <c r="Q20" s="615"/>
      <c r="R20" s="615"/>
      <c r="S20" s="615"/>
      <c r="T20" s="615"/>
      <c r="U20" s="615"/>
      <c r="V20" s="615"/>
      <c r="W20" s="615"/>
      <c r="X20" s="615"/>
      <c r="Y20" s="615"/>
    </row>
    <row r="21" spans="2:25" ht="16">
      <c r="B21" s="616" t="str">
        <f>IF(FORM_LANGUAGE=GER,Dictionary!G21,Dictionary!E21)</f>
        <v>Nein</v>
      </c>
      <c r="E21" s="616" t="s">
        <v>2511</v>
      </c>
      <c r="G21" s="616" t="s">
        <v>2509</v>
      </c>
      <c r="L21" s="615"/>
      <c r="N21" s="615"/>
      <c r="P21" s="615"/>
      <c r="Q21" s="615"/>
      <c r="R21" s="615"/>
      <c r="S21" s="615"/>
      <c r="T21" s="615"/>
      <c r="U21" s="615"/>
      <c r="V21" s="615"/>
      <c r="W21" s="615"/>
      <c r="X21" s="615"/>
      <c r="Y21" s="615"/>
    </row>
    <row r="22" spans="2:25" ht="16">
      <c r="B22" s="616" t="str">
        <f>IF(FORM_LANGUAGE=GER,Dictionary!G22,Dictionary!E22)</f>
        <v>Lead Assessor:</v>
      </c>
      <c r="E22" s="616" t="s">
        <v>289</v>
      </c>
      <c r="G22" s="616" t="s">
        <v>289</v>
      </c>
      <c r="L22" s="615"/>
      <c r="N22" s="615"/>
      <c r="P22" s="615"/>
      <c r="Q22" s="615"/>
      <c r="R22" s="615"/>
      <c r="S22" s="615"/>
      <c r="T22" s="615"/>
      <c r="U22" s="615"/>
      <c r="V22" s="615"/>
      <c r="W22" s="615"/>
      <c r="X22" s="615"/>
      <c r="Y22" s="615"/>
    </row>
    <row r="23" spans="2:25" ht="16">
      <c r="B23" s="616" t="str">
        <f>IF(FORM_LANGUAGE=GER,Dictionary!G23,Dictionary!E23)</f>
        <v>Co Assessor:</v>
      </c>
      <c r="E23" s="616" t="s">
        <v>290</v>
      </c>
      <c r="G23" s="616" t="s">
        <v>290</v>
      </c>
      <c r="L23" s="615"/>
      <c r="N23" s="615"/>
      <c r="P23" s="615"/>
      <c r="Q23" s="615"/>
      <c r="R23" s="615"/>
      <c r="S23" s="615"/>
      <c r="T23" s="615"/>
      <c r="U23" s="615"/>
      <c r="V23" s="615"/>
      <c r="W23" s="615"/>
      <c r="X23" s="615"/>
      <c r="Y23" s="615"/>
    </row>
    <row r="24" spans="2:25" ht="16">
      <c r="B24" s="616" t="str">
        <f>IF(FORM_LANGUAGE=GER,Dictionary!G24,Dictionary!E24)</f>
        <v>Kandidat:</v>
      </c>
      <c r="E24" s="616" t="s">
        <v>2515</v>
      </c>
      <c r="G24" s="616" t="s">
        <v>2514</v>
      </c>
      <c r="L24" s="615"/>
      <c r="N24" s="615"/>
      <c r="P24" s="615"/>
      <c r="Q24" s="615"/>
      <c r="R24" s="615"/>
      <c r="S24" s="615"/>
      <c r="T24" s="615"/>
      <c r="U24" s="615"/>
      <c r="V24" s="615"/>
      <c r="W24" s="615"/>
      <c r="X24" s="615"/>
      <c r="Y24" s="615"/>
    </row>
    <row r="25" spans="2:25" ht="16">
      <c r="B25" s="616" t="str">
        <f>IF(FORM_LANGUAGE=GER,Dictionary!G25,Dictionary!E25)</f>
        <v>Teilprojekt</v>
      </c>
      <c r="E25" s="616" t="s">
        <v>3538</v>
      </c>
      <c r="G25" s="616" t="s">
        <v>3539</v>
      </c>
      <c r="L25" s="615"/>
      <c r="N25" s="615"/>
      <c r="P25" s="615"/>
      <c r="Q25" s="615"/>
      <c r="R25" s="615"/>
      <c r="S25" s="615"/>
      <c r="T25" s="615"/>
      <c r="U25" s="615"/>
      <c r="V25" s="615"/>
      <c r="W25" s="615"/>
      <c r="X25" s="615"/>
      <c r="Y25" s="615"/>
    </row>
    <row r="26" spans="2:25" ht="16">
      <c r="B26" s="616" t="str">
        <f>IF(FORM_LANGUAGE=GER,Dictionary!G26,Dictionary!E26)</f>
        <v>Projekt</v>
      </c>
      <c r="E26" s="616" t="s">
        <v>975</v>
      </c>
      <c r="G26" s="616" t="s">
        <v>972</v>
      </c>
      <c r="L26" s="615"/>
      <c r="N26" s="615"/>
      <c r="P26" s="615"/>
      <c r="Q26" s="615"/>
      <c r="R26" s="615"/>
      <c r="S26" s="615"/>
      <c r="T26" s="615"/>
      <c r="U26" s="615"/>
      <c r="V26" s="615"/>
      <c r="W26" s="615"/>
      <c r="X26" s="615"/>
      <c r="Y26" s="615"/>
    </row>
    <row r="27" spans="2:25" ht="16">
      <c r="B27" s="616" t="str">
        <f>IF(FORM_LANGUAGE=GER,Dictionary!G27,Dictionary!E27)</f>
        <v>Programm</v>
      </c>
      <c r="E27" s="616" t="s">
        <v>976</v>
      </c>
      <c r="G27" s="616" t="s">
        <v>973</v>
      </c>
      <c r="L27" s="615"/>
      <c r="N27" s="615"/>
      <c r="P27" s="615"/>
      <c r="Q27" s="615"/>
      <c r="R27" s="615"/>
      <c r="S27" s="615"/>
      <c r="T27" s="615"/>
      <c r="U27" s="615"/>
      <c r="V27" s="615"/>
      <c r="W27" s="615"/>
      <c r="X27" s="615"/>
      <c r="Y27" s="615"/>
    </row>
    <row r="28" spans="2:25" ht="16">
      <c r="B28" s="616" t="str">
        <f>IF(FORM_LANGUAGE=GER,Dictionary!G28,Dictionary!E28)</f>
        <v>Portfolio</v>
      </c>
      <c r="E28" s="616" t="s">
        <v>974</v>
      </c>
      <c r="G28" s="616" t="s">
        <v>974</v>
      </c>
      <c r="L28" s="615"/>
      <c r="N28" s="615"/>
      <c r="P28" s="615"/>
      <c r="Q28" s="615"/>
      <c r="R28" s="615"/>
      <c r="S28" s="615"/>
      <c r="T28" s="615"/>
      <c r="U28" s="615"/>
      <c r="V28" s="615"/>
      <c r="W28" s="615"/>
      <c r="X28" s="615"/>
      <c r="Y28" s="615"/>
    </row>
    <row r="29" spans="2:25" ht="16">
      <c r="B29" s="616" t="str">
        <f>IF(FORM_LANGUAGE=GER,Dictionary!G29,Dictionary!E29)</f>
        <v>PMO Projekt Cluster</v>
      </c>
      <c r="E29" s="616" t="s">
        <v>4007</v>
      </c>
      <c r="G29" s="616" t="s">
        <v>4008</v>
      </c>
      <c r="L29" s="615"/>
      <c r="N29" s="615"/>
      <c r="P29" s="615"/>
      <c r="Q29" s="615"/>
      <c r="R29" s="615"/>
      <c r="S29" s="615"/>
      <c r="T29" s="615"/>
      <c r="U29" s="615"/>
      <c r="V29" s="615"/>
      <c r="W29" s="615"/>
      <c r="X29" s="615"/>
      <c r="Y29" s="615"/>
    </row>
    <row r="30" spans="2:25">
      <c r="L30" s="615"/>
      <c r="N30" s="615"/>
      <c r="P30" s="615"/>
      <c r="Q30" s="615"/>
      <c r="R30" s="615"/>
      <c r="S30" s="615"/>
      <c r="T30" s="615"/>
      <c r="U30" s="615"/>
      <c r="V30" s="615"/>
      <c r="W30" s="615"/>
      <c r="X30" s="615"/>
      <c r="Y30" s="615"/>
    </row>
    <row r="31" spans="2:25" ht="16">
      <c r="B31" s="616" t="str">
        <f>IF(FORM_LANGUAGE=GER,Dictionary!G31,Dictionary!E31)</f>
        <v>Zertifizierungs-Pfad</v>
      </c>
      <c r="E31" s="616" t="s">
        <v>3488</v>
      </c>
      <c r="G31" s="616" t="s">
        <v>3489</v>
      </c>
      <c r="L31" s="615"/>
      <c r="N31" s="615"/>
      <c r="P31" s="615"/>
      <c r="Q31" s="615"/>
      <c r="R31" s="615"/>
      <c r="S31" s="615"/>
      <c r="T31" s="615"/>
      <c r="U31" s="615"/>
      <c r="V31" s="615"/>
      <c r="W31" s="615"/>
      <c r="X31" s="615"/>
      <c r="Y31" s="615"/>
    </row>
    <row r="32" spans="2:25">
      <c r="L32" s="615"/>
      <c r="N32" s="615"/>
      <c r="P32" s="615"/>
      <c r="Q32" s="615"/>
      <c r="R32" s="615"/>
      <c r="S32" s="615"/>
      <c r="T32" s="615"/>
      <c r="U32" s="615"/>
      <c r="V32" s="615"/>
      <c r="W32" s="615"/>
      <c r="X32" s="615"/>
      <c r="Y32" s="615"/>
    </row>
    <row r="33" spans="2:25" ht="16">
      <c r="B33" s="616" t="str">
        <f>IF(FORM_LANGUAGE=GER,Dictionary!G33,Dictionary!E33)</f>
        <v>Dateinamen erzeugen und speichern</v>
      </c>
      <c r="E33" s="616" t="s">
        <v>3605</v>
      </c>
      <c r="G33" s="616" t="s">
        <v>3765</v>
      </c>
      <c r="L33" s="615"/>
      <c r="N33" s="615"/>
      <c r="P33" s="615"/>
      <c r="Q33" s="615"/>
      <c r="R33" s="615"/>
      <c r="S33" s="615"/>
      <c r="T33" s="615"/>
      <c r="U33" s="615"/>
      <c r="V33" s="615"/>
      <c r="W33" s="615"/>
      <c r="X33" s="615"/>
      <c r="Y33" s="615"/>
    </row>
    <row r="34" spans="2:25" ht="16">
      <c r="B34" s="616" t="str">
        <f>IF(FORM_LANGUAGE=GER,Dictionary!G34,Dictionary!E34)</f>
        <v>Erzeugter Dateiname für Ihren Leistungsnachweis</v>
      </c>
      <c r="E34" s="616" t="s">
        <v>3607</v>
      </c>
      <c r="G34" s="616" t="s">
        <v>3606</v>
      </c>
      <c r="L34" s="615"/>
      <c r="N34" s="615"/>
      <c r="P34" s="615"/>
      <c r="Q34" s="615"/>
      <c r="R34" s="615"/>
      <c r="S34" s="615"/>
      <c r="T34" s="615"/>
      <c r="U34" s="615"/>
      <c r="V34" s="615"/>
      <c r="W34" s="615"/>
      <c r="X34" s="615"/>
      <c r="Y34" s="615"/>
    </row>
    <row r="35" spans="2:25" ht="64">
      <c r="B35" s="616" t="str">
        <f>IF(FORM_LANGUAGE=GER,Dictionary!G35,Dictionary!E35)</f>
        <v>Kopieren order korrigieren Sie den Dateinamen.
NUR FÜR WINDOWS PC:
Clicken Sie auf OK um einen Dialog zum Speichern zu öffnen.</v>
      </c>
      <c r="E35" s="616" t="s">
        <v>3619</v>
      </c>
      <c r="G35" s="616" t="s">
        <v>3618</v>
      </c>
      <c r="L35" s="615"/>
      <c r="N35" s="615"/>
      <c r="P35" s="615"/>
      <c r="Q35" s="615"/>
      <c r="R35" s="615"/>
      <c r="S35" s="615"/>
      <c r="T35" s="615"/>
      <c r="U35" s="615"/>
      <c r="V35" s="615"/>
      <c r="W35" s="615"/>
      <c r="X35" s="615"/>
      <c r="Y35" s="615"/>
    </row>
    <row r="36" spans="2:25" ht="48">
      <c r="B36" s="616" t="str">
        <f>IF(FORM_LANGUAGE=GER,Dictionary!G36,Dictionary!E36)</f>
        <v>Format des Dateinamens:
F01_V02R24_[I=Erstzert, R=ReZert, U=Upgrade]_[Level]_[Domäne]_[Familien-Name]_[Name]_DOB[Geburtsdatum in JJJJMMTT]-V[IHRE VERSIONSNUMMER]</v>
      </c>
      <c r="E36" s="616" t="str">
        <f>"File naming convention: 
F01_"&amp;VERSION_STRING&amp;"_[I=Initial Cert, R=ReCert, U=Upgrade]_[Level]_[Domain]_[Family-Name]_[Name]_DOB[Date of birth in YYYYMMDD]-V[YOUR VERSION NUMBER]"</f>
        <v>File naming convention: 
F01_V02R24_[I=Initial Cert, R=ReCert, U=Upgrade]_[Level]_[Domain]_[Family-Name]_[Name]_DOB[Date of birth in YYYYMMDD]-V[YOUR VERSION NUMBER]</v>
      </c>
      <c r="G36" s="616" t="str">
        <f>"Format des Dateinamens:
F01_"&amp;VERSION_STRING&amp;"_[I=Erstzert, R=ReZert, U=Upgrade]_[Level]_[Domäne]_[Familien-Name]_[Name]_DOB[Geburtsdatum in JJJJMMTT]-V[IHRE VERSIONSNUMMER]"</f>
        <v>Format des Dateinamens:
F01_V02R24_[I=Erstzert, R=ReZert, U=Upgrade]_[Level]_[Domäne]_[Familien-Name]_[Name]_DOB[Geburtsdatum in JJJJMMTT]-V[IHRE VERSIONSNUMMER]</v>
      </c>
      <c r="L36" s="615"/>
      <c r="N36" s="615"/>
      <c r="P36" s="615"/>
      <c r="Q36" s="615"/>
      <c r="R36" s="615"/>
      <c r="S36" s="615"/>
      <c r="T36" s="615"/>
      <c r="U36" s="615"/>
      <c r="V36" s="615"/>
      <c r="W36" s="615"/>
      <c r="X36" s="615"/>
      <c r="Y36" s="615"/>
    </row>
    <row r="37" spans="2:25">
      <c r="L37" s="615"/>
      <c r="N37" s="615"/>
      <c r="P37" s="615"/>
      <c r="Q37" s="615"/>
      <c r="R37" s="615"/>
      <c r="S37" s="615"/>
      <c r="T37" s="615"/>
      <c r="U37" s="615"/>
      <c r="V37" s="615"/>
      <c r="W37" s="615"/>
      <c r="X37" s="615"/>
      <c r="Y37" s="615"/>
    </row>
    <row r="38" spans="2:25" ht="16">
      <c r="B38" s="616" t="str">
        <f>IF(FORM_LANGUAGE=GER,Dictionary!G38,Dictionary!E38)</f>
        <v>Deckblatt bitte vollständig ausfüllen!</v>
      </c>
      <c r="E38" s="616" t="s">
        <v>3600</v>
      </c>
      <c r="G38" s="616" t="s">
        <v>3599</v>
      </c>
      <c r="L38" s="615"/>
      <c r="N38" s="615"/>
      <c r="P38" s="615"/>
      <c r="Q38" s="615"/>
      <c r="R38" s="615"/>
      <c r="S38" s="615"/>
      <c r="T38" s="615"/>
      <c r="U38" s="615"/>
      <c r="V38" s="615"/>
      <c r="W38" s="615"/>
      <c r="X38" s="615"/>
      <c r="Y38" s="615"/>
    </row>
    <row r="39" spans="2:25" ht="16">
      <c r="B39" s="616" t="str">
        <f>IF(FORM_LANGUAGE=GER,Dictionary!G39,Dictionary!E39)</f>
        <v>Dateiname ungültig!</v>
      </c>
      <c r="E39" s="616" t="s">
        <v>3595</v>
      </c>
      <c r="G39" s="616" t="s">
        <v>3596</v>
      </c>
      <c r="L39" s="615"/>
      <c r="N39" s="615"/>
      <c r="P39" s="615"/>
      <c r="Q39" s="615"/>
      <c r="R39" s="615"/>
      <c r="S39" s="615"/>
      <c r="T39" s="615"/>
      <c r="U39" s="615"/>
      <c r="V39" s="615"/>
      <c r="W39" s="615"/>
      <c r="X39" s="615"/>
      <c r="Y39" s="615"/>
    </row>
    <row r="40" spans="2:25" ht="16">
      <c r="B40" s="616" t="str">
        <f>IF(FORM_LANGUAGE=GER,Dictionary!G40,Dictionary!E40)</f>
        <v>Datei gespeichert unter</v>
      </c>
      <c r="E40" s="616" t="s">
        <v>3597</v>
      </c>
      <c r="G40" s="616" t="s">
        <v>3598</v>
      </c>
      <c r="L40" s="615"/>
      <c r="N40" s="615"/>
      <c r="P40" s="615"/>
      <c r="Q40" s="615"/>
      <c r="R40" s="615"/>
      <c r="S40" s="615"/>
      <c r="T40" s="615"/>
      <c r="U40" s="615"/>
      <c r="V40" s="615"/>
      <c r="W40" s="615"/>
      <c r="X40" s="615"/>
      <c r="Y40" s="615"/>
    </row>
    <row r="41" spans="2:25" ht="16">
      <c r="B41" s="616" t="str">
        <f>IF(FORM_LANGUAGE=GER,Dictionary!G41,Dictionary!E41)</f>
        <v>Wáhlen Sie einen Pfad für die Datei aus</v>
      </c>
      <c r="E41" s="616" t="s">
        <v>3602</v>
      </c>
      <c r="G41" s="616" t="s">
        <v>3603</v>
      </c>
      <c r="L41" s="615"/>
      <c r="N41" s="615"/>
      <c r="P41" s="615"/>
      <c r="Q41" s="615"/>
      <c r="R41" s="615"/>
      <c r="S41" s="615"/>
      <c r="T41" s="615"/>
      <c r="U41" s="615"/>
      <c r="V41" s="615"/>
      <c r="W41" s="615"/>
      <c r="X41" s="615"/>
      <c r="Y41" s="615"/>
    </row>
    <row r="42" spans="2:25">
      <c r="L42" s="615"/>
      <c r="N42" s="615"/>
      <c r="P42" s="615"/>
      <c r="Q42" s="615"/>
      <c r="R42" s="615"/>
      <c r="S42" s="615"/>
      <c r="T42" s="615"/>
      <c r="U42" s="615"/>
      <c r="V42" s="615"/>
      <c r="W42" s="615"/>
      <c r="X42" s="615"/>
      <c r="Y42" s="615"/>
    </row>
    <row r="43" spans="2:25">
      <c r="L43" s="615"/>
      <c r="N43" s="615"/>
      <c r="P43" s="615"/>
      <c r="Q43" s="615"/>
      <c r="R43" s="615"/>
      <c r="S43" s="615"/>
      <c r="T43" s="615"/>
      <c r="U43" s="615"/>
      <c r="V43" s="615"/>
      <c r="W43" s="615"/>
      <c r="X43" s="615"/>
      <c r="Y43" s="615"/>
    </row>
    <row r="44" spans="2:25">
      <c r="B44" s="2039" t="s">
        <v>3984</v>
      </c>
      <c r="C44" s="2039"/>
      <c r="D44" s="2039"/>
      <c r="E44" s="2039"/>
      <c r="F44" s="2039"/>
      <c r="G44" s="2039"/>
      <c r="L44" s="615"/>
      <c r="N44" s="615"/>
      <c r="P44" s="615"/>
      <c r="Q44" s="615"/>
      <c r="R44" s="615"/>
      <c r="S44" s="615"/>
      <c r="T44" s="615"/>
      <c r="U44" s="615"/>
      <c r="V44" s="615"/>
      <c r="W44" s="615"/>
      <c r="X44" s="615"/>
      <c r="Y44" s="615"/>
    </row>
    <row r="45" spans="2:25">
      <c r="H45" s="2042" t="s">
        <v>3983</v>
      </c>
      <c r="I45" s="2043"/>
      <c r="L45" s="615"/>
      <c r="N45" s="615"/>
      <c r="P45" s="615"/>
      <c r="Q45" s="615"/>
      <c r="R45" s="615"/>
      <c r="S45" s="615"/>
      <c r="T45" s="615"/>
      <c r="U45" s="615"/>
      <c r="V45" s="615"/>
      <c r="W45" s="615"/>
      <c r="X45" s="615"/>
      <c r="Y45" s="615"/>
    </row>
    <row r="46" spans="2:25" ht="16">
      <c r="B46" s="616" t="str">
        <f>IF(FORM_LANGUAGE=GER,Dictionary!G46,Dictionary!E46)</f>
        <v>Nicht bestanden</v>
      </c>
      <c r="E46" s="616" t="str">
        <f>IF(GC_Flag="","Fail","N/A")</f>
        <v>Fail</v>
      </c>
      <c r="G46" s="616" t="str">
        <f>IF(GC_Flag="","Nicht bestanden","N/A")</f>
        <v>Nicht bestanden</v>
      </c>
      <c r="H46" s="1711" t="str">
        <f>Dictionary!B46</f>
        <v>Nicht bestanden</v>
      </c>
      <c r="I46" s="1711">
        <f>IF(GC_Flag="",0,"")</f>
        <v>0</v>
      </c>
      <c r="L46" s="615"/>
      <c r="N46" s="615"/>
      <c r="P46" s="615"/>
      <c r="Q46" s="615"/>
      <c r="R46" s="615"/>
      <c r="S46" s="615"/>
      <c r="T46" s="615"/>
      <c r="U46" s="615"/>
      <c r="V46" s="615"/>
      <c r="W46" s="615"/>
      <c r="X46" s="615"/>
      <c r="Y46" s="615"/>
    </row>
    <row r="47" spans="2:25" ht="16">
      <c r="B47" s="616" t="str">
        <f>IF(FORM_LANGUAGE=GER,Dictionary!G47,Dictionary!E47)</f>
        <v>Bestanden</v>
      </c>
      <c r="E47" s="616" t="str">
        <f>IF(GC_Flag="","Pass","No evidence")</f>
        <v>Pass</v>
      </c>
      <c r="G47" s="616" t="str">
        <f>IF(GC_Flag="","Bestanden","Keine Evidenz")</f>
        <v>Bestanden</v>
      </c>
      <c r="H47" s="1711" t="str">
        <f>Dictionary!B47</f>
        <v>Bestanden</v>
      </c>
      <c r="I47" s="1711">
        <f>IF(GC_Flag="",1,1)</f>
        <v>1</v>
      </c>
      <c r="L47" s="615"/>
      <c r="N47" s="615"/>
      <c r="P47" s="615"/>
      <c r="Q47" s="615"/>
      <c r="R47" s="615"/>
      <c r="S47" s="615"/>
      <c r="T47" s="615"/>
      <c r="U47" s="615"/>
      <c r="V47" s="615"/>
      <c r="W47" s="615"/>
      <c r="X47" s="615"/>
      <c r="Y47" s="615"/>
    </row>
    <row r="48" spans="2:25" ht="16">
      <c r="B48" s="616" t="str">
        <f>IF(FORM_LANGUAGE=GER,Dictionary!G48,Dictionary!E48)</f>
        <v>N/A</v>
      </c>
      <c r="E48" s="616" t="str">
        <f>IF(GC_Flag="","N/A","Partial evidence, errors")</f>
        <v>N/A</v>
      </c>
      <c r="G48" s="616" t="str">
        <f>IF(GC_Flag="","N/A","Teilw. evidenz, Fehler")</f>
        <v>N/A</v>
      </c>
      <c r="H48" s="1711" t="str">
        <f>Dictionary!B48</f>
        <v>N/A</v>
      </c>
      <c r="I48" s="1711" t="str">
        <f>IF(GC_Flag="","",2)</f>
        <v/>
      </c>
      <c r="L48" s="615"/>
      <c r="N48" s="615"/>
      <c r="P48" s="615"/>
      <c r="Q48" s="615"/>
      <c r="R48" s="615"/>
      <c r="S48" s="615"/>
      <c r="T48" s="615"/>
      <c r="U48" s="615"/>
      <c r="V48" s="615"/>
      <c r="W48" s="615"/>
      <c r="X48" s="615"/>
      <c r="Y48" s="615"/>
    </row>
    <row r="49" spans="2:25" ht="16">
      <c r="B49" s="616" t="str">
        <f>IF(FORM_LANGUAGE=GER,Dictionary!G49,Dictionary!E49)</f>
        <v>N/A</v>
      </c>
      <c r="E49" s="616" t="str">
        <f>IF(GC_Flag="","N/A","Partial evidence")</f>
        <v>N/A</v>
      </c>
      <c r="G49" s="616" t="str">
        <f>IF(GC_Flag="","N/A","Teilw. Evidenz")</f>
        <v>N/A</v>
      </c>
      <c r="H49" s="1711" t="str">
        <f>Dictionary!B49</f>
        <v>N/A</v>
      </c>
      <c r="I49" s="1711" t="str">
        <f>IF(GC_Flag="","",3)</f>
        <v/>
      </c>
      <c r="L49" s="615"/>
      <c r="N49" s="615"/>
      <c r="P49" s="615"/>
      <c r="Q49" s="615"/>
      <c r="R49" s="615"/>
      <c r="S49" s="615"/>
      <c r="T49" s="615"/>
      <c r="U49" s="615"/>
      <c r="V49" s="615"/>
      <c r="W49" s="615"/>
      <c r="X49" s="615"/>
      <c r="Y49" s="615"/>
    </row>
    <row r="50" spans="2:25" ht="16">
      <c r="B50" s="616" t="str">
        <f>IF(FORM_LANGUAGE=GER,Dictionary!G50,Dictionary!E50)</f>
        <v>N/A</v>
      </c>
      <c r="E50" s="616" t="str">
        <f>IF(GC_Flag="","N/A","Req evidence shown")</f>
        <v>N/A</v>
      </c>
      <c r="G50" s="616" t="str">
        <f>IF(GC_Flag="","N/A","Evidenz ausreichend")</f>
        <v>N/A</v>
      </c>
      <c r="H50" s="1711" t="str">
        <f>Dictionary!B50</f>
        <v>N/A</v>
      </c>
      <c r="I50" s="1711" t="str">
        <f>IF(GC_Flag="","",4)</f>
        <v/>
      </c>
      <c r="L50" s="615"/>
      <c r="N50" s="615"/>
      <c r="P50" s="615"/>
      <c r="Q50" s="615"/>
      <c r="R50" s="615"/>
      <c r="S50" s="615"/>
      <c r="T50" s="615"/>
      <c r="U50" s="615"/>
      <c r="V50" s="615"/>
      <c r="W50" s="615"/>
      <c r="X50" s="615"/>
      <c r="Y50" s="615"/>
    </row>
    <row r="51" spans="2:25" ht="16">
      <c r="B51" s="616" t="str">
        <f>IF(FORM_LANGUAGE=GER,Dictionary!G51,Dictionary!E51)</f>
        <v>N/A</v>
      </c>
      <c r="E51" s="616" t="str">
        <f>IF(GC_Flag="","N/A","Req evidence exceeded")</f>
        <v>N/A</v>
      </c>
      <c r="G51" s="616" t="str">
        <f>IF(GC_Flag="","N/A","Evidenz über-erfüllt")</f>
        <v>N/A</v>
      </c>
      <c r="H51" s="1711" t="str">
        <f>Dictionary!B51</f>
        <v>N/A</v>
      </c>
      <c r="I51" s="1711" t="str">
        <f>IF(GC_Flag="","",5)</f>
        <v/>
      </c>
      <c r="L51" s="615"/>
      <c r="N51" s="615"/>
      <c r="P51" s="615"/>
      <c r="Q51" s="615"/>
      <c r="R51" s="615"/>
      <c r="S51" s="615"/>
      <c r="T51" s="615"/>
      <c r="U51" s="615"/>
      <c r="V51" s="615"/>
      <c r="W51" s="615"/>
      <c r="X51" s="615"/>
      <c r="Y51" s="615"/>
    </row>
    <row r="52" spans="2:25">
      <c r="H52" s="1712" t="s">
        <v>3989</v>
      </c>
      <c r="I52" s="1713">
        <f>IF(GC_Flag="",I46,I49)</f>
        <v>0</v>
      </c>
      <c r="L52" s="615"/>
      <c r="N52" s="615"/>
      <c r="P52" s="615"/>
      <c r="Q52" s="615"/>
      <c r="R52" s="615"/>
      <c r="S52" s="615"/>
      <c r="T52" s="615"/>
      <c r="U52" s="615"/>
      <c r="V52" s="615"/>
      <c r="W52" s="615"/>
      <c r="X52" s="615"/>
      <c r="Y52" s="615"/>
    </row>
    <row r="53" spans="2:25">
      <c r="H53" s="1712" t="s">
        <v>3991</v>
      </c>
      <c r="I53" s="1713">
        <f>MAX(I46:I51)/2</f>
        <v>0.5</v>
      </c>
      <c r="L53" s="615"/>
      <c r="N53" s="615"/>
      <c r="P53" s="615"/>
      <c r="Q53" s="615"/>
      <c r="R53" s="615"/>
      <c r="S53" s="615"/>
      <c r="T53" s="615"/>
      <c r="U53" s="615"/>
      <c r="V53" s="615"/>
      <c r="W53" s="615"/>
      <c r="X53" s="615"/>
      <c r="Y53" s="615"/>
    </row>
    <row r="54" spans="2:25">
      <c r="B54" s="2039" t="s">
        <v>184</v>
      </c>
      <c r="C54" s="2039"/>
      <c r="D54" s="2039"/>
      <c r="E54" s="2039"/>
      <c r="F54" s="2039"/>
      <c r="G54" s="2039"/>
      <c r="L54" s="615"/>
      <c r="N54" s="615"/>
      <c r="P54" s="615"/>
      <c r="Q54" s="615"/>
      <c r="R54" s="615"/>
      <c r="S54" s="615"/>
      <c r="T54" s="615"/>
      <c r="U54" s="615"/>
      <c r="V54" s="615"/>
      <c r="W54" s="615"/>
      <c r="X54" s="615"/>
      <c r="Y54" s="615"/>
    </row>
    <row r="55" spans="2:25">
      <c r="B55" s="627"/>
      <c r="C55" s="628"/>
      <c r="D55" s="628"/>
      <c r="E55" s="627"/>
      <c r="F55" s="628"/>
      <c r="G55" s="627"/>
      <c r="L55" s="615"/>
      <c r="N55" s="615"/>
      <c r="P55" s="615"/>
      <c r="Q55" s="615"/>
      <c r="R55" s="615"/>
      <c r="S55" s="615"/>
      <c r="T55" s="615"/>
      <c r="U55" s="615"/>
      <c r="V55" s="615"/>
      <c r="W55" s="615"/>
      <c r="X55" s="615"/>
      <c r="Y55" s="615"/>
    </row>
    <row r="56" spans="2:25" ht="16">
      <c r="B56" s="616" t="str">
        <f>IF(FORM_LANGUAGE=GER,Dictionary!G56,Dictionary!E56)</f>
        <v>Anleitung</v>
      </c>
      <c r="E56" s="616" t="s">
        <v>184</v>
      </c>
      <c r="G56" s="616" t="s">
        <v>3274</v>
      </c>
      <c r="L56" s="615"/>
      <c r="N56" s="615"/>
      <c r="P56" s="615"/>
      <c r="Q56" s="615"/>
      <c r="R56" s="615"/>
      <c r="S56" s="615"/>
      <c r="T56" s="615"/>
      <c r="U56" s="615"/>
      <c r="V56" s="615"/>
      <c r="W56" s="615"/>
      <c r="X56" s="615"/>
      <c r="Y56" s="615"/>
    </row>
    <row r="57" spans="2:25" ht="16">
      <c r="B57" s="616" t="str">
        <f>IF(FORM_LANGUAGE=GER,Dictionary!G57,Dictionary!E57)</f>
        <v>Allgemeine Hinweise</v>
      </c>
      <c r="E57" s="616" t="s">
        <v>3312</v>
      </c>
      <c r="G57" s="616" t="s">
        <v>3276</v>
      </c>
      <c r="L57" s="615"/>
      <c r="N57" s="615"/>
      <c r="P57" s="615"/>
      <c r="Q57" s="615"/>
      <c r="R57" s="615"/>
      <c r="S57" s="615"/>
      <c r="T57" s="615"/>
      <c r="U57" s="615"/>
      <c r="V57" s="615"/>
      <c r="W57" s="615"/>
      <c r="X57" s="615"/>
      <c r="Y57" s="615"/>
    </row>
    <row r="58" spans="2:25" ht="16">
      <c r="B58" s="616" t="str">
        <f>IF(FORM_LANGUAGE=GER,Dictionary!G58,Dictionary!E58)</f>
        <v>Vorgehen</v>
      </c>
      <c r="E58" s="616" t="s">
        <v>3313</v>
      </c>
      <c r="G58" s="616" t="s">
        <v>3275</v>
      </c>
      <c r="L58" s="615"/>
      <c r="N58" s="615"/>
      <c r="P58" s="615"/>
      <c r="Q58" s="615"/>
      <c r="R58" s="615"/>
      <c r="S58" s="615"/>
      <c r="T58" s="615"/>
      <c r="U58" s="615"/>
      <c r="V58" s="615"/>
      <c r="W58" s="615"/>
      <c r="X58" s="615"/>
      <c r="Y58" s="615"/>
    </row>
    <row r="59" spans="2:25" ht="16">
      <c r="B59" s="616" t="str">
        <f>IF(FORM_LANGUAGE=GER,Dictionary!G59,Dictionary!E59)</f>
        <v>Makros sicher aktivieren</v>
      </c>
      <c r="E59" s="616" t="s">
        <v>3418</v>
      </c>
      <c r="G59" s="616" t="s">
        <v>3419</v>
      </c>
      <c r="L59" s="615"/>
      <c r="N59" s="615"/>
      <c r="P59" s="615"/>
      <c r="Q59" s="615"/>
      <c r="R59" s="615"/>
      <c r="S59" s="615"/>
      <c r="T59" s="615"/>
      <c r="U59" s="615"/>
      <c r="V59" s="615"/>
      <c r="W59" s="615"/>
      <c r="X59" s="615"/>
      <c r="Y59" s="615"/>
    </row>
    <row r="60" spans="2:25" ht="32">
      <c r="B60" s="616" t="str">
        <f>IF(FORM_LANGUAGE=GER,Dictionary!G60,Dictionary!E60)</f>
        <v>Die F01 ist ein Leistungsnachweis für die von der IPMA geforderte Erfahrung und Prüfungsleistung in Ihrem Zertifizierungsverfahren.</v>
      </c>
      <c r="E60" s="616" t="s">
        <v>3347</v>
      </c>
      <c r="G60" s="616" t="s">
        <v>3277</v>
      </c>
      <c r="L60" s="615"/>
      <c r="N60" s="615"/>
      <c r="P60" s="615"/>
      <c r="Q60" s="615"/>
      <c r="R60" s="615"/>
      <c r="S60" s="615"/>
      <c r="T60" s="615"/>
      <c r="U60" s="615"/>
      <c r="V60" s="615"/>
      <c r="W60" s="615"/>
      <c r="X60" s="615"/>
      <c r="Y60" s="615"/>
    </row>
    <row r="61" spans="2:25" ht="64">
      <c r="B61" s="616" t="str">
        <f>IF(FORM_LANGUAGE=GER,Dictionary!G61,Dictionary!E61)</f>
        <v>Da die IPMA Anforderungen an Ihre Erfahrung und Prüfungsleistungen von dem ausgewählten Level, der ausgewählten Domäne, und dem ausgewählten Zertifizierungspfad abhängen, sind diese Informationen notwendig, um die F01 richtig zu konfigurieren.</v>
      </c>
      <c r="E61" s="616" t="s">
        <v>3310</v>
      </c>
      <c r="G61" s="616" t="s">
        <v>3354</v>
      </c>
      <c r="L61" s="615"/>
      <c r="N61" s="615"/>
      <c r="P61" s="615"/>
      <c r="Q61" s="615"/>
      <c r="R61" s="615"/>
      <c r="S61" s="615"/>
      <c r="T61" s="615"/>
      <c r="U61" s="615"/>
      <c r="V61" s="615"/>
      <c r="W61" s="615"/>
      <c r="X61" s="615"/>
      <c r="Y61" s="615"/>
    </row>
    <row r="62" spans="2:25" ht="64">
      <c r="B62" s="616" t="str">
        <f>IF(FORM_LANGUAGE=GER,Dictionary!G62,Dictionary!E62)</f>
        <v>Die individuelle Konfiguration der F01 entsprechend Ihrer Auswahl erfolgt per Makros. Es ist daher erforderlich, dass Makros aktiviert sind. Die Makros sind digital signiert und die Integrität der Arbeitsmappe ist geschützt. Folgen Sie den Schritten auf der rechten Seite um Makros ohne Sicherheitsriiko zuzulassen.</v>
      </c>
      <c r="E62" s="616" t="s">
        <v>3718</v>
      </c>
      <c r="G62" s="616" t="s">
        <v>3717</v>
      </c>
      <c r="L62" s="615"/>
      <c r="N62" s="615"/>
      <c r="P62" s="615"/>
      <c r="Q62" s="615"/>
      <c r="R62" s="615"/>
      <c r="S62" s="615"/>
      <c r="T62" s="615"/>
      <c r="U62" s="615"/>
      <c r="V62" s="615"/>
      <c r="W62" s="615"/>
      <c r="X62" s="615"/>
      <c r="Y62" s="615"/>
    </row>
    <row r="63" spans="2:25" ht="48">
      <c r="B63" s="616" t="str">
        <f>IF(FORM_LANGUAGE=GER,Dictionary!G63,Dictionary!E63)</f>
        <v>Die ausgefüllte F01 gilt nur im Zusammenhang mit Ihrem Antrag an die Zertifizierungsstelle. Sie muss im Portal entsprechend der geltenden Prozessrichtlinien hochgeladen bzw. abgegeben werden.</v>
      </c>
      <c r="E63" s="616" t="s">
        <v>3311</v>
      </c>
      <c r="G63" s="616" t="s">
        <v>3716</v>
      </c>
      <c r="N63" s="615"/>
      <c r="P63" s="615"/>
      <c r="Q63" s="615"/>
      <c r="R63" s="615"/>
      <c r="S63" s="615"/>
      <c r="T63" s="615"/>
      <c r="U63" s="615"/>
      <c r="V63" s="615"/>
      <c r="W63" s="615"/>
      <c r="X63" s="615"/>
      <c r="Y63" s="615"/>
    </row>
    <row r="64" spans="2:25" ht="192">
      <c r="B64" s="616" t="str">
        <f>IF(FORM_LANGUAGE=GER,Dictionary!G64,Dictionary!E64)</f>
        <v>Die F01 zeigt Ihnen lediglich die für Sie zum aktuellen Bearbeitungsstand relevanten Arbeitsblätter an. Bei der automatischen Neukonfiguration ist es normal, dass die Arbeitsblätter kurz flackern.
Bitte beachten Sie: Damit die Arbeitsmappe richtig konfiguriert werden kann und alle Überprüfungen korrekt durchgeführt werden können, müssen alle Eingabefelder korrekt ausgefüllt werden. Dazu gehört auch die Eingabe Ihres voraussichtlichen Zertifizierungs-/Rezertifizierungsdatums in dem dafür vorgesehenen Feld. Erst wenn alle für die ordnungsgemäße Konfiguration Ihres Antragsformulars erforderlichen Informationen vorhanden sind, können die entsprechenden Registerkarten in dieser Arbeitsmappe aktiviert werden, damit Sie die erforderlichen Angaben eingeben können. Solange nicht alle Daten vollständig sind, bleiben die Registerkarten ausgeblendet und Sie können nicht mit der weiteren Dateneingabe fortfahren.</v>
      </c>
      <c r="E64" s="616" t="s">
        <v>4149</v>
      </c>
      <c r="G64" s="616" t="s">
        <v>4150</v>
      </c>
      <c r="L64" s="615"/>
      <c r="N64" s="615"/>
      <c r="P64" s="615"/>
      <c r="Q64" s="615"/>
      <c r="R64" s="615"/>
      <c r="S64" s="615"/>
      <c r="T64" s="615"/>
      <c r="U64" s="615"/>
      <c r="V64" s="615"/>
      <c r="W64" s="615"/>
      <c r="X64" s="615"/>
      <c r="Y64" s="615"/>
    </row>
    <row r="65" spans="2:25">
      <c r="L65" s="615"/>
      <c r="N65" s="615"/>
      <c r="P65" s="615"/>
      <c r="Q65" s="615"/>
      <c r="R65" s="615"/>
      <c r="S65" s="615"/>
      <c r="T65" s="615"/>
      <c r="U65" s="615"/>
      <c r="V65" s="615"/>
      <c r="W65" s="615"/>
      <c r="X65" s="615"/>
      <c r="Y65" s="615"/>
    </row>
    <row r="66" spans="2:25" ht="32">
      <c r="B66" s="616" t="str">
        <f>IF(FORM_LANGUAGE=GER,Dictionary!G66,Dictionary!E66)</f>
        <v>Kandidaten-Formulare in dieser Arbeitsmappe (Hinweis: nur relevante Arbeitsblätter werden angezeigt)</v>
      </c>
      <c r="E66" s="616" t="s">
        <v>3546</v>
      </c>
      <c r="G66" s="616" t="s">
        <v>3547</v>
      </c>
      <c r="L66" s="615"/>
      <c r="N66" s="615"/>
      <c r="P66" s="615"/>
      <c r="Q66" s="615"/>
      <c r="R66" s="615"/>
      <c r="S66" s="615"/>
      <c r="T66" s="615"/>
      <c r="U66" s="615"/>
      <c r="V66" s="615"/>
      <c r="W66" s="615"/>
      <c r="X66" s="615"/>
      <c r="Y66" s="615"/>
    </row>
    <row r="67" spans="2:25" ht="16">
      <c r="B67" s="616" t="str">
        <f>IF(FORM_LANGUAGE=GER,Dictionary!G67,Dictionary!E67)</f>
        <v>Name und Farbe</v>
      </c>
      <c r="E67" s="616" t="s">
        <v>3571</v>
      </c>
      <c r="G67" s="616" t="s">
        <v>3572</v>
      </c>
      <c r="L67" s="615"/>
      <c r="N67" s="615"/>
      <c r="P67" s="615"/>
      <c r="Q67" s="615"/>
      <c r="R67" s="615"/>
      <c r="S67" s="615"/>
      <c r="T67" s="615"/>
      <c r="U67" s="615"/>
      <c r="V67" s="615"/>
      <c r="W67" s="615"/>
      <c r="X67" s="615"/>
      <c r="Y67" s="615"/>
    </row>
    <row r="68" spans="2:25" ht="16">
      <c r="B68" s="616" t="str">
        <f>IF(FORM_LANGUAGE=GER,Dictionary!G68,Dictionary!E68)</f>
        <v>Beschreibung</v>
      </c>
      <c r="E68" s="616" t="s">
        <v>3573</v>
      </c>
      <c r="G68" s="616" t="s">
        <v>3574</v>
      </c>
      <c r="L68" s="615"/>
      <c r="N68" s="615"/>
      <c r="P68" s="615"/>
      <c r="Q68" s="615"/>
      <c r="R68" s="615"/>
      <c r="S68" s="615"/>
      <c r="T68" s="615"/>
      <c r="U68" s="615"/>
      <c r="V68" s="615"/>
      <c r="W68" s="615"/>
      <c r="X68" s="615"/>
      <c r="Y68" s="615"/>
    </row>
    <row r="69" spans="2:25">
      <c r="L69" s="615"/>
      <c r="N69" s="615"/>
      <c r="P69" s="615"/>
      <c r="Q69" s="615"/>
      <c r="R69" s="615"/>
      <c r="S69" s="615"/>
      <c r="T69" s="615"/>
      <c r="U69" s="615"/>
      <c r="V69" s="615"/>
      <c r="W69" s="615"/>
      <c r="X69" s="615"/>
      <c r="Y69" s="615"/>
    </row>
    <row r="70" spans="2:25" ht="16">
      <c r="B70" s="616" t="str">
        <f>IF(FORM_LANGUAGE=GER,Dictionary!G70,Dictionary!E70)</f>
        <v>Deckblatt</v>
      </c>
      <c r="E70" s="616" t="s">
        <v>959</v>
      </c>
      <c r="G70" s="616" t="s">
        <v>3561</v>
      </c>
      <c r="L70" s="615"/>
      <c r="N70" s="615"/>
      <c r="P70" s="615"/>
      <c r="Q70" s="615"/>
      <c r="R70" s="615"/>
      <c r="S70" s="615"/>
      <c r="T70" s="615"/>
      <c r="U70" s="615"/>
      <c r="V70" s="615"/>
      <c r="W70" s="615"/>
      <c r="X70" s="615"/>
      <c r="Y70" s="615"/>
    </row>
    <row r="71" spans="2:25" ht="16">
      <c r="B71" s="616" t="str">
        <f>IF(FORM_LANGUAGE=GER,Dictionary!G71,Dictionary!E71)</f>
        <v>Abweichende Rechnungs- und Lieferadresse</v>
      </c>
      <c r="E71" s="616" t="s">
        <v>2882</v>
      </c>
      <c r="G71" s="616" t="s">
        <v>3562</v>
      </c>
      <c r="L71" s="615"/>
      <c r="N71" s="615"/>
      <c r="P71" s="615"/>
      <c r="Q71" s="615"/>
      <c r="R71" s="615"/>
      <c r="S71" s="615"/>
      <c r="T71" s="615"/>
      <c r="U71" s="615"/>
      <c r="V71" s="615"/>
      <c r="W71" s="615"/>
      <c r="X71" s="615"/>
      <c r="Y71" s="615"/>
    </row>
    <row r="72" spans="2:25" ht="16">
      <c r="B72" s="616" t="str">
        <f>IF(FORM_LANGUAGE=GER,Dictionary!G72,Dictionary!E72)</f>
        <v>Vorhandene IPMA-Zertifikate und Referenzen</v>
      </c>
      <c r="E72" s="616" t="s">
        <v>3556</v>
      </c>
      <c r="G72" s="616" t="s">
        <v>3563</v>
      </c>
      <c r="L72" s="615"/>
      <c r="N72" s="615"/>
      <c r="P72" s="615"/>
      <c r="Q72" s="615"/>
      <c r="R72" s="615"/>
      <c r="S72" s="615"/>
      <c r="T72" s="615"/>
      <c r="U72" s="615"/>
      <c r="V72" s="615"/>
      <c r="W72" s="615"/>
      <c r="X72" s="615"/>
      <c r="Y72" s="615"/>
    </row>
    <row r="73" spans="2:25" ht="16">
      <c r="B73" s="616" t="str">
        <f>IF(FORM_LANGUAGE=GER,Dictionary!G73,Dictionary!E73)</f>
        <v>Selbstbewertung</v>
      </c>
      <c r="E73" s="616" t="s">
        <v>252</v>
      </c>
      <c r="G73" s="616" t="s">
        <v>3564</v>
      </c>
      <c r="L73" s="615"/>
      <c r="N73" s="615"/>
      <c r="P73" s="615"/>
      <c r="Q73" s="615"/>
      <c r="R73" s="615"/>
      <c r="S73" s="615"/>
      <c r="T73" s="615"/>
      <c r="U73" s="615"/>
      <c r="V73" s="615"/>
      <c r="W73" s="615"/>
      <c r="X73" s="615"/>
      <c r="Y73" s="615"/>
    </row>
    <row r="74" spans="2:25" ht="16">
      <c r="B74" s="616" t="str">
        <f>IF(FORM_LANGUAGE=GER,Dictionary!G74,Dictionary!E74)</f>
        <v>PM-Erfahrung</v>
      </c>
      <c r="E74" s="616" t="s">
        <v>3557</v>
      </c>
      <c r="G74" s="616" t="s">
        <v>3565</v>
      </c>
      <c r="L74" s="615"/>
      <c r="N74" s="615"/>
      <c r="P74" s="615"/>
      <c r="Q74" s="615"/>
      <c r="R74" s="615"/>
      <c r="S74" s="615"/>
      <c r="T74" s="615"/>
      <c r="U74" s="615"/>
      <c r="V74" s="615"/>
      <c r="W74" s="615"/>
      <c r="X74" s="615"/>
      <c r="Y74" s="615"/>
    </row>
    <row r="75" spans="2:25" ht="16">
      <c r="B75" s="616" t="str">
        <f>IF(FORM_LANGUAGE=GER,Dictionary!G75,Dictionary!E75)</f>
        <v>Management-Steckriefe für PM-Erfahrung</v>
      </c>
      <c r="E75" s="616" t="s">
        <v>3558</v>
      </c>
      <c r="G75" s="616" t="s">
        <v>3566</v>
      </c>
      <c r="L75" s="615"/>
      <c r="N75" s="615"/>
      <c r="P75" s="615"/>
      <c r="Q75" s="615"/>
      <c r="R75" s="615"/>
      <c r="S75" s="615"/>
      <c r="T75" s="615"/>
      <c r="U75" s="615"/>
      <c r="V75" s="615"/>
      <c r="W75" s="615"/>
      <c r="X75" s="615"/>
      <c r="Y75" s="615"/>
    </row>
    <row r="76" spans="2:25" ht="16">
      <c r="B76" s="616" t="str">
        <f>IF(FORM_LANGUAGE=GER,Dictionary!G76,Dictionary!E76)</f>
        <v>Projektlisten für Erfahrungen in Programmen und Portfolios</v>
      </c>
      <c r="E76" s="616" t="s">
        <v>3559</v>
      </c>
      <c r="G76" s="616" t="s">
        <v>3567</v>
      </c>
      <c r="L76" s="615"/>
      <c r="N76" s="615"/>
      <c r="P76" s="615"/>
      <c r="Q76" s="615"/>
      <c r="R76" s="615"/>
      <c r="S76" s="615"/>
      <c r="T76" s="615"/>
      <c r="U76" s="615"/>
      <c r="V76" s="615"/>
      <c r="W76" s="615"/>
      <c r="X76" s="615"/>
      <c r="Y76" s="615"/>
    </row>
    <row r="77" spans="2:25" ht="16">
      <c r="B77" s="616" t="str">
        <f>IF(FORM_LANGUAGE=GER,Dictionary!G77,Dictionary!E77)</f>
        <v>Komplexitätsbewertung für PM-Erfahrung</v>
      </c>
      <c r="E77" s="616" t="s">
        <v>3560</v>
      </c>
      <c r="G77" s="616" t="s">
        <v>3568</v>
      </c>
      <c r="L77" s="615"/>
      <c r="N77" s="615"/>
      <c r="P77" s="615"/>
      <c r="Q77" s="615"/>
      <c r="R77" s="615"/>
      <c r="S77" s="615"/>
      <c r="T77" s="615"/>
      <c r="U77" s="615"/>
      <c r="V77" s="615"/>
      <c r="W77" s="615"/>
      <c r="X77" s="615"/>
      <c r="Y77" s="615"/>
    </row>
    <row r="78" spans="2:25" ht="16">
      <c r="B78" s="616" t="str">
        <f>IF(FORM_LANGUAGE=GER,Dictionary!G78,Dictionary!E78)</f>
        <v>Nur Rezertifizierung: Weiterbildung für Lern- und Studientätigkeiten</v>
      </c>
      <c r="E78" s="616" t="s">
        <v>4194</v>
      </c>
      <c r="G78" s="616" t="s">
        <v>4199</v>
      </c>
      <c r="L78" s="615"/>
      <c r="N78" s="615"/>
      <c r="P78" s="615"/>
      <c r="Q78" s="615"/>
      <c r="R78" s="615"/>
      <c r="S78" s="615"/>
      <c r="T78" s="615"/>
      <c r="U78" s="615"/>
      <c r="V78" s="615"/>
      <c r="W78" s="615"/>
      <c r="X78" s="615"/>
      <c r="Y78" s="615"/>
    </row>
    <row r="79" spans="2:25" ht="16">
      <c r="B79" s="616" t="str">
        <f>IF(FORM_LANGUAGE=GER,Dictionary!G79,Dictionary!E79)</f>
        <v>Nur Rezertifizierung: Zusammenfassungen von Fernstudium und Online-Kursen</v>
      </c>
      <c r="E79" s="616" t="s">
        <v>4195</v>
      </c>
      <c r="G79" s="616" t="s">
        <v>4200</v>
      </c>
      <c r="L79" s="615"/>
      <c r="N79" s="615"/>
      <c r="P79" s="615"/>
      <c r="Q79" s="615"/>
      <c r="R79" s="615"/>
      <c r="S79" s="615"/>
      <c r="T79" s="615"/>
      <c r="U79" s="615"/>
      <c r="V79" s="615"/>
      <c r="W79" s="615"/>
      <c r="X79" s="615"/>
      <c r="Y79" s="615"/>
    </row>
    <row r="80" spans="2:25" ht="16">
      <c r="B80" s="616" t="str">
        <f>IF(FORM_LANGUAGE=GER,Dictionary!G80,Dictionary!E80)</f>
        <v>Nur Rezertifizierung: Literatur-Konspekte</v>
      </c>
      <c r="E80" s="616" t="s">
        <v>4196</v>
      </c>
      <c r="G80" s="616" t="s">
        <v>4201</v>
      </c>
      <c r="L80" s="615"/>
      <c r="N80" s="615"/>
      <c r="P80" s="615"/>
      <c r="Q80" s="615"/>
      <c r="R80" s="615"/>
      <c r="S80" s="615"/>
      <c r="T80" s="615"/>
      <c r="U80" s="615"/>
      <c r="V80" s="615"/>
      <c r="W80" s="615"/>
      <c r="X80" s="615"/>
      <c r="Y80" s="615"/>
    </row>
    <row r="81" spans="2:25" ht="16">
      <c r="B81" s="616" t="str">
        <f>IF(FORM_LANGUAGE=GER,Dictionary!G81,Dictionary!E81)</f>
        <v>Nur Rezertifizierung: Weiterbildung für Lehr- und Vortragstätigkeiten</v>
      </c>
      <c r="E81" s="616" t="s">
        <v>4197</v>
      </c>
      <c r="G81" s="616" t="s">
        <v>4198</v>
      </c>
      <c r="L81" s="615"/>
      <c r="N81" s="615"/>
      <c r="P81" s="615"/>
      <c r="Q81" s="615"/>
      <c r="R81" s="615"/>
      <c r="S81" s="615"/>
      <c r="T81" s="615"/>
      <c r="U81" s="615"/>
      <c r="V81" s="615"/>
      <c r="W81" s="615"/>
      <c r="X81" s="615"/>
      <c r="Y81" s="615"/>
    </row>
    <row r="82" spans="2:25">
      <c r="L82" s="615"/>
      <c r="N82" s="615"/>
      <c r="P82" s="615"/>
      <c r="Q82" s="615"/>
      <c r="R82" s="615"/>
      <c r="S82" s="615"/>
      <c r="T82" s="615"/>
      <c r="U82" s="615"/>
      <c r="V82" s="615"/>
      <c r="W82" s="615"/>
      <c r="X82" s="615"/>
      <c r="Y82" s="615"/>
    </row>
    <row r="83" spans="2:25">
      <c r="N83" s="615"/>
      <c r="P83" s="615"/>
      <c r="Q83" s="615"/>
      <c r="R83" s="615"/>
      <c r="S83" s="615"/>
      <c r="T83" s="615"/>
      <c r="U83" s="615"/>
      <c r="V83" s="615"/>
      <c r="W83" s="615"/>
      <c r="X83" s="615"/>
      <c r="Y83" s="615"/>
    </row>
    <row r="84" spans="2:25" ht="16">
      <c r="B84" s="616" t="str">
        <f>IF(FORM_LANGUAGE=GER,Dictionary!G84,Dictionary!E84)</f>
        <v>Schritt</v>
      </c>
      <c r="E84" s="616" t="s">
        <v>3314</v>
      </c>
      <c r="G84" s="616" t="s">
        <v>3280</v>
      </c>
      <c r="N84" s="615"/>
      <c r="P84" s="615"/>
      <c r="Q84" s="615"/>
      <c r="R84" s="615"/>
      <c r="S84" s="615"/>
      <c r="T84" s="615"/>
      <c r="U84" s="615"/>
      <c r="V84" s="615"/>
      <c r="W84" s="615"/>
      <c r="X84" s="615"/>
      <c r="Y84" s="615"/>
    </row>
    <row r="85" spans="2:25" ht="16">
      <c r="B85" s="616" t="str">
        <f>IF(FORM_LANGUAGE=GER,Dictionary!G85,Dictionary!E85)</f>
        <v>Arbeitsblatt</v>
      </c>
      <c r="E85" t="s">
        <v>3315</v>
      </c>
      <c r="G85" t="s">
        <v>3281</v>
      </c>
      <c r="L85" s="615"/>
      <c r="N85" s="615"/>
      <c r="P85" s="615"/>
      <c r="Q85" s="615"/>
      <c r="R85" s="615"/>
      <c r="S85" s="615"/>
      <c r="T85" s="615"/>
      <c r="U85" s="615"/>
      <c r="V85" s="615"/>
      <c r="W85" s="615"/>
      <c r="X85" s="615"/>
      <c r="Y85" s="615"/>
    </row>
    <row r="86" spans="2:25" ht="16">
      <c r="B86" s="616" t="str">
        <f>IF(FORM_LANGUAGE=GER,Dictionary!G86,Dictionary!E86)</f>
        <v>Sichtbar</v>
      </c>
      <c r="E86" s="615" t="s">
        <v>3316</v>
      </c>
      <c r="G86" s="615" t="s">
        <v>3290</v>
      </c>
      <c r="L86" s="615"/>
      <c r="N86" s="615"/>
      <c r="P86" s="615"/>
      <c r="Q86" s="615"/>
      <c r="R86" s="615"/>
      <c r="S86" s="615"/>
      <c r="T86" s="615"/>
      <c r="U86" s="615"/>
      <c r="V86" s="615"/>
      <c r="W86" s="615"/>
      <c r="X86" s="615"/>
      <c r="Y86" s="615"/>
    </row>
    <row r="87" spans="2:25" ht="16">
      <c r="B87" s="616" t="str">
        <f>IF(FORM_LANGUAGE=GER,Dictionary!G87,Dictionary!E87)</f>
        <v>Dokumentations-Funktion</v>
      </c>
      <c r="E87" s="615" t="s">
        <v>3317</v>
      </c>
      <c r="G87" s="615" t="s">
        <v>3294</v>
      </c>
      <c r="L87" s="615"/>
      <c r="N87" s="615"/>
      <c r="P87" s="615"/>
      <c r="Q87" s="615"/>
      <c r="R87" s="615"/>
      <c r="S87" s="615"/>
      <c r="T87" s="615"/>
      <c r="U87" s="615"/>
      <c r="V87" s="615"/>
      <c r="W87" s="615"/>
      <c r="X87" s="615"/>
      <c r="Y87" s="615"/>
    </row>
    <row r="88" spans="2:25" ht="16">
      <c r="B88" s="616" t="str">
        <f>IF(FORM_LANGUAGE=GER,Dictionary!G88,Dictionary!E88)</f>
        <v>Erforderlich</v>
      </c>
      <c r="E88" s="615" t="s">
        <v>3318</v>
      </c>
      <c r="G88" s="615" t="s">
        <v>2372</v>
      </c>
      <c r="L88" s="615"/>
      <c r="N88" s="615"/>
      <c r="P88" s="615"/>
      <c r="Q88" s="615"/>
      <c r="R88" s="615"/>
      <c r="S88" s="615"/>
      <c r="T88" s="615"/>
      <c r="U88" s="615"/>
      <c r="V88" s="615"/>
      <c r="W88" s="615"/>
      <c r="X88" s="615"/>
      <c r="Y88" s="615"/>
    </row>
    <row r="89" spans="2:25" ht="16">
      <c r="B89" s="616" t="str">
        <f>IF(FORM_LANGUAGE=GER,Dictionary!G89,Dictionary!E89)</f>
        <v>Anweisung</v>
      </c>
      <c r="E89" s="615" t="s">
        <v>3319</v>
      </c>
      <c r="G89" s="615" t="s">
        <v>3282</v>
      </c>
      <c r="L89" s="615"/>
      <c r="N89" s="615"/>
      <c r="P89" s="615"/>
      <c r="Q89" s="615"/>
      <c r="R89" s="615"/>
      <c r="S89" s="615"/>
      <c r="T89" s="615"/>
      <c r="U89" s="615"/>
      <c r="V89" s="615"/>
      <c r="W89" s="615"/>
      <c r="X89" s="615"/>
      <c r="Y89" s="615"/>
    </row>
    <row r="90" spans="2:25">
      <c r="L90" s="615"/>
      <c r="N90" s="615"/>
      <c r="P90" s="615"/>
      <c r="Q90" s="615"/>
      <c r="R90" s="615"/>
      <c r="S90" s="615"/>
      <c r="T90" s="615"/>
      <c r="U90" s="615"/>
      <c r="V90" s="615"/>
      <c r="W90" s="615"/>
      <c r="X90" s="615"/>
      <c r="Y90" s="615"/>
    </row>
    <row r="91" spans="2:25" ht="16">
      <c r="B91" s="616" t="str">
        <f>IF(FORM_LANGUAGE=GER,Dictionary!G91,Dictionary!E91)</f>
        <v>Füllen Sie die Angaben auf dem Deckblatt aus.</v>
      </c>
      <c r="E91" s="1904" t="str">
        <f>IF(GC_Flag="","Complete the cover sheet.","Complete the cover sheet and save the file under a new file name. Replace the character string ""ApplicantNameYYMMDD"" in the file name with your name and date of birth in the YYMMDD format.")</f>
        <v>Complete the cover sheet.</v>
      </c>
      <c r="G91" s="1904" t="str">
        <f>IF(GC_Flag="","Füllen Sie die Angaben auf dem Deckblatt aus.","Füllen Sie das Deckblatt vollständig aus und speichern Sie die Datei unter einem neuen Dateinamen. Ersetzen Sie die Zeichenkette ""ApplicantNameYYMMDD"" im Dateinamen durch Ihren Namen und Ihr Geburtsdatum im JJMMDD Format.")</f>
        <v>Füllen Sie die Angaben auf dem Deckblatt aus.</v>
      </c>
      <c r="L91" s="615"/>
      <c r="N91" s="615"/>
      <c r="P91" s="615"/>
      <c r="Q91" s="615"/>
      <c r="R91" s="615"/>
      <c r="S91" s="615"/>
      <c r="T91" s="615"/>
      <c r="U91" s="615"/>
      <c r="V91" s="615"/>
      <c r="W91" s="615"/>
      <c r="X91" s="615"/>
      <c r="Y91" s="615"/>
    </row>
    <row r="92" spans="2:25" ht="32">
      <c r="B92" s="616" t="str">
        <f>IF(FORM_LANGUAGE=GER,Dictionary!G92,Dictionary!E92)</f>
        <v>Bitte beachten Sie zur Vergabe des Dateinamens im "Allgemeiner Leitfaden für Zertifizierungen" das Kapitel "2.2.5 Leistungsnachweis zur Zertifizierungsanmeldung F01".</v>
      </c>
      <c r="E92" s="1904" t="str">
        <f>IF(GC_Flag="","Please note the instructions for assigning the file name in the ""General Guideline Certification"" chapter ""2.2.5 certification record F01"".","Save your file following the file naming convention. Once the cover sheet is complete, you can have the file name generated for you by clicking on the button labelled '"&amp;B33&amp;"', located in the top left-hand corner. You can either copy the filename to your clipboard, or if you have a Windows PC, click OK to open a file save dialog box.")</f>
        <v>Please note the instructions for assigning the file name in the "General Guideline Certification" chapter "2.2.5 certification record F01".</v>
      </c>
      <c r="G92" s="1904" t="str">
        <f>IF(GC_Flag="","Bitte beachten Sie zur Vergabe des Dateinamens im ""Allgemeiner Leitfaden für Zertifizierungen"" das Kapitel ""2.2.5 Leistungsnachweis zur Zertifizierungsanmeldung F01"".","Speichern Sie Ihre Datei unter Beachtung der Dateinamenskonvention. Wenn das Deckblatt vollständig ausgefüllt ist, können Sie den Dateinamen automatisch generieren lassen, indem Sie oben links auf die Schaltfläche mit der Bezeichnung '"&amp;B33&amp;"' clicken. Sie können den Dateinamen entweder in die Zwischenablage kopieren oder, falls Sie einen Windows PC haben, auf OK klicken, um ein Dialogfeld zum Speichern der Datei zu öffnen.")</f>
        <v>Bitte beachten Sie zur Vergabe des Dateinamens im "Allgemeiner Leitfaden für Zertifizierungen" das Kapitel "2.2.5 Leistungsnachweis zur Zertifizierungsanmeldung F01".</v>
      </c>
      <c r="L92" s="615"/>
      <c r="N92" s="615"/>
      <c r="P92" s="615"/>
      <c r="Q92" s="615"/>
      <c r="R92" s="615"/>
      <c r="S92" s="615"/>
      <c r="T92" s="615"/>
      <c r="U92" s="615"/>
      <c r="V92" s="615"/>
      <c r="W92" s="615"/>
      <c r="X92" s="615"/>
      <c r="Y92" s="615"/>
    </row>
    <row r="93" spans="2:25" ht="48">
      <c r="B93" s="616" t="str">
        <f>IF(FORM_LANGUAGE=GER,Dictionary!G93,Dictionary!E93)</f>
        <v>Falls Sie eine andere Rechnungsanschrift als die in der Anmeldung angegebenen Adresse wünschen, wählen Sie oben Rechts bei "Rechnungsanschrift" (Zelle L5) die Option "Abweichende Anschrift" aus.</v>
      </c>
      <c r="E93" s="616" t="s">
        <v>3355</v>
      </c>
      <c r="G93" s="616" t="s">
        <v>3278</v>
      </c>
      <c r="N93" s="615"/>
      <c r="P93" s="615"/>
      <c r="Q93" s="615"/>
      <c r="R93" s="615"/>
      <c r="S93" s="615"/>
      <c r="T93" s="615"/>
      <c r="U93" s="615"/>
      <c r="V93" s="615"/>
      <c r="W93" s="615"/>
      <c r="X93" s="615"/>
      <c r="Y93" s="615"/>
    </row>
    <row r="94" spans="2:25" ht="32">
      <c r="B94" s="616" t="str">
        <f>IF(FORM_LANGUAGE=GER,Dictionary!G94,Dictionary!E94)</f>
        <v>Falls Sie eine andere Rechnungsanschrift ausgewählt haben, erscheint ein neues Arbeitsblatt "Billing Address". Füllen Sie dieses bitte vollständig aus.</v>
      </c>
      <c r="E94" s="616" t="s">
        <v>3326</v>
      </c>
      <c r="G94" s="616" t="s">
        <v>3279</v>
      </c>
      <c r="L94" s="615"/>
      <c r="N94" s="615"/>
      <c r="P94" s="615"/>
      <c r="Q94" s="615"/>
      <c r="R94" s="615"/>
      <c r="S94" s="615"/>
      <c r="T94" s="615"/>
      <c r="U94" s="615"/>
      <c r="V94" s="615"/>
      <c r="W94" s="615"/>
      <c r="X94" s="615"/>
      <c r="Y94" s="615"/>
    </row>
    <row r="95" spans="2:25" ht="32">
      <c r="B95" s="616" t="str">
        <f>IF(FORM_LANGUAGE=GER,Dictionary!G95,Dictionary!E95)</f>
        <v>Machen Sie Angaben zu Ihren Referenzpersonen. Achtung: Sie benötigen das Einverständnis Ihrer Referenzpersonen zur Weitergabe deren Kontaktdaten.</v>
      </c>
      <c r="E95" s="616" t="s">
        <v>3348</v>
      </c>
      <c r="G95" s="616" t="s">
        <v>4184</v>
      </c>
      <c r="L95" s="615"/>
      <c r="N95" s="615"/>
      <c r="P95" s="615"/>
      <c r="Q95" s="615"/>
      <c r="R95" s="615"/>
      <c r="S95" s="615"/>
      <c r="T95" s="615"/>
      <c r="U95" s="615"/>
      <c r="V95" s="615"/>
      <c r="W95" s="615"/>
      <c r="X95" s="615"/>
      <c r="Y95" s="615"/>
    </row>
    <row r="96" spans="2:25" ht="16">
      <c r="B96" s="616" t="str">
        <f>IF(FORM_LANGUAGE=GER,Dictionary!G96,Dictionary!E96)</f>
        <v>Machen Sie ggf. Angaben zu Ihrem vorhandenen Zertifikat (falls Sie bereits eins haben).</v>
      </c>
      <c r="E96" s="616" t="s">
        <v>3322</v>
      </c>
      <c r="G96" s="616" t="s">
        <v>3289</v>
      </c>
      <c r="L96" s="615"/>
      <c r="N96" s="615"/>
      <c r="P96" s="615"/>
      <c r="Q96" s="615"/>
      <c r="R96" s="615"/>
      <c r="S96" s="615"/>
      <c r="T96" s="615"/>
      <c r="U96" s="615"/>
      <c r="V96" s="615"/>
      <c r="W96" s="615"/>
      <c r="X96" s="615"/>
      <c r="Y96" s="615"/>
    </row>
    <row r="97" spans="2:25" ht="32">
      <c r="B97" s="616" t="str">
        <f>IF(FORM_LANGUAGE=GER,Dictionary!G97,Dictionary!E97)</f>
        <v>Machen Sie Angaben zu jedem IPMA CE, wie Sie sich selbst anhand der 3 Kompetenzstufen einschätzen.</v>
      </c>
      <c r="E97" s="616" t="s">
        <v>3323</v>
      </c>
      <c r="G97" s="616" t="s">
        <v>3291</v>
      </c>
      <c r="L97" s="615"/>
      <c r="N97" s="615"/>
      <c r="P97" s="615"/>
      <c r="Q97" s="615"/>
      <c r="R97" s="615"/>
      <c r="S97" s="615"/>
      <c r="T97" s="615"/>
      <c r="U97" s="615"/>
      <c r="V97" s="615"/>
      <c r="W97" s="615"/>
      <c r="X97" s="615"/>
      <c r="Y97" s="615"/>
    </row>
    <row r="98" spans="2:25" ht="48">
      <c r="B98" s="616" t="str">
        <f>IF(FORM_LANGUAGE=GER,Dictionary!G98,Dictionary!E98)</f>
        <v>Tragen Sie jede PM-Rolle, für die Sie Management-Erfahrung angerechnet haben möchten, ein entsprechendes Teilprojekt, Projekt, Portfolio, oder Programm in die Liste ein. Start- und Enddatum bezieht sich auf die in Spalte H angegebene Rolle.</v>
      </c>
      <c r="E98" s="616" t="s">
        <v>3580</v>
      </c>
      <c r="G98" s="616" t="s">
        <v>3581</v>
      </c>
      <c r="L98" s="615"/>
      <c r="N98" s="615"/>
      <c r="P98" s="615"/>
      <c r="Q98" s="615"/>
      <c r="R98" s="615"/>
      <c r="S98" s="615"/>
      <c r="T98" s="615"/>
      <c r="U98" s="615"/>
      <c r="V98" s="615"/>
      <c r="W98" s="615"/>
      <c r="X98" s="615"/>
      <c r="Y98" s="615"/>
    </row>
    <row r="99" spans="2:25" ht="32">
      <c r="B99" s="616" t="str">
        <f>IF(FORM_LANGUAGE=GER,Dictionary!G99,Dictionary!E99)</f>
        <v xml:space="preserve">Für jedes Projekt, Portfolio, oder Programm, welches Sie in die Projekteliste eingetragen haben, erscheint ein Steckbrief, welcher vollständig ausgefüllt werden muss. </v>
      </c>
      <c r="E99" s="616" t="s">
        <v>3324</v>
      </c>
      <c r="G99" s="616" t="s">
        <v>3302</v>
      </c>
      <c r="L99" s="615"/>
      <c r="N99" s="615"/>
      <c r="P99" s="615"/>
      <c r="Q99" s="615"/>
      <c r="R99" s="615"/>
      <c r="S99" s="615"/>
      <c r="T99" s="615"/>
      <c r="U99" s="615"/>
      <c r="V99" s="615"/>
      <c r="W99" s="615"/>
      <c r="X99" s="615"/>
      <c r="Y99" s="615"/>
    </row>
    <row r="100" spans="2:25" ht="48">
      <c r="B100" s="616" t="str">
        <f>IF(FORM_LANGUAGE=GER,Dictionary!G100,Dictionary!E100)</f>
        <v>Für jedes Teilprojekt, Projekt, Portfolio, oder Programm, welches Sie in die Projekteliste eingetragen haben, erscheint ein Arbeitsblatt zur Komplexitätseinschätzung, welches vollständig ausgefüllt werden muss.</v>
      </c>
      <c r="E100" s="616" t="s">
        <v>3583</v>
      </c>
      <c r="G100" s="616" t="s">
        <v>3582</v>
      </c>
      <c r="L100" s="615"/>
      <c r="N100" s="615"/>
      <c r="P100" s="615"/>
      <c r="Q100" s="615"/>
      <c r="R100" s="615"/>
      <c r="S100" s="615"/>
      <c r="T100" s="615"/>
      <c r="U100" s="615"/>
      <c r="V100" s="615"/>
      <c r="W100" s="615"/>
      <c r="X100" s="615"/>
      <c r="Y100" s="615"/>
    </row>
    <row r="101" spans="2:25" ht="48">
      <c r="B101" s="616" t="str">
        <f>IF(FORM_LANGUAGE=GER,Dictionary!G101,Dictionary!E101)</f>
        <v>Für jedes Portfolio, oder Programm, welches Sie in die Projekteliste eingetragen haben, erscheint ein Arbeitsblatt mit einer Liste von Komponentenprojekten, welches vollständig ausgefüllt werden muss.</v>
      </c>
      <c r="E101" s="616" t="s">
        <v>3325</v>
      </c>
      <c r="G101" s="616" t="s">
        <v>3300</v>
      </c>
      <c r="L101" s="615"/>
      <c r="N101" s="615"/>
      <c r="P101" s="615"/>
      <c r="Q101" s="615"/>
      <c r="R101" s="615"/>
      <c r="S101" s="615"/>
      <c r="T101" s="615"/>
      <c r="U101" s="615"/>
      <c r="V101" s="615"/>
      <c r="W101" s="615"/>
      <c r="X101" s="615"/>
      <c r="Y101" s="615"/>
    </row>
    <row r="102" spans="2:25" ht="80">
      <c r="B102" s="616" t="str">
        <f>IF(FORM_LANGUAGE=GER,Dictionary!G102,Dictionary!E102)</f>
        <v>Machen Sie Angeben zu allen Weiterbildungselementen, welche Sie erhalten haben. Z.B. Kurse, die Sie besucht haben, oder Bücher, die Sie gelesen haben. Stellen Sie einen Bezug her zu relevanten CE/KCI, und beachten Sie dabi die Angaben für Level D im Leitfaden IPMA® Level D Rezertifizierung und für Level CBA im Leitfaden IPMA® Level CBA Rezertifizierung.</v>
      </c>
      <c r="E102" s="616" t="s">
        <v>4192</v>
      </c>
      <c r="G102" s="616" t="s">
        <v>4191</v>
      </c>
      <c r="L102" s="615"/>
      <c r="N102" s="615"/>
      <c r="P102" s="615"/>
      <c r="Q102" s="615"/>
      <c r="R102" s="615"/>
      <c r="S102" s="615"/>
      <c r="T102" s="615"/>
      <c r="U102" s="615"/>
      <c r="V102" s="615"/>
      <c r="W102" s="615"/>
      <c r="X102" s="615"/>
      <c r="Y102" s="615"/>
    </row>
    <row r="103" spans="2:25" ht="32">
      <c r="B103" s="616" t="str">
        <f>IF(FORM_LANGUAGE=GER,Dictionary!G103,Dictionary!E103)</f>
        <v>Geben Sie Kurz-Zusammenfassungen von Kursen an, welche Sie nicht persönlich, sondern online besucht haben. Stellen Sie einen Bezug zu den relevanten CE und KCI her.</v>
      </c>
      <c r="E103" s="616" t="s">
        <v>3328</v>
      </c>
      <c r="G103" s="616" t="s">
        <v>3308</v>
      </c>
      <c r="L103" s="615"/>
      <c r="N103" s="615"/>
      <c r="P103" s="615"/>
      <c r="Q103" s="615"/>
      <c r="R103" s="615"/>
      <c r="S103" s="615"/>
      <c r="T103" s="615"/>
      <c r="U103" s="615"/>
      <c r="V103" s="615"/>
      <c r="W103" s="615"/>
      <c r="X103" s="615"/>
      <c r="Y103" s="615"/>
    </row>
    <row r="104" spans="2:25" ht="32">
      <c r="B104" s="616" t="str">
        <f>IF(FORM_LANGUAGE=GER,Dictionary!G104,Dictionary!E104)</f>
        <v>Geben Sie Kurz-Zusammenfassungen von Büchern, Kapiteln, und Magazinen an, welche Sie gelesen haben. Stellen Sie einen Bezug zu den relevanten CE und KCI her.</v>
      </c>
      <c r="E104" s="616" t="s">
        <v>3327</v>
      </c>
      <c r="G104" s="616" t="s">
        <v>3307</v>
      </c>
      <c r="L104" s="615"/>
      <c r="N104" s="615"/>
      <c r="P104" s="615"/>
      <c r="Q104" s="615"/>
      <c r="R104" s="615"/>
      <c r="S104" s="615"/>
      <c r="T104" s="615"/>
      <c r="U104" s="615"/>
      <c r="V104" s="615"/>
      <c r="W104" s="615"/>
      <c r="X104" s="615"/>
      <c r="Y104" s="615"/>
    </row>
    <row r="105" spans="2:25" ht="64">
      <c r="B105" s="616" t="str">
        <f>IF(FORM_LANGUAGE=GER,Dictionary!G105,Dictionary!E105)</f>
        <v>Machen Sie Angeben zu allen Weiterbildungselementen, welche Sie gegeben haben. Z.B. Kurse und Vorträge, die Sie gehalten haben, oder Bücher, die Sie geschrieben haben. Bitte beachten Sie dabei die Angaben für Level D im Leitfaden IPMA® Level D Rezertifizierung und für Level CBA im Leitfaden IPMA® Level CBA Rezertifizierung.</v>
      </c>
      <c r="E105" s="616" t="s">
        <v>4193</v>
      </c>
      <c r="G105" s="616" t="s">
        <v>4190</v>
      </c>
      <c r="L105" s="615"/>
      <c r="N105" s="615"/>
      <c r="P105" s="615"/>
      <c r="Q105" s="615"/>
      <c r="R105" s="615"/>
      <c r="S105" s="615"/>
      <c r="T105" s="615"/>
      <c r="U105" s="615"/>
      <c r="V105" s="615"/>
      <c r="W105" s="615"/>
      <c r="X105" s="615"/>
      <c r="Y105" s="615"/>
    </row>
    <row r="106" spans="2:25">
      <c r="L106" s="615"/>
      <c r="N106" s="615"/>
      <c r="P106" s="615"/>
      <c r="Q106" s="615"/>
      <c r="R106" s="615"/>
      <c r="S106" s="615"/>
      <c r="T106" s="615"/>
      <c r="U106" s="615"/>
      <c r="V106" s="615"/>
      <c r="W106" s="615"/>
      <c r="X106" s="615"/>
      <c r="Y106" s="615"/>
    </row>
    <row r="107" spans="2:25" ht="16">
      <c r="B107" s="616" t="str">
        <f>IF(FORM_LANGUAGE=GER,Dictionary!G107,Dictionary!E107)</f>
        <v>ja</v>
      </c>
      <c r="E107" s="616" t="s">
        <v>3329</v>
      </c>
      <c r="G107" s="616" t="s">
        <v>3288</v>
      </c>
      <c r="L107" s="615"/>
      <c r="N107" s="615"/>
      <c r="P107" s="615"/>
      <c r="Q107" s="615"/>
      <c r="R107" s="615"/>
      <c r="S107" s="615"/>
      <c r="T107" s="615"/>
      <c r="U107" s="615"/>
      <c r="V107" s="615"/>
      <c r="W107" s="615"/>
      <c r="X107" s="615"/>
      <c r="Y107" s="615"/>
    </row>
    <row r="108" spans="2:25" ht="16">
      <c r="B108" s="616" t="str">
        <f>IF(FORM_LANGUAGE=GER,Dictionary!G108,Dictionary!E108)</f>
        <v>optional</v>
      </c>
      <c r="E108" s="616" t="s">
        <v>3286</v>
      </c>
      <c r="G108" s="616" t="s">
        <v>3286</v>
      </c>
      <c r="L108" s="615"/>
      <c r="N108" s="615"/>
      <c r="P108" s="615"/>
      <c r="Q108" s="615"/>
      <c r="R108" s="615"/>
      <c r="S108" s="615"/>
      <c r="T108" s="615"/>
      <c r="U108" s="615"/>
      <c r="V108" s="615"/>
      <c r="W108" s="615"/>
      <c r="X108" s="615"/>
      <c r="Y108" s="615"/>
    </row>
    <row r="109" spans="2:25" ht="16">
      <c r="B109" s="616" t="str">
        <f>IF(FORM_LANGUAGE=GER,Dictionary!G109,Dictionary!E109)</f>
        <v>falls ausgewählt</v>
      </c>
      <c r="E109" s="616" t="s">
        <v>3330</v>
      </c>
      <c r="G109" s="616" t="s">
        <v>3287</v>
      </c>
      <c r="L109" s="615"/>
      <c r="N109" s="615"/>
      <c r="P109" s="615"/>
      <c r="Q109" s="615"/>
      <c r="R109" s="615"/>
      <c r="S109" s="615"/>
      <c r="T109" s="615"/>
      <c r="U109" s="615"/>
      <c r="V109" s="615"/>
      <c r="W109" s="615"/>
      <c r="X109" s="615"/>
      <c r="Y109" s="615"/>
    </row>
    <row r="110" spans="2:25" ht="16">
      <c r="B110" s="616" t="str">
        <f>IF(FORM_LANGUAGE=GER,Dictionary!G110,Dictionary!E110)</f>
        <v>ja</v>
      </c>
      <c r="E110" s="616" t="s">
        <v>3329</v>
      </c>
      <c r="G110" s="616" t="s">
        <v>3288</v>
      </c>
      <c r="L110" s="615"/>
      <c r="N110" s="615"/>
      <c r="P110" s="615"/>
      <c r="Q110" s="615"/>
      <c r="R110" s="615"/>
      <c r="S110" s="615"/>
      <c r="T110" s="615"/>
      <c r="U110" s="615"/>
      <c r="V110" s="615"/>
      <c r="W110" s="615"/>
      <c r="X110" s="615"/>
      <c r="Y110" s="615"/>
    </row>
    <row r="111" spans="2:25" ht="16">
      <c r="B111" s="616" t="str">
        <f>IF(FORM_LANGUAGE=GER,Dictionary!G111,Dictionary!E111)</f>
        <v>für Re-Zert und Höherzert.</v>
      </c>
      <c r="E111" s="616" t="s">
        <v>3349</v>
      </c>
      <c r="G111" s="616" t="s">
        <v>3350</v>
      </c>
      <c r="L111" s="615"/>
      <c r="N111" s="615"/>
      <c r="P111" s="615"/>
      <c r="Q111" s="615"/>
      <c r="R111" s="615"/>
      <c r="S111" s="615"/>
      <c r="T111" s="615"/>
      <c r="U111" s="615"/>
      <c r="V111" s="615"/>
      <c r="W111" s="615"/>
      <c r="X111" s="615"/>
      <c r="Y111" s="615"/>
    </row>
    <row r="112" spans="2:25" ht="16">
      <c r="B112" s="616" t="str">
        <f>IF(FORM_LANGUAGE=GER,Dictionary!G112,Dictionary!E112)</f>
        <v>ja</v>
      </c>
      <c r="E112" s="616" t="s">
        <v>3329</v>
      </c>
      <c r="G112" s="616" t="s">
        <v>3288</v>
      </c>
      <c r="L112" s="615"/>
      <c r="N112" s="615"/>
      <c r="P112" s="615"/>
      <c r="Q112" s="615"/>
      <c r="R112" s="615"/>
      <c r="S112" s="615"/>
      <c r="T112" s="615"/>
      <c r="U112" s="615"/>
      <c r="V112" s="615"/>
      <c r="W112" s="615"/>
      <c r="X112" s="615"/>
      <c r="Y112" s="615"/>
    </row>
    <row r="113" spans="2:25" ht="16">
      <c r="B113" s="616" t="str">
        <f>IF(FORM_LANGUAGE=GER,Dictionary!G113,Dictionary!E113)</f>
        <v>Level C-A, Re-Zert</v>
      </c>
      <c r="E113" s="616" t="s">
        <v>3331</v>
      </c>
      <c r="G113" s="616" t="s">
        <v>3295</v>
      </c>
      <c r="L113" s="615"/>
      <c r="N113" s="615"/>
      <c r="P113" s="615"/>
      <c r="Q113" s="615"/>
      <c r="R113" s="615"/>
      <c r="S113" s="615"/>
      <c r="T113" s="615"/>
      <c r="U113" s="615"/>
      <c r="V113" s="615"/>
      <c r="W113" s="615"/>
      <c r="X113" s="615"/>
      <c r="Y113" s="615"/>
    </row>
    <row r="114" spans="2:25" ht="16">
      <c r="B114" s="616" t="str">
        <f>IF(FORM_LANGUAGE=GER,Dictionary!G114,Dictionary!E114)</f>
        <v>Level C-A, Re-Zert</v>
      </c>
      <c r="E114" s="616" t="s">
        <v>3332</v>
      </c>
      <c r="G114" s="616" t="s">
        <v>3295</v>
      </c>
      <c r="L114" s="615"/>
      <c r="N114" s="615"/>
      <c r="P114" s="615"/>
      <c r="Q114" s="615"/>
      <c r="R114" s="615"/>
      <c r="S114" s="615"/>
      <c r="T114" s="615"/>
      <c r="U114" s="615"/>
      <c r="V114" s="615"/>
      <c r="W114" s="615"/>
      <c r="X114" s="615"/>
      <c r="Y114" s="615"/>
    </row>
    <row r="115" spans="2:25" ht="16">
      <c r="B115" s="616" t="str">
        <f>IF(FORM_LANGUAGE=GER,Dictionary!G115,Dictionary!E115)</f>
        <v>Level C-A, Re-Zert</v>
      </c>
      <c r="E115" s="616" t="s">
        <v>3332</v>
      </c>
      <c r="G115" s="616" t="s">
        <v>3295</v>
      </c>
      <c r="L115" s="615"/>
      <c r="N115" s="615"/>
      <c r="P115" s="615"/>
      <c r="Q115" s="615"/>
      <c r="R115" s="615"/>
      <c r="S115" s="615"/>
      <c r="T115" s="615"/>
      <c r="U115" s="615"/>
      <c r="V115" s="615"/>
      <c r="W115" s="615"/>
      <c r="X115" s="615"/>
      <c r="Y115" s="615"/>
    </row>
    <row r="116" spans="2:25" ht="16">
      <c r="B116" s="616" t="str">
        <f>IF(FORM_LANGUAGE=GER,Dictionary!G116,Dictionary!E116)</f>
        <v>Level B-A, Re-Zert</v>
      </c>
      <c r="E116" s="616" t="s">
        <v>3333</v>
      </c>
      <c r="G116" s="616" t="s">
        <v>3301</v>
      </c>
      <c r="L116" s="615"/>
      <c r="N116" s="615"/>
      <c r="P116" s="615"/>
      <c r="Q116" s="615"/>
      <c r="R116" s="615"/>
      <c r="S116" s="615"/>
      <c r="T116" s="615"/>
      <c r="U116" s="615"/>
      <c r="V116" s="615"/>
      <c r="W116" s="615"/>
      <c r="X116" s="615"/>
      <c r="Y116" s="615"/>
    </row>
    <row r="117" spans="2:25" ht="16">
      <c r="B117" s="616" t="str">
        <f>IF(FORM_LANGUAGE=GER,Dictionary!G117,Dictionary!E117)</f>
        <v>Re-Zert</v>
      </c>
      <c r="E117" s="616" t="s">
        <v>3334</v>
      </c>
      <c r="G117" s="616" t="s">
        <v>3304</v>
      </c>
      <c r="L117" s="615"/>
      <c r="N117" s="615"/>
      <c r="P117" s="615"/>
      <c r="Q117" s="615"/>
      <c r="R117" s="615"/>
      <c r="S117" s="615"/>
      <c r="T117" s="615"/>
      <c r="U117" s="615"/>
      <c r="V117" s="615"/>
      <c r="W117" s="615"/>
      <c r="X117" s="615"/>
      <c r="Y117" s="615"/>
    </row>
    <row r="118" spans="2:25" ht="16">
      <c r="B118" s="616" t="str">
        <f>IF(FORM_LANGUAGE=GER,Dictionary!G118,Dictionary!E118)</f>
        <v>Re-Zert</v>
      </c>
      <c r="E118" s="616" t="s">
        <v>3334</v>
      </c>
      <c r="G118" s="616" t="s">
        <v>3304</v>
      </c>
      <c r="L118" s="615"/>
      <c r="N118" s="615"/>
      <c r="P118" s="615"/>
      <c r="Q118" s="615"/>
      <c r="R118" s="615"/>
      <c r="S118" s="615"/>
      <c r="T118" s="615"/>
      <c r="U118" s="615"/>
      <c r="V118" s="615"/>
      <c r="W118" s="615"/>
      <c r="X118" s="615"/>
      <c r="Y118" s="615"/>
    </row>
    <row r="119" spans="2:25" ht="16">
      <c r="B119" s="616" t="str">
        <f>IF(FORM_LANGUAGE=GER,Dictionary!G119,Dictionary!E119)</f>
        <v>Re-Zert</v>
      </c>
      <c r="E119" s="616" t="s">
        <v>3334</v>
      </c>
      <c r="G119" s="616" t="s">
        <v>3304</v>
      </c>
      <c r="L119" s="615"/>
      <c r="N119" s="615"/>
      <c r="P119" s="615"/>
      <c r="Q119" s="615"/>
      <c r="R119" s="615"/>
      <c r="S119" s="615"/>
      <c r="T119" s="615"/>
      <c r="U119" s="615"/>
      <c r="V119" s="615"/>
      <c r="W119" s="615"/>
      <c r="X119" s="615"/>
      <c r="Y119" s="615"/>
    </row>
    <row r="120" spans="2:25" ht="16">
      <c r="B120" s="616" t="str">
        <f>IF(FORM_LANGUAGE=GER,Dictionary!G120,Dictionary!E120)</f>
        <v>Re-Zert</v>
      </c>
      <c r="E120" s="616" t="s">
        <v>3334</v>
      </c>
      <c r="G120" s="616" t="s">
        <v>3304</v>
      </c>
      <c r="L120" s="615"/>
      <c r="N120" s="615"/>
      <c r="P120" s="615"/>
      <c r="Q120" s="615"/>
      <c r="R120" s="615"/>
      <c r="S120" s="615"/>
      <c r="T120" s="615"/>
      <c r="U120" s="615"/>
      <c r="V120" s="615"/>
      <c r="W120" s="615"/>
      <c r="X120" s="615"/>
      <c r="Y120" s="615"/>
    </row>
    <row r="121" spans="2:25">
      <c r="L121" s="615"/>
      <c r="N121" s="615"/>
      <c r="P121" s="615"/>
      <c r="Q121" s="615"/>
      <c r="R121" s="615"/>
      <c r="S121" s="615"/>
      <c r="T121" s="615"/>
      <c r="U121" s="615"/>
      <c r="V121" s="615"/>
      <c r="W121" s="615"/>
      <c r="X121" s="615"/>
      <c r="Y121" s="615"/>
    </row>
    <row r="122" spans="2:25" ht="16">
      <c r="B122" s="616" t="str">
        <f>IF(FORM_LANGUAGE=GER,Dictionary!G122,Dictionary!E122)</f>
        <v>Allgemeine Angaben</v>
      </c>
      <c r="E122" s="1371" t="s">
        <v>3312</v>
      </c>
      <c r="G122" s="1371" t="s">
        <v>3283</v>
      </c>
      <c r="L122" s="615"/>
      <c r="N122" s="615"/>
      <c r="P122" s="615"/>
      <c r="Q122" s="615"/>
      <c r="R122" s="615"/>
      <c r="S122" s="615"/>
      <c r="T122" s="615"/>
      <c r="U122" s="615"/>
      <c r="V122" s="615"/>
      <c r="W122" s="615"/>
      <c r="X122" s="615"/>
      <c r="Y122" s="615"/>
    </row>
    <row r="123" spans="2:25" ht="16">
      <c r="B123" s="616" t="str">
        <f>IF(FORM_LANGUAGE=GER,Dictionary!G123,Dictionary!E123)</f>
        <v>Rechnungsanschrift</v>
      </c>
      <c r="E123" s="1371" t="s">
        <v>2877</v>
      </c>
      <c r="G123" s="1371" t="s">
        <v>2876</v>
      </c>
      <c r="L123" s="615"/>
      <c r="N123" s="615"/>
      <c r="P123" s="615"/>
      <c r="Q123" s="615"/>
      <c r="R123" s="615"/>
      <c r="S123" s="615"/>
      <c r="T123" s="615"/>
      <c r="U123" s="615"/>
      <c r="V123" s="615"/>
      <c r="W123" s="615"/>
      <c r="X123" s="615"/>
      <c r="Y123" s="615"/>
    </row>
    <row r="124" spans="2:25" ht="16">
      <c r="B124" s="616" t="str">
        <f>IF(FORM_LANGUAGE=GER,Dictionary!G124,Dictionary!E124)</f>
        <v>Rechnungsanschrift</v>
      </c>
      <c r="E124" s="1371" t="s">
        <v>2877</v>
      </c>
      <c r="G124" s="1371" t="s">
        <v>2876</v>
      </c>
      <c r="L124" s="615"/>
      <c r="N124" s="615"/>
      <c r="P124" s="615"/>
      <c r="Q124" s="615"/>
      <c r="R124" s="615"/>
      <c r="S124" s="615"/>
      <c r="T124" s="615"/>
      <c r="U124" s="615"/>
      <c r="V124" s="615"/>
      <c r="W124" s="615"/>
      <c r="X124" s="615"/>
      <c r="Y124" s="615"/>
    </row>
    <row r="125" spans="2:25" ht="16">
      <c r="B125" s="616" t="str">
        <f>IF(FORM_LANGUAGE=GER,Dictionary!G125,Dictionary!E125)</f>
        <v>Referenzen</v>
      </c>
      <c r="E125" s="1371" t="s">
        <v>3335</v>
      </c>
      <c r="G125" s="1371" t="s">
        <v>3284</v>
      </c>
      <c r="L125" s="615"/>
      <c r="N125" s="615"/>
      <c r="P125" s="615"/>
      <c r="Q125" s="615"/>
      <c r="R125" s="615"/>
      <c r="S125" s="615"/>
      <c r="T125" s="615"/>
      <c r="U125" s="615"/>
      <c r="V125" s="615"/>
      <c r="W125" s="615"/>
      <c r="X125" s="615"/>
      <c r="Y125" s="615"/>
    </row>
    <row r="126" spans="2:25" ht="16">
      <c r="B126" s="616" t="str">
        <f>IF(FORM_LANGUAGE=GER,Dictionary!G126,Dictionary!E126)</f>
        <v>Vorhandenes Zertifikat</v>
      </c>
      <c r="E126" s="1371" t="s">
        <v>3336</v>
      </c>
      <c r="G126" s="1371" t="s">
        <v>3285</v>
      </c>
      <c r="L126" s="615"/>
      <c r="N126" s="615"/>
      <c r="P126" s="615"/>
      <c r="Q126" s="615"/>
      <c r="R126" s="615"/>
      <c r="S126" s="615"/>
      <c r="T126" s="615"/>
      <c r="U126" s="615"/>
      <c r="V126" s="615"/>
      <c r="W126" s="615"/>
      <c r="X126" s="615"/>
      <c r="Y126" s="615"/>
    </row>
    <row r="127" spans="2:25" ht="17">
      <c r="B127" s="616" t="str">
        <f>IF(FORM_LANGUAGE=GER,Dictionary!G127,Dictionary!E127)</f>
        <v>Selbsteinschätzung</v>
      </c>
      <c r="E127" s="1373" t="s">
        <v>3337</v>
      </c>
      <c r="G127" s="1373" t="s">
        <v>1187</v>
      </c>
      <c r="L127" s="615"/>
      <c r="N127" s="615"/>
      <c r="P127" s="615"/>
      <c r="Q127" s="615"/>
      <c r="R127" s="615"/>
      <c r="S127" s="615"/>
      <c r="T127" s="615"/>
      <c r="U127" s="615"/>
      <c r="V127" s="615"/>
      <c r="W127" s="615"/>
      <c r="X127" s="615"/>
      <c r="Y127" s="615"/>
    </row>
    <row r="128" spans="2:25" ht="17">
      <c r="B128" s="616" t="str">
        <f>IF(FORM_LANGUAGE=GER,Dictionary!G128,Dictionary!E128)</f>
        <v>Erfahrung im Projektmanagement</v>
      </c>
      <c r="E128" s="1373" t="s">
        <v>3338</v>
      </c>
      <c r="G128" s="1373" t="s">
        <v>3293</v>
      </c>
      <c r="L128" s="615"/>
      <c r="N128" s="615"/>
      <c r="P128" s="615"/>
      <c r="Q128" s="615"/>
      <c r="R128" s="615"/>
      <c r="S128" s="615"/>
      <c r="T128" s="615"/>
      <c r="U128" s="615"/>
      <c r="V128" s="615"/>
      <c r="W128" s="615"/>
      <c r="X128" s="615"/>
      <c r="Y128" s="615"/>
    </row>
    <row r="129" spans="2:25" ht="17">
      <c r="B129" s="616" t="str">
        <f>IF(FORM_LANGUAGE=GER,Dictionary!G129,Dictionary!E129)</f>
        <v>Projektsteckbrief</v>
      </c>
      <c r="E129" s="1373" t="s">
        <v>3339</v>
      </c>
      <c r="G129" s="1373" t="s">
        <v>3297</v>
      </c>
      <c r="L129" s="615"/>
      <c r="N129" s="615"/>
      <c r="P129" s="615"/>
      <c r="Q129" s="615"/>
      <c r="R129" s="615"/>
      <c r="S129" s="615"/>
      <c r="T129" s="615"/>
      <c r="U129" s="615"/>
      <c r="V129" s="615"/>
      <c r="W129" s="615"/>
      <c r="X129" s="615"/>
      <c r="Y129" s="615"/>
    </row>
    <row r="130" spans="2:25" ht="17">
      <c r="B130" s="616" t="str">
        <f>IF(FORM_LANGUAGE=GER,Dictionary!G130,Dictionary!E130)</f>
        <v>Komplexitätseinschätzung</v>
      </c>
      <c r="E130" s="1373" t="s">
        <v>3340</v>
      </c>
      <c r="G130" s="1373" t="s">
        <v>3299</v>
      </c>
      <c r="L130" s="615"/>
      <c r="N130" s="615"/>
      <c r="P130" s="615"/>
      <c r="Q130" s="615"/>
      <c r="R130" s="615"/>
      <c r="S130" s="615"/>
      <c r="T130" s="615"/>
      <c r="U130" s="615"/>
      <c r="V130" s="615"/>
      <c r="W130" s="615"/>
      <c r="X130" s="615"/>
      <c r="Y130" s="615"/>
    </row>
    <row r="131" spans="2:25" ht="17">
      <c r="B131" s="616" t="str">
        <f>IF(FORM_LANGUAGE=GER,Dictionary!G131,Dictionary!E131)</f>
        <v>Komplexitätseinschätzung</v>
      </c>
      <c r="E131" s="1373" t="s">
        <v>3340</v>
      </c>
      <c r="G131" s="1373" t="s">
        <v>3299</v>
      </c>
      <c r="L131" s="615"/>
      <c r="N131" s="615"/>
      <c r="P131" s="615"/>
      <c r="Q131" s="615"/>
      <c r="R131" s="615"/>
      <c r="S131" s="615"/>
      <c r="T131" s="615"/>
      <c r="U131" s="615"/>
      <c r="V131" s="615"/>
      <c r="W131" s="615"/>
      <c r="X131" s="615"/>
      <c r="Y131" s="615"/>
    </row>
    <row r="132" spans="2:25" ht="17">
      <c r="B132" s="616" t="str">
        <f>IF(FORM_LANGUAGE=GER,Dictionary!G132,Dictionary!E132)</f>
        <v>Erhaltene Weiterbildung</v>
      </c>
      <c r="E132" s="1373" t="s">
        <v>3341</v>
      </c>
      <c r="G132" s="1373" t="s">
        <v>3303</v>
      </c>
      <c r="L132" s="615"/>
      <c r="N132" s="615"/>
      <c r="P132" s="615"/>
      <c r="Q132" s="615"/>
      <c r="R132" s="615"/>
      <c r="S132" s="615"/>
      <c r="T132" s="615"/>
      <c r="U132" s="615"/>
      <c r="V132" s="615"/>
      <c r="W132" s="615"/>
      <c r="X132" s="615"/>
      <c r="Y132" s="615"/>
    </row>
    <row r="133" spans="2:25" ht="17">
      <c r="B133" s="616" t="str">
        <f>IF(FORM_LANGUAGE=GER,Dictionary!G133,Dictionary!E133)</f>
        <v>Zusammenfassung von Fernstudiums-Kursen</v>
      </c>
      <c r="E133" s="1373" t="s">
        <v>3342</v>
      </c>
      <c r="G133" s="1373" t="s">
        <v>3305</v>
      </c>
      <c r="L133" s="615"/>
      <c r="N133" s="615"/>
      <c r="P133" s="615"/>
      <c r="Q133" s="615"/>
      <c r="R133" s="615"/>
      <c r="S133" s="615"/>
      <c r="T133" s="615"/>
      <c r="U133" s="615"/>
      <c r="V133" s="615"/>
      <c r="W133" s="615"/>
      <c r="X133" s="615"/>
      <c r="Y133" s="615"/>
    </row>
    <row r="134" spans="2:25" ht="17">
      <c r="B134" s="616" t="str">
        <f>IF(FORM_LANGUAGE=GER,Dictionary!G134,Dictionary!E134)</f>
        <v>Literaturkospekte</v>
      </c>
      <c r="E134" s="1373" t="s">
        <v>3343</v>
      </c>
      <c r="G134" s="1373" t="s">
        <v>3306</v>
      </c>
      <c r="L134" s="615"/>
      <c r="N134" s="615"/>
      <c r="P134" s="615"/>
      <c r="Q134" s="615"/>
      <c r="R134" s="615"/>
      <c r="S134" s="615"/>
      <c r="T134" s="615"/>
      <c r="U134" s="615"/>
      <c r="V134" s="615"/>
      <c r="W134" s="615"/>
      <c r="X134" s="615"/>
      <c r="Y134" s="615"/>
    </row>
    <row r="135" spans="2:25" ht="17">
      <c r="B135" s="616" t="str">
        <f>IF(FORM_LANGUAGE=GER,Dictionary!G135,Dictionary!E135)</f>
        <v>Gegebene Weiterbildung</v>
      </c>
      <c r="E135" s="1373" t="s">
        <v>3344</v>
      </c>
      <c r="G135" s="1373" t="s">
        <v>3309</v>
      </c>
      <c r="L135" s="615"/>
      <c r="N135" s="615"/>
      <c r="P135" s="615"/>
      <c r="Q135" s="615"/>
      <c r="R135" s="615"/>
      <c r="S135" s="615"/>
      <c r="T135" s="615"/>
      <c r="U135" s="615"/>
      <c r="V135" s="615"/>
      <c r="W135" s="615"/>
      <c r="X135" s="615"/>
      <c r="Y135" s="615"/>
    </row>
    <row r="136" spans="2:25">
      <c r="L136" s="615"/>
      <c r="N136" s="615"/>
      <c r="P136" s="615"/>
      <c r="Q136" s="615"/>
      <c r="R136" s="615"/>
      <c r="S136" s="615"/>
      <c r="T136" s="615"/>
      <c r="U136" s="615"/>
      <c r="V136" s="615"/>
      <c r="W136" s="615"/>
      <c r="X136" s="615"/>
      <c r="Y136" s="615"/>
    </row>
    <row r="137" spans="2:25" ht="16">
      <c r="B137" s="616" t="str">
        <f>IF(FORM_LANGUAGE=GER,Dictionary!G137,Dictionary!E137)</f>
        <v>immer</v>
      </c>
      <c r="E137" s="616" t="s">
        <v>3345</v>
      </c>
      <c r="G137" s="616" t="s">
        <v>3320</v>
      </c>
      <c r="L137" s="615"/>
      <c r="N137" s="615"/>
      <c r="P137" s="615"/>
      <c r="Q137" s="615"/>
      <c r="R137" s="615"/>
      <c r="S137" s="615"/>
      <c r="T137" s="615"/>
      <c r="U137" s="615"/>
      <c r="V137" s="615"/>
      <c r="W137" s="615"/>
      <c r="X137" s="615"/>
      <c r="Y137" s="615"/>
    </row>
    <row r="138" spans="2:25" ht="16">
      <c r="B138" s="616" t="str">
        <f>IF(FORM_LANGUAGE=GER,Dictionary!G138,Dictionary!E138)</f>
        <v>immer</v>
      </c>
      <c r="E138" s="616" t="s">
        <v>3345</v>
      </c>
      <c r="G138" s="616" t="s">
        <v>3320</v>
      </c>
      <c r="L138" s="615"/>
      <c r="N138" s="615"/>
      <c r="P138" s="615"/>
      <c r="Q138" s="615"/>
      <c r="R138" s="615"/>
      <c r="S138" s="615"/>
      <c r="T138" s="615"/>
      <c r="U138" s="615"/>
      <c r="V138" s="615"/>
      <c r="W138" s="615"/>
      <c r="X138" s="615"/>
      <c r="Y138" s="615"/>
    </row>
    <row r="139" spans="2:25" ht="16">
      <c r="B139" s="616" t="str">
        <f>IF(FORM_LANGUAGE=GER,Dictionary!G139,Dictionary!E139)</f>
        <v>falls ausgewählt</v>
      </c>
      <c r="E139" s="616" t="s">
        <v>3330</v>
      </c>
      <c r="G139" s="616" t="s">
        <v>3287</v>
      </c>
      <c r="L139" s="615"/>
      <c r="N139" s="615"/>
      <c r="P139" s="615"/>
      <c r="Q139" s="615"/>
      <c r="R139" s="615"/>
      <c r="S139" s="615"/>
      <c r="T139" s="615"/>
      <c r="U139" s="615"/>
      <c r="V139" s="615"/>
      <c r="W139" s="615"/>
      <c r="X139" s="615"/>
      <c r="Y139" s="615"/>
    </row>
    <row r="140" spans="2:25" ht="16">
      <c r="B140" s="616" t="str">
        <f>IF(FORM_LANGUAGE=GER,Dictionary!G140,Dictionary!E140)</f>
        <v>falls erforderlich</v>
      </c>
      <c r="E140" s="616" t="s">
        <v>3346</v>
      </c>
      <c r="G140" s="616" t="s">
        <v>3292</v>
      </c>
      <c r="L140" s="615"/>
      <c r="N140" s="615"/>
      <c r="P140" s="615"/>
      <c r="Q140" s="615"/>
      <c r="R140" s="615"/>
      <c r="S140" s="615"/>
      <c r="T140" s="615"/>
      <c r="U140" s="615"/>
      <c r="V140" s="615"/>
      <c r="W140" s="615"/>
      <c r="X140" s="615"/>
      <c r="Y140" s="615"/>
    </row>
    <row r="141" spans="2:25" ht="16">
      <c r="B141" s="616" t="str">
        <f>IF(FORM_LANGUAGE=GER,Dictionary!G141,Dictionary!E141)</f>
        <v>falls erforderlich</v>
      </c>
      <c r="E141" s="616" t="s">
        <v>3346</v>
      </c>
      <c r="G141" s="616" t="s">
        <v>3292</v>
      </c>
      <c r="L141" s="615"/>
      <c r="N141" s="615"/>
      <c r="P141" s="615"/>
      <c r="Q141" s="615"/>
      <c r="R141" s="615"/>
      <c r="S141" s="615"/>
      <c r="T141" s="615"/>
      <c r="U141" s="615"/>
      <c r="V141" s="615"/>
      <c r="W141" s="615"/>
      <c r="X141" s="615"/>
      <c r="Y141" s="615"/>
    </row>
    <row r="142" spans="2:25" ht="16">
      <c r="B142" s="616" t="str">
        <f>IF(FORM_LANGUAGE=GER,Dictionary!G142,Dictionary!E142)</f>
        <v>immer</v>
      </c>
      <c r="E142" s="616" t="s">
        <v>3345</v>
      </c>
      <c r="G142" s="616" t="s">
        <v>3320</v>
      </c>
      <c r="L142" s="615"/>
      <c r="N142" s="615"/>
      <c r="P142" s="615"/>
      <c r="Q142" s="615"/>
      <c r="R142" s="615"/>
      <c r="S142" s="615"/>
      <c r="T142" s="615"/>
      <c r="U142" s="615"/>
      <c r="V142" s="615"/>
      <c r="W142" s="615"/>
      <c r="X142" s="615"/>
      <c r="Y142" s="615"/>
    </row>
    <row r="143" spans="2:25" ht="16">
      <c r="B143" s="616" t="str">
        <f>IF(FORM_LANGUAGE=GER,Dictionary!G143,Dictionary!E143)</f>
        <v>falls erforderlich</v>
      </c>
      <c r="E143" s="616" t="s">
        <v>3346</v>
      </c>
      <c r="G143" s="616" t="s">
        <v>3292</v>
      </c>
      <c r="L143" s="615"/>
      <c r="N143" s="615"/>
      <c r="P143" s="615"/>
      <c r="Q143" s="615"/>
      <c r="R143" s="615"/>
      <c r="S143" s="615"/>
      <c r="T143" s="615"/>
      <c r="U143" s="615"/>
      <c r="V143" s="615"/>
      <c r="W143" s="615"/>
      <c r="X143" s="615"/>
      <c r="Y143" s="615"/>
    </row>
    <row r="144" spans="2:25" ht="16">
      <c r="B144" s="616" t="str">
        <f>IF(FORM_LANGUAGE=GER,Dictionary!G144,Dictionary!E144)</f>
        <v>falls erforderlich</v>
      </c>
      <c r="E144" s="616" t="s">
        <v>3346</v>
      </c>
      <c r="G144" s="616" t="s">
        <v>3292</v>
      </c>
      <c r="L144" s="615"/>
      <c r="N144" s="615"/>
      <c r="P144" s="615"/>
      <c r="Q144" s="615"/>
      <c r="R144" s="615"/>
      <c r="S144" s="615"/>
      <c r="T144" s="615"/>
      <c r="U144" s="615"/>
      <c r="V144" s="615"/>
      <c r="W144" s="615"/>
      <c r="X144" s="615"/>
      <c r="Y144" s="615"/>
    </row>
    <row r="145" spans="2:25" ht="16">
      <c r="B145" s="616" t="str">
        <f>IF(FORM_LANGUAGE=GER,Dictionary!G145,Dictionary!E145)</f>
        <v>falls erforderlich</v>
      </c>
      <c r="E145" s="616" t="s">
        <v>3346</v>
      </c>
      <c r="G145" s="616" t="s">
        <v>3292</v>
      </c>
      <c r="L145" s="615"/>
      <c r="N145" s="615"/>
      <c r="P145" s="615"/>
      <c r="Q145" s="615"/>
      <c r="R145" s="615"/>
      <c r="S145" s="615"/>
      <c r="T145" s="615"/>
      <c r="U145" s="615"/>
      <c r="V145" s="615"/>
      <c r="W145" s="615"/>
      <c r="X145" s="615"/>
      <c r="Y145" s="615"/>
    </row>
    <row r="146" spans="2:25" ht="16">
      <c r="B146" s="616" t="str">
        <f>IF(FORM_LANGUAGE=GER,Dictionary!G146,Dictionary!E146)</f>
        <v>falls erforderlich</v>
      </c>
      <c r="E146" s="616" t="s">
        <v>3346</v>
      </c>
      <c r="G146" s="616" t="s">
        <v>3292</v>
      </c>
      <c r="L146" s="615"/>
      <c r="N146" s="615"/>
      <c r="P146" s="615"/>
      <c r="Q146" s="615"/>
      <c r="R146" s="615"/>
      <c r="S146" s="615"/>
      <c r="T146" s="615"/>
      <c r="U146" s="615"/>
      <c r="V146" s="615"/>
      <c r="W146" s="615"/>
      <c r="X146" s="615"/>
      <c r="Y146" s="615"/>
    </row>
    <row r="147" spans="2:25" ht="16">
      <c r="B147" s="616" t="str">
        <f>IF(FORM_LANGUAGE=GER,Dictionary!G147,Dictionary!E147)</f>
        <v>nur Re-Zert</v>
      </c>
      <c r="E147" s="616" t="s">
        <v>4188</v>
      </c>
      <c r="G147" s="616" t="s">
        <v>4189</v>
      </c>
      <c r="L147" s="615"/>
      <c r="N147" s="615"/>
      <c r="P147" s="615"/>
      <c r="Q147" s="615"/>
      <c r="R147" s="615"/>
      <c r="S147" s="615"/>
      <c r="T147" s="615"/>
      <c r="U147" s="615"/>
      <c r="V147" s="615"/>
      <c r="W147" s="615"/>
      <c r="X147" s="615"/>
      <c r="Y147" s="615"/>
    </row>
    <row r="148" spans="2:25" ht="16">
      <c r="B148" s="616" t="str">
        <f>IF(FORM_LANGUAGE=GER,Dictionary!G148,Dictionary!E148)</f>
        <v>nur Re-Zert</v>
      </c>
      <c r="E148" s="616" t="s">
        <v>4188</v>
      </c>
      <c r="G148" s="616" t="s">
        <v>4189</v>
      </c>
      <c r="L148" s="615"/>
      <c r="N148" s="615"/>
      <c r="P148" s="615"/>
      <c r="Q148" s="615"/>
      <c r="R148" s="615"/>
      <c r="S148" s="615"/>
      <c r="T148" s="615"/>
      <c r="U148" s="615"/>
      <c r="V148" s="615"/>
      <c r="W148" s="615"/>
      <c r="X148" s="615"/>
      <c r="Y148" s="615"/>
    </row>
    <row r="149" spans="2:25" ht="16">
      <c r="B149" s="616" t="str">
        <f>IF(FORM_LANGUAGE=GER,Dictionary!G149,Dictionary!E149)</f>
        <v>nur Re-Zert</v>
      </c>
      <c r="E149" s="616" t="s">
        <v>4188</v>
      </c>
      <c r="G149" s="616" t="s">
        <v>4189</v>
      </c>
      <c r="L149" s="615"/>
      <c r="N149" s="615"/>
      <c r="P149" s="615"/>
      <c r="Q149" s="615"/>
      <c r="R149" s="615"/>
      <c r="S149" s="615"/>
      <c r="T149" s="615"/>
      <c r="U149" s="615"/>
      <c r="V149" s="615"/>
      <c r="W149" s="615"/>
      <c r="X149" s="615"/>
      <c r="Y149" s="615"/>
    </row>
    <row r="150" spans="2:25" ht="16">
      <c r="B150" s="616" t="str">
        <f>IF(FORM_LANGUAGE=GER,Dictionary!G150,Dictionary!E150)</f>
        <v>nur Re-Zert</v>
      </c>
      <c r="E150" s="616" t="s">
        <v>4188</v>
      </c>
      <c r="G150" s="616" t="s">
        <v>4189</v>
      </c>
      <c r="L150" s="615"/>
      <c r="N150" s="615"/>
      <c r="P150" s="615"/>
      <c r="Q150" s="615"/>
      <c r="R150" s="615"/>
      <c r="S150" s="615"/>
      <c r="T150" s="615"/>
      <c r="U150" s="615"/>
      <c r="V150" s="615"/>
      <c r="W150" s="615"/>
      <c r="X150" s="615"/>
      <c r="Y150" s="615"/>
    </row>
    <row r="151" spans="2:25">
      <c r="L151" s="615"/>
      <c r="N151" s="615"/>
      <c r="P151" s="615"/>
      <c r="Q151" s="615"/>
      <c r="R151" s="615"/>
      <c r="S151" s="615"/>
      <c r="T151" s="615"/>
      <c r="U151" s="615"/>
      <c r="V151" s="615"/>
      <c r="W151" s="615"/>
      <c r="X151" s="615"/>
      <c r="Y151" s="615"/>
    </row>
    <row r="152" spans="2:25" ht="80">
      <c r="B152" s="616" t="str">
        <f>IF(FORM_LANGUAGE=GER,Dictionary!G152,Dictionary!E152)</f>
        <v>Achtung: Die eingebetten Makros in dieser Datei sind mit einem dgitalen Zertifikat signiert. 
Jegliche Manipulation oder Rückentwicklung dieser Arbeitsmappe wird als Betrugsversuch gewertet und kann zur Disqualifikation und zu weiteren rechtlichen Schritten führen!</v>
      </c>
      <c r="E152" s="616" t="s">
        <v>3615</v>
      </c>
      <c r="G152" s="616" t="s">
        <v>3614</v>
      </c>
      <c r="L152" s="615"/>
      <c r="N152" s="615"/>
      <c r="P152" s="615"/>
      <c r="Q152" s="615"/>
      <c r="R152" s="615"/>
      <c r="S152" s="615"/>
      <c r="T152" s="615"/>
      <c r="U152" s="615"/>
      <c r="V152" s="615"/>
      <c r="W152" s="615"/>
      <c r="X152" s="615"/>
      <c r="Y152" s="615"/>
    </row>
    <row r="153" spans="2:25">
      <c r="L153" s="615"/>
      <c r="N153" s="615"/>
      <c r="P153" s="615"/>
      <c r="Q153" s="615"/>
      <c r="R153" s="615"/>
      <c r="S153" s="615"/>
      <c r="T153" s="615"/>
      <c r="U153" s="615"/>
      <c r="V153" s="615"/>
      <c r="W153" s="615"/>
      <c r="X153" s="615"/>
      <c r="Y153" s="615"/>
    </row>
    <row r="154" spans="2:25" ht="16">
      <c r="B154" s="616" t="str">
        <f>IF(FORM_LANGUAGE=GER,Dictionary!G154,Dictionary!E154)</f>
        <v>Klicken Sie in der oberen Menüleiste auf „Datei“ und dann ganz unten auf „Optionen“.</v>
      </c>
      <c r="E154" t="s">
        <v>3424</v>
      </c>
      <c r="G154" t="s">
        <v>3420</v>
      </c>
      <c r="L154" s="615"/>
      <c r="N154" s="615"/>
      <c r="P154" s="615"/>
      <c r="Q154" s="615"/>
      <c r="R154" s="615"/>
      <c r="S154" s="615"/>
      <c r="T154" s="615"/>
      <c r="U154" s="615"/>
      <c r="V154" s="615"/>
      <c r="W154" s="615"/>
      <c r="X154" s="615"/>
      <c r="Y154" s="615"/>
    </row>
    <row r="155" spans="2:25" ht="32">
      <c r="B155" s="616" t="str">
        <f>IF(FORM_LANGUAGE=GER,Dictionary!G155,Dictionary!E155)</f>
        <v>In den Optionen wählen Sie ganz unten „Trust Center“ aus. Dann klicken Sie auf „Einstellungen für das Trust Center“.</v>
      </c>
      <c r="E155" t="s">
        <v>3425</v>
      </c>
      <c r="G155" t="s">
        <v>3421</v>
      </c>
      <c r="L155" s="615"/>
      <c r="N155" s="615"/>
      <c r="P155" s="615"/>
      <c r="Q155" s="615"/>
      <c r="R155" s="615"/>
      <c r="S155" s="615"/>
      <c r="T155" s="615"/>
      <c r="U155" s="615"/>
      <c r="V155" s="615"/>
      <c r="W155" s="615"/>
      <c r="X155" s="615"/>
      <c r="Y155" s="615"/>
    </row>
    <row r="156" spans="2:25" ht="48">
      <c r="B156" s="616" t="str">
        <f>IF(FORM_LANGUAGE=GER,Dictionary!G156,Dictionary!E156)</f>
        <v>Klicken Sie links auf „Makroeinstellungen“ und setzen Sie den Punkt bei „Alle Makros mit Benachrichtigung deaktivieren“ or "Alle Makros ausser digital signierte Makros deaktivieren".</v>
      </c>
      <c r="E156" s="616" t="s">
        <v>3616</v>
      </c>
      <c r="G156" t="s">
        <v>3617</v>
      </c>
      <c r="L156" s="615"/>
      <c r="N156" s="615"/>
      <c r="P156" s="615"/>
      <c r="Q156" s="615"/>
      <c r="R156" s="615"/>
      <c r="S156" s="615"/>
      <c r="T156" s="615"/>
      <c r="U156" s="615"/>
      <c r="V156" s="615"/>
      <c r="W156" s="615"/>
      <c r="X156" s="615"/>
      <c r="Y156" s="615"/>
    </row>
    <row r="157" spans="2:25" ht="16">
      <c r="B157" s="616" t="str">
        <f>IF(FORM_LANGUAGE=GER,Dictionary!G157,Dictionary!E157)</f>
        <v>Schließen Sie das Fenster, indem Sie unten auf „OK“ klicken.</v>
      </c>
      <c r="E157" s="616" t="s">
        <v>3426</v>
      </c>
      <c r="G157" t="s">
        <v>3422</v>
      </c>
      <c r="L157" s="615"/>
      <c r="N157" s="615"/>
      <c r="P157" s="615"/>
      <c r="Q157" s="615"/>
      <c r="R157" s="615"/>
      <c r="S157" s="615"/>
      <c r="T157" s="615"/>
      <c r="U157" s="615"/>
      <c r="V157" s="615"/>
      <c r="W157" s="615"/>
      <c r="X157" s="615"/>
      <c r="Y157" s="615"/>
    </row>
    <row r="158" spans="2:25" ht="32">
      <c r="B158" s="616" t="str">
        <f>IF(FORM_LANGUAGE=GER,Dictionary!G158,Dictionary!E158)</f>
        <v>Laden Sie die Datei erneut, und aktivieren Sie die Makros im gelben Banner oder im Po-up Fenster.</v>
      </c>
      <c r="E158" t="s">
        <v>3427</v>
      </c>
      <c r="G158" t="s">
        <v>3423</v>
      </c>
      <c r="L158" s="615"/>
      <c r="N158" s="615"/>
      <c r="P158" s="615"/>
      <c r="Q158" s="615"/>
      <c r="R158" s="615"/>
      <c r="S158" s="615"/>
      <c r="T158" s="615"/>
      <c r="U158" s="615"/>
      <c r="V158" s="615"/>
      <c r="W158" s="615"/>
      <c r="X158" s="615"/>
      <c r="Y158" s="615"/>
    </row>
    <row r="159" spans="2:25">
      <c r="L159" s="615"/>
      <c r="N159" s="615"/>
      <c r="P159" s="615"/>
      <c r="Q159" s="615"/>
      <c r="R159" s="615"/>
      <c r="S159" s="615"/>
      <c r="T159" s="615"/>
      <c r="U159" s="615"/>
      <c r="V159" s="615"/>
      <c r="W159" s="615"/>
      <c r="X159" s="615"/>
      <c r="Y159" s="615"/>
    </row>
    <row r="160" spans="2:25">
      <c r="B160" s="2039" t="s">
        <v>959</v>
      </c>
      <c r="C160" s="2039"/>
      <c r="D160" s="2039"/>
      <c r="E160" s="2039"/>
      <c r="F160" s="2039"/>
      <c r="G160" s="2039"/>
    </row>
    <row r="161" spans="2:7">
      <c r="B161" s="627"/>
      <c r="C161" s="628"/>
      <c r="D161" s="628"/>
      <c r="E161" s="627"/>
      <c r="F161" s="628"/>
      <c r="G161" s="627"/>
    </row>
    <row r="162" spans="2:7" ht="16">
      <c r="B162" s="616" t="str">
        <f>IF(FORM_LANGUAGE=GER,Dictionary!G162,Dictionary!E162)</f>
        <v xml:space="preserve"> Leistungsnachweis für IPMA Zertifizierungen</v>
      </c>
      <c r="E162" s="616" t="str">
        <f>COV!D94&amp;" Certification Record of Achievements"</f>
        <v xml:space="preserve"> Certification Record of Achievements</v>
      </c>
      <c r="G162" s="616" t="str">
        <f>COV!D94&amp;" Leistungsnachweis für IPMA Zertifizierungen"</f>
        <v xml:space="preserve"> Leistungsnachweis für IPMA Zertifizierungen</v>
      </c>
    </row>
    <row r="163" spans="2:7" ht="16">
      <c r="B163" s="616" t="str">
        <f>IF(FORM_LANGUAGE=GER,Dictionary!G163,Dictionary!E163)</f>
        <v xml:space="preserve">Nachname: </v>
      </c>
      <c r="E163" s="616" t="s">
        <v>946</v>
      </c>
      <c r="G163" s="616" t="s">
        <v>4148</v>
      </c>
    </row>
    <row r="164" spans="2:7" ht="16">
      <c r="B164" s="616" t="str">
        <f>IF(FORM_LANGUAGE=GER,Dictionary!G164,Dictionary!E164)</f>
        <v xml:space="preserve">Vorname: </v>
      </c>
      <c r="E164" s="616" t="s">
        <v>4147</v>
      </c>
      <c r="G164" s="616" t="s">
        <v>943</v>
      </c>
    </row>
    <row r="165" spans="2:7" ht="16">
      <c r="B165" s="616" t="str">
        <f>IF(FORM_LANGUAGE=GER,Dictionary!G165,Dictionary!E165)</f>
        <v xml:space="preserve">Geburtsdatum: </v>
      </c>
      <c r="E165" s="616" t="s">
        <v>947</v>
      </c>
      <c r="G165" s="616" t="s">
        <v>944</v>
      </c>
    </row>
    <row r="166" spans="2:7" ht="16">
      <c r="B166" s="616" t="str">
        <f>IF(FORM_LANGUAGE=GER,Dictionary!G166,Dictionary!E166)</f>
        <v xml:space="preserve">Art der Anmeldung: </v>
      </c>
      <c r="E166" s="616" t="s">
        <v>948</v>
      </c>
      <c r="G166" s="616" t="s">
        <v>945</v>
      </c>
    </row>
    <row r="167" spans="2:7" ht="16">
      <c r="B167" s="616" t="str">
        <f>IF(FORM_LANGUAGE=GER,Dictionary!G167,Dictionary!E167)</f>
        <v xml:space="preserve">Datum der Anmeldung: </v>
      </c>
      <c r="E167" s="616" t="s">
        <v>949</v>
      </c>
      <c r="G167" s="616" t="s">
        <v>2304</v>
      </c>
    </row>
    <row r="168" spans="2:7" ht="16">
      <c r="B168" s="616" t="str">
        <f>IF(FORM_LANGUAGE=GER,Dictionary!G168,Dictionary!E168)</f>
        <v xml:space="preserve">Datum der Zertifizierung: </v>
      </c>
      <c r="E168" s="616" t="s">
        <v>950</v>
      </c>
      <c r="G168" s="616" t="s">
        <v>953</v>
      </c>
    </row>
    <row r="169" spans="2:7" ht="16">
      <c r="B169" s="616" t="str">
        <f>IF(FORM_LANGUAGE=GER,Dictionary!G169,Dictionary!E169)</f>
        <v xml:space="preserve">Zertifikat gültig bis: </v>
      </c>
      <c r="E169" s="616" t="s">
        <v>1018</v>
      </c>
      <c r="G169" s="616" t="s">
        <v>1019</v>
      </c>
    </row>
    <row r="170" spans="2:7" ht="16">
      <c r="B170" s="616" t="str">
        <f>IF(FORM_LANGUAGE=GER,Dictionary!G170,Dictionary!E170)</f>
        <v xml:space="preserve">Frühestes Datum für PM-Erfahrung: </v>
      </c>
      <c r="E170" s="616" t="s">
        <v>951</v>
      </c>
      <c r="G170" s="616" t="s">
        <v>954</v>
      </c>
    </row>
    <row r="171" spans="2:7" ht="16">
      <c r="B171" s="616" t="str">
        <f>IF(FORM_LANGUAGE=GER,Dictionary!G171,Dictionary!E171)</f>
        <v xml:space="preserve">Nächstes Re-Zertifizierungsdatum: </v>
      </c>
      <c r="E171" s="616" t="s">
        <v>952</v>
      </c>
      <c r="G171" s="616" t="s">
        <v>955</v>
      </c>
    </row>
    <row r="173" spans="2:7" ht="16">
      <c r="B173" s="616" t="str">
        <f>IF(FORM_LANGUAGE=GER,Dictionary!G173,Dictionary!E173)</f>
        <v xml:space="preserve">Antrag auf Level: </v>
      </c>
      <c r="E173" s="616" t="s">
        <v>715</v>
      </c>
      <c r="G173" s="616" t="s">
        <v>965</v>
      </c>
    </row>
    <row r="174" spans="2:7" ht="16">
      <c r="B174" s="616" t="str">
        <f>IF(FORM_LANGUAGE=GER,Dictionary!G174,Dictionary!E174)</f>
        <v xml:space="preserve">Antrag auf Domäne: </v>
      </c>
      <c r="E174" s="616" t="s">
        <v>967</v>
      </c>
      <c r="G174" s="616" t="s">
        <v>968</v>
      </c>
    </row>
    <row r="175" spans="2:7" ht="16">
      <c r="B175" s="616" t="str">
        <f>IF(FORM_LANGUAGE=GER,Dictionary!G175,Dictionary!E175)</f>
        <v xml:space="preserve">Betrachtungszeitraum für PM Erfahrung*: </v>
      </c>
      <c r="E175" s="616" t="s">
        <v>2307</v>
      </c>
      <c r="G175" s="616" t="s">
        <v>2308</v>
      </c>
    </row>
    <row r="176" spans="2:7" ht="32">
      <c r="B176" s="616" t="str">
        <f>IF(FORM_LANGUAGE=GER,Dictionary!G176,Dictionary!E176)</f>
        <v>*nur Level C-A und Re-Zert. Um eine Verlängerung des Betrachtungszeitraums zu beantragen, müssen Sie die PM-ZERT über alle mildernden Umstände informieren.</v>
      </c>
      <c r="E176" s="616" t="s">
        <v>3416</v>
      </c>
      <c r="G176" s="616" t="s">
        <v>3417</v>
      </c>
    </row>
    <row r="178" spans="2:7" ht="16">
      <c r="B178" s="616" t="str">
        <f>IF(FORM_LANGUAGE=GER,Dictionary!G178,Dictionary!E178)</f>
        <v>Statistik</v>
      </c>
      <c r="E178" s="616" t="s">
        <v>4</v>
      </c>
      <c r="G178" s="616" t="s">
        <v>977</v>
      </c>
    </row>
    <row r="179" spans="2:7" ht="16">
      <c r="B179" s="616" t="str">
        <f>IF(FORM_LANGUAGE=GER,Dictionary!G179,Dictionary!E179)</f>
        <v>Angaben</v>
      </c>
      <c r="E179" s="616" t="s">
        <v>6</v>
      </c>
      <c r="G179" s="616" t="s">
        <v>979</v>
      </c>
    </row>
    <row r="180" spans="2:7" ht="16">
      <c r="B180" s="616" t="str">
        <f>IF(FORM_LANGUAGE=GER,Dictionary!G180,Dictionary!E180)</f>
        <v>Erreichte Werte</v>
      </c>
      <c r="E180" s="616" t="s">
        <v>5</v>
      </c>
      <c r="G180" s="616" t="s">
        <v>978</v>
      </c>
    </row>
    <row r="182" spans="2:7" ht="16">
      <c r="B182" s="616" t="str">
        <f>IF(FORM_LANGUAGE=GER,Dictionary!G182,Dictionary!E182)</f>
        <v>Angegebene Erfahrung:</v>
      </c>
      <c r="E182" s="616" t="s">
        <v>980</v>
      </c>
      <c r="G182" s="616" t="s">
        <v>985</v>
      </c>
    </row>
    <row r="183" spans="2:7" ht="16">
      <c r="B183" s="616" t="str">
        <f>IF(FORM_LANGUAGE=GER,Dictionary!G183,Dictionary!E183)</f>
        <v>Abgelaufene Zeit bis Re-Zert:</v>
      </c>
      <c r="E183" s="616" t="s">
        <v>991</v>
      </c>
      <c r="G183" s="616" t="s">
        <v>986</v>
      </c>
    </row>
    <row r="184" spans="2:7" ht="16">
      <c r="B184" s="616" t="str">
        <f>IF(FORM_LANGUAGE=GER,Dictionary!G184,Dictionary!E184)</f>
        <v xml:space="preserve">Aktiv als PM (min. </v>
      </c>
      <c r="E184" s="616" t="s">
        <v>981</v>
      </c>
      <c r="G184" s="616" t="s">
        <v>987</v>
      </c>
    </row>
    <row r="185" spans="2:7" ht="16">
      <c r="B185" s="616" t="str">
        <f>IF(FORM_LANGUAGE=GER,Dictionary!G185,Dictionary!E185)</f>
        <v xml:space="preserve"> Monate):</v>
      </c>
      <c r="E185" s="616" t="s">
        <v>982</v>
      </c>
      <c r="G185" s="616" t="s">
        <v>988</v>
      </c>
    </row>
    <row r="186" spans="2:7" ht="16">
      <c r="B186" s="616" t="str">
        <f>IF(FORM_LANGUAGE=GER,Dictionary!G186,Dictionary!E186)</f>
        <v>Angabe für Zertifizierung:</v>
      </c>
      <c r="E186" s="616" t="s">
        <v>983</v>
      </c>
      <c r="G186" s="616" t="s">
        <v>989</v>
      </c>
    </row>
    <row r="187" spans="2:7" ht="16">
      <c r="B187" s="616" t="str">
        <f>IF(FORM_LANGUAGE=GER,Dictionary!G187,Dictionary!E187)</f>
        <v>Gesamt-Weiterbildung für Re-Zert Periode:</v>
      </c>
      <c r="E187" s="616" t="s">
        <v>984</v>
      </c>
      <c r="G187" s="616" t="s">
        <v>990</v>
      </c>
    </row>
    <row r="188" spans="2:7" ht="16">
      <c r="B188" s="616" t="str">
        <f>IF(FORM_LANGUAGE=GER,Dictionary!G188,Dictionary!E188)</f>
        <v xml:space="preserve"> von min.</v>
      </c>
      <c r="E188" s="616" t="s">
        <v>992</v>
      </c>
      <c r="G188" s="616" t="s">
        <v>995</v>
      </c>
    </row>
    <row r="189" spans="2:7" ht="16">
      <c r="B189" s="616" t="str">
        <f>IF(FORM_LANGUAGE=GER,Dictionary!G189,Dictionary!E189)</f>
        <v xml:space="preserve"> Monaten</v>
      </c>
      <c r="E189" s="616" t="s">
        <v>993</v>
      </c>
      <c r="G189" s="616" t="s">
        <v>996</v>
      </c>
    </row>
    <row r="190" spans="2:7" ht="16">
      <c r="B190" s="616" t="str">
        <f>IF(FORM_LANGUAGE=GER,Dictionary!G190,Dictionary!E190)</f>
        <v xml:space="preserve"> von 60 Monaten</v>
      </c>
      <c r="E190" s="616" t="s">
        <v>994</v>
      </c>
      <c r="G190" s="616" t="s">
        <v>997</v>
      </c>
    </row>
    <row r="191" spans="2:7" ht="16">
      <c r="B191" s="616" t="str">
        <f>IF(FORM_LANGUAGE=GER,Dictionary!G191,Dictionary!E191)</f>
        <v xml:space="preserve"> Monate aktiv als PM</v>
      </c>
      <c r="E191" s="616" t="s">
        <v>998</v>
      </c>
      <c r="G191" s="616" t="s">
        <v>1003</v>
      </c>
    </row>
    <row r="192" spans="2:7" ht="16">
      <c r="B192" s="616" t="str">
        <f>IF(FORM_LANGUAGE=GER,Dictionary!G192,Dictionary!E192)</f>
        <v xml:space="preserve"> von </v>
      </c>
      <c r="E192" s="616" t="s">
        <v>1001</v>
      </c>
      <c r="G192" s="616" t="s">
        <v>1000</v>
      </c>
    </row>
    <row r="193" spans="2:7" ht="16">
      <c r="B193" s="616" t="str">
        <f>IF(FORM_LANGUAGE=GER,Dictionary!G193,Dictionary!E193)</f>
        <v xml:space="preserve"> von 175 Std.</v>
      </c>
      <c r="E193" s="616" t="s">
        <v>999</v>
      </c>
      <c r="G193" s="616" t="s">
        <v>1002</v>
      </c>
    </row>
    <row r="194" spans="2:7" ht="16">
      <c r="B194" s="616" t="str">
        <f>IF(FORM_LANGUAGE=GER,Dictionary!G194,Dictionary!E194)</f>
        <v>Weiterbildung pro Jahr (inkl. Anrechnung für PM)</v>
      </c>
      <c r="E194" s="616" t="s">
        <v>1004</v>
      </c>
      <c r="G194" s="616" t="s">
        <v>1007</v>
      </c>
    </row>
    <row r="195" spans="2:7" ht="16">
      <c r="B195" s="616" t="str">
        <f>IF(FORM_LANGUAGE=GER,Dictionary!G195,Dictionary!E195)</f>
        <v xml:space="preserve">Weiterbildung für Jahr </v>
      </c>
      <c r="E195" s="616" t="s">
        <v>1005</v>
      </c>
      <c r="G195" s="616" t="s">
        <v>1008</v>
      </c>
    </row>
    <row r="196" spans="2:7" ht="16">
      <c r="B196" s="616" t="str">
        <f>IF(FORM_LANGUAGE=GER,Dictionary!G196,Dictionary!E196)</f>
        <v xml:space="preserve"> von 35 Std.</v>
      </c>
      <c r="E196" s="616" t="s">
        <v>1006</v>
      </c>
      <c r="G196" s="616" t="s">
        <v>3476</v>
      </c>
    </row>
    <row r="198" spans="2:7" ht="16">
      <c r="B198" s="616" t="str">
        <f>IF(FORM_LANGUAGE=GER,Dictionary!G198,Dictionary!E198)</f>
        <v>Erstzertifizierung</v>
      </c>
      <c r="E198" s="616" t="s">
        <v>1009</v>
      </c>
      <c r="G198" s="616" t="s">
        <v>3722</v>
      </c>
    </row>
    <row r="199" spans="2:7" ht="16">
      <c r="B199" s="616" t="str">
        <f>IF(FORM_LANGUAGE=GER,Dictionary!G199,Dictionary!E199)</f>
        <v>Höherzertifizierung</v>
      </c>
      <c r="E199" s="616" t="s">
        <v>1084</v>
      </c>
      <c r="G199" s="616" t="s">
        <v>3723</v>
      </c>
    </row>
    <row r="200" spans="2:7" ht="16">
      <c r="B200" s="616" t="str">
        <f>IF(FORM_LANGUAGE=GER,Dictionary!G200,Dictionary!E200)</f>
        <v>Rezertifizierung</v>
      </c>
      <c r="E200" s="616" t="s">
        <v>1010</v>
      </c>
      <c r="G200" s="616" t="s">
        <v>3724</v>
      </c>
    </row>
    <row r="201" spans="2:7" ht="16">
      <c r="B201" s="616" t="str">
        <f>IF(FORM_LANGUAGE=GER,Dictionary!G201,Dictionary!E201)</f>
        <v>Erstzertifizierung</v>
      </c>
      <c r="E201" s="616" t="s">
        <v>1009</v>
      </c>
      <c r="G201" s="616" t="s">
        <v>3722</v>
      </c>
    </row>
    <row r="202" spans="2:7" ht="16">
      <c r="B202" s="616" t="str">
        <f>IF(FORM_LANGUAGE=GER,Dictionary!G202,Dictionary!E202)</f>
        <v>Höherzertifizierung</v>
      </c>
      <c r="E202" s="616" t="s">
        <v>1084</v>
      </c>
      <c r="G202" s="616" t="s">
        <v>3723</v>
      </c>
    </row>
    <row r="203" spans="2:7" ht="16">
      <c r="B203" s="616" t="str">
        <f>IF(FORM_LANGUAGE=GER,Dictionary!G203,Dictionary!E203)</f>
        <v>Rezertifizierung</v>
      </c>
      <c r="E203" s="616" t="s">
        <v>1010</v>
      </c>
      <c r="G203" s="616" t="s">
        <v>3724</v>
      </c>
    </row>
    <row r="206" spans="2:7" ht="16">
      <c r="B206" s="616" t="str">
        <f>IF(FORM_LANGUAGE=GER,Dictionary!G206,Dictionary!E206)</f>
        <v>DECKBLATT BITTE VOLLSTÄNDIG AUSFÜLLEN!</v>
      </c>
      <c r="E206" s="616" t="s">
        <v>956</v>
      </c>
      <c r="G206" s="616" t="s">
        <v>960</v>
      </c>
    </row>
    <row r="207" spans="2:7" ht="16">
      <c r="B207" s="616" t="str">
        <f>IF(FORM_LANGUAGE=GER,Dictionary!G207,Dictionary!E207)</f>
        <v xml:space="preserve">ZERTIFIKAT ABGELAUFEN. RE-ZERT ZEITRAUM LÄUFT AB AM </v>
      </c>
      <c r="E207" s="616" t="s">
        <v>957</v>
      </c>
      <c r="G207" s="616" t="s">
        <v>961</v>
      </c>
    </row>
    <row r="208" spans="2:7" ht="16">
      <c r="B208" s="616" t="str">
        <f>IF(FORM_LANGUAGE=GER,Dictionary!G208,Dictionary!E208)</f>
        <v>ZERTIFIKAT ABGELAUFEN. BITTE KONTAKTIEREN SIE DIE PM-ZERT.</v>
      </c>
      <c r="E208" s="616" t="s">
        <v>963</v>
      </c>
      <c r="G208" s="616" t="s">
        <v>962</v>
      </c>
    </row>
    <row r="209" spans="2:7" ht="16">
      <c r="B209" s="616" t="str">
        <f>IF(FORM_LANGUAGE=GER,Dictionary!G209,Dictionary!E209)</f>
        <v>BITTE GEBEN SIE VOR ABGABE EIN ZERTIFIZIEUNGSDATUM AN!</v>
      </c>
      <c r="E209" s="616" t="s">
        <v>958</v>
      </c>
      <c r="G209" s="616" t="s">
        <v>964</v>
      </c>
    </row>
    <row r="210" spans="2:7" ht="16">
      <c r="B210" s="616" t="str">
        <f>IF(FORM_LANGUAGE=GER,Dictionary!G210,Dictionary!E210)</f>
        <v>Achtung: Wenn Sie Arbeitsblätter löschen oder manipulieren, wird die Datei ungültig!</v>
      </c>
      <c r="E210" s="616" t="s">
        <v>3753</v>
      </c>
      <c r="G210" s="616" t="s">
        <v>3754</v>
      </c>
    </row>
    <row r="211" spans="2:7" ht="16">
      <c r="B211" s="616" t="str">
        <f>IF(FORM_LANGUAGE=GER,Dictionary!G211,Dictionary!E211)</f>
        <v>ARBEITSMAPPE BESCHÄDIGT ODER MANIPULIERT. DATEI UNGÜLTIG!</v>
      </c>
      <c r="E211" s="616" t="s">
        <v>3694</v>
      </c>
      <c r="G211" s="616" t="s">
        <v>3693</v>
      </c>
    </row>
    <row r="212" spans="2:7" ht="16">
      <c r="B212" s="616" t="str">
        <f>IF(FORM_LANGUAGE=GER,Dictionary!G212,Dictionary!E212)</f>
        <v>MACRO FUNKTIONEN NICHT VERFÜGBAR!  (Neuberechnung für neue Überprüfung)</v>
      </c>
      <c r="E212" s="616" t="s">
        <v>4141</v>
      </c>
      <c r="G212" s="616" t="s">
        <v>4142</v>
      </c>
    </row>
    <row r="213" spans="2:7" ht="16">
      <c r="B213" s="616" t="str">
        <f>IF(FORM_LANGUAGE=GER,Dictionary!G213,Dictionary!E213)</f>
        <v>Auswahl aktualisieren!</v>
      </c>
      <c r="E213" s="616" t="s">
        <v>2867</v>
      </c>
      <c r="G213" s="616" t="s">
        <v>2866</v>
      </c>
    </row>
    <row r="214" spans="2:7" ht="16">
      <c r="B214" s="616" t="str">
        <f>IF(FORM_LANGUAGE=GER,Dictionary!G214,Dictionary!E214)</f>
        <v>Level auswählen</v>
      </c>
      <c r="E214" s="616" t="s">
        <v>3356</v>
      </c>
      <c r="G214" s="616" t="s">
        <v>3357</v>
      </c>
    </row>
    <row r="215" spans="2:7" ht="16">
      <c r="B215" s="616" t="str">
        <f>IF(FORM_LANGUAGE=GER,Dictionary!G215,Dictionary!E215)</f>
        <v>nur für die Zertifizierungsstelle und Assessoren</v>
      </c>
      <c r="E215" s="616" t="s">
        <v>1012</v>
      </c>
      <c r="G215" s="616" t="s">
        <v>3477</v>
      </c>
    </row>
    <row r="216" spans="2:7" ht="16">
      <c r="B216" s="616" t="str">
        <f>IF(FORM_LANGUAGE=GER,Dictionary!G216,Dictionary!E216)</f>
        <v>Aktueller Status</v>
      </c>
      <c r="E216" s="616" t="s">
        <v>3479</v>
      </c>
      <c r="G216" s="616" t="s">
        <v>3478</v>
      </c>
    </row>
    <row r="217" spans="2:7" ht="16">
      <c r="B217" s="616" t="str">
        <f>IF(FORM_LANGUAGE=GER,Dictionary!G217,Dictionary!E217)</f>
        <v>Datum:</v>
      </c>
      <c r="E217" s="616" t="s">
        <v>3440</v>
      </c>
      <c r="G217" s="616" t="s">
        <v>3441</v>
      </c>
    </row>
    <row r="218" spans="2:7" ht="16">
      <c r="B218" s="616" t="str">
        <f>IF(FORM_LANGUAGE=GER,Dictionary!G218,Dictionary!E218)</f>
        <v>Zert. Nummer:</v>
      </c>
      <c r="E218" s="616" t="s">
        <v>3444</v>
      </c>
      <c r="G218" s="616" t="s">
        <v>3445</v>
      </c>
    </row>
    <row r="219" spans="2:7" ht="16">
      <c r="B219" s="616" t="str">
        <f>IF(FORM_LANGUAGE=GER,Dictionary!G219,Dictionary!E219)</f>
        <v>Prozessschritt:</v>
      </c>
      <c r="E219" s="616" t="s">
        <v>3442</v>
      </c>
      <c r="G219" s="616" t="s">
        <v>3443</v>
      </c>
    </row>
    <row r="220" spans="2:7" ht="16">
      <c r="B220" s="616" t="str">
        <f>IF(FORM_LANGUAGE=GER,Dictionary!G220,Dictionary!E220)</f>
        <v>Ergebnis:</v>
      </c>
      <c r="E220" s="616" t="s">
        <v>3480</v>
      </c>
      <c r="G220" s="616" t="s">
        <v>3481</v>
      </c>
    </row>
    <row r="221" spans="2:7" ht="16">
      <c r="B221" s="616" t="str">
        <f>IF(FORM_LANGUAGE=GER,Dictionary!G221,Dictionary!E221)</f>
        <v>Ort:</v>
      </c>
      <c r="E221" s="616" t="s">
        <v>291</v>
      </c>
      <c r="G221" s="616" t="s">
        <v>1013</v>
      </c>
    </row>
    <row r="222" spans="2:7" ht="16">
      <c r="B222" s="616" t="str">
        <f>IF(FORM_LANGUAGE=GER,Dictionary!G222,Dictionary!E222)</f>
        <v>Verlängerung des Bewertungszeitr.:</v>
      </c>
      <c r="E222" s="616" t="s">
        <v>1011</v>
      </c>
      <c r="G222" s="616" t="s">
        <v>2793</v>
      </c>
    </row>
    <row r="223" spans="2:7" ht="16">
      <c r="B223" s="616" t="str">
        <f>IF(FORM_LANGUAGE=GER,Dictionary!G223,Dictionary!E223)</f>
        <v>Anerkannte PM Erfahrung (Monate):</v>
      </c>
      <c r="E223" s="616" t="s">
        <v>1014</v>
      </c>
      <c r="G223" s="616" t="s">
        <v>1015</v>
      </c>
    </row>
    <row r="224" spans="2:7" ht="16">
      <c r="B224" s="616" t="str">
        <f>IF(FORM_LANGUAGE=GER,Dictionary!G224,Dictionary!E224)</f>
        <v>Status:</v>
      </c>
      <c r="E224" s="616" t="s">
        <v>486</v>
      </c>
      <c r="G224" s="616" t="s">
        <v>486</v>
      </c>
    </row>
    <row r="225" spans="2:7" ht="16">
      <c r="B225" s="616" t="str">
        <f>IF(FORM_LANGUAGE=GER,Dictionary!G225,Dictionary!E225)</f>
        <v>Bemerkungen:</v>
      </c>
      <c r="E225" s="616" t="s">
        <v>1017</v>
      </c>
      <c r="G225" s="616" t="s">
        <v>1016</v>
      </c>
    </row>
    <row r="227" spans="2:7" ht="16">
      <c r="B227" s="616" t="str">
        <f>IF(FORM_LANGUAGE=GER,Dictionary!G227,Dictionary!E227)</f>
        <v>Projektbewertungszeitraum (Jahre)</v>
      </c>
      <c r="E227" s="629" t="s">
        <v>489</v>
      </c>
      <c r="F227" s="630"/>
      <c r="G227" s="616" t="s">
        <v>1160</v>
      </c>
    </row>
    <row r="228" spans="2:7" ht="16">
      <c r="B228" s="616" t="str">
        <f>IF(FORM_LANGUAGE=GER,Dictionary!G228,Dictionary!E228)</f>
        <v>Standard</v>
      </c>
      <c r="E228" s="629" t="s">
        <v>488</v>
      </c>
      <c r="F228" s="631"/>
      <c r="G228" s="616" t="s">
        <v>488</v>
      </c>
    </row>
    <row r="229" spans="2:7" ht="16">
      <c r="B229" s="616" t="str">
        <f>IF(FORM_LANGUAGE=GER,Dictionary!G229,Dictionary!E229)</f>
        <v>Erweitert</v>
      </c>
      <c r="E229" s="629" t="s">
        <v>1161</v>
      </c>
      <c r="F229" s="631"/>
      <c r="G229" s="616" t="s">
        <v>1162</v>
      </c>
    </row>
    <row r="230" spans="2:7" ht="16">
      <c r="B230" s="616" t="str">
        <f>IF(FORM_LANGUAGE=GER,Dictionary!G230,Dictionary!E230)</f>
        <v>Monate</v>
      </c>
      <c r="E230" s="616" t="s">
        <v>492</v>
      </c>
      <c r="F230" s="631"/>
      <c r="G230" s="616" t="s">
        <v>1163</v>
      </c>
    </row>
    <row r="231" spans="2:7" ht="16">
      <c r="B231" s="616" t="str">
        <f>IF(FORM_LANGUAGE=GER,Dictionary!G231,Dictionary!E231)</f>
        <v>Gewährt</v>
      </c>
      <c r="E231" s="629" t="s">
        <v>490</v>
      </c>
      <c r="F231" s="630"/>
      <c r="G231" s="616" t="s">
        <v>1164</v>
      </c>
    </row>
    <row r="232" spans="2:7" ht="16">
      <c r="B232" s="616" t="str">
        <f>IF(FORM_LANGUAGE=GER,Dictionary!G232,Dictionary!E232)</f>
        <v>Abgelehnt</v>
      </c>
      <c r="E232" s="629" t="s">
        <v>491</v>
      </c>
      <c r="F232" s="630"/>
      <c r="G232" s="616" t="s">
        <v>1165</v>
      </c>
    </row>
    <row r="233" spans="2:7" ht="16">
      <c r="B233" s="616" t="str">
        <f>IF(FORM_LANGUAGE=GER,Dictionary!G233,Dictionary!E233)</f>
        <v>Nicht zutreffend</v>
      </c>
      <c r="E233" s="629" t="s">
        <v>493</v>
      </c>
      <c r="F233" s="630"/>
      <c r="G233" s="616" t="s">
        <v>1166</v>
      </c>
    </row>
    <row r="234" spans="2:7" ht="16">
      <c r="B234" s="616" t="str">
        <f>IF(FORM_LANGUAGE=GER,Dictionary!G234,Dictionary!E234)</f>
        <v>Zu bewerten</v>
      </c>
      <c r="E234" s="629" t="s">
        <v>494</v>
      </c>
      <c r="F234" s="630"/>
      <c r="G234" s="616" t="s">
        <v>1167</v>
      </c>
    </row>
    <row r="235" spans="2:7">
      <c r="E235" s="632"/>
      <c r="F235" s="631"/>
    </row>
    <row r="236" spans="2:7" ht="16">
      <c r="B236" s="616" t="str">
        <f>IF(FORM_LANGUAGE=GER,Dictionary!G236,Dictionary!E236)</f>
        <v>Keine Bewertung vorhanden</v>
      </c>
      <c r="E236" s="632" t="s">
        <v>1279</v>
      </c>
      <c r="F236" s="631"/>
      <c r="G236" s="616" t="s">
        <v>1282</v>
      </c>
    </row>
    <row r="237" spans="2:7" ht="16">
      <c r="B237" s="616" t="str">
        <f>IF(FORM_LANGUAGE=GER,Dictionary!G237,Dictionary!E237)</f>
        <v>Neue Bewertung</v>
      </c>
      <c r="E237" s="632" t="s">
        <v>1280</v>
      </c>
      <c r="F237" s="631"/>
      <c r="G237" s="616" t="s">
        <v>1283</v>
      </c>
    </row>
    <row r="238" spans="2:7" ht="16">
      <c r="B238" s="616" t="str">
        <f>IF(FORM_LANGUAGE=GER,Dictionary!G238,Dictionary!E238)</f>
        <v xml:space="preserve">, mit anerkannter Kompetenz in </v>
      </c>
      <c r="E238" s="632" t="s">
        <v>1281</v>
      </c>
      <c r="F238" s="631"/>
      <c r="G238" s="616" t="s">
        <v>1284</v>
      </c>
    </row>
    <row r="239" spans="2:7">
      <c r="E239" s="629"/>
      <c r="F239" s="633"/>
      <c r="G239" s="621"/>
    </row>
    <row r="240" spans="2:7" ht="16">
      <c r="B240" s="616" t="str">
        <f>IF(FORM_LANGUAGE=GER,Dictionary!G240,Dictionary!E240)</f>
        <v>Stattgegeben</v>
      </c>
      <c r="E240" s="629" t="s">
        <v>490</v>
      </c>
      <c r="F240" s="633"/>
      <c r="G240" s="616" t="s">
        <v>2794</v>
      </c>
    </row>
    <row r="241" spans="2:7" ht="16">
      <c r="B241" s="616" t="str">
        <f>IF(FORM_LANGUAGE=GER,Dictionary!G241,Dictionary!E241)</f>
        <v>Abgelehnt</v>
      </c>
      <c r="E241" s="629" t="s">
        <v>491</v>
      </c>
      <c r="F241" s="633"/>
      <c r="G241" s="616" t="s">
        <v>1165</v>
      </c>
    </row>
    <row r="242" spans="2:7" ht="16">
      <c r="B242" s="616" t="str">
        <f>IF(FORM_LANGUAGE=GER,Dictionary!G242,Dictionary!E242)</f>
        <v>Nicht relevant</v>
      </c>
      <c r="E242" s="629" t="s">
        <v>493</v>
      </c>
      <c r="F242" s="633"/>
      <c r="G242" s="616" t="s">
        <v>1987</v>
      </c>
    </row>
    <row r="243" spans="2:7" ht="16">
      <c r="B243" s="616" t="str">
        <f>IF(FORM_LANGUAGE=GER,Dictionary!G243,Dictionary!E243)</f>
        <v>Noch zu bestimmen</v>
      </c>
      <c r="E243" s="629" t="s">
        <v>494</v>
      </c>
      <c r="F243" s="633"/>
      <c r="G243" s="616" t="s">
        <v>2795</v>
      </c>
    </row>
    <row r="244" spans="2:7">
      <c r="E244" s="629"/>
      <c r="F244" s="633"/>
    </row>
    <row r="245" spans="2:7" ht="16">
      <c r="B245" s="616" t="str">
        <f>IF(FORM_LANGUAGE=GER,Dictionary!G245,Dictionary!E245)</f>
        <v>Rechnungsanschrift</v>
      </c>
      <c r="E245" s="629" t="s">
        <v>2877</v>
      </c>
      <c r="F245" s="633"/>
      <c r="G245" s="616" t="s">
        <v>2876</v>
      </c>
    </row>
    <row r="246" spans="2:7" ht="16">
      <c r="B246" s="616" t="str">
        <f>IF(FORM_LANGUAGE=GER,Dictionary!G246,Dictionary!E246)</f>
        <v>Gleiche Anschrift wie in der Anmeldung</v>
      </c>
      <c r="E246" s="629" t="s">
        <v>2878</v>
      </c>
      <c r="F246" s="633"/>
      <c r="G246" s="616" t="s">
        <v>2879</v>
      </c>
    </row>
    <row r="247" spans="2:7" ht="16">
      <c r="B247" s="616" t="str">
        <f>IF(FORM_LANGUAGE=GER,Dictionary!G247,Dictionary!E247)</f>
        <v>Abweichende Anschrift</v>
      </c>
      <c r="E247" s="629" t="s">
        <v>3230</v>
      </c>
      <c r="F247" s="633"/>
      <c r="G247" s="616" t="s">
        <v>3226</v>
      </c>
    </row>
    <row r="248" spans="2:7" ht="16">
      <c r="B248" s="616" t="str">
        <f>IF(FORM_LANGUAGE=GER,Dictionary!G248,Dictionary!E248)</f>
        <v>Bitte abweichende Adressangaben vollständig ausfüllen (Formblatt ADR)!</v>
      </c>
      <c r="E248" s="629" t="s">
        <v>3584</v>
      </c>
      <c r="F248" s="633"/>
      <c r="G248" s="616" t="s">
        <v>3585</v>
      </c>
    </row>
    <row r="249" spans="2:7">
      <c r="E249" s="629"/>
      <c r="F249" s="633"/>
    </row>
    <row r="250" spans="2:7" ht="16">
      <c r="B250" s="616" t="str">
        <f>IF(FORM_LANGUAGE=GER,Dictionary!G250,Dictionary!E250)</f>
        <v>Zulassung</v>
      </c>
      <c r="E250" s="629" t="s">
        <v>3446</v>
      </c>
      <c r="F250" s="633"/>
      <c r="G250" s="629" t="s">
        <v>3460</v>
      </c>
    </row>
    <row r="251" spans="2:7" ht="16">
      <c r="B251" s="616" t="str">
        <f>IF(FORM_LANGUAGE=GER,Dictionary!G251,Dictionary!E251)</f>
        <v>Zulassung 2</v>
      </c>
      <c r="E251" s="629" t="s">
        <v>3447</v>
      </c>
      <c r="F251" s="633"/>
      <c r="G251" s="629" t="s">
        <v>3461</v>
      </c>
    </row>
    <row r="252" spans="2:7" ht="16">
      <c r="B252" s="616" t="str">
        <f>IF(FORM_LANGUAGE=GER,Dictionary!G252,Dictionary!E252)</f>
        <v>Zulassung 3 (mit Erlaubnis)</v>
      </c>
      <c r="E252" s="629" t="s">
        <v>3448</v>
      </c>
      <c r="F252" s="633"/>
      <c r="G252" s="629" t="s">
        <v>3464</v>
      </c>
    </row>
    <row r="253" spans="2:7" ht="16">
      <c r="B253" s="616" t="str">
        <f>IF(FORM_LANGUAGE=GER,Dictionary!G253,Dictionary!E253)</f>
        <v>Zulassung (CA)</v>
      </c>
      <c r="E253" s="629" t="s">
        <v>3931</v>
      </c>
      <c r="F253" s="633"/>
      <c r="G253" s="629" t="s">
        <v>3934</v>
      </c>
    </row>
    <row r="254" spans="2:7" ht="16">
      <c r="B254" s="616" t="str">
        <f>IF(FORM_LANGUAGE=GER,Dictionary!G254,Dictionary!E254)</f>
        <v>Zulassung 2 (CA)</v>
      </c>
      <c r="E254" s="629" t="s">
        <v>3932</v>
      </c>
      <c r="F254" s="633"/>
      <c r="G254" s="629" t="s">
        <v>3935</v>
      </c>
    </row>
    <row r="255" spans="2:7" ht="16">
      <c r="B255" s="616" t="str">
        <f>IF(FORM_LANGUAGE=GER,Dictionary!G255,Dictionary!E255)</f>
        <v>Zulassung 3 (CA) (mit Erlaubnis)</v>
      </c>
      <c r="E255" s="629" t="s">
        <v>3933</v>
      </c>
      <c r="F255" s="633"/>
      <c r="G255" s="629" t="s">
        <v>3936</v>
      </c>
    </row>
    <row r="256" spans="2:7" ht="16">
      <c r="B256" s="616" t="str">
        <f>IF(FORM_LANGUAGE=GER,Dictionary!G256,Dictionary!E256)</f>
        <v>Report Bewertung</v>
      </c>
      <c r="E256" s="629" t="s">
        <v>3449</v>
      </c>
      <c r="F256" s="633"/>
      <c r="G256" s="629" t="s">
        <v>3465</v>
      </c>
    </row>
    <row r="257" spans="2:7" ht="16">
      <c r="B257" s="616" t="str">
        <f>IF(FORM_LANGUAGE=GER,Dictionary!G257,Dictionary!E257)</f>
        <v>Report Bewertung 2</v>
      </c>
      <c r="E257" s="629" t="s">
        <v>3450</v>
      </c>
      <c r="F257" s="633"/>
      <c r="G257" s="629" t="s">
        <v>3466</v>
      </c>
    </row>
    <row r="258" spans="2:7" ht="16">
      <c r="B258" s="616" t="str">
        <f>IF(FORM_LANGUAGE=GER,Dictionary!G258,Dictionary!E258)</f>
        <v>Report Bewertung 3 (mit Erlaubnis)</v>
      </c>
      <c r="E258" s="629" t="s">
        <v>3451</v>
      </c>
      <c r="F258" s="633"/>
      <c r="G258" s="629" t="s">
        <v>3467</v>
      </c>
    </row>
    <row r="259" spans="2:7" ht="16">
      <c r="B259" s="616" t="str">
        <f>IF(FORM_LANGUAGE=GER,Dictionary!G259,Dictionary!E259)</f>
        <v>Report Bewertung (CA)</v>
      </c>
      <c r="E259" s="629" t="s">
        <v>3937</v>
      </c>
      <c r="F259" s="633"/>
      <c r="G259" s="629" t="s">
        <v>3940</v>
      </c>
    </row>
    <row r="260" spans="2:7" ht="16">
      <c r="B260" s="616" t="str">
        <f>IF(FORM_LANGUAGE=GER,Dictionary!G260,Dictionary!E260)</f>
        <v>Report Bewertung 2 (CA)</v>
      </c>
      <c r="E260" s="629" t="s">
        <v>3938</v>
      </c>
      <c r="F260" s="633"/>
      <c r="G260" s="629" t="s">
        <v>3941</v>
      </c>
    </row>
    <row r="261" spans="2:7" ht="16">
      <c r="B261" s="616" t="str">
        <f>IF(FORM_LANGUAGE=GER,Dictionary!G261,Dictionary!E261)</f>
        <v>Report Bewertung 3 (CA) (mit Erlaubnis)</v>
      </c>
      <c r="E261" s="629" t="s">
        <v>3939</v>
      </c>
      <c r="F261" s="633"/>
      <c r="G261" s="629" t="s">
        <v>3942</v>
      </c>
    </row>
    <row r="262" spans="2:7" ht="16">
      <c r="B262" s="616" t="str">
        <f>IF(FORM_LANGUAGE=GER,Dictionary!G262,Dictionary!E262)</f>
        <v>Prüfungsbewertung</v>
      </c>
      <c r="E262" s="629" t="s">
        <v>3452</v>
      </c>
      <c r="F262" s="633"/>
      <c r="G262" s="629" t="s">
        <v>1924</v>
      </c>
    </row>
    <row r="263" spans="2:7" ht="16">
      <c r="B263" s="616" t="str">
        <f>IF(FORM_LANGUAGE=GER,Dictionary!G263,Dictionary!E263)</f>
        <v>Prüfungsbewertung 2</v>
      </c>
      <c r="E263" s="629" t="s">
        <v>3453</v>
      </c>
      <c r="F263" s="633"/>
      <c r="G263" s="629" t="s">
        <v>3468</v>
      </c>
    </row>
    <row r="264" spans="2:7" ht="16">
      <c r="B264" s="616" t="str">
        <f>IF(FORM_LANGUAGE=GER,Dictionary!G264,Dictionary!E264)</f>
        <v>Prüfungsbewertung 3 (mit Erlaubnis)</v>
      </c>
      <c r="E264" s="629" t="s">
        <v>3454</v>
      </c>
      <c r="F264" s="633"/>
      <c r="G264" s="629" t="s">
        <v>3469</v>
      </c>
    </row>
    <row r="265" spans="2:7" ht="16">
      <c r="B265" s="616" t="str">
        <f>IF(FORM_LANGUAGE=GER,Dictionary!G265,Dictionary!E265)</f>
        <v>CSW-Bewertung</v>
      </c>
      <c r="E265" s="629" t="s">
        <v>3455</v>
      </c>
      <c r="F265" s="633"/>
      <c r="G265" s="629" t="s">
        <v>3462</v>
      </c>
    </row>
    <row r="266" spans="2:7" ht="16">
      <c r="B266" s="616" t="str">
        <f>IF(FORM_LANGUAGE=GER,Dictionary!G266,Dictionary!E266)</f>
        <v>CSW-Bewertung 2</v>
      </c>
      <c r="E266" s="629" t="s">
        <v>3456</v>
      </c>
      <c r="F266" s="633"/>
      <c r="G266" s="629" t="s">
        <v>3470</v>
      </c>
    </row>
    <row r="267" spans="2:7" ht="16">
      <c r="B267" s="616" t="str">
        <f>IF(FORM_LANGUAGE=GER,Dictionary!G267,Dictionary!E267)</f>
        <v>CSW-Bewertung 3 (mit Erlaubnis)</v>
      </c>
      <c r="E267" s="629" t="s">
        <v>3457</v>
      </c>
      <c r="F267" s="633"/>
      <c r="G267" s="629" t="s">
        <v>3471</v>
      </c>
    </row>
    <row r="268" spans="2:7" ht="16">
      <c r="B268" s="616" t="str">
        <f>IF(FORM_LANGUAGE=GER,Dictionary!G268,Dictionary!E268)</f>
        <v>Interview</v>
      </c>
      <c r="E268" s="629" t="s">
        <v>2513</v>
      </c>
      <c r="F268" s="633"/>
      <c r="G268" s="629" t="s">
        <v>2513</v>
      </c>
    </row>
    <row r="269" spans="2:7" ht="16">
      <c r="B269" s="616" t="str">
        <f>IF(FORM_LANGUAGE=GER,Dictionary!G269,Dictionary!E269)</f>
        <v>Interview 2</v>
      </c>
      <c r="E269" s="629" t="s">
        <v>3458</v>
      </c>
      <c r="F269" s="633"/>
      <c r="G269" s="629" t="s">
        <v>3458</v>
      </c>
    </row>
    <row r="270" spans="2:7" ht="16">
      <c r="B270" s="616" t="str">
        <f>IF(FORM_LANGUAGE=GER,Dictionary!G270,Dictionary!E270)</f>
        <v>Interview 3 (mit Erlaubnis)</v>
      </c>
      <c r="E270" s="629" t="s">
        <v>3459</v>
      </c>
      <c r="F270" s="633"/>
      <c r="G270" s="629" t="s">
        <v>3463</v>
      </c>
    </row>
    <row r="271" spans="2:7" ht="16">
      <c r="B271" s="616" t="str">
        <f>IF(FORM_LANGUAGE=GER,Dictionary!G271,Dictionary!E271)</f>
        <v>D1 Prüfungsbewertung</v>
      </c>
      <c r="E271" s="629" t="s">
        <v>3955</v>
      </c>
      <c r="F271" s="633"/>
      <c r="G271" s="629" t="s">
        <v>3958</v>
      </c>
    </row>
    <row r="272" spans="2:7" ht="16">
      <c r="B272" s="616" t="str">
        <f>IF(FORM_LANGUAGE=GER,Dictionary!G272,Dictionary!E272)</f>
        <v>D1 Prüfungsbewertung 2</v>
      </c>
      <c r="E272" s="629" t="s">
        <v>3956</v>
      </c>
      <c r="F272" s="633"/>
      <c r="G272" s="629" t="s">
        <v>3959</v>
      </c>
    </row>
    <row r="273" spans="2:7" ht="16">
      <c r="B273" s="616" t="str">
        <f>IF(FORM_LANGUAGE=GER,Dictionary!G273,Dictionary!E273)</f>
        <v>D1 Prüfungsbewertung 3 (mit Erlaubnis)</v>
      </c>
      <c r="E273" s="629" t="s">
        <v>3957</v>
      </c>
      <c r="F273" s="633"/>
      <c r="G273" s="629" t="s">
        <v>3960</v>
      </c>
    </row>
    <row r="274" spans="2:7" ht="16">
      <c r="B274" s="616" t="str">
        <f>IF(FORM_LANGUAGE=GER,Dictionary!G274,Dictionary!E274)</f>
        <v>D2 Prüfungsbewertung</v>
      </c>
      <c r="E274" s="629" t="s">
        <v>3961</v>
      </c>
      <c r="F274" s="633"/>
      <c r="G274" s="629" t="s">
        <v>3964</v>
      </c>
    </row>
    <row r="275" spans="2:7" ht="16">
      <c r="B275" s="616" t="str">
        <f>IF(FORM_LANGUAGE=GER,Dictionary!G275,Dictionary!E275)</f>
        <v>D2 Prüfungsbewertung 2</v>
      </c>
      <c r="E275" s="629" t="s">
        <v>3962</v>
      </c>
      <c r="F275" s="633"/>
      <c r="G275" s="629" t="s">
        <v>3965</v>
      </c>
    </row>
    <row r="276" spans="2:7" ht="16">
      <c r="B276" s="616" t="str">
        <f>IF(FORM_LANGUAGE=GER,Dictionary!G276,Dictionary!E276)</f>
        <v>D2 Prüfungsbewertung 3 (mit Erlaubnis)</v>
      </c>
      <c r="E276" s="629" t="s">
        <v>3963</v>
      </c>
      <c r="F276" s="633"/>
      <c r="G276" s="629" t="s">
        <v>3966</v>
      </c>
    </row>
    <row r="277" spans="2:7" ht="16">
      <c r="B277" s="616" t="str">
        <f>IF(FORM_LANGUAGE=GER,Dictionary!G277,Dictionary!E277)</f>
        <v>Gespräch mit Kandidat</v>
      </c>
      <c r="E277" s="629" t="s">
        <v>4025</v>
      </c>
      <c r="F277" s="633"/>
      <c r="G277" s="616" t="s">
        <v>4024</v>
      </c>
    </row>
    <row r="278" spans="2:7" ht="16">
      <c r="B278" s="616" t="str">
        <f>IF(FORM_LANGUAGE=GER,Dictionary!G278,Dictionary!E278)</f>
        <v>Auswertungshistorie</v>
      </c>
      <c r="E278" s="629" t="s">
        <v>3472</v>
      </c>
      <c r="F278" s="633"/>
      <c r="G278" s="616" t="s">
        <v>3473</v>
      </c>
    </row>
    <row r="279" spans="2:7">
      <c r="E279" s="629"/>
      <c r="F279" s="633"/>
    </row>
    <row r="280" spans="2:7">
      <c r="E280" s="629"/>
      <c r="F280" s="633"/>
    </row>
    <row r="281" spans="2:7">
      <c r="B281" s="2039" t="s">
        <v>2884</v>
      </c>
      <c r="C281" s="2039"/>
      <c r="D281" s="2039"/>
      <c r="E281" s="2039"/>
      <c r="F281" s="2039"/>
      <c r="G281" s="2039"/>
    </row>
    <row r="282" spans="2:7">
      <c r="B282" s="627"/>
      <c r="C282" s="628"/>
      <c r="D282" s="628"/>
      <c r="E282" s="627"/>
      <c r="F282" s="628"/>
      <c r="G282" s="627"/>
    </row>
    <row r="283" spans="2:7" ht="16">
      <c r="B283" s="616" t="str">
        <f>IF(FORM_LANGUAGE=GER,Dictionary!G283,Dictionary!E283)</f>
        <v>Firma:</v>
      </c>
      <c r="E283" s="616" t="s">
        <v>3197</v>
      </c>
      <c r="G283" s="616" t="s">
        <v>3206</v>
      </c>
    </row>
    <row r="284" spans="2:7" ht="16">
      <c r="B284" s="616" t="str">
        <f>IF(FORM_LANGUAGE=GER,Dictionary!G284,Dictionary!E284)</f>
        <v>Abteilung:</v>
      </c>
      <c r="E284" s="629" t="s">
        <v>3198</v>
      </c>
      <c r="F284" s="633"/>
      <c r="G284" s="616" t="s">
        <v>3207</v>
      </c>
    </row>
    <row r="285" spans="2:7" ht="16">
      <c r="B285" s="616" t="str">
        <f>IF(FORM_LANGUAGE=GER,Dictionary!G285,Dictionary!E285)</f>
        <v>Straße:</v>
      </c>
      <c r="E285" s="629" t="s">
        <v>3199</v>
      </c>
      <c r="F285" s="633"/>
      <c r="G285" s="616" t="s">
        <v>3208</v>
      </c>
    </row>
    <row r="286" spans="2:7" ht="16">
      <c r="B286" s="616" t="str">
        <f>IF(FORM_LANGUAGE=GER,Dictionary!G286,Dictionary!E286)</f>
        <v>Hausnummer:</v>
      </c>
      <c r="E286" s="629" t="s">
        <v>3200</v>
      </c>
      <c r="F286" s="633"/>
      <c r="G286" s="616" t="s">
        <v>3209</v>
      </c>
    </row>
    <row r="287" spans="2:7" ht="16">
      <c r="B287" s="616" t="str">
        <f>IF(FORM_LANGUAGE=GER,Dictionary!G287,Dictionary!E287)</f>
        <v>PLZ:</v>
      </c>
      <c r="E287" s="629" t="s">
        <v>3201</v>
      </c>
      <c r="F287" s="633"/>
      <c r="G287" s="616" t="s">
        <v>3210</v>
      </c>
    </row>
    <row r="288" spans="2:7" ht="16">
      <c r="B288" s="616" t="str">
        <f>IF(FORM_LANGUAGE=GER,Dictionary!G288,Dictionary!E288)</f>
        <v>Ort:</v>
      </c>
      <c r="E288" s="629" t="s">
        <v>3202</v>
      </c>
      <c r="F288" s="633"/>
      <c r="G288" s="616" t="s">
        <v>1013</v>
      </c>
    </row>
    <row r="289" spans="2:7" ht="16">
      <c r="B289" s="616" t="str">
        <f>IF(FORM_LANGUAGE=GER,Dictionary!G289,Dictionary!E289)</f>
        <v>Land:</v>
      </c>
      <c r="E289" s="629" t="s">
        <v>3203</v>
      </c>
      <c r="F289" s="633"/>
      <c r="G289" s="616" t="s">
        <v>3211</v>
      </c>
    </row>
    <row r="290" spans="2:7" ht="16">
      <c r="B290" s="616" t="str">
        <f>IF(FORM_LANGUAGE=GER,Dictionary!G290,Dictionary!E290)</f>
        <v>Bestellnummer (falls vorhanden):</v>
      </c>
      <c r="E290" s="629" t="s">
        <v>3204</v>
      </c>
      <c r="F290" s="633"/>
      <c r="G290" s="616" t="s">
        <v>3212</v>
      </c>
    </row>
    <row r="291" spans="2:7" ht="16">
      <c r="B291" s="616" t="str">
        <f>IF(FORM_LANGUAGE=GER,Dictionary!G291,Dictionary!E291)</f>
        <v>GPM-Mitgliedsnummer (falls vorhanden):</v>
      </c>
      <c r="E291" s="629" t="s">
        <v>3205</v>
      </c>
      <c r="F291" s="633"/>
      <c r="G291" s="616" t="s">
        <v>3213</v>
      </c>
    </row>
    <row r="292" spans="2:7">
      <c r="E292" s="629"/>
      <c r="F292" s="633"/>
    </row>
    <row r="293" spans="2:7" ht="32">
      <c r="B293" s="616" t="str">
        <f>IF(FORM_LANGUAGE=GER,Dictionary!G293,Dictionary!E293)</f>
        <v>Abweichende Rechnungsanschrift (abweichend von der Adresse, mit der Sie angemeldet sind)</v>
      </c>
      <c r="E293" s="629" t="s">
        <v>3224</v>
      </c>
      <c r="F293" s="633"/>
      <c r="G293" s="616" t="s">
        <v>3225</v>
      </c>
    </row>
    <row r="294" spans="2:7" ht="16">
      <c r="B294" s="616" t="str">
        <f>IF(FORM_LANGUAGE=GER,Dictionary!G294,Dictionary!E294)</f>
        <v>Abweichende Liefer/Leistungsadresse (falls erforderlich)</v>
      </c>
      <c r="E294" s="629" t="s">
        <v>3214</v>
      </c>
      <c r="F294" s="633"/>
      <c r="G294" s="616" t="s">
        <v>2883</v>
      </c>
    </row>
    <row r="295" spans="2:7">
      <c r="E295" s="629"/>
      <c r="F295" s="633"/>
    </row>
    <row r="296" spans="2:7" ht="64">
      <c r="B296" s="616" t="str">
        <f>IF(FORM_LANGUAGE=GER,Dictionary!G296,Dictionary!E296)</f>
        <v>Bitte beachten: 
Es ist zwingend erforderlich die korrekte und vollständige Rechungsanschrift anzugeben.  
Für Rechnungskorrekturen wird eine Gebühr lt. Gebührenliste fällig.
Die Rechnungsanforderung Ihrer Firma ist beim Upload der Dokumente mit einzureichen.</v>
      </c>
      <c r="E296" s="629" t="s">
        <v>3215</v>
      </c>
      <c r="F296" s="633"/>
      <c r="G296" s="616" t="s">
        <v>3217</v>
      </c>
    </row>
    <row r="297" spans="2:7">
      <c r="E297" s="629"/>
      <c r="F297" s="633"/>
    </row>
    <row r="298" spans="2:7" ht="16">
      <c r="B298" s="616" t="str">
        <f>IF(FORM_LANGUAGE=GER,Dictionary!G298,Dictionary!E298)</f>
        <v>Bitte alle Felder ausfüllen, die mit Stern * gekennzeichnet sind!</v>
      </c>
      <c r="E298" s="629" t="s">
        <v>3218</v>
      </c>
      <c r="F298" s="633"/>
      <c r="G298" s="616" t="s">
        <v>3223</v>
      </c>
    </row>
    <row r="299" spans="2:7">
      <c r="E299" s="629"/>
      <c r="F299" s="633"/>
    </row>
    <row r="300" spans="2:7">
      <c r="E300" s="629"/>
      <c r="F300" s="633"/>
    </row>
    <row r="301" spans="2:7">
      <c r="E301" s="629"/>
      <c r="F301" s="633"/>
    </row>
    <row r="302" spans="2:7">
      <c r="E302" s="629"/>
      <c r="F302" s="633"/>
    </row>
    <row r="303" spans="2:7">
      <c r="E303" s="629"/>
      <c r="F303" s="633"/>
    </row>
    <row r="304" spans="2:7">
      <c r="E304" s="629"/>
      <c r="F304" s="633"/>
    </row>
    <row r="305" spans="2:7">
      <c r="E305" s="629"/>
      <c r="F305" s="633"/>
    </row>
    <row r="306" spans="2:7">
      <c r="B306" s="2039" t="s">
        <v>3196</v>
      </c>
      <c r="C306" s="2039"/>
      <c r="D306" s="2039"/>
      <c r="E306" s="2039"/>
      <c r="F306" s="2039"/>
      <c r="G306" s="2039"/>
    </row>
    <row r="307" spans="2:7">
      <c r="E307" s="629"/>
      <c r="F307" s="633"/>
    </row>
    <row r="308" spans="2:7" ht="16">
      <c r="B308" s="616" t="str">
        <f>IF(FORM_LANGUAGE=GER,Dictionary!G308,Dictionary!E308)</f>
        <v>Afghanistan</v>
      </c>
      <c r="E308" s="629" t="s">
        <v>2885</v>
      </c>
      <c r="F308" s="633"/>
      <c r="G308" s="616" t="s">
        <v>2885</v>
      </c>
    </row>
    <row r="309" spans="2:7" ht="16">
      <c r="B309" s="616" t="str">
        <f>IF(FORM_LANGUAGE=GER,Dictionary!G309,Dictionary!E309)</f>
        <v>Ägypten</v>
      </c>
      <c r="E309" s="629" t="s">
        <v>2886</v>
      </c>
      <c r="F309" s="633"/>
      <c r="G309" s="616" t="s">
        <v>3111</v>
      </c>
    </row>
    <row r="310" spans="2:7" ht="16">
      <c r="B310" s="616" t="str">
        <f>IF(FORM_LANGUAGE=GER,Dictionary!G310,Dictionary!E310)</f>
        <v>Albanien</v>
      </c>
      <c r="E310" s="629" t="s">
        <v>2887</v>
      </c>
      <c r="F310" s="633"/>
      <c r="G310" s="616" t="s">
        <v>3080</v>
      </c>
    </row>
    <row r="311" spans="2:7" ht="16">
      <c r="B311" s="616" t="str">
        <f>IF(FORM_LANGUAGE=GER,Dictionary!G311,Dictionary!E311)</f>
        <v>Algerien</v>
      </c>
      <c r="E311" s="629" t="s">
        <v>2888</v>
      </c>
      <c r="F311" s="633"/>
      <c r="G311" s="616" t="s">
        <v>3081</v>
      </c>
    </row>
    <row r="312" spans="2:7" ht="16">
      <c r="B312" s="616" t="str">
        <f>IF(FORM_LANGUAGE=GER,Dictionary!G312,Dictionary!E312)</f>
        <v>Andorra</v>
      </c>
      <c r="E312" s="629" t="s">
        <v>2889</v>
      </c>
      <c r="F312" s="633"/>
      <c r="G312" s="616" t="s">
        <v>2888</v>
      </c>
    </row>
    <row r="313" spans="2:7" ht="16">
      <c r="B313" s="616" t="str">
        <f>IF(FORM_LANGUAGE=GER,Dictionary!G313,Dictionary!E313)</f>
        <v>Angola</v>
      </c>
      <c r="E313" s="629" t="s">
        <v>2890</v>
      </c>
      <c r="F313" s="633"/>
      <c r="G313" s="616" t="s">
        <v>2889</v>
      </c>
    </row>
    <row r="314" spans="2:7" ht="16">
      <c r="B314" s="616" t="str">
        <f>IF(FORM_LANGUAGE=GER,Dictionary!G314,Dictionary!E314)</f>
        <v>Antigua und Barbuda</v>
      </c>
      <c r="E314" s="629" t="s">
        <v>2891</v>
      </c>
      <c r="F314" s="633"/>
      <c r="G314" s="616" t="s">
        <v>3082</v>
      </c>
    </row>
    <row r="315" spans="2:7" ht="16">
      <c r="B315" s="616" t="str">
        <f>IF(FORM_LANGUAGE=GER,Dictionary!G315,Dictionary!E315)</f>
        <v>Äquatorialguinea</v>
      </c>
      <c r="E315" s="629" t="s">
        <v>2892</v>
      </c>
      <c r="F315" s="633"/>
      <c r="G315" s="616" t="s">
        <v>3112</v>
      </c>
    </row>
    <row r="316" spans="2:7" ht="16">
      <c r="B316" s="616" t="str">
        <f>IF(FORM_LANGUAGE=GER,Dictionary!G316,Dictionary!E316)</f>
        <v>Argentinien</v>
      </c>
      <c r="E316" s="629" t="s">
        <v>2893</v>
      </c>
      <c r="F316" s="633"/>
      <c r="G316" s="616" t="s">
        <v>3083</v>
      </c>
    </row>
    <row r="317" spans="2:7" ht="16">
      <c r="B317" s="616" t="str">
        <f>IF(FORM_LANGUAGE=GER,Dictionary!G317,Dictionary!E317)</f>
        <v>Armenien</v>
      </c>
      <c r="E317" s="629" t="s">
        <v>2894</v>
      </c>
      <c r="F317" s="633"/>
      <c r="G317" s="616" t="s">
        <v>3084</v>
      </c>
    </row>
    <row r="318" spans="2:7" ht="16">
      <c r="B318" s="616" t="str">
        <f>IF(FORM_LANGUAGE=GER,Dictionary!G318,Dictionary!E318)</f>
        <v>Aserbaidschan</v>
      </c>
      <c r="E318" s="629" t="s">
        <v>2895</v>
      </c>
      <c r="F318" s="633"/>
      <c r="G318" s="616" t="s">
        <v>3087</v>
      </c>
    </row>
    <row r="319" spans="2:7" ht="16">
      <c r="B319" s="616" t="str">
        <f>IF(FORM_LANGUAGE=GER,Dictionary!G319,Dictionary!E319)</f>
        <v>Äthiopien</v>
      </c>
      <c r="E319" s="629" t="s">
        <v>2896</v>
      </c>
      <c r="F319" s="633"/>
      <c r="G319" s="616" t="s">
        <v>3115</v>
      </c>
    </row>
    <row r="320" spans="2:7" ht="16">
      <c r="B320" s="616" t="str">
        <f>IF(FORM_LANGUAGE=GER,Dictionary!G320,Dictionary!E320)</f>
        <v>Australien</v>
      </c>
      <c r="E320" s="629" t="s">
        <v>2897</v>
      </c>
      <c r="F320" s="633"/>
      <c r="G320" s="616" t="s">
        <v>3085</v>
      </c>
    </row>
    <row r="321" spans="2:7" ht="16">
      <c r="B321" s="616" t="str">
        <f>IF(FORM_LANGUAGE=GER,Dictionary!G321,Dictionary!E321)</f>
        <v>Bahamas</v>
      </c>
      <c r="E321" s="629" t="s">
        <v>2898</v>
      </c>
      <c r="F321" s="633"/>
      <c r="G321" s="616" t="s">
        <v>2896</v>
      </c>
    </row>
    <row r="322" spans="2:7" ht="16">
      <c r="B322" s="616" t="str">
        <f>IF(FORM_LANGUAGE=GER,Dictionary!G322,Dictionary!E322)</f>
        <v>Bahrain</v>
      </c>
      <c r="E322" s="629" t="s">
        <v>2899</v>
      </c>
      <c r="F322" s="633"/>
      <c r="G322" s="616" t="s">
        <v>2897</v>
      </c>
    </row>
    <row r="323" spans="2:7" ht="16">
      <c r="B323" s="616" t="str">
        <f>IF(FORM_LANGUAGE=GER,Dictionary!G323,Dictionary!E323)</f>
        <v>Bangladesch</v>
      </c>
      <c r="E323" s="629" t="s">
        <v>2900</v>
      </c>
      <c r="F323" s="633"/>
      <c r="G323" s="616" t="s">
        <v>3088</v>
      </c>
    </row>
    <row r="324" spans="2:7" ht="16">
      <c r="B324" s="616" t="str">
        <f>IF(FORM_LANGUAGE=GER,Dictionary!G324,Dictionary!E324)</f>
        <v>Barbados</v>
      </c>
      <c r="E324" s="629" t="s">
        <v>2901</v>
      </c>
      <c r="F324" s="633"/>
      <c r="G324" s="616" t="s">
        <v>2899</v>
      </c>
    </row>
    <row r="325" spans="2:7" ht="16">
      <c r="B325" s="616" t="str">
        <f>IF(FORM_LANGUAGE=GER,Dictionary!G325,Dictionary!E325)</f>
        <v>Belgien</v>
      </c>
      <c r="E325" s="629" t="s">
        <v>2902</v>
      </c>
      <c r="F325" s="633"/>
      <c r="G325" s="616" t="s">
        <v>3090</v>
      </c>
    </row>
    <row r="326" spans="2:7" ht="16">
      <c r="B326" s="616" t="str">
        <f>IF(FORM_LANGUAGE=GER,Dictionary!G326,Dictionary!E326)</f>
        <v>Belize</v>
      </c>
      <c r="E326" s="629" t="s">
        <v>2903</v>
      </c>
      <c r="F326" s="633"/>
      <c r="G326" s="616" t="s">
        <v>2902</v>
      </c>
    </row>
    <row r="327" spans="2:7" ht="16">
      <c r="B327" s="616" t="str">
        <f>IF(FORM_LANGUAGE=GER,Dictionary!G327,Dictionary!E327)</f>
        <v>Benin</v>
      </c>
      <c r="E327" s="629" t="s">
        <v>2904</v>
      </c>
      <c r="F327" s="633"/>
      <c r="G327" s="616" t="s">
        <v>2903</v>
      </c>
    </row>
    <row r="328" spans="2:7" ht="16">
      <c r="B328" s="616" t="str">
        <f>IF(FORM_LANGUAGE=GER,Dictionary!G328,Dictionary!E328)</f>
        <v>Bhutan</v>
      </c>
      <c r="E328" s="629" t="s">
        <v>2905</v>
      </c>
      <c r="F328" s="633"/>
      <c r="G328" s="616" t="s">
        <v>2904</v>
      </c>
    </row>
    <row r="329" spans="2:7" ht="16">
      <c r="B329" s="616" t="str">
        <f>IF(FORM_LANGUAGE=GER,Dictionary!G329,Dictionary!E329)</f>
        <v>Bolivien</v>
      </c>
      <c r="E329" s="629" t="s">
        <v>2906</v>
      </c>
      <c r="F329" s="633"/>
      <c r="G329" s="616" t="s">
        <v>3091</v>
      </c>
    </row>
    <row r="330" spans="2:7" ht="16">
      <c r="B330" s="616" t="str">
        <f>IF(FORM_LANGUAGE=GER,Dictionary!G330,Dictionary!E330)</f>
        <v>Bosnien und Herzegowina</v>
      </c>
      <c r="E330" s="629" t="s">
        <v>2907</v>
      </c>
      <c r="F330" s="633"/>
      <c r="G330" s="616" t="s">
        <v>3092</v>
      </c>
    </row>
    <row r="331" spans="2:7" ht="16">
      <c r="B331" s="616" t="str">
        <f>IF(FORM_LANGUAGE=GER,Dictionary!G331,Dictionary!E331)</f>
        <v>Botswana</v>
      </c>
      <c r="E331" s="629" t="s">
        <v>2908</v>
      </c>
      <c r="F331" s="633"/>
      <c r="G331" s="616" t="s">
        <v>2907</v>
      </c>
    </row>
    <row r="332" spans="2:7" ht="16">
      <c r="B332" s="616" t="str">
        <f>IF(FORM_LANGUAGE=GER,Dictionary!G332,Dictionary!E332)</f>
        <v>Brasilien</v>
      </c>
      <c r="E332" s="629" t="s">
        <v>2909</v>
      </c>
      <c r="F332" s="633"/>
      <c r="G332" s="616" t="s">
        <v>3093</v>
      </c>
    </row>
    <row r="333" spans="2:7" ht="16">
      <c r="B333" s="616" t="str">
        <f>IF(FORM_LANGUAGE=GER,Dictionary!G333,Dictionary!E333)</f>
        <v>Brunei</v>
      </c>
      <c r="E333" s="629" t="s">
        <v>2910</v>
      </c>
      <c r="F333" s="633"/>
      <c r="G333" s="616" t="s">
        <v>2909</v>
      </c>
    </row>
    <row r="334" spans="2:7" ht="16">
      <c r="B334" s="616" t="str">
        <f>IF(FORM_LANGUAGE=GER,Dictionary!G334,Dictionary!E334)</f>
        <v>Bulgarien</v>
      </c>
      <c r="E334" s="629" t="s">
        <v>2911</v>
      </c>
      <c r="F334" s="633"/>
      <c r="G334" s="616" t="s">
        <v>3094</v>
      </c>
    </row>
    <row r="335" spans="2:7" ht="16">
      <c r="B335" s="616" t="str">
        <f>IF(FORM_LANGUAGE=GER,Dictionary!G335,Dictionary!E335)</f>
        <v>Burkina Faso</v>
      </c>
      <c r="E335" s="629" t="s">
        <v>2912</v>
      </c>
      <c r="F335" s="633"/>
      <c r="G335" s="616" t="s">
        <v>2911</v>
      </c>
    </row>
    <row r="336" spans="2:7" ht="16">
      <c r="B336" s="616" t="str">
        <f>IF(FORM_LANGUAGE=GER,Dictionary!G336,Dictionary!E336)</f>
        <v>Burundi</v>
      </c>
      <c r="E336" s="629" t="s">
        <v>2913</v>
      </c>
      <c r="F336" s="633"/>
      <c r="G336" s="616" t="s">
        <v>2912</v>
      </c>
    </row>
    <row r="337" spans="2:7" ht="16">
      <c r="B337" s="616" t="str">
        <f>IF(FORM_LANGUAGE=GER,Dictionary!G337,Dictionary!E337)</f>
        <v>Cabo Verde</v>
      </c>
      <c r="E337" s="629" t="s">
        <v>2914</v>
      </c>
      <c r="F337" s="633"/>
      <c r="G337" s="616" t="s">
        <v>2914</v>
      </c>
    </row>
    <row r="338" spans="2:7" ht="16">
      <c r="B338" s="616" t="str">
        <f>IF(FORM_LANGUAGE=GER,Dictionary!G338,Dictionary!E338)</f>
        <v>Chile</v>
      </c>
      <c r="E338" s="629" t="s">
        <v>2915</v>
      </c>
      <c r="F338" s="633"/>
      <c r="G338" s="616" t="s">
        <v>2920</v>
      </c>
    </row>
    <row r="339" spans="2:7" ht="16">
      <c r="B339" s="616" t="str">
        <f>IF(FORM_LANGUAGE=GER,Dictionary!G339,Dictionary!E339)</f>
        <v>China</v>
      </c>
      <c r="E339" s="629" t="s">
        <v>2916</v>
      </c>
      <c r="F339" s="633"/>
      <c r="G339" s="616" t="s">
        <v>2921</v>
      </c>
    </row>
    <row r="340" spans="2:7" ht="16">
      <c r="B340" s="616" t="str">
        <f>IF(FORM_LANGUAGE=GER,Dictionary!G340,Dictionary!E340)</f>
        <v>Costa Rica</v>
      </c>
      <c r="E340" s="629" t="s">
        <v>2917</v>
      </c>
      <c r="F340" s="633"/>
      <c r="G340" s="616" t="s">
        <v>2925</v>
      </c>
    </row>
    <row r="341" spans="2:7" ht="16">
      <c r="B341" s="616" t="str">
        <f>IF(FORM_LANGUAGE=GER,Dictionary!G341,Dictionary!E341)</f>
        <v>Côte d'Ivoire</v>
      </c>
      <c r="E341" s="629" t="s">
        <v>2918</v>
      </c>
      <c r="F341" s="633"/>
      <c r="G341" s="616" t="s">
        <v>2913</v>
      </c>
    </row>
    <row r="342" spans="2:7" ht="16">
      <c r="B342" s="616" t="str">
        <f>IF(FORM_LANGUAGE=GER,Dictionary!G342,Dictionary!E342)</f>
        <v>Dänemark</v>
      </c>
      <c r="E342" s="629" t="s">
        <v>2919</v>
      </c>
      <c r="F342" s="633"/>
      <c r="G342" s="616" t="s">
        <v>3108</v>
      </c>
    </row>
    <row r="343" spans="2:7" ht="16">
      <c r="B343" s="616" t="str">
        <f>IF(FORM_LANGUAGE=GER,Dictionary!G343,Dictionary!E343)</f>
        <v>Demokratische Republik Kongo</v>
      </c>
      <c r="E343" s="629" t="s">
        <v>2920</v>
      </c>
      <c r="F343" s="633"/>
      <c r="G343" s="616" t="s">
        <v>3107</v>
      </c>
    </row>
    <row r="344" spans="2:7" ht="16">
      <c r="B344" s="616" t="str">
        <f>IF(FORM_LANGUAGE=GER,Dictionary!G344,Dictionary!E344)</f>
        <v>Deutschland</v>
      </c>
      <c r="E344" s="629" t="s">
        <v>2921</v>
      </c>
      <c r="F344" s="633"/>
      <c r="G344" s="616" t="s">
        <v>3121</v>
      </c>
    </row>
    <row r="345" spans="2:7" ht="16">
      <c r="B345" s="616" t="str">
        <f>IF(FORM_LANGUAGE=GER,Dictionary!G345,Dictionary!E345)</f>
        <v>Dominica</v>
      </c>
      <c r="E345" s="629" t="s">
        <v>2922</v>
      </c>
      <c r="F345" s="633"/>
      <c r="G345" s="616" t="s">
        <v>2933</v>
      </c>
    </row>
    <row r="346" spans="2:7" ht="16">
      <c r="B346" s="616" t="str">
        <f>IF(FORM_LANGUAGE=GER,Dictionary!G346,Dictionary!E346)</f>
        <v>Dominikanische Republik</v>
      </c>
      <c r="E346" s="629" t="s">
        <v>2923</v>
      </c>
      <c r="F346" s="633"/>
      <c r="G346" s="616" t="s">
        <v>3110</v>
      </c>
    </row>
    <row r="347" spans="2:7" ht="16">
      <c r="B347" s="616" t="str">
        <f>IF(FORM_LANGUAGE=GER,Dictionary!G347,Dictionary!E347)</f>
        <v>Dschibuti</v>
      </c>
      <c r="E347" s="629" t="s">
        <v>2924</v>
      </c>
      <c r="F347" s="633"/>
      <c r="G347" s="616" t="s">
        <v>3109</v>
      </c>
    </row>
    <row r="348" spans="2:7" ht="16">
      <c r="B348" s="616" t="str">
        <f>IF(FORM_LANGUAGE=GER,Dictionary!G348,Dictionary!E348)</f>
        <v>Ecuador</v>
      </c>
      <c r="E348" s="629" t="s">
        <v>2925</v>
      </c>
      <c r="F348" s="633"/>
      <c r="G348" s="616" t="s">
        <v>2935</v>
      </c>
    </row>
    <row r="349" spans="2:7" ht="16">
      <c r="B349" s="616" t="str">
        <f>IF(FORM_LANGUAGE=GER,Dictionary!G349,Dictionary!E349)</f>
        <v>El Salvador</v>
      </c>
      <c r="E349" s="629" t="s">
        <v>2926</v>
      </c>
      <c r="F349" s="633"/>
      <c r="G349" s="616" t="s">
        <v>2937</v>
      </c>
    </row>
    <row r="350" spans="2:7" ht="16">
      <c r="B350" s="616" t="str">
        <f>IF(FORM_LANGUAGE=GER,Dictionary!G350,Dictionary!E350)</f>
        <v>Eritrea</v>
      </c>
      <c r="E350" s="629" t="s">
        <v>2927</v>
      </c>
      <c r="F350" s="633"/>
      <c r="G350" s="616" t="s">
        <v>2939</v>
      </c>
    </row>
    <row r="351" spans="2:7" ht="16">
      <c r="B351" s="616" t="str">
        <f>IF(FORM_LANGUAGE=GER,Dictionary!G351,Dictionary!E351)</f>
        <v>Estland</v>
      </c>
      <c r="E351" s="629" t="s">
        <v>2928</v>
      </c>
      <c r="F351" s="633"/>
      <c r="G351" s="616" t="s">
        <v>3113</v>
      </c>
    </row>
    <row r="352" spans="2:7" ht="16">
      <c r="B352" s="616" t="str">
        <f>IF(FORM_LANGUAGE=GER,Dictionary!G352,Dictionary!E352)</f>
        <v>Eswatini (früher "Swasiland")</v>
      </c>
      <c r="E352" s="629" t="s">
        <v>2929</v>
      </c>
      <c r="F352" s="633"/>
      <c r="G352" s="616" t="s">
        <v>3114</v>
      </c>
    </row>
    <row r="353" spans="2:7" ht="16">
      <c r="B353" s="616" t="str">
        <f>IF(FORM_LANGUAGE=GER,Dictionary!G353,Dictionary!E353)</f>
        <v>Fidschi</v>
      </c>
      <c r="E353" s="629" t="s">
        <v>2930</v>
      </c>
      <c r="F353" s="633"/>
      <c r="G353" s="616" t="s">
        <v>3116</v>
      </c>
    </row>
    <row r="354" spans="2:7" ht="16">
      <c r="B354" s="616" t="str">
        <f>IF(FORM_LANGUAGE=GER,Dictionary!G354,Dictionary!E354)</f>
        <v>Finnland</v>
      </c>
      <c r="E354" s="629" t="s">
        <v>2931</v>
      </c>
      <c r="F354" s="633"/>
      <c r="G354" s="616" t="s">
        <v>3117</v>
      </c>
    </row>
    <row r="355" spans="2:7" ht="16">
      <c r="B355" s="616" t="str">
        <f>IF(FORM_LANGUAGE=GER,Dictionary!G355,Dictionary!E355)</f>
        <v>Frankreich</v>
      </c>
      <c r="E355" s="629" t="s">
        <v>2932</v>
      </c>
      <c r="F355" s="633"/>
      <c r="G355" s="616" t="s">
        <v>3118</v>
      </c>
    </row>
    <row r="356" spans="2:7" ht="16">
      <c r="B356" s="616" t="str">
        <f>IF(FORM_LANGUAGE=GER,Dictionary!G356,Dictionary!E356)</f>
        <v>Gabun</v>
      </c>
      <c r="E356" s="629" t="s">
        <v>2933</v>
      </c>
      <c r="F356" s="633"/>
      <c r="G356" s="616" t="s">
        <v>3119</v>
      </c>
    </row>
    <row r="357" spans="2:7" ht="16">
      <c r="B357" s="616" t="str">
        <f>IF(FORM_LANGUAGE=GER,Dictionary!G357,Dictionary!E357)</f>
        <v>Gambia</v>
      </c>
      <c r="E357" s="629" t="s">
        <v>2934</v>
      </c>
      <c r="F357" s="633"/>
      <c r="G357" s="616" t="s">
        <v>2947</v>
      </c>
    </row>
    <row r="358" spans="2:7" ht="16">
      <c r="B358" s="616" t="str">
        <f>IF(FORM_LANGUAGE=GER,Dictionary!G358,Dictionary!E358)</f>
        <v>Georgien</v>
      </c>
      <c r="E358" s="629" t="s">
        <v>2935</v>
      </c>
      <c r="F358" s="633"/>
      <c r="G358" s="616" t="s">
        <v>3120</v>
      </c>
    </row>
    <row r="359" spans="2:7" ht="16">
      <c r="B359" s="616" t="str">
        <f>IF(FORM_LANGUAGE=GER,Dictionary!G359,Dictionary!E359)</f>
        <v>Ghana</v>
      </c>
      <c r="E359" s="629" t="s">
        <v>2936</v>
      </c>
      <c r="F359" s="633"/>
      <c r="G359" s="616" t="s">
        <v>2950</v>
      </c>
    </row>
    <row r="360" spans="2:7" ht="16">
      <c r="B360" s="616" t="str">
        <f>IF(FORM_LANGUAGE=GER,Dictionary!G360,Dictionary!E360)</f>
        <v>Grenada</v>
      </c>
      <c r="E360" s="629" t="s">
        <v>2937</v>
      </c>
      <c r="F360" s="633"/>
      <c r="G360" s="616" t="s">
        <v>2952</v>
      </c>
    </row>
    <row r="361" spans="2:7" ht="16">
      <c r="B361" s="616" t="str">
        <f>IF(FORM_LANGUAGE=GER,Dictionary!G361,Dictionary!E361)</f>
        <v>Griechenland</v>
      </c>
      <c r="E361" s="629" t="s">
        <v>2938</v>
      </c>
      <c r="F361" s="633"/>
      <c r="G361" s="616" t="s">
        <v>3122</v>
      </c>
    </row>
    <row r="362" spans="2:7" ht="16">
      <c r="B362" s="616" t="str">
        <f>IF(FORM_LANGUAGE=GER,Dictionary!G362,Dictionary!E362)</f>
        <v>Guatemala</v>
      </c>
      <c r="E362" s="629" t="s">
        <v>2939</v>
      </c>
      <c r="F362" s="633"/>
      <c r="G362" s="616" t="s">
        <v>2953</v>
      </c>
    </row>
    <row r="363" spans="2:7" ht="16">
      <c r="B363" s="616" t="str">
        <f>IF(FORM_LANGUAGE=GER,Dictionary!G363,Dictionary!E363)</f>
        <v>Guinea</v>
      </c>
      <c r="E363" s="629" t="s">
        <v>2940</v>
      </c>
      <c r="F363" s="633"/>
      <c r="G363" s="616" t="s">
        <v>2954</v>
      </c>
    </row>
    <row r="364" spans="2:7" ht="16">
      <c r="B364" s="616" t="str">
        <f>IF(FORM_LANGUAGE=GER,Dictionary!G364,Dictionary!E364)</f>
        <v>Guinea-Bissau</v>
      </c>
      <c r="E364" s="629" t="s">
        <v>2941</v>
      </c>
      <c r="F364" s="633"/>
      <c r="G364" s="616" t="s">
        <v>2955</v>
      </c>
    </row>
    <row r="365" spans="2:7" ht="16">
      <c r="B365" s="616" t="str">
        <f>IF(FORM_LANGUAGE=GER,Dictionary!G365,Dictionary!E365)</f>
        <v>Guyana</v>
      </c>
      <c r="E365" s="629" t="s">
        <v>2942</v>
      </c>
      <c r="F365" s="633"/>
      <c r="G365" s="616" t="s">
        <v>2956</v>
      </c>
    </row>
    <row r="366" spans="2:7" ht="16">
      <c r="B366" s="616" t="str">
        <f>IF(FORM_LANGUAGE=GER,Dictionary!G366,Dictionary!E366)</f>
        <v>Haiti</v>
      </c>
      <c r="E366" s="629" t="s">
        <v>2943</v>
      </c>
      <c r="F366" s="633"/>
      <c r="G366" s="616" t="s">
        <v>2957</v>
      </c>
    </row>
    <row r="367" spans="2:7" ht="16">
      <c r="B367" s="616" t="str">
        <f>IF(FORM_LANGUAGE=GER,Dictionary!G367,Dictionary!E367)</f>
        <v>Heiliger Stuhl</v>
      </c>
      <c r="E367" s="629" t="s">
        <v>2944</v>
      </c>
      <c r="F367" s="633"/>
      <c r="G367" s="616" t="s">
        <v>3123</v>
      </c>
    </row>
    <row r="368" spans="2:7" ht="16">
      <c r="B368" s="616" t="str">
        <f>IF(FORM_LANGUAGE=GER,Dictionary!G368,Dictionary!E368)</f>
        <v>Honduras</v>
      </c>
      <c r="E368" s="629" t="s">
        <v>2945</v>
      </c>
      <c r="F368" s="633"/>
      <c r="G368" s="616" t="s">
        <v>2959</v>
      </c>
    </row>
    <row r="369" spans="2:7" ht="16">
      <c r="B369" s="616" t="str">
        <f>IF(FORM_LANGUAGE=GER,Dictionary!G369,Dictionary!E369)</f>
        <v>Indien</v>
      </c>
      <c r="E369" s="629" t="s">
        <v>2946</v>
      </c>
      <c r="F369" s="633"/>
      <c r="G369" s="616" t="s">
        <v>3126</v>
      </c>
    </row>
    <row r="370" spans="2:7" ht="16">
      <c r="B370" s="616" t="str">
        <f>IF(FORM_LANGUAGE=GER,Dictionary!G370,Dictionary!E370)</f>
        <v>Indonesien</v>
      </c>
      <c r="E370" s="629" t="s">
        <v>2947</v>
      </c>
      <c r="F370" s="633"/>
      <c r="G370" s="616" t="s">
        <v>3127</v>
      </c>
    </row>
    <row r="371" spans="2:7" ht="16">
      <c r="B371" s="616" t="str">
        <f>IF(FORM_LANGUAGE=GER,Dictionary!G371,Dictionary!E371)</f>
        <v>Irak</v>
      </c>
      <c r="E371" s="629" t="s">
        <v>2948</v>
      </c>
      <c r="F371" s="633"/>
      <c r="G371" s="616" t="s">
        <v>3128</v>
      </c>
    </row>
    <row r="372" spans="2:7" ht="16">
      <c r="B372" s="616" t="str">
        <f>IF(FORM_LANGUAGE=GER,Dictionary!G372,Dictionary!E372)</f>
        <v>Iran</v>
      </c>
      <c r="E372" s="629" t="s">
        <v>2949</v>
      </c>
      <c r="F372" s="633"/>
      <c r="G372" s="616" t="s">
        <v>2964</v>
      </c>
    </row>
    <row r="373" spans="2:7" ht="16">
      <c r="B373" s="616" t="str">
        <f>IF(FORM_LANGUAGE=GER,Dictionary!G373,Dictionary!E373)</f>
        <v>Irland</v>
      </c>
      <c r="E373" s="629" t="s">
        <v>2950</v>
      </c>
      <c r="F373" s="633"/>
      <c r="G373" s="616" t="s">
        <v>3129</v>
      </c>
    </row>
    <row r="374" spans="2:7" ht="16">
      <c r="B374" s="616" t="str">
        <f>IF(FORM_LANGUAGE=GER,Dictionary!G374,Dictionary!E374)</f>
        <v>Island</v>
      </c>
      <c r="E374" s="629" t="s">
        <v>2951</v>
      </c>
      <c r="F374" s="633"/>
      <c r="G374" s="616" t="s">
        <v>3125</v>
      </c>
    </row>
    <row r="375" spans="2:7" ht="16">
      <c r="B375" s="616" t="str">
        <f>IF(FORM_LANGUAGE=GER,Dictionary!G375,Dictionary!E375)</f>
        <v>Israel</v>
      </c>
      <c r="E375" s="629" t="s">
        <v>2952</v>
      </c>
      <c r="F375" s="633"/>
      <c r="G375" s="616" t="s">
        <v>2967</v>
      </c>
    </row>
    <row r="376" spans="2:7" ht="16">
      <c r="B376" s="616" t="str">
        <f>IF(FORM_LANGUAGE=GER,Dictionary!G376,Dictionary!E376)</f>
        <v>Italien</v>
      </c>
      <c r="E376" s="629" t="s">
        <v>2953</v>
      </c>
      <c r="F376" s="633"/>
      <c r="G376" s="616" t="s">
        <v>3130</v>
      </c>
    </row>
    <row r="377" spans="2:7" ht="16">
      <c r="B377" s="616" t="str">
        <f>IF(FORM_LANGUAGE=GER,Dictionary!G377,Dictionary!E377)</f>
        <v>Jamaika</v>
      </c>
      <c r="E377" s="629" t="s">
        <v>2954</v>
      </c>
      <c r="F377" s="633"/>
      <c r="G377" s="616" t="s">
        <v>3131</v>
      </c>
    </row>
    <row r="378" spans="2:7" ht="16">
      <c r="B378" s="616" t="str">
        <f>IF(FORM_LANGUAGE=GER,Dictionary!G378,Dictionary!E378)</f>
        <v>Japan</v>
      </c>
      <c r="E378" s="629" t="s">
        <v>2955</v>
      </c>
      <c r="F378" s="633"/>
      <c r="G378" s="616" t="s">
        <v>2970</v>
      </c>
    </row>
    <row r="379" spans="2:7" ht="16">
      <c r="B379" s="616" t="str">
        <f>IF(FORM_LANGUAGE=GER,Dictionary!G379,Dictionary!E379)</f>
        <v>Jemen</v>
      </c>
      <c r="E379" s="629" t="s">
        <v>2956</v>
      </c>
      <c r="F379" s="633"/>
      <c r="G379" s="616" t="s">
        <v>3193</v>
      </c>
    </row>
    <row r="380" spans="2:7" ht="16">
      <c r="B380" s="616" t="str">
        <f>IF(FORM_LANGUAGE=GER,Dictionary!G380,Dictionary!E380)</f>
        <v>Jordanien</v>
      </c>
      <c r="E380" s="629" t="s">
        <v>2957</v>
      </c>
      <c r="F380" s="633"/>
      <c r="G380" s="616" t="s">
        <v>3132</v>
      </c>
    </row>
    <row r="381" spans="2:7" ht="16">
      <c r="B381" s="616" t="str">
        <f>IF(FORM_LANGUAGE=GER,Dictionary!G381,Dictionary!E381)</f>
        <v>Kambodscha</v>
      </c>
      <c r="E381" s="629" t="s">
        <v>2958</v>
      </c>
      <c r="F381" s="633"/>
      <c r="G381" s="616" t="s">
        <v>3095</v>
      </c>
    </row>
    <row r="382" spans="2:7" ht="16">
      <c r="B382" s="616" t="str">
        <f>IF(FORM_LANGUAGE=GER,Dictionary!G382,Dictionary!E382)</f>
        <v>Kamerun</v>
      </c>
      <c r="E382" s="629" t="s">
        <v>2959</v>
      </c>
      <c r="F382" s="633"/>
      <c r="G382" s="616" t="s">
        <v>3096</v>
      </c>
    </row>
    <row r="383" spans="2:7" ht="16">
      <c r="B383" s="616" t="str">
        <f>IF(FORM_LANGUAGE=GER,Dictionary!G383,Dictionary!E383)</f>
        <v>Kanada</v>
      </c>
      <c r="E383" s="629" t="s">
        <v>2960</v>
      </c>
      <c r="F383" s="633"/>
      <c r="G383" s="616" t="s">
        <v>3097</v>
      </c>
    </row>
    <row r="384" spans="2:7" ht="16">
      <c r="B384" s="616" t="str">
        <f>IF(FORM_LANGUAGE=GER,Dictionary!G384,Dictionary!E384)</f>
        <v>Kasachstan</v>
      </c>
      <c r="E384" s="629" t="s">
        <v>2961</v>
      </c>
      <c r="F384" s="633"/>
      <c r="G384" s="616" t="s">
        <v>3133</v>
      </c>
    </row>
    <row r="385" spans="2:7" ht="16">
      <c r="B385" s="616" t="str">
        <f>IF(FORM_LANGUAGE=GER,Dictionary!G385,Dictionary!E385)</f>
        <v>Katar</v>
      </c>
      <c r="E385" s="629" t="s">
        <v>2962</v>
      </c>
      <c r="F385" s="633"/>
      <c r="G385" s="616" t="s">
        <v>3161</v>
      </c>
    </row>
    <row r="386" spans="2:7" ht="16">
      <c r="B386" s="616" t="str">
        <f>IF(FORM_LANGUAGE=GER,Dictionary!G386,Dictionary!E386)</f>
        <v>Kenia</v>
      </c>
      <c r="E386" s="629" t="s">
        <v>2963</v>
      </c>
      <c r="F386" s="633"/>
      <c r="G386" s="616" t="s">
        <v>3134</v>
      </c>
    </row>
    <row r="387" spans="2:7" ht="16">
      <c r="B387" s="616" t="str">
        <f>IF(FORM_LANGUAGE=GER,Dictionary!G387,Dictionary!E387)</f>
        <v>Kirgisistan</v>
      </c>
      <c r="E387" s="629" t="s">
        <v>2964</v>
      </c>
      <c r="F387" s="633"/>
      <c r="G387" s="616" t="s">
        <v>3135</v>
      </c>
    </row>
    <row r="388" spans="2:7" ht="16">
      <c r="B388" s="616" t="str">
        <f>IF(FORM_LANGUAGE=GER,Dictionary!G388,Dictionary!E388)</f>
        <v>Kiribati</v>
      </c>
      <c r="E388" s="629" t="s">
        <v>2965</v>
      </c>
      <c r="F388" s="633"/>
      <c r="G388" s="616" t="s">
        <v>2974</v>
      </c>
    </row>
    <row r="389" spans="2:7" ht="16">
      <c r="B389" s="616" t="str">
        <f>IF(FORM_LANGUAGE=GER,Dictionary!G389,Dictionary!E389)</f>
        <v>Kolumbien</v>
      </c>
      <c r="E389" s="629" t="s">
        <v>2966</v>
      </c>
      <c r="F389" s="633"/>
      <c r="G389" s="616" t="s">
        <v>3100</v>
      </c>
    </row>
    <row r="390" spans="2:7" ht="16">
      <c r="B390" s="616" t="str">
        <f>IF(FORM_LANGUAGE=GER,Dictionary!G390,Dictionary!E390)</f>
        <v>Komoren</v>
      </c>
      <c r="E390" s="629" t="s">
        <v>2967</v>
      </c>
      <c r="F390" s="633"/>
      <c r="G390" s="616" t="s">
        <v>3101</v>
      </c>
    </row>
    <row r="391" spans="2:7" ht="16">
      <c r="B391" s="616" t="str">
        <f>IF(FORM_LANGUAGE=GER,Dictionary!G391,Dictionary!E391)</f>
        <v>Kongo (Kongo-Brazzaville)</v>
      </c>
      <c r="E391" s="629" t="s">
        <v>2968</v>
      </c>
      <c r="F391" s="633"/>
      <c r="G391" s="616" t="s">
        <v>3102</v>
      </c>
    </row>
    <row r="392" spans="2:7" ht="16">
      <c r="B392" s="616" t="str">
        <f>IF(FORM_LANGUAGE=GER,Dictionary!G392,Dictionary!E392)</f>
        <v>Kroatien</v>
      </c>
      <c r="E392" s="629" t="s">
        <v>2969</v>
      </c>
      <c r="F392" s="633"/>
      <c r="G392" s="616" t="s">
        <v>3103</v>
      </c>
    </row>
    <row r="393" spans="2:7" ht="16">
      <c r="B393" s="616" t="str">
        <f>IF(FORM_LANGUAGE=GER,Dictionary!G393,Dictionary!E393)</f>
        <v>Kuba</v>
      </c>
      <c r="E393" s="629" t="s">
        <v>2970</v>
      </c>
      <c r="F393" s="633"/>
      <c r="G393" s="616" t="s">
        <v>3104</v>
      </c>
    </row>
    <row r="394" spans="2:7" ht="16">
      <c r="B394" s="616" t="str">
        <f>IF(FORM_LANGUAGE=GER,Dictionary!G394,Dictionary!E394)</f>
        <v>Kuwait</v>
      </c>
      <c r="E394" s="629" t="s">
        <v>2971</v>
      </c>
      <c r="F394" s="633"/>
      <c r="G394" s="616" t="s">
        <v>2975</v>
      </c>
    </row>
    <row r="395" spans="2:7" ht="16">
      <c r="B395" s="616" t="str">
        <f>IF(FORM_LANGUAGE=GER,Dictionary!G395,Dictionary!E395)</f>
        <v>Laos</v>
      </c>
      <c r="E395" s="629" t="s">
        <v>2972</v>
      </c>
      <c r="F395" s="633"/>
      <c r="G395" s="616" t="s">
        <v>2977</v>
      </c>
    </row>
    <row r="396" spans="2:7" ht="16">
      <c r="B396" s="616" t="str">
        <f>IF(FORM_LANGUAGE=GER,Dictionary!G396,Dictionary!E396)</f>
        <v>Lesotho</v>
      </c>
      <c r="E396" s="629" t="s">
        <v>2973</v>
      </c>
      <c r="F396" s="633"/>
      <c r="G396" s="616" t="s">
        <v>2980</v>
      </c>
    </row>
    <row r="397" spans="2:7" ht="16">
      <c r="B397" s="616" t="str">
        <f>IF(FORM_LANGUAGE=GER,Dictionary!G397,Dictionary!E397)</f>
        <v>Lettland</v>
      </c>
      <c r="E397" s="629" t="s">
        <v>2974</v>
      </c>
      <c r="F397" s="633"/>
      <c r="G397" s="616" t="s">
        <v>3136</v>
      </c>
    </row>
    <row r="398" spans="2:7" ht="16">
      <c r="B398" s="616" t="str">
        <f>IF(FORM_LANGUAGE=GER,Dictionary!G398,Dictionary!E398)</f>
        <v>Libanon</v>
      </c>
      <c r="E398" s="629" t="s">
        <v>2975</v>
      </c>
      <c r="F398" s="633"/>
      <c r="G398" s="616" t="s">
        <v>3137</v>
      </c>
    </row>
    <row r="399" spans="2:7" ht="16">
      <c r="B399" s="616" t="str">
        <f>IF(FORM_LANGUAGE=GER,Dictionary!G399,Dictionary!E399)</f>
        <v>Liberia</v>
      </c>
      <c r="E399" s="629" t="s">
        <v>2976</v>
      </c>
      <c r="F399" s="633"/>
      <c r="G399" s="616" t="s">
        <v>2981</v>
      </c>
    </row>
    <row r="400" spans="2:7" ht="16">
      <c r="B400" s="616" t="str">
        <f>IF(FORM_LANGUAGE=GER,Dictionary!G400,Dictionary!E400)</f>
        <v>Libyen</v>
      </c>
      <c r="E400" s="629" t="s">
        <v>2977</v>
      </c>
      <c r="F400" s="633"/>
      <c r="G400" s="616" t="s">
        <v>3138</v>
      </c>
    </row>
    <row r="401" spans="2:7" ht="16">
      <c r="B401" s="616" t="str">
        <f>IF(FORM_LANGUAGE=GER,Dictionary!G401,Dictionary!E401)</f>
        <v>Liechtenstein</v>
      </c>
      <c r="E401" s="629" t="s">
        <v>2978</v>
      </c>
      <c r="F401" s="633"/>
      <c r="G401" s="616" t="s">
        <v>2983</v>
      </c>
    </row>
    <row r="402" spans="2:7" ht="16">
      <c r="B402" s="616" t="str">
        <f>IF(FORM_LANGUAGE=GER,Dictionary!G402,Dictionary!E402)</f>
        <v>Litauen</v>
      </c>
      <c r="E402" s="629" t="s">
        <v>2979</v>
      </c>
      <c r="F402" s="633"/>
      <c r="G402" s="616" t="s">
        <v>3139</v>
      </c>
    </row>
    <row r="403" spans="2:7" ht="16">
      <c r="B403" s="616" t="str">
        <f>IF(FORM_LANGUAGE=GER,Dictionary!G403,Dictionary!E403)</f>
        <v>Luxemburg</v>
      </c>
      <c r="E403" s="629" t="s">
        <v>2980</v>
      </c>
      <c r="F403" s="633"/>
      <c r="G403" s="616" t="s">
        <v>3140</v>
      </c>
    </row>
    <row r="404" spans="2:7" ht="16">
      <c r="B404" s="616" t="str">
        <f>IF(FORM_LANGUAGE=GER,Dictionary!G404,Dictionary!E404)</f>
        <v>Madagaskar</v>
      </c>
      <c r="E404" s="629" t="s">
        <v>2981</v>
      </c>
      <c r="F404" s="633"/>
      <c r="G404" s="616" t="s">
        <v>3141</v>
      </c>
    </row>
    <row r="405" spans="2:7" ht="16">
      <c r="B405" s="616" t="str">
        <f>IF(FORM_LANGUAGE=GER,Dictionary!G405,Dictionary!E405)</f>
        <v>Malawi</v>
      </c>
      <c r="E405" s="629" t="s">
        <v>2982</v>
      </c>
      <c r="F405" s="633"/>
      <c r="G405" s="616" t="s">
        <v>2987</v>
      </c>
    </row>
    <row r="406" spans="2:7" ht="16">
      <c r="B406" s="616" t="str">
        <f>IF(FORM_LANGUAGE=GER,Dictionary!G406,Dictionary!E406)</f>
        <v>Malaysia</v>
      </c>
      <c r="E406" s="629" t="s">
        <v>2983</v>
      </c>
      <c r="F406" s="633"/>
      <c r="G406" s="616" t="s">
        <v>2988</v>
      </c>
    </row>
    <row r="407" spans="2:7" ht="16">
      <c r="B407" s="616" t="str">
        <f>IF(FORM_LANGUAGE=GER,Dictionary!G407,Dictionary!E407)</f>
        <v>Malediven</v>
      </c>
      <c r="E407" s="629" t="s">
        <v>2984</v>
      </c>
      <c r="F407" s="633"/>
      <c r="G407" s="616" t="s">
        <v>3142</v>
      </c>
    </row>
    <row r="408" spans="2:7" ht="16">
      <c r="B408" s="616" t="str">
        <f>IF(FORM_LANGUAGE=GER,Dictionary!G408,Dictionary!E408)</f>
        <v>Mali</v>
      </c>
      <c r="E408" s="629" t="s">
        <v>2985</v>
      </c>
      <c r="F408" s="633"/>
      <c r="G408" s="616" t="s">
        <v>2990</v>
      </c>
    </row>
    <row r="409" spans="2:7" ht="16">
      <c r="B409" s="616" t="str">
        <f>IF(FORM_LANGUAGE=GER,Dictionary!G409,Dictionary!E409)</f>
        <v>Malta</v>
      </c>
      <c r="E409" s="629" t="s">
        <v>2986</v>
      </c>
      <c r="F409" s="633"/>
      <c r="G409" s="616" t="s">
        <v>2991</v>
      </c>
    </row>
    <row r="410" spans="2:7" ht="16">
      <c r="B410" s="616" t="str">
        <f>IF(FORM_LANGUAGE=GER,Dictionary!G410,Dictionary!E410)</f>
        <v>Marokko</v>
      </c>
      <c r="E410" s="629" t="s">
        <v>2987</v>
      </c>
      <c r="F410" s="633"/>
      <c r="G410" s="616" t="s">
        <v>3149</v>
      </c>
    </row>
    <row r="411" spans="2:7" ht="16">
      <c r="B411" s="616" t="str">
        <f>IF(FORM_LANGUAGE=GER,Dictionary!G411,Dictionary!E411)</f>
        <v>Marshallinseln</v>
      </c>
      <c r="E411" s="629" t="s">
        <v>2988</v>
      </c>
      <c r="F411" s="633"/>
      <c r="G411" s="616" t="s">
        <v>3143</v>
      </c>
    </row>
    <row r="412" spans="2:7" ht="16">
      <c r="B412" s="616" t="str">
        <f>IF(FORM_LANGUAGE=GER,Dictionary!G412,Dictionary!E412)</f>
        <v>Mauretanien</v>
      </c>
      <c r="E412" s="629" t="s">
        <v>2989</v>
      </c>
      <c r="F412" s="633"/>
      <c r="G412" s="616" t="s">
        <v>3144</v>
      </c>
    </row>
    <row r="413" spans="2:7" ht="16">
      <c r="B413" s="616" t="str">
        <f>IF(FORM_LANGUAGE=GER,Dictionary!G413,Dictionary!E413)</f>
        <v>Mauretanien</v>
      </c>
      <c r="E413" s="629" t="s">
        <v>2990</v>
      </c>
      <c r="F413" s="633"/>
      <c r="G413" s="616" t="s">
        <v>3144</v>
      </c>
    </row>
    <row r="414" spans="2:7" ht="16">
      <c r="B414" s="616" t="str">
        <f>IF(FORM_LANGUAGE=GER,Dictionary!G414,Dictionary!E414)</f>
        <v>Mexiko</v>
      </c>
      <c r="E414" s="629" t="s">
        <v>2991</v>
      </c>
      <c r="F414" s="633"/>
      <c r="G414" s="616" t="s">
        <v>3145</v>
      </c>
    </row>
    <row r="415" spans="2:7" ht="16">
      <c r="B415" s="616" t="str">
        <f>IF(FORM_LANGUAGE=GER,Dictionary!G415,Dictionary!E415)</f>
        <v>Mikronesien</v>
      </c>
      <c r="E415" s="629" t="s">
        <v>2992</v>
      </c>
      <c r="F415" s="633"/>
      <c r="G415" s="616" t="s">
        <v>3146</v>
      </c>
    </row>
    <row r="416" spans="2:7" ht="16">
      <c r="B416" s="616" t="str">
        <f>IF(FORM_LANGUAGE=GER,Dictionary!G416,Dictionary!E416)</f>
        <v>Moldawien</v>
      </c>
      <c r="E416" s="629" t="s">
        <v>2993</v>
      </c>
      <c r="F416" s="633"/>
      <c r="G416" s="616" t="s">
        <v>3147</v>
      </c>
    </row>
    <row r="417" spans="2:7" ht="16">
      <c r="B417" s="616" t="str">
        <f>IF(FORM_LANGUAGE=GER,Dictionary!G417,Dictionary!E417)</f>
        <v>Monaco</v>
      </c>
      <c r="E417" s="629" t="s">
        <v>2994</v>
      </c>
      <c r="F417" s="633"/>
      <c r="G417" s="616" t="s">
        <v>2998</v>
      </c>
    </row>
    <row r="418" spans="2:7" ht="16">
      <c r="B418" s="616" t="str">
        <f>IF(FORM_LANGUAGE=GER,Dictionary!G418,Dictionary!E418)</f>
        <v>Mongolei</v>
      </c>
      <c r="E418" s="629" t="s">
        <v>2995</v>
      </c>
      <c r="F418" s="633"/>
      <c r="G418" s="616" t="s">
        <v>3148</v>
      </c>
    </row>
    <row r="419" spans="2:7" ht="16">
      <c r="B419" s="616" t="str">
        <f>IF(FORM_LANGUAGE=GER,Dictionary!G419,Dictionary!E419)</f>
        <v>Montenegro</v>
      </c>
      <c r="E419" s="629" t="s">
        <v>2996</v>
      </c>
      <c r="F419" s="633"/>
      <c r="G419" s="616" t="s">
        <v>3000</v>
      </c>
    </row>
    <row r="420" spans="2:7" ht="16">
      <c r="B420" s="616" t="str">
        <f>IF(FORM_LANGUAGE=GER,Dictionary!G420,Dictionary!E420)</f>
        <v>Mosambik</v>
      </c>
      <c r="E420" s="629" t="s">
        <v>2997</v>
      </c>
      <c r="F420" s="633"/>
      <c r="G420" s="616" t="s">
        <v>3150</v>
      </c>
    </row>
    <row r="421" spans="2:7" ht="16">
      <c r="B421" s="616" t="str">
        <f>IF(FORM_LANGUAGE=GER,Dictionary!G421,Dictionary!E421)</f>
        <v>Myanmar (ehemals Birma)</v>
      </c>
      <c r="E421" s="629" t="s">
        <v>2998</v>
      </c>
      <c r="F421" s="633"/>
      <c r="G421" s="616" t="s">
        <v>3151</v>
      </c>
    </row>
    <row r="422" spans="2:7" ht="16">
      <c r="B422" s="616" t="str">
        <f>IF(FORM_LANGUAGE=GER,Dictionary!G422,Dictionary!E422)</f>
        <v>Namibia</v>
      </c>
      <c r="E422" s="629" t="s">
        <v>2999</v>
      </c>
      <c r="F422" s="633"/>
      <c r="G422" s="616" t="s">
        <v>3004</v>
      </c>
    </row>
    <row r="423" spans="2:7" ht="16">
      <c r="B423" s="616" t="str">
        <f>IF(FORM_LANGUAGE=GER,Dictionary!G423,Dictionary!E423)</f>
        <v>Nauru</v>
      </c>
      <c r="E423" s="629" t="s">
        <v>3000</v>
      </c>
      <c r="F423" s="633"/>
      <c r="G423" s="616" t="s">
        <v>3005</v>
      </c>
    </row>
    <row r="424" spans="2:7" ht="16">
      <c r="B424" s="616" t="str">
        <f>IF(FORM_LANGUAGE=GER,Dictionary!G424,Dictionary!E424)</f>
        <v>Nepal</v>
      </c>
      <c r="E424" s="629" t="s">
        <v>3001</v>
      </c>
      <c r="F424" s="633"/>
      <c r="G424" s="616" t="s">
        <v>3006</v>
      </c>
    </row>
    <row r="425" spans="2:7" ht="16">
      <c r="B425" s="616" t="str">
        <f>IF(FORM_LANGUAGE=GER,Dictionary!G425,Dictionary!E425)</f>
        <v>neuseeland</v>
      </c>
      <c r="E425" s="629" t="s">
        <v>3002</v>
      </c>
      <c r="F425" s="633"/>
      <c r="G425" s="616" t="s">
        <v>3153</v>
      </c>
    </row>
    <row r="426" spans="2:7" ht="16">
      <c r="B426" s="616" t="str">
        <f>IF(FORM_LANGUAGE=GER,Dictionary!G426,Dictionary!E426)</f>
        <v>Nicaragua</v>
      </c>
      <c r="E426" s="629" t="s">
        <v>3003</v>
      </c>
      <c r="F426" s="633"/>
      <c r="G426" s="616" t="s">
        <v>3009</v>
      </c>
    </row>
    <row r="427" spans="2:7" ht="16">
      <c r="B427" s="616" t="str">
        <f>IF(FORM_LANGUAGE=GER,Dictionary!G427,Dictionary!E427)</f>
        <v>Niederlande</v>
      </c>
      <c r="E427" s="629" t="s">
        <v>3004</v>
      </c>
      <c r="F427" s="633"/>
      <c r="G427" s="616" t="s">
        <v>3152</v>
      </c>
    </row>
    <row r="428" spans="2:7" ht="16">
      <c r="B428" s="616" t="str">
        <f>IF(FORM_LANGUAGE=GER,Dictionary!G428,Dictionary!E428)</f>
        <v>Niger</v>
      </c>
      <c r="E428" s="629" t="s">
        <v>3005</v>
      </c>
      <c r="F428" s="633"/>
      <c r="G428" s="616" t="s">
        <v>3010</v>
      </c>
    </row>
    <row r="429" spans="2:7" ht="16">
      <c r="B429" s="616" t="str">
        <f>IF(FORM_LANGUAGE=GER,Dictionary!G429,Dictionary!E429)</f>
        <v>Nigeria</v>
      </c>
      <c r="E429" s="629" t="s">
        <v>3006</v>
      </c>
      <c r="F429" s="633"/>
      <c r="G429" s="616" t="s">
        <v>3011</v>
      </c>
    </row>
    <row r="430" spans="2:7" ht="16">
      <c r="B430" s="616" t="str">
        <f>IF(FORM_LANGUAGE=GER,Dictionary!G430,Dictionary!E430)</f>
        <v>Nordkorea</v>
      </c>
      <c r="E430" s="629" t="s">
        <v>3007</v>
      </c>
      <c r="F430" s="633"/>
      <c r="G430" s="616" t="s">
        <v>3154</v>
      </c>
    </row>
    <row r="431" spans="2:7" ht="16">
      <c r="B431" s="616" t="str">
        <f>IF(FORM_LANGUAGE=GER,Dictionary!G431,Dictionary!E431)</f>
        <v>Nord-Mazedonien</v>
      </c>
      <c r="E431" s="629" t="s">
        <v>3008</v>
      </c>
      <c r="F431" s="633"/>
      <c r="G431" s="616" t="s">
        <v>3155</v>
      </c>
    </row>
    <row r="432" spans="2:7" ht="16">
      <c r="B432" s="616" t="str">
        <f>IF(FORM_LANGUAGE=GER,Dictionary!G432,Dictionary!E432)</f>
        <v>Norwegen</v>
      </c>
      <c r="E432" s="629" t="s">
        <v>3009</v>
      </c>
      <c r="F432" s="633"/>
      <c r="G432" s="616" t="s">
        <v>3156</v>
      </c>
    </row>
    <row r="433" spans="2:7" ht="16">
      <c r="B433" s="616" t="str">
        <f>IF(FORM_LANGUAGE=GER,Dictionary!G433,Dictionary!E433)</f>
        <v>Oman</v>
      </c>
      <c r="E433" s="629" t="s">
        <v>3010</v>
      </c>
      <c r="F433" s="633"/>
      <c r="G433" s="616" t="s">
        <v>3015</v>
      </c>
    </row>
    <row r="434" spans="2:7" ht="16">
      <c r="B434" s="616" t="str">
        <f>IF(FORM_LANGUAGE=GER,Dictionary!G434,Dictionary!E434)</f>
        <v>Österreich</v>
      </c>
      <c r="E434" s="629" t="s">
        <v>3011</v>
      </c>
      <c r="F434" s="633"/>
      <c r="G434" s="616" t="s">
        <v>3086</v>
      </c>
    </row>
    <row r="435" spans="2:7" ht="16">
      <c r="B435" s="616" t="str">
        <f>IF(FORM_LANGUAGE=GER,Dictionary!G435,Dictionary!E435)</f>
        <v>Pakistan</v>
      </c>
      <c r="E435" s="629" t="s">
        <v>3012</v>
      </c>
      <c r="F435" s="633"/>
      <c r="G435" s="616" t="s">
        <v>3016</v>
      </c>
    </row>
    <row r="436" spans="2:7" ht="16">
      <c r="B436" s="616" t="str">
        <f>IF(FORM_LANGUAGE=GER,Dictionary!G436,Dictionary!E436)</f>
        <v>Palästina Staat</v>
      </c>
      <c r="E436" s="629" t="s">
        <v>3013</v>
      </c>
      <c r="F436" s="633"/>
      <c r="G436" s="616" t="s">
        <v>3157</v>
      </c>
    </row>
    <row r="437" spans="2:7" ht="16">
      <c r="B437" s="616" t="str">
        <f>IF(FORM_LANGUAGE=GER,Dictionary!G437,Dictionary!E437)</f>
        <v>Palau</v>
      </c>
      <c r="E437" s="629" t="s">
        <v>3014</v>
      </c>
      <c r="F437" s="633"/>
      <c r="G437" s="616" t="s">
        <v>3017</v>
      </c>
    </row>
    <row r="438" spans="2:7" ht="16">
      <c r="B438" s="616" t="str">
        <f>IF(FORM_LANGUAGE=GER,Dictionary!G438,Dictionary!E438)</f>
        <v>Panama</v>
      </c>
      <c r="E438" s="629" t="s">
        <v>3015</v>
      </c>
      <c r="F438" s="633"/>
      <c r="G438" s="616" t="s">
        <v>3019</v>
      </c>
    </row>
    <row r="439" spans="2:7" ht="16">
      <c r="B439" s="616" t="str">
        <f>IF(FORM_LANGUAGE=GER,Dictionary!G439,Dictionary!E439)</f>
        <v>Papua-Neuguinea</v>
      </c>
      <c r="E439" s="629" t="s">
        <v>3016</v>
      </c>
      <c r="F439" s="633"/>
      <c r="G439" s="616" t="s">
        <v>3158</v>
      </c>
    </row>
    <row r="440" spans="2:7" ht="16">
      <c r="B440" s="616" t="str">
        <f>IF(FORM_LANGUAGE=GER,Dictionary!G440,Dictionary!E440)</f>
        <v>Paraguay</v>
      </c>
      <c r="E440" s="629" t="s">
        <v>3017</v>
      </c>
      <c r="F440" s="633"/>
      <c r="G440" s="616" t="s">
        <v>3021</v>
      </c>
    </row>
    <row r="441" spans="2:7" ht="16">
      <c r="B441" s="616" t="str">
        <f>IF(FORM_LANGUAGE=GER,Dictionary!G441,Dictionary!E441)</f>
        <v>Peru</v>
      </c>
      <c r="E441" s="629" t="s">
        <v>3018</v>
      </c>
      <c r="F441" s="633"/>
      <c r="G441" s="616" t="s">
        <v>3022</v>
      </c>
    </row>
    <row r="442" spans="2:7" ht="16">
      <c r="B442" s="616" t="str">
        <f>IF(FORM_LANGUAGE=GER,Dictionary!G442,Dictionary!E442)</f>
        <v>Philippinen</v>
      </c>
      <c r="E442" s="629" t="s">
        <v>3019</v>
      </c>
      <c r="F442" s="633"/>
      <c r="G442" s="616" t="s">
        <v>3159</v>
      </c>
    </row>
    <row r="443" spans="2:7" ht="16">
      <c r="B443" s="616" t="str">
        <f>IF(FORM_LANGUAGE=GER,Dictionary!G443,Dictionary!E443)</f>
        <v>Polen</v>
      </c>
      <c r="E443" s="629" t="s">
        <v>3020</v>
      </c>
      <c r="F443" s="633"/>
      <c r="G443" s="616" t="s">
        <v>3160</v>
      </c>
    </row>
    <row r="444" spans="2:7" ht="16">
      <c r="B444" s="616" t="str">
        <f>IF(FORM_LANGUAGE=GER,Dictionary!G444,Dictionary!E444)</f>
        <v>Portugal</v>
      </c>
      <c r="E444" s="629" t="s">
        <v>3021</v>
      </c>
      <c r="F444" s="633"/>
      <c r="G444" s="616" t="s">
        <v>3025</v>
      </c>
    </row>
    <row r="445" spans="2:7" ht="16">
      <c r="B445" s="616" t="str">
        <f>IF(FORM_LANGUAGE=GER,Dictionary!G445,Dictionary!E445)</f>
        <v>Ruanda</v>
      </c>
      <c r="E445" s="629" t="s">
        <v>3022</v>
      </c>
      <c r="F445" s="633"/>
      <c r="G445" s="616" t="s">
        <v>3164</v>
      </c>
    </row>
    <row r="446" spans="2:7" ht="16">
      <c r="B446" s="616" t="str">
        <f>IF(FORM_LANGUAGE=GER,Dictionary!G446,Dictionary!E446)</f>
        <v>Rumänien</v>
      </c>
      <c r="E446" s="629" t="s">
        <v>3023</v>
      </c>
      <c r="F446" s="633"/>
      <c r="G446" s="616" t="s">
        <v>3162</v>
      </c>
    </row>
    <row r="447" spans="2:7" ht="16">
      <c r="B447" s="616" t="str">
        <f>IF(FORM_LANGUAGE=GER,Dictionary!G447,Dictionary!E447)</f>
        <v>Russland</v>
      </c>
      <c r="E447" s="629" t="s">
        <v>3024</v>
      </c>
      <c r="F447" s="633"/>
      <c r="G447" s="616" t="s">
        <v>3163</v>
      </c>
    </row>
    <row r="448" spans="2:7" ht="16">
      <c r="B448" s="616" t="str">
        <f>IF(FORM_LANGUAGE=GER,Dictionary!G448,Dictionary!E448)</f>
        <v>Salomonen</v>
      </c>
      <c r="E448" s="629" t="s">
        <v>3025</v>
      </c>
      <c r="F448" s="633"/>
      <c r="G448" s="616" t="s">
        <v>3175</v>
      </c>
    </row>
    <row r="449" spans="2:7" ht="16">
      <c r="B449" s="616" t="str">
        <f>IF(FORM_LANGUAGE=GER,Dictionary!G449,Dictionary!E449)</f>
        <v>Sambia</v>
      </c>
      <c r="E449" s="629" t="s">
        <v>3026</v>
      </c>
      <c r="F449" s="633"/>
      <c r="G449" s="616" t="s">
        <v>3194</v>
      </c>
    </row>
    <row r="450" spans="2:7" ht="16">
      <c r="B450" s="616" t="str">
        <f>IF(FORM_LANGUAGE=GER,Dictionary!G450,Dictionary!E450)</f>
        <v>Samoa</v>
      </c>
      <c r="E450" s="629" t="s">
        <v>3027</v>
      </c>
      <c r="F450" s="633"/>
      <c r="G450" s="616" t="s">
        <v>3033</v>
      </c>
    </row>
    <row r="451" spans="2:7" ht="16">
      <c r="B451" s="616" t="str">
        <f>IF(FORM_LANGUAGE=GER,Dictionary!G451,Dictionary!E451)</f>
        <v>San Marino</v>
      </c>
      <c r="E451" s="629" t="s">
        <v>3028</v>
      </c>
      <c r="F451" s="633"/>
      <c r="G451" s="616" t="s">
        <v>3034</v>
      </c>
    </row>
    <row r="452" spans="2:7" ht="16">
      <c r="B452" s="616" t="str">
        <f>IF(FORM_LANGUAGE=GER,Dictionary!G452,Dictionary!E452)</f>
        <v>Sao Tome und Principe</v>
      </c>
      <c r="E452" s="629" t="s">
        <v>3029</v>
      </c>
      <c r="F452" s="633"/>
      <c r="G452" s="616" t="s">
        <v>3168</v>
      </c>
    </row>
    <row r="453" spans="2:7" ht="16">
      <c r="B453" s="616" t="str">
        <f>IF(FORM_LANGUAGE=GER,Dictionary!G453,Dictionary!E453)</f>
        <v>Saudi-Arabien</v>
      </c>
      <c r="E453" s="629" t="s">
        <v>3030</v>
      </c>
      <c r="F453" s="633"/>
      <c r="G453" s="616" t="s">
        <v>3169</v>
      </c>
    </row>
    <row r="454" spans="2:7" ht="16">
      <c r="B454" s="616" t="str">
        <f>IF(FORM_LANGUAGE=GER,Dictionary!G454,Dictionary!E454)</f>
        <v>Schweden</v>
      </c>
      <c r="E454" s="629" t="s">
        <v>3031</v>
      </c>
      <c r="F454" s="633"/>
      <c r="G454" s="616" t="s">
        <v>3181</v>
      </c>
    </row>
    <row r="455" spans="2:7" ht="16">
      <c r="B455" s="616" t="str">
        <f>IF(FORM_LANGUAGE=GER,Dictionary!G455,Dictionary!E455)</f>
        <v>Schweiz</v>
      </c>
      <c r="E455" s="629" t="s">
        <v>3032</v>
      </c>
      <c r="F455" s="633"/>
      <c r="G455" s="616" t="s">
        <v>3182</v>
      </c>
    </row>
    <row r="456" spans="2:7" ht="16">
      <c r="B456" s="616" t="str">
        <f>IF(FORM_LANGUAGE=GER,Dictionary!G456,Dictionary!E456)</f>
        <v>Senegal</v>
      </c>
      <c r="E456" s="629" t="s">
        <v>3033</v>
      </c>
      <c r="F456" s="633"/>
      <c r="G456" s="616" t="s">
        <v>3037</v>
      </c>
    </row>
    <row r="457" spans="2:7" ht="16">
      <c r="B457" s="616" t="str">
        <f>IF(FORM_LANGUAGE=GER,Dictionary!G457,Dictionary!E457)</f>
        <v>Serbien</v>
      </c>
      <c r="E457" s="629" t="s">
        <v>3034</v>
      </c>
      <c r="F457" s="633"/>
      <c r="G457" s="616" t="s">
        <v>3170</v>
      </c>
    </row>
    <row r="458" spans="2:7" ht="16">
      <c r="B458" s="616" t="str">
        <f>IF(FORM_LANGUAGE=GER,Dictionary!G458,Dictionary!E458)</f>
        <v>Seychellen</v>
      </c>
      <c r="E458" s="629" t="s">
        <v>3035</v>
      </c>
      <c r="F458" s="633"/>
      <c r="G458" s="616" t="s">
        <v>3171</v>
      </c>
    </row>
    <row r="459" spans="2:7" ht="16">
      <c r="B459" s="616" t="str">
        <f>IF(FORM_LANGUAGE=GER,Dictionary!G459,Dictionary!E459)</f>
        <v>Sierra Leone</v>
      </c>
      <c r="E459" s="629" t="s">
        <v>3036</v>
      </c>
      <c r="F459" s="633"/>
      <c r="G459" s="616" t="s">
        <v>3040</v>
      </c>
    </row>
    <row r="460" spans="2:7" ht="16">
      <c r="B460" s="616" t="str">
        <f>IF(FORM_LANGUAGE=GER,Dictionary!G460,Dictionary!E460)</f>
        <v>Simbabwe</v>
      </c>
      <c r="E460" s="629" t="s">
        <v>3037</v>
      </c>
      <c r="F460" s="633"/>
      <c r="G460" s="616" t="s">
        <v>3195</v>
      </c>
    </row>
    <row r="461" spans="2:7" ht="16">
      <c r="B461" s="616" t="str">
        <f>IF(FORM_LANGUAGE=GER,Dictionary!G461,Dictionary!E461)</f>
        <v>Singapur</v>
      </c>
      <c r="E461" s="629" t="s">
        <v>3038</v>
      </c>
      <c r="F461" s="633"/>
      <c r="G461" s="616" t="s">
        <v>3172</v>
      </c>
    </row>
    <row r="462" spans="2:7" ht="16">
      <c r="B462" s="616" t="str">
        <f>IF(FORM_LANGUAGE=GER,Dictionary!G462,Dictionary!E462)</f>
        <v>Slowakei</v>
      </c>
      <c r="E462" s="629" t="s">
        <v>3039</v>
      </c>
      <c r="F462" s="633"/>
      <c r="G462" s="616" t="s">
        <v>3173</v>
      </c>
    </row>
    <row r="463" spans="2:7" ht="16">
      <c r="B463" s="616" t="str">
        <f>IF(FORM_LANGUAGE=GER,Dictionary!G463,Dictionary!E463)</f>
        <v>Slowenien</v>
      </c>
      <c r="E463" s="629" t="s">
        <v>3040</v>
      </c>
      <c r="F463" s="633"/>
      <c r="G463" s="616" t="s">
        <v>3174</v>
      </c>
    </row>
    <row r="464" spans="2:7" ht="16">
      <c r="B464" s="616" t="str">
        <f>IF(FORM_LANGUAGE=GER,Dictionary!G464,Dictionary!E464)</f>
        <v>Somalia</v>
      </c>
      <c r="E464" s="629" t="s">
        <v>3041</v>
      </c>
      <c r="F464" s="633"/>
      <c r="G464" s="616" t="s">
        <v>3045</v>
      </c>
    </row>
    <row r="465" spans="2:7" ht="16">
      <c r="B465" s="616" t="str">
        <f>IF(FORM_LANGUAGE=GER,Dictionary!G465,Dictionary!E465)</f>
        <v>Spanien</v>
      </c>
      <c r="E465" s="629" t="s">
        <v>3042</v>
      </c>
      <c r="F465" s="633"/>
      <c r="G465" s="616" t="s">
        <v>3179</v>
      </c>
    </row>
    <row r="466" spans="2:7" ht="16">
      <c r="B466" s="616" t="str">
        <f>IF(FORM_LANGUAGE=GER,Dictionary!G466,Dictionary!E466)</f>
        <v>Sri Lanka</v>
      </c>
      <c r="E466" s="629" t="s">
        <v>3043</v>
      </c>
      <c r="F466" s="633"/>
      <c r="G466" s="616" t="s">
        <v>3050</v>
      </c>
    </row>
    <row r="467" spans="2:7" ht="16">
      <c r="B467" s="616" t="str">
        <f>IF(FORM_LANGUAGE=GER,Dictionary!G467,Dictionary!E467)</f>
        <v>St. Kitts und Nevis</v>
      </c>
      <c r="E467" s="629" t="s">
        <v>3044</v>
      </c>
      <c r="F467" s="633"/>
      <c r="G467" s="616" t="s">
        <v>3165</v>
      </c>
    </row>
    <row r="468" spans="2:7" ht="16">
      <c r="B468" s="616" t="str">
        <f>IF(FORM_LANGUAGE=GER,Dictionary!G468,Dictionary!E468)</f>
        <v>St. Lucia</v>
      </c>
      <c r="E468" s="629" t="s">
        <v>3045</v>
      </c>
      <c r="F468" s="633"/>
      <c r="G468" s="616" t="s">
        <v>3166</v>
      </c>
    </row>
    <row r="469" spans="2:7" ht="16">
      <c r="B469" s="616" t="str">
        <f>IF(FORM_LANGUAGE=GER,Dictionary!G469,Dictionary!E469)</f>
        <v>St. Vincent und die Grenadinen</v>
      </c>
      <c r="E469" s="629" t="s">
        <v>3046</v>
      </c>
      <c r="F469" s="633"/>
      <c r="G469" s="616" t="s">
        <v>3167</v>
      </c>
    </row>
    <row r="470" spans="2:7" ht="16">
      <c r="B470" s="616" t="str">
        <f>IF(FORM_LANGUAGE=GER,Dictionary!G470,Dictionary!E470)</f>
        <v>Süd-Afrika</v>
      </c>
      <c r="E470" s="629" t="s">
        <v>3047</v>
      </c>
      <c r="F470" s="633"/>
      <c r="G470" s="616" t="s">
        <v>3176</v>
      </c>
    </row>
    <row r="471" spans="2:7" ht="16">
      <c r="B471" s="616" t="str">
        <f>IF(FORM_LANGUAGE=GER,Dictionary!G471,Dictionary!E471)</f>
        <v>Sudan</v>
      </c>
      <c r="E471" s="629" t="s">
        <v>3048</v>
      </c>
      <c r="F471" s="633"/>
      <c r="G471" s="616" t="s">
        <v>3051</v>
      </c>
    </row>
    <row r="472" spans="2:7" ht="16">
      <c r="B472" s="616" t="str">
        <f>IF(FORM_LANGUAGE=GER,Dictionary!G472,Dictionary!E472)</f>
        <v>Südkorea</v>
      </c>
      <c r="E472" s="629" t="s">
        <v>3049</v>
      </c>
      <c r="F472" s="633"/>
      <c r="G472" s="616" t="s">
        <v>3177</v>
      </c>
    </row>
    <row r="473" spans="2:7" ht="16">
      <c r="B473" s="616" t="str">
        <f>IF(FORM_LANGUAGE=GER,Dictionary!G473,Dictionary!E473)</f>
        <v>Südsudan</v>
      </c>
      <c r="E473" s="629" t="s">
        <v>3050</v>
      </c>
      <c r="F473" s="633"/>
      <c r="G473" s="616" t="s">
        <v>3178</v>
      </c>
    </row>
    <row r="474" spans="2:7" ht="16">
      <c r="B474" s="616" t="str">
        <f>IF(FORM_LANGUAGE=GER,Dictionary!G474,Dictionary!E474)</f>
        <v>Surinam</v>
      </c>
      <c r="E474" s="629" t="s">
        <v>3051</v>
      </c>
      <c r="F474" s="633"/>
      <c r="G474" s="616" t="s">
        <v>3180</v>
      </c>
    </row>
    <row r="475" spans="2:7" ht="16">
      <c r="B475" s="616" t="str">
        <f>IF(FORM_LANGUAGE=GER,Dictionary!G475,Dictionary!E475)</f>
        <v>Syrien</v>
      </c>
      <c r="E475" s="629" t="s">
        <v>3052</v>
      </c>
      <c r="F475" s="633"/>
      <c r="G475" s="616" t="s">
        <v>3183</v>
      </c>
    </row>
    <row r="476" spans="2:7" ht="16">
      <c r="B476" s="616" t="str">
        <f>IF(FORM_LANGUAGE=GER,Dictionary!G476,Dictionary!E476)</f>
        <v>Tadschikistan</v>
      </c>
      <c r="E476" s="629" t="s">
        <v>3053</v>
      </c>
      <c r="F476" s="633"/>
      <c r="G476" s="616" t="s">
        <v>3184</v>
      </c>
    </row>
    <row r="477" spans="2:7" ht="16">
      <c r="B477" s="616" t="str">
        <f>IF(FORM_LANGUAGE=GER,Dictionary!G477,Dictionary!E477)</f>
        <v>Tansania</v>
      </c>
      <c r="E477" s="629" t="s">
        <v>3054</v>
      </c>
      <c r="F477" s="633"/>
      <c r="G477" s="616" t="s">
        <v>3185</v>
      </c>
    </row>
    <row r="478" spans="2:7" ht="16">
      <c r="B478" s="616" t="str">
        <f>IF(FORM_LANGUAGE=GER,Dictionary!G478,Dictionary!E478)</f>
        <v>Thailand</v>
      </c>
      <c r="E478" s="629" t="s">
        <v>3055</v>
      </c>
      <c r="F478" s="633"/>
      <c r="G478" s="616" t="s">
        <v>3058</v>
      </c>
    </row>
    <row r="479" spans="2:7" ht="16">
      <c r="B479" s="616" t="str">
        <f>IF(FORM_LANGUAGE=GER,Dictionary!G479,Dictionary!E479)</f>
        <v>Timor-Leste</v>
      </c>
      <c r="E479" s="629" t="s">
        <v>3056</v>
      </c>
      <c r="F479" s="633"/>
      <c r="G479" s="616" t="s">
        <v>3059</v>
      </c>
    </row>
    <row r="480" spans="2:7" ht="16">
      <c r="B480" s="616" t="str">
        <f>IF(FORM_LANGUAGE=GER,Dictionary!G480,Dictionary!E480)</f>
        <v>Togo</v>
      </c>
      <c r="E480" s="629" t="s">
        <v>3057</v>
      </c>
      <c r="F480" s="633"/>
      <c r="G480" s="616" t="s">
        <v>3060</v>
      </c>
    </row>
    <row r="481" spans="2:7" ht="16">
      <c r="B481" s="616" t="str">
        <f>IF(FORM_LANGUAGE=GER,Dictionary!G481,Dictionary!E481)</f>
        <v>Tonga</v>
      </c>
      <c r="E481" s="629" t="s">
        <v>3058</v>
      </c>
      <c r="F481" s="633"/>
      <c r="G481" s="616" t="s">
        <v>3061</v>
      </c>
    </row>
    <row r="482" spans="2:7" ht="16">
      <c r="B482" s="616" t="str">
        <f>IF(FORM_LANGUAGE=GER,Dictionary!G482,Dictionary!E482)</f>
        <v>Trinidad und Tobago</v>
      </c>
      <c r="E482" s="629" t="s">
        <v>3059</v>
      </c>
      <c r="F482" s="633"/>
      <c r="G482" s="616" t="s">
        <v>3186</v>
      </c>
    </row>
    <row r="483" spans="2:7" ht="16">
      <c r="B483" s="616" t="str">
        <f>IF(FORM_LANGUAGE=GER,Dictionary!G483,Dictionary!E483)</f>
        <v>Tschad</v>
      </c>
      <c r="E483" s="629" t="s">
        <v>3060</v>
      </c>
      <c r="F483" s="633"/>
      <c r="G483" s="616" t="s">
        <v>3099</v>
      </c>
    </row>
    <row r="484" spans="2:7" ht="16">
      <c r="B484" s="616" t="str">
        <f>IF(FORM_LANGUAGE=GER,Dictionary!G484,Dictionary!E484)</f>
        <v>Tschechien (Tschechische Republik)</v>
      </c>
      <c r="E484" s="629" t="s">
        <v>3061</v>
      </c>
      <c r="F484" s="633"/>
      <c r="G484" s="616" t="s">
        <v>3106</v>
      </c>
    </row>
    <row r="485" spans="2:7" ht="16">
      <c r="B485" s="616" t="str">
        <f>IF(FORM_LANGUAGE=GER,Dictionary!G485,Dictionary!E485)</f>
        <v>Tunesien</v>
      </c>
      <c r="E485" s="629" t="s">
        <v>3062</v>
      </c>
      <c r="F485" s="633"/>
      <c r="G485" s="616" t="s">
        <v>3187</v>
      </c>
    </row>
    <row r="486" spans="2:7" ht="16">
      <c r="B486" s="616" t="str">
        <f>IF(FORM_LANGUAGE=GER,Dictionary!G486,Dictionary!E486)</f>
        <v>Türkei</v>
      </c>
      <c r="E486" s="629" t="s">
        <v>3063</v>
      </c>
      <c r="F486" s="633"/>
      <c r="G486" s="616" t="s">
        <v>3188</v>
      </c>
    </row>
    <row r="487" spans="2:7" ht="16">
      <c r="B487" s="616" t="str">
        <f>IF(FORM_LANGUAGE=GER,Dictionary!G487,Dictionary!E487)</f>
        <v>Turkmenistan</v>
      </c>
      <c r="E487" s="629" t="s">
        <v>3064</v>
      </c>
      <c r="F487" s="633"/>
      <c r="G487" s="616" t="s">
        <v>3065</v>
      </c>
    </row>
    <row r="488" spans="2:7" ht="16">
      <c r="B488" s="616" t="str">
        <f>IF(FORM_LANGUAGE=GER,Dictionary!G488,Dictionary!E488)</f>
        <v>Tuvalu</v>
      </c>
      <c r="E488" s="629" t="s">
        <v>3065</v>
      </c>
      <c r="F488" s="633"/>
      <c r="G488" s="616" t="s">
        <v>3066</v>
      </c>
    </row>
    <row r="489" spans="2:7" ht="16">
      <c r="B489" s="616" t="str">
        <f>IF(FORM_LANGUAGE=GER,Dictionary!G489,Dictionary!E489)</f>
        <v>Uganda</v>
      </c>
      <c r="E489" s="629" t="s">
        <v>3066</v>
      </c>
      <c r="F489" s="633"/>
      <c r="G489" s="616" t="s">
        <v>3067</v>
      </c>
    </row>
    <row r="490" spans="2:7" ht="16">
      <c r="B490" s="616" t="str">
        <f>IF(FORM_LANGUAGE=GER,Dictionary!G490,Dictionary!E490)</f>
        <v>Ukraine</v>
      </c>
      <c r="E490" s="629" t="s">
        <v>3067</v>
      </c>
      <c r="F490" s="633"/>
      <c r="G490" s="616" t="s">
        <v>3068</v>
      </c>
    </row>
    <row r="491" spans="2:7" ht="16">
      <c r="B491" s="616" t="str">
        <f>IF(FORM_LANGUAGE=GER,Dictionary!G491,Dictionary!E491)</f>
        <v>Ungarn</v>
      </c>
      <c r="E491" s="629" t="s">
        <v>3068</v>
      </c>
      <c r="F491" s="633"/>
      <c r="G491" s="616" t="s">
        <v>3124</v>
      </c>
    </row>
    <row r="492" spans="2:7" ht="16">
      <c r="B492" s="616" t="str">
        <f>IF(FORM_LANGUAGE=GER,Dictionary!G492,Dictionary!E492)</f>
        <v>Uruguay</v>
      </c>
      <c r="E492" s="629" t="s">
        <v>3069</v>
      </c>
      <c r="F492" s="633"/>
      <c r="G492" s="616" t="s">
        <v>3072</v>
      </c>
    </row>
    <row r="493" spans="2:7" ht="16">
      <c r="B493" s="616" t="str">
        <f>IF(FORM_LANGUAGE=GER,Dictionary!G493,Dictionary!E493)</f>
        <v>Usbekistan</v>
      </c>
      <c r="E493" s="629" t="s">
        <v>3070</v>
      </c>
      <c r="F493" s="633"/>
      <c r="G493" s="616" t="s">
        <v>3192</v>
      </c>
    </row>
    <row r="494" spans="2:7" ht="16">
      <c r="B494" s="616" t="str">
        <f>IF(FORM_LANGUAGE=GER,Dictionary!G494,Dictionary!E494)</f>
        <v>Vanuatu</v>
      </c>
      <c r="E494" s="629" t="s">
        <v>3071</v>
      </c>
      <c r="F494" s="633"/>
      <c r="G494" s="616" t="s">
        <v>3074</v>
      </c>
    </row>
    <row r="495" spans="2:7" ht="16">
      <c r="B495" s="616" t="str">
        <f>IF(FORM_LANGUAGE=GER,Dictionary!G495,Dictionary!E495)</f>
        <v>Venezuela</v>
      </c>
      <c r="E495" s="629" t="s">
        <v>3072</v>
      </c>
      <c r="F495" s="633"/>
      <c r="G495" s="616" t="s">
        <v>3075</v>
      </c>
    </row>
    <row r="496" spans="2:7" ht="16">
      <c r="B496" s="616" t="str">
        <f>IF(FORM_LANGUAGE=GER,Dictionary!G496,Dictionary!E496)</f>
        <v>Vereinigte Arabische Emirate</v>
      </c>
      <c r="E496" s="629" t="s">
        <v>3073</v>
      </c>
      <c r="F496" s="633"/>
      <c r="G496" s="616" t="s">
        <v>3189</v>
      </c>
    </row>
    <row r="497" spans="2:15" ht="16">
      <c r="B497" s="616" t="str">
        <f>IF(FORM_LANGUAGE=GER,Dictionary!G497,Dictionary!E497)</f>
        <v>Vereinigte Staaten von Amerika</v>
      </c>
      <c r="E497" s="629" t="s">
        <v>3074</v>
      </c>
      <c r="F497" s="633"/>
      <c r="G497" s="616" t="s">
        <v>3191</v>
      </c>
    </row>
    <row r="498" spans="2:15" ht="16">
      <c r="B498" s="616" t="str">
        <f>IF(FORM_LANGUAGE=GER,Dictionary!G498,Dictionary!E498)</f>
        <v>Vereinigtes Königreich</v>
      </c>
      <c r="E498" s="629" t="s">
        <v>3075</v>
      </c>
      <c r="F498" s="633"/>
      <c r="G498" s="616" t="s">
        <v>3190</v>
      </c>
    </row>
    <row r="499" spans="2:15" ht="16">
      <c r="B499" s="616" t="str">
        <f>IF(FORM_LANGUAGE=GER,Dictionary!G499,Dictionary!E499)</f>
        <v>Vietnam</v>
      </c>
      <c r="E499" s="629" t="s">
        <v>3076</v>
      </c>
      <c r="F499" s="633"/>
      <c r="G499" s="616" t="s">
        <v>3076</v>
      </c>
    </row>
    <row r="500" spans="2:15" ht="16">
      <c r="B500" s="616" t="str">
        <f>IF(FORM_LANGUAGE=GER,Dictionary!G500,Dictionary!E500)</f>
        <v>Weißrussland</v>
      </c>
      <c r="E500" s="629" t="s">
        <v>3077</v>
      </c>
      <c r="F500" s="633"/>
      <c r="G500" s="616" t="s">
        <v>3089</v>
      </c>
    </row>
    <row r="501" spans="2:15" ht="16">
      <c r="B501" s="616" t="str">
        <f>IF(FORM_LANGUAGE=GER,Dictionary!G501,Dictionary!E501)</f>
        <v>Zentralafrikanische Republik</v>
      </c>
      <c r="E501" s="629" t="s">
        <v>3078</v>
      </c>
      <c r="F501" s="633"/>
      <c r="G501" s="616" t="s">
        <v>3098</v>
      </c>
    </row>
    <row r="502" spans="2:15" ht="16">
      <c r="B502" s="616" t="str">
        <f>IF(FORM_LANGUAGE=GER,Dictionary!G502,Dictionary!E502)</f>
        <v>Zypern</v>
      </c>
      <c r="E502" s="629" t="s">
        <v>3079</v>
      </c>
      <c r="F502" s="633"/>
      <c r="G502" s="616" t="s">
        <v>3105</v>
      </c>
    </row>
    <row r="503" spans="2:15">
      <c r="E503" s="629"/>
      <c r="F503" s="633"/>
    </row>
    <row r="504" spans="2:15">
      <c r="E504" s="629"/>
      <c r="F504" s="633"/>
    </row>
    <row r="505" spans="2:15">
      <c r="B505" s="2039" t="s">
        <v>536</v>
      </c>
      <c r="C505" s="2039"/>
      <c r="D505" s="2039"/>
      <c r="E505" s="2039"/>
      <c r="F505" s="2039"/>
      <c r="G505" s="2039"/>
      <c r="H505" s="546"/>
      <c r="I505" s="617"/>
      <c r="J505" s="617"/>
      <c r="K505" s="617"/>
      <c r="L505" s="618"/>
      <c r="N505" s="618"/>
    </row>
    <row r="506" spans="2:15" ht="16">
      <c r="B506" s="616" t="str">
        <f>IF(FORM_LANGUAGE=GER,Dictionary!G506,Dictionary!E506)</f>
        <v xml:space="preserve">Vorhandenes Zertifikat und Referenzen für </v>
      </c>
      <c r="C506" s="634"/>
      <c r="D506" s="634"/>
      <c r="E506" s="635" t="s">
        <v>3247</v>
      </c>
      <c r="F506" s="619"/>
      <c r="G506" s="635" t="s">
        <v>3248</v>
      </c>
      <c r="M506" s="619"/>
      <c r="O506" s="619"/>
    </row>
    <row r="507" spans="2:15" ht="32">
      <c r="B507" s="616" t="str">
        <f>IF(FORM_LANGUAGE=GER,Dictionary!G507,Dictionary!E507)</f>
        <v>Ich bin im Besitz eines gültigen IPMA Zertifikats mit den folgenden Daten (verpflichtend bei Re-Zert und Höherzertifizierungen):</v>
      </c>
      <c r="E507" s="1353" t="s">
        <v>3237</v>
      </c>
      <c r="F507" s="1354"/>
      <c r="G507" s="1353" t="s">
        <v>3238</v>
      </c>
      <c r="M507" s="1354"/>
      <c r="O507" s="1354"/>
    </row>
    <row r="508" spans="2:15" ht="16">
      <c r="B508" s="616" t="str">
        <f>IF(FORM_LANGUAGE=GER,Dictionary!G508,Dictionary!E508)</f>
        <v>Vorhandenes IPMA Zertifikat (nur bei Rezertifizierung und Höherzertifizierung erforderlich)</v>
      </c>
      <c r="E508" s="1353" t="s">
        <v>3249</v>
      </c>
      <c r="F508" s="1354"/>
      <c r="G508" s="1353" t="s">
        <v>3725</v>
      </c>
      <c r="M508" s="1354"/>
      <c r="O508" s="1354"/>
    </row>
    <row r="509" spans="2:15" ht="16">
      <c r="B509" s="616" t="str">
        <f>IF(FORM_LANGUAGE=GER,Dictionary!G509,Dictionary!E509)</f>
        <v>Zertifizierter IPMA Level:</v>
      </c>
      <c r="E509" s="616" t="s">
        <v>3241</v>
      </c>
      <c r="G509" s="616" t="s">
        <v>3242</v>
      </c>
      <c r="M509" s="1354"/>
      <c r="O509" s="1354"/>
    </row>
    <row r="510" spans="2:15" ht="16">
      <c r="B510" s="616" t="str">
        <f>IF(FORM_LANGUAGE=GER,Dictionary!G510,Dictionary!E510)</f>
        <v>Zertifizierte IPMA Domäne:</v>
      </c>
      <c r="E510" s="616" t="s">
        <v>3245</v>
      </c>
      <c r="G510" s="616" t="s">
        <v>3268</v>
      </c>
      <c r="M510" s="1354"/>
      <c r="O510" s="1354"/>
    </row>
    <row r="511" spans="2:15" ht="16">
      <c r="B511" s="616" t="str">
        <f>IF(FORM_LANGUAGE=GER,Dictionary!G511,Dictionary!E511)</f>
        <v>Zertifikat Nr.:</v>
      </c>
      <c r="E511" s="1353" t="s">
        <v>3240</v>
      </c>
      <c r="F511" s="1354"/>
      <c r="G511" s="1353" t="s">
        <v>3239</v>
      </c>
      <c r="M511" s="1354"/>
      <c r="O511" s="1354"/>
    </row>
    <row r="512" spans="2:15" ht="16">
      <c r="B512" s="616" t="str">
        <f>IF(FORM_LANGUAGE=GER,Dictionary!G512,Dictionary!E512)</f>
        <v>Gültig bis:</v>
      </c>
      <c r="E512" s="1353" t="s">
        <v>3243</v>
      </c>
      <c r="F512" s="1354"/>
      <c r="G512" s="1353" t="s">
        <v>3244</v>
      </c>
      <c r="M512" s="1354"/>
      <c r="O512" s="1354"/>
    </row>
    <row r="513" spans="2:15" ht="16">
      <c r="B513" s="616" t="str">
        <f>IF(FORM_LANGUAGE=GER,Dictionary!G513,Dictionary!E513)</f>
        <v>Hinweise an Kandidaten:</v>
      </c>
      <c r="E513" s="1353" t="s">
        <v>3359</v>
      </c>
      <c r="F513" s="1354"/>
      <c r="G513" s="1353" t="s">
        <v>3358</v>
      </c>
      <c r="M513" s="1354"/>
      <c r="O513" s="1354"/>
    </row>
    <row r="514" spans="2:15" ht="16">
      <c r="B514" s="616" t="str">
        <f>IF(FORM_LANGUAGE=GER,Dictionary!G514,Dictionary!E514)</f>
        <v>Keine</v>
      </c>
      <c r="E514" s="1353" t="s">
        <v>3360</v>
      </c>
      <c r="F514" s="1354"/>
      <c r="G514" s="1353" t="s">
        <v>3361</v>
      </c>
      <c r="M514" s="1354"/>
      <c r="O514" s="1354"/>
    </row>
    <row r="515" spans="2:15" ht="51">
      <c r="B515" s="616" t="str">
        <f>IF(FORM_LANGUAGE=GER,Dictionary!G515,Dictionary!E515)</f>
        <v>Die folgenden Personen haben sich bereit erklärt, zu bestätigen, dass ich im Bereich Projektmanagement tätig bin und die Angaben in meinen Unterlagen nach deren bestem Wissen und Gewissen der Wahrheit entsprechen.</v>
      </c>
      <c r="E515" s="551" t="s">
        <v>2445</v>
      </c>
      <c r="F515" s="551"/>
      <c r="G515" s="551" t="s">
        <v>3362</v>
      </c>
      <c r="H515" s="549"/>
      <c r="I515" s="551"/>
      <c r="J515" s="551"/>
      <c r="K515" s="551"/>
      <c r="L515" s="551"/>
      <c r="M515" s="551"/>
      <c r="N515" s="551"/>
      <c r="O515" s="551"/>
    </row>
    <row r="516" spans="2:15" ht="17">
      <c r="B516" s="616" t="str">
        <f>IF(FORM_LANGUAGE=GER,Dictionary!G516,Dictionary!E516)</f>
        <v xml:space="preserve">Erste Referenzperson (nur Level C, B, und A):  </v>
      </c>
      <c r="E516" s="759" t="s">
        <v>3903</v>
      </c>
      <c r="F516" s="620"/>
      <c r="G516" s="621" t="s">
        <v>3904</v>
      </c>
      <c r="H516" s="547"/>
      <c r="I516" s="620"/>
      <c r="J516" s="620"/>
      <c r="K516" s="620"/>
      <c r="L516" s="621"/>
      <c r="M516" s="620"/>
      <c r="N516" s="621"/>
      <c r="O516" s="620"/>
    </row>
    <row r="517" spans="2:15" ht="17">
      <c r="B517" s="616" t="str">
        <f>IF(FORM_LANGUAGE=GER,Dictionary!G517,Dictionary!E517)</f>
        <v xml:space="preserve">Erste Referenzperson (muus Ihr Linienvorgesetzter sein):  </v>
      </c>
      <c r="E517" s="759" t="s">
        <v>4103</v>
      </c>
      <c r="F517" s="620"/>
      <c r="G517" s="621" t="s">
        <v>4104</v>
      </c>
      <c r="H517" s="547"/>
      <c r="I517" s="620"/>
      <c r="J517" s="620"/>
      <c r="K517" s="620"/>
      <c r="L517" s="621"/>
      <c r="M517" s="620"/>
      <c r="N517" s="621"/>
      <c r="O517" s="620"/>
    </row>
    <row r="518" spans="2:15" ht="17">
      <c r="B518" s="616" t="str">
        <f>IF(FORM_LANGUAGE=GER,Dictionary!G518,Dictionary!E518)</f>
        <v xml:space="preserve">Anrede, Vorname und Nachname: </v>
      </c>
      <c r="E518" s="551" t="s">
        <v>1256</v>
      </c>
      <c r="F518" s="552"/>
      <c r="G518" s="551" t="s">
        <v>1257</v>
      </c>
      <c r="H518" s="547"/>
      <c r="I518" s="620"/>
      <c r="J518" s="620"/>
      <c r="K518" s="620"/>
      <c r="L518" s="621"/>
      <c r="M518" s="620"/>
      <c r="N518" s="621"/>
      <c r="O518" s="620"/>
    </row>
    <row r="519" spans="2:15" ht="17">
      <c r="B519" s="616" t="str">
        <f>IF(FORM_LANGUAGE=GER,Dictionary!G519,Dictionary!E519)</f>
        <v>Titel:</v>
      </c>
      <c r="E519" s="551" t="s">
        <v>2306</v>
      </c>
      <c r="F519" s="552"/>
      <c r="G519" s="551" t="s">
        <v>2305</v>
      </c>
      <c r="H519" s="547"/>
      <c r="I519" s="620"/>
      <c r="J519" s="620"/>
      <c r="K519" s="620"/>
      <c r="L519" s="621"/>
      <c r="M519" s="620"/>
      <c r="N519" s="621"/>
      <c r="O519" s="620"/>
    </row>
    <row r="520" spans="2:15" ht="17">
      <c r="B520" s="616" t="str">
        <f>IF(FORM_LANGUAGE=GER,Dictionary!G520,Dictionary!E520)</f>
        <v xml:space="preserve">Name des Unternehmens: </v>
      </c>
      <c r="E520" s="551" t="s">
        <v>935</v>
      </c>
      <c r="F520" s="552"/>
      <c r="G520" s="551" t="s">
        <v>1168</v>
      </c>
      <c r="H520" s="547"/>
      <c r="I520" s="620"/>
      <c r="J520" s="620"/>
      <c r="K520" s="620"/>
      <c r="L520" s="621"/>
      <c r="M520" s="620"/>
      <c r="N520" s="621"/>
      <c r="O520" s="620"/>
    </row>
    <row r="521" spans="2:15" ht="17">
      <c r="B521" s="616" t="str">
        <f>IF(FORM_LANGUAGE=GER,Dictionary!G521,Dictionary!E521)</f>
        <v xml:space="preserve">Kontaktadresse: </v>
      </c>
      <c r="E521" s="551" t="s">
        <v>936</v>
      </c>
      <c r="F521" s="552"/>
      <c r="G521" s="551" t="s">
        <v>1169</v>
      </c>
      <c r="H521" s="547"/>
      <c r="I521" s="620"/>
      <c r="J521" s="620"/>
      <c r="K521" s="620"/>
      <c r="L521" s="621"/>
      <c r="M521" s="620"/>
      <c r="N521" s="621"/>
      <c r="O521" s="620"/>
    </row>
    <row r="522" spans="2:15" ht="17">
      <c r="B522" s="616" t="str">
        <f>IF(FORM_LANGUAGE=GER,Dictionary!G522,Dictionary!E522)</f>
        <v>Telefonische Kontaktaufnahme:</v>
      </c>
      <c r="E522" s="551" t="s">
        <v>937</v>
      </c>
      <c r="F522" s="552"/>
      <c r="G522" s="551" t="s">
        <v>1170</v>
      </c>
      <c r="H522" s="547"/>
      <c r="I522" s="620"/>
      <c r="J522" s="620"/>
      <c r="K522" s="620"/>
      <c r="L522" s="621"/>
      <c r="M522" s="620"/>
      <c r="N522" s="621"/>
      <c r="O522" s="620"/>
    </row>
    <row r="523" spans="2:15" ht="17">
      <c r="B523" s="616" t="str">
        <f>IF(FORM_LANGUAGE=GER,Dictionary!G523,Dictionary!E523)</f>
        <v>E-Mail Kontakt:</v>
      </c>
      <c r="E523" s="551" t="s">
        <v>938</v>
      </c>
      <c r="F523" s="552"/>
      <c r="G523" s="551" t="s">
        <v>1171</v>
      </c>
      <c r="H523" s="547"/>
      <c r="I523" s="620"/>
      <c r="J523" s="620"/>
      <c r="K523" s="620"/>
      <c r="L523" s="621"/>
      <c r="M523" s="620"/>
      <c r="N523" s="621"/>
      <c r="O523" s="620"/>
    </row>
    <row r="524" spans="2:15" ht="17">
      <c r="B524" s="616" t="str">
        <f>IF(FORM_LANGUAGE=GER,Dictionary!G524,Dictionary!E524)</f>
        <v xml:space="preserve">Zweite Referenzperson (nur Level C, B, und A):  </v>
      </c>
      <c r="E524" s="759" t="s">
        <v>3905</v>
      </c>
      <c r="F524" s="620"/>
      <c r="G524" s="621" t="s">
        <v>3906</v>
      </c>
      <c r="H524" s="547"/>
      <c r="I524" s="620"/>
      <c r="J524" s="620"/>
      <c r="K524" s="620"/>
      <c r="L524" s="621"/>
      <c r="M524" s="620"/>
      <c r="N524" s="621"/>
      <c r="O524" s="620"/>
    </row>
    <row r="525" spans="2:15" ht="64">
      <c r="B525" s="616" t="str">
        <f>IF(FORM_LANGUAGE=GER,Dictionary!G525,Dictionary!E525)</f>
        <v xml:space="preserve">Mit der Abgabe meiner Anmeldung bestätige ich, dass ich die Zustimmung aller meiner Referenzpersonen zur Weitergabe ihrer Kontaktdaten habe. Mit der Abgabe meiner Anmeldung bestätige ich auserdem, dass ich mit den Vertragsbedingungen der Zertifizierungsstelle einverstanden bin, </v>
      </c>
      <c r="E525" s="621" t="s">
        <v>4105</v>
      </c>
      <c r="F525" s="621"/>
      <c r="G525" s="621" t="s">
        <v>4106</v>
      </c>
      <c r="H525" s="548"/>
      <c r="I525" s="621"/>
      <c r="J525" s="621"/>
      <c r="K525" s="621"/>
      <c r="L525" s="621"/>
      <c r="M525" s="621"/>
      <c r="N525" s="621"/>
      <c r="O525" s="621"/>
    </row>
    <row r="526" spans="2:15" ht="16">
      <c r="B526" s="616" t="str">
        <f>IF(FORM_LANGUAGE=GER,Dictionary!G526,Dictionary!E526)</f>
        <v>Ort</v>
      </c>
      <c r="E526" s="2041" t="s">
        <v>285</v>
      </c>
      <c r="F526" s="2041"/>
      <c r="G526" s="621" t="s">
        <v>1172</v>
      </c>
      <c r="H526" s="547"/>
      <c r="I526" s="620"/>
      <c r="J526" s="620"/>
      <c r="K526" s="620"/>
      <c r="L526" s="621"/>
      <c r="M526" s="620"/>
      <c r="N526" s="621"/>
      <c r="O526" s="620"/>
    </row>
    <row r="527" spans="2:15" ht="17">
      <c r="B527" s="616" t="str">
        <f>IF(FORM_LANGUAGE=GER,Dictionary!G527,Dictionary!E527)</f>
        <v>Datum</v>
      </c>
      <c r="E527" s="637" t="s">
        <v>10</v>
      </c>
      <c r="F527" s="620"/>
      <c r="G527" s="621" t="s">
        <v>1173</v>
      </c>
      <c r="H527" s="547"/>
      <c r="I527" s="620"/>
      <c r="J527" s="620"/>
      <c r="K527" s="620"/>
      <c r="L527" s="621"/>
      <c r="M527" s="620"/>
      <c r="N527" s="621"/>
      <c r="O527" s="620"/>
    </row>
    <row r="528" spans="2:15" ht="17">
      <c r="B528" s="616" t="str">
        <f>IF(FORM_LANGUAGE=GER,Dictionary!G528,Dictionary!E528)</f>
        <v>Unterschrift</v>
      </c>
      <c r="E528" s="637" t="s">
        <v>11</v>
      </c>
      <c r="F528" s="636"/>
      <c r="G528" s="637" t="s">
        <v>1174</v>
      </c>
      <c r="H528" s="547"/>
      <c r="I528" s="620"/>
      <c r="J528" s="620"/>
      <c r="K528" s="620"/>
      <c r="L528" s="621"/>
      <c r="M528" s="620"/>
      <c r="N528" s="621"/>
      <c r="O528" s="620"/>
    </row>
    <row r="529" spans="2:15" ht="17">
      <c r="B529" s="616" t="str">
        <f>IF(FORM_LANGUAGE=GER,Dictionary!G529,Dictionary!E529)</f>
        <v>Anmerkungen:</v>
      </c>
      <c r="E529" s="551" t="s">
        <v>286</v>
      </c>
      <c r="F529" s="620"/>
      <c r="G529" s="621" t="s">
        <v>1175</v>
      </c>
      <c r="H529" s="547"/>
      <c r="I529" s="620"/>
      <c r="J529" s="620"/>
      <c r="K529" s="620"/>
      <c r="L529" s="621"/>
      <c r="M529" s="620"/>
      <c r="N529" s="621"/>
      <c r="O529" s="620"/>
    </row>
    <row r="530" spans="2:15" ht="63" customHeight="1">
      <c r="B530" s="616" t="str">
        <f>IF(FORM_LANGUAGE=GER,Dictionary!G530,Dictionary!E530)</f>
        <v>1. Die Zustimmung zur Weitergabe der Kontaktdaten Ihrer Referenzpersonen ist eine notwendige Bedingung für die Zulassung zur Zertifizierung.</v>
      </c>
      <c r="E530" s="551" t="s">
        <v>933</v>
      </c>
      <c r="F530" s="551"/>
      <c r="G530" s="551" t="s">
        <v>1176</v>
      </c>
      <c r="H530" s="550"/>
      <c r="I530" s="551"/>
      <c r="J530" s="551"/>
      <c r="K530" s="551"/>
      <c r="L530" s="551"/>
      <c r="M530" s="551"/>
      <c r="N530" s="551"/>
      <c r="O530" s="551"/>
    </row>
    <row r="531" spans="2:15" ht="51">
      <c r="B531" s="616" t="str">
        <f>IF(FORM_LANGUAGE=GER,Dictionary!G531,Dictionary!E531)</f>
        <v>2. Ein Verstoß gegen diese Bedingung ist ein Verstoß gegen die geltende Datenschutzgrundverordnung (DSGVO) und kann zum Ausschluss vom Zertifizierungsverfahren führen.</v>
      </c>
      <c r="E531" s="551" t="s">
        <v>934</v>
      </c>
      <c r="F531" s="622"/>
      <c r="G531" s="551" t="s">
        <v>1177</v>
      </c>
      <c r="H531" s="553"/>
      <c r="I531" s="622"/>
      <c r="J531" s="622"/>
      <c r="K531" s="622"/>
      <c r="L531" s="622"/>
      <c r="M531" s="622"/>
      <c r="N531" s="622"/>
      <c r="O531" s="622"/>
    </row>
    <row r="532" spans="2:15" ht="17">
      <c r="B532" s="616" t="str">
        <f>IF(FORM_LANGUAGE=GER,Dictionary!G532,Dictionary!E532)</f>
        <v>Fehler: Höher- und Rezertifizierung nur in der gleichen Domäne möglich</v>
      </c>
      <c r="E532" s="551" t="s">
        <v>3272</v>
      </c>
      <c r="F532" s="622"/>
      <c r="G532" s="551" t="s">
        <v>3726</v>
      </c>
      <c r="H532" s="553"/>
      <c r="I532" s="622"/>
      <c r="J532" s="622"/>
      <c r="K532" s="622"/>
      <c r="L532" s="622"/>
      <c r="M532" s="622"/>
      <c r="N532" s="622"/>
      <c r="O532" s="622"/>
    </row>
    <row r="533" spans="2:15" ht="17">
      <c r="B533" s="616" t="str">
        <f>IF(FORM_LANGUAGE=GER,Dictionary!G533,Dictionary!E533)</f>
        <v>Fehler: Zertifikat des folgenden Levels erforderlich:</v>
      </c>
      <c r="E533" s="551" t="s">
        <v>3727</v>
      </c>
      <c r="F533" s="622"/>
      <c r="G533" s="551" t="s">
        <v>3728</v>
      </c>
      <c r="H533" s="553"/>
      <c r="I533" s="622"/>
      <c r="J533" s="622"/>
      <c r="K533" s="622"/>
      <c r="L533" s="622"/>
      <c r="M533" s="622"/>
      <c r="N533" s="622"/>
      <c r="O533" s="622"/>
    </row>
    <row r="534" spans="2:15" ht="17">
      <c r="B534" s="616" t="str">
        <f>IF(FORM_LANGUAGE=GER,Dictionary!G534,Dictionary!E534)</f>
        <v>Fehler: Zertifikat abgelaufen.</v>
      </c>
      <c r="E534" s="551" t="s">
        <v>3271</v>
      </c>
      <c r="F534" s="622"/>
      <c r="G534" s="551" t="s">
        <v>3273</v>
      </c>
      <c r="H534" s="553"/>
      <c r="I534" s="622"/>
      <c r="J534" s="622"/>
      <c r="K534" s="622"/>
      <c r="L534" s="622"/>
      <c r="M534" s="622"/>
      <c r="N534" s="622"/>
      <c r="O534" s="622"/>
    </row>
    <row r="535" spans="2:15" ht="17">
      <c r="B535" s="616" t="str">
        <f>IF(FORM_LANGUAGE=GER,Dictionary!G535,Dictionary!E535)</f>
        <v>Hinweis: Bitte Zertifikatsinformationen vor Abgabe vollständig angeben.</v>
      </c>
      <c r="E535" s="637" t="s">
        <v>3269</v>
      </c>
      <c r="F535" s="636"/>
      <c r="G535" s="637" t="s">
        <v>3270</v>
      </c>
      <c r="H535" s="547"/>
      <c r="I535" s="620"/>
      <c r="J535" s="620"/>
      <c r="K535" s="620"/>
      <c r="L535" s="621"/>
      <c r="M535" s="620"/>
      <c r="N535" s="621"/>
      <c r="O535" s="620"/>
    </row>
    <row r="536" spans="2:15" ht="16">
      <c r="E536" s="637"/>
      <c r="F536" s="636"/>
      <c r="G536" s="637"/>
      <c r="H536" s="547"/>
      <c r="I536" s="620"/>
      <c r="J536" s="620"/>
      <c r="K536" s="620"/>
      <c r="L536" s="621"/>
      <c r="M536" s="620"/>
      <c r="N536" s="621"/>
      <c r="O536" s="620"/>
    </row>
    <row r="537" spans="2:15">
      <c r="E537" s="621"/>
      <c r="F537" s="620"/>
      <c r="G537" s="621"/>
      <c r="H537" s="547"/>
      <c r="I537" s="620"/>
      <c r="J537" s="620"/>
      <c r="K537" s="620"/>
      <c r="L537" s="621"/>
      <c r="M537" s="620"/>
      <c r="N537" s="621"/>
      <c r="O537" s="620"/>
    </row>
    <row r="538" spans="2:15">
      <c r="B538" s="2039" t="s">
        <v>252</v>
      </c>
      <c r="C538" s="2039"/>
      <c r="D538" s="2039"/>
      <c r="E538" s="2039"/>
      <c r="F538" s="2039"/>
      <c r="G538" s="2039"/>
    </row>
    <row r="539" spans="2:15" ht="16">
      <c r="B539" s="616" t="str">
        <f>IF(FORM_LANGUAGE=GER,Dictionary!G539,Dictionary!E539)</f>
        <v>Selbsteinschätzung</v>
      </c>
      <c r="E539" s="616" t="s">
        <v>252</v>
      </c>
      <c r="G539" s="616" t="s">
        <v>1187</v>
      </c>
    </row>
    <row r="540" spans="2:15" ht="43.5" customHeight="1">
      <c r="B540" s="616" t="str">
        <f>IF(FORM_LANGUAGE=GER,Dictionary!G540,Dictionary!E540)</f>
        <v>Bitte bewerten Sie Ihre eigenen Fähigkeiten für jedes CE anhand der folgenden 3 Kategorien. Kreuzen Sie das am besten zutreffende Level mit einem "X" an (nur eine Stufe pro Kompetenzelement (CE)).</v>
      </c>
      <c r="E540" s="616" t="s">
        <v>3363</v>
      </c>
      <c r="G540" s="616" t="s">
        <v>3376</v>
      </c>
    </row>
    <row r="541" spans="2:15" ht="16">
      <c r="B541" s="616" t="str">
        <f>IF(FORM_LANGUAGE=GER,Dictionary!G541,Dictionary!E541)</f>
        <v>Kompetenzelemente (CE)*</v>
      </c>
      <c r="E541" s="616" t="s">
        <v>279</v>
      </c>
      <c r="G541" s="616" t="s">
        <v>1188</v>
      </c>
    </row>
    <row r="542" spans="2:15" ht="16">
      <c r="B542" s="616" t="str">
        <f>IF(FORM_LANGUAGE=GER,Dictionary!G542,Dictionary!E542)</f>
        <v>Wissen vorhanden</v>
      </c>
      <c r="E542" s="616" t="s">
        <v>3370</v>
      </c>
      <c r="G542" s="616" t="s">
        <v>3364</v>
      </c>
    </row>
    <row r="543" spans="2:15" ht="16">
      <c r="B543" s="616" t="str">
        <f>IF(FORM_LANGUAGE=GER,Dictionary!G543,Dictionary!E543)</f>
        <v>verstehen</v>
      </c>
      <c r="E543" s="616" t="s">
        <v>3371</v>
      </c>
      <c r="G543" s="616" t="s">
        <v>3367</v>
      </c>
    </row>
    <row r="544" spans="2:15" ht="16">
      <c r="B544" s="616" t="str">
        <f>IF(FORM_LANGUAGE=GER,Dictionary!G544,Dictionary!E544)</f>
        <v>Fertigkeiten vorhanden</v>
      </c>
      <c r="E544" s="616" t="s">
        <v>3374</v>
      </c>
      <c r="G544" s="616" t="s">
        <v>3365</v>
      </c>
    </row>
    <row r="545" spans="2:22" ht="16">
      <c r="B545" s="616" t="str">
        <f>IF(FORM_LANGUAGE=GER,Dictionary!G545,Dictionary!E545)</f>
        <v>handeln</v>
      </c>
      <c r="E545" s="616" t="s">
        <v>3373</v>
      </c>
      <c r="G545" s="616" t="s">
        <v>3368</v>
      </c>
    </row>
    <row r="546" spans="2:22" ht="16">
      <c r="B546" s="616" t="str">
        <f>IF(FORM_LANGUAGE=GER,Dictionary!G546,Dictionary!E546)</f>
        <v>Fähigkeiten vorhanden</v>
      </c>
      <c r="E546" s="616" t="s">
        <v>3372</v>
      </c>
      <c r="G546" s="616" t="s">
        <v>3366</v>
      </c>
    </row>
    <row r="547" spans="2:22" ht="16">
      <c r="B547" s="616" t="str">
        <f>IF(FORM_LANGUAGE=GER,Dictionary!G547,Dictionary!E547)</f>
        <v>gestalten</v>
      </c>
      <c r="E547" s="616" t="s">
        <v>3375</v>
      </c>
      <c r="G547" s="616" t="s">
        <v>3369</v>
      </c>
    </row>
    <row r="549" spans="2:22" ht="48">
      <c r="B549" s="616" t="str">
        <f>IF(FORM_LANGUAGE=GER,Dictionary!G549,Dictionary!E549)</f>
        <v>*Weitere Einzelheiten finden Sie in der ICB 4 Individual Competence Baseline und ICR 4 Public, IPMA Certification Regulation Public Version. Beide Dateien können von der IPMA-Website heruntergeladen werden.</v>
      </c>
      <c r="E549" s="616" t="s">
        <v>1023</v>
      </c>
      <c r="G549" s="616" t="s">
        <v>1186</v>
      </c>
    </row>
    <row r="551" spans="2:22" ht="16">
      <c r="B551" s="616" t="str">
        <f>IF(FORM_LANGUAGE=GER,Dictionary!G551,Dictionary!E551)</f>
        <v>Stufe</v>
      </c>
      <c r="E551" s="616" t="s">
        <v>718</v>
      </c>
      <c r="G551" s="616" t="s">
        <v>3261</v>
      </c>
    </row>
    <row r="554" spans="2:22">
      <c r="B554" s="2039" t="s">
        <v>2838</v>
      </c>
      <c r="C554" s="2039"/>
      <c r="D554" s="2039"/>
      <c r="E554" s="2039"/>
      <c r="F554" s="2039"/>
      <c r="G554" s="2039"/>
    </row>
    <row r="555" spans="2:22" ht="16">
      <c r="B555" s="616" t="str">
        <f>IF(FORM_LANGUAGE=GER,Dictionary!G555,Dictionary!E555)</f>
        <v>Erfahrung in einer relevanten PM-Rolle (pro Rolle ein Listeneintrag)</v>
      </c>
      <c r="E555" s="616" t="s">
        <v>4137</v>
      </c>
      <c r="G555" s="616" t="s">
        <v>4138</v>
      </c>
    </row>
    <row r="556" spans="2:22" ht="16">
      <c r="B556" s="616" t="str">
        <f>IF(FORM_LANGUAGE=GER,Dictionary!G556,Dictionary!E556)</f>
        <v>Nr.</v>
      </c>
      <c r="E556" s="616" t="s">
        <v>231</v>
      </c>
      <c r="G556" s="616" t="s">
        <v>667</v>
      </c>
    </row>
    <row r="557" spans="2:22" ht="16">
      <c r="B557" s="616" t="str">
        <f>IF(FORM_LANGUAGE=GER,Dictionary!G557,Dictionary!E557)</f>
        <v>Projektname</v>
      </c>
      <c r="E557" s="616" t="str">
        <f>IF(DOMAIN=COV!$T$72,Dictionary!L557,IF(DOMAIN=COV!$T$73,Dictionary!N557,IF(DOMAIN=COV!$T$75,Dictionary!P557,Dictionary!L557)))</f>
        <v>Project Name</v>
      </c>
      <c r="F557" s="616"/>
      <c r="G557" s="616" t="str">
        <f>IF(DOMAIN=COV!$T$72,Dictionary!R557,IF(DOMAIN=COV!$T$73,Dictionary!T557,IF(DOMAIN=COV!$T$75,Dictionary!V557,Dictionary!R557)))</f>
        <v>Projektname</v>
      </c>
      <c r="L557" s="616" t="s">
        <v>0</v>
      </c>
      <c r="N557" s="616" t="s">
        <v>3523</v>
      </c>
      <c r="P557" s="616" t="s">
        <v>3523</v>
      </c>
      <c r="R557" s="645" t="s">
        <v>1209</v>
      </c>
      <c r="T557" s="645" t="s">
        <v>3524</v>
      </c>
      <c r="V557" s="645" t="s">
        <v>3524</v>
      </c>
    </row>
    <row r="558" spans="2:22" ht="16">
      <c r="B558" s="616" t="str">
        <f>IF(FORM_LANGUAGE=GER,Dictionary!G558,Dictionary!E558)</f>
        <v>Kategorie / PM Domäne</v>
      </c>
      <c r="E558" s="616" t="s">
        <v>3540</v>
      </c>
      <c r="G558" s="616" t="s">
        <v>3541</v>
      </c>
    </row>
    <row r="559" spans="2:22" ht="16">
      <c r="B559" s="616" t="str">
        <f>IF(FORM_LANGUAGE=GER,Dictionary!G559,Dictionary!E559)</f>
        <v>Start in PM Rolle</v>
      </c>
      <c r="E559" s="616" t="s">
        <v>3380</v>
      </c>
      <c r="G559" s="616" t="s">
        <v>3379</v>
      </c>
    </row>
    <row r="560" spans="2:22" ht="16">
      <c r="B560" s="616" t="str">
        <f>IF(FORM_LANGUAGE=GER,Dictionary!G560,Dictionary!E560)</f>
        <v>Ende in PM Rolle</v>
      </c>
      <c r="E560" s="616" t="s">
        <v>3381</v>
      </c>
      <c r="G560" s="616" t="s">
        <v>3378</v>
      </c>
    </row>
    <row r="561" spans="2:55" ht="16">
      <c r="B561" s="616" t="str">
        <f>IF(FORM_LANGUAGE=GER,Dictionary!G561,Dictionary!E561)</f>
        <v>Anrechenbare Dauer (im Betrachtungszeitr.) [Monate]</v>
      </c>
      <c r="E561" s="616" t="s">
        <v>3624</v>
      </c>
      <c r="G561" s="616" t="s">
        <v>3623</v>
      </c>
    </row>
    <row r="562" spans="2:55" ht="16">
      <c r="B562" s="616" t="str">
        <f>IF(FORM_LANGUAGE=GER,Dictionary!G562,Dictionary!E562)</f>
        <v>Rolle</v>
      </c>
      <c r="E562" s="616" t="s">
        <v>8</v>
      </c>
      <c r="G562" s="616" t="s">
        <v>1234</v>
      </c>
    </row>
    <row r="563" spans="2:55" ht="16">
      <c r="B563" s="616" t="str">
        <f>IF(FORM_LANGUAGE=GER,Dictionary!G563,Dictionary!E563)</f>
        <v>Anteil an Auslastung [%]</v>
      </c>
      <c r="E563" s="616" t="s">
        <v>3519</v>
      </c>
      <c r="G563" s="616" t="s">
        <v>3520</v>
      </c>
    </row>
    <row r="564" spans="2:55" ht="16">
      <c r="B564" s="616" t="str">
        <f>IF(FORM_LANGUAGE=GER,Dictionary!G564,Dictionary!E564)</f>
        <v>ESR-Indikator</v>
      </c>
      <c r="E564" s="616" t="s">
        <v>599</v>
      </c>
      <c r="G564" s="616" t="s">
        <v>1235</v>
      </c>
    </row>
    <row r="565" spans="2:55" ht="16">
      <c r="B565" s="616" t="str">
        <f>IF(FORM_LANGUAGE=GER,Dictionary!G565,Dictionary!E565)</f>
        <v>-</v>
      </c>
      <c r="E565" s="616" t="s">
        <v>3402</v>
      </c>
      <c r="G565" s="616" t="s">
        <v>1038</v>
      </c>
    </row>
    <row r="566" spans="2:55" ht="16">
      <c r="B566" s="616" t="str">
        <f>IF(FORM_LANGUAGE=GER,Dictionary!G566,Dictionary!E566)</f>
        <v>Kumulierte Nettomonate in führender PM-Rolle:</v>
      </c>
      <c r="E566" s="616" t="s">
        <v>1269</v>
      </c>
      <c r="G566" s="616" t="s">
        <v>1270</v>
      </c>
    </row>
    <row r="567" spans="2:55" ht="16">
      <c r="B567" s="616" t="str">
        <f>IF(FORM_LANGUAGE=GER,Dictionary!G567,Dictionary!E567)</f>
        <v>36 Monate im Durchschnitt über 6 Jahre in führender PM-Rolle:</v>
      </c>
      <c r="E567" s="616" t="s">
        <v>1273</v>
      </c>
      <c r="G567" s="616" t="s">
        <v>1271</v>
      </c>
    </row>
    <row r="568" spans="2:55" ht="16">
      <c r="B568" s="616" t="str">
        <f>IF(FORM_LANGUAGE=GER,Dictionary!G568,Dictionary!E568)</f>
        <v>30 Monate im Durchschnitt über 5 Jahre in führender PM-Rolle:</v>
      </c>
      <c r="E568" s="616" t="s">
        <v>1272</v>
      </c>
      <c r="G568" s="616" t="s">
        <v>1276</v>
      </c>
    </row>
    <row r="569" spans="2:55" ht="16">
      <c r="B569" s="616" t="str">
        <f>IF(FORM_LANGUAGE=GER,Dictionary!G569,Dictionary!E569)</f>
        <v>60 Monate im Durchschnitt über 8 Jahre in führender PM-Rolle:</v>
      </c>
      <c r="E569" s="616" t="s">
        <v>1274</v>
      </c>
      <c r="G569" s="616" t="s">
        <v>1275</v>
      </c>
    </row>
    <row r="570" spans="2:55" ht="16">
      <c r="B570" s="616" t="str">
        <f>IF(FORM_LANGUAGE=GER,Dictionary!G570,Dictionary!E570)</f>
        <v>60 Monate im Durchschnitt über 12 Jahre in Direktoren-Rolle:</v>
      </c>
      <c r="E570" s="616" t="s">
        <v>1277</v>
      </c>
      <c r="G570" s="616" t="s">
        <v>1278</v>
      </c>
    </row>
    <row r="571" spans="2:55" ht="16">
      <c r="B571" s="616" t="str">
        <f>IF(FORM_LANGUAGE=GER,Dictionary!G571,Dictionary!E571)</f>
        <v>PM Auslastung</v>
      </c>
      <c r="E571" s="616" t="s">
        <v>3521</v>
      </c>
      <c r="G571" s="616" t="s">
        <v>3522</v>
      </c>
    </row>
    <row r="572" spans="2:55" ht="93" customHeight="1">
      <c r="B572" s="616" t="str">
        <f>IF(FORM_LANGUAGE=GER,Dictionary!G572,Dictionary!E572)&amp;H572</f>
        <v xml:space="preserve">Verfügbare PM-Kategories / -Domänen:
Teilprojekt
Projekt
Programm
Portfolio
</v>
      </c>
      <c r="E572" s="616" t="s">
        <v>4022</v>
      </c>
      <c r="G572" s="616" t="s">
        <v>4021</v>
      </c>
      <c r="H572" s="1726" t="str">
        <f>IF(PMO_MODE="","",B29)</f>
        <v/>
      </c>
    </row>
    <row r="573" spans="2:55" ht="16">
      <c r="B573" s="616" t="str">
        <f>IF(FORM_LANGUAGE=GER,Dictionary!G573,Dictionary!E573)</f>
        <v>Projektmanagement</v>
      </c>
      <c r="E573" s="616" t="s">
        <v>1258</v>
      </c>
      <c r="G573" s="616" t="s">
        <v>1259</v>
      </c>
    </row>
    <row r="574" spans="2:55" ht="80">
      <c r="B574" s="616" t="str">
        <f>IF(FORM_LANGUAGE=GER,Dictionary!G574,Dictionary!E574)</f>
        <v>Hinweis: 
Die Gesamtdauer Ihrer PM-Erfahrung endet mit dem auf dem Deckblatt angegebenen Zertifizierungsdatum. PM-Erfahrungen, die nach dem Zertifizierungsdatum enden, können eingetragen werden, aber die Zeit nach dem Zertifizierungsdatum wird nicht auf die erforderliche Vorerfahrung angerechnet.</v>
      </c>
      <c r="E574" s="616" t="s">
        <v>3382</v>
      </c>
      <c r="G574" s="616" t="s">
        <v>3383</v>
      </c>
    </row>
    <row r="576" spans="2:55" ht="208">
      <c r="B576" s="616" t="str">
        <f>IF(FORM_LANGUAGE=GER,Dictionary!G576,Dictionary!E576)</f>
        <v>Erlaubte Rollen: 
PJM: Projektmanager
PGM: Programm-Manager
PFM: Projektportfolio-Manager
CPM: Kaufmännischer Projektmanager
TPM: Technischer Projektmanager
Sub-PM: Teilprojektleiter
WPM: Arbeitspaketverantwortlicher
PDO: Product Owner
PMO: Project Management Office
FPM: Fachlicher Projekt Manager
SCO: SCRUM-Master</v>
      </c>
      <c r="E576" s="1840" t="str">
        <f>IF(LD_MODE="",AZ576,AY576)</f>
        <v>Allowed Roles:
PJM: Project Manager
PGM: Programme Manager
PFM: Project Portfolio Manager
CPM: Commercial Project Manager
TPM: Technical Project Manager
Sub-PM: Subproject Manager
WPM: Workpackage Manager
PDO: Product Owner
PMO: Project Management Office
FPM: Functional / Specialist Projekt Manager
SCO: SCRUM Master</v>
      </c>
      <c r="G576" s="1840" t="str">
        <f>IF(LD_MODE="",BC576,BB576)</f>
        <v>Erlaubte Rollen: 
PJM: Projektmanager
PGM: Programm-Manager
PFM: Projektportfolio-Manager
CPM: Kaufmännischer Projektmanager
TPM: Technischer Projektmanager
Sub-PM: Teilprojektleiter
WPM: Arbeitspaketverantwortlicher
PDO: Product Owner
PMO: Project Management Office
FPM: Fachlicher Projekt Manager
SCO: SCRUM-Master</v>
      </c>
      <c r="AY576" s="616" t="s">
        <v>3785</v>
      </c>
      <c r="AZ576" s="616" t="s">
        <v>4159</v>
      </c>
      <c r="BB576" s="616" t="s">
        <v>3786</v>
      </c>
      <c r="BC576" s="616" t="s">
        <v>4158</v>
      </c>
    </row>
    <row r="577" spans="2:55" ht="176">
      <c r="B577" s="1840" t="str">
        <f>IF(FORM_LANGUAGE=GER,Dictionary!G577,Dictionary!E577)</f>
        <v>Erlaubte IFX Rollen: 
PJM: Projektmanager
PGM: Programm-Manager
PFM: Projektportfolio-Manager
CPM: Kaufmännischer Projektmanager
TPM: Technischer Projektmanager
Sub-PM: Teilprojektleiter
PDO: Product Owner
FPM: Fachlicher Projekt Manager
SCO: SCRUM-Master</v>
      </c>
      <c r="C577" s="1841"/>
      <c r="D577" s="1841"/>
      <c r="E577" s="1840" t="str">
        <f>IF(LD_MODE="",AZ577,AY577)</f>
        <v>Allowed IFX Roles:
PJM: Project Manager
PGM: Programme Manager
PFM: Project Portfolio Manager
CPM: Commercial Project Manager
TPM: Technical Project Manager
Sub-PM: Subproject Manager
PDO: Product Owner
FPM: Functional / Specialist Projekt Manager
SCO: SCRUM Master</v>
      </c>
      <c r="F577" s="1841"/>
      <c r="G577" s="1840" t="str">
        <f>IF(LD_MODE="",BC577,BB577)</f>
        <v>Erlaubte IFX Rollen: 
PJM: Projektmanager
PGM: Programm-Manager
PFM: Projektportfolio-Manager
CPM: Kaufmännischer Projektmanager
TPM: Technischer Projektmanager
Sub-PM: Teilprojektleiter
PDO: Product Owner
FPM: Fachlicher Projekt Manager
SCO: SCRUM-Master</v>
      </c>
      <c r="AY577" s="1840" t="s">
        <v>4161</v>
      </c>
      <c r="AZ577" s="1840" t="s">
        <v>4162</v>
      </c>
      <c r="BB577" s="1840" t="s">
        <v>4163</v>
      </c>
      <c r="BC577" s="1840" t="s">
        <v>4164</v>
      </c>
    </row>
    <row r="578" spans="2:55">
      <c r="B578" s="638"/>
      <c r="C578" s="639"/>
      <c r="D578" s="639"/>
      <c r="E578" s="638"/>
      <c r="F578" s="639"/>
      <c r="G578" s="638"/>
    </row>
    <row r="579" spans="2:55">
      <c r="B579" s="638"/>
      <c r="C579" s="639"/>
      <c r="D579" s="639"/>
      <c r="E579" s="638"/>
      <c r="F579" s="639"/>
      <c r="G579" s="638"/>
    </row>
    <row r="580" spans="2:55">
      <c r="B580" s="638"/>
      <c r="C580" s="639"/>
      <c r="D580" s="639"/>
      <c r="E580" s="638"/>
      <c r="F580" s="639"/>
      <c r="G580" s="638"/>
    </row>
    <row r="581" spans="2:55">
      <c r="B581" s="638"/>
      <c r="C581" s="639"/>
      <c r="D581" s="639"/>
      <c r="E581" s="638"/>
      <c r="F581" s="639"/>
      <c r="G581" s="638"/>
    </row>
    <row r="582" spans="2:55" ht="16">
      <c r="B582" s="616" t="str">
        <f>IF(FORM_LANGUAGE=GER,Dictionary!G582,Dictionary!E582)</f>
        <v>Projektmanagement Arbeitsaufwand</v>
      </c>
      <c r="E582" s="616" t="s">
        <v>1207</v>
      </c>
      <c r="G582" s="616" t="s">
        <v>1208</v>
      </c>
    </row>
    <row r="583" spans="2:55" ht="16">
      <c r="B583" s="616" t="str">
        <f>IF(FORM_LANGUAGE=GER,Dictionary!G583,Dictionary!E583)</f>
        <v>EIGENE ERFAHRUNG</v>
      </c>
      <c r="E583" s="616" t="s">
        <v>2813</v>
      </c>
      <c r="G583" s="616" t="s">
        <v>2814</v>
      </c>
    </row>
    <row r="584" spans="2:55">
      <c r="E584" s="638"/>
    </row>
    <row r="586" spans="2:55">
      <c r="B586" s="2040" t="s">
        <v>1159</v>
      </c>
      <c r="C586" s="2040"/>
      <c r="D586" s="2040"/>
      <c r="E586" s="2040"/>
      <c r="F586" s="2040"/>
      <c r="G586" s="2040"/>
    </row>
    <row r="587" spans="2:55" ht="16">
      <c r="B587" s="616" t="str">
        <f>IF(FORM_LANGUAGE=GER,Dictionary!G587,Dictionary!E587)</f>
        <v>Kontrollbereich für Projektauftrag und MCR-Selektoren</v>
      </c>
      <c r="E587" s="616" t="s">
        <v>1077</v>
      </c>
      <c r="G587" s="616" t="s">
        <v>1225</v>
      </c>
    </row>
    <row r="588" spans="2:55" ht="16">
      <c r="B588" s="616" t="str">
        <f>IF(FORM_LANGUAGE=GER,Dictionary!G588,Dictionary!E588)</f>
        <v>Kundenauswahl</v>
      </c>
      <c r="E588" s="616" t="s">
        <v>1066</v>
      </c>
      <c r="G588" s="616" t="s">
        <v>1226</v>
      </c>
    </row>
    <row r="589" spans="2:55" ht="16">
      <c r="B589" s="616" t="str">
        <f>IF(FORM_LANGUAGE=GER,Dictionary!G589,Dictionary!E589)</f>
        <v>Projektverantwortung Dropdown</v>
      </c>
      <c r="E589" s="616" t="s">
        <v>1036</v>
      </c>
      <c r="G589" s="616" t="s">
        <v>1227</v>
      </c>
    </row>
    <row r="590" spans="2:55" ht="16">
      <c r="B590" s="616" t="str">
        <f>IF(FORM_LANGUAGE=GER,Dictionary!G590,Dictionary!E590)</f>
        <v>Projekttyp Dropdown</v>
      </c>
      <c r="E590" s="616" t="s">
        <v>1039</v>
      </c>
      <c r="G590" s="616" t="s">
        <v>1228</v>
      </c>
    </row>
    <row r="591" spans="2:55" ht="16">
      <c r="B591" s="616" t="str">
        <f>IF(FORM_LANGUAGE=GER,Dictionary!G591,Dictionary!E591)</f>
        <v>PO Dropdown</v>
      </c>
      <c r="E591" s="616" t="s">
        <v>1061</v>
      </c>
      <c r="G591" s="616" t="s">
        <v>1229</v>
      </c>
    </row>
    <row r="592" spans="2:55" ht="16">
      <c r="B592" s="616" t="str">
        <f>IF(FORM_LANGUAGE=GER,Dictionary!G592,Dictionary!E592)</f>
        <v>Kontrollabschnitt für die Punktevergabe</v>
      </c>
      <c r="E592" s="616" t="s">
        <v>1076</v>
      </c>
      <c r="G592" s="616" t="s">
        <v>1230</v>
      </c>
    </row>
    <row r="593" spans="2:7" ht="16">
      <c r="B593" s="616" t="str">
        <f>IF(FORM_LANGUAGE=GER,Dictionary!G593,Dictionary!E593)</f>
        <v>Bewertung Drop Down</v>
      </c>
      <c r="E593" s="616" t="s">
        <v>1078</v>
      </c>
      <c r="G593" s="616" t="s">
        <v>1231</v>
      </c>
    </row>
    <row r="594" spans="2:7" ht="16">
      <c r="B594" s="616" t="str">
        <f>IF(FORM_LANGUAGE=GER,Dictionary!G594,Dictionary!E594)</f>
        <v>Interner Kunde</v>
      </c>
      <c r="E594" s="616" t="s">
        <v>1064</v>
      </c>
      <c r="G594" s="616" t="s">
        <v>1062</v>
      </c>
    </row>
    <row r="595" spans="2:7" ht="16">
      <c r="B595" s="616" t="str">
        <f>IF(FORM_LANGUAGE=GER,Dictionary!G595,Dictionary!E595)</f>
        <v>Externer Kunde</v>
      </c>
      <c r="E595" s="616" t="s">
        <v>1065</v>
      </c>
      <c r="G595" s="616" t="s">
        <v>1063</v>
      </c>
    </row>
    <row r="597" spans="2:7" ht="16">
      <c r="B597" s="616" t="str">
        <f>IF(FORM_LANGUAGE=GER,Dictionary!G597,Dictionary!E597)</f>
        <v>Projekt- / Programm Typ</v>
      </c>
      <c r="E597" s="616" t="s">
        <v>1045</v>
      </c>
      <c r="G597" s="616" t="s">
        <v>1046</v>
      </c>
    </row>
    <row r="598" spans="2:7" ht="16">
      <c r="B598" s="616" t="str">
        <f>IF(FORM_LANGUAGE=GER,Dictionary!G598,Dictionary!E598)</f>
        <v>F&amp;E</v>
      </c>
      <c r="E598" s="616" t="s">
        <v>1041</v>
      </c>
      <c r="G598" s="616" t="s">
        <v>1044</v>
      </c>
    </row>
    <row r="599" spans="2:7" ht="16">
      <c r="B599" s="616" t="str">
        <f>IF(FORM_LANGUAGE=GER,Dictionary!G599,Dictionary!E599)</f>
        <v>Organisation</v>
      </c>
      <c r="E599" s="616" t="s">
        <v>1042</v>
      </c>
      <c r="G599" s="616" t="s">
        <v>653</v>
      </c>
    </row>
    <row r="600" spans="2:7" ht="16">
      <c r="B600" s="616" t="str">
        <f>IF(FORM_LANGUAGE=GER,Dictionary!G600,Dictionary!E600)</f>
        <v>Investition</v>
      </c>
      <c r="E600" s="616" t="s">
        <v>1043</v>
      </c>
      <c r="G600" s="616" t="s">
        <v>3792</v>
      </c>
    </row>
    <row r="601" spans="2:7" ht="16">
      <c r="B601" s="616" t="str">
        <f>IF(FORM_LANGUAGE=GER,Dictionary!G601,Dictionary!E601)</f>
        <v>Sonstige (s. Anm.)</v>
      </c>
      <c r="E601" s="616" t="s">
        <v>4012</v>
      </c>
      <c r="G601" s="616" t="s">
        <v>4013</v>
      </c>
    </row>
    <row r="603" spans="2:7" ht="16">
      <c r="B603" s="616" t="str">
        <f>IF(FORM_LANGUAGE=GER,Dictionary!G603,Dictionary!E603)</f>
        <v>Art der Projektorganisation</v>
      </c>
      <c r="E603" s="616" t="s">
        <v>1047</v>
      </c>
      <c r="G603" s="616" t="s">
        <v>1048</v>
      </c>
    </row>
    <row r="604" spans="2:7" ht="16">
      <c r="B604" s="616" t="str">
        <f>IF(FORM_LANGUAGE=GER,Dictionary!G604,Dictionary!E604)</f>
        <v>Stabslinie</v>
      </c>
      <c r="E604" s="616" t="s">
        <v>1049</v>
      </c>
      <c r="G604" s="616" t="s">
        <v>1055</v>
      </c>
    </row>
    <row r="605" spans="2:7" ht="16">
      <c r="B605" s="616" t="str">
        <f>IF(FORM_LANGUAGE=GER,Dictionary!G605,Dictionary!E605)</f>
        <v>Starke Matrix</v>
      </c>
      <c r="E605" s="616" t="s">
        <v>1050</v>
      </c>
      <c r="G605" s="616" t="s">
        <v>1056</v>
      </c>
    </row>
    <row r="606" spans="2:7" ht="16">
      <c r="B606" s="616" t="str">
        <f>IF(FORM_LANGUAGE=GER,Dictionary!G606,Dictionary!E606)</f>
        <v>Schwache Matrix</v>
      </c>
      <c r="E606" s="616" t="s">
        <v>1051</v>
      </c>
      <c r="G606" s="616" t="s">
        <v>1057</v>
      </c>
    </row>
    <row r="607" spans="2:7" ht="16">
      <c r="B607" s="616" t="str">
        <f>IF(FORM_LANGUAGE=GER,Dictionary!G607,Dictionary!E607)</f>
        <v>Ausgewogene Matrix</v>
      </c>
      <c r="E607" s="616" t="s">
        <v>1052</v>
      </c>
      <c r="G607" s="616" t="s">
        <v>1058</v>
      </c>
    </row>
    <row r="608" spans="2:7" ht="16">
      <c r="B608" s="616" t="str">
        <f>IF(FORM_LANGUAGE=GER,Dictionary!G608,Dictionary!E608)</f>
        <v>Autonom</v>
      </c>
      <c r="E608" s="616" t="s">
        <v>1053</v>
      </c>
      <c r="G608" s="616" t="s">
        <v>1059</v>
      </c>
    </row>
    <row r="609" spans="2:22" ht="16">
      <c r="B609" s="616" t="str">
        <f>IF(FORM_LANGUAGE=GER,Dictionary!G609,Dictionary!E609)</f>
        <v>Gemischt</v>
      </c>
      <c r="E609" s="616" t="s">
        <v>1054</v>
      </c>
      <c r="G609" s="616" t="s">
        <v>1060</v>
      </c>
    </row>
    <row r="613" spans="2:22">
      <c r="B613" s="2040" t="s">
        <v>3528</v>
      </c>
      <c r="C613" s="2040"/>
      <c r="D613" s="2040"/>
      <c r="E613" s="2040"/>
      <c r="F613" s="2040"/>
      <c r="G613" s="2040"/>
    </row>
    <row r="614" spans="2:22" ht="16">
      <c r="B614" s="616" t="str">
        <f>IF(FORM_LANGUAGE=GER,Dictionary!G614,Dictionary!E614)</f>
        <v xml:space="preserve">Steckbrief für Management Erfahrung </v>
      </c>
      <c r="E614" s="616" t="s">
        <v>3513</v>
      </c>
      <c r="F614" s="616"/>
      <c r="G614" s="616" t="s">
        <v>3514</v>
      </c>
      <c r="R614" s="616"/>
      <c r="S614" s="615"/>
      <c r="T614" s="616"/>
      <c r="U614" s="615"/>
      <c r="V614" s="616"/>
    </row>
    <row r="615" spans="2:22" ht="16">
      <c r="B615" s="616" t="str">
        <f>IF(FORM_LANGUAGE=GER,Dictionary!G615,Dictionary!E615)</f>
        <v xml:space="preserve">Name </v>
      </c>
      <c r="E615" s="616" t="s">
        <v>2313</v>
      </c>
      <c r="F615" s="616"/>
      <c r="G615" s="616" t="s">
        <v>3515</v>
      </c>
      <c r="R615" s="616"/>
      <c r="S615" s="615"/>
      <c r="T615" s="616"/>
      <c r="U615" s="615"/>
      <c r="V615" s="616"/>
    </row>
    <row r="616" spans="2:22" ht="16">
      <c r="B616" s="616" t="str">
        <f>IF(FORM_LANGUAGE=GER,Dictionary!G616,Dictionary!E616)</f>
        <v xml:space="preserve">Nummer </v>
      </c>
      <c r="E616" s="616" t="s">
        <v>3537</v>
      </c>
      <c r="F616" s="616"/>
      <c r="G616" s="616" t="s">
        <v>3516</v>
      </c>
      <c r="R616" s="616"/>
      <c r="S616" s="615"/>
      <c r="T616" s="616"/>
      <c r="U616" s="615"/>
      <c r="V616" s="616"/>
    </row>
    <row r="617" spans="2:22" ht="16">
      <c r="B617" s="616" t="str">
        <f>IF(FORM_LANGUAGE=GER,Dictionary!G617,Dictionary!E617)</f>
        <v>Kunde/AuftraggeberIn:</v>
      </c>
      <c r="E617" s="616" t="s">
        <v>1032</v>
      </c>
      <c r="G617" s="616" t="s">
        <v>1323</v>
      </c>
    </row>
    <row r="618" spans="2:22" ht="16">
      <c r="B618" s="616" t="str">
        <f>IF(FORM_LANGUAGE=GER,Dictionary!G618,Dictionary!E618)</f>
        <v>Kopfzeile</v>
      </c>
      <c r="E618" s="616" t="s">
        <v>1031</v>
      </c>
      <c r="G618" s="616" t="s">
        <v>1210</v>
      </c>
    </row>
    <row r="620" spans="2:22" ht="16">
      <c r="B620" s="616" t="str">
        <f>IF(FORM_LANGUAGE=GER,Dictionary!G620,Dictionary!E620)</f>
        <v>Governance &amp; eigene Rolle</v>
      </c>
      <c r="E620" s="616" t="s">
        <v>1067</v>
      </c>
      <c r="G620" s="616" t="s">
        <v>1252</v>
      </c>
    </row>
    <row r="621" spans="2:22" ht="16">
      <c r="B621" s="616" t="str">
        <f>IF(FORM_LANGUAGE=GER,Dictionary!G621,Dictionary!E621)</f>
        <v>Eigene Rolle:</v>
      </c>
      <c r="E621" s="616" t="s">
        <v>2799</v>
      </c>
      <c r="G621" s="616" t="s">
        <v>2800</v>
      </c>
    </row>
    <row r="622" spans="2:22" ht="16">
      <c r="B622" s="616" t="str">
        <f>IF(FORM_LANGUAGE=GER,Dictionary!G622,Dictionary!E622)</f>
        <v>Anmerkungen:</v>
      </c>
      <c r="E622" s="616" t="s">
        <v>2801</v>
      </c>
      <c r="G622" s="616" t="s">
        <v>1175</v>
      </c>
    </row>
    <row r="623" spans="2:22" ht="16">
      <c r="B623" s="616" t="str">
        <f>IF(FORM_LANGUAGE=GER,Dictionary!G623,Dictionary!E623)</f>
        <v>Verantwortung für den Umfang/die Ergebnisse:</v>
      </c>
      <c r="E623" s="616" t="s">
        <v>1033</v>
      </c>
      <c r="G623" s="616" t="s">
        <v>1214</v>
      </c>
    </row>
    <row r="624" spans="2:22" ht="16">
      <c r="B624" s="616" t="str">
        <f>IF(FORM_LANGUAGE=GER,Dictionary!G624,Dictionary!E624)</f>
        <v>Verantwortung für die Terminplanung:</v>
      </c>
      <c r="E624" s="616" t="s">
        <v>1034</v>
      </c>
      <c r="G624" s="616" t="s">
        <v>1211</v>
      </c>
    </row>
    <row r="625" spans="2:7" ht="16">
      <c r="B625" s="616" t="str">
        <f>IF(FORM_LANGUAGE=GER,Dictionary!G625,Dictionary!E625)</f>
        <v>Verantwortung für das Budget:</v>
      </c>
      <c r="E625" s="616" t="s">
        <v>1035</v>
      </c>
      <c r="G625" s="616" t="s">
        <v>1212</v>
      </c>
    </row>
    <row r="626" spans="2:7" ht="16">
      <c r="B626" s="616" t="str">
        <f>IF(FORM_LANGUAGE=GER,Dictionary!G626,Dictionary!E626)</f>
        <v>Art der PM Organisation</v>
      </c>
      <c r="E626" s="616" t="s">
        <v>2812</v>
      </c>
      <c r="G626" s="616" t="s">
        <v>4009</v>
      </c>
    </row>
    <row r="627" spans="2:7" ht="16">
      <c r="B627" s="616" t="str">
        <f>IF(FORM_LANGUAGE=GER,Dictionary!G627,Dictionary!E627)</f>
        <v>Typ</v>
      </c>
      <c r="E627" s="616" t="s">
        <v>4010</v>
      </c>
      <c r="G627" s="616" t="s">
        <v>4011</v>
      </c>
    </row>
    <row r="628" spans="2:7" ht="32">
      <c r="B628" s="616" t="str">
        <f>IF(FORM_LANGUAGE=GER,Dictionary!G628,Dictionary!E628)</f>
        <v>Kurze Beschreibung Ihrer eigenen Rolle, Verantwortung und Aktivitäten; wem sind Sie unterstellt?</v>
      </c>
      <c r="E628" s="616" t="s">
        <v>2802</v>
      </c>
      <c r="G628" s="616" t="s">
        <v>2803</v>
      </c>
    </row>
    <row r="630" spans="2:7" ht="16">
      <c r="B630" s="616" t="str">
        <f>IF(FORM_LANGUAGE=GER,Dictionary!G630,Dictionary!E630)</f>
        <v>Allgemeine Informationen und Beschreibung</v>
      </c>
      <c r="E630" s="616" t="s">
        <v>1030</v>
      </c>
      <c r="G630" s="616" t="s">
        <v>1213</v>
      </c>
    </row>
    <row r="631" spans="2:7" ht="16">
      <c r="B631" s="616" t="str">
        <f>IF(FORM_LANGUAGE=GER,Dictionary!G631,Dictionary!E631)</f>
        <v>Kurze Beschreibung der KPI, Ergebnisse und Liefergegenstände:</v>
      </c>
      <c r="E631" s="616" t="s">
        <v>3534</v>
      </c>
      <c r="G631" s="616" t="s">
        <v>3535</v>
      </c>
    </row>
    <row r="632" spans="2:7" ht="16">
      <c r="B632" s="616" t="str">
        <f>IF(FORM_LANGUAGE=GER,Dictionary!G632,Dictionary!E632)</f>
        <v>Kurze Beschreibung des Umfangs und der Ziele, für die Sie verantwortlich sind:</v>
      </c>
      <c r="E632" s="616" t="s">
        <v>2804</v>
      </c>
      <c r="G632" s="616" t="s">
        <v>2805</v>
      </c>
    </row>
    <row r="633" spans="2:7" ht="32">
      <c r="B633" s="616" t="str">
        <f>IF(FORM_LANGUAGE=GER,Dictionary!G633,Dictionary!E633)</f>
        <v>Informationen über erhebliche Planabweichungen und/oder kritische Managementsituationen:</v>
      </c>
      <c r="E633" s="616" t="s">
        <v>3517</v>
      </c>
      <c r="G633" s="616" t="s">
        <v>3518</v>
      </c>
    </row>
    <row r="635" spans="2:7" ht="16">
      <c r="B635" s="616" t="str">
        <f>IF(FORM_LANGUAGE=GER,Dictionary!G635,Dictionary!E635)</f>
        <v>Planung</v>
      </c>
      <c r="E635" s="616" t="s">
        <v>3529</v>
      </c>
      <c r="G635" s="616" t="s">
        <v>3530</v>
      </c>
    </row>
    <row r="636" spans="2:7" ht="16">
      <c r="B636" s="616" t="str">
        <f>IF(FORM_LANGUAGE=GER,Dictionary!G636,Dictionary!E636)</f>
        <v>Beginn des Vorhabens:</v>
      </c>
      <c r="E636" s="640" t="s">
        <v>3526</v>
      </c>
      <c r="G636" s="616" t="s">
        <v>3525</v>
      </c>
    </row>
    <row r="637" spans="2:7" ht="16">
      <c r="B637" s="616" t="str">
        <f>IF(FORM_LANGUAGE=GER,Dictionary!G637,Dictionary!E637)</f>
        <v>Ihr Beginn in dieser Rolle:</v>
      </c>
      <c r="E637" s="640" t="s">
        <v>4017</v>
      </c>
      <c r="G637" s="616" t="s">
        <v>4018</v>
      </c>
    </row>
    <row r="638" spans="2:7" ht="16">
      <c r="B638" s="616" t="str">
        <f>IF(FORM_LANGUAGE=GER,Dictionary!G638,Dictionary!E638)</f>
        <v>Phasen:</v>
      </c>
      <c r="E638" s="616" t="s">
        <v>3510</v>
      </c>
      <c r="G638" s="616" t="s">
        <v>2806</v>
      </c>
    </row>
    <row r="639" spans="2:7" ht="16">
      <c r="B639" s="616" t="str">
        <f>IF(FORM_LANGUAGE=GER,Dictionary!G639,Dictionary!E639)</f>
        <v>Meilensteine:</v>
      </c>
      <c r="E639" s="616" t="s">
        <v>2808</v>
      </c>
      <c r="G639" s="616" t="s">
        <v>2809</v>
      </c>
    </row>
    <row r="640" spans="2:7" ht="16">
      <c r="B640" s="616" t="str">
        <f>IF(FORM_LANGUAGE=GER,Dictionary!G640,Dictionary!E640)</f>
        <v>Zeitplanung:</v>
      </c>
      <c r="E640" s="616" t="s">
        <v>3531</v>
      </c>
      <c r="G640" s="616" t="s">
        <v>3532</v>
      </c>
    </row>
    <row r="641" spans="2:7" ht="16">
      <c r="B641" s="616" t="str">
        <f>IF(FORM_LANGUAGE=GER,Dictionary!G641,Dictionary!E641)</f>
        <v>Priorisierung:</v>
      </c>
      <c r="E641" s="616" t="s">
        <v>3536</v>
      </c>
      <c r="G641" s="616" t="s">
        <v>3533</v>
      </c>
    </row>
    <row r="642" spans="2:7" ht="16">
      <c r="B642" s="616" t="str">
        <f>IF(FORM_LANGUAGE=GER,Dictionary!G642,Dictionary!E642)</f>
        <v>Ende des Vorhabens:</v>
      </c>
      <c r="E642" s="616" t="s">
        <v>3527</v>
      </c>
      <c r="G642" s="616" t="s">
        <v>2807</v>
      </c>
    </row>
    <row r="643" spans="2:7" ht="16">
      <c r="B643" s="616" t="str">
        <f>IF(FORM_LANGUAGE=GER,Dictionary!G643,Dictionary!E643)</f>
        <v>Ende Ihrer Beteiligung:</v>
      </c>
      <c r="E643" s="616" t="s">
        <v>1091</v>
      </c>
      <c r="G643" s="616" t="s">
        <v>1215</v>
      </c>
    </row>
    <row r="645" spans="2:7" ht="16">
      <c r="B645" s="616" t="str">
        <f>IF(FORM_LANGUAGE=GER,Dictionary!G645,Dictionary!E645)</f>
        <v>Ressourcen, für die Sie direkt verantwortlich sind</v>
      </c>
      <c r="E645" s="616" t="s">
        <v>3507</v>
      </c>
      <c r="G645" s="616" t="s">
        <v>3506</v>
      </c>
    </row>
    <row r="646" spans="2:7" ht="16">
      <c r="B646" s="616" t="str">
        <f>IF(FORM_LANGUAGE=GER,Dictionary!G646,Dictionary!E646)</f>
        <v>Resourcen</v>
      </c>
      <c r="E646" s="616" t="s">
        <v>273</v>
      </c>
      <c r="G646" s="616" t="s">
        <v>4014</v>
      </c>
    </row>
    <row r="647" spans="2:7" ht="16">
      <c r="B647" s="616" t="str">
        <f>IF(FORM_LANGUAGE=GER,Dictionary!G647,Dictionary!E647)</f>
        <v>Wert</v>
      </c>
      <c r="E647" s="616" t="s">
        <v>1068</v>
      </c>
      <c r="G647" s="616" t="s">
        <v>1216</v>
      </c>
    </row>
    <row r="648" spans="2:7" ht="16">
      <c r="B648" s="616" t="str">
        <f>IF(FORM_LANGUAGE=GER,Dictionary!G648,Dictionary!E648)</f>
        <v>Anmerkungen</v>
      </c>
      <c r="E648" s="616" t="s">
        <v>2798</v>
      </c>
      <c r="G648" s="616" t="s">
        <v>1255</v>
      </c>
    </row>
    <row r="649" spans="2:7" ht="16">
      <c r="B649" s="616" t="str">
        <f>IF(FORM_LANGUAGE=GER,Dictionary!G649,Dictionary!E649)</f>
        <v>Anzahl der Ihnen direkt unterstellten Teammitglieder:</v>
      </c>
      <c r="E649" s="616" t="s">
        <v>2810</v>
      </c>
      <c r="G649" s="616" t="s">
        <v>2811</v>
      </c>
    </row>
    <row r="650" spans="2:7" ht="16">
      <c r="B650" s="616" t="str">
        <f>IF(FORM_LANGUAGE=GER,Dictionary!G650,Dictionary!E650)</f>
        <v>Anzahl der Mitglieder des Teams gemäß dem Organigramm (inkl. Sie selbst):</v>
      </c>
      <c r="E650" s="616" t="s">
        <v>4015</v>
      </c>
      <c r="G650" s="616" t="s">
        <v>4016</v>
      </c>
    </row>
    <row r="651" spans="2:7" ht="16">
      <c r="B651" s="616" t="str">
        <f>IF(FORM_LANGUAGE=GER,Dictionary!G651,Dictionary!E651)</f>
        <v>Gesamtaufwand [Personentage]:</v>
      </c>
      <c r="E651" s="616" t="s">
        <v>1070</v>
      </c>
      <c r="G651" s="616" t="s">
        <v>1217</v>
      </c>
    </row>
    <row r="652" spans="2:7" ht="16">
      <c r="B652" s="616" t="str">
        <f>IF(FORM_LANGUAGE=GER,Dictionary!G652,Dictionary!E652)</f>
        <v>Externer Arbeitsaufwand [Personentage]:</v>
      </c>
      <c r="E652" s="616" t="s">
        <v>1071</v>
      </c>
      <c r="G652" s="616" t="s">
        <v>1219</v>
      </c>
    </row>
    <row r="653" spans="2:7" ht="16">
      <c r="B653" s="616" t="str">
        <f>IF(FORM_LANGUAGE=GER,Dictionary!G653,Dictionary!E653)</f>
        <v>Interner Arbeitsaufwand [Personentage]:</v>
      </c>
      <c r="E653" s="616" t="s">
        <v>1072</v>
      </c>
      <c r="G653" s="616" t="s">
        <v>1218</v>
      </c>
    </row>
    <row r="654" spans="2:7" ht="16">
      <c r="B654" s="616" t="str">
        <f>IF(FORM_LANGUAGE=GER,Dictionary!G654,Dictionary!E654)</f>
        <v>Enthaltener PM-Aufwand [Personentage]:</v>
      </c>
      <c r="E654" s="616" t="s">
        <v>1028</v>
      </c>
      <c r="G654" s="616" t="s">
        <v>1220</v>
      </c>
    </row>
    <row r="655" spans="2:7" ht="16">
      <c r="B655" s="616" t="str">
        <f>IF(FORM_LANGUAGE=GER,Dictionary!G655,Dictionary!E655)</f>
        <v>Budget (Aufwand) unter Ihrer Verantwortung [€]:</v>
      </c>
      <c r="E655" s="616" t="s">
        <v>3793</v>
      </c>
      <c r="G655" s="616" t="s">
        <v>3796</v>
      </c>
    </row>
    <row r="656" spans="2:7" ht="16">
      <c r="B656" s="616" t="str">
        <f>IF(FORM_LANGUAGE=GER,Dictionary!G656,Dictionary!E656)</f>
        <v>Budget (Sachmittel) unter Ihrer Verantwortung [€]:</v>
      </c>
      <c r="E656" s="616" t="s">
        <v>3794</v>
      </c>
      <c r="G656" s="616" t="s">
        <v>3795</v>
      </c>
    </row>
    <row r="657" spans="2:22" ht="16">
      <c r="B657" s="616" t="str">
        <f>IF(FORM_LANGUAGE=GER,Dictionary!G657,Dictionary!E657)</f>
        <v>Gesamtbudget unter Ihrer Verantwortung [€]:</v>
      </c>
      <c r="E657" s="616" t="s">
        <v>3508</v>
      </c>
      <c r="G657" s="616" t="s">
        <v>3509</v>
      </c>
    </row>
    <row r="658" spans="2:22" ht="16">
      <c r="B658" s="616" t="str">
        <f>IF(FORM_LANGUAGE=GER,Dictionary!G658,Dictionary!E658)</f>
        <v xml:space="preserve">Anmerkungen </v>
      </c>
      <c r="E658" s="616" t="s">
        <v>2798</v>
      </c>
      <c r="G658" s="616" t="s">
        <v>1223</v>
      </c>
    </row>
    <row r="659" spans="2:22" ht="16">
      <c r="B659" s="616" t="str">
        <f>IF(FORM_LANGUAGE=GER,Dictionary!G659,Dictionary!E659)</f>
        <v>Anmerkungen zur Komplexität:</v>
      </c>
      <c r="E659" s="616" t="s">
        <v>1069</v>
      </c>
      <c r="G659" s="616" t="s">
        <v>1222</v>
      </c>
    </row>
    <row r="660" spans="2:22" ht="16">
      <c r="B660" s="616" t="str">
        <f>IF(FORM_LANGUAGE=GER,Dictionary!G660,Dictionary!E660)</f>
        <v>Allgemeine Anmerkungen:</v>
      </c>
      <c r="E660" s="616" t="s">
        <v>1029</v>
      </c>
      <c r="G660" s="616" t="s">
        <v>1224</v>
      </c>
    </row>
    <row r="662" spans="2:22">
      <c r="B662" s="2040" t="s">
        <v>2843</v>
      </c>
      <c r="C662" s="2040"/>
      <c r="D662" s="2040"/>
      <c r="E662" s="2040"/>
      <c r="F662" s="2040"/>
      <c r="G662" s="2040"/>
    </row>
    <row r="663" spans="2:22" ht="16">
      <c r="B663" s="616" t="str">
        <f>IF(FORM_LANGUAGE=GER,Dictionary!G663,Dictionary!E663)</f>
        <v>Projektliste für Eintrag</v>
      </c>
      <c r="E663" s="616" t="s">
        <v>2845</v>
      </c>
      <c r="G663" s="616" t="s">
        <v>2846</v>
      </c>
    </row>
    <row r="665" spans="2:22" ht="16">
      <c r="B665" s="616" t="str">
        <f>IF(FORM_LANGUAGE=GER,Dictionary!G665,Dictionary!E665)</f>
        <v>Nr.</v>
      </c>
      <c r="E665" s="616" t="s">
        <v>231</v>
      </c>
      <c r="G665" s="616" t="s">
        <v>667</v>
      </c>
    </row>
    <row r="666" spans="2:22" ht="16">
      <c r="B666" s="616" t="str">
        <f>IF(FORM_LANGUAGE=GER,Dictionary!G666,Dictionary!E666)</f>
        <v>Projektname</v>
      </c>
      <c r="E666" s="616" t="str">
        <f>IF(DOMAIN=COV!$T$72,Dictionary!L666,IF(DOMAIN=COV!$T$73,Dictionary!N666,IF(DOMAIN=COV!$T$75,Dictionary!P666,Dictionary!L666)))</f>
        <v>Project Name</v>
      </c>
      <c r="F666" s="616"/>
      <c r="G666" s="616" t="str">
        <f>IF(DOMAIN=COV!$T$72,Dictionary!R666,IF(DOMAIN=COV!$T$73,Dictionary!T666,IF(DOMAIN=COV!$T$75,Dictionary!V666,Dictionary!R666)))</f>
        <v>Projektname</v>
      </c>
      <c r="L666" s="616" t="s">
        <v>0</v>
      </c>
      <c r="N666" s="616" t="s">
        <v>2796</v>
      </c>
      <c r="P666" s="616" t="s">
        <v>2796</v>
      </c>
      <c r="R666" s="645" t="s">
        <v>1209</v>
      </c>
      <c r="T666" s="645" t="s">
        <v>2797</v>
      </c>
      <c r="V666" s="645" t="s">
        <v>2797</v>
      </c>
    </row>
    <row r="667" spans="2:22" ht="16">
      <c r="B667" s="616" t="str">
        <f>IF(FORM_LANGUAGE=GER,Dictionary!G667,Dictionary!E667)</f>
        <v>PM Domäne</v>
      </c>
      <c r="E667" s="616" t="s">
        <v>1261</v>
      </c>
      <c r="G667" s="616" t="s">
        <v>1262</v>
      </c>
    </row>
    <row r="668" spans="2:22" ht="16">
      <c r="B668" s="616" t="str">
        <f>IF(FORM_LANGUAGE=GER,Dictionary!G668,Dictionary!E668)</f>
        <v>Startdatum</v>
      </c>
      <c r="E668" s="616" t="s">
        <v>1</v>
      </c>
      <c r="G668" s="616" t="s">
        <v>1232</v>
      </c>
    </row>
    <row r="669" spans="2:22" ht="16">
      <c r="B669" s="616" t="str">
        <f>IF(FORM_LANGUAGE=GER,Dictionary!G669,Dictionary!E669)</f>
        <v>Endtermin</v>
      </c>
      <c r="E669" s="616" t="s">
        <v>2</v>
      </c>
      <c r="G669" s="616" t="s">
        <v>1233</v>
      </c>
    </row>
    <row r="670" spans="2:22" ht="16">
      <c r="B670" s="616" t="str">
        <f>IF(FORM_LANGUAGE=GER,Dictionary!G670,Dictionary!E670)</f>
        <v>Dauer</v>
      </c>
      <c r="E670" s="616" t="s">
        <v>625</v>
      </c>
      <c r="G670" s="616" t="s">
        <v>2333</v>
      </c>
    </row>
    <row r="671" spans="2:22" ht="16">
      <c r="B671" s="616" t="str">
        <f>IF(FORM_LANGUAGE=GER,Dictionary!G671,Dictionary!E671)</f>
        <v>Gesamtaufwand [Personentage]:</v>
      </c>
      <c r="E671" s="616" t="s">
        <v>1070</v>
      </c>
      <c r="G671" s="616" t="s">
        <v>1217</v>
      </c>
    </row>
    <row r="672" spans="2:22" ht="16">
      <c r="B672" s="616" t="str">
        <f>IF(FORM_LANGUAGE=GER,Dictionary!G672,Dictionary!E672)</f>
        <v>Gesamtbudget [€]:</v>
      </c>
      <c r="E672" s="616" t="s">
        <v>1073</v>
      </c>
      <c r="G672" s="616" t="s">
        <v>1221</v>
      </c>
    </row>
    <row r="673" spans="2:7" ht="16">
      <c r="B673" s="616" t="str">
        <f>IF(FORM_LANGUAGE=GER,Dictionary!G673,Dictionary!E673)</f>
        <v>geplant</v>
      </c>
      <c r="E673" s="616" t="s">
        <v>2840</v>
      </c>
      <c r="G673" s="616" t="s">
        <v>2823</v>
      </c>
    </row>
    <row r="674" spans="2:7" ht="16">
      <c r="B674" s="616" t="str">
        <f>IF(FORM_LANGUAGE=GER,Dictionary!G674,Dictionary!E674)</f>
        <v>realisiert</v>
      </c>
      <c r="E674" s="616" t="s">
        <v>2839</v>
      </c>
      <c r="G674" s="616" t="s">
        <v>2824</v>
      </c>
    </row>
    <row r="675" spans="2:7" ht="16">
      <c r="B675" s="616" t="str">
        <f>IF(FORM_LANGUAGE=GER,Dictionary!G675,Dictionary!E675)</f>
        <v xml:space="preserve">Programm / Portfolio Verwaltung </v>
      </c>
      <c r="E675" s="616" t="s">
        <v>2841</v>
      </c>
      <c r="G675" s="616" t="s">
        <v>2842</v>
      </c>
    </row>
    <row r="676" spans="2:7" ht="16">
      <c r="B676" s="616" t="str">
        <f>IF(FORM_LANGUAGE=GER,Dictionary!G676,Dictionary!E676)</f>
        <v>Projekt- / Programm Typ</v>
      </c>
      <c r="E676" s="616" t="s">
        <v>1045</v>
      </c>
      <c r="G676" s="616" t="s">
        <v>1046</v>
      </c>
    </row>
    <row r="677" spans="2:7" ht="16">
      <c r="B677" s="616" t="str">
        <f>IF(FORM_LANGUAGE=GER,Dictionary!G677,Dictionary!E677)</f>
        <v>Strategisch</v>
      </c>
      <c r="E677" s="616" t="s">
        <v>4019</v>
      </c>
      <c r="G677" s="616" t="s">
        <v>4020</v>
      </c>
    </row>
    <row r="679" spans="2:7">
      <c r="B679" s="2039" t="s">
        <v>1040</v>
      </c>
      <c r="C679" s="2039"/>
      <c r="D679" s="2039"/>
      <c r="E679" s="2039"/>
      <c r="F679" s="2039"/>
      <c r="G679" s="2039"/>
    </row>
    <row r="680" spans="2:7" ht="16">
      <c r="B680" s="616" t="str">
        <f>IF(FORM_LANGUAGE=GER,Dictionary!G680,Dictionary!E680)</f>
        <v xml:space="preserve">Bewertung der Managementkomplexität für Erfahrung </v>
      </c>
      <c r="E680" s="616" t="s">
        <v>3543</v>
      </c>
      <c r="G680" s="616" t="s">
        <v>3542</v>
      </c>
    </row>
    <row r="681" spans="2:7" ht="16">
      <c r="B681" s="616" t="str">
        <f>IF(FORM_LANGUAGE=GER,Dictionary!G681,Dictionary!E681)</f>
        <v>Komplexitätsindikatoren und Teilindikatoren</v>
      </c>
      <c r="E681" s="616" t="s">
        <v>295</v>
      </c>
      <c r="G681" s="616" t="s">
        <v>1244</v>
      </c>
    </row>
    <row r="682" spans="2:7" ht="16">
      <c r="B682" s="616" t="str">
        <f>IF(FORM_LANGUAGE=GER,Dictionary!G682,Dictionary!E682)</f>
        <v>Zu bewertende Kriterien:</v>
      </c>
      <c r="E682" s="616" t="s">
        <v>296</v>
      </c>
      <c r="G682" s="616" t="s">
        <v>1253</v>
      </c>
    </row>
    <row r="683" spans="2:7" ht="16">
      <c r="B683" s="616" t="str">
        <f>IF(FORM_LANGUAGE=GER,Dictionary!G683,Dictionary!E683)</f>
        <v>Bewertungen und Kommentare</v>
      </c>
      <c r="E683" s="616" t="s">
        <v>307</v>
      </c>
      <c r="G683" s="616" t="s">
        <v>1243</v>
      </c>
    </row>
    <row r="684" spans="2:7" ht="16">
      <c r="B684" s="616" t="str">
        <f>IF(FORM_LANGUAGE=GER,Dictionary!G684,Dictionary!E684)</f>
        <v>wenig komplex   (1)</v>
      </c>
      <c r="E684" s="616" t="s">
        <v>1236</v>
      </c>
      <c r="G684" s="616" t="s">
        <v>1242</v>
      </c>
    </row>
    <row r="685" spans="2:7" ht="16">
      <c r="B685" s="616" t="str">
        <f>IF(FORM_LANGUAGE=GER,Dictionary!G685,Dictionary!E685)</f>
        <v>begrenzt komplex   (2)</v>
      </c>
      <c r="E685" s="616" t="s">
        <v>1237</v>
      </c>
      <c r="G685" s="616" t="s">
        <v>1241</v>
      </c>
    </row>
    <row r="686" spans="2:7" ht="16">
      <c r="B686" s="616" t="str">
        <f>IF(FORM_LANGUAGE=GER,Dictionary!G686,Dictionary!E686)</f>
        <v>komplex   (3)</v>
      </c>
      <c r="E686" s="616" t="s">
        <v>1238</v>
      </c>
      <c r="G686" s="616" t="s">
        <v>1240</v>
      </c>
    </row>
    <row r="687" spans="2:7" ht="16">
      <c r="B687" s="616" t="str">
        <f>IF(FORM_LANGUAGE=GER,Dictionary!G687,Dictionary!E687)</f>
        <v>sehr komplex   (4)</v>
      </c>
      <c r="E687" s="616" t="s">
        <v>300</v>
      </c>
      <c r="G687" s="616" t="s">
        <v>1239</v>
      </c>
    </row>
    <row r="688" spans="2:7" ht="16">
      <c r="E688" s="616" t="s">
        <v>307</v>
      </c>
      <c r="G688" s="616" t="s">
        <v>1243</v>
      </c>
    </row>
    <row r="689" spans="2:7" ht="16">
      <c r="B689" s="616" t="str">
        <f>IF(FORM_LANGUAGE=GER,Dictionary!G689,Dictionary!E689)</f>
        <v>Bewerber/in</v>
      </c>
      <c r="E689" s="616" t="s">
        <v>12</v>
      </c>
      <c r="G689" s="616" t="s">
        <v>1245</v>
      </c>
    </row>
    <row r="690" spans="2:7" ht="16">
      <c r="B690" s="616" t="str">
        <f>IF(FORM_LANGUAGE=GER,Dictionary!G690,Dictionary!E690)</f>
        <v>Leitende/r Assessor/in</v>
      </c>
      <c r="E690" s="616" t="s">
        <v>288</v>
      </c>
      <c r="G690" s="616" t="s">
        <v>2815</v>
      </c>
    </row>
    <row r="691" spans="2:7" ht="16">
      <c r="B691" s="616" t="str">
        <f>IF(FORM_LANGUAGE=GER,Dictionary!G691,Dictionary!E691)</f>
        <v>Anmerkungen, Kommentare, Nachweise (fakultativ)</v>
      </c>
      <c r="E691" s="616" t="s">
        <v>301</v>
      </c>
      <c r="G691" s="616" t="s">
        <v>1246</v>
      </c>
    </row>
    <row r="693" spans="2:7" ht="16">
      <c r="B693" s="616" t="str">
        <f>IF(FORM_LANGUAGE=GER,Dictionary!G693,Dictionary!E693)</f>
        <v>Indikatoren bezogen auf die technischen Fähigkeiten</v>
      </c>
      <c r="E693" s="616" t="s">
        <v>586</v>
      </c>
      <c r="G693" s="616" t="s">
        <v>1099</v>
      </c>
    </row>
    <row r="694" spans="2:7" ht="16">
      <c r="B694" s="616" t="str">
        <f>IF(FORM_LANGUAGE=GER,Dictionary!G694,Dictionary!E694)</f>
        <v>Ziele und Ergebnisse</v>
      </c>
      <c r="E694" s="616" t="s">
        <v>598</v>
      </c>
      <c r="G694" s="616" t="s">
        <v>1097</v>
      </c>
    </row>
    <row r="695" spans="2:7" ht="48">
      <c r="B695" s="616" t="str">
        <f>IF(FORM_LANGUAGE=GER,Dictionary!G695,Dictionary!E695)</f>
        <v>Anzahl und Unterschiedlichkeit der Einzelziele unter Berücksichtigung der Ziele und Erwartungen der relevanten Stakeholder, unterschiedliche Zielkategorien: Prozessziele, Nutzungsziele (Business Case), Operationalisierbarkeit, Transparenz und Abhängigkeiten</v>
      </c>
      <c r="E695" s="616" t="s">
        <v>597</v>
      </c>
      <c r="G695" s="616" t="s">
        <v>1110</v>
      </c>
    </row>
    <row r="696" spans="2:7" ht="23" customHeight="1">
      <c r="B696" s="616" t="str">
        <f>IF(FORM_LANGUAGE=GER,Dictionary!G696,Dictionary!E696)</f>
        <v>sehr wenige klare Ziele, alle quantitativ angegeben, operabel</v>
      </c>
      <c r="E696" s="616" t="s">
        <v>1254</v>
      </c>
      <c r="G696" s="616" t="s">
        <v>1111</v>
      </c>
    </row>
    <row r="697" spans="2:7" ht="32">
      <c r="B697" s="616" t="str">
        <f>IF(FORM_LANGUAGE=GER,Dictionary!G697,Dictionary!E697)</f>
        <v>wenige Ziele, gut formuliert, wenig Zielkonflikte</v>
      </c>
      <c r="E697" s="616" t="s">
        <v>595</v>
      </c>
      <c r="G697" s="616" t="s">
        <v>1112</v>
      </c>
    </row>
    <row r="698" spans="2:7" ht="64">
      <c r="B698" s="616" t="str">
        <f>IF(FORM_LANGUAGE=GER,Dictionary!G698,Dictionary!E698)</f>
        <v>mehrere Ziele unterschiedlicher Art, teilweise unklar definiert</v>
      </c>
      <c r="E698" s="616" t="s">
        <v>594</v>
      </c>
      <c r="G698" s="616" t="s">
        <v>1113</v>
      </c>
    </row>
    <row r="699" spans="2:7" ht="32">
      <c r="B699" s="616" t="str">
        <f>IF(FORM_LANGUAGE=GER,Dictionary!G699,Dictionary!E699)</f>
        <v>viele, teilweise konkurrierende  Ziele, strategische und politische Ziele, versteckte Ziele, Nutzungsziele</v>
      </c>
      <c r="E699" s="616" t="s">
        <v>593</v>
      </c>
      <c r="G699" s="616" t="s">
        <v>1114</v>
      </c>
    </row>
    <row r="701" spans="2:7" ht="16">
      <c r="B701" s="616" t="str">
        <f>IF(FORM_LANGUAGE=GER,Dictionary!G701,Dictionary!E701)</f>
        <v>Aufgaben und Prozesse</v>
      </c>
      <c r="E701" s="616" t="s">
        <v>592</v>
      </c>
      <c r="G701" s="616" t="s">
        <v>1098</v>
      </c>
    </row>
    <row r="702" spans="2:7" ht="48">
      <c r="B702" s="616" t="str">
        <f>IF(FORM_LANGUAGE=GER,Dictionary!G702,Dictionary!E702)</f>
        <v>Umfang der Aufgaben, Annahmen und Randbedingungen und deren Abhängigkeiten, eingesetzte Prozesse, Tools und Methoden, eingesetzte Team- und Kommunikationsstrukturen</v>
      </c>
      <c r="E702" s="616" t="s">
        <v>591</v>
      </c>
      <c r="G702" s="616" t="s">
        <v>1115</v>
      </c>
    </row>
    <row r="703" spans="2:7" ht="16">
      <c r="B703" s="616" t="str">
        <f>IF(FORM_LANGUAGE=GER,Dictionary!G703,Dictionary!E703)</f>
        <v>bekannte Aufgabenstellung und Randbedingungen; wenige Standard-/Reportingverfahren</v>
      </c>
      <c r="E703" s="615" t="s">
        <v>590</v>
      </c>
      <c r="G703" s="616" t="s">
        <v>1116</v>
      </c>
    </row>
    <row r="704" spans="2:7" ht="32">
      <c r="B704" s="616" t="str">
        <f>IF(FORM_LANGUAGE=GER,Dictionary!G704,Dictionary!E704)</f>
        <v>mehrere Aufgaben, ergänzt durch Annahmen; Einsatz bekannter Prozesse und Tools, einige Reporting-Vorgaben</v>
      </c>
      <c r="E704" s="616" t="s">
        <v>589</v>
      </c>
      <c r="G704" s="616" t="s">
        <v>1117</v>
      </c>
    </row>
    <row r="705" spans="2:7" ht="32">
      <c r="B705" s="616" t="str">
        <f>IF(FORM_LANGUAGE=GER,Dictionary!G705,Dictionary!E705)</f>
        <v>umfangreiches System von Aufgaben und Annahmen; viele Sachfaktoren; teilweise Einsatz neuartiger Tools und Prozesse, Reporting-Vorgaben</v>
      </c>
      <c r="E705" s="616" t="s">
        <v>588</v>
      </c>
      <c r="G705" s="616" t="s">
        <v>1118</v>
      </c>
    </row>
    <row r="706" spans="2:7" ht="32">
      <c r="B706" s="616" t="str">
        <f>IF(FORM_LANGUAGE=GER,Dictionary!G706,Dictionary!E706)</f>
        <v>sehr komplexe Aufgabenstellung, umfangreiches sachliches Umfeld; erfordert den Einsatz umfangreicher Prozess- und Toolwelt, strenge Reporting-Vorgaben</v>
      </c>
      <c r="E706" s="616" t="s">
        <v>587</v>
      </c>
      <c r="G706" s="616" t="s">
        <v>1119</v>
      </c>
    </row>
    <row r="708" spans="2:7" ht="16">
      <c r="B708" s="616" t="str">
        <f>IF(FORM_LANGUAGE=GER,Dictionary!G708,Dictionary!E708)</f>
        <v>Ressourcen und Finanzen</v>
      </c>
      <c r="E708" s="616" t="s">
        <v>585</v>
      </c>
      <c r="G708" s="616" t="s">
        <v>1100</v>
      </c>
    </row>
    <row r="709" spans="2:7" ht="48">
      <c r="B709" s="616" t="str">
        <f>IF(FORM_LANGUAGE=GER,Dictionary!G709,Dictionary!E709)</f>
        <v>Akquisition und Bereitstellung der erforderlichen Budgets sowie deren Management; Anzahl der Geldgeber; Verfügbarkeit und Qualität der notwendigen (personellen und sonstigen) Ressourcen; Ressourcen-Management und Beschaffungsprozesse</v>
      </c>
      <c r="E709" s="616" t="s">
        <v>584</v>
      </c>
      <c r="G709" s="616" t="s">
        <v>1120</v>
      </c>
    </row>
    <row r="710" spans="2:7" ht="32">
      <c r="B710" s="616" t="str">
        <f>IF(FORM_LANGUAGE=GER,Dictionary!G710,Dictionary!E710)</f>
        <v>Budget-Ermittlung ohne Verhandlung, einfache Kostenüberwachung; Ressourcen verfügbar, geringe Ressourcenkonflikte; geringfügige Beschaffungsvorgänge</v>
      </c>
      <c r="E710" s="616" t="s">
        <v>583</v>
      </c>
      <c r="G710" s="616" t="s">
        <v>1121</v>
      </c>
    </row>
    <row r="711" spans="2:7" ht="32">
      <c r="B711" s="616" t="str">
        <f>IF(FORM_LANGUAGE=GER,Dictionary!G711,Dictionary!E711)</f>
        <v>Budget-Ermittlung und  -Verhandlung; Verhandlung der benötigten Ressourcen, teilweise externe Ressourcen-Beschaffung</v>
      </c>
      <c r="E711" s="616" t="s">
        <v>582</v>
      </c>
      <c r="G711" s="616" t="s">
        <v>1122</v>
      </c>
    </row>
    <row r="712" spans="2:7" ht="32">
      <c r="B712" s="616" t="str">
        <f>IF(FORM_LANGUAGE=GER,Dictionary!G712,Dictionary!E712)</f>
        <v>Budget- und Ressourcenbeschaffung im Wettbewerb mit anderen Projekten; wesentliche Beschaffungsvorgänge</v>
      </c>
      <c r="E712" s="616" t="s">
        <v>581</v>
      </c>
      <c r="G712" s="616" t="s">
        <v>1123</v>
      </c>
    </row>
    <row r="713" spans="2:7" ht="32">
      <c r="B713" s="616" t="str">
        <f>IF(FORM_LANGUAGE=GER,Dictionary!G713,Dictionary!E713)</f>
        <v>Beschaffung wesentlicher Finanzmittel, Finanzierung durch unterschiedliche Geldgeber intern und extern; Steuerung wesentlicher Unterauftragnehmer</v>
      </c>
      <c r="E713" s="616" t="s">
        <v>580</v>
      </c>
      <c r="G713" s="616" t="s">
        <v>1124</v>
      </c>
    </row>
    <row r="715" spans="2:7" ht="13" customHeight="1">
      <c r="B715" s="616" t="str">
        <f>IF(FORM_LANGUAGE=GER,Dictionary!G715,Dictionary!E715)</f>
        <v>Chancen und Risiken</v>
      </c>
      <c r="E715" s="616" t="s">
        <v>579</v>
      </c>
      <c r="G715" s="616" t="s">
        <v>1101</v>
      </c>
    </row>
    <row r="716" spans="2:7" ht="48">
      <c r="B716" s="616" t="str">
        <f>IF(FORM_LANGUAGE=GER,Dictionary!G716,Dictionary!E716)</f>
        <v xml:space="preserve">Bewertung der Chancen und Risiken im Projekt; Ermittlung und Steuerung des Risikosystems; Ableitung von validen Maßnahmen; Ermittlung und Nutzung von Chancen; Anwendung von Tools zur Steuerung des Risiko-Budgets </v>
      </c>
      <c r="E716" s="616" t="s">
        <v>578</v>
      </c>
      <c r="G716" s="616" t="s">
        <v>1125</v>
      </c>
    </row>
    <row r="717" spans="2:7" ht="16">
      <c r="B717" s="616" t="str">
        <f>IF(FORM_LANGUAGE=GER,Dictionary!G717,Dictionary!E717)</f>
        <v>wenige Risiken in überschaubarer Höhe, kein Chancen-Management</v>
      </c>
      <c r="E717" s="616" t="s">
        <v>577</v>
      </c>
      <c r="G717" s="616" t="s">
        <v>1126</v>
      </c>
    </row>
    <row r="718" spans="2:7" ht="16">
      <c r="B718" s="616" t="str">
        <f>IF(FORM_LANGUAGE=GER,Dictionary!G718,Dictionary!E718)</f>
        <v>mehrere Risiken und Chancen; stabiles Risiko-System; Management eines Risiko-Budgets</v>
      </c>
      <c r="E718" s="616" t="s">
        <v>576</v>
      </c>
      <c r="G718" s="616" t="s">
        <v>1127</v>
      </c>
    </row>
    <row r="719" spans="2:7" ht="32">
      <c r="B719" s="616" t="str">
        <f>IF(FORM_LANGUAGE=GER,Dictionary!G719,Dictionary!E719)</f>
        <v>mehrere Risiken mit begrenzter Schadenshöhe; Möglichkeit der Chancen-Nutzung zur Entlastung des Projektes</v>
      </c>
      <c r="E719" s="616" t="s">
        <v>575</v>
      </c>
      <c r="G719" s="616" t="s">
        <v>1128</v>
      </c>
    </row>
    <row r="720" spans="2:7" ht="32">
      <c r="B720" s="616" t="str">
        <f>IF(FORM_LANGUAGE=GER,Dictionary!G720,Dictionary!E720)</f>
        <v>Umfangreiches Risiko-Potential inklusive hoher strategischer Risiken; Anwendung valider Steuerungsmöglichkeiten; Meldung nach KONTRAG</v>
      </c>
      <c r="E720" s="616" t="s">
        <v>574</v>
      </c>
      <c r="G720" s="616" t="s">
        <v>1129</v>
      </c>
    </row>
    <row r="721" spans="2:7" ht="16">
      <c r="B721" s="616" t="str">
        <f>IF(FORM_LANGUAGE=GER,Dictionary!G721,Dictionary!E721)</f>
        <v>Durchschnitt der eingegebenen Detailbewertungen:</v>
      </c>
      <c r="E721" s="616" t="s">
        <v>302</v>
      </c>
      <c r="G721" s="616" t="s">
        <v>1247</v>
      </c>
    </row>
    <row r="723" spans="2:7" ht="16">
      <c r="B723" s="616" t="str">
        <f>IF(FORM_LANGUAGE=GER,Dictionary!G723,Dictionary!E723)</f>
        <v>Indikatoren bezogen auf den Kontext</v>
      </c>
      <c r="E723" s="616" t="s">
        <v>567</v>
      </c>
      <c r="G723" s="616" t="s">
        <v>1103</v>
      </c>
    </row>
    <row r="724" spans="2:7" ht="16">
      <c r="B724" s="616" t="str">
        <f>IF(FORM_LANGUAGE=GER,Dictionary!G724,Dictionary!E724)</f>
        <v xml:space="preserve">Strategie, Stakeholder </v>
      </c>
      <c r="E724" s="616" t="s">
        <v>573</v>
      </c>
      <c r="G724" s="616" t="s">
        <v>1102</v>
      </c>
    </row>
    <row r="725" spans="2:7" ht="48">
      <c r="B725" s="616" t="str">
        <f>IF(FORM_LANGUAGE=GER,Dictionary!G725,Dictionary!E725)</f>
        <v>Einfluss der Unternehmens-Strategie, Auswirkungen des Projektes auf das Unternehmen, Stakeholder-Interessen;
Gesetze und Regularien</v>
      </c>
      <c r="E725" s="616" t="s">
        <v>572</v>
      </c>
      <c r="G725" s="616" t="s">
        <v>1130</v>
      </c>
    </row>
    <row r="726" spans="2:7" ht="16">
      <c r="B726" s="616" t="str">
        <f>IF(FORM_LANGUAGE=GER,Dictionary!G726,Dictionary!E726)</f>
        <v>wenige strategische Einflüsse; Projekt ist rein operativ ausgerichtet</v>
      </c>
      <c r="E726" s="616" t="s">
        <v>571</v>
      </c>
      <c r="G726" s="616" t="s">
        <v>1131</v>
      </c>
    </row>
    <row r="727" spans="2:7" ht="32">
      <c r="B727" s="616" t="str">
        <f>IF(FORM_LANGUAGE=GER,Dictionary!G727,Dictionary!E727)</f>
        <v>Stakeholder-Interessen  beeinflussen das Projekt begrenzte Einflüsse aus der Unternehmens-Strategie</v>
      </c>
      <c r="E727" s="616" t="s">
        <v>570</v>
      </c>
      <c r="G727" s="616" t="s">
        <v>1132</v>
      </c>
    </row>
    <row r="728" spans="2:7" ht="16">
      <c r="B728" s="616" t="str">
        <f>IF(FORM_LANGUAGE=GER,Dictionary!G728,Dictionary!E728)</f>
        <v>Viele Komponenten (?) unterschiedlicher Art</v>
      </c>
      <c r="E728" s="616" t="s">
        <v>569</v>
      </c>
      <c r="G728" s="616" t="s">
        <v>1133</v>
      </c>
    </row>
    <row r="729" spans="2:7" ht="32">
      <c r="B729" s="616" t="str">
        <f>IF(FORM_LANGUAGE=GER,Dictionary!G729,Dictionary!E729)</f>
        <v>Projekt hat erheblichen Einfluss auf das Unternehmen und seinen Erfolg; starke Auswirkungen von Gesetzen und Regularien</v>
      </c>
      <c r="E729" s="616" t="s">
        <v>568</v>
      </c>
      <c r="G729" s="616" t="s">
        <v>1134</v>
      </c>
    </row>
    <row r="731" spans="2:7" ht="16">
      <c r="B731" s="616" t="str">
        <f>IF(FORM_LANGUAGE=GER,Dictionary!G731,Dictionary!E731)</f>
        <v>Stammorganisation</v>
      </c>
      <c r="E731" s="616" t="s">
        <v>566</v>
      </c>
      <c r="G731" s="616" t="s">
        <v>1104</v>
      </c>
    </row>
    <row r="732" spans="2:7" ht="32">
      <c r="B732" s="616" t="str">
        <f>IF(FORM_LANGUAGE=GER,Dictionary!G732,Dictionary!E732)</f>
        <v>Umfang der Vernetzung über Schnittstellen des Projektes mit den Strukturen, Berichtswesen und Entscheidungswegen der Stammorganisation</v>
      </c>
      <c r="E732" s="616" t="s">
        <v>565</v>
      </c>
      <c r="G732" s="616" t="s">
        <v>1135</v>
      </c>
    </row>
    <row r="733" spans="2:7" ht="48">
      <c r="B733" s="616" t="str">
        <f>IF(FORM_LANGUAGE=GER,Dictionary!G733,Dictionary!E733)</f>
        <v xml:space="preserve">starke Abgrenzung des Projektes von der Stammorganisation, Entscheidungen fallen wesentlich in der Stammorganisation, viele ähnliche Projekte wurden bereits im Unternehmen durchgeführt </v>
      </c>
      <c r="E733" s="616" t="s">
        <v>564</v>
      </c>
      <c r="G733" s="616" t="s">
        <v>1136</v>
      </c>
    </row>
    <row r="734" spans="2:7" ht="64">
      <c r="B734" s="616" t="str">
        <f>IF(FORM_LANGUAGE=GER,Dictionary!G734,Dictionary!E734)</f>
        <v>klare Schnittstellen zur Stammorganisation z.B. über Leitungsgremium; Berichtswesen und Entscheidungswege begrenzt und klar definiert Projekt hat geringe Auswirkungen auf Prozesse der Stammorganisation,  ähnliche Projekte wurden bereits im Unternehmen durchgeführt</v>
      </c>
      <c r="E734" s="616" t="s">
        <v>601</v>
      </c>
      <c r="G734" s="616" t="s">
        <v>1137</v>
      </c>
    </row>
    <row r="735" spans="2:7" ht="64">
      <c r="B735" s="616" t="str">
        <f>IF(FORM_LANGUAGE=GER,Dictionary!G735,Dictionary!E735)</f>
        <v>viele operative Schnittstellen wirken auf  das Projekt ein; Berichte und Entscheidungen machen erheblichen Arbeitsanteil aus, Projekt hat  Auswirkungen auf Prozesse der Stammorganisation, wenige ähnliche Projekte wurden bereits im Unternehmen durchgeführt</v>
      </c>
      <c r="E735" s="616" t="s">
        <v>563</v>
      </c>
      <c r="G735" s="616" t="s">
        <v>1138</v>
      </c>
    </row>
    <row r="736" spans="2:7" ht="48">
      <c r="B736" s="616" t="str">
        <f>IF(FORM_LANGUAGE=GER,Dictionary!G736,Dictionary!E736)</f>
        <v>Starke Einflüsse der Stammorganisation auf strategischer Ebene; Entscheidungen durch Verhandlungen mit der Stammorganisation, Projekt hat starke Auswirkungen auf Prozesse der Stammorganisation , Projekt ist neuartig für Unternehmen</v>
      </c>
      <c r="E736" s="616" t="s">
        <v>562</v>
      </c>
      <c r="G736" s="616" t="s">
        <v>1139</v>
      </c>
    </row>
    <row r="738" spans="2:7" ht="16">
      <c r="B738" s="616" t="str">
        <f>IF(FORM_LANGUAGE=GER,Dictionary!G738,Dictionary!E738)</f>
        <v>Sozio-Kulturelle Einflüsse</v>
      </c>
      <c r="E738" s="616" t="s">
        <v>561</v>
      </c>
      <c r="G738" s="616" t="s">
        <v>1105</v>
      </c>
    </row>
    <row r="739" spans="2:7" ht="32">
      <c r="B739" s="616" t="str">
        <f>IF(FORM_LANGUAGE=GER,Dictionary!G739,Dictionary!E739)</f>
        <v>Einfluss der sozio-kulturellen Unterschiede im Projektteam, insbesondere bei verteilten oder Firmen-übergreifenden Teams</v>
      </c>
      <c r="E739" s="616" t="s">
        <v>560</v>
      </c>
      <c r="G739" s="616" t="s">
        <v>1140</v>
      </c>
    </row>
    <row r="740" spans="2:7" ht="32">
      <c r="B740" s="616" t="str">
        <f>IF(FORM_LANGUAGE=GER,Dictionary!G740,Dictionary!E740)</f>
        <v>keine Auswirkungen zu erwarten (Projekt an einem Standort, eine Sprache, homogene Projektgruppe)</v>
      </c>
      <c r="E740" s="616" t="s">
        <v>559</v>
      </c>
      <c r="G740" s="616" t="s">
        <v>1141</v>
      </c>
    </row>
    <row r="741" spans="2:7" ht="16">
      <c r="B741" s="616" t="str">
        <f>IF(FORM_LANGUAGE=GER,Dictionary!G741,Dictionary!E741)</f>
        <v>wenig Auswirkungen zu erwarten</v>
      </c>
      <c r="E741" s="616" t="s">
        <v>558</v>
      </c>
      <c r="G741" s="616" t="s">
        <v>1142</v>
      </c>
    </row>
    <row r="742" spans="2:7" ht="32">
      <c r="B742" s="616" t="str">
        <f>IF(FORM_LANGUAGE=GER,Dictionary!G742,Dictionary!E742)</f>
        <v>Auswirkungen infolge lokal verteilter Teams, mehreren Sprachen oder heterogenen Kulturkreisen erfordern in Einzelfällen Führungsmaßnahmen</v>
      </c>
      <c r="E742" s="616" t="s">
        <v>557</v>
      </c>
      <c r="G742" s="616" t="s">
        <v>1143</v>
      </c>
    </row>
    <row r="743" spans="2:7" ht="32">
      <c r="B743" s="616" t="str">
        <f>IF(FORM_LANGUAGE=GER,Dictionary!G743,Dictionary!E743)</f>
        <v>Auswirkungen infolge lokal verteilter Teams oder großer Teams aus unterschiedlichen Unternehmen und Kulturkreisen erfordern umfangreiche Führungsmaßnahmen</v>
      </c>
      <c r="E743" s="616" t="s">
        <v>556</v>
      </c>
      <c r="G743" s="616" t="s">
        <v>1144</v>
      </c>
    </row>
    <row r="744" spans="2:7" ht="16">
      <c r="B744" s="616" t="str">
        <f>IF(FORM_LANGUAGE=GER,Dictionary!G744,Dictionary!E744)</f>
        <v>Durchschnitt der eingegebenen Detailbewertungen:</v>
      </c>
      <c r="E744" s="616" t="s">
        <v>302</v>
      </c>
      <c r="G744" s="616" t="s">
        <v>1247</v>
      </c>
    </row>
    <row r="746" spans="2:7" ht="16">
      <c r="B746" s="616" t="str">
        <f>IF(FORM_LANGUAGE=GER,Dictionary!G746,Dictionary!E746)</f>
        <v>Indikatoren bezogen auf Management und Führung</v>
      </c>
      <c r="E746" s="616" t="s">
        <v>549</v>
      </c>
      <c r="G746" s="616" t="s">
        <v>1107</v>
      </c>
    </row>
    <row r="747" spans="2:7" ht="16">
      <c r="B747" s="616" t="str">
        <f>IF(FORM_LANGUAGE=GER,Dictionary!G747,Dictionary!E747)</f>
        <v xml:space="preserve">Führung und Teamwork </v>
      </c>
      <c r="E747" s="616" t="s">
        <v>555</v>
      </c>
      <c r="G747" s="616" t="s">
        <v>1106</v>
      </c>
    </row>
    <row r="748" spans="2:7" ht="16">
      <c r="B748" s="616" t="str">
        <f>IF(FORM_LANGUAGE=GER,Dictionary!G748,Dictionary!E748)</f>
        <v>Umfang der Führungs-, Teambildungs und-Steuerungsmaßnahmen</v>
      </c>
      <c r="E748" s="616" t="s">
        <v>554</v>
      </c>
      <c r="G748" s="616" t="s">
        <v>1145</v>
      </c>
    </row>
    <row r="749" spans="2:7" ht="48">
      <c r="B749" s="616" t="str">
        <f>IF(FORM_LANGUAGE=GER,Dictionary!G749,Dictionary!E749)</f>
        <v>fast alle Teammitglieder haben bereits mit PL gearbeitet, PL hat Erfahrung im Mgt von Teams über 5 J, Governance Vorgaben sind klar definiert, das Projektteam hat hohe PM Skills</v>
      </c>
      <c r="E749" s="616" t="s">
        <v>553</v>
      </c>
      <c r="G749" s="616" t="s">
        <v>1146</v>
      </c>
    </row>
    <row r="750" spans="2:7" ht="48">
      <c r="B750" s="616" t="str">
        <f>IF(FORM_LANGUAGE=GER,Dictionary!G750,Dictionary!E750)</f>
        <v>sehr viele Teammitglieder haben bereits mit PL gearbeitet, PL hat Erfahrung im Mgt von Teams über 3 J, governance Vorgaben sind teilweise definiert, das Projektteam hat  PM Skills</v>
      </c>
      <c r="E750" s="616" t="s">
        <v>552</v>
      </c>
      <c r="G750" s="616" t="s">
        <v>1147</v>
      </c>
    </row>
    <row r="751" spans="2:7" ht="48">
      <c r="B751" s="616" t="str">
        <f>IF(FORM_LANGUAGE=GER,Dictionary!G751,Dictionary!E751)</f>
        <v>viele Teammitglieder haben bereits mit PL gearbeitet, PL hat Erfahrung im Mgt von Teams über 1-2 J, einige Governance Vorgaben sind klar definiert, das Projektteam hat einige PM Skills</v>
      </c>
      <c r="E751" s="616" t="s">
        <v>551</v>
      </c>
      <c r="G751" s="616" t="s">
        <v>1148</v>
      </c>
    </row>
    <row r="752" spans="2:7" ht="48">
      <c r="B752" s="616" t="str">
        <f>IF(FORM_LANGUAGE=GER,Dictionary!G752,Dictionary!E752)</f>
        <v>wenige Teammitglieder haben bereits mit PL gearbeitet, PL hat Erfahrung im Mgt von Teams weniger 1J, wenige Governance Vorgaben sind definiert, das Projektteam hat sehr wenig PM Skills</v>
      </c>
      <c r="E752" s="616" t="s">
        <v>550</v>
      </c>
      <c r="G752" s="616" t="s">
        <v>1149</v>
      </c>
    </row>
    <row r="754" spans="2:7" ht="16">
      <c r="B754" s="616" t="str">
        <f>IF(FORM_LANGUAGE=GER,Dictionary!G754,Dictionary!E754)</f>
        <v xml:space="preserve"> Innovation</v>
      </c>
      <c r="E754" s="616" t="s">
        <v>1108</v>
      </c>
      <c r="G754" s="616" t="s">
        <v>1108</v>
      </c>
    </row>
    <row r="755" spans="2:7" ht="48">
      <c r="B755" s="616" t="str">
        <f>IF(FORM_LANGUAGE=GER,Dictionary!G755,Dictionary!E755)</f>
        <v>technische Neuartigkeit des Projektes und seine Auswirkungen auf Ressourcenauswahl und Aus- und Weiterbildung während des Projektes; Umgang mit neuartigen Ansätzen und Ergebnissen</v>
      </c>
      <c r="E755" s="616" t="s">
        <v>547</v>
      </c>
      <c r="G755" s="616" t="s">
        <v>1150</v>
      </c>
    </row>
    <row r="756" spans="2:7" ht="16">
      <c r="B756" s="616" t="str">
        <f>IF(FORM_LANGUAGE=GER,Dictionary!G756,Dictionary!E756)</f>
        <v>kein Handlungsbedarf infolge geringer Neuartigkeit, z.B. Wiederholprojekte</v>
      </c>
      <c r="E756" s="616" t="s">
        <v>546</v>
      </c>
      <c r="G756" s="616" t="s">
        <v>1151</v>
      </c>
    </row>
    <row r="757" spans="2:7" ht="16">
      <c r="B757" s="616" t="str">
        <f>IF(FORM_LANGUAGE=GER,Dictionary!G757,Dictionary!E757)</f>
        <v>einige Maßnahmen erforderlich infolge der Neuartigkeit in einzelnen Bereichen</v>
      </c>
      <c r="E757" s="616" t="s">
        <v>545</v>
      </c>
      <c r="G757" s="616" t="s">
        <v>1152</v>
      </c>
    </row>
    <row r="758" spans="2:7" ht="32">
      <c r="B758" s="616" t="str">
        <f>IF(FORM_LANGUAGE=GER,Dictionary!G758,Dictionary!E758)</f>
        <v>Neuartigkeit des Projektgegenstandes und/oder von Prozessen bedingt vorbereitende Qualifizerungsmaßnahmen</v>
      </c>
      <c r="E758" s="616" t="s">
        <v>544</v>
      </c>
      <c r="G758" s="616" t="s">
        <v>1153</v>
      </c>
    </row>
    <row r="759" spans="2:7" ht="48">
      <c r="B759" s="616" t="str">
        <f>IF(FORM_LANGUAGE=GER,Dictionary!G759,Dictionary!E759)</f>
        <v xml:space="preserve">Neuartigkeit des Projektgegenstandes und/oder von Prozessen in Verbindung mit großem Projektvolumen bedingt Planung der Qualifizierung, aber auch intensives Risiko-Management </v>
      </c>
      <c r="E759" s="616" t="s">
        <v>543</v>
      </c>
      <c r="G759" s="616" t="s">
        <v>1154</v>
      </c>
    </row>
    <row r="761" spans="2:7" ht="16">
      <c r="B761" s="616" t="str">
        <f>IF(FORM_LANGUAGE=GER,Dictionary!G761,Dictionary!E761)</f>
        <v>Autonomie und Verantwortung</v>
      </c>
      <c r="E761" s="616" t="s">
        <v>542</v>
      </c>
      <c r="G761" s="616" t="s">
        <v>1109</v>
      </c>
    </row>
    <row r="762" spans="2:7" ht="32">
      <c r="B762" s="616" t="str">
        <f>IF(FORM_LANGUAGE=GER,Dictionary!G762,Dictionary!E762)</f>
        <v>Entscheidungs- und Verantwortungsspielraum des Projektleiters; Umfang der Delegation in das Projektteam; Vertretung des Projektes gegenüber dem gesamten sozialen Umfeld</v>
      </c>
      <c r="E762" s="616" t="s">
        <v>541</v>
      </c>
      <c r="G762" s="616" t="s">
        <v>1251</v>
      </c>
    </row>
    <row r="763" spans="2:7" ht="32">
      <c r="B763" s="616" t="str">
        <f>IF(FORM_LANGUAGE=GER,Dictionary!G763,Dictionary!E763)</f>
        <v xml:space="preserve">wenig Autonomie/Gestaltungsspielräume des PL bzgl. Entscheidungen und Vertretung des Projektes nach aussen </v>
      </c>
      <c r="E763" s="616" t="s">
        <v>540</v>
      </c>
      <c r="G763" s="616" t="s">
        <v>1155</v>
      </c>
    </row>
    <row r="764" spans="2:7" ht="32">
      <c r="B764" s="616" t="str">
        <f>IF(FORM_LANGUAGE=GER,Dictionary!G764,Dictionary!E764)</f>
        <v>Verhandlung Lasten- und Pflichtenheft; Gesaltungs-spielräume ergeben sich hauptsächlich durch Änderungsprozesse</v>
      </c>
      <c r="E764" s="616" t="s">
        <v>539</v>
      </c>
      <c r="G764" s="616" t="s">
        <v>1156</v>
      </c>
    </row>
    <row r="765" spans="2:7" ht="32">
      <c r="B765" s="616" t="str">
        <f>IF(FORM_LANGUAGE=GER,Dictionary!G765,Dictionary!E765)</f>
        <v>Projektleiter vertritt das Projekt und damit auch das Unternehmen auch gegenüber externen Stakeholdern</v>
      </c>
      <c r="E765" s="616" t="s">
        <v>538</v>
      </c>
      <c r="G765" s="616" t="s">
        <v>1157</v>
      </c>
    </row>
    <row r="766" spans="2:7" ht="29" customHeight="1">
      <c r="B766" s="616" t="str">
        <f>IF(FORM_LANGUAGE=GER,Dictionary!G766,Dictionary!E766)</f>
        <v>umfangreiche Verantwortungs- und Entscheidungsspielräume, z.B. durch Vollmachts- oder Unterschriftenregelung</v>
      </c>
      <c r="E766" s="616" t="s">
        <v>537</v>
      </c>
      <c r="G766" s="616" t="s">
        <v>1158</v>
      </c>
    </row>
    <row r="767" spans="2:7" ht="16">
      <c r="B767" s="616" t="str">
        <f>IF(FORM_LANGUAGE=GER,Dictionary!G767,Dictionary!E767)</f>
        <v>Durchschnitt der eingegebenen Detailbewertungen:</v>
      </c>
      <c r="E767" s="616" t="s">
        <v>302</v>
      </c>
      <c r="G767" s="616" t="s">
        <v>1247</v>
      </c>
    </row>
    <row r="768" spans="2:7" ht="16">
      <c r="B768" s="616" t="str">
        <f>IF(FORM_LANGUAGE=GER,Dictionary!G768,Dictionary!E768)</f>
        <v>Zusammenfassende Bewertungen (gerundet)</v>
      </c>
      <c r="E768" s="616" t="s">
        <v>304</v>
      </c>
      <c r="G768" s="616" t="s">
        <v>1250</v>
      </c>
    </row>
    <row r="769" spans="2:7" ht="16">
      <c r="B769" s="616" t="str">
        <f>IF(FORM_LANGUAGE=GER,Dictionary!G769,Dictionary!E769)</f>
        <v>Indikator</v>
      </c>
      <c r="E769" s="616" t="s">
        <v>305</v>
      </c>
      <c r="G769" s="616" t="s">
        <v>1249</v>
      </c>
    </row>
    <row r="770" spans="2:7" ht="16">
      <c r="B770" s="616" t="str">
        <f>IF(FORM_LANGUAGE=GER,Dictionary!G770,Dictionary!E770)</f>
        <v xml:space="preserve">Gesamtbewertung   </v>
      </c>
      <c r="E770" s="616" t="s">
        <v>306</v>
      </c>
      <c r="G770" s="616" t="s">
        <v>1248</v>
      </c>
    </row>
    <row r="773" spans="2:7">
      <c r="B773" s="2039" t="s">
        <v>1265</v>
      </c>
      <c r="C773" s="2039"/>
      <c r="D773" s="2039"/>
      <c r="E773" s="2039"/>
      <c r="F773" s="2039"/>
      <c r="G773" s="2039"/>
    </row>
    <row r="774" spans="2:7" ht="16">
      <c r="B774" s="616" t="str">
        <f>IF(FORM_LANGUAGE=GER,Dictionary!G774,Dictionary!E774)</f>
        <v>ACHTUNG! MAX. AUSLASTUNG ÜBERSCHRITTEN!</v>
      </c>
      <c r="E774" s="616" t="s">
        <v>1286</v>
      </c>
      <c r="G774" s="616" t="s">
        <v>1287</v>
      </c>
    </row>
    <row r="775" spans="2:7" ht="16">
      <c r="B775" s="616" t="str">
        <f>IF(FORM_LANGUAGE=GER,Dictionary!G775,Dictionary!E775)</f>
        <v xml:space="preserve">Max. Auslastung: </v>
      </c>
      <c r="E775" s="616" t="s">
        <v>1264</v>
      </c>
      <c r="G775" s="616" t="s">
        <v>1288</v>
      </c>
    </row>
    <row r="776" spans="2:7" ht="16">
      <c r="B776" s="616" t="str">
        <f>IF(FORM_LANGUAGE=GER,Dictionary!G776,Dictionary!E776)</f>
        <v>Bewerber/-in:</v>
      </c>
      <c r="E776" s="616" t="s">
        <v>1080</v>
      </c>
      <c r="G776" s="616" t="s">
        <v>3570</v>
      </c>
    </row>
    <row r="777" spans="2:7" ht="16">
      <c r="B777" s="616" t="str">
        <f>IF(FORM_LANGUAGE=GER,Dictionary!G777,Dictionary!E777)</f>
        <v>Zert. Typ:</v>
      </c>
      <c r="E777" s="616" t="s">
        <v>1081</v>
      </c>
      <c r="G777" s="616" t="s">
        <v>1307</v>
      </c>
    </row>
    <row r="778" spans="2:7" ht="16">
      <c r="B778" s="616" t="str">
        <f>IF(FORM_LANGUAGE=GER,Dictionary!G778,Dictionary!E778)</f>
        <v>Level:</v>
      </c>
      <c r="E778" s="616" t="s">
        <v>148</v>
      </c>
      <c r="G778" s="616" t="s">
        <v>120</v>
      </c>
    </row>
    <row r="779" spans="2:7" ht="16">
      <c r="B779" s="616" t="str">
        <f>IF(FORM_LANGUAGE=GER,Dictionary!G779,Dictionary!E779)</f>
        <v>Projekte</v>
      </c>
      <c r="E779" s="616" t="s">
        <v>146</v>
      </c>
      <c r="G779" s="616" t="s">
        <v>1308</v>
      </c>
    </row>
    <row r="780" spans="2:7" ht="32">
      <c r="B780" s="616" t="str">
        <f>IF(FORM_LANGUAGE=GER,Dictionary!G780,Dictionary!E780)</f>
        <v>Beginn der PM-Aktivität
MM.JJJJ</v>
      </c>
      <c r="E780" s="616" t="s">
        <v>1086</v>
      </c>
      <c r="G780" s="616" t="s">
        <v>1309</v>
      </c>
    </row>
    <row r="781" spans="2:7" ht="32">
      <c r="B781" s="616" t="str">
        <f>IF(FORM_LANGUAGE=GER,Dictionary!G781,Dictionary!E781)</f>
        <v>Ende der PM-Aktivität
MM.JJJJ</v>
      </c>
      <c r="E781" s="616" t="s">
        <v>1305</v>
      </c>
      <c r="G781" s="616" t="s">
        <v>1310</v>
      </c>
    </row>
    <row r="782" spans="2:7" ht="16">
      <c r="B782" s="616" t="str">
        <f>IF(FORM_LANGUAGE=GER,Dictionary!G782,Dictionary!E782)</f>
        <v>Komplex. Bewerber</v>
      </c>
      <c r="E782" s="616" t="s">
        <v>1074</v>
      </c>
      <c r="G782" s="616" t="s">
        <v>1574</v>
      </c>
    </row>
    <row r="783" spans="2:7" ht="16">
      <c r="B783" s="616" t="str">
        <f>IF(FORM_LANGUAGE=GER,Dictionary!G783,Dictionary!E783)</f>
        <v>Komplex. Assessor</v>
      </c>
      <c r="E783" s="616" t="s">
        <v>1075</v>
      </c>
      <c r="G783" s="616" t="s">
        <v>1575</v>
      </c>
    </row>
    <row r="784" spans="2:7" ht="16">
      <c r="B784" s="616" t="str">
        <f>IF(FORM_LANGUAGE=GER,Dictionary!G784,Dictionary!E784)</f>
        <v>Laufzeit gemäß Auftrag/ Steckbr. [Monate]</v>
      </c>
      <c r="E784" s="616" t="s">
        <v>2817</v>
      </c>
      <c r="G784" s="616" t="s">
        <v>2822</v>
      </c>
    </row>
    <row r="785" spans="2:7" ht="16">
      <c r="B785" s="616" t="str">
        <f>IF(FORM_LANGUAGE=GER,Dictionary!G785,Dictionary!E785)</f>
        <v>Angegebene Auslastung</v>
      </c>
      <c r="E785" s="616" t="s">
        <v>3504</v>
      </c>
      <c r="G785" s="616" t="s">
        <v>3505</v>
      </c>
    </row>
    <row r="786" spans="2:7" ht="16">
      <c r="B786" s="616" t="str">
        <f>IF(FORM_LANGUAGE=GER,Dictionary!G786,Dictionary!E786)</f>
        <v>PM-Aufwand gemäß Auftrag / Steckbr. [PT]</v>
      </c>
      <c r="E786" s="616" t="s">
        <v>2818</v>
      </c>
      <c r="G786" s="616" t="s">
        <v>2821</v>
      </c>
    </row>
    <row r="787" spans="2:7" ht="16">
      <c r="B787" s="616" t="str">
        <f>IF(FORM_LANGUAGE=GER,Dictionary!G787,Dictionary!E787)</f>
        <v>Erf. PT-Aufwand für angeg. PM-Erfahrung</v>
      </c>
      <c r="E787" s="616" t="s">
        <v>1306</v>
      </c>
      <c r="G787" s="616" t="s">
        <v>1577</v>
      </c>
    </row>
    <row r="788" spans="2:7" ht="16">
      <c r="B788" s="616" t="str">
        <f>IF(FORM_LANGUAGE=GER,Dictionary!G788,Dictionary!E788)</f>
        <v>Max. mögl. PM-Erfahrung mit angeg. PT-Budget [%]</v>
      </c>
      <c r="E788" s="616" t="s">
        <v>1094</v>
      </c>
      <c r="G788" s="616" t="s">
        <v>1993</v>
      </c>
    </row>
    <row r="789" spans="2:7" ht="16">
      <c r="B789" s="616" t="str">
        <f>IF(FORM_LANGUAGE=GER,Dictionary!G789,Dictionary!E789)</f>
        <v>Diff. zwischen angegeb. und verfügb. PM-Erfahrung</v>
      </c>
      <c r="E789" s="616" t="s">
        <v>1095</v>
      </c>
      <c r="G789" s="616" t="s">
        <v>1994</v>
      </c>
    </row>
    <row r="790" spans="2:7" ht="16">
      <c r="B790" s="616" t="str">
        <f>IF(FORM_LANGUAGE=GER,Dictionary!G790,Dictionary!E790)</f>
        <v>angeg. Teamgröße insgesamt</v>
      </c>
      <c r="E790" s="616" t="s">
        <v>1087</v>
      </c>
      <c r="G790" s="616" t="s">
        <v>1576</v>
      </c>
    </row>
    <row r="791" spans="2:7" ht="16">
      <c r="B791" s="616" t="str">
        <f>IF(FORM_LANGUAGE=GER,Dictionary!G791,Dictionary!E791)</f>
        <v>angeg. Budgetmittel (Aufwand) [EUR]</v>
      </c>
      <c r="E791" s="616" t="s">
        <v>3801</v>
      </c>
      <c r="G791" s="616" t="s">
        <v>3799</v>
      </c>
    </row>
    <row r="792" spans="2:7" ht="16">
      <c r="B792" s="616" t="str">
        <f>IF(FORM_LANGUAGE=GER,Dictionary!G792,Dictionary!E792)</f>
        <v>angeg. Budgetmittel (Sachmittel) [EUR]</v>
      </c>
      <c r="E792" s="616" t="s">
        <v>3802</v>
      </c>
      <c r="G792" s="616" t="s">
        <v>3800</v>
      </c>
    </row>
    <row r="793" spans="2:7" ht="16">
      <c r="B793" s="616" t="str">
        <f>IF(FORM_LANGUAGE=GER,Dictionary!G793,Dictionary!E793)</f>
        <v>angeg. Gesamt- budget [EUR]</v>
      </c>
      <c r="E793" s="616" t="s">
        <v>1578</v>
      </c>
      <c r="G793" s="616" t="s">
        <v>3803</v>
      </c>
    </row>
    <row r="794" spans="2:7" ht="16">
      <c r="B794" s="616" t="str">
        <f>IF(FORM_LANGUAGE=GER,Dictionary!G794,Dictionary!E794)</f>
        <v>angeg. Gesamt- aufwand [PT]</v>
      </c>
      <c r="E794" s="616" t="s">
        <v>1088</v>
      </c>
      <c r="G794" s="616" t="s">
        <v>1995</v>
      </c>
    </row>
    <row r="795" spans="2:7" ht="16">
      <c r="B795" s="616" t="str">
        <f>IF(FORM_LANGUAGE=GER,Dictionary!G795,Dictionary!E795)</f>
        <v>Budget (Aufwand) pro PT [EUR]</v>
      </c>
      <c r="E795" s="616" t="s">
        <v>3797</v>
      </c>
      <c r="G795" s="616" t="s">
        <v>3798</v>
      </c>
    </row>
    <row r="797" spans="2:7" ht="16">
      <c r="B797" s="616" t="str">
        <f>IF(FORM_LANGUAGE=GER,Dictionary!G797,Dictionary!E797)</f>
        <v>Durchschn. Aufwand pro Teammitglied [PT]</v>
      </c>
      <c r="E797" s="616" t="s">
        <v>1089</v>
      </c>
      <c r="G797" s="616" t="s">
        <v>1579</v>
      </c>
    </row>
    <row r="798" spans="2:7" ht="16">
      <c r="B798" s="616" t="str">
        <f>IF(FORM_LANGUAGE=GER,Dictionary!G798,Dictionary!E798)</f>
        <v>Durchschn. Aufwand pro Teammitglied / Monat [PT]</v>
      </c>
      <c r="E798" s="616" t="s">
        <v>1090</v>
      </c>
      <c r="G798" s="616" t="s">
        <v>1580</v>
      </c>
    </row>
    <row r="799" spans="2:7" ht="16">
      <c r="B799" s="616" t="str">
        <f>IF(FORM_LANGUAGE=GER,Dictionary!G799,Dictionary!E799)</f>
        <v>PM-Inspektor</v>
      </c>
      <c r="E799" s="616" t="s">
        <v>2819</v>
      </c>
      <c r="G799" s="616" t="s">
        <v>2820</v>
      </c>
    </row>
    <row r="800" spans="2:7" ht="16">
      <c r="B800" s="616" t="str">
        <f>IF(FORM_LANGUAGE=GER,Dictionary!G800,Dictionary!E800)</f>
        <v>Angenommene VZÄ PT pro Jahr:</v>
      </c>
      <c r="E800" s="616" t="s">
        <v>1093</v>
      </c>
      <c r="G800" s="616" t="s">
        <v>1581</v>
      </c>
    </row>
    <row r="801" spans="2:7" ht="16">
      <c r="B801" s="616" t="str">
        <f>IF(FORM_LANGUAGE=GER,Dictionary!G801,Dictionary!E801)</f>
        <v>Auswertung zeigen für:</v>
      </c>
      <c r="E801" s="616" t="s">
        <v>4205</v>
      </c>
      <c r="G801" s="616" t="s">
        <v>4206</v>
      </c>
    </row>
    <row r="802" spans="2:7" ht="16">
      <c r="B802" s="616" t="str">
        <f>IF(FORM_LANGUAGE=GER,Dictionary!G802,Dictionary!E802)</f>
        <v>PM-Rolle</v>
      </c>
      <c r="E802" s="616" t="s">
        <v>1285</v>
      </c>
      <c r="G802" s="616" t="s">
        <v>1311</v>
      </c>
    </row>
    <row r="803" spans="2:7" ht="16">
      <c r="B803" s="616" t="str">
        <f>IF(FORM_LANGUAGE=GER,Dictionary!G803,Dictionary!E803)</f>
        <v>Kategorie / Domäne</v>
      </c>
      <c r="E803" s="616" t="s">
        <v>3544</v>
      </c>
      <c r="G803" s="616" t="s">
        <v>3545</v>
      </c>
    </row>
    <row r="804" spans="2:7" ht="48">
      <c r="B804" s="616" t="str">
        <f>IF(FORM_LANGUAGE=GER,Dictionary!G804,Dictionary!E804)</f>
        <v>Klassifizierung
Level A-D
Lead A</v>
      </c>
      <c r="E804" s="616" t="s">
        <v>2868</v>
      </c>
      <c r="G804" s="616" t="s">
        <v>2869</v>
      </c>
    </row>
    <row r="805" spans="2:7" ht="48">
      <c r="B805" s="616" t="str">
        <f>IF(FORM_LANGUAGE=GER,Dictionary!G805,Dictionary!E805)</f>
        <v>Klassifizierung
Level A-D
Co-A</v>
      </c>
      <c r="E805" s="616" t="s">
        <v>2870</v>
      </c>
      <c r="G805" s="616" t="s">
        <v>2871</v>
      </c>
    </row>
    <row r="806" spans="2:7" ht="16">
      <c r="B806" s="616" t="str">
        <f>IF(FORM_LANGUAGE=GER,Dictionary!G806,Dictionary!E806)</f>
        <v>Kommentare</v>
      </c>
      <c r="E806" s="616" t="s">
        <v>2872</v>
      </c>
      <c r="G806" s="616" t="s">
        <v>1312</v>
      </c>
    </row>
    <row r="807" spans="2:7" ht="16">
      <c r="B807" s="616" t="str">
        <f>IF(FORM_LANGUAGE=GER,Dictionary!G807,Dictionary!E807)</f>
        <v>pers. Zuordnung %</v>
      </c>
      <c r="E807" s="616" t="s">
        <v>141</v>
      </c>
      <c r="G807" s="616" t="s">
        <v>1313</v>
      </c>
    </row>
    <row r="808" spans="2:7" ht="32">
      <c r="B808" s="616" t="str">
        <f>IF(FORM_LANGUAGE=GER,Dictionary!G808,Dictionary!E808)</f>
        <v>geänderter
pers. Einsatz %</v>
      </c>
      <c r="E808" s="616" t="s">
        <v>1973</v>
      </c>
      <c r="G808" s="616" t="s">
        <v>1972</v>
      </c>
    </row>
    <row r="809" spans="2:7" ht="16">
      <c r="B809" s="616" t="str">
        <f>IF(FORM_LANGUAGE=GER,Dictionary!G809,Dictionary!E809)</f>
        <v>Dauer der PM-Tätigkeit [Monate]</v>
      </c>
      <c r="E809" s="616" t="s">
        <v>1092</v>
      </c>
      <c r="G809" s="616" t="s">
        <v>1314</v>
      </c>
    </row>
    <row r="810" spans="2:7" ht="16">
      <c r="B810" s="616" t="str">
        <f>IF(FORM_LANGUAGE=GER,Dictionary!G810,Dictionary!E810)</f>
        <v>rel. Dauer in %</v>
      </c>
      <c r="E810" s="616" t="s">
        <v>138</v>
      </c>
      <c r="G810" s="616" t="s">
        <v>1315</v>
      </c>
    </row>
    <row r="811" spans="2:7" ht="16">
      <c r="B811" s="616" t="str">
        <f>IF(FORM_LANGUAGE=GER,Dictionary!G811,Dictionary!E811)</f>
        <v>Status</v>
      </c>
      <c r="E811" s="616" t="s">
        <v>137</v>
      </c>
      <c r="G811" s="616" t="s">
        <v>1316</v>
      </c>
    </row>
    <row r="812" spans="2:7" ht="16">
      <c r="B812" s="616" t="str">
        <f>IF(FORM_LANGUAGE=GER,Dictionary!G812,Dictionary!E812)</f>
        <v>davon strategisch</v>
      </c>
      <c r="E812" s="616" t="s">
        <v>3751</v>
      </c>
      <c r="G812" s="616" t="s">
        <v>3750</v>
      </c>
    </row>
    <row r="813" spans="2:7" ht="16">
      <c r="B813" s="616" t="str">
        <f>IF(FORM_LANGUAGE=GER,Dictionary!G813,Dictionary!E813)</f>
        <v>Zertifizierungsdatum</v>
      </c>
      <c r="E813" s="616" t="s">
        <v>1263</v>
      </c>
      <c r="G813" s="616" t="s">
        <v>1317</v>
      </c>
    </row>
    <row r="814" spans="2:7" ht="16">
      <c r="B814" s="616" t="str">
        <f>IF(FORM_LANGUAGE=GER,Dictionary!G814,Dictionary!E814)</f>
        <v>in Prozent</v>
      </c>
      <c r="E814" s="616" t="s">
        <v>131</v>
      </c>
      <c r="G814" s="616" t="s">
        <v>1571</v>
      </c>
    </row>
    <row r="815" spans="2:7" ht="16">
      <c r="B815" s="616" t="str">
        <f>IF(FORM_LANGUAGE=GER,Dictionary!G815,Dictionary!E815)</f>
        <v>in Monaten</v>
      </c>
      <c r="E815" s="616" t="s">
        <v>130</v>
      </c>
      <c r="G815" s="616" t="s">
        <v>1572</v>
      </c>
    </row>
    <row r="816" spans="2:7" ht="16">
      <c r="B816" s="616" t="str">
        <f>IF(FORM_LANGUAGE=GER,Dictionary!G816,Dictionary!E816)</f>
        <v>CBA-Erfahrung insgesamt (Monate)</v>
      </c>
      <c r="E816" s="616" t="s">
        <v>292</v>
      </c>
      <c r="G816" s="616" t="s">
        <v>1573</v>
      </c>
    </row>
    <row r="817" spans="2:7" ht="16">
      <c r="B817" s="616" t="str">
        <f>IF(FORM_LANGUAGE=GER,Dictionary!G817,Dictionary!E817)</f>
        <v>Anrechenbar auf Re-Zert (Stunden)</v>
      </c>
      <c r="E817" s="616" t="s">
        <v>2003</v>
      </c>
      <c r="G817" s="616" t="s">
        <v>2004</v>
      </c>
    </row>
    <row r="818" spans="2:7" ht="16">
      <c r="B818" s="616" t="str">
        <f>IF(FORM_LANGUAGE=GER,Dictionary!G818,Dictionary!E818)</f>
        <v>manuell angepasst</v>
      </c>
      <c r="E818" s="616" t="s">
        <v>2005</v>
      </c>
      <c r="G818" s="616" t="s">
        <v>2006</v>
      </c>
    </row>
    <row r="819" spans="2:7" ht="16">
      <c r="B819" s="616" t="str">
        <f>IF(FORM_LANGUAGE=GER,Dictionary!G819,Dictionary!E819)</f>
        <v>Erfahrung ausreichend für</v>
      </c>
      <c r="E819" s="616" t="s">
        <v>3745</v>
      </c>
      <c r="G819" s="616" t="s">
        <v>3744</v>
      </c>
    </row>
    <row r="820" spans="2:7" ht="16">
      <c r="B820" s="616" t="str">
        <f>IF(FORM_LANGUAGE=GER,Dictionary!G820,Dictionary!E820)</f>
        <v>Erstzertifizierung</v>
      </c>
      <c r="E820" s="616" t="s">
        <v>1009</v>
      </c>
      <c r="G820" s="616" t="s">
        <v>3722</v>
      </c>
    </row>
    <row r="821" spans="2:7" ht="16">
      <c r="B821" s="616" t="str">
        <f>IF(FORM_LANGUAGE=GER,Dictionary!G821,Dictionary!E821)</f>
        <v>Rezertifizierung</v>
      </c>
      <c r="E821" s="616" t="s">
        <v>3746</v>
      </c>
      <c r="G821" s="616" t="s">
        <v>3724</v>
      </c>
    </row>
    <row r="822" spans="2:7" ht="16">
      <c r="B822" s="616" t="str">
        <f>IF(FORM_LANGUAGE=GER,Dictionary!G822,Dictionary!E822)</f>
        <v>Gelb markierte Zellen können ausgefüllt werden.</v>
      </c>
      <c r="E822" s="616" t="s">
        <v>287</v>
      </c>
      <c r="G822" s="616" t="s">
        <v>3569</v>
      </c>
    </row>
    <row r="823" spans="2:7" ht="16">
      <c r="B823" s="616" t="str">
        <f>IF(FORM_LANGUAGE=GER,Dictionary!G823,Dictionary!E823)</f>
        <v>Die anderen Zellen werden automatisch ausgefüllt.</v>
      </c>
      <c r="E823" s="615" t="s">
        <v>127</v>
      </c>
      <c r="G823" s="616" t="s">
        <v>1318</v>
      </c>
    </row>
    <row r="825" spans="2:7" ht="16">
      <c r="B825" s="616" t="str">
        <f>IF(FORM_LANGUAGE=GER,Dictionary!G825,Dictionary!E825)</f>
        <v>Prozentsatz pro Monat &lt;= 80%</v>
      </c>
      <c r="E825" s="616" t="s">
        <v>128</v>
      </c>
      <c r="G825" s="616" t="s">
        <v>1319</v>
      </c>
    </row>
    <row r="826" spans="2:7" ht="16">
      <c r="B826" s="616" t="str">
        <f>IF(FORM_LANGUAGE=GER,Dictionary!G826,Dictionary!E826)</f>
        <v>Prozentsatz pro Monat &gt; 80% und &lt;= 120%</v>
      </c>
      <c r="E826" s="616" t="s">
        <v>126</v>
      </c>
      <c r="G826" s="616" t="s">
        <v>1320</v>
      </c>
    </row>
    <row r="827" spans="2:7" ht="16">
      <c r="B827" s="616" t="str">
        <f>IF(FORM_LANGUAGE=GER,Dictionary!G827,Dictionary!E827)</f>
        <v>Prozentsatz pro Monat &gt; 120%</v>
      </c>
      <c r="E827" s="616" t="s">
        <v>124</v>
      </c>
      <c r="G827" s="616" t="s">
        <v>1321</v>
      </c>
    </row>
    <row r="828" spans="2:7" ht="16">
      <c r="B828" s="616" t="str">
        <f>IF(FORM_LANGUAGE=GER,Dictionary!G828,Dictionary!E828)</f>
        <v>max. Wert pro Monat = 120%</v>
      </c>
      <c r="E828" s="616" t="s">
        <v>183</v>
      </c>
      <c r="G828" s="616" t="s">
        <v>1322</v>
      </c>
    </row>
    <row r="830" spans="2:7">
      <c r="B830" s="615"/>
      <c r="G830" s="615"/>
    </row>
    <row r="831" spans="2:7">
      <c r="B831" s="2039" t="s">
        <v>1266</v>
      </c>
      <c r="C831" s="2039"/>
      <c r="D831" s="2039"/>
      <c r="E831" s="2039"/>
      <c r="F831" s="2039"/>
      <c r="G831" s="2039"/>
    </row>
    <row r="832" spans="2:7" ht="16">
      <c r="B832" s="616" t="str">
        <f>IF(FORM_LANGUAGE=GER,Dictionary!G832,Dictionary!E832)</f>
        <v>Variante:</v>
      </c>
      <c r="E832" s="616" t="s">
        <v>506</v>
      </c>
      <c r="G832" s="616" t="s">
        <v>1324</v>
      </c>
    </row>
    <row r="833" spans="2:7" ht="16">
      <c r="B833" s="616" t="str">
        <f>IF(FORM_LANGUAGE=GER,Dictionary!G833,Dictionary!E833)</f>
        <v>KCI in der Prüfung:</v>
      </c>
      <c r="E833" s="615" t="s">
        <v>504</v>
      </c>
      <c r="G833" s="615" t="s">
        <v>1325</v>
      </c>
    </row>
    <row r="834" spans="2:7" ht="16">
      <c r="B834" s="616" t="str">
        <f>IF(FORM_LANGUAGE=GER,Dictionary!G834,Dictionary!E834)</f>
        <v>KCIs bestanden:</v>
      </c>
      <c r="E834" s="615" t="s">
        <v>499</v>
      </c>
      <c r="G834" s="615" t="s">
        <v>1326</v>
      </c>
    </row>
    <row r="835" spans="2:7" ht="16">
      <c r="B835" s="616" t="str">
        <f>IF(FORM_LANGUAGE=GER,Dictionary!G835,Dictionary!E835)</f>
        <v>KCI erforderlich zum Bestehen:</v>
      </c>
      <c r="E835" s="615" t="s">
        <v>1328</v>
      </c>
      <c r="G835" s="615" t="s">
        <v>1327</v>
      </c>
    </row>
    <row r="836" spans="2:7" ht="80">
      <c r="B836" s="616" t="str">
        <f>IF(FORM_LANGUAGE=GER,Dictionary!G836,Dictionary!E836)</f>
        <v>Bewerten Sie, inwieweit Sie der folgenden Aussage zustimmen:
   Der Kandidat hat einen klaren und überzeugenden Nachweis seiner Fähigkeiten und Fertigkeiten in dem 
   angegebenen KCI anhand eines Projekts nachgewiesen, das für das angestrebte Level ausreichend komplex ist.</v>
      </c>
      <c r="E836" s="616" t="s">
        <v>1482</v>
      </c>
      <c r="G836" s="616" t="s">
        <v>1483</v>
      </c>
    </row>
    <row r="837" spans="2:7" ht="16">
      <c r="B837" s="616" t="str">
        <f>IF(FORM_LANGUAGE=GER,Dictionary!G837,Dictionary!E837)</f>
        <v>1 = JA (bestanden), 0 = Nein (nicht bestanden)</v>
      </c>
      <c r="E837" s="615" t="str">
        <f>IF(GC_Flag="","1=YES (pass), 0=No (fail)","1=no evidence, 2=partial evidence with errors, 3=partial evidence, 4=sufficient evidentce, 5=evidence exceeds requirements")</f>
        <v>1=YES (pass), 0=No (fail)</v>
      </c>
      <c r="G837" s="615" t="str">
        <f>IF(GC_Flag="","1 = JA (bestanden), 0 = Nein (nicht bestanden)","1=keine Evidenz, 2=teilw. Evidenz, mit Fehlern, 3=teiw. Evidenz, 4=Evidenz gezeigt, 5=Evidenz übersteigt Anforderungen")</f>
        <v>1 = JA (bestanden), 0 = Nein (nicht bestanden)</v>
      </c>
    </row>
    <row r="838" spans="2:7" ht="16">
      <c r="B838" s="616" t="str">
        <f>IF(FORM_LANGUAGE=GER,Dictionary!G838,Dictionary!E838)</f>
        <v>Vorformatierter Bogen für vordefinierte Prüfungsvarianten</v>
      </c>
      <c r="E838" s="615" t="s">
        <v>733</v>
      </c>
      <c r="G838" s="615" t="s">
        <v>1329</v>
      </c>
    </row>
    <row r="839" spans="2:7">
      <c r="E839" s="615"/>
      <c r="G839" s="615"/>
    </row>
    <row r="840" spans="2:7" ht="16">
      <c r="B840" s="616" t="str">
        <f>IF(FORM_LANGUAGE=GER,Dictionary!G840,Dictionary!E840)</f>
        <v>Prüfung</v>
      </c>
      <c r="E840" s="615" t="s">
        <v>481</v>
      </c>
      <c r="G840" s="615" t="s">
        <v>1330</v>
      </c>
    </row>
    <row r="841" spans="2:7" ht="16">
      <c r="B841" s="616" t="str">
        <f>IF(FORM_LANGUAGE=GER,Dictionary!G841,Dictionary!E841)</f>
        <v>CE Ergebnis</v>
      </c>
      <c r="E841" s="615" t="s">
        <v>503</v>
      </c>
      <c r="G841" s="615" t="s">
        <v>1331</v>
      </c>
    </row>
    <row r="842" spans="2:7" ht="16">
      <c r="B842" s="616" t="str">
        <f>IF(FORM_LANGUAGE=GER,Dictionary!G842,Dictionary!E842)</f>
        <v>Anmerkungen</v>
      </c>
      <c r="E842" s="615" t="s">
        <v>2798</v>
      </c>
      <c r="G842" s="615" t="s">
        <v>1255</v>
      </c>
    </row>
    <row r="843" spans="2:7" ht="16">
      <c r="B843" s="616" t="str">
        <f>IF(FORM_LANGUAGE=GER,Dictionary!G843,Dictionary!E843)</f>
        <v>Freie Prüfungskonfiguration</v>
      </c>
      <c r="E843" s="615" t="s">
        <v>3907</v>
      </c>
      <c r="G843" s="615" t="s">
        <v>3908</v>
      </c>
    </row>
    <row r="844" spans="2:7" ht="16">
      <c r="B844" s="616" t="str">
        <f>IF(FORM_LANGUAGE=GER,Dictionary!G844,Dictionary!E844)</f>
        <v>Perspective Kompetenz Elemente</v>
      </c>
      <c r="E844" s="615" t="s">
        <v>476</v>
      </c>
      <c r="G844" s="615" t="s">
        <v>1332</v>
      </c>
    </row>
    <row r="845" spans="2:7" ht="16">
      <c r="B845" s="616" t="str">
        <f>IF(FORM_LANGUAGE=GER,Dictionary!G845,Dictionary!E845)</f>
        <v>People Kompetenz Elemente</v>
      </c>
      <c r="E845" s="615" t="s">
        <v>1582</v>
      </c>
      <c r="G845" s="615" t="s">
        <v>1583</v>
      </c>
    </row>
    <row r="846" spans="2:7" ht="16">
      <c r="B846" s="616" t="str">
        <f>IF(FORM_LANGUAGE=GER,Dictionary!G846,Dictionary!E846)</f>
        <v>Practice Kompetenz Elements</v>
      </c>
      <c r="E846" s="615" t="s">
        <v>389</v>
      </c>
      <c r="G846" s="615" t="s">
        <v>1333</v>
      </c>
    </row>
    <row r="847" spans="2:7">
      <c r="E847" s="615"/>
      <c r="G847" s="615"/>
    </row>
    <row r="848" spans="2:7" ht="16">
      <c r="B848" s="616" t="str">
        <f>IF(FORM_LANGUAGE=GER,Dictionary!G848,Dictionary!E848)</f>
        <v>Prüfungsbewertung</v>
      </c>
      <c r="E848" s="615" t="s">
        <v>502</v>
      </c>
      <c r="G848" s="615" t="s">
        <v>1924</v>
      </c>
    </row>
    <row r="849" spans="2:7" ht="16">
      <c r="B849" s="616" t="str">
        <f>IF(FORM_LANGUAGE=GER,Dictionary!G849,Dictionary!E849)</f>
        <v>Ergebnis</v>
      </c>
      <c r="E849" s="615" t="s">
        <v>505</v>
      </c>
      <c r="G849" s="615" t="s">
        <v>1925</v>
      </c>
    </row>
    <row r="850" spans="2:7" ht="16">
      <c r="B850" s="616" t="str">
        <f>IF(FORM_LANGUAGE=GER,Dictionary!G850,Dictionary!E850)</f>
        <v>Bitte geben Sie die Prüfungsvariante und Anzahl der enth. KCI an.</v>
      </c>
      <c r="E850" s="615" t="s">
        <v>1968</v>
      </c>
      <c r="G850" s="615" t="s">
        <v>1969</v>
      </c>
    </row>
    <row r="851" spans="2:7" ht="16">
      <c r="B851" s="616" t="str">
        <f>IF(FORM_LANGUAGE=GER,Dictionary!G851,Dictionary!E851)</f>
        <v>K.Stufe</v>
      </c>
      <c r="E851" s="615" t="s">
        <v>3384</v>
      </c>
      <c r="G851" s="615" t="s">
        <v>4100</v>
      </c>
    </row>
    <row r="852" spans="2:7" ht="16">
      <c r="B852" s="616" t="str">
        <f>IF(FORM_LANGUAGE=GER,Dictionary!G852,Dictionary!E852)</f>
        <v>B.Stufe</v>
      </c>
      <c r="E852" s="615" t="s">
        <v>4101</v>
      </c>
      <c r="G852" s="615" t="s">
        <v>4102</v>
      </c>
    </row>
    <row r="853" spans="2:7">
      <c r="B853" s="615"/>
      <c r="E853" s="615"/>
      <c r="G853" s="615"/>
    </row>
    <row r="854" spans="2:7">
      <c r="B854" s="2039" t="s">
        <v>1267</v>
      </c>
      <c r="C854" s="2039"/>
      <c r="D854" s="2039"/>
      <c r="E854" s="2039"/>
      <c r="F854" s="2039"/>
      <c r="G854" s="2039"/>
    </row>
    <row r="855" spans="2:7" ht="16">
      <c r="B855" s="616" t="str">
        <f>IF(FORM_LANGUAGE=GER,Dictionary!G855,Dictionary!E855)</f>
        <v>Perspective Kompetenz Elemente erfüllt</v>
      </c>
      <c r="E855" s="616" t="s">
        <v>313</v>
      </c>
      <c r="G855" s="616" t="s">
        <v>1485</v>
      </c>
    </row>
    <row r="856" spans="2:7" ht="16">
      <c r="B856" s="616" t="str">
        <f>IF(FORM_LANGUAGE=GER,Dictionary!G856,Dictionary!E856)</f>
        <v>Personal Kompetenz Elemente erfüllt</v>
      </c>
      <c r="E856" s="615" t="s">
        <v>1586</v>
      </c>
      <c r="G856" s="616" t="s">
        <v>1486</v>
      </c>
    </row>
    <row r="857" spans="2:7" ht="16">
      <c r="B857" s="616" t="str">
        <f>IF(FORM_LANGUAGE=GER,Dictionary!G857,Dictionary!E857)</f>
        <v>Practice Kompetenz Elemente erfüllt</v>
      </c>
      <c r="E857" s="616" t="s">
        <v>311</v>
      </c>
      <c r="G857" s="616" t="s">
        <v>1487</v>
      </c>
    </row>
    <row r="858" spans="2:7" ht="16">
      <c r="B858" s="616" t="str">
        <f>IF(FORM_LANGUAGE=GER,Dictionary!G858,Dictionary!E858)</f>
        <v>Komp. Stufe</v>
      </c>
      <c r="E858" s="616" t="s">
        <v>3384</v>
      </c>
      <c r="G858" s="616" t="s">
        <v>3385</v>
      </c>
    </row>
    <row r="859" spans="2:7" ht="80">
      <c r="B859" s="616" t="str">
        <f>IF(FORM_LANGUAGE=GER,Dictionary!G859,Dictionary!E859)</f>
        <v>Bewerten Sie, inwieweit Sie der folgenden Aussage zustimmen:
   Der Kandidat hat einen klaren und überzeugenden Nachweis seiner Fähigkeiten und Fertigkeiten in dem 
   angegebenen KCI anhand eines Projekts nachgewiesen, das für das angestrebte Level ausreichend komplex ist.</v>
      </c>
      <c r="E859" s="616" t="s">
        <v>1482</v>
      </c>
      <c r="G859" s="616" t="s">
        <v>1483</v>
      </c>
    </row>
    <row r="860" spans="2:7" ht="16">
      <c r="B860" s="616" t="str">
        <f>IF(FORM_LANGUAGE=GER,Dictionary!G860,Dictionary!E860)</f>
        <v>1 = JA (bestanden), 0 = Nein (nicht bestanden)</v>
      </c>
      <c r="E860" s="616" t="str">
        <f>E837</f>
        <v>1=YES (pass), 0=No (fail)</v>
      </c>
      <c r="G860" s="616" t="str">
        <f>G837</f>
        <v>1 = JA (bestanden), 0 = Nein (nicht bestanden)</v>
      </c>
    </row>
    <row r="861" spans="2:7" ht="16">
      <c r="B861" s="616">
        <f>IF(FORM_LANGUAGE=GER,Dictionary!G861,Dictionary!E861)</f>
        <v>0</v>
      </c>
      <c r="E861" s="616" t="s">
        <v>1484</v>
      </c>
    </row>
    <row r="862" spans="2:7" ht="16">
      <c r="B862" s="616" t="str">
        <f>IF(FORM_LANGUAGE=GER,Dictionary!G862,Dictionary!E862)</f>
        <v>Report</v>
      </c>
      <c r="E862" s="616" t="s">
        <v>484</v>
      </c>
      <c r="G862" s="616" t="s">
        <v>484</v>
      </c>
    </row>
    <row r="863" spans="2:7" ht="16">
      <c r="B863" s="616" t="str">
        <f>IF(FORM_LANGUAGE=GER,Dictionary!G863,Dictionary!E863)</f>
        <v>WS</v>
      </c>
      <c r="E863" s="616" t="s">
        <v>3392</v>
      </c>
      <c r="G863" s="616" t="s">
        <v>3391</v>
      </c>
    </row>
    <row r="865" spans="2:7" ht="16">
      <c r="B865" s="616" t="str">
        <f>IF(FORM_LANGUAGE=GER,Dictionary!G865,Dictionary!E865)</f>
        <v>berechn. Ergebnis</v>
      </c>
      <c r="E865" s="616" t="s">
        <v>479</v>
      </c>
      <c r="G865" s="616" t="s">
        <v>3386</v>
      </c>
    </row>
    <row r="866" spans="2:7" ht="16">
      <c r="B866" s="616" t="str">
        <f>IF(FORM_LANGUAGE=GER,Dictionary!G866,Dictionary!E866)</f>
        <v>Ass. manuell</v>
      </c>
      <c r="E866" s="616" t="s">
        <v>1079</v>
      </c>
      <c r="G866" s="616" t="s">
        <v>3387</v>
      </c>
    </row>
    <row r="867" spans="2:7" ht="16">
      <c r="B867" s="616" t="str">
        <f>IF(FORM_LANGUAGE=GER,Dictionary!G867,Dictionary!E867)</f>
        <v>End- ergebnis</v>
      </c>
      <c r="E867" s="616" t="s">
        <v>477</v>
      </c>
      <c r="G867" s="616" t="s">
        <v>3388</v>
      </c>
    </row>
    <row r="868" spans="2:7" ht="32">
      <c r="B868" s="616" t="str">
        <f>IF(FORM_LANGUAGE=GER,Dictionary!G868,Dictionary!E868)</f>
        <v>Begründung für Report Bewertung 
(erscheint in der Kandidaten-Rückmeldung)</v>
      </c>
      <c r="E868" s="616" t="s">
        <v>3394</v>
      </c>
      <c r="G868" s="616" t="s">
        <v>3393</v>
      </c>
    </row>
    <row r="869" spans="2:7" ht="32">
      <c r="B869" s="616" t="str">
        <f>IF(FORM_LANGUAGE=GER,Dictionary!G869,Dictionary!E869)</f>
        <v>Anmerkungen 
(nur für Dokumentation in der F01)</v>
      </c>
      <c r="E869" s="616" t="s">
        <v>3395</v>
      </c>
      <c r="G869" s="616" t="s">
        <v>3390</v>
      </c>
    </row>
    <row r="870" spans="2:7" ht="16">
      <c r="B870" s="616" t="str">
        <f>IF(FORM_LANGUAGE=GER,Dictionary!G870,Dictionary!E870)</f>
        <v>Interview Fragen</v>
      </c>
      <c r="E870" s="616" t="s">
        <v>3502</v>
      </c>
      <c r="G870" s="616" t="s">
        <v>3389</v>
      </c>
    </row>
    <row r="872" spans="2:7" ht="16">
      <c r="B872" s="616" t="str">
        <f>IF(FORM_LANGUAGE=GER,Dictionary!G872,Dictionary!E872)</f>
        <v>Interview-Antworten</v>
      </c>
      <c r="E872" s="616" t="s">
        <v>497</v>
      </c>
      <c r="G872" s="616" t="s">
        <v>1489</v>
      </c>
    </row>
    <row r="874" spans="2:7" ht="16">
      <c r="B874" s="616" t="str">
        <f>IF(FORM_LANGUAGE=GER,Dictionary!G874,Dictionary!E874)</f>
        <v>Bestandene CE</v>
      </c>
      <c r="E874" s="616" t="s">
        <v>3495</v>
      </c>
      <c r="G874" s="616" t="s">
        <v>3494</v>
      </c>
    </row>
    <row r="875" spans="2:7" ht="16">
      <c r="B875" s="616" t="str">
        <f>IF(FORM_LANGUAGE=GER,Dictionary!G875,Dictionary!E875)</f>
        <v>Agile Anteil</v>
      </c>
      <c r="E875" s="616" t="s">
        <v>1999</v>
      </c>
      <c r="G875" s="616" t="s">
        <v>1998</v>
      </c>
    </row>
    <row r="877" spans="2:7" ht="16">
      <c r="B877" s="616" t="str">
        <f>IF(FORM_LANGUAGE=GER,Dictionary!G877,Dictionary!E877)</f>
        <v>Report Auswertung</v>
      </c>
      <c r="E877" s="616" t="s">
        <v>498</v>
      </c>
      <c r="G877" s="616" t="s">
        <v>3766</v>
      </c>
    </row>
    <row r="878" spans="2:7" ht="16">
      <c r="B878" s="616" t="str">
        <f>IF(FORM_LANGUAGE=GER,Dictionary!G878,Dictionary!E878)</f>
        <v>Interview Auswertung</v>
      </c>
      <c r="E878" s="616" t="s">
        <v>3496</v>
      </c>
      <c r="G878" s="616" t="s">
        <v>3497</v>
      </c>
    </row>
    <row r="879" spans="2:7" ht="16">
      <c r="B879" s="616" t="str">
        <f>IF(FORM_LANGUAGE=GER,Dictionary!G879,Dictionary!E879)</f>
        <v>gestellte Fragen</v>
      </c>
      <c r="E879" s="616" t="s">
        <v>3499</v>
      </c>
      <c r="G879" s="616" t="s">
        <v>3500</v>
      </c>
    </row>
    <row r="880" spans="2:7" ht="16">
      <c r="B880" s="616" t="str">
        <f>IF(FORM_LANGUAGE=GER,Dictionary!G880,Dictionary!E880)</f>
        <v>bestandene Fragen</v>
      </c>
      <c r="E880" s="616" t="s">
        <v>3498</v>
      </c>
      <c r="G880" s="616" t="s">
        <v>3501</v>
      </c>
    </row>
    <row r="881" spans="2:7" ht="16">
      <c r="B881" s="616" t="str">
        <f>IF(FORM_LANGUAGE=GER,Dictionary!G881,Dictionary!E881)</f>
        <v>CEs bestanden:</v>
      </c>
      <c r="E881" s="616" t="s">
        <v>2299</v>
      </c>
      <c r="G881" s="615" t="s">
        <v>2300</v>
      </c>
    </row>
    <row r="882" spans="2:7" ht="16">
      <c r="B882" s="616" t="str">
        <f>IF(FORM_LANGUAGE=GER,Dictionary!G882,Dictionary!E882)</f>
        <v>Bestehensgrenze:</v>
      </c>
      <c r="E882" s="616" t="s">
        <v>500</v>
      </c>
      <c r="G882" s="615" t="s">
        <v>1963</v>
      </c>
    </row>
    <row r="883" spans="2:7" ht="16">
      <c r="B883" s="616" t="str">
        <f>IF(FORM_LANGUAGE=GER,Dictionary!G883,Dictionary!E883)</f>
        <v>Status des Berichts:</v>
      </c>
      <c r="E883" s="616" t="s">
        <v>532</v>
      </c>
      <c r="G883" s="615" t="s">
        <v>1491</v>
      </c>
    </row>
    <row r="884" spans="2:7" ht="16">
      <c r="B884" s="616" t="str">
        <f>IF(FORM_LANGUAGE=GER,Dictionary!G884,Dictionary!E884)</f>
        <v>Zum Bestehen erforderlich</v>
      </c>
      <c r="E884" s="616" t="s">
        <v>309</v>
      </c>
      <c r="G884" s="616" t="s">
        <v>1495</v>
      </c>
    </row>
    <row r="886" spans="2:7" ht="16">
      <c r="B886" s="616" t="str">
        <f>IF(FORM_LANGUAGE=GER,Dictionary!G886,Dictionary!E886)</f>
        <v>Workshop Auswertung</v>
      </c>
      <c r="E886" s="616" t="s">
        <v>529</v>
      </c>
      <c r="G886" s="616" t="s">
        <v>3767</v>
      </c>
    </row>
    <row r="887" spans="2:7" ht="16">
      <c r="B887" s="616" t="str">
        <f>IF(FORM_LANGUAGE=GER,Dictionary!G887,Dictionary!E887)</f>
        <v>KCIs bestanden:</v>
      </c>
      <c r="E887" s="616" t="s">
        <v>499</v>
      </c>
      <c r="G887" s="615" t="s">
        <v>1326</v>
      </c>
    </row>
    <row r="888" spans="2:7" ht="16">
      <c r="B888" s="616" t="str">
        <f>IF(FORM_LANGUAGE=GER,Dictionary!G888,Dictionary!E888)</f>
        <v>Note bestanden:</v>
      </c>
      <c r="E888" s="616" t="s">
        <v>500</v>
      </c>
      <c r="G888" s="615" t="s">
        <v>1490</v>
      </c>
    </row>
    <row r="889" spans="2:7" ht="16">
      <c r="B889" s="616" t="str">
        <f>IF(FORM_LANGUAGE=GER,Dictionary!G889,Dictionary!E889)</f>
        <v>WS-Status:</v>
      </c>
      <c r="E889" s="616" t="s">
        <v>531</v>
      </c>
      <c r="G889" s="616" t="s">
        <v>1584</v>
      </c>
    </row>
    <row r="890" spans="2:7" ht="16">
      <c r="B890" s="616" t="str">
        <f>IF(FORM_LANGUAGE=GER,Dictionary!G890,Dictionary!E890)</f>
        <v>WS-Szenario:</v>
      </c>
      <c r="E890" s="616" t="s">
        <v>533</v>
      </c>
      <c r="G890" s="616" t="s">
        <v>1585</v>
      </c>
    </row>
    <row r="891" spans="2:7" ht="16">
      <c r="B891" s="616" t="str">
        <f>IF(FORM_LANGUAGE=GER,Dictionary!G891,Dictionary!E891)</f>
        <v>Bewertung aller Zertifizierungselemente</v>
      </c>
      <c r="E891" s="616" t="s">
        <v>1988</v>
      </c>
      <c r="G891" s="616" t="s">
        <v>1989</v>
      </c>
    </row>
    <row r="892" spans="2:7" ht="16">
      <c r="B892" s="616" t="str">
        <f>IF(FORM_LANGUAGE=GER,Dictionary!G892,Dictionary!E892)</f>
        <v>Zertifizierungs-Pfad</v>
      </c>
      <c r="E892" s="616" t="s">
        <v>3488</v>
      </c>
      <c r="G892" s="616" t="s">
        <v>3489</v>
      </c>
    </row>
    <row r="894" spans="2:7" ht="16">
      <c r="B894" s="616" t="str">
        <f>IF(FORM_LANGUAGE=GER,Dictionary!G894,Dictionary!E894)</f>
        <v>Zusammenfassung der erreichten Leistungen</v>
      </c>
      <c r="E894" s="616" t="s">
        <v>2000</v>
      </c>
      <c r="G894" s="616" t="s">
        <v>2001</v>
      </c>
    </row>
    <row r="895" spans="2:7" ht="16">
      <c r="B895" s="616" t="str">
        <f>IF(FORM_LANGUAGE=GER,Dictionary!G895,Dictionary!E895)</f>
        <v>Zusammenfassung der einzelnen Zertifizierungsschritte</v>
      </c>
      <c r="E895" s="616" t="s">
        <v>526</v>
      </c>
      <c r="G895" s="616" t="s">
        <v>1926</v>
      </c>
    </row>
    <row r="896" spans="2:7" ht="16">
      <c r="B896" s="616" t="str">
        <f>IF(FORM_LANGUAGE=GER,Dictionary!G896,Dictionary!E896)</f>
        <v>Bericht:</v>
      </c>
      <c r="E896" s="616" t="s">
        <v>501</v>
      </c>
      <c r="G896" s="616" t="s">
        <v>1927</v>
      </c>
    </row>
    <row r="897" spans="2:7" ht="16">
      <c r="B897" s="616" t="str">
        <f>IF(FORM_LANGUAGE=GER,Dictionary!G897,Dictionary!E897)</f>
        <v>Schriftliche Prüfung:</v>
      </c>
      <c r="E897" s="616" t="s">
        <v>528</v>
      </c>
      <c r="G897" s="616" t="s">
        <v>1928</v>
      </c>
    </row>
    <row r="898" spans="2:7" ht="16">
      <c r="B898" s="616" t="str">
        <f>IF(FORM_LANGUAGE=GER,Dictionary!G898,Dictionary!E898)</f>
        <v>FS- Simulationsworkshop</v>
      </c>
      <c r="E898" s="616" t="s">
        <v>527</v>
      </c>
      <c r="G898" s="616" t="s">
        <v>1929</v>
      </c>
    </row>
    <row r="899" spans="2:7" ht="16">
      <c r="B899" s="616" t="str">
        <f>IF(FORM_LANGUAGE=GER,Dictionary!G899,Dictionary!E899)</f>
        <v>KCIs bestanden</v>
      </c>
      <c r="E899" s="616" t="s">
        <v>530</v>
      </c>
      <c r="G899" s="616" t="s">
        <v>1930</v>
      </c>
    </row>
    <row r="900" spans="2:7" ht="16">
      <c r="B900" s="616" t="str">
        <f>IF(FORM_LANGUAGE=GER,Dictionary!G900,Dictionary!E900)</f>
        <v>CEs bestanden</v>
      </c>
      <c r="E900" s="616" t="s">
        <v>3484</v>
      </c>
      <c r="G900" s="616" t="s">
        <v>3485</v>
      </c>
    </row>
    <row r="901" spans="2:7" ht="16">
      <c r="B901" s="616" t="str">
        <f>IF(FORM_LANGUAGE=GER,Dictionary!G901,Dictionary!E901)</f>
        <v>Gesamtergebnis</v>
      </c>
      <c r="E901" s="616" t="s">
        <v>310</v>
      </c>
      <c r="G901" s="616" t="s">
        <v>1494</v>
      </c>
    </row>
    <row r="903" spans="2:7" ht="16">
      <c r="B903" s="616" t="str">
        <f>IF(FORM_LANGUAGE=GER,Dictionary!G903,Dictionary!E903)</f>
        <v>Bearbeitete Report Pflichtelemente</v>
      </c>
      <c r="E903" s="616" t="s">
        <v>2784</v>
      </c>
      <c r="G903" s="616" t="s">
        <v>2778</v>
      </c>
    </row>
    <row r="904" spans="2:7" ht="16">
      <c r="B904" s="616" t="str">
        <f>IF(FORM_LANGUAGE=GER,Dictionary!G904,Dictionary!E904)</f>
        <v>Bearbeitet Report Wahlelemente</v>
      </c>
      <c r="E904" s="616" t="s">
        <v>3993</v>
      </c>
      <c r="G904" s="616" t="s">
        <v>2779</v>
      </c>
    </row>
    <row r="905" spans="2:7" ht="16">
      <c r="B905" s="616" t="str">
        <f>IF(FORM_LANGUAGE=GER,Dictionary!G905,Dictionary!E905)</f>
        <v>Bearb. PE:</v>
      </c>
      <c r="E905" s="616" t="s">
        <v>3731</v>
      </c>
      <c r="G905" s="616" t="s">
        <v>3729</v>
      </c>
    </row>
    <row r="906" spans="2:7" ht="16">
      <c r="B906" s="616" t="str">
        <f>IF(FORM_LANGUAGE=GER,Dictionary!G906,Dictionary!E906)</f>
        <v>Bearb. WE:</v>
      </c>
      <c r="E906" s="616" t="s">
        <v>3732</v>
      </c>
      <c r="G906" s="616" t="s">
        <v>3730</v>
      </c>
    </row>
    <row r="908" spans="2:7" ht="16">
      <c r="B908" s="616" t="str">
        <f>IF(FORM_LANGUAGE=GER,Dictionary!G908,Dictionary!E908)</f>
        <v>Bearbeitet Report KCI</v>
      </c>
      <c r="E908" s="616" t="s">
        <v>3994</v>
      </c>
      <c r="G908" s="616" t="s">
        <v>3996</v>
      </c>
    </row>
    <row r="909" spans="2:7" ht="16">
      <c r="B909" s="616" t="str">
        <f>IF(FORM_LANGUAGE=GER,Dictionary!G909,Dictionary!E909)</f>
        <v>Bearb. KCI:</v>
      </c>
      <c r="E909" s="616" t="s">
        <v>3995</v>
      </c>
      <c r="G909" s="616" t="s">
        <v>3997</v>
      </c>
    </row>
    <row r="910" spans="2:7" ht="16">
      <c r="B910" s="616" t="str">
        <f>IF(FORM_LANGUAGE=GER,Dictionary!G910,Dictionary!E910)</f>
        <v>Mind. KCI:</v>
      </c>
      <c r="E910" s="616" t="s">
        <v>4004</v>
      </c>
      <c r="G910" s="616" t="s">
        <v>4003</v>
      </c>
    </row>
    <row r="913" spans="2:7" ht="16">
      <c r="B913" s="616" t="str">
        <f>IF(FORM_LANGUAGE=GER,Dictionary!G913,Dictionary!E913)</f>
        <v>Formal: Ein Pflicht CE mit seinen KCI wurde nicht bearbeitet</v>
      </c>
      <c r="E913" s="616" t="s">
        <v>3812</v>
      </c>
      <c r="G913" s="616" t="s">
        <v>3810</v>
      </c>
    </row>
    <row r="914" spans="2:7" ht="32">
      <c r="B914" s="616" t="str">
        <f>IF(FORM_LANGUAGE=GER,Dictionary!G914,Dictionary!E914)</f>
        <v>Formal: Die Kompetenzstufe lt. Reportvorgabe wurde nicht erreicht. Bitte überprüfen Sie anhand der Kompetenzstufe Ihre Ausführungen des KCI.</v>
      </c>
      <c r="E914" s="616" t="s">
        <v>3813</v>
      </c>
      <c r="G914" s="616" t="s">
        <v>3811</v>
      </c>
    </row>
    <row r="915" spans="2:7" ht="48">
      <c r="B915" s="616" t="str">
        <f>IF(FORM_LANGUAGE=GER,Dictionary!G915,Dictionary!E915)</f>
        <v>Inhalt: Das Thema bzw. die inhaltliche Anforderung an das KCI wurde nicht vollständig erfüllt. Bitte überprüfen Sie welchen Part der Anforderung an dem KCI Sie nicht bearbeitet haben.</v>
      </c>
      <c r="E915" s="616" t="s">
        <v>3814</v>
      </c>
      <c r="G915" s="616" t="s">
        <v>3815</v>
      </c>
    </row>
    <row r="916" spans="2:7" ht="48">
      <c r="B916" s="616" t="str">
        <f>IF(FORM_LANGUAGE=GER,Dictionary!G916,Dictionary!E916)</f>
        <v xml:space="preserve">Inhalt: Ihre Ausführungen haben keinen Bezug zum Projekt. Diese wurden allgemein, für jedes Projekt gültig, formuliert. Bitte stellen Sie in Ihren Ausführungen einen Bezug zum vorliegenden Projekt und entsprechenden Nachweisen her. </v>
      </c>
      <c r="E916" s="616" t="s">
        <v>3816</v>
      </c>
      <c r="G916" s="616" t="s">
        <v>3817</v>
      </c>
    </row>
    <row r="917" spans="2:7" ht="48">
      <c r="B917" s="616" t="str">
        <f>IF(FORM_LANGUAGE=GER,Dictionary!G917,Dictionary!E917)</f>
        <v>Evidenz: Fehlender Projektbezug, keine Evidenz erkennbar. Bitte weisen Sie z.B. anhand von Grafiken, Tabellen, und weitere Projektdokumente Nachweise als Anhang zu Ihren getätigten Ausführungen nach.</v>
      </c>
      <c r="E917" s="616" t="s">
        <v>3818</v>
      </c>
      <c r="G917" s="616" t="s">
        <v>3820</v>
      </c>
    </row>
    <row r="918" spans="2:7" ht="32">
      <c r="B918" s="616" t="str">
        <f>IF(FORM_LANGUAGE=GER,Dictionary!G918,Dictionary!E918)</f>
        <v>Evidenz: Bezug zum eigenen Handeln fehlt. Es ist nicht erkennbar welche Verantwortung Sie in den von Ihnen gemachten Ausführungen hatten. Bitte Beschreiben Sie Ihre Rolle.</v>
      </c>
      <c r="E918" s="616" t="s">
        <v>3819</v>
      </c>
      <c r="G918" s="616" t="s">
        <v>3821</v>
      </c>
    </row>
    <row r="922" spans="2:7">
      <c r="B922" s="2039" t="s">
        <v>1985</v>
      </c>
      <c r="C922" s="2039"/>
      <c r="D922" s="2039"/>
      <c r="E922" s="2039"/>
      <c r="F922" s="2039"/>
      <c r="G922" s="2039"/>
    </row>
    <row r="923" spans="2:7" ht="16">
      <c r="B923" s="616" t="str">
        <f>IF(FORM_LANGUAGE=GER,Dictionary!G923,Dictionary!E923)</f>
        <v>Perspective Kompetenz Elemente erfüllt</v>
      </c>
      <c r="E923" s="616" t="s">
        <v>313</v>
      </c>
      <c r="G923" s="616" t="s">
        <v>1485</v>
      </c>
    </row>
    <row r="924" spans="2:7" ht="16">
      <c r="B924" s="616" t="str">
        <f>IF(FORM_LANGUAGE=GER,Dictionary!G924,Dictionary!E924)</f>
        <v>People Kompetenz Elemente erfüllt</v>
      </c>
      <c r="E924" s="615" t="s">
        <v>1586</v>
      </c>
      <c r="G924" s="616" t="s">
        <v>1587</v>
      </c>
    </row>
    <row r="925" spans="2:7" ht="16">
      <c r="B925" s="616" t="str">
        <f>IF(FORM_LANGUAGE=GER,Dictionary!G925,Dictionary!E925)</f>
        <v>Practice Kompetenz Elemente erfüllt</v>
      </c>
      <c r="E925" s="616" t="s">
        <v>311</v>
      </c>
      <c r="G925" s="616" t="s">
        <v>1487</v>
      </c>
    </row>
    <row r="927" spans="2:7" ht="16">
      <c r="B927" s="616" t="str">
        <f>IF(FORM_LANGUAGE=GER,Dictionary!G927,Dictionary!E927)</f>
        <v>Schriftliche Prüfungsvariante:</v>
      </c>
      <c r="E927" s="616" t="s">
        <v>535</v>
      </c>
      <c r="G927" s="616" t="s">
        <v>1588</v>
      </c>
    </row>
    <row r="930" spans="2:7" ht="16">
      <c r="B930" s="616" t="str">
        <f>IF(FORM_LANGUAGE=GER,Dictionary!G930,Dictionary!E930)</f>
        <v>Bewertung für Basis Zertifikat</v>
      </c>
      <c r="E930" s="616" t="s">
        <v>1984</v>
      </c>
      <c r="G930" s="616" t="s">
        <v>1983</v>
      </c>
    </row>
    <row r="931" spans="2:7" ht="16">
      <c r="B931" s="616" t="str">
        <f>IF(FORM_LANGUAGE=GER,Dictionary!G931,Dictionary!E931)</f>
        <v>Bewertung Level D (Upgrade von Basis Zertifikat)</v>
      </c>
      <c r="E931" s="616" t="s">
        <v>3227</v>
      </c>
      <c r="G931" s="616" t="s">
        <v>3228</v>
      </c>
    </row>
    <row r="932" spans="2:7" ht="16">
      <c r="B932" s="616" t="str">
        <f>IF(FORM_LANGUAGE=GER,Dictionary!G932,Dictionary!E932)</f>
        <v>Bewertung Level D</v>
      </c>
      <c r="E932" s="616" t="s">
        <v>739</v>
      </c>
      <c r="G932" s="616" t="s">
        <v>1492</v>
      </c>
    </row>
    <row r="933" spans="2:7" ht="16">
      <c r="B933" s="616" t="str">
        <f>IF(FORM_LANGUAGE=GER,Dictionary!G933,Dictionary!E933)</f>
        <v>Bewertung SE-GPMC Level D+</v>
      </c>
      <c r="E933" s="616" t="s">
        <v>3987</v>
      </c>
      <c r="G933" s="616" t="s">
        <v>3988</v>
      </c>
    </row>
    <row r="934" spans="2:7" ht="16">
      <c r="B934" s="616" t="str">
        <f>IF(FORM_LANGUAGE=GER,Dictionary!G934,Dictionary!E934)</f>
        <v>D2 oder Report</v>
      </c>
      <c r="E934" s="616" t="s">
        <v>3986</v>
      </c>
      <c r="G934" s="616" t="s">
        <v>3985</v>
      </c>
    </row>
    <row r="939" spans="2:7" ht="16">
      <c r="B939" s="616" t="str">
        <f>IF(FORM_LANGUAGE=GER,Dictionary!G939,Dictionary!E939)</f>
        <v>Interview Eergebnis</v>
      </c>
      <c r="E939" s="616" t="s">
        <v>4094</v>
      </c>
      <c r="G939" s="616" t="s">
        <v>4095</v>
      </c>
    </row>
    <row r="941" spans="2:7" ht="16">
      <c r="B941" s="616" t="str">
        <f>IF(FORM_LANGUAGE=GER,Dictionary!G941,Dictionary!E941)</f>
        <v>Endergebnis</v>
      </c>
      <c r="E941" s="616" t="s">
        <v>477</v>
      </c>
      <c r="G941" s="616" t="s">
        <v>1488</v>
      </c>
    </row>
    <row r="942" spans="2:7" ht="16">
      <c r="B942" s="616" t="str">
        <f>IF(FORM_LANGUAGE=GER,Dictionary!G942,Dictionary!E942)</f>
        <v xml:space="preserve">Kommentare </v>
      </c>
      <c r="E942" s="616" t="s">
        <v>2798</v>
      </c>
      <c r="G942" s="616" t="s">
        <v>3400</v>
      </c>
    </row>
    <row r="943" spans="2:7" ht="16">
      <c r="B943" s="616" t="str">
        <f>IF(FORM_LANGUAGE=GER,Dictionary!G943,Dictionary!E943)</f>
        <v>Kommentare zur Schriftlichen Prüfung oder zum Report</v>
      </c>
      <c r="E943" s="616" t="s">
        <v>3401</v>
      </c>
      <c r="G943" s="616" t="s">
        <v>4213</v>
      </c>
    </row>
    <row r="944" spans="2:7" ht="16">
      <c r="B944" s="616" t="str">
        <f>IF(FORM_LANGUAGE=GER,Dictionary!G944,Dictionary!E944)</f>
        <v>Kommentare zur Schriftlichen Prüfung</v>
      </c>
      <c r="E944" s="616" t="s">
        <v>4211</v>
      </c>
      <c r="G944" s="616" t="s">
        <v>4212</v>
      </c>
    </row>
    <row r="945" spans="2:7" ht="16">
      <c r="B945" s="616" t="str">
        <f>IF(FORM_LANGUAGE=GER,Dictionary!G945,Dictionary!E945)</f>
        <v>Zusammenfassung</v>
      </c>
      <c r="E945" s="616" t="s">
        <v>314</v>
      </c>
      <c r="G945" s="616" t="s">
        <v>1493</v>
      </c>
    </row>
    <row r="946" spans="2:7" ht="16">
      <c r="B946" s="616" t="str">
        <f>IF(FORM_LANGUAGE=GER,Dictionary!G946,Dictionary!E946)</f>
        <v>Gesamtergebnis</v>
      </c>
      <c r="E946" s="616" t="s">
        <v>310</v>
      </c>
      <c r="G946" s="616" t="s">
        <v>1494</v>
      </c>
    </row>
    <row r="947" spans="2:7" ht="16">
      <c r="B947" s="616" t="str">
        <f>IF(FORM_LANGUAGE=GER,Dictionary!G947,Dictionary!E947)</f>
        <v>Individuelle Bestehensgrenze</v>
      </c>
      <c r="E947" s="616" t="s">
        <v>743</v>
      </c>
      <c r="G947" s="616" t="s">
        <v>1990</v>
      </c>
    </row>
    <row r="949" spans="2:7" ht="16">
      <c r="B949" s="616" t="str">
        <f>IF(FORM_LANGUAGE=GER,Dictionary!G949,Dictionary!E949)</f>
        <v>Zert. Stelle bestätigt Pfad</v>
      </c>
      <c r="E949" s="616" t="s">
        <v>3260</v>
      </c>
      <c r="G949" s="616" t="s">
        <v>3254</v>
      </c>
    </row>
    <row r="950" spans="2:7" ht="16">
      <c r="B950" s="616" t="str">
        <f>IF(FORM_LANGUAGE=GER,Dictionary!G950,Dictionary!E950)</f>
        <v>Alte Regeln</v>
      </c>
      <c r="E950" s="616" t="s">
        <v>3250</v>
      </c>
      <c r="G950" s="616" t="s">
        <v>3253</v>
      </c>
    </row>
    <row r="951" spans="2:7" ht="16">
      <c r="B951" s="616" t="str">
        <f>IF(FORM_LANGUAGE=GER,Dictionary!G951,Dictionary!E951)</f>
        <v>Neue Regeln</v>
      </c>
      <c r="E951" s="616" t="s">
        <v>3251</v>
      </c>
      <c r="G951" s="616" t="s">
        <v>3252</v>
      </c>
    </row>
    <row r="953" spans="2:7" ht="16">
      <c r="B953" s="616" t="str">
        <f>IF(FORM_LANGUAGE=GER,Dictionary!G953,Dictionary!E953)</f>
        <v>Achtung: Pfad</v>
      </c>
      <c r="E953" s="616" t="s">
        <v>3256</v>
      </c>
      <c r="G953" s="616" t="s">
        <v>3257</v>
      </c>
    </row>
    <row r="954" spans="2:7" ht="16">
      <c r="B954" s="616" t="str">
        <f>IF(FORM_LANGUAGE=GER,Dictionary!G954,Dictionary!E954)</f>
        <v>BEWERTUNG UNGÜLTIG</v>
      </c>
      <c r="E954" s="616" t="s">
        <v>3258</v>
      </c>
      <c r="G954" s="616" t="s">
        <v>3259</v>
      </c>
    </row>
    <row r="956" spans="2:7">
      <c r="B956" s="2039" t="s">
        <v>1268</v>
      </c>
      <c r="C956" s="2039"/>
      <c r="D956" s="2039"/>
      <c r="E956" s="2039"/>
      <c r="F956" s="2039"/>
      <c r="G956" s="2039"/>
    </row>
    <row r="957" spans="2:7" ht="16">
      <c r="B957" s="616" t="str">
        <f>IF(FORM_LANGUAGE=GER,Dictionary!G957,Dictionary!E957)</f>
        <v>Perspective Kompetenz Elemente erfüllt</v>
      </c>
      <c r="E957" s="616" t="s">
        <v>313</v>
      </c>
      <c r="G957" s="616" t="s">
        <v>1485</v>
      </c>
    </row>
    <row r="958" spans="2:7" ht="16">
      <c r="B958" s="616" t="str">
        <f>IF(FORM_LANGUAGE=GER,Dictionary!G958,Dictionary!E958)</f>
        <v>People Kompetenz Elemente erfüllt</v>
      </c>
      <c r="E958" s="615" t="s">
        <v>1586</v>
      </c>
      <c r="G958" s="616" t="s">
        <v>1587</v>
      </c>
    </row>
    <row r="959" spans="2:7" ht="16">
      <c r="B959" s="616" t="str">
        <f>IF(FORM_LANGUAGE=GER,Dictionary!G959,Dictionary!E959)</f>
        <v>Practice Kompetenz Elemente erfüllt</v>
      </c>
      <c r="E959" s="616" t="s">
        <v>311</v>
      </c>
      <c r="G959" s="616" t="s">
        <v>1487</v>
      </c>
    </row>
    <row r="960" spans="2:7" ht="16">
      <c r="B960" s="616" t="str">
        <f>IF(FORM_LANGUAGE=GER,Dictionary!G960,Dictionary!E960)</f>
        <v>Leistungsübersicht</v>
      </c>
      <c r="E960" s="616" t="s">
        <v>3900</v>
      </c>
      <c r="G960" s="616" t="s">
        <v>3901</v>
      </c>
    </row>
    <row r="961" spans="2:7" ht="16">
      <c r="B961" s="616" t="str">
        <f>IF(FORM_LANGUAGE=GER,Dictionary!G961,Dictionary!E961)</f>
        <v>Schriftliche Prüfungsvariante:</v>
      </c>
      <c r="E961" s="616" t="s">
        <v>535</v>
      </c>
      <c r="G961" s="616" t="s">
        <v>1588</v>
      </c>
    </row>
    <row r="962" spans="2:7" ht="16">
      <c r="B962" s="616" t="str">
        <f>IF(FORM_LANGUAGE=GER,Dictionary!G962,Dictionary!E962)</f>
        <v>Workshop-Szenario:</v>
      </c>
      <c r="E962" s="616" t="s">
        <v>534</v>
      </c>
      <c r="G962" s="616" t="s">
        <v>1589</v>
      </c>
    </row>
    <row r="964" spans="2:7" ht="16">
      <c r="B964" s="616" t="str">
        <f>IF(FORM_LANGUAGE=GER,Dictionary!G964,Dictionary!E964)</f>
        <v>Endergebnis</v>
      </c>
      <c r="E964" s="616" t="s">
        <v>477</v>
      </c>
      <c r="G964" s="616" t="s">
        <v>1488</v>
      </c>
    </row>
    <row r="965" spans="2:7" ht="16">
      <c r="B965" s="616" t="str">
        <f>IF(FORM_LANGUAGE=GER,Dictionary!G965,Dictionary!E965)</f>
        <v>Kommentare</v>
      </c>
      <c r="E965" s="616" t="s">
        <v>2798</v>
      </c>
      <c r="G965" s="616" t="s">
        <v>1312</v>
      </c>
    </row>
    <row r="966" spans="2:7" ht="16">
      <c r="B966" s="616" t="str">
        <f>IF(FORM_LANGUAGE=GER,Dictionary!G966,Dictionary!E966)</f>
        <v>Zusammenfassung</v>
      </c>
      <c r="E966" s="616" t="s">
        <v>314</v>
      </c>
      <c r="G966" s="616" t="s">
        <v>1493</v>
      </c>
    </row>
    <row r="967" spans="2:7" ht="16">
      <c r="B967" s="616" t="str">
        <f>IF(FORM_LANGUAGE=GER,Dictionary!G967,Dictionary!E967)</f>
        <v>Gesamtergebnis</v>
      </c>
      <c r="E967" s="616" t="s">
        <v>310</v>
      </c>
      <c r="G967" s="616" t="s">
        <v>1494</v>
      </c>
    </row>
    <row r="968" spans="2:7" ht="16">
      <c r="B968" s="616" t="str">
        <f>IF(FORM_LANGUAGE=GER,Dictionary!G968,Dictionary!E968)</f>
        <v>Zum Bestehen erforderlich</v>
      </c>
      <c r="E968" s="616" t="s">
        <v>309</v>
      </c>
      <c r="G968" s="616" t="s">
        <v>1495</v>
      </c>
    </row>
    <row r="971" spans="2:7">
      <c r="B971" s="2039" t="s">
        <v>2378</v>
      </c>
      <c r="C971" s="2039"/>
      <c r="D971" s="2039"/>
      <c r="E971" s="2039"/>
      <c r="F971" s="2039"/>
      <c r="G971" s="2039"/>
    </row>
    <row r="973" spans="2:7">
      <c r="B973" s="2039" t="s">
        <v>4076</v>
      </c>
      <c r="C973" s="2039"/>
      <c r="D973" s="2039"/>
      <c r="E973" s="2039"/>
      <c r="F973" s="2039"/>
      <c r="G973" s="2039"/>
    </row>
    <row r="974" spans="2:7" ht="16">
      <c r="B974" s="616" t="str">
        <f>IF(FORM_LANGUAGE=GER,Dictionary!G974,Dictionary!E974)</f>
        <v>Nur Felder in dieser Färbung beschreiben</v>
      </c>
      <c r="E974" s="616" t="s">
        <v>4037</v>
      </c>
      <c r="G974" s="616" t="s">
        <v>2447</v>
      </c>
    </row>
    <row r="975" spans="2:7" ht="16">
      <c r="B975" s="616" t="str">
        <f>IF(FORM_LANGUAGE=GER,Dictionary!G975,Dictionary!E975)</f>
        <v>Domäne</v>
      </c>
      <c r="E975" s="616" t="s">
        <v>2816</v>
      </c>
      <c r="G975" s="616" t="s">
        <v>2446</v>
      </c>
    </row>
    <row r="976" spans="2:7" ht="16">
      <c r="B976" s="616" t="str">
        <f>IF(FORM_LANGUAGE=GER,Dictionary!G976,Dictionary!E976)</f>
        <v>Erstbewertung</v>
      </c>
      <c r="E976" s="616" t="s">
        <v>4038</v>
      </c>
      <c r="G976" s="616" t="s">
        <v>2512</v>
      </c>
    </row>
    <row r="977" spans="2:7" ht="16">
      <c r="B977" s="616" t="str">
        <f>IF(FORM_LANGUAGE=GER,Dictionary!G977,Dictionary!E977)</f>
        <v>Nr.</v>
      </c>
      <c r="E977" s="616" t="s">
        <v>4039</v>
      </c>
      <c r="G977" s="616" t="s">
        <v>667</v>
      </c>
    </row>
    <row r="978" spans="2:7" ht="16">
      <c r="B978" s="616" t="str">
        <f>IF(FORM_LANGUAGE=GER,Dictionary!G978,Dictionary!E978)</f>
        <v>Bereich</v>
      </c>
      <c r="E978" s="616" t="s">
        <v>4040</v>
      </c>
      <c r="G978" s="616" t="s">
        <v>2448</v>
      </c>
    </row>
    <row r="979" spans="2:7" ht="16">
      <c r="B979" s="616" t="str">
        <f>IF(FORM_LANGUAGE=GER,Dictionary!G979,Dictionary!E979)</f>
        <v>Fakten, Beurteilung</v>
      </c>
      <c r="E979" s="616" t="s">
        <v>4041</v>
      </c>
      <c r="G979" s="615" t="s">
        <v>2449</v>
      </c>
    </row>
    <row r="980" spans="2:7" ht="16">
      <c r="B980" s="616" t="str">
        <f>IF(FORM_LANGUAGE=GER,Dictionary!G980,Dictionary!E980)</f>
        <v>Bewertung</v>
      </c>
      <c r="E980" s="616" t="s">
        <v>4042</v>
      </c>
      <c r="G980" s="616" t="s">
        <v>1189</v>
      </c>
    </row>
    <row r="981" spans="2:7" ht="16">
      <c r="B981" s="616" t="str">
        <f>IF(FORM_LANGUAGE=GER,Dictionary!G981,Dictionary!E981)</f>
        <v>Korrektur Interview</v>
      </c>
      <c r="E981" s="616" t="s">
        <v>4043</v>
      </c>
      <c r="G981" s="616" t="s">
        <v>2450</v>
      </c>
    </row>
    <row r="982" spans="2:7" ht="16">
      <c r="B982" s="616" t="str">
        <f>IF(FORM_LANGUAGE=GER,Dictionary!G982,Dictionary!E982)</f>
        <v>Praxis</v>
      </c>
      <c r="E982" s="616" t="s">
        <v>4045</v>
      </c>
      <c r="G982" s="616" t="s">
        <v>2455</v>
      </c>
    </row>
    <row r="983" spans="2:7" ht="16">
      <c r="B983" s="616" t="str">
        <f>IF(FORM_LANGUAGE=GER,Dictionary!G983,Dictionary!E983)</f>
        <v>PM-Tätigkeit (Monate) im genannten Level oder höher</v>
      </c>
      <c r="E983" s="616" t="s">
        <v>4046</v>
      </c>
      <c r="G983" s="616" t="s">
        <v>4047</v>
      </c>
    </row>
    <row r="984" spans="2:7" ht="48">
      <c r="B984" s="616" t="str">
        <f>IF(FORM_LANGUAGE=GER,Dictionary!G984,Dictionary!E984)</f>
        <v>Interview
wenn Interview bestanden, wird ein Wert eingetragen, so dass die Weiterbildung "bestanden" ist.</v>
      </c>
      <c r="E984" s="616" t="s">
        <v>4048</v>
      </c>
      <c r="G984" s="616" t="s">
        <v>4044</v>
      </c>
    </row>
    <row r="985" spans="2:7" ht="16">
      <c r="B985" s="616" t="str">
        <f>IF(FORM_LANGUAGE=GER,Dictionary!G985,Dictionary!E985)</f>
        <v>PM-Tätigkeit (Monate) gesamt</v>
      </c>
      <c r="E985" s="616" t="s">
        <v>4049</v>
      </c>
      <c r="G985" s="616" t="s">
        <v>2463</v>
      </c>
    </row>
    <row r="986" spans="2:7" ht="16">
      <c r="B986" s="616" t="str">
        <f>IF(FORM_LANGUAGE=GER,Dictionary!G986,Dictionary!E986)</f>
        <v>Weiterbildung</v>
      </c>
      <c r="E986" s="616" t="s">
        <v>4050</v>
      </c>
      <c r="G986" s="616" t="s">
        <v>2465</v>
      </c>
    </row>
    <row r="987" spans="2:7" ht="32">
      <c r="B987" s="616" t="str">
        <f>IF(FORM_LANGUAGE=GER,Dictionary!G987,Dictionary!E987)</f>
        <v>Anrechnung der Praxis auf die Weiterbildung
aus "Projekteliste"</v>
      </c>
      <c r="E987" s="616" t="s">
        <v>4051</v>
      </c>
      <c r="G987" s="616" t="s">
        <v>2500</v>
      </c>
    </row>
    <row r="988" spans="2:7" ht="32">
      <c r="B988" s="616" t="str">
        <f>IF(FORM_LANGUAGE=GER,Dictionary!G988,Dictionary!E988)</f>
        <v>Weiterbildung der letzten 5 Jahre
(Summe aus P-Dev Eval)</v>
      </c>
      <c r="E988" s="616" t="s">
        <v>4052</v>
      </c>
      <c r="G988" s="616" t="s">
        <v>4053</v>
      </c>
    </row>
    <row r="989" spans="2:7" ht="48">
      <c r="B989" s="616" t="str">
        <f>IF(FORM_LANGUAGE=GER,Dictionary!G989,Dictionary!E989)</f>
        <v>Interview
wenn Interview bestanden, wird ein Wert eingetragen, so dass die Weiterbildung "bestanden" ist.</v>
      </c>
      <c r="E989" s="616" t="s">
        <v>4048</v>
      </c>
      <c r="G989" s="616" t="s">
        <v>4044</v>
      </c>
    </row>
    <row r="990" spans="2:7" ht="16">
      <c r="B990" s="616" t="str">
        <f>IF(FORM_LANGUAGE=GER,Dictionary!G990,Dictionary!E990)</f>
        <v>Weiterbildung Gesamt</v>
      </c>
      <c r="E990" s="616" t="s">
        <v>4054</v>
      </c>
      <c r="G990" s="616" t="s">
        <v>2469</v>
      </c>
    </row>
    <row r="992" spans="2:7" ht="16">
      <c r="B992" s="616" t="str">
        <f>IF(FORM_LANGUAGE=GER,Dictionary!G992,Dictionary!E992)</f>
        <v>Einbeziehung IPMA Assessor *)</v>
      </c>
      <c r="E992" s="616" t="s">
        <v>4055</v>
      </c>
      <c r="G992" s="616" t="s">
        <v>2471</v>
      </c>
    </row>
    <row r="993" spans="2:7" ht="16">
      <c r="B993" s="616" t="str">
        <f>IF(FORM_LANGUAGE=GER,Dictionary!G993,Dictionary!E993)</f>
        <v>Zertifizierungsstelle Ausland (Adresse, Tel.)</v>
      </c>
      <c r="E993" s="616" t="s">
        <v>4056</v>
      </c>
      <c r="G993" s="616" t="s">
        <v>2473</v>
      </c>
    </row>
    <row r="994" spans="2:7" ht="16">
      <c r="B994" s="616" t="str">
        <f>IF(FORM_LANGUAGE=GER,Dictionary!G994,Dictionary!E994)</f>
        <v>Assessor Ausland (Name)</v>
      </c>
      <c r="E994" s="616" t="s">
        <v>4057</v>
      </c>
      <c r="G994" s="616" t="s">
        <v>2475</v>
      </c>
    </row>
    <row r="995" spans="2:7" ht="16">
      <c r="B995" s="616" t="str">
        <f>IF(FORM_LANGUAGE=GER,Dictionary!G995,Dictionary!E995)</f>
        <v>Prüfung Ausland (Datum, Referenzdokument)</v>
      </c>
      <c r="E995" s="616" t="s">
        <v>4058</v>
      </c>
      <c r="G995" s="616" t="s">
        <v>2478</v>
      </c>
    </row>
    <row r="997" spans="2:7" ht="16">
      <c r="B997" s="616" t="str">
        <f>IF(FORM_LANGUAGE=GER,Dictionary!G997,Dictionary!E997)</f>
        <v>Abgeschlossen: Rezertifizierung empfohlen</v>
      </c>
      <c r="E997" s="616" t="s">
        <v>4059</v>
      </c>
      <c r="G997" s="616" t="s">
        <v>2482</v>
      </c>
    </row>
    <row r="998" spans="2:7" ht="16">
      <c r="B998" s="616" t="str">
        <f>IF(FORM_LANGUAGE=GER,Dictionary!G998,Dictionary!E998)</f>
        <v>Abgeschlossen: Einladung zum Interview</v>
      </c>
      <c r="E998" s="616" t="s">
        <v>4060</v>
      </c>
      <c r="G998" s="616" t="s">
        <v>2484</v>
      </c>
    </row>
    <row r="999" spans="2:7" ht="16">
      <c r="B999" s="616" t="str">
        <f>IF(FORM_LANGUAGE=GER,Dictionary!G999,Dictionary!E999)</f>
        <v>Offen:Literaturbesprechung anfordern (ca. Seitenzahl)</v>
      </c>
      <c r="E999" s="616" t="s">
        <v>4063</v>
      </c>
      <c r="G999" s="616" t="s">
        <v>4064</v>
      </c>
    </row>
    <row r="1000" spans="2:7" ht="16">
      <c r="B1000" s="616" t="str">
        <f>IF(FORM_LANGUAGE=GER,Dictionary!G1000,Dictionary!E1000)</f>
        <v>Höherzertifizierung empfohlen (Level C-&gt;B)</v>
      </c>
      <c r="E1000" s="616" t="s">
        <v>4061</v>
      </c>
      <c r="G1000" s="616" t="s">
        <v>2487</v>
      </c>
    </row>
    <row r="1002" spans="2:7" ht="16">
      <c r="B1002" s="616" t="str">
        <f>IF(FORM_LANGUAGE=GER,Dictionary!G1002,Dictionary!E1002)</f>
        <v>Ergebnisse</v>
      </c>
      <c r="E1002" s="616" t="s">
        <v>740</v>
      </c>
      <c r="G1002" s="616" t="s">
        <v>2481</v>
      </c>
    </row>
    <row r="1003" spans="2:7" ht="16">
      <c r="B1003" s="616" t="str">
        <f>IF(FORM_LANGUAGE=GER,Dictionary!G1003,Dictionary!E1003)</f>
        <v>Umfang ca. Seiten:</v>
      </c>
      <c r="E1003" s="616" t="s">
        <v>4062</v>
      </c>
      <c r="G1003" s="616" t="s">
        <v>2486</v>
      </c>
    </row>
    <row r="1005" spans="2:7" ht="48">
      <c r="B1005" s="616" t="str">
        <f>IF(FORM_LANGUAGE=GER,Dictionary!G1005,Dictionary!E1005)</f>
        <v>Begründung
(Hier nur Gründe anführen bei einer Ablehnung der Zertifikats-erneuerung - hier KEINE Notizen!)</v>
      </c>
      <c r="E1005" s="616" t="s">
        <v>4065</v>
      </c>
      <c r="G1005" s="616" t="s">
        <v>2488</v>
      </c>
    </row>
    <row r="1006" spans="2:7" ht="16">
      <c r="B1006" s="616" t="str">
        <f>IF(FORM_LANGUAGE=GER,Dictionary!G1006,Dictionary!E1006)</f>
        <v>Notizen</v>
      </c>
      <c r="E1006" s="616" t="s">
        <v>2798</v>
      </c>
      <c r="G1006" s="616" t="s">
        <v>2489</v>
      </c>
    </row>
    <row r="1008" spans="2:7" ht="16">
      <c r="B1008" s="616" t="str">
        <f>IF(FORM_LANGUAGE=GER,Dictionary!G1008,Dictionary!E1008)</f>
        <v>IPMA Anforderungen an Re-Zertifizierung</v>
      </c>
      <c r="E1008" s="616" t="s">
        <v>4067</v>
      </c>
      <c r="G1008" s="616" t="s">
        <v>4066</v>
      </c>
    </row>
    <row r="1009" spans="2:7" ht="16">
      <c r="B1009" s="616" t="str">
        <f>IF(FORM_LANGUAGE=GER,Dictionary!G1009,Dictionary!E1009)</f>
        <v>Domänen-bezogene Erfahrung des Zertifikat-inhabers</v>
      </c>
      <c r="E1009" s="616" t="s">
        <v>4068</v>
      </c>
      <c r="G1009" s="616" t="s">
        <v>2451</v>
      </c>
    </row>
    <row r="1010" spans="2:7" ht="16">
      <c r="B1010" s="616" t="str">
        <f>IF(FORM_LANGUAGE=GER,Dictionary!G1010,Dictionary!E1010)</f>
        <v>Nachweis von mindestens 30 Monaten praktischer Erfahrung während der letzten 5 Jahre</v>
      </c>
      <c r="E1010" s="616" t="s">
        <v>4069</v>
      </c>
      <c r="G1010" s="615" t="s">
        <v>2452</v>
      </c>
    </row>
    <row r="1011" spans="2:7" ht="16">
      <c r="B1011" s="616" t="str">
        <f>IF(FORM_LANGUAGE=GER,Dictionary!G1011,Dictionary!E1011)</f>
        <v>Komplexität</v>
      </c>
      <c r="E1011" s="616" t="s">
        <v>4070</v>
      </c>
      <c r="G1011" s="615" t="s">
        <v>2456</v>
      </c>
    </row>
    <row r="1012" spans="2:7" ht="16">
      <c r="B1012" s="616" t="str">
        <f>IF(FORM_LANGUAGE=GER,Dictionary!G1012,Dictionary!E1012)</f>
        <v>Führung (Leadership)</v>
      </c>
      <c r="E1012" s="616" t="s">
        <v>262</v>
      </c>
      <c r="G1012" s="615" t="s">
        <v>2458</v>
      </c>
    </row>
    <row r="1013" spans="2:7" ht="32">
      <c r="B1013" s="616" t="str">
        <f>IF(FORM_LANGUAGE=GER,Dictionary!G1013,Dictionary!E1013)</f>
        <v>Nachweise über mindestens 35 Stunden Weiterbildung pro Jahr (insgesamt 175 Stunden) seit der letzten (Re-) Zertifizierung</v>
      </c>
      <c r="E1013" s="616" t="s">
        <v>4071</v>
      </c>
      <c r="G1013" s="615" t="s">
        <v>2462</v>
      </c>
    </row>
    <row r="1014" spans="2:7" ht="16">
      <c r="B1014" s="616" t="str">
        <f>IF(FORM_LANGUAGE=GER,Dictionary!G1014,Dictionary!E1014)</f>
        <v>Management</v>
      </c>
      <c r="E1014" s="616" t="s">
        <v>2459</v>
      </c>
      <c r="G1014" s="615" t="s">
        <v>2459</v>
      </c>
    </row>
    <row r="1015" spans="2:7" ht="32">
      <c r="B1015" s="616" t="str">
        <f>IF(FORM_LANGUAGE=GER,Dictionary!G1015,Dictionary!E1015)</f>
        <v>Anteil der Tätigkeit im Projektmanagement während der vorangegangenen Gültigkeitsdauer des Zertifikats bezogen auf eine Vollbeschäftigung in diesem Zeitraum</v>
      </c>
      <c r="E1015" s="616" t="s">
        <v>4073</v>
      </c>
      <c r="G1015" s="616" t="s">
        <v>4072</v>
      </c>
    </row>
    <row r="1016" spans="2:7" ht="16">
      <c r="B1016" s="616" t="str">
        <f>IF(FORM_LANGUAGE=GER,Dictionary!G1016,Dictionary!E1016)</f>
        <v>Anerkannter Anteil als Weiterbildung pro Jahr [h]</v>
      </c>
      <c r="E1016" s="616" t="s">
        <v>4074</v>
      </c>
      <c r="G1016" s="616" t="s">
        <v>2476</v>
      </c>
    </row>
    <row r="1018" spans="2:7" ht="16">
      <c r="B1018" s="616" t="str">
        <f>IF(FORM_LANGUAGE=GER,Dictionary!G1018,Dictionary!E1018)</f>
        <v>Re-Zert Interview</v>
      </c>
      <c r="E1018" s="616" t="s">
        <v>4082</v>
      </c>
      <c r="G1018" s="616" t="s">
        <v>4083</v>
      </c>
    </row>
    <row r="1019" spans="2:7" ht="16">
      <c r="B1019" s="616" t="str">
        <f>IF(FORM_LANGUAGE=GER,Dictionary!G1019,Dictionary!E1019)</f>
        <v>Interview wegen nicht ausreichender PM-Praxis</v>
      </c>
      <c r="E1019" s="616" t="s">
        <v>4077</v>
      </c>
      <c r="G1019" s="616" t="s">
        <v>2490</v>
      </c>
    </row>
    <row r="1020" spans="2:7" ht="16">
      <c r="B1020" s="616" t="str">
        <f>IF(FORM_LANGUAGE=GER,Dictionary!G1020,Dictionary!E1020)</f>
        <v>Interview wegen nicht ausreichender Weiterbildung</v>
      </c>
      <c r="E1020" s="616" t="s">
        <v>4078</v>
      </c>
      <c r="G1020" s="616" t="s">
        <v>2491</v>
      </c>
    </row>
    <row r="1021" spans="2:7" ht="32">
      <c r="B1021" s="616" t="str">
        <f>IF(FORM_LANGUAGE=GER,Dictionary!G1021,Dictionary!E1021)</f>
        <v>Ergebnis: Wurden die für die Rezertifizierung erforderlichen Fähigkeiten und Fertigkeiten gezeigt?</v>
      </c>
      <c r="E1021" s="616" t="s">
        <v>4187</v>
      </c>
      <c r="G1021" s="616" t="s">
        <v>4186</v>
      </c>
    </row>
    <row r="1022" spans="2:7" ht="16">
      <c r="B1022" s="616" t="str">
        <f>IF(FORM_LANGUAGE=GER,Dictionary!G1022,Dictionary!E1022)</f>
        <v>Formulierte Frage</v>
      </c>
      <c r="E1022" s="616" t="s">
        <v>4079</v>
      </c>
      <c r="G1022" s="616" t="s">
        <v>2498</v>
      </c>
    </row>
    <row r="1023" spans="2:7" ht="16">
      <c r="B1023" s="616" t="str">
        <f>IF(FORM_LANGUAGE=GER,Dictionary!G1023,Dictionary!E1023)</f>
        <v>Stichpunktartig protokollierte Antwort</v>
      </c>
      <c r="E1023" s="616" t="s">
        <v>4080</v>
      </c>
      <c r="G1023" s="616" t="s">
        <v>2492</v>
      </c>
    </row>
    <row r="1024" spans="2:7" ht="16">
      <c r="B1024" s="616" t="str">
        <f>IF(FORM_LANGUAGE=GER,Dictionary!G1024,Dictionary!E1024)</f>
        <v>Bestanden/nicht bestanden (1/0)</v>
      </c>
      <c r="E1024" s="616" t="s">
        <v>4081</v>
      </c>
      <c r="G1024" s="616" t="s">
        <v>2493</v>
      </c>
    </row>
    <row r="1029" spans="2:7">
      <c r="B1029" s="2039" t="s">
        <v>2434</v>
      </c>
      <c r="C1029" s="2039"/>
      <c r="D1029" s="2039"/>
      <c r="E1029" s="2039"/>
      <c r="F1029" s="2039"/>
      <c r="G1029" s="2039"/>
    </row>
    <row r="1030" spans="2:7" ht="16">
      <c r="B1030" s="616" t="str">
        <f>IF(FORM_LANGUAGE=GER,Dictionary!G1030,Dictionary!E1030)</f>
        <v>Konferenz-Name / Titel</v>
      </c>
      <c r="E1030" s="616" t="s">
        <v>608</v>
      </c>
      <c r="G1030" s="616" t="s">
        <v>2380</v>
      </c>
    </row>
    <row r="1031" spans="2:7" ht="16">
      <c r="B1031" s="616" t="str">
        <f>IF(FORM_LANGUAGE=GER,Dictionary!G1031,Dictionary!E1031)</f>
        <v>Veranstalter</v>
      </c>
      <c r="E1031" s="616" t="s">
        <v>609</v>
      </c>
      <c r="G1031" s="616" t="s">
        <v>2349</v>
      </c>
    </row>
    <row r="1032" spans="2:7" ht="16">
      <c r="B1032" s="616" t="str">
        <f>IF(FORM_LANGUAGE=GER,Dictionary!G1032,Dictionary!E1032)</f>
        <v>Ort</v>
      </c>
      <c r="E1032" s="616" t="s">
        <v>610</v>
      </c>
      <c r="G1032" s="616" t="s">
        <v>1172</v>
      </c>
    </row>
    <row r="1033" spans="2:7" ht="16">
      <c r="B1033" s="616" t="str">
        <f>IF(FORM_LANGUAGE=GER,Dictionary!G1033,Dictionary!E1033)</f>
        <v>Start Datum</v>
      </c>
      <c r="E1033" s="616" t="s">
        <v>1</v>
      </c>
      <c r="G1033" s="616" t="s">
        <v>2381</v>
      </c>
    </row>
    <row r="1034" spans="2:7" ht="16">
      <c r="B1034" s="616" t="str">
        <f>IF(FORM_LANGUAGE=GER,Dictionary!G1034,Dictionary!E1034)</f>
        <v>End Datum</v>
      </c>
      <c r="E1034" s="616" t="s">
        <v>2</v>
      </c>
      <c r="G1034" s="616" t="s">
        <v>2382</v>
      </c>
    </row>
    <row r="1035" spans="2:7" ht="16">
      <c r="B1035" s="616" t="str">
        <f>IF(FORM_LANGUAGE=GER,Dictionary!G1035,Dictionary!E1035)</f>
        <v>Dauer (Std.)</v>
      </c>
      <c r="E1035" s="616" t="s">
        <v>611</v>
      </c>
      <c r="G1035" s="616" t="s">
        <v>2319</v>
      </c>
    </row>
    <row r="1036" spans="2:7" ht="16">
      <c r="B1036" s="616" t="str">
        <f>IF(FORM_LANGUAGE=GER,Dictionary!G1036,Dictionary!E1036)</f>
        <v>ICB Element Referenz</v>
      </c>
      <c r="E1036" s="616" t="s">
        <v>612</v>
      </c>
      <c r="G1036" s="616" t="s">
        <v>2383</v>
      </c>
    </row>
    <row r="1037" spans="2:7" ht="16">
      <c r="B1037" s="616" t="str">
        <f>IF(FORM_LANGUAGE=GER,Dictionary!G1037,Dictionary!E1037)</f>
        <v>Nachweis der Teilnahme</v>
      </c>
      <c r="E1037" s="616" t="s">
        <v>3743</v>
      </c>
      <c r="G1037" s="616" t="s">
        <v>3739</v>
      </c>
    </row>
    <row r="1038" spans="2:7" ht="16">
      <c r="B1038" s="616" t="str">
        <f>IF(FORM_LANGUAGE=GER,Dictionary!G1038,Dictionary!E1038)</f>
        <v>Anerkennungsfähige Dauer (Std.)</v>
      </c>
      <c r="E1038" s="616" t="s">
        <v>613</v>
      </c>
      <c r="G1038" s="616" t="s">
        <v>2384</v>
      </c>
    </row>
    <row r="1039" spans="2:7" ht="16">
      <c r="B1039" s="616" t="str">
        <f>IF(FORM_LANGUAGE=GER,Dictionary!G1039,Dictionary!E1039)</f>
        <v>Hinweise</v>
      </c>
      <c r="E1039" s="616" t="s">
        <v>250</v>
      </c>
      <c r="G1039" s="616" t="s">
        <v>2385</v>
      </c>
    </row>
    <row r="1040" spans="2:7" ht="16">
      <c r="B1040" s="616" t="str">
        <f>IF(FORM_LANGUAGE=GER,Dictionary!G1040,Dictionary!E1040)</f>
        <v>Anrechenbare Gesamt-Zeit</v>
      </c>
      <c r="E1040" s="616" t="s">
        <v>711</v>
      </c>
      <c r="G1040" s="616" t="s">
        <v>2412</v>
      </c>
    </row>
    <row r="1041" spans="2:7" ht="16">
      <c r="B1041" s="616" t="str">
        <f>IF(FORM_LANGUAGE=GER,Dictionary!G1041,Dictionary!E1041)</f>
        <v>Titel / Thema</v>
      </c>
      <c r="E1041" s="616" t="s">
        <v>617</v>
      </c>
      <c r="G1041" s="616" t="s">
        <v>2331</v>
      </c>
    </row>
    <row r="1043" spans="2:7">
      <c r="B1043" s="2039" t="s">
        <v>233</v>
      </c>
      <c r="C1043" s="2039"/>
      <c r="D1043" s="2039"/>
      <c r="E1043" s="2039"/>
      <c r="F1043" s="2039"/>
      <c r="G1043" s="2039"/>
    </row>
    <row r="1044" spans="2:7" ht="16">
      <c r="B1044" s="616" t="str">
        <f>IF(FORM_LANGUAGE=GER,Dictionary!G1044,Dictionary!E1044)</f>
        <v>Eigenes Studium</v>
      </c>
      <c r="C1044" s="783"/>
      <c r="D1044" s="783"/>
      <c r="E1044" s="784" t="s">
        <v>607</v>
      </c>
      <c r="F1044" s="783"/>
      <c r="G1044" s="784" t="s">
        <v>2408</v>
      </c>
    </row>
    <row r="1045" spans="2:7" ht="16">
      <c r="B1045" s="616" t="str">
        <f>IF(FORM_LANGUAGE=GER,Dictionary!G1045,Dictionary!E1045)</f>
        <v>Professionelle Weiterbildung: Lernen</v>
      </c>
      <c r="E1045" s="616" t="s">
        <v>2007</v>
      </c>
      <c r="G1045" s="616" t="s">
        <v>2008</v>
      </c>
    </row>
    <row r="1046" spans="2:7" ht="16">
      <c r="B1046" s="616" t="str">
        <f>IF(FORM_LANGUAGE=GER,Dictionary!G1046,Dictionary!E1046)</f>
        <v>GPM Mitgliedschaft</v>
      </c>
      <c r="E1046" s="616" t="s">
        <v>3409</v>
      </c>
      <c r="G1046" s="616" t="s">
        <v>3410</v>
      </c>
    </row>
    <row r="1047" spans="2:7" ht="32">
      <c r="B1047" s="616" t="str">
        <f>IF(FORM_LANGUAGE=GER,Dictionary!G1047,Dictionary!E1047)</f>
        <v>Geben Sie Ihre GPM Mitgliednummer an, um die hierfür anrechenbare Weiterbildungszeit gutgeschrieben zu bekommen.</v>
      </c>
      <c r="E1047" s="616" t="s">
        <v>4029</v>
      </c>
      <c r="G1047" s="616" t="s">
        <v>4030</v>
      </c>
    </row>
    <row r="1048" spans="2:7" ht="16">
      <c r="B1048" s="616" t="str">
        <f>IF(FORM_LANGUAGE=GER,Dictionary!G1048,Dictionary!E1048)</f>
        <v>Mitgliedsnummer:</v>
      </c>
      <c r="E1048" s="616" t="s">
        <v>3412</v>
      </c>
      <c r="G1048" s="616" t="s">
        <v>3411</v>
      </c>
    </row>
    <row r="1049" spans="2:7" ht="16">
      <c r="B1049" s="616" t="str">
        <f>IF(FORM_LANGUAGE=GER,Dictionary!G1049,Dictionary!E1049)</f>
        <v>Teilnahme an Konferenzen (intern und extern)</v>
      </c>
      <c r="E1049" s="616" t="s">
        <v>2379</v>
      </c>
      <c r="G1049" s="616" t="s">
        <v>2389</v>
      </c>
    </row>
    <row r="1051" spans="2:7" ht="16">
      <c r="B1051" s="616" t="str">
        <f>IF(FORM_LANGUAGE=GER,Dictionary!G1051,Dictionary!E1051)</f>
        <v>Teilnahme an Trainings (intern und extern)</v>
      </c>
      <c r="E1051" s="616" t="s">
        <v>2386</v>
      </c>
      <c r="G1051" s="616" t="s">
        <v>2387</v>
      </c>
    </row>
    <row r="1052" spans="2:7" ht="16">
      <c r="B1052" s="616" t="str">
        <f>IF(FORM_LANGUAGE=GER,Dictionary!G1052,Dictionary!E1052)</f>
        <v>Name des Trainings</v>
      </c>
      <c r="E1052" s="616" t="s">
        <v>614</v>
      </c>
      <c r="G1052" s="616" t="s">
        <v>2388</v>
      </c>
    </row>
    <row r="1054" spans="2:7" ht="16">
      <c r="B1054" s="616" t="str">
        <f>IF(FORM_LANGUAGE=GER,Dictionary!G1054,Dictionary!E1054)</f>
        <v>Einen Mentor / Coach haben</v>
      </c>
      <c r="E1054" s="616" t="s">
        <v>2390</v>
      </c>
      <c r="G1054" s="616" t="s">
        <v>2391</v>
      </c>
    </row>
    <row r="1055" spans="2:7" ht="16">
      <c r="B1055" s="616" t="str">
        <f>IF(FORM_LANGUAGE=GER,Dictionary!G1055,Dictionary!E1055)</f>
        <v>Name des Mentors</v>
      </c>
      <c r="E1055" s="616" t="s">
        <v>2323</v>
      </c>
      <c r="G1055" s="616" t="s">
        <v>2325</v>
      </c>
    </row>
    <row r="1056" spans="2:7" ht="16">
      <c r="B1056" s="616" t="str">
        <f>IF(FORM_LANGUAGE=GER,Dictionary!G1056,Dictionary!E1056)</f>
        <v>Organisation des Mentors</v>
      </c>
      <c r="E1056" s="616" t="s">
        <v>615</v>
      </c>
      <c r="G1056" s="616" t="s">
        <v>2326</v>
      </c>
    </row>
    <row r="1057" spans="2:7" ht="16">
      <c r="B1057" s="616" t="str">
        <f>IF(FORM_LANGUAGE=GER,Dictionary!G1057,Dictionary!E1057)</f>
        <v>Kumul. Gesamt-Zeit (Std.)</v>
      </c>
      <c r="E1057" s="616" t="s">
        <v>710</v>
      </c>
      <c r="G1057" s="616" t="s">
        <v>2405</v>
      </c>
    </row>
    <row r="1058" spans="2:7" ht="16">
      <c r="B1058" s="616" t="str">
        <f>IF(FORM_LANGUAGE=GER,Dictionary!G1058,Dictionary!E1058)</f>
        <v>Mentoring Thema</v>
      </c>
      <c r="E1058" s="616" t="s">
        <v>3720</v>
      </c>
      <c r="G1058" s="616" t="s">
        <v>3719</v>
      </c>
    </row>
    <row r="1059" spans="2:7" ht="16">
      <c r="B1059" s="616" t="str">
        <f>IF(FORM_LANGUAGE=GER,Dictionary!G1059,Dictionary!E1059)</f>
        <v>Bücher und Veröffentlichungen Lesen</v>
      </c>
      <c r="E1059" s="616" t="s">
        <v>616</v>
      </c>
      <c r="G1059" s="616" t="s">
        <v>2392</v>
      </c>
    </row>
    <row r="1061" spans="2:7" ht="16">
      <c r="B1061" s="616" t="str">
        <f>IF(FORM_LANGUAGE=GER,Dictionary!G1061,Dictionary!E1061)</f>
        <v>Verlag</v>
      </c>
      <c r="E1061" s="616" t="s">
        <v>618</v>
      </c>
      <c r="G1061" s="616" t="s">
        <v>2340</v>
      </c>
    </row>
    <row r="1062" spans="2:7" ht="16">
      <c r="B1062" s="616" t="str">
        <f>IF(FORM_LANGUAGE=GER,Dictionary!G1062,Dictionary!E1062)</f>
        <v>Veröffentlichungsdatum</v>
      </c>
      <c r="E1062" s="616" t="s">
        <v>619</v>
      </c>
      <c r="G1062" s="616" t="s">
        <v>2393</v>
      </c>
    </row>
    <row r="1063" spans="2:7" ht="16">
      <c r="B1063" s="616" t="str">
        <f>IF(FORM_LANGUAGE=GER,Dictionary!G1063,Dictionary!E1063)</f>
        <v>Lese-Datum</v>
      </c>
      <c r="E1063" s="616" t="s">
        <v>706</v>
      </c>
      <c r="G1063" s="616" t="s">
        <v>2394</v>
      </c>
    </row>
    <row r="1064" spans="2:7" ht="16">
      <c r="B1064" s="616" t="str">
        <f>IF(FORM_LANGUAGE=GER,Dictionary!G1064,Dictionary!E1064)</f>
        <v>Seitenanzahl</v>
      </c>
      <c r="E1064" s="616" t="s">
        <v>641</v>
      </c>
      <c r="G1064" s="616" t="s">
        <v>2395</v>
      </c>
    </row>
    <row r="1065" spans="2:7" ht="32">
      <c r="B1065" s="616" t="str">
        <f>IF(FORM_LANGUAGE=GER,Dictionary!G1065,Dictionary!E1065)</f>
        <v>Bitte schreiben Sie zu jedem Eintrag einen kurzen Literaturkonspekt im Blatt "Literature Review".</v>
      </c>
      <c r="E1065" s="616" t="s">
        <v>2403</v>
      </c>
      <c r="G1065" s="616" t="s">
        <v>2396</v>
      </c>
    </row>
    <row r="1066" spans="2:7" ht="16">
      <c r="B1066" s="616" t="str">
        <f>IF(FORM_LANGUAGE=GER,Dictionary!G1066,Dictionary!E1066)</f>
        <v>Nachweis / Kurzzusammenfassung</v>
      </c>
      <c r="E1066" s="616" t="s">
        <v>2397</v>
      </c>
      <c r="G1066" s="616" t="s">
        <v>2398</v>
      </c>
    </row>
    <row r="1068" spans="2:7" ht="16">
      <c r="B1068" s="616" t="str">
        <f>IF(FORM_LANGUAGE=GER,Dictionary!G1068,Dictionary!E1068)</f>
        <v>Lesen abonnierter PM Magazine</v>
      </c>
      <c r="E1068" s="616" t="s">
        <v>620</v>
      </c>
      <c r="G1068" s="616" t="s">
        <v>3721</v>
      </c>
    </row>
    <row r="1069" spans="2:7" ht="16">
      <c r="B1069" s="616" t="str">
        <f>IF(FORM_LANGUAGE=GER,Dictionary!G1069,Dictionary!E1069)</f>
        <v>Titel / Thema</v>
      </c>
      <c r="E1069" s="616" t="s">
        <v>617</v>
      </c>
      <c r="G1069" s="616" t="s">
        <v>2331</v>
      </c>
    </row>
    <row r="1070" spans="2:7" ht="16">
      <c r="B1070" s="616" t="str">
        <f>IF(FORM_LANGUAGE=GER,Dictionary!G1070,Dictionary!E1070)</f>
        <v>Herausgeber</v>
      </c>
      <c r="E1070" s="616" t="s">
        <v>618</v>
      </c>
      <c r="G1070" s="616" t="s">
        <v>2399</v>
      </c>
    </row>
    <row r="1071" spans="2:7" ht="16">
      <c r="B1071" s="616" t="str">
        <f>IF(FORM_LANGUAGE=GER,Dictionary!G1071,Dictionary!E1071)</f>
        <v>Anz. Gelesener Ausgaben</v>
      </c>
      <c r="E1071" s="616" t="s">
        <v>691</v>
      </c>
      <c r="G1071" s="616" t="s">
        <v>2400</v>
      </c>
    </row>
    <row r="1072" spans="2:7" ht="16">
      <c r="B1072" s="616" t="str">
        <f>IF(FORM_LANGUAGE=GER,Dictionary!G1072,Dictionary!E1072)</f>
        <v>Nachweis / Rechnung</v>
      </c>
      <c r="E1072" s="616" t="s">
        <v>2401</v>
      </c>
      <c r="G1072" s="616" t="s">
        <v>2402</v>
      </c>
    </row>
    <row r="1073" spans="2:7" ht="32">
      <c r="B1073" s="616" t="str">
        <f>IF(FORM_LANGUAGE=GER,Dictionary!G1073,Dictionary!E1073)</f>
        <v>Bitte schreiben Sie eine Kurzzusammenfassung im Blatt "Literature Review" für alle Zeitschriften, die nicht von IPMA herausgegeben werden.</v>
      </c>
      <c r="E1073" s="616" t="s">
        <v>2404</v>
      </c>
      <c r="G1073" s="616" t="s">
        <v>2409</v>
      </c>
    </row>
    <row r="1075" spans="2:7" ht="16">
      <c r="B1075" s="616" t="str">
        <f>IF(FORM_LANGUAGE=GER,Dictionary!G1075,Dictionary!E1075)</f>
        <v>Online Kurse &amp; Fernstudium</v>
      </c>
      <c r="E1075" s="616" t="s">
        <v>621</v>
      </c>
      <c r="G1075" s="616" t="s">
        <v>2406</v>
      </c>
    </row>
    <row r="1076" spans="2:7" ht="16">
      <c r="B1076" s="616" t="str">
        <f>IF(FORM_LANGUAGE=GER,Dictionary!G1076,Dictionary!E1076)</f>
        <v>Anbieter</v>
      </c>
      <c r="E1076" s="616" t="s">
        <v>622</v>
      </c>
      <c r="G1076" s="616" t="s">
        <v>2332</v>
      </c>
    </row>
    <row r="1077" spans="2:7" ht="16">
      <c r="B1077" s="616" t="str">
        <f>IF(FORM_LANGUAGE=GER,Dictionary!G1077,Dictionary!E1077)</f>
        <v>Datum</v>
      </c>
      <c r="E1077" s="616" t="s">
        <v>10</v>
      </c>
      <c r="G1077" s="616" t="s">
        <v>1173</v>
      </c>
    </row>
    <row r="1078" spans="2:7" ht="16">
      <c r="B1078" s="616" t="str">
        <f>IF(FORM_LANGUAGE=GER,Dictionary!G1078,Dictionary!E1078)</f>
        <v>Verlag / Urheber</v>
      </c>
      <c r="E1078" s="616" t="s">
        <v>618</v>
      </c>
      <c r="G1078" s="616" t="s">
        <v>2407</v>
      </c>
    </row>
    <row r="1079" spans="2:7" ht="27.75" customHeight="1">
      <c r="B1079" s="616" t="str">
        <f>IF(FORM_LANGUAGE=GER,Dictionary!G1079,Dictionary!E1079)</f>
        <v>Bitte schreiben Sie für jedes Modul im Blatt "Remote Learning Review" eine Kurzzusammenfassung.</v>
      </c>
      <c r="E1079" s="616" t="s">
        <v>2411</v>
      </c>
      <c r="G1079" s="616" t="s">
        <v>2410</v>
      </c>
    </row>
    <row r="1080" spans="2:7" ht="15" customHeight="1"/>
    <row r="1081" spans="2:7" ht="15" customHeight="1"/>
    <row r="1083" spans="2:7">
      <c r="B1083" s="2039" t="s">
        <v>2009</v>
      </c>
      <c r="C1083" s="2039"/>
      <c r="D1083" s="2039"/>
      <c r="E1083" s="2039"/>
      <c r="F1083" s="2039"/>
      <c r="G1083" s="2039"/>
    </row>
    <row r="1084" spans="2:7" ht="16">
      <c r="B1084" s="616" t="str">
        <f>IF(FORM_LANGUAGE=GER,Dictionary!G1084,Dictionary!E1084)</f>
        <v>Beschreibung von Fern- / Online- / Selbststudiumskursen</v>
      </c>
      <c r="E1084" s="616" t="s">
        <v>2010</v>
      </c>
      <c r="G1084" s="616" t="s">
        <v>2011</v>
      </c>
    </row>
    <row r="1085" spans="2:7" ht="16">
      <c r="B1085" s="616" t="str">
        <f>IF(FORM_LANGUAGE=GER,Dictionary!G1085,Dictionary!E1085)</f>
        <v>Teilnahme an Fernstudium, Online Kursen, Online Seminaren</v>
      </c>
      <c r="E1085" s="616" t="s">
        <v>640</v>
      </c>
      <c r="G1085" s="616" t="s">
        <v>2413</v>
      </c>
    </row>
    <row r="1086" spans="2:7" ht="32">
      <c r="B1086" s="616" t="str">
        <f>IF(FORM_LANGUAGE=GER,Dictionary!G1086,Dictionary!E1086)</f>
        <v>Bitte schreiben Sie für jedes Modul im Blatt "Remote Learning Review" eine Kurzzusammenfassung.</v>
      </c>
      <c r="E1086" s="616" t="s">
        <v>639</v>
      </c>
      <c r="G1086" s="616" t="s">
        <v>2410</v>
      </c>
    </row>
    <row r="1087" spans="2:7" ht="15" customHeight="1">
      <c r="B1087" s="616" t="str">
        <f>IF(FORM_LANGUAGE=GER,Dictionary!G1087,Dictionary!E1087)</f>
        <v>Listen Eintrag</v>
      </c>
      <c r="E1087" s="616" t="s">
        <v>635</v>
      </c>
      <c r="G1087" s="616" t="s">
        <v>2414</v>
      </c>
    </row>
    <row r="1088" spans="2:7" ht="15" customHeight="1">
      <c r="B1088" s="616" t="str">
        <f>IF(FORM_LANGUAGE=GER,Dictionary!G1088,Dictionary!E1088)</f>
        <v>ICB Elemente</v>
      </c>
      <c r="E1088" s="616" t="s">
        <v>637</v>
      </c>
      <c r="G1088" s="616" t="s">
        <v>2415</v>
      </c>
    </row>
    <row r="1089" spans="2:7" ht="16">
      <c r="B1089" s="616" t="str">
        <f>IF(FORM_LANGUAGE=GER,Dictionary!G1089,Dictionary!E1089)</f>
        <v>Abschnitt / Kapitel / Zeit / Folie / Seiten</v>
      </c>
      <c r="E1089" s="616" t="s">
        <v>2420</v>
      </c>
      <c r="G1089" s="616" t="s">
        <v>2421</v>
      </c>
    </row>
    <row r="1090" spans="2:7" ht="16">
      <c r="B1090" s="616" t="str">
        <f>IF(FORM_LANGUAGE=GER,Dictionary!G1090,Dictionary!E1090)</f>
        <v>Zusammenfassung und persönliche Einschätzung</v>
      </c>
      <c r="E1090" s="616" t="s">
        <v>634</v>
      </c>
      <c r="G1090" s="616" t="s">
        <v>2416</v>
      </c>
    </row>
    <row r="1091" spans="2:7" ht="32">
      <c r="B1091" s="616" t="str">
        <f>IF(FORM_LANGUAGE=GER,Dictionary!G1091,Dictionary!E1091)</f>
        <v>mindestens 20 Worte pro Eintrag, 
mindestens 1 Eintrag pro Titel / Thema</v>
      </c>
      <c r="E1091" s="616" t="s">
        <v>642</v>
      </c>
      <c r="G1091" s="616" t="s">
        <v>2417</v>
      </c>
    </row>
    <row r="1092" spans="2:7" ht="16">
      <c r="B1092" s="616" t="str">
        <f>IF(FORM_LANGUAGE=GER,Dictionary!G1092,Dictionary!E1092)</f>
        <v>Optionale Kommentare</v>
      </c>
      <c r="E1092" s="696" t="s">
        <v>624</v>
      </c>
      <c r="G1092" s="616" t="s">
        <v>2418</v>
      </c>
    </row>
    <row r="1093" spans="2:7" ht="16">
      <c r="B1093" s="616" t="str">
        <f>IF(FORM_LANGUAGE=GER,Dictionary!G1093,Dictionary!E1093)</f>
        <v>Beispiel Eintrag</v>
      </c>
      <c r="E1093" s="616" t="s">
        <v>638</v>
      </c>
      <c r="G1093" s="616" t="s">
        <v>2419</v>
      </c>
    </row>
    <row r="1095" spans="2:7" ht="16">
      <c r="B1095" s="616" t="str">
        <f>IF(FORM_LANGUAGE=GER,Dictionary!G1095,Dictionary!E1095)</f>
        <v xml:space="preserve">Grundlagen des Projektmanagements: Kommunikation </v>
      </c>
      <c r="E1095" s="616" t="s">
        <v>633</v>
      </c>
      <c r="G1095" s="616" t="s">
        <v>3403</v>
      </c>
    </row>
    <row r="1096" spans="2:7" ht="16">
      <c r="B1096" s="616" t="str">
        <f>IF(FORM_LANGUAGE=GER,Dictionary!G1096,Dictionary!E1096)</f>
        <v>1:01 Stunden</v>
      </c>
      <c r="E1096" s="616" t="s">
        <v>630</v>
      </c>
      <c r="G1096" s="616" t="s">
        <v>3404</v>
      </c>
    </row>
    <row r="1097" spans="2:7" ht="16">
      <c r="B1097" s="616" t="str">
        <f>IF(FORM_LANGUAGE=GER,Dictionary!G1097,Dictionary!E1097)</f>
        <v>Linked In Learning</v>
      </c>
      <c r="E1097" s="616" t="s">
        <v>627</v>
      </c>
      <c r="G1097" s="616" t="s">
        <v>627</v>
      </c>
    </row>
    <row r="1098" spans="2:7" ht="32">
      <c r="B1098" s="616" t="str">
        <f>IF(FORM_LANGUAGE=GER,Dictionary!G1098,Dictionary!E1098)</f>
        <v>https://www.linkedin.com/learning/project-management-foundations-communication-3/communication-skills-benefit-projects</v>
      </c>
      <c r="E1098" s="616" t="s">
        <v>626</v>
      </c>
      <c r="G1098" s="616" t="s">
        <v>626</v>
      </c>
    </row>
    <row r="1099" spans="2:7" ht="16">
      <c r="B1099" s="616" t="str">
        <f>IF(FORM_LANGUAGE=GER,Dictionary!G1099,Dictionary!E1099)</f>
        <v>Einführung</v>
      </c>
      <c r="E1099" s="616" t="s">
        <v>632</v>
      </c>
      <c r="G1099" s="616" t="s">
        <v>3405</v>
      </c>
    </row>
    <row r="1100" spans="2:7" ht="16">
      <c r="B1100" s="616" t="str">
        <f>IF(FORM_LANGUAGE=GER,Dictionary!G1100,Dictionary!E1100)</f>
        <v>Kommunikationsplan</v>
      </c>
      <c r="E1100" s="616" t="s">
        <v>629</v>
      </c>
      <c r="G1100" s="616" t="s">
        <v>3406</v>
      </c>
    </row>
    <row r="1101" spans="2:7" ht="48">
      <c r="B1101" s="616" t="str">
        <f>IF(FORM_LANGUAGE=GER,Dictionary!G1101,Dictionary!E1101)</f>
        <v>Probleme in Projekten werden fast immer auf schlechte Kommunikation zurückgeführt. Projektmanager verbringen den größten Teil ihrer Zeit mit Kommunikation, da ein erfolgreiches Projekt von einer guten Kommunikation abhängt.</v>
      </c>
      <c r="E1101" s="616" t="s">
        <v>631</v>
      </c>
      <c r="G1101" s="616" t="s">
        <v>3407</v>
      </c>
    </row>
    <row r="1102" spans="2:7" ht="64">
      <c r="B1102" s="616" t="str">
        <f>IF(FORM_LANGUAGE=GER,Dictionary!G1102,Dictionary!E1102)</f>
        <v>Mit zunehmender Größe des Projektteams wird die Bereitstellung der richtigen Informationen für alle relevanten Personen zu einer Herausforderung. Auf der Grundlage der Stakeholder-Analyse sollte man ableiten, welche Art von Informationen auf welche Weise an die jeweiligen Personen weitergegeben werden müssen.</v>
      </c>
      <c r="E1102" s="616" t="s">
        <v>628</v>
      </c>
      <c r="G1102" s="616" t="s">
        <v>3408</v>
      </c>
    </row>
    <row r="1108" spans="2:7">
      <c r="B1108" s="2039" t="s">
        <v>2012</v>
      </c>
      <c r="C1108" s="2039"/>
      <c r="D1108" s="2039"/>
      <c r="E1108" s="2039"/>
      <c r="F1108" s="2039"/>
      <c r="G1108" s="2039"/>
    </row>
    <row r="1109" spans="2:7" ht="16">
      <c r="B1109" s="616" t="str">
        <f>IF(FORM_LANGUAGE=GER,Dictionary!G1109,Dictionary!E1109)</f>
        <v>Literaturkonspekt</v>
      </c>
      <c r="E1109" s="616" t="s">
        <v>2013</v>
      </c>
      <c r="G1109" s="616" t="s">
        <v>2014</v>
      </c>
    </row>
    <row r="1110" spans="2:7" ht="16">
      <c r="B1110" s="616" t="str">
        <f>IF(FORM_LANGUAGE=GER,Dictionary!G1110,Dictionary!E1110)</f>
        <v>Selbststudium von PM Literatur</v>
      </c>
      <c r="E1110" s="616" t="s">
        <v>2422</v>
      </c>
      <c r="G1110" s="616" t="s">
        <v>2423</v>
      </c>
    </row>
    <row r="1111" spans="2:7" ht="32">
      <c r="B1111" s="616" t="str">
        <f>IF(FORM_LANGUAGE=GER,Dictionary!G1111,Dictionary!E1111)</f>
        <v>Bitte schreiben Sie pro Literaturstelle / Buch / Kapitel eine Kurzzusammenfassung (Literaturkonspekt).</v>
      </c>
      <c r="E1111" s="616" t="s">
        <v>2425</v>
      </c>
      <c r="G1111" s="616" t="s">
        <v>2424</v>
      </c>
    </row>
    <row r="1115" spans="2:7">
      <c r="B1115" s="2039" t="s">
        <v>248</v>
      </c>
      <c r="C1115" s="2039"/>
      <c r="D1115" s="2039"/>
      <c r="E1115" s="2039"/>
      <c r="F1115" s="2039"/>
      <c r="G1115" s="2039"/>
    </row>
    <row r="1116" spans="2:7" ht="16">
      <c r="B1116" s="616" t="str">
        <f>IF(FORM_LANGUAGE=GER,Dictionary!G1116,Dictionary!E1116)</f>
        <v>Professionelle Weiterbildung: Lehren und Anderen Erfahrung vermitteln</v>
      </c>
      <c r="E1116" s="616" t="s">
        <v>2015</v>
      </c>
      <c r="G1116" s="616" t="s">
        <v>2016</v>
      </c>
    </row>
    <row r="1117" spans="2:7" ht="16">
      <c r="B1117" s="616" t="str">
        <f>IF(FORM_LANGUAGE=GER,Dictionary!G1117,Dictionary!E1117)</f>
        <v>WISSEN VERMITTELN</v>
      </c>
      <c r="E1117" s="616" t="s">
        <v>651</v>
      </c>
      <c r="G1117" s="616" t="s">
        <v>2435</v>
      </c>
    </row>
    <row r="1119" spans="2:7" ht="16">
      <c r="B1119" s="616" t="str">
        <f>IF(FORM_LANGUAGE=GER,Dictionary!G1119,Dictionary!E1119)</f>
        <v>Präsentieren (intern und extern)</v>
      </c>
      <c r="E1119" s="616" t="s">
        <v>650</v>
      </c>
      <c r="G1119" s="616" t="s">
        <v>2437</v>
      </c>
    </row>
    <row r="1120" spans="2:7" ht="16">
      <c r="B1120" s="616" t="str">
        <f>IF(FORM_LANGUAGE=GER,Dictionary!G1120,Dictionary!E1120)</f>
        <v>Trainings geben (intern und extern)</v>
      </c>
      <c r="E1120" s="616" t="s">
        <v>2436</v>
      </c>
      <c r="G1120" s="616" t="s">
        <v>2438</v>
      </c>
    </row>
    <row r="1121" spans="2:7" ht="16">
      <c r="B1121" s="616" t="str">
        <f>IF(FORM_LANGUAGE=GER,Dictionary!G1121,Dictionary!E1121)</f>
        <v>Mentor sein</v>
      </c>
      <c r="E1121" s="616" t="s">
        <v>647</v>
      </c>
      <c r="G1121" s="616" t="s">
        <v>2441</v>
      </c>
    </row>
    <row r="1122" spans="2:7" ht="16">
      <c r="B1122" s="616" t="str">
        <f>IF(FORM_LANGUAGE=GER,Dictionary!G1122,Dictionary!E1122)</f>
        <v>Eigene Veröffentlichungen (externe)</v>
      </c>
      <c r="E1122" s="616" t="s">
        <v>645</v>
      </c>
      <c r="G1122" s="616" t="s">
        <v>2439</v>
      </c>
    </row>
    <row r="1123" spans="2:7" ht="16">
      <c r="B1123" s="616" t="str">
        <f>IF(FORM_LANGUAGE=GER,Dictionary!G1123,Dictionary!E1123)</f>
        <v>Name des Trainings</v>
      </c>
      <c r="E1123" s="616" t="s">
        <v>614</v>
      </c>
      <c r="G1123" s="616" t="s">
        <v>2388</v>
      </c>
    </row>
    <row r="1124" spans="2:7" ht="16">
      <c r="B1124" s="616" t="str">
        <f>IF(FORM_LANGUAGE=GER,Dictionary!G1124,Dictionary!E1124)</f>
        <v>Veranstaltung / Titel der Präsentation</v>
      </c>
      <c r="E1124" s="616" t="s">
        <v>649</v>
      </c>
      <c r="G1124" s="616" t="s">
        <v>2440</v>
      </c>
    </row>
    <row r="1125" spans="2:7" ht="16">
      <c r="B1125" s="616" t="str">
        <f>IF(FORM_LANGUAGE=GER,Dictionary!G1125,Dictionary!E1125)</f>
        <v>Zielgruppe</v>
      </c>
      <c r="E1125" s="616" t="s">
        <v>648</v>
      </c>
      <c r="G1125" s="616" t="s">
        <v>2351</v>
      </c>
    </row>
    <row r="1126" spans="2:7" ht="16">
      <c r="B1126" s="616" t="str">
        <f>IF(FORM_LANGUAGE=GER,Dictionary!G1126,Dictionary!E1126)</f>
        <v>Name des Mentees</v>
      </c>
      <c r="E1126" s="616" t="s">
        <v>2442</v>
      </c>
      <c r="G1126" s="616" t="s">
        <v>2359</v>
      </c>
    </row>
    <row r="1127" spans="2:7" ht="16">
      <c r="B1127" s="616" t="str">
        <f>IF(FORM_LANGUAGE=GER,Dictionary!G1127,Dictionary!E1127)</f>
        <v>Organisation des Mentees</v>
      </c>
      <c r="E1127" s="616" t="s">
        <v>2444</v>
      </c>
      <c r="G1127" s="616" t="s">
        <v>2443</v>
      </c>
    </row>
    <row r="1128" spans="2:7" ht="16">
      <c r="B1128" s="616" t="str">
        <f>IF(FORM_LANGUAGE=GER,Dictionary!G1128,Dictionary!E1128)</f>
        <v>Präsentationsdokument</v>
      </c>
      <c r="E1128" s="616" t="s">
        <v>3735</v>
      </c>
      <c r="G1128" s="616" t="s">
        <v>3733</v>
      </c>
    </row>
    <row r="1129" spans="2:7" ht="16">
      <c r="B1129" s="616" t="str">
        <f>IF(FORM_LANGUAGE=GER,Dictionary!G1129,Dictionary!E1129)</f>
        <v>Trainingsunterlagen</v>
      </c>
      <c r="E1129" s="616" t="s">
        <v>3736</v>
      </c>
      <c r="G1129" s="616" t="s">
        <v>3734</v>
      </c>
    </row>
    <row r="1132" spans="2:7">
      <c r="B1132" s="2039" t="s">
        <v>2312</v>
      </c>
      <c r="C1132" s="2039"/>
      <c r="D1132" s="2039"/>
      <c r="E1132" s="2039"/>
      <c r="F1132" s="2039"/>
      <c r="G1132" s="2039"/>
    </row>
    <row r="1133" spans="2:7" ht="16">
      <c r="B1133" s="616" t="str">
        <f>IF(FORM_LANGUAGE=GER,Dictionary!G1133,Dictionary!E1133)</f>
        <v>Name</v>
      </c>
      <c r="E1133" s="616" t="s">
        <v>84</v>
      </c>
      <c r="G1133" s="616" t="s">
        <v>2313</v>
      </c>
    </row>
    <row r="1134" spans="2:7" ht="16">
      <c r="B1134" s="616" t="str">
        <f>IF(FORM_LANGUAGE=GER,Dictionary!G1134,Dictionary!E1134)</f>
        <v>Vorname</v>
      </c>
      <c r="E1134" s="616" t="s">
        <v>85</v>
      </c>
      <c r="G1134" s="616" t="s">
        <v>2314</v>
      </c>
    </row>
    <row r="1135" spans="2:7" ht="16">
      <c r="B1135" s="616" t="str">
        <f>IF(FORM_LANGUAGE=GER,Dictionary!G1135,Dictionary!E1135)</f>
        <v>Kand. Angabe (Std.)</v>
      </c>
      <c r="E1135" s="616" t="s">
        <v>659</v>
      </c>
      <c r="G1135" s="616" t="s">
        <v>2320</v>
      </c>
    </row>
    <row r="1136" spans="2:7" ht="16">
      <c r="B1136" s="616" t="str">
        <f>IF(FORM_LANGUAGE=GER,Dictionary!G1136,Dictionary!E1136)</f>
        <v>Evaluierungs Ergebnis (Std.)</v>
      </c>
      <c r="E1136" s="615" t="s">
        <v>658</v>
      </c>
      <c r="G1136" s="616" t="s">
        <v>2321</v>
      </c>
    </row>
    <row r="1137" spans="2:7" ht="16">
      <c r="B1137" s="616" t="str">
        <f>IF(FORM_LANGUAGE=GER,Dictionary!G1137,Dictionary!E1137)</f>
        <v>(1)  Besuchte Trainings. Z.B. Kurse, Seminare, oder als Mentee</v>
      </c>
      <c r="E1137" s="616" t="s">
        <v>657</v>
      </c>
      <c r="G1137" s="616" t="s">
        <v>3698</v>
      </c>
    </row>
    <row r="1138" spans="2:7" ht="16">
      <c r="B1138" s="616" t="str">
        <f>IF(FORM_LANGUAGE=GER,Dictionary!G1138,Dictionary!E1138)</f>
        <v>GPM Mitgliedschaft angegeben</v>
      </c>
      <c r="E1138" s="616" t="s">
        <v>4026</v>
      </c>
      <c r="G1138" s="616" t="s">
        <v>4027</v>
      </c>
    </row>
    <row r="1139" spans="2:7" ht="16">
      <c r="B1139" s="616" t="str">
        <f>IF(FORM_LANGUAGE=GER,Dictionary!G1139,Dictionary!E1139)</f>
        <v>Lead Assessor: gültige Angabe bestätigt</v>
      </c>
      <c r="E1139" s="616" t="s">
        <v>4084</v>
      </c>
      <c r="G1139" s="616" t="s">
        <v>4085</v>
      </c>
    </row>
    <row r="1140" spans="2:7" ht="16">
      <c r="B1140" s="616" t="str">
        <f>IF(FORM_LANGUAGE=GER,Dictionary!G1140,Dictionary!E1140)</f>
        <v>Besuchte Trainings</v>
      </c>
      <c r="E1140" s="616" t="s">
        <v>655</v>
      </c>
      <c r="G1140" s="616" t="s">
        <v>2315</v>
      </c>
    </row>
    <row r="1141" spans="2:7" ht="16">
      <c r="B1141" s="616" t="str">
        <f>IF(FORM_LANGUAGE=GER,Dictionary!G1141,Dictionary!E1141)</f>
        <v>Mentee sein</v>
      </c>
      <c r="E1141" s="616" t="s">
        <v>2316</v>
      </c>
      <c r="G1141" s="616" t="s">
        <v>2317</v>
      </c>
    </row>
    <row r="1142" spans="2:7" ht="16">
      <c r="B1142" s="616" t="str">
        <f>IF(FORM_LANGUAGE=GER,Dictionary!G1142,Dictionary!E1142)</f>
        <v>Thema</v>
      </c>
      <c r="E1142" s="616" t="s">
        <v>654</v>
      </c>
      <c r="G1142" s="616" t="s">
        <v>2318</v>
      </c>
    </row>
    <row r="1143" spans="2:7" ht="16">
      <c r="B1143" s="616" t="str">
        <f>IF(FORM_LANGUAGE=GER,Dictionary!G1143,Dictionary!E1143)</f>
        <v>Organisation</v>
      </c>
      <c r="E1143" s="615" t="s">
        <v>653</v>
      </c>
      <c r="G1143" s="616" t="s">
        <v>653</v>
      </c>
    </row>
    <row r="1144" spans="2:7" ht="16">
      <c r="B1144" s="616" t="str">
        <f>IF(FORM_LANGUAGE=GER,Dictionary!G1144,Dictionary!E1144)</f>
        <v>Dauer (Std.)</v>
      </c>
      <c r="E1144" s="616" t="s">
        <v>611</v>
      </c>
      <c r="G1144" s="616" t="s">
        <v>2319</v>
      </c>
    </row>
    <row r="1145" spans="2:7" ht="16">
      <c r="B1145" s="616" t="str">
        <f>IF(FORM_LANGUAGE=GER,Dictionary!G1145,Dictionary!E1145)</f>
        <v>Datum</v>
      </c>
      <c r="E1145" t="s">
        <v>10</v>
      </c>
      <c r="G1145" s="616" t="s">
        <v>1173</v>
      </c>
    </row>
    <row r="1146" spans="2:7" ht="16">
      <c r="B1146" s="616" t="str">
        <f>IF(FORM_LANGUAGE=GER,Dictionary!G1146,Dictionary!E1146)</f>
        <v>Relevante ICB Elemente</v>
      </c>
      <c r="E1146" s="615" t="s">
        <v>652</v>
      </c>
      <c r="G1146" s="616" t="s">
        <v>2322</v>
      </c>
    </row>
    <row r="1147" spans="2:7" ht="16">
      <c r="B1147" s="616" t="str">
        <f>IF(FORM_LANGUAGE=GER,Dictionary!G1147,Dictionary!E1147)</f>
        <v>Nachweis der Teilnahme</v>
      </c>
      <c r="E1147" s="615" t="s">
        <v>3742</v>
      </c>
      <c r="G1147" s="616" t="s">
        <v>3739</v>
      </c>
    </row>
    <row r="1148" spans="2:7" ht="16">
      <c r="B1148" s="616" t="str">
        <f>IF(FORM_LANGUAGE=GER,Dictionary!G1148,Dictionary!E1148)</f>
        <v>Name des Mentors</v>
      </c>
      <c r="E1148" s="616" t="s">
        <v>2323</v>
      </c>
      <c r="G1148" s="616" t="s">
        <v>2325</v>
      </c>
    </row>
    <row r="1149" spans="2:7" ht="16">
      <c r="B1149" s="616" t="str">
        <f>IF(FORM_LANGUAGE=GER,Dictionary!G1149,Dictionary!E1149)</f>
        <v>Organisation des Mentors</v>
      </c>
      <c r="E1149" s="615" t="s">
        <v>2324</v>
      </c>
      <c r="G1149" s="616" t="s">
        <v>2326</v>
      </c>
    </row>
    <row r="1150" spans="2:7">
      <c r="E1150" s="615"/>
    </row>
    <row r="1151" spans="2:7" ht="16">
      <c r="B1151" s="616" t="str">
        <f>IF(FORM_LANGUAGE=GER,Dictionary!G1151,Dictionary!E1151)</f>
        <v>Auswertung von Online Trainings</v>
      </c>
      <c r="E1151" s="616" t="s">
        <v>686</v>
      </c>
      <c r="G1151" s="616" t="s">
        <v>2327</v>
      </c>
    </row>
    <row r="1152" spans="2:7" ht="16">
      <c r="B1152" s="616" t="str">
        <f>IF(FORM_LANGUAGE=GER,Dictionary!G1152,Dictionary!E1152)</f>
        <v>(1b)  Online Training, Kurse und Seminare</v>
      </c>
      <c r="E1152" s="615" t="s">
        <v>663</v>
      </c>
      <c r="G1152" s="616" t="s">
        <v>2328</v>
      </c>
    </row>
    <row r="1153" spans="2:7" ht="16">
      <c r="B1153" s="616" t="str">
        <f>IF(FORM_LANGUAGE=GER,Dictionary!G1153,Dictionary!E1153)</f>
        <v>ICB-Element</v>
      </c>
      <c r="E1153" s="615" t="s">
        <v>643</v>
      </c>
      <c r="G1153" s="615" t="s">
        <v>643</v>
      </c>
    </row>
    <row r="1154" spans="2:7" ht="16">
      <c r="B1154" s="616" t="str">
        <f>IF(FORM_LANGUAGE=GER,Dictionary!G1154,Dictionary!E1154)</f>
        <v>Kapitel / Zeit / Folien</v>
      </c>
      <c r="E1154" s="616" t="s">
        <v>636</v>
      </c>
      <c r="G1154" s="616" t="s">
        <v>2330</v>
      </c>
    </row>
    <row r="1155" spans="2:7" ht="16">
      <c r="B1155" s="616" t="str">
        <f>IF(FORM_LANGUAGE=GER,Dictionary!G1155,Dictionary!E1155)</f>
        <v>Zusammenfassung und Review</v>
      </c>
      <c r="E1155" s="615" t="s">
        <v>634</v>
      </c>
      <c r="G1155" s="616" t="s">
        <v>2329</v>
      </c>
    </row>
    <row r="1156" spans="2:7" ht="16">
      <c r="B1156" s="616" t="str">
        <f>IF(FORM_LANGUAGE=GER,Dictionary!G1156,Dictionary!E1156)</f>
        <v>Titel / Thema</v>
      </c>
      <c r="E1156" s="615" t="s">
        <v>617</v>
      </c>
      <c r="G1156" s="616" t="s">
        <v>2331</v>
      </c>
    </row>
    <row r="1157" spans="2:7" ht="16">
      <c r="B1157" s="616" t="str">
        <f>IF(FORM_LANGUAGE=GER,Dictionary!G1157,Dictionary!E1157)</f>
        <v>Anbieter</v>
      </c>
      <c r="E1157" s="616" t="s">
        <v>622</v>
      </c>
      <c r="G1157" s="616" t="s">
        <v>2332</v>
      </c>
    </row>
    <row r="1158" spans="2:7" ht="16">
      <c r="B1158" s="616" t="str">
        <f>IF(FORM_LANGUAGE=GER,Dictionary!G1158,Dictionary!E1158)</f>
        <v>Dauer</v>
      </c>
      <c r="E1158" s="616" t="s">
        <v>625</v>
      </c>
      <c r="G1158" s="616" t="s">
        <v>2333</v>
      </c>
    </row>
    <row r="1159" spans="2:7" ht="16">
      <c r="B1159" s="616" t="str">
        <f>IF(FORM_LANGUAGE=GER,Dictionary!G1159,Dictionary!E1159)</f>
        <v>Link</v>
      </c>
      <c r="E1159" s="616" t="s">
        <v>2334</v>
      </c>
      <c r="G1159" s="616" t="s">
        <v>623</v>
      </c>
    </row>
    <row r="1160" spans="2:7" ht="16">
      <c r="B1160" s="616" t="str">
        <f>IF(FORM_LANGUAGE=GER,Dictionary!G1160,Dictionary!E1160)</f>
        <v>Datum</v>
      </c>
      <c r="E1160" s="616" t="s">
        <v>10</v>
      </c>
      <c r="G1160" s="616" t="s">
        <v>1173</v>
      </c>
    </row>
    <row r="1162" spans="2:7" ht="16">
      <c r="B1162" s="616" t="str">
        <f>IF(FORM_LANGUAGE=GER,Dictionary!G1162,Dictionary!E1162)</f>
        <v>(2)  Selbststudium von PM Literatur</v>
      </c>
      <c r="E1162" s="616" t="s">
        <v>644</v>
      </c>
      <c r="G1162" s="616" t="s">
        <v>2335</v>
      </c>
    </row>
    <row r="1163" spans="2:7" ht="16">
      <c r="B1163" s="616" t="str">
        <f>IF(FORM_LANGUAGE=GER,Dictionary!G1163,Dictionary!E1163)</f>
        <v>ICB-Element</v>
      </c>
      <c r="E1163" s="615" t="s">
        <v>643</v>
      </c>
      <c r="G1163" s="615" t="s">
        <v>643</v>
      </c>
    </row>
    <row r="1164" spans="2:7" ht="16">
      <c r="B1164" s="616" t="str">
        <f>IF(FORM_LANGUAGE=GER,Dictionary!G1164,Dictionary!E1164)</f>
        <v>Abschnitt / Seitenzahl</v>
      </c>
      <c r="E1164" s="616" t="s">
        <v>2336</v>
      </c>
      <c r="G1164" s="616" t="s">
        <v>2337</v>
      </c>
    </row>
    <row r="1165" spans="2:7" ht="16">
      <c r="B1165" s="616" t="str">
        <f>IF(FORM_LANGUAGE=GER,Dictionary!G1165,Dictionary!E1165)</f>
        <v>Zusammenfassung und Literaturkonspekt</v>
      </c>
      <c r="E1165" s="615" t="s">
        <v>634</v>
      </c>
      <c r="G1165" s="616" t="s">
        <v>2338</v>
      </c>
    </row>
    <row r="1166" spans="2:7" ht="16">
      <c r="B1166" s="616" t="str">
        <f>IF(FORM_LANGUAGE=GER,Dictionary!G1166,Dictionary!E1166)</f>
        <v>Lesen von Literatur und Veröffentlichungen</v>
      </c>
      <c r="E1166" s="615" t="s">
        <v>664</v>
      </c>
      <c r="G1166" s="616" t="s">
        <v>2343</v>
      </c>
    </row>
    <row r="1167" spans="2:7" ht="16">
      <c r="B1167" s="616" t="str">
        <f>IF(FORM_LANGUAGE=GER,Dictionary!G1167,Dictionary!E1167)</f>
        <v>Lesen von abonierten PM Zeitschriften</v>
      </c>
      <c r="E1167" s="615" t="s">
        <v>620</v>
      </c>
      <c r="G1167" s="616" t="s">
        <v>2344</v>
      </c>
    </row>
    <row r="1168" spans="2:7" ht="16">
      <c r="B1168" s="616" t="str">
        <f>IF(FORM_LANGUAGE=GER,Dictionary!G1168,Dictionary!E1168)</f>
        <v xml:space="preserve">Titel </v>
      </c>
      <c r="E1168" s="616" t="s">
        <v>2341</v>
      </c>
      <c r="G1168" s="616" t="s">
        <v>2342</v>
      </c>
    </row>
    <row r="1169" spans="2:7" ht="16">
      <c r="B1169" s="616" t="str">
        <f>IF(FORM_LANGUAGE=GER,Dictionary!G1169,Dictionary!E1169)</f>
        <v>Seitananzahl</v>
      </c>
      <c r="E1169" s="616" t="s">
        <v>641</v>
      </c>
      <c r="G1169" s="616" t="s">
        <v>2339</v>
      </c>
    </row>
    <row r="1170" spans="2:7" ht="16">
      <c r="B1170" s="616" t="str">
        <f>IF(FORM_LANGUAGE=GER,Dictionary!G1170,Dictionary!E1170)</f>
        <v>Verlag</v>
      </c>
      <c r="E1170" s="616" t="s">
        <v>618</v>
      </c>
      <c r="G1170" s="616" t="s">
        <v>2340</v>
      </c>
    </row>
    <row r="1171" spans="2:7" ht="16">
      <c r="B1171" s="616" t="str">
        <f>IF(FORM_LANGUAGE=GER,Dictionary!G1171,Dictionary!E1171)</f>
        <v>Datum</v>
      </c>
      <c r="E1171" s="616" t="s">
        <v>10</v>
      </c>
      <c r="G1171" s="616" t="s">
        <v>1173</v>
      </c>
    </row>
    <row r="1172" spans="2:7" ht="16">
      <c r="B1172" s="616" t="str">
        <f>IF(FORM_LANGUAGE=GER,Dictionary!G1172,Dictionary!E1172)</f>
        <v>Datum des Abonnements</v>
      </c>
      <c r="E1172" s="616" t="s">
        <v>2345</v>
      </c>
      <c r="G1172" s="616" t="s">
        <v>2346</v>
      </c>
    </row>
    <row r="1174" spans="2:7" ht="16">
      <c r="B1174" s="616" t="str">
        <f>IF(FORM_LANGUAGE=GER,Dictionary!G1174,Dictionary!E1174)</f>
        <v>(3)  Teilnahme an Konferenzen, Sumposien, etc.</v>
      </c>
      <c r="E1174" s="616" t="s">
        <v>668</v>
      </c>
      <c r="G1174" s="616" t="s">
        <v>2347</v>
      </c>
    </row>
    <row r="1175" spans="2:7" ht="16">
      <c r="B1175" s="616" t="str">
        <f>IF(FORM_LANGUAGE=GER,Dictionary!G1175,Dictionary!E1175)</f>
        <v>Titel</v>
      </c>
      <c r="E1175" s="616" t="s">
        <v>283</v>
      </c>
      <c r="G1175" s="616" t="s">
        <v>2348</v>
      </c>
    </row>
    <row r="1176" spans="2:7" ht="16">
      <c r="B1176" s="616" t="str">
        <f>IF(FORM_LANGUAGE=GER,Dictionary!G1176,Dictionary!E1176)</f>
        <v>Ort</v>
      </c>
      <c r="E1176" s="616" t="s">
        <v>610</v>
      </c>
      <c r="G1176" s="616" t="s">
        <v>1172</v>
      </c>
    </row>
    <row r="1177" spans="2:7" ht="16">
      <c r="B1177" s="616" t="str">
        <f>IF(FORM_LANGUAGE=GER,Dictionary!G1177,Dictionary!E1177)</f>
        <v>Veranstalter</v>
      </c>
      <c r="E1177" s="616" t="s">
        <v>666</v>
      </c>
      <c r="G1177" s="616" t="s">
        <v>2349</v>
      </c>
    </row>
    <row r="1178" spans="2:7" ht="16">
      <c r="B1178" s="616" t="str">
        <f>IF(FORM_LANGUAGE=GER,Dictionary!G1178,Dictionary!E1178)</f>
        <v>Dauer (Std.)</v>
      </c>
      <c r="E1178" s="616" t="s">
        <v>611</v>
      </c>
      <c r="G1178" s="616" t="s">
        <v>2319</v>
      </c>
    </row>
    <row r="1179" spans="2:7" ht="16">
      <c r="B1179" s="616" t="str">
        <f>IF(FORM_LANGUAGE=GER,Dictionary!G1179,Dictionary!E1179)</f>
        <v>Datum</v>
      </c>
      <c r="E1179" s="616" t="s">
        <v>3741</v>
      </c>
      <c r="G1179" s="616" t="s">
        <v>1173</v>
      </c>
    </row>
    <row r="1180" spans="2:7" ht="16">
      <c r="B1180" s="616" t="str">
        <f>IF(FORM_LANGUAGE=GER,Dictionary!G1180,Dictionary!E1180)</f>
        <v>Referenzierte ICB Elemente</v>
      </c>
      <c r="E1180" s="616" t="s">
        <v>3737</v>
      </c>
      <c r="G1180" s="616" t="s">
        <v>3738</v>
      </c>
    </row>
    <row r="1181" spans="2:7" ht="16">
      <c r="B1181" s="616" t="str">
        <f>IF(FORM_LANGUAGE=GER,Dictionary!G1181,Dictionary!E1181)</f>
        <v>Nachweis der Teilnahme</v>
      </c>
      <c r="E1181" s="616" t="s">
        <v>3740</v>
      </c>
      <c r="G1181" s="616" t="s">
        <v>3739</v>
      </c>
    </row>
    <row r="1183" spans="2:7" ht="16">
      <c r="B1183" s="616" t="str">
        <f>IF(FORM_LANGUAGE=GER,Dictionary!G1183,Dictionary!E1183)</f>
        <v>(2)  Lehren und Mentor sein</v>
      </c>
      <c r="E1183" s="616" t="s">
        <v>3699</v>
      </c>
      <c r="G1183" s="616" t="s">
        <v>3700</v>
      </c>
    </row>
    <row r="1184" spans="2:7" ht="16">
      <c r="B1184" s="616" t="str">
        <f>IF(FORM_LANGUAGE=GER,Dictionary!G1184,Dictionary!E1184)</f>
        <v>Titel</v>
      </c>
      <c r="E1184" s="616" t="s">
        <v>283</v>
      </c>
      <c r="G1184" s="616" t="s">
        <v>2348</v>
      </c>
    </row>
    <row r="1185" spans="2:7" ht="16">
      <c r="B1185" s="616" t="str">
        <f>IF(FORM_LANGUAGE=GER,Dictionary!G1185,Dictionary!E1185)</f>
        <v>Ort und Datum</v>
      </c>
      <c r="E1185" s="616" t="s">
        <v>2309</v>
      </c>
      <c r="G1185" s="616" t="s">
        <v>2350</v>
      </c>
    </row>
    <row r="1186" spans="2:7" ht="16">
      <c r="B1186" s="616" t="str">
        <f>IF(FORM_LANGUAGE=GER,Dictionary!G1186,Dictionary!E1186)</f>
        <v>Aktivität</v>
      </c>
      <c r="E1186" s="616" t="s">
        <v>2311</v>
      </c>
      <c r="G1186" s="616" t="s">
        <v>2352</v>
      </c>
    </row>
    <row r="1187" spans="2:7" ht="16">
      <c r="B1187" s="616" t="str">
        <f>IF(FORM_LANGUAGE=GER,Dictionary!G1187,Dictionary!E1187)</f>
        <v>Dauer (Std.)</v>
      </c>
      <c r="E1187" s="616" t="s">
        <v>611</v>
      </c>
      <c r="G1187" s="616" t="s">
        <v>2319</v>
      </c>
    </row>
    <row r="1188" spans="2:7" ht="16">
      <c r="B1188" s="616" t="str">
        <f>IF(FORM_LANGUAGE=GER,Dictionary!G1188,Dictionary!E1188)</f>
        <v>Zielgruppe</v>
      </c>
      <c r="E1188" s="616" t="s">
        <v>2310</v>
      </c>
      <c r="G1188" s="616" t="s">
        <v>2351</v>
      </c>
    </row>
    <row r="1189" spans="2:7" ht="16">
      <c r="B1189" s="616" t="str">
        <f>IF(FORM_LANGUAGE=GER,Dictionary!G1189,Dictionary!E1189)</f>
        <v>Relevante ICB Elemente</v>
      </c>
      <c r="E1189" s="616" t="s">
        <v>665</v>
      </c>
      <c r="G1189" s="616" t="s">
        <v>2322</v>
      </c>
    </row>
    <row r="1190" spans="2:7" ht="16">
      <c r="B1190" s="616" t="str">
        <f>IF(FORM_LANGUAGE=GER,Dictionary!G1190,Dictionary!E1190)</f>
        <v>Zertifikat</v>
      </c>
      <c r="E1190" s="616" t="s">
        <v>3696</v>
      </c>
      <c r="G1190" s="616" t="s">
        <v>3697</v>
      </c>
    </row>
    <row r="1191" spans="2:7" ht="16">
      <c r="B1191" s="616" t="str">
        <f>IF(FORM_LANGUAGE=GER,Dictionary!G1191,Dictionary!E1191)</f>
        <v>Als Lehrer und Vortragender</v>
      </c>
      <c r="E1191" s="616" t="s">
        <v>2356</v>
      </c>
      <c r="G1191" s="616" t="s">
        <v>2353</v>
      </c>
    </row>
    <row r="1192" spans="2:7" ht="16">
      <c r="B1192" s="616" t="str">
        <f>IF(FORM_LANGUAGE=GER,Dictionary!G1192,Dictionary!E1192)</f>
        <v>Als Trainer</v>
      </c>
      <c r="E1192" s="616" t="s">
        <v>2358</v>
      </c>
      <c r="G1192" s="616" t="s">
        <v>2354</v>
      </c>
    </row>
    <row r="1193" spans="2:7" ht="16">
      <c r="B1193" s="616" t="str">
        <f>IF(FORM_LANGUAGE=GER,Dictionary!G1193,Dictionary!E1193)</f>
        <v>Als Mentor</v>
      </c>
      <c r="E1193" s="616" t="s">
        <v>2357</v>
      </c>
      <c r="G1193" s="616" t="s">
        <v>2355</v>
      </c>
    </row>
    <row r="1194" spans="2:7" ht="16">
      <c r="B1194" s="616" t="str">
        <f>IF(FORM_LANGUAGE=GER,Dictionary!G1194,Dictionary!E1194)</f>
        <v>Name des Mentees</v>
      </c>
      <c r="E1194" s="616" t="s">
        <v>646</v>
      </c>
      <c r="G1194" s="616" t="s">
        <v>2359</v>
      </c>
    </row>
    <row r="1195" spans="2:7" ht="16">
      <c r="B1195" s="616" t="str">
        <f>IF(FORM_LANGUAGE=GER,Dictionary!G1195,Dictionary!E1195)</f>
        <v>Arbeitgeber / Organisation des Mentees</v>
      </c>
      <c r="E1195" s="616" t="s">
        <v>2361</v>
      </c>
      <c r="G1195" s="616" t="s">
        <v>2360</v>
      </c>
    </row>
    <row r="1197" spans="2:7" ht="16">
      <c r="B1197" s="616" t="str">
        <f>IF(FORM_LANGUAGE=GER,Dictionary!G1197,Dictionary!E1197)</f>
        <v>(5)  Eigene Veröffentlichungen</v>
      </c>
      <c r="E1197" s="616" t="s">
        <v>669</v>
      </c>
      <c r="G1197" s="616" t="s">
        <v>2362</v>
      </c>
    </row>
    <row r="1198" spans="2:7" ht="16">
      <c r="B1198" s="616" t="str">
        <f>IF(FORM_LANGUAGE=GER,Dictionary!G1198,Dictionary!E1198)</f>
        <v>Titel</v>
      </c>
      <c r="E1198" s="616" t="s">
        <v>283</v>
      </c>
      <c r="G1198" s="616" t="s">
        <v>2348</v>
      </c>
    </row>
    <row r="1199" spans="2:7" ht="16">
      <c r="B1199" s="616" t="str">
        <f>IF(FORM_LANGUAGE=GER,Dictionary!G1199,Dictionary!E1199)</f>
        <v>Datum</v>
      </c>
      <c r="E1199" s="616" t="s">
        <v>10</v>
      </c>
      <c r="G1199" s="616" t="s">
        <v>1173</v>
      </c>
    </row>
    <row r="1200" spans="2:7" ht="16">
      <c r="B1200" s="616" t="str">
        <f>IF(FORM_LANGUAGE=GER,Dictionary!G1200,Dictionary!E1200)</f>
        <v>Verlag / Magazin</v>
      </c>
      <c r="E1200" s="616" t="s">
        <v>618</v>
      </c>
      <c r="G1200" s="616" t="s">
        <v>2363</v>
      </c>
    </row>
    <row r="1201" spans="2:7" ht="16">
      <c r="B1201" s="616" t="str">
        <f>IF(FORM_LANGUAGE=GER,Dictionary!G1201,Dictionary!E1201)</f>
        <v>Relevante ICB Elemente</v>
      </c>
      <c r="E1201" s="616" t="s">
        <v>665</v>
      </c>
      <c r="G1201" s="616" t="s">
        <v>2322</v>
      </c>
    </row>
    <row r="1202" spans="2:7" ht="16">
      <c r="B1202" s="616" t="str">
        <f>IF(FORM_LANGUAGE=GER,Dictionary!G1202,Dictionary!E1202)</f>
        <v>Seiten Anzahl</v>
      </c>
      <c r="E1202" s="616" t="s">
        <v>641</v>
      </c>
      <c r="G1202" s="616" t="s">
        <v>2364</v>
      </c>
    </row>
    <row r="1203" spans="2:7" ht="16">
      <c r="B1203" s="616" t="str">
        <f>IF(FORM_LANGUAGE=GER,Dictionary!G1203,Dictionary!E1203)</f>
        <v>Zertifikat</v>
      </c>
      <c r="E1203" s="616" t="s">
        <v>3696</v>
      </c>
      <c r="G1203" s="616" t="s">
        <v>3697</v>
      </c>
    </row>
    <row r="1205" spans="2:7" ht="16">
      <c r="B1205" s="616" t="str">
        <f>IF(FORM_LANGUAGE=GER,Dictionary!G1205,Dictionary!E1205)</f>
        <v>Zusammenfassung der Weiterbildung</v>
      </c>
      <c r="E1205" s="616" t="s">
        <v>3701</v>
      </c>
      <c r="G1205" s="616" t="s">
        <v>3702</v>
      </c>
    </row>
    <row r="1206" spans="2:7" ht="16">
      <c r="B1206" s="616" t="str">
        <f>IF(FORM_LANGUAGE=GER,Dictionary!G1206,Dictionary!E1206)</f>
        <v xml:space="preserve">Weiterbildungs- stunden Gesamt </v>
      </c>
      <c r="E1206" s="616" t="s">
        <v>2365</v>
      </c>
      <c r="G1206" s="616" t="s">
        <v>2367</v>
      </c>
    </row>
    <row r="1207" spans="2:7" ht="16">
      <c r="B1207" s="616" t="str">
        <f>IF(FORM_LANGUAGE=GER,Dictionary!G1207,Dictionary!E1207)</f>
        <v>Evaluierungs Ergebnis (Std.)</v>
      </c>
      <c r="E1207" s="616" t="s">
        <v>658</v>
      </c>
      <c r="G1207" s="616" t="s">
        <v>2321</v>
      </c>
    </row>
    <row r="1208" spans="2:7" ht="16">
      <c r="B1208" s="616" t="str">
        <f>IF(FORM_LANGUAGE=GER,Dictionary!G1208,Dictionary!E1208)</f>
        <v>Anerkannte Angaben (Std.)</v>
      </c>
      <c r="E1208" s="616" t="s">
        <v>685</v>
      </c>
      <c r="G1208" s="616" t="s">
        <v>2366</v>
      </c>
    </row>
    <row r="1209" spans="2:7" ht="16">
      <c r="B1209" s="616" t="str">
        <f>IF(FORM_LANGUAGE=GER,Dictionary!G1209,Dictionary!E1209)</f>
        <v>(1)+(1b)+(3)  Trainingskurse, Seminare, Konferenzen, etc. (Std.)</v>
      </c>
      <c r="E1209" s="616" t="s">
        <v>687</v>
      </c>
      <c r="G1209" s="616" t="s">
        <v>2368</v>
      </c>
    </row>
    <row r="1210" spans="2:7" ht="16">
      <c r="B1210" s="616" t="str">
        <f>IF(FORM_LANGUAGE=GER,Dictionary!G1210,Dictionary!E1210)</f>
        <v>(2) Literatur (Seiten)</v>
      </c>
      <c r="E1210" s="616" t="s">
        <v>684</v>
      </c>
      <c r="G1210" s="616" t="s">
        <v>2369</v>
      </c>
    </row>
    <row r="1211" spans="2:7" ht="16">
      <c r="B1211" s="616" t="str">
        <f>IF(FORM_LANGUAGE=GER,Dictionary!G1211,Dictionary!E1211)</f>
        <v>(4) Vorlesungen und Vorträge (Strd.)</v>
      </c>
      <c r="E1211" s="616" t="s">
        <v>683</v>
      </c>
      <c r="G1211" s="616" t="s">
        <v>2426</v>
      </c>
    </row>
    <row r="1212" spans="2:7" ht="16">
      <c r="B1212" s="616" t="str">
        <f>IF(FORM_LANGUAGE=GER,Dictionary!G1212,Dictionary!E1212)</f>
        <v>(5) Eigene Veröffentlichungen (Seiten)</v>
      </c>
      <c r="E1212" s="616" t="s">
        <v>682</v>
      </c>
      <c r="G1212" s="616" t="s">
        <v>2370</v>
      </c>
    </row>
    <row r="1213" spans="2:7" ht="16">
      <c r="B1213" s="616" t="str">
        <f>IF(FORM_LANGUAGE=GER,Dictionary!G1213,Dictionary!E1213)</f>
        <v>Gesamt</v>
      </c>
      <c r="E1213" s="616" t="s">
        <v>303</v>
      </c>
      <c r="G1213" s="616" t="s">
        <v>2371</v>
      </c>
    </row>
    <row r="1214" spans="2:7" ht="16">
      <c r="B1214" s="616" t="str">
        <f>IF(FORM_LANGUAGE=GER,Dictionary!G1214,Dictionary!E1214)</f>
        <v>Erforderlich</v>
      </c>
      <c r="E1214" s="616" t="s">
        <v>681</v>
      </c>
      <c r="G1214" s="616" t="s">
        <v>2372</v>
      </c>
    </row>
    <row r="1215" spans="2:7" ht="16">
      <c r="B1215" s="616" t="str">
        <f>IF(FORM_LANGUAGE=GER,Dictionary!G1215,Dictionary!E1215)</f>
        <v>Siehe Projektliste für PM Erfahrungsnachweis</v>
      </c>
      <c r="E1215" s="616" t="s">
        <v>680</v>
      </c>
      <c r="G1215" s="616" t="s">
        <v>2373</v>
      </c>
    </row>
    <row r="1216" spans="2:7" ht="16">
      <c r="B1216" s="616" t="str">
        <f>IF(FORM_LANGUAGE=GER,Dictionary!G1216,Dictionary!E1216)</f>
        <v>Arbeitszeit in einer PJM, PJO, PPFM, PGM, PO, SM Rolle, pro Jahr</v>
      </c>
      <c r="E1216" s="616" t="s">
        <v>2375</v>
      </c>
      <c r="G1216" s="616" t="s">
        <v>2374</v>
      </c>
    </row>
    <row r="1217" spans="2:22" ht="16">
      <c r="B1217" s="616" t="str">
        <f>IF(FORM_LANGUAGE=GER,Dictionary!G1217,Dictionary!E1217)</f>
        <v>Für Weiterbildung in der Rezertifizierung anrechenbare PM Zeit pro Jahr</v>
      </c>
      <c r="E1217" s="616" t="s">
        <v>2376</v>
      </c>
      <c r="G1217" s="616" t="s">
        <v>2377</v>
      </c>
    </row>
    <row r="1220" spans="2:22">
      <c r="B1220" s="2039" t="s">
        <v>2427</v>
      </c>
      <c r="C1220" s="2039"/>
      <c r="D1220" s="2039"/>
      <c r="E1220" s="2039"/>
      <c r="F1220" s="2039"/>
      <c r="G1220" s="2039"/>
    </row>
    <row r="1221" spans="2:22" ht="16">
      <c r="B1221" s="616" t="str">
        <f>IF(FORM_LANGUAGE=GER,Dictionary!G1221,Dictionary!E1221)</f>
        <v xml:space="preserve">Max. Stunden überschritten für </v>
      </c>
      <c r="E1221" s="616" t="s">
        <v>241</v>
      </c>
      <c r="G1221" s="616" t="s">
        <v>2428</v>
      </c>
    </row>
    <row r="1222" spans="2:22" ht="16">
      <c r="B1222" s="616" t="str">
        <f>IF(FORM_LANGUAGE=GER,Dictionary!G1222,Dictionary!E1222)</f>
        <v>End-Datum vor Start Datum!</v>
      </c>
      <c r="E1222" s="616" t="s">
        <v>243</v>
      </c>
      <c r="G1222" s="616" t="s">
        <v>2429</v>
      </c>
    </row>
    <row r="1223" spans="2:22" ht="16">
      <c r="B1223" s="616" t="str">
        <f>IF(FORM_LANGUAGE=GER,Dictionary!G1223,Dictionary!E1223)</f>
        <v>Eintrag unvollständig</v>
      </c>
      <c r="E1223" s="616" t="s">
        <v>2431</v>
      </c>
      <c r="G1223" s="616" t="s">
        <v>2430</v>
      </c>
    </row>
    <row r="1224" spans="2:22" ht="16">
      <c r="B1224" s="616" t="str">
        <f>IF(FORM_LANGUAGE=GER,Dictionary!G1224,Dictionary!E1224)</f>
        <v>-</v>
      </c>
      <c r="E1224" s="616" t="s">
        <v>1038</v>
      </c>
      <c r="G1224" s="616" t="s">
        <v>1038</v>
      </c>
    </row>
    <row r="1225" spans="2:22" ht="16">
      <c r="B1225" s="616" t="str">
        <f>IF(FORM_LANGUAGE=GER,Dictionary!G1225,Dictionary!E1225)</f>
        <v>Re-Zert Periode!</v>
      </c>
      <c r="E1225" s="616" t="s">
        <v>2432</v>
      </c>
      <c r="G1225" s="616" t="s">
        <v>2433</v>
      </c>
    </row>
    <row r="1228" spans="2:22" ht="16">
      <c r="B1228" s="2039" t="s">
        <v>1289</v>
      </c>
      <c r="C1228" s="2039"/>
      <c r="D1228" s="2039"/>
      <c r="E1228" s="2039"/>
      <c r="F1228" s="2039"/>
      <c r="G1228" s="2039"/>
      <c r="L1228" s="641" t="s">
        <v>1295</v>
      </c>
      <c r="M1228" s="642"/>
      <c r="N1228" s="641" t="s">
        <v>1296</v>
      </c>
      <c r="O1228" s="642"/>
      <c r="P1228" s="641" t="s">
        <v>1297</v>
      </c>
      <c r="Q1228" s="546"/>
      <c r="R1228" s="643" t="s">
        <v>1298</v>
      </c>
      <c r="S1228" s="644"/>
      <c r="T1228" s="643" t="s">
        <v>1299</v>
      </c>
      <c r="U1228" s="644"/>
      <c r="V1228" s="643" t="s">
        <v>1300</v>
      </c>
    </row>
    <row r="1229" spans="2:22" ht="16">
      <c r="B1229" s="616" t="str">
        <f>IF(FORM_LANGUAGE=GER,Dictionary!G1229,Dictionary!E1229)</f>
        <v>Strategie</v>
      </c>
      <c r="E1229" s="616" t="s">
        <v>253</v>
      </c>
      <c r="G1229" s="616" t="s">
        <v>1190</v>
      </c>
    </row>
    <row r="1230" spans="2:22" ht="16">
      <c r="B1230" s="616" t="str">
        <f>IF(FORM_LANGUAGE=GER,Dictionary!G1230,Dictionary!E1230)</f>
        <v>Governance, Strukturen und Prozesse</v>
      </c>
      <c r="E1230" s="616" t="s">
        <v>254</v>
      </c>
      <c r="G1230" s="616" t="s">
        <v>1191</v>
      </c>
    </row>
    <row r="1231" spans="2:22" ht="16">
      <c r="B1231" s="616" t="str">
        <f>IF(FORM_LANGUAGE=GER,Dictionary!G1231,Dictionary!E1231)</f>
        <v>Compliance, Standards und Regularien</v>
      </c>
      <c r="E1231" s="616" t="s">
        <v>255</v>
      </c>
      <c r="G1231" s="616" t="s">
        <v>1192</v>
      </c>
    </row>
    <row r="1232" spans="2:22" ht="16">
      <c r="B1232" s="616" t="str">
        <f>IF(FORM_LANGUAGE=GER,Dictionary!G1232,Dictionary!E1232)</f>
        <v>Macht und Interessen</v>
      </c>
      <c r="E1232" s="616" t="s">
        <v>256</v>
      </c>
      <c r="G1232" s="616" t="s">
        <v>1193</v>
      </c>
    </row>
    <row r="1233" spans="2:22" ht="16">
      <c r="B1233" s="616" t="str">
        <f>IF(FORM_LANGUAGE=GER,Dictionary!G1233,Dictionary!E1233)</f>
        <v>Kultur und Werte</v>
      </c>
      <c r="E1233" s="616" t="s">
        <v>257</v>
      </c>
      <c r="G1233" s="616" t="s">
        <v>1194</v>
      </c>
    </row>
    <row r="1235" spans="2:22" ht="16">
      <c r="B1235" s="616" t="str">
        <f>IF(FORM_LANGUAGE=GER,Dictionary!G1235,Dictionary!E1235)</f>
        <v>Selbstreflexion und Selbstmanagement</v>
      </c>
      <c r="E1235" s="616" t="s">
        <v>258</v>
      </c>
      <c r="G1235" s="616" t="s">
        <v>1195</v>
      </c>
    </row>
    <row r="1236" spans="2:22" ht="16">
      <c r="B1236" s="616" t="str">
        <f>IF(FORM_LANGUAGE=GER,Dictionary!G1236,Dictionary!E1236)</f>
        <v>Persönliche Integrität und Verlässlichkeit</v>
      </c>
      <c r="E1236" s="616" t="s">
        <v>259</v>
      </c>
      <c r="G1236" s="616" t="s">
        <v>1196</v>
      </c>
    </row>
    <row r="1237" spans="2:22" ht="16">
      <c r="B1237" s="616" t="str">
        <f>IF(FORM_LANGUAGE=GER,Dictionary!G1237,Dictionary!E1237)</f>
        <v>Persönliche Kommunikation</v>
      </c>
      <c r="E1237" s="616" t="s">
        <v>260</v>
      </c>
      <c r="G1237" s="616" t="s">
        <v>1197</v>
      </c>
    </row>
    <row r="1238" spans="2:22" ht="16">
      <c r="B1238" s="616" t="str">
        <f>IF(FORM_LANGUAGE=GER,Dictionary!G1238,Dictionary!E1238)</f>
        <v>Beziehungen und Engagement</v>
      </c>
      <c r="E1238" s="616" t="s">
        <v>261</v>
      </c>
      <c r="G1238" s="616" t="s">
        <v>1198</v>
      </c>
    </row>
    <row r="1239" spans="2:22" ht="16">
      <c r="B1239" s="616" t="str">
        <f>IF(FORM_LANGUAGE=GER,Dictionary!G1239,Dictionary!E1239)</f>
        <v>Führung</v>
      </c>
      <c r="E1239" s="616" t="s">
        <v>262</v>
      </c>
      <c r="G1239" s="616" t="s">
        <v>1199</v>
      </c>
    </row>
    <row r="1240" spans="2:22" ht="16">
      <c r="B1240" s="616" t="str">
        <f>IF(FORM_LANGUAGE=GER,Dictionary!G1240,Dictionary!E1240)</f>
        <v>Teamarbeit</v>
      </c>
      <c r="E1240" s="616" t="s">
        <v>251</v>
      </c>
      <c r="G1240" s="616" t="s">
        <v>1200</v>
      </c>
    </row>
    <row r="1241" spans="2:22" ht="16">
      <c r="B1241" s="616" t="str">
        <f>IF(FORM_LANGUAGE=GER,Dictionary!G1241,Dictionary!E1241)</f>
        <v>Konflikte und Krisen</v>
      </c>
      <c r="E1241" s="616" t="s">
        <v>263</v>
      </c>
      <c r="G1241" s="616" t="s">
        <v>1201</v>
      </c>
    </row>
    <row r="1242" spans="2:22" ht="16">
      <c r="B1242" s="616" t="str">
        <f>IF(FORM_LANGUAGE=GER,Dictionary!G1242,Dictionary!E1242)</f>
        <v>Vielseitigkeit</v>
      </c>
      <c r="E1242" s="616" t="s">
        <v>264</v>
      </c>
      <c r="G1242" s="616" t="s">
        <v>1202</v>
      </c>
    </row>
    <row r="1243" spans="2:22" ht="16">
      <c r="B1243" s="616" t="str">
        <f>IF(FORM_LANGUAGE=GER,Dictionary!G1243,Dictionary!E1243)</f>
        <v>Verhandlungen</v>
      </c>
      <c r="E1243" s="616" t="s">
        <v>265</v>
      </c>
      <c r="G1243" s="616" t="s">
        <v>1203</v>
      </c>
    </row>
    <row r="1244" spans="2:22" ht="16">
      <c r="B1244" s="616" t="str">
        <f>IF(FORM_LANGUAGE=GER,Dictionary!G1244,Dictionary!E1244)</f>
        <v>Ergebnisorientierung</v>
      </c>
      <c r="E1244" s="616" t="s">
        <v>266</v>
      </c>
      <c r="G1244" s="616" t="s">
        <v>1204</v>
      </c>
    </row>
    <row r="1246" spans="2:22" ht="16">
      <c r="B1246" s="616" t="str">
        <f>IF(FORM_LANGUAGE=GER,Dictionary!G1246,Dictionary!E1246)</f>
        <v>Projektdesign</v>
      </c>
      <c r="E1246" s="616" t="str">
        <f>IF(DOMAIN=COV!$T$72,IF(Dictionary!L1246="","",Dictionary!L1246),IF(DOMAIN=COV!$T$73,IF(Dictionary!N1246="","",Dictionary!N1246),IF(DOMAIN=COV!$T$74,IF(Dictionary!P1246="","",Dictionary!P1246),IF(Dictionary!L1246="","",Dictionary!L1246))))</f>
        <v>Project design</v>
      </c>
      <c r="F1246" s="616"/>
      <c r="G1246" s="616" t="str">
        <f>IF(DOMAIN=COV!$T$72,IF(Dictionary!R1246="","",Dictionary!R1246),IF(DOMAIN=COV!$T$73,IF(Dictionary!T1246="","",Dictionary!T1246),IF(DOMAIN=COV!$T$74,IF(Dictionary!V1246="","",Dictionary!V1246),IF(Dictionary!R1246="","",Dictionary!R1246))))</f>
        <v>Projektdesign</v>
      </c>
      <c r="L1246" s="616" t="s">
        <v>267</v>
      </c>
      <c r="N1246" s="616" t="s">
        <v>2705</v>
      </c>
      <c r="P1246" s="616" t="s">
        <v>2697</v>
      </c>
      <c r="R1246" s="616" t="s">
        <v>1178</v>
      </c>
      <c r="T1246" s="645" t="s">
        <v>2696</v>
      </c>
      <c r="V1246" s="645" t="s">
        <v>2697</v>
      </c>
    </row>
    <row r="1247" spans="2:22" ht="16">
      <c r="B1247" s="616" t="str">
        <f>IF(FORM_LANGUAGE=GER,Dictionary!G1247,Dictionary!E1247)</f>
        <v>Anforderungen und Ziele</v>
      </c>
      <c r="E1247" s="616" t="str">
        <f>IF(DOMAIN=COV!$T$72,IF(Dictionary!L1247="","",Dictionary!L1247),IF(DOMAIN=COV!$T$73,IF(Dictionary!N1247="","",Dictionary!N1247),IF(DOMAIN=COV!$T$74,IF(Dictionary!P1247="","",Dictionary!P1247),IF(Dictionary!L1247="","",Dictionary!L1247))))</f>
        <v>Requirements and objectives</v>
      </c>
      <c r="F1247" s="616"/>
      <c r="G1247" s="616" t="str">
        <f>IF(DOMAIN=COV!$T$72,IF(Dictionary!R1247="","",Dictionary!R1247),IF(DOMAIN=COV!$T$73,IF(Dictionary!T1247="","",Dictionary!T1247),IF(DOMAIN=COV!$T$74,IF(Dictionary!V1247="","",Dictionary!V1247),IF(Dictionary!R1247="","",Dictionary!R1247))))</f>
        <v>Anforderungen und Ziele</v>
      </c>
      <c r="L1247" s="616" t="s">
        <v>268</v>
      </c>
      <c r="N1247" s="616" t="s">
        <v>2704</v>
      </c>
      <c r="P1247" s="616" t="s">
        <v>268</v>
      </c>
      <c r="R1247" s="645" t="s">
        <v>1179</v>
      </c>
      <c r="T1247" s="645" t="s">
        <v>2672</v>
      </c>
      <c r="V1247" s="645" t="s">
        <v>2672</v>
      </c>
    </row>
    <row r="1248" spans="2:22" ht="16">
      <c r="B1248" s="616" t="str">
        <f>IF(FORM_LANGUAGE=GER,Dictionary!G1248,Dictionary!E1248)</f>
        <v>Leistungsumfang</v>
      </c>
      <c r="E1248" s="616" t="s">
        <v>269</v>
      </c>
      <c r="G1248" s="616" t="s">
        <v>3398</v>
      </c>
    </row>
    <row r="1249" spans="2:49" ht="16">
      <c r="B1249" s="616" t="str">
        <f>IF(FORM_LANGUAGE=GER,Dictionary!G1249,Dictionary!E1249)</f>
        <v>Ablauf und Termine</v>
      </c>
      <c r="E1249" s="616" t="s">
        <v>270</v>
      </c>
      <c r="G1249" s="616" t="s">
        <v>2722</v>
      </c>
    </row>
    <row r="1250" spans="2:49" ht="16">
      <c r="B1250" s="616" t="str">
        <f>IF(FORM_LANGUAGE=GER,Dictionary!G1250,Dictionary!E1250)</f>
        <v>Organisation und Information</v>
      </c>
      <c r="E1250" s="616" t="s">
        <v>366</v>
      </c>
      <c r="G1250" s="616" t="s">
        <v>1182</v>
      </c>
    </row>
    <row r="1251" spans="2:49" ht="16">
      <c r="B1251" s="616" t="str">
        <f>IF(FORM_LANGUAGE=GER,Dictionary!G1251,Dictionary!E1251)</f>
        <v>Qualität</v>
      </c>
      <c r="E1251" s="616" t="s">
        <v>271</v>
      </c>
      <c r="G1251" s="616" t="s">
        <v>1185</v>
      </c>
    </row>
    <row r="1252" spans="2:49" ht="16">
      <c r="B1252" s="616" t="str">
        <f>IF(FORM_LANGUAGE=GER,Dictionary!G1252,Dictionary!E1252)</f>
        <v>Kosten &amp; Finanzierung</v>
      </c>
      <c r="E1252" s="616" t="s">
        <v>272</v>
      </c>
      <c r="G1252" s="616" t="s">
        <v>3399</v>
      </c>
    </row>
    <row r="1253" spans="2:49" ht="16">
      <c r="B1253" s="616" t="str">
        <f>IF(FORM_LANGUAGE=GER,Dictionary!G1253,Dictionary!E1253)</f>
        <v>Ressourcen</v>
      </c>
      <c r="E1253" s="616" t="s">
        <v>273</v>
      </c>
      <c r="G1253" s="616" t="s">
        <v>1183</v>
      </c>
    </row>
    <row r="1254" spans="2:49" ht="16">
      <c r="B1254" s="616" t="str">
        <f>IF(FORM_LANGUAGE=GER,Dictionary!G1254,Dictionary!E1254)</f>
        <v>Beschaffung</v>
      </c>
      <c r="E1254" s="616" t="s">
        <v>274</v>
      </c>
      <c r="G1254" s="616" t="s">
        <v>1205</v>
      </c>
    </row>
    <row r="1255" spans="2:49" ht="16">
      <c r="B1255" s="616" t="str">
        <f>IF(FORM_LANGUAGE=GER,Dictionary!G1255,Dictionary!E1255)</f>
        <v>Planung und Steuerung</v>
      </c>
      <c r="E1255" s="616" t="s">
        <v>275</v>
      </c>
      <c r="G1255" s="616" t="s">
        <v>1184</v>
      </c>
    </row>
    <row r="1256" spans="2:49" ht="16">
      <c r="B1256" s="616" t="str">
        <f>IF(FORM_LANGUAGE=GER,Dictionary!G1256,Dictionary!E1256)</f>
        <v>Risiken und Chancen</v>
      </c>
      <c r="E1256" s="616" t="s">
        <v>276</v>
      </c>
      <c r="G1256" s="616" t="s">
        <v>1180</v>
      </c>
    </row>
    <row r="1257" spans="2:49" ht="16">
      <c r="B1257" s="616" t="str">
        <f>IF(FORM_LANGUAGE=GER,Dictionary!G1257,Dictionary!E1257)</f>
        <v>Stakeholder</v>
      </c>
      <c r="E1257" s="616" t="s">
        <v>277</v>
      </c>
      <c r="G1257" s="616" t="s">
        <v>1181</v>
      </c>
    </row>
    <row r="1258" spans="2:49" ht="16">
      <c r="B1258" s="616" t="str">
        <f>IF(FORM_LANGUAGE=GER,Dictionary!G1258,Dictionary!E1258)</f>
        <v>Change und Transformation</v>
      </c>
      <c r="E1258" s="616" t="s">
        <v>278</v>
      </c>
      <c r="G1258" s="616" t="s">
        <v>1206</v>
      </c>
    </row>
    <row r="1259" spans="2:49" ht="16">
      <c r="B1259" s="616" t="str">
        <f>IF(FORM_LANGUAGE=GER,Dictionary!G1259,Dictionary!E1259)</f>
        <v/>
      </c>
      <c r="E1259" s="616" t="str">
        <f>IF(DOMAIN=COV!$T$72,IF(Dictionary!L1259="","",Dictionary!L1259),IF(DOMAIN=COV!$T$73,IF(Dictionary!N1259="","",Dictionary!N1259),IF(DOMAIN=COV!$T$75,IF(Dictionary!P1259="","",Dictionary!P1259),IF(Dictionary!L1259="","",Dictionary!L1259))))</f>
        <v/>
      </c>
      <c r="F1259" s="616"/>
      <c r="G1259" s="616" t="str">
        <f>IF(DOMAIN=COV!$T$72,IF(Dictionary!R1259="","",Dictionary!R1259),IF(DOMAIN=COV!$T$73,IF(Dictionary!T1259="","",Dictionary!T1259),IF(DOMAIN=COV!$T$75,IF(Dictionary!V1259="","",Dictionary!V1259),IF(Dictionary!R1259="","",Dictionary!R1259))))</f>
        <v/>
      </c>
      <c r="N1259" s="616" t="s">
        <v>2740</v>
      </c>
      <c r="P1259" s="616" t="s">
        <v>2740</v>
      </c>
      <c r="T1259" s="616" t="s">
        <v>2569</v>
      </c>
      <c r="V1259" s="616" t="s">
        <v>2624</v>
      </c>
    </row>
    <row r="1261" spans="2:49" ht="16">
      <c r="B1261" s="2039" t="s">
        <v>1290</v>
      </c>
      <c r="C1261" s="2039"/>
      <c r="D1261" s="2039"/>
      <c r="E1261" s="2039"/>
      <c r="F1261" s="2039"/>
      <c r="G1261" s="2039"/>
      <c r="I1261" s="617" t="s">
        <v>1291</v>
      </c>
      <c r="J1261" s="617" t="s">
        <v>1292</v>
      </c>
      <c r="K1261" s="617"/>
      <c r="L1261" s="641" t="s">
        <v>1295</v>
      </c>
      <c r="M1261" s="642"/>
      <c r="N1261" s="641" t="s">
        <v>1296</v>
      </c>
      <c r="O1261" s="642"/>
      <c r="P1261" s="641" t="s">
        <v>1297</v>
      </c>
      <c r="R1261" s="643" t="s">
        <v>1298</v>
      </c>
      <c r="S1261" s="644"/>
      <c r="T1261" s="643" t="s">
        <v>1299</v>
      </c>
      <c r="U1261" s="644"/>
      <c r="V1261" s="643" t="s">
        <v>1300</v>
      </c>
      <c r="X1261">
        <f>IF(APPLICATION_LVL="",0,IF(OR(APPLICATION_LVL=COV!$V$68,APPLICATION_LVL=COV!$V$67),Dictionary!Z1261,IF(APPLICATION_LVL=COV!$V$66,Dictionary!AA1261,IF(APPLICATION_LVL=COV!$V$65,IF(DOMAIN=COV!$T$72,Dictionary!AC1261,IF(DOMAIN=COV!$T$73,Dictionary!AD1261,IF(DOMAIN=COV!$T$75,Dictionary!AE1261,2))),IF(APPLICATION_LVL=COV!$V$64,IF(DOMAIN=COV!$T$72,Dictionary!AG1261,IF(DOMAIN=COV!$T$73,Dictionary!AH1261,IF(DOMAIN=COV!$T$75,Dictionary!AI1261,3))),1)))))</f>
        <v>12</v>
      </c>
      <c r="Y1261" t="s">
        <v>3415</v>
      </c>
      <c r="Z1261" s="1395">
        <f>IF(GC_Flag="",AK1261,AR1261)</f>
        <v>9</v>
      </c>
      <c r="AA1261" s="1395">
        <f>IF(GC_Flag="",AL1261,AS1261)</f>
        <v>10</v>
      </c>
      <c r="AB1261" s="1395"/>
      <c r="AC1261" s="1395">
        <f>IF(GC_Flag="",AN1261,AU1261)</f>
        <v>11</v>
      </c>
      <c r="AD1261" s="1395">
        <v>4</v>
      </c>
      <c r="AE1261" s="1395">
        <v>5</v>
      </c>
      <c r="AF1261" s="1395"/>
      <c r="AG1261" s="1395">
        <f>IF(GC_Flag="",AP1261,AW1261)</f>
        <v>12</v>
      </c>
      <c r="AH1261" s="1395">
        <v>7</v>
      </c>
      <c r="AI1261" s="1395">
        <v>8</v>
      </c>
      <c r="AK1261" s="1771">
        <v>9</v>
      </c>
      <c r="AL1261" s="1771">
        <v>10</v>
      </c>
      <c r="AM1261" s="1771"/>
      <c r="AN1261" s="1771">
        <v>11</v>
      </c>
      <c r="AO1261" s="1771"/>
      <c r="AP1261" s="1771">
        <v>12</v>
      </c>
      <c r="AR1261" s="1771">
        <v>13</v>
      </c>
      <c r="AS1261" s="1771">
        <v>14</v>
      </c>
      <c r="AT1261" s="1771"/>
      <c r="AU1261" s="1771">
        <v>15</v>
      </c>
      <c r="AV1261" s="1771"/>
      <c r="AW1261" s="1771">
        <v>16</v>
      </c>
    </row>
    <row r="1262" spans="2:49" ht="16">
      <c r="B1262" s="655" t="str">
        <f>IF(FORM_LANGUAGE=GER,Dictionary!G1262,Dictionary!E1262)</f>
        <v>Perspective Kompetenz Elemente</v>
      </c>
      <c r="C1262" s="656"/>
      <c r="D1262" s="656"/>
      <c r="E1262" s="657" t="str">
        <f>E844</f>
        <v>Perspective Competence Elements</v>
      </c>
      <c r="F1262" s="656"/>
      <c r="G1262" s="657" t="str">
        <f>G844</f>
        <v>Perspective Kompetenz Elemente</v>
      </c>
      <c r="H1262" s="658"/>
      <c r="I1262" s="659"/>
      <c r="J1262" s="659"/>
      <c r="K1262" s="659"/>
      <c r="L1262" s="655"/>
      <c r="M1262" s="659"/>
      <c r="N1262" s="655"/>
      <c r="O1262" s="659"/>
      <c r="P1262" s="655"/>
      <c r="Q1262" s="658"/>
      <c r="R1262" s="655"/>
      <c r="S1262" s="659"/>
      <c r="T1262" s="655"/>
      <c r="U1262" s="659"/>
      <c r="V1262" s="655"/>
    </row>
    <row r="1263" spans="2:49" ht="16">
      <c r="B1263" s="649" t="str">
        <f>IF(FORM_LANGUAGE=GER,Dictionary!G1263,Dictionary!E1263)</f>
        <v>Strategie</v>
      </c>
      <c r="C1263" s="650"/>
      <c r="D1263" s="650"/>
      <c r="E1263" s="649" t="str">
        <f>E1229</f>
        <v>Strategy</v>
      </c>
      <c r="F1263" s="649"/>
      <c r="G1263" s="649" t="str">
        <f>G1229</f>
        <v>Strategie</v>
      </c>
      <c r="H1263" s="74"/>
      <c r="I1263" s="650" t="s">
        <v>475</v>
      </c>
      <c r="J1263" s="650" t="s">
        <v>1729</v>
      </c>
      <c r="K1263" s="650"/>
      <c r="L1263" s="649"/>
      <c r="M1263" s="650"/>
      <c r="N1263" s="649"/>
      <c r="O1263" s="650"/>
      <c r="P1263" s="649"/>
      <c r="Q1263" s="74"/>
      <c r="R1263" s="649"/>
      <c r="S1263" s="650"/>
      <c r="T1263" s="649"/>
      <c r="U1263" s="650"/>
      <c r="V1263" s="649"/>
      <c r="X1263">
        <f>IF(APPLICATION_LVL="",0,IF(OR(APPLICATION_LVL=COV!$V$68,APPLICATION_LVL=COV!$V$67),Dictionary!Z1263,IF(APPLICATION_LVL=COV!$V$66,Dictionary!AA1263,IF(APPLICATION_LVL=COV!$V$65,IF(DOMAIN=COV!$T$72,Dictionary!AC1263,IF(DOMAIN=COV!$T$73,Dictionary!AD1263,IF(DOMAIN=COV!$T$75,Dictionary!AE1263,2))),IF(APPLICATION_LVL=COV!$V$64,IF(DOMAIN=COV!$T$72,Dictionary!AG1263,IF(DOMAIN=COV!$T$73,Dictionary!AH1263,IF(DOMAIN=COV!$T$75,Dictionary!AI1263,3))),1)))))</f>
        <v>3</v>
      </c>
      <c r="Z1263" s="1779">
        <f t="shared" ref="Z1263:AA1268" si="0">IF(GC_Flag="",AK1263,AR1263)</f>
        <v>1</v>
      </c>
      <c r="AA1263" s="1779">
        <f t="shared" si="0"/>
        <v>2</v>
      </c>
      <c r="AB1263" s="1779"/>
      <c r="AC1263" s="1779">
        <f t="shared" ref="AC1263:AC1268" si="1">IF(GC_Flag="",AN1263,AU1263)</f>
        <v>2</v>
      </c>
      <c r="AD1263">
        <v>2</v>
      </c>
      <c r="AE1263">
        <v>2</v>
      </c>
      <c r="AG1263" s="1779">
        <f t="shared" ref="AG1263:AG1268" si="2">IF(GC_Flag="",AP1263,AW1263)</f>
        <v>3</v>
      </c>
      <c r="AH1263">
        <v>3</v>
      </c>
      <c r="AI1263">
        <v>3</v>
      </c>
      <c r="AK1263">
        <v>1</v>
      </c>
      <c r="AL1263">
        <v>2</v>
      </c>
      <c r="AN1263">
        <v>2</v>
      </c>
      <c r="AP1263">
        <v>3</v>
      </c>
      <c r="AR1263">
        <v>1</v>
      </c>
      <c r="AS1263">
        <v>3</v>
      </c>
      <c r="AU1263">
        <v>4</v>
      </c>
      <c r="AW1263">
        <v>6</v>
      </c>
    </row>
    <row r="1264" spans="2:49" ht="32">
      <c r="B1264" s="616" t="str">
        <f>IF(FORM_LANGUAGE=GER,Dictionary!G1264,Dictionary!E1264)</f>
        <v>Das Projekt mit der Mission und der Vision der Organisation in Einklang bringen</v>
      </c>
      <c r="E1264" s="616" t="str">
        <f>IF(DOMAIN=COV!$T$72,Dictionary!L1264,IF(DOMAIN=COV!$T$73,Dictionary!N1264,IF(DOMAIN=COV!$T$74,Dictionary!P1264,Dictionary!L1264)))</f>
        <v>Align with organizational mission and vision</v>
      </c>
      <c r="F1264" s="616"/>
      <c r="G1264" s="616" t="str">
        <f>IF(DOMAIN=COV!$T$72,Dictionary!R1264,IF(DOMAIN=COV!$T$73,Dictionary!T1264,IF(DOMAIN=COV!$T$74,Dictionary!V1264,Dictionary!R1264)))</f>
        <v>Das Projekt mit der Mission und der Vision der Organisation in Einklang bringen</v>
      </c>
      <c r="I1264" s="615" t="s">
        <v>1293</v>
      </c>
      <c r="J1264" s="615" t="s">
        <v>1730</v>
      </c>
      <c r="L1264" s="616" t="s">
        <v>474</v>
      </c>
      <c r="N1264" s="616" t="s">
        <v>474</v>
      </c>
      <c r="O1264" s="639"/>
      <c r="P1264" s="638" t="s">
        <v>474</v>
      </c>
      <c r="R1264" s="616" t="s">
        <v>1294</v>
      </c>
      <c r="S1264" s="615"/>
      <c r="T1264" s="616" t="s">
        <v>1301</v>
      </c>
      <c r="U1264" s="615"/>
      <c r="V1264" s="616" t="s">
        <v>1302</v>
      </c>
      <c r="X1264">
        <f>IF(APPLICATION_LVL="",0,IF(OR(APPLICATION_LVL=COV!$V$68,APPLICATION_LVL=COV!$V$67),Dictionary!Z1264,IF(APPLICATION_LVL=COV!$V$66,Dictionary!AA1264,IF(APPLICATION_LVL=COV!$V$65,IF(DOMAIN=COV!$T$72,Dictionary!AC1264,IF(DOMAIN=COV!$T$73,Dictionary!AD1264,IF(DOMAIN=COV!$T$75,Dictionary!AE1264,2))),IF(APPLICATION_LVL=COV!$V$64,IF(DOMAIN=COV!$T$72,Dictionary!AG1264,IF(DOMAIN=COV!$T$73,Dictionary!AH1264,IF(DOMAIN=COV!$T$75,Dictionary!AI1264,3))),1)))))</f>
        <v>3</v>
      </c>
      <c r="Z1264" s="1779">
        <f t="shared" si="0"/>
        <v>1</v>
      </c>
      <c r="AA1264" s="1779">
        <f t="shared" si="0"/>
        <v>1</v>
      </c>
      <c r="AB1264" s="1779"/>
      <c r="AC1264" s="1779">
        <f t="shared" si="1"/>
        <v>2</v>
      </c>
      <c r="AD1264">
        <v>2</v>
      </c>
      <c r="AE1264">
        <v>2</v>
      </c>
      <c r="AG1264" s="1779">
        <f t="shared" si="2"/>
        <v>3</v>
      </c>
      <c r="AH1264">
        <v>3</v>
      </c>
      <c r="AI1264">
        <v>3</v>
      </c>
      <c r="AK1264">
        <v>1</v>
      </c>
      <c r="AL1264">
        <v>1</v>
      </c>
      <c r="AN1264">
        <v>2</v>
      </c>
      <c r="AP1264">
        <v>3</v>
      </c>
      <c r="AR1264">
        <v>1</v>
      </c>
      <c r="AS1264">
        <v>2</v>
      </c>
      <c r="AU1264">
        <v>4</v>
      </c>
      <c r="AW1264">
        <v>6</v>
      </c>
    </row>
    <row r="1265" spans="2:49" ht="32">
      <c r="B1265" s="616" t="str">
        <f>IF(FORM_LANGUAGE=GER,Dictionary!G1265,Dictionary!E1265)</f>
        <v>Chancen identifizieren und ausschöpfen, die Strategie der Organisation zu beeinflussen</v>
      </c>
      <c r="E1265" s="616" t="str">
        <f>IF(DOMAIN=COV!$T$72,Dictionary!L1265,IF(DOMAIN=COV!$T$73,Dictionary!N1265,IF(DOMAIN=COV!$T$74,Dictionary!P1265,Dictionary!L1265)))</f>
        <v>Identify and exploit opportunities to influence organizational strategy</v>
      </c>
      <c r="F1265" s="616"/>
      <c r="G1265" s="616" t="str">
        <f>IF(DOMAIN=COV!$T$72,Dictionary!R1265,IF(DOMAIN=COV!$T$73,Dictionary!T1265,IF(DOMAIN=COV!$T$74,Dictionary!V1265,Dictionary!R1265)))</f>
        <v>Chancen identifizieren und ausschöpfen, die Strategie der Organisation zu beeinflussen</v>
      </c>
      <c r="I1265" s="615" t="s">
        <v>1303</v>
      </c>
      <c r="J1265" s="615" t="s">
        <v>1731</v>
      </c>
      <c r="L1265" s="616" t="s">
        <v>473</v>
      </c>
      <c r="N1265" s="616" t="s">
        <v>473</v>
      </c>
      <c r="O1265" s="639"/>
      <c r="P1265" s="638" t="s">
        <v>473</v>
      </c>
      <c r="R1265" s="616" t="s">
        <v>1304</v>
      </c>
      <c r="S1265" s="615"/>
      <c r="T1265" s="616" t="s">
        <v>1304</v>
      </c>
      <c r="U1265" s="615"/>
      <c r="V1265" s="616" t="s">
        <v>1304</v>
      </c>
      <c r="X1265">
        <f>IF(APPLICATION_LVL="",0,IF(OR(APPLICATION_LVL=COV!$V$68,APPLICATION_LVL=COV!$V$67),Dictionary!Z1265,IF(APPLICATION_LVL=COV!$V$66,Dictionary!AA1265,IF(APPLICATION_LVL=COV!$V$65,IF(DOMAIN=COV!$T$72,Dictionary!AC1265,IF(DOMAIN=COV!$T$73,Dictionary!AD1265,IF(DOMAIN=COV!$T$75,Dictionary!AE1265,2))),IF(APPLICATION_LVL=COV!$V$64,IF(DOMAIN=COV!$T$72,Dictionary!AG1265,IF(DOMAIN=COV!$T$73,Dictionary!AH1265,IF(DOMAIN=COV!$T$75,Dictionary!AI1265,3))),1)))))</f>
        <v>3</v>
      </c>
      <c r="Z1265" s="1779">
        <f t="shared" si="0"/>
        <v>0</v>
      </c>
      <c r="AA1265" s="1779">
        <f t="shared" si="0"/>
        <v>2</v>
      </c>
      <c r="AB1265" s="1779"/>
      <c r="AC1265" s="1779">
        <f t="shared" si="1"/>
        <v>2</v>
      </c>
      <c r="AD1265">
        <v>2</v>
      </c>
      <c r="AE1265">
        <v>2</v>
      </c>
      <c r="AG1265" s="1779">
        <f t="shared" si="2"/>
        <v>3</v>
      </c>
      <c r="AH1265">
        <v>3</v>
      </c>
      <c r="AI1265">
        <v>3</v>
      </c>
      <c r="AK1265">
        <v>0</v>
      </c>
      <c r="AL1265">
        <v>2</v>
      </c>
      <c r="AN1265">
        <v>2</v>
      </c>
      <c r="AP1265">
        <v>3</v>
      </c>
      <c r="AR1265">
        <v>0</v>
      </c>
      <c r="AS1265">
        <v>3</v>
      </c>
      <c r="AU1265">
        <v>4</v>
      </c>
      <c r="AW1265">
        <v>6</v>
      </c>
    </row>
    <row r="1266" spans="2:49" ht="80">
      <c r="B1266" s="616" t="str">
        <f>IF(FORM_LANGUAGE=GER,Dictionary!G1266,Dictionary!E1266)</f>
        <v>Rechtfertigung für das Projekt entwickeln und sicherstellen, dass die betriebswirtschaftlichen und / oder organisationalen Gründe, die zum Projekt geführt haben, weiterhin bestehen</v>
      </c>
      <c r="E1266" s="616" t="str">
        <f>IF(DOMAIN=COV!$T$72,Dictionary!L1266,IF(DOMAIN=COV!$T$73,Dictionary!N1266,IF(DOMAIN=COV!$T$74,Dictionary!P1266,Dictionary!L1266)))</f>
        <v>Develop and ensure the ongoing validity of the business/organizational justification</v>
      </c>
      <c r="F1266" s="616"/>
      <c r="G1266" s="616" t="str">
        <f>IF(DOMAIN=COV!$T$72,Dictionary!R1266,IF(DOMAIN=COV!$T$73,Dictionary!T1266,IF(DOMAIN=COV!$T$74,Dictionary!V1266,Dictionary!R1266)))</f>
        <v>Rechtfertigung für das Projekt entwickeln und sicherstellen, dass die betriebswirtschaftlichen und / oder organisationalen Gründe, die zum Projekt geführt haben, weiterhin bestehen</v>
      </c>
      <c r="I1266" s="615" t="s">
        <v>1598</v>
      </c>
      <c r="J1266" s="615" t="s">
        <v>1732</v>
      </c>
      <c r="L1266" s="616" t="s">
        <v>472</v>
      </c>
      <c r="N1266" s="616" t="s">
        <v>472</v>
      </c>
      <c r="O1266" s="639"/>
      <c r="P1266" s="638" t="s">
        <v>472</v>
      </c>
      <c r="R1266" s="616" t="s">
        <v>1334</v>
      </c>
      <c r="S1266" s="615"/>
      <c r="T1266" s="616" t="s">
        <v>1335</v>
      </c>
      <c r="U1266" s="615"/>
      <c r="V1266" s="616" t="s">
        <v>1336</v>
      </c>
      <c r="X1266">
        <f>IF(APPLICATION_LVL="",0,IF(OR(APPLICATION_LVL=COV!$V$68,APPLICATION_LVL=COV!$V$67),Dictionary!Z1266,IF(APPLICATION_LVL=COV!$V$66,Dictionary!AA1266,IF(APPLICATION_LVL=COV!$V$65,IF(DOMAIN=COV!$T$72,Dictionary!AC1266,IF(DOMAIN=COV!$T$73,Dictionary!AD1266,IF(DOMAIN=COV!$T$75,Dictionary!AE1266,2))),IF(APPLICATION_LVL=COV!$V$64,IF(DOMAIN=COV!$T$72,Dictionary!AG1266,IF(DOMAIN=COV!$T$73,Dictionary!AH1266,IF(DOMAIN=COV!$T$75,Dictionary!AI1266,3))),1)))))</f>
        <v>3</v>
      </c>
      <c r="Z1266" s="1779">
        <f t="shared" si="0"/>
        <v>1</v>
      </c>
      <c r="AA1266" s="1779">
        <f t="shared" si="0"/>
        <v>2</v>
      </c>
      <c r="AB1266" s="1779"/>
      <c r="AC1266" s="1779">
        <f t="shared" si="1"/>
        <v>2</v>
      </c>
      <c r="AD1266">
        <v>2</v>
      </c>
      <c r="AE1266">
        <v>2</v>
      </c>
      <c r="AG1266" s="1779">
        <f t="shared" si="2"/>
        <v>3</v>
      </c>
      <c r="AH1266">
        <v>3</v>
      </c>
      <c r="AI1266">
        <v>3</v>
      </c>
      <c r="AK1266">
        <v>1</v>
      </c>
      <c r="AL1266">
        <v>2</v>
      </c>
      <c r="AN1266">
        <v>2</v>
      </c>
      <c r="AP1266">
        <v>3</v>
      </c>
      <c r="AR1266">
        <v>1</v>
      </c>
      <c r="AS1266">
        <v>3</v>
      </c>
      <c r="AU1266">
        <v>4</v>
      </c>
      <c r="AW1266">
        <v>6</v>
      </c>
    </row>
    <row r="1267" spans="2:49" ht="32">
      <c r="B1267" s="616" t="str">
        <f>IF(FORM_LANGUAGE=GER,Dictionary!G1267,Dictionary!E1267)</f>
        <v>Kritische Erfolgsfaktoren (KEF) bestimmen, beurteilen und überprüfen</v>
      </c>
      <c r="E1267" s="616" t="str">
        <f>IF(DOMAIN=COV!$T$72,Dictionary!L1267,IF(DOMAIN=COV!$T$73,Dictionary!N1267,IF(DOMAIN=COV!$T$74,Dictionary!P1267,Dictionary!L1267)))</f>
        <v>Determine, assess, and review critical success factors</v>
      </c>
      <c r="F1267" s="616"/>
      <c r="G1267" s="616" t="str">
        <f>IF(DOMAIN=COV!$T$72,Dictionary!R1267,IF(DOMAIN=COV!$T$73,Dictionary!T1267,IF(DOMAIN=COV!$T$74,Dictionary!V1267,Dictionary!R1267)))</f>
        <v>Kritische Erfolgsfaktoren (KEF) bestimmen, beurteilen und überprüfen</v>
      </c>
      <c r="I1267" s="615" t="s">
        <v>1599</v>
      </c>
      <c r="J1267" s="615" t="s">
        <v>1733</v>
      </c>
      <c r="L1267" s="616" t="s">
        <v>471</v>
      </c>
      <c r="N1267" s="616" t="s">
        <v>471</v>
      </c>
      <c r="O1267" s="639"/>
      <c r="P1267" s="638" t="s">
        <v>471</v>
      </c>
      <c r="R1267" s="645" t="s">
        <v>1337</v>
      </c>
      <c r="T1267" s="645" t="s">
        <v>1337</v>
      </c>
      <c r="V1267" s="645" t="s">
        <v>1337</v>
      </c>
      <c r="X1267">
        <f>IF(APPLICATION_LVL="",0,IF(OR(APPLICATION_LVL=COV!$V$68,APPLICATION_LVL=COV!$V$67),Dictionary!Z1267,IF(APPLICATION_LVL=COV!$V$66,Dictionary!AA1267,IF(APPLICATION_LVL=COV!$V$65,IF(DOMAIN=COV!$T$72,Dictionary!AC1267,IF(DOMAIN=COV!$T$73,Dictionary!AD1267,IF(DOMAIN=COV!$T$75,Dictionary!AE1267,2))),IF(APPLICATION_LVL=COV!$V$64,IF(DOMAIN=COV!$T$72,Dictionary!AG1267,IF(DOMAIN=COV!$T$73,Dictionary!AH1267,IF(DOMAIN=COV!$T$75,Dictionary!AI1267,3))),1)))))</f>
        <v>3</v>
      </c>
      <c r="Z1267" s="1779">
        <f t="shared" si="0"/>
        <v>1</v>
      </c>
      <c r="AA1267" s="1779">
        <f t="shared" si="0"/>
        <v>2</v>
      </c>
      <c r="AB1267" s="1779"/>
      <c r="AC1267" s="1779">
        <f t="shared" si="1"/>
        <v>2</v>
      </c>
      <c r="AD1267">
        <v>2</v>
      </c>
      <c r="AE1267">
        <v>2</v>
      </c>
      <c r="AG1267" s="1779">
        <f t="shared" si="2"/>
        <v>3</v>
      </c>
      <c r="AH1267">
        <v>3</v>
      </c>
      <c r="AI1267">
        <v>3</v>
      </c>
      <c r="AK1267">
        <v>1</v>
      </c>
      <c r="AL1267">
        <v>2</v>
      </c>
      <c r="AN1267">
        <v>2</v>
      </c>
      <c r="AP1267">
        <v>3</v>
      </c>
      <c r="AR1267">
        <v>1</v>
      </c>
      <c r="AS1267">
        <v>3</v>
      </c>
      <c r="AU1267">
        <v>4</v>
      </c>
      <c r="AW1267">
        <v>6</v>
      </c>
    </row>
    <row r="1268" spans="2:49" ht="14.5" customHeight="1">
      <c r="B1268" s="616" t="str">
        <f>IF(FORM_LANGUAGE=GER,Dictionary!G1268,Dictionary!E1268)</f>
        <v>Key Performance Indikatoren (KPI) bestimmen, beurteilen und überprüfen</v>
      </c>
      <c r="E1268" s="616" t="str">
        <f>IF(DOMAIN=COV!$T$72,Dictionary!L1268,IF(DOMAIN=COV!$T$73,Dictionary!N1268,IF(DOMAIN=COV!$T$74,Dictionary!P1268,Dictionary!L1268)))</f>
        <v>Determine, assess, and review key performance indicators</v>
      </c>
      <c r="F1268" s="616"/>
      <c r="G1268" s="616" t="str">
        <f>IF(DOMAIN=COV!$T$72,Dictionary!R1268,IF(DOMAIN=COV!$T$73,Dictionary!T1268,IF(DOMAIN=COV!$T$74,Dictionary!V1268,Dictionary!R1268)))</f>
        <v>Key Performance Indikatoren (KPI) bestimmen, beurteilen und überprüfen</v>
      </c>
      <c r="I1268" s="615" t="s">
        <v>1600</v>
      </c>
      <c r="J1268" s="615" t="s">
        <v>1734</v>
      </c>
      <c r="L1268" s="616" t="s">
        <v>470</v>
      </c>
      <c r="N1268" s="616" t="s">
        <v>470</v>
      </c>
      <c r="O1268" s="639"/>
      <c r="P1268" s="638" t="s">
        <v>470</v>
      </c>
      <c r="R1268" s="616" t="s">
        <v>1338</v>
      </c>
      <c r="S1268" s="615"/>
      <c r="T1268" s="616" t="s">
        <v>1338</v>
      </c>
      <c r="U1268" s="615"/>
      <c r="V1268" s="616" t="s">
        <v>1338</v>
      </c>
      <c r="X1268">
        <f>IF(APPLICATION_LVL="",0,IF(OR(APPLICATION_LVL=COV!$V$68,APPLICATION_LVL=COV!$V$67),Dictionary!Z1268,IF(APPLICATION_LVL=COV!$V$66,Dictionary!AA1268,IF(APPLICATION_LVL=COV!$V$65,IF(DOMAIN=COV!$T$72,Dictionary!AC1268,IF(DOMAIN=COV!$T$73,Dictionary!AD1268,IF(DOMAIN=COV!$T$75,Dictionary!AE1268,2))),IF(APPLICATION_LVL=COV!$V$64,IF(DOMAIN=COV!$T$72,Dictionary!AG1268,IF(DOMAIN=COV!$T$73,Dictionary!AH1268,IF(DOMAIN=COV!$T$75,Dictionary!AI1268,3))),1)))))</f>
        <v>3</v>
      </c>
      <c r="Z1268" s="1779">
        <f t="shared" si="0"/>
        <v>0</v>
      </c>
      <c r="AA1268" s="1779">
        <f t="shared" si="0"/>
        <v>2</v>
      </c>
      <c r="AB1268" s="1779"/>
      <c r="AC1268" s="1779">
        <f t="shared" si="1"/>
        <v>2</v>
      </c>
      <c r="AD1268">
        <v>2</v>
      </c>
      <c r="AE1268">
        <v>2</v>
      </c>
      <c r="AG1268" s="1779">
        <f t="shared" si="2"/>
        <v>3</v>
      </c>
      <c r="AH1268">
        <v>3</v>
      </c>
      <c r="AI1268">
        <v>3</v>
      </c>
      <c r="AK1268">
        <v>0</v>
      </c>
      <c r="AL1268">
        <v>2</v>
      </c>
      <c r="AN1268">
        <v>2</v>
      </c>
      <c r="AP1268">
        <v>3</v>
      </c>
      <c r="AR1268">
        <v>0</v>
      </c>
      <c r="AS1268">
        <v>3</v>
      </c>
      <c r="AU1268">
        <v>4</v>
      </c>
      <c r="AW1268">
        <v>6</v>
      </c>
    </row>
    <row r="1269" spans="2:49">
      <c r="F1269" s="616"/>
      <c r="R1269" s="616"/>
      <c r="S1269" s="615"/>
      <c r="T1269" s="616"/>
      <c r="U1269" s="615"/>
      <c r="V1269" s="616"/>
    </row>
    <row r="1270" spans="2:49" ht="46.5" customHeight="1">
      <c r="R1270" s="616"/>
      <c r="S1270" s="615"/>
      <c r="T1270" s="616"/>
      <c r="U1270" s="615"/>
      <c r="V1270" s="616"/>
    </row>
    <row r="1271" spans="2:49" ht="46.5" customHeight="1">
      <c r="B1271" s="649" t="str">
        <f>IF(FORM_LANGUAGE=GER,Dictionary!G1271,Dictionary!E1271)</f>
        <v>Governance, Strukturen und Prozesse</v>
      </c>
      <c r="C1271" s="650"/>
      <c r="D1271" s="650"/>
      <c r="E1271" s="649" t="s">
        <v>254</v>
      </c>
      <c r="F1271" s="649"/>
      <c r="G1271" s="649" t="s">
        <v>1191</v>
      </c>
      <c r="H1271" s="74"/>
      <c r="I1271" s="651" t="s">
        <v>469</v>
      </c>
      <c r="J1271" s="650" t="s">
        <v>1601</v>
      </c>
      <c r="K1271" s="650"/>
      <c r="L1271" s="649"/>
      <c r="M1271" s="650"/>
      <c r="N1271" s="649"/>
      <c r="O1271" s="650"/>
      <c r="P1271" s="649"/>
      <c r="Q1271" s="74"/>
      <c r="R1271" s="649"/>
      <c r="S1271" s="650"/>
      <c r="T1271" s="649"/>
      <c r="U1271" s="650"/>
      <c r="V1271" s="649"/>
      <c r="X1271">
        <f>IF(APPLICATION_LVL="",0,IF(OR(APPLICATION_LVL=COV!$V$68,APPLICATION_LVL=COV!$V$67),Dictionary!Z1271,IF(APPLICATION_LVL=COV!$V$66,Dictionary!AA1271,IF(APPLICATION_LVL=COV!$V$65,IF(DOMAIN=COV!$T$72,Dictionary!AC1271,IF(DOMAIN=COV!$T$73,Dictionary!AD1271,IF(DOMAIN=COV!$T$75,Dictionary!AE1271,2))),IF(APPLICATION_LVL=COV!$V$64,IF(DOMAIN=COV!$T$72,Dictionary!AG1271,IF(DOMAIN=COV!$T$73,Dictionary!AH1271,IF(DOMAIN=COV!$T$75,Dictionary!AI1271,3))),1)))))</f>
        <v>3</v>
      </c>
      <c r="Z1271" s="1779">
        <f t="shared" ref="Z1271:AA1278" si="3">IF(GC_Flag="",AK1271,AR1271)</f>
        <v>1</v>
      </c>
      <c r="AA1271" s="1779">
        <f t="shared" si="3"/>
        <v>2</v>
      </c>
      <c r="AB1271" s="1779"/>
      <c r="AC1271" s="1779">
        <f t="shared" ref="AC1271:AC1278" si="4">IF(GC_Flag="",AN1271,AU1271)</f>
        <v>2</v>
      </c>
      <c r="AD1271">
        <v>2</v>
      </c>
      <c r="AE1271">
        <v>2</v>
      </c>
      <c r="AG1271" s="1779">
        <f t="shared" ref="AG1271:AG1278" si="5">IF(GC_Flag="",AP1271,AW1271)</f>
        <v>3</v>
      </c>
      <c r="AH1271">
        <v>3</v>
      </c>
      <c r="AI1271">
        <v>3</v>
      </c>
      <c r="AK1271">
        <v>1</v>
      </c>
      <c r="AL1271">
        <v>2</v>
      </c>
      <c r="AN1271">
        <v>2</v>
      </c>
      <c r="AP1271">
        <v>3</v>
      </c>
      <c r="AR1271">
        <v>2</v>
      </c>
      <c r="AS1271">
        <v>3</v>
      </c>
      <c r="AU1271">
        <v>4</v>
      </c>
      <c r="AW1271">
        <v>6</v>
      </c>
    </row>
    <row r="1272" spans="2:49" ht="46.5" customHeight="1">
      <c r="B1272" s="616" t="str">
        <f>IF(FORM_LANGUAGE=GER,Dictionary!G1272,Dictionary!E1272)</f>
        <v>Die Grundlagen des Projektmanagements und deren Einführung kennen und anwenden</v>
      </c>
      <c r="E1272" s="616" t="str">
        <f>IF(DOMAIN=COV!$T$72,Dictionary!L1272,IF(DOMAIN=COV!$T$73,Dictionary!N1272,IF(DOMAIN=COV!$T$74,Dictionary!P1272,Dictionary!L1272)))</f>
        <v>Know the principles of project management and the way they are implemented</v>
      </c>
      <c r="F1272" s="616"/>
      <c r="G1272" s="616" t="str">
        <f>IF(DOMAIN=COV!$T$72,Dictionary!R1272,IF(DOMAIN=COV!$T$73,Dictionary!T1272,IF(DOMAIN=COV!$T$74,Dictionary!V1272,Dictionary!R1272)))</f>
        <v>Die Grundlagen des Projektmanagements und deren Einführung kennen und anwenden</v>
      </c>
      <c r="I1272" s="615" t="s">
        <v>1602</v>
      </c>
      <c r="J1272" s="615" t="s">
        <v>1735</v>
      </c>
      <c r="L1272" s="616" t="s">
        <v>468</v>
      </c>
      <c r="N1272" s="616" t="s">
        <v>1942</v>
      </c>
      <c r="O1272" s="639"/>
      <c r="P1272" s="638" t="s">
        <v>2753</v>
      </c>
      <c r="R1272" s="616" t="s">
        <v>1932</v>
      </c>
      <c r="S1272" s="615"/>
      <c r="T1272" s="616" t="s">
        <v>1933</v>
      </c>
      <c r="U1272" s="615"/>
      <c r="V1272" s="616" t="s">
        <v>1931</v>
      </c>
      <c r="X1272">
        <f>IF(APPLICATION_LVL="",0,IF(OR(APPLICATION_LVL=COV!$V$68,APPLICATION_LVL=COV!$V$67),Dictionary!Z1272,IF(APPLICATION_LVL=COV!$V$66,Dictionary!AA1272,IF(APPLICATION_LVL=COV!$V$65,IF(DOMAIN=COV!$T$72,Dictionary!AC1272,IF(DOMAIN=COV!$T$73,Dictionary!AD1272,IF(DOMAIN=COV!$T$75,Dictionary!AE1272,2))),IF(APPLICATION_LVL=COV!$V$64,IF(DOMAIN=COV!$T$72,Dictionary!AG1272,IF(DOMAIN=COV!$T$73,Dictionary!AH1272,IF(DOMAIN=COV!$T$75,Dictionary!AI1272,3))),1)))))</f>
        <v>3</v>
      </c>
      <c r="Z1272" s="1779">
        <f t="shared" si="3"/>
        <v>1</v>
      </c>
      <c r="AA1272" s="1779">
        <f t="shared" si="3"/>
        <v>2</v>
      </c>
      <c r="AB1272" s="1779"/>
      <c r="AC1272" s="1779">
        <f t="shared" si="4"/>
        <v>2</v>
      </c>
      <c r="AD1272">
        <v>2</v>
      </c>
      <c r="AE1272">
        <v>2</v>
      </c>
      <c r="AG1272" s="1779">
        <f t="shared" si="5"/>
        <v>3</v>
      </c>
      <c r="AH1272">
        <v>2</v>
      </c>
      <c r="AI1272">
        <v>3</v>
      </c>
      <c r="AK1272">
        <v>1</v>
      </c>
      <c r="AL1272">
        <v>2</v>
      </c>
      <c r="AN1272">
        <v>2</v>
      </c>
      <c r="AP1272">
        <v>3</v>
      </c>
      <c r="AR1272">
        <v>2</v>
      </c>
      <c r="AS1272">
        <v>3</v>
      </c>
      <c r="AU1272">
        <v>4</v>
      </c>
      <c r="AW1272">
        <v>6</v>
      </c>
    </row>
    <row r="1273" spans="2:49" ht="48">
      <c r="B1273" s="616" t="str">
        <f>IF(FORM_LANGUAGE=GER,Dictionary!G1273,Dictionary!E1273)</f>
        <v>Die Grundlagen des Programmmanagements und deren Einführung kennen</v>
      </c>
      <c r="E1273" s="616" t="str">
        <f>IF(DOMAIN=COV!$T$72,Dictionary!L1273,IF(DOMAIN=COV!$T$73,Dictionary!N1273,IF(DOMAIN=COV!$T$74,Dictionary!P1273,Dictionary!L1273)))</f>
        <v>Know the principles of programme management and the way they are implemented</v>
      </c>
      <c r="F1273" s="616"/>
      <c r="G1273" s="616" t="str">
        <f>IF(DOMAIN=COV!$T$72,Dictionary!R1273,IF(DOMAIN=COV!$T$73,Dictionary!T1273,IF(DOMAIN=COV!$T$74,Dictionary!V1273,Dictionary!R1273)))</f>
        <v>Die Grundlagen des Programmmanagements und deren Einführung kennen</v>
      </c>
      <c r="I1273" s="615" t="s">
        <v>1934</v>
      </c>
      <c r="J1273" s="615" t="s">
        <v>1736</v>
      </c>
      <c r="L1273" s="616" t="s">
        <v>518</v>
      </c>
      <c r="N1273" s="648" t="s">
        <v>1943</v>
      </c>
      <c r="O1273" s="639"/>
      <c r="P1273" s="638" t="s">
        <v>2754</v>
      </c>
      <c r="R1273" s="645" t="s">
        <v>1941</v>
      </c>
      <c r="T1273" s="645" t="s">
        <v>2039</v>
      </c>
      <c r="V1273" s="645" t="s">
        <v>1938</v>
      </c>
      <c r="X1273">
        <f>IF(APPLICATION_LVL="",0,IF(OR(APPLICATION_LVL=COV!$V$68,APPLICATION_LVL=COV!$V$67),Dictionary!Z1273,IF(APPLICATION_LVL=COV!$V$66,Dictionary!AA1273,IF(APPLICATION_LVL=COV!$V$65,IF(DOMAIN=COV!$T$72,Dictionary!AC1273,IF(DOMAIN=COV!$T$73,Dictionary!AD1273,IF(DOMAIN=COV!$T$75,Dictionary!AE1273,2))),IF(APPLICATION_LVL=COV!$V$64,IF(DOMAIN=COV!$T$72,Dictionary!AG1273,IF(DOMAIN=COV!$T$73,Dictionary!AH1273,IF(DOMAIN=COV!$T$75,Dictionary!AI1273,3))),1)))))</f>
        <v>1</v>
      </c>
      <c r="Z1273" s="1779">
        <f t="shared" si="3"/>
        <v>1</v>
      </c>
      <c r="AA1273" s="1779">
        <f t="shared" si="3"/>
        <v>1</v>
      </c>
      <c r="AB1273" s="1779"/>
      <c r="AC1273" s="1779">
        <f t="shared" si="4"/>
        <v>1</v>
      </c>
      <c r="AD1273">
        <v>2</v>
      </c>
      <c r="AE1273">
        <v>2</v>
      </c>
      <c r="AG1273" s="1779">
        <f t="shared" si="5"/>
        <v>1</v>
      </c>
      <c r="AH1273">
        <v>2</v>
      </c>
      <c r="AI1273">
        <v>2</v>
      </c>
      <c r="AK1273">
        <v>1</v>
      </c>
      <c r="AL1273">
        <v>1</v>
      </c>
      <c r="AN1273">
        <v>1</v>
      </c>
      <c r="AP1273">
        <v>1</v>
      </c>
      <c r="AR1273">
        <v>0</v>
      </c>
      <c r="AS1273">
        <v>2</v>
      </c>
      <c r="AU1273">
        <v>2</v>
      </c>
      <c r="AW1273">
        <v>2</v>
      </c>
    </row>
    <row r="1274" spans="2:49" ht="48">
      <c r="B1274" s="616" t="str">
        <f>IF(FORM_LANGUAGE=GER,Dictionary!G1274,Dictionary!E1274)</f>
        <v>Die Grundlagen des Portfoliomanagements und deren Einführung kennen</v>
      </c>
      <c r="E1274" s="616" t="str">
        <f>IF(DOMAIN=COV!$T$72,Dictionary!L1274,IF(DOMAIN=COV!$T$73,Dictionary!N1274,IF(DOMAIN=COV!$T$74,Dictionary!P1274,Dictionary!L1274)))</f>
        <v>Know the principles of project protfolio management and the way they are implemented</v>
      </c>
      <c r="F1274" s="616"/>
      <c r="G1274" s="616" t="str">
        <f>IF(DOMAIN=COV!$T$72,Dictionary!R1274,IF(DOMAIN=COV!$T$73,Dictionary!T1274,IF(DOMAIN=COV!$T$74,Dictionary!V1274,Dictionary!R1274)))</f>
        <v>Die Grundlagen des Portfoliomanagements und deren Einführung kennen</v>
      </c>
      <c r="I1274" s="615" t="s">
        <v>1935</v>
      </c>
      <c r="J1274" s="615" t="s">
        <v>1737</v>
      </c>
      <c r="L1274" s="616" t="s">
        <v>520</v>
      </c>
      <c r="N1274" s="616" t="s">
        <v>520</v>
      </c>
      <c r="O1274" s="639"/>
      <c r="P1274" s="638" t="s">
        <v>2755</v>
      </c>
      <c r="R1274" t="s">
        <v>1940</v>
      </c>
      <c r="T1274" s="645" t="s">
        <v>1940</v>
      </c>
      <c r="V1274" s="645" t="s">
        <v>1939</v>
      </c>
      <c r="X1274">
        <f>IF(APPLICATION_LVL="",0,IF(OR(APPLICATION_LVL=COV!$V$68,APPLICATION_LVL=COV!$V$67),Dictionary!Z1274,IF(APPLICATION_LVL=COV!$V$66,Dictionary!AA1274,IF(APPLICATION_LVL=COV!$V$65,IF(DOMAIN=COV!$T$72,Dictionary!AC1274,IF(DOMAIN=COV!$T$73,Dictionary!AD1274,IF(DOMAIN=COV!$T$75,Dictionary!AE1274,2))),IF(APPLICATION_LVL=COV!$V$64,IF(DOMAIN=COV!$T$72,Dictionary!AG1274,IF(DOMAIN=COV!$T$73,Dictionary!AH1274,IF(DOMAIN=COV!$T$75,Dictionary!AI1274,3))),1)))))</f>
        <v>2</v>
      </c>
      <c r="Z1274" s="1779">
        <f t="shared" si="3"/>
        <v>1</v>
      </c>
      <c r="AA1274" s="1779">
        <f t="shared" si="3"/>
        <v>1</v>
      </c>
      <c r="AB1274" s="1779"/>
      <c r="AC1274" s="1779">
        <f t="shared" si="4"/>
        <v>1</v>
      </c>
      <c r="AD1274">
        <v>1</v>
      </c>
      <c r="AE1274">
        <v>2</v>
      </c>
      <c r="AG1274" s="1779">
        <f t="shared" si="5"/>
        <v>2</v>
      </c>
      <c r="AH1274">
        <v>2</v>
      </c>
      <c r="AI1274">
        <v>3</v>
      </c>
      <c r="AK1274">
        <v>1</v>
      </c>
      <c r="AL1274">
        <v>1</v>
      </c>
      <c r="AN1274">
        <v>1</v>
      </c>
      <c r="AP1274">
        <v>2</v>
      </c>
      <c r="AR1274">
        <v>1</v>
      </c>
      <c r="AS1274">
        <v>2</v>
      </c>
      <c r="AU1274">
        <v>2</v>
      </c>
      <c r="AW1274">
        <v>2</v>
      </c>
    </row>
    <row r="1275" spans="2:49" ht="32">
      <c r="B1275" s="616" t="str">
        <f>IF(FORM_LANGUAGE=GER,Dictionary!G1275,Dictionary!E1275)</f>
        <v>Das Projekt mit den Supportfunktionen in Einklang bringen</v>
      </c>
      <c r="E1275" s="616" t="str">
        <f>IF(DOMAIN=COV!$T$72,Dictionary!L1275,IF(DOMAIN=COV!$T$73,Dictionary!N1275,IF(DOMAIN=COV!$T$74,Dictionary!P1275,Dictionary!L1275)))</f>
        <v>Align the project with the project supporting function</v>
      </c>
      <c r="F1275" s="616"/>
      <c r="G1275" s="616" t="str">
        <f>IF(DOMAIN=COV!$T$72,Dictionary!R1275,IF(DOMAIN=COV!$T$73,Dictionary!T1275,IF(DOMAIN=COV!$T$74,Dictionary!V1275,Dictionary!R1275)))</f>
        <v>Das Projekt mit den Supportfunktionen in Einklang bringen</v>
      </c>
      <c r="I1275" s="615" t="s">
        <v>1603</v>
      </c>
      <c r="J1275" s="615" t="s">
        <v>1738</v>
      </c>
      <c r="L1275" s="616" t="s">
        <v>467</v>
      </c>
      <c r="N1275" s="616" t="s">
        <v>1944</v>
      </c>
      <c r="O1275" s="639"/>
      <c r="P1275" s="638" t="s">
        <v>2756</v>
      </c>
      <c r="R1275" s="616" t="s">
        <v>1339</v>
      </c>
      <c r="S1275" s="615"/>
      <c r="T1275" s="616" t="s">
        <v>1340</v>
      </c>
      <c r="U1275" s="615"/>
      <c r="V1275" s="616" t="s">
        <v>1605</v>
      </c>
      <c r="X1275">
        <f>IF(APPLICATION_LVL="",0,IF(OR(APPLICATION_LVL=COV!$V$68,APPLICATION_LVL=COV!$V$67),Dictionary!Z1275,IF(APPLICATION_LVL=COV!$V$66,Dictionary!AA1275,IF(APPLICATION_LVL=COV!$V$65,IF(DOMAIN=COV!$T$72,Dictionary!AC1275,IF(DOMAIN=COV!$T$73,Dictionary!AD1275,IF(DOMAIN=COV!$T$75,Dictionary!AE1275,2))),IF(APPLICATION_LVL=COV!$V$64,IF(DOMAIN=COV!$T$72,Dictionary!AG1275,IF(DOMAIN=COV!$T$73,Dictionary!AH1275,IF(DOMAIN=COV!$T$75,Dictionary!AI1275,3))),1)))))</f>
        <v>3</v>
      </c>
      <c r="Z1275" s="1779">
        <f t="shared" si="3"/>
        <v>1</v>
      </c>
      <c r="AA1275" s="1779">
        <f t="shared" si="3"/>
        <v>2</v>
      </c>
      <c r="AB1275" s="1779"/>
      <c r="AC1275" s="1779">
        <f t="shared" si="4"/>
        <v>2</v>
      </c>
      <c r="AD1275">
        <v>2</v>
      </c>
      <c r="AE1275">
        <v>2</v>
      </c>
      <c r="AG1275" s="1779">
        <f t="shared" si="5"/>
        <v>3</v>
      </c>
      <c r="AH1275">
        <v>3</v>
      </c>
      <c r="AI1275">
        <v>2</v>
      </c>
      <c r="AK1275">
        <v>1</v>
      </c>
      <c r="AL1275">
        <v>2</v>
      </c>
      <c r="AN1275">
        <v>2</v>
      </c>
      <c r="AP1275">
        <v>3</v>
      </c>
      <c r="AR1275">
        <v>1</v>
      </c>
      <c r="AS1275">
        <v>3</v>
      </c>
      <c r="AU1275">
        <v>4</v>
      </c>
      <c r="AW1275">
        <v>6</v>
      </c>
    </row>
    <row r="1276" spans="2:49" ht="64">
      <c r="B1276" s="616" t="str">
        <f>IF(FORM_LANGUAGE=GER,Dictionary!G1276,Dictionary!E1276)</f>
        <v>Das Projekt mit den Entscheidungs- und Berichterstattungsstrukturen sowie den Qualitätsanforderungen der Organisation in Einklang bringen</v>
      </c>
      <c r="E1276" s="616" t="str">
        <f>IF(DOMAIN=COV!$T$72,Dictionary!L1276,IF(DOMAIN=COV!$T$73,Dictionary!N1276,IF(DOMAIN=COV!$T$74,Dictionary!P1276,Dictionary!L1276)))</f>
        <v>Align the project with the organization's decision making, reporting structures, and quality requirements</v>
      </c>
      <c r="F1276" s="616"/>
      <c r="G1276" s="616" t="str">
        <f>IF(DOMAIN=COV!$T$72,Dictionary!R1276,IF(DOMAIN=COV!$T$73,Dictionary!T1276,IF(DOMAIN=COV!$T$74,Dictionary!V1276,Dictionary!R1276)))</f>
        <v>Das Projekt mit den Entscheidungs- und Berichterstattungsstrukturen sowie den Qualitätsanforderungen der Organisation in Einklang bringen</v>
      </c>
      <c r="I1276" s="615" t="s">
        <v>1604</v>
      </c>
      <c r="J1276" s="615" t="s">
        <v>1739</v>
      </c>
      <c r="L1276" s="616" t="s">
        <v>466</v>
      </c>
      <c r="N1276" s="616" t="s">
        <v>1945</v>
      </c>
      <c r="O1276" s="639"/>
      <c r="P1276" s="638" t="s">
        <v>2757</v>
      </c>
      <c r="R1276" s="616" t="s">
        <v>1341</v>
      </c>
      <c r="S1276" s="615"/>
      <c r="T1276" s="616" t="s">
        <v>1342</v>
      </c>
      <c r="U1276" s="615"/>
      <c r="V1276" s="616" t="s">
        <v>1343</v>
      </c>
      <c r="X1276">
        <f>IF(APPLICATION_LVL="",0,IF(OR(APPLICATION_LVL=COV!$V$68,APPLICATION_LVL=COV!$V$67),Dictionary!Z1276,IF(APPLICATION_LVL=COV!$V$66,Dictionary!AA1276,IF(APPLICATION_LVL=COV!$V$65,IF(DOMAIN=COV!$T$72,Dictionary!AC1276,IF(DOMAIN=COV!$T$73,Dictionary!AD1276,IF(DOMAIN=COV!$T$75,Dictionary!AE1276,2))),IF(APPLICATION_LVL=COV!$V$64,IF(DOMAIN=COV!$T$72,Dictionary!AG1276,IF(DOMAIN=COV!$T$73,Dictionary!AH1276,IF(DOMAIN=COV!$T$75,Dictionary!AI1276,3))),1)))))</f>
        <v>3</v>
      </c>
      <c r="Z1276" s="1779">
        <f t="shared" si="3"/>
        <v>1</v>
      </c>
      <c r="AA1276" s="1779">
        <f t="shared" si="3"/>
        <v>2</v>
      </c>
      <c r="AB1276" s="1779"/>
      <c r="AC1276" s="1779">
        <f t="shared" si="4"/>
        <v>2</v>
      </c>
      <c r="AD1276">
        <v>2</v>
      </c>
      <c r="AE1276">
        <v>2</v>
      </c>
      <c r="AG1276" s="1779">
        <f t="shared" si="5"/>
        <v>3</v>
      </c>
      <c r="AH1276">
        <v>3</v>
      </c>
      <c r="AI1276">
        <v>3</v>
      </c>
      <c r="AK1276">
        <v>1</v>
      </c>
      <c r="AL1276">
        <v>2</v>
      </c>
      <c r="AN1276">
        <v>2</v>
      </c>
      <c r="AP1276">
        <v>3</v>
      </c>
      <c r="AR1276">
        <v>1</v>
      </c>
      <c r="AS1276">
        <v>3</v>
      </c>
      <c r="AU1276">
        <v>4</v>
      </c>
      <c r="AW1276">
        <v>6</v>
      </c>
    </row>
    <row r="1277" spans="2:49" ht="32">
      <c r="B1277" s="616" t="str">
        <f>IF(FORM_LANGUAGE=GER,Dictionary!G1277,Dictionary!E1277)</f>
        <v>Das Projekt mit den Prozessen und Funktionen des HR (Personalwesens) in Einklang bringen</v>
      </c>
      <c r="E1277" s="616" t="str">
        <f>IF(DOMAIN=COV!$T$72,IF(Dictionary!L1277="","",Dictionary!L1277),IF(DOMAIN=COV!$T$73,IF(Dictionary!N1277="","",Dictionary!N1277),IF(DOMAIN=COV!$T$74,IF(Dictionary!P1277="","",Dictionary!P1277),IF(Dictionary!L1277="","",Dictionary!L1277))))</f>
        <v>Align the project with the organization's human resource processes and functions</v>
      </c>
      <c r="F1277" s="616"/>
      <c r="G1277" s="616" t="str">
        <f>IF(DOMAIN=COV!$T$72,IF(Dictionary!R1277="","",Dictionary!R1277),IF(DOMAIN=COV!$T$73,IF(Dictionary!T1277="","",Dictionary!T1277),IF(DOMAIN=COV!$T$74,IF(Dictionary!V1277="","",Dictionary!V1277),IF(Dictionary!R1277="","",Dictionary!R1277))))</f>
        <v>Das Projekt mit den Prozessen und Funktionen des HR (Personalwesens) in Einklang bringen</v>
      </c>
      <c r="I1277" s="615" t="s">
        <v>1606</v>
      </c>
      <c r="J1277" s="615" t="s">
        <v>1936</v>
      </c>
      <c r="L1277" s="616" t="s">
        <v>465</v>
      </c>
      <c r="N1277" s="616" t="s">
        <v>1946</v>
      </c>
      <c r="O1277" s="639"/>
      <c r="P1277" s="638"/>
      <c r="R1277" s="616" t="s">
        <v>1344</v>
      </c>
      <c r="S1277" s="615"/>
      <c r="T1277" s="616" t="s">
        <v>1345</v>
      </c>
      <c r="U1277" s="615"/>
      <c r="V1277" s="616"/>
      <c r="X1277">
        <f>IF(APPLICATION_LVL="",0,IF(OR(APPLICATION_LVL=COV!$V$68,APPLICATION_LVL=COV!$V$67),Dictionary!Z1277,IF(APPLICATION_LVL=COV!$V$66,Dictionary!AA1277,IF(APPLICATION_LVL=COV!$V$65,IF(DOMAIN=COV!$T$72,Dictionary!AC1277,IF(DOMAIN=COV!$T$73,Dictionary!AD1277,IF(DOMAIN=COV!$T$75,Dictionary!AE1277,2))),IF(APPLICATION_LVL=COV!$V$64,IF(DOMAIN=COV!$T$72,Dictionary!AG1277,IF(DOMAIN=COV!$T$73,Dictionary!AH1277,IF(DOMAIN=COV!$T$75,Dictionary!AI1277,3))),1)))))</f>
        <v>2</v>
      </c>
      <c r="Z1277" s="1779">
        <f t="shared" si="3"/>
        <v>0</v>
      </c>
      <c r="AA1277" s="1779">
        <f t="shared" si="3"/>
        <v>1</v>
      </c>
      <c r="AB1277" s="1779"/>
      <c r="AC1277" s="1779">
        <f t="shared" si="4"/>
        <v>2</v>
      </c>
      <c r="AD1277">
        <v>2</v>
      </c>
      <c r="AG1277" s="1779">
        <f t="shared" si="5"/>
        <v>2</v>
      </c>
      <c r="AH1277">
        <v>2</v>
      </c>
      <c r="AK1277">
        <v>0</v>
      </c>
      <c r="AL1277">
        <v>1</v>
      </c>
      <c r="AN1277">
        <v>2</v>
      </c>
      <c r="AP1277">
        <v>2</v>
      </c>
      <c r="AR1277">
        <v>0</v>
      </c>
      <c r="AS1277">
        <v>2</v>
      </c>
      <c r="AU1277">
        <v>4</v>
      </c>
      <c r="AW1277">
        <v>4</v>
      </c>
    </row>
    <row r="1278" spans="2:49" ht="32">
      <c r="B1278" s="616" t="str">
        <f>IF(FORM_LANGUAGE=GER,Dictionary!G1278,Dictionary!E1278)</f>
        <v>Das Projekt mit den Finanz- und Controlling-Prozessen in Einklang bringen</v>
      </c>
      <c r="E1278" s="616" t="str">
        <f>IF(DOMAIN=COV!$T$72,IF(Dictionary!L1278="","",Dictionary!L1278),IF(DOMAIN=COV!$T$73,IF(Dictionary!N1278="","",Dictionary!N1278),IF(DOMAIN=COV!$T$74,IF(Dictionary!P1278="","",Dictionary!P1278),IF(Dictionary!L1278="","",Dictionary!L1278))))</f>
        <v>Align the project with the organization's finance and control processes and functions</v>
      </c>
      <c r="F1278" s="616"/>
      <c r="G1278" s="616" t="str">
        <f>IF(DOMAIN=COV!$T$72,IF(Dictionary!R1278="","",Dictionary!R1278),IF(DOMAIN=COV!$T$73,IF(Dictionary!T1278="","",Dictionary!T1278),IF(DOMAIN=COV!$T$74,IF(Dictionary!V1278="","",Dictionary!V1278),IF(Dictionary!R1278="","",Dictionary!R1278))))</f>
        <v>Das Projekt mit den Finanz- und Controlling-Prozessen in Einklang bringen</v>
      </c>
      <c r="I1278" s="615" t="s">
        <v>1607</v>
      </c>
      <c r="J1278" s="615" t="s">
        <v>1937</v>
      </c>
      <c r="L1278" s="616" t="s">
        <v>464</v>
      </c>
      <c r="N1278" s="616" t="s">
        <v>1947</v>
      </c>
      <c r="O1278" s="639"/>
      <c r="P1278" s="638"/>
      <c r="R1278" s="616" t="s">
        <v>1346</v>
      </c>
      <c r="S1278" s="615"/>
      <c r="T1278" s="616" t="s">
        <v>1347</v>
      </c>
      <c r="U1278" s="615"/>
      <c r="V1278" s="616"/>
      <c r="X1278">
        <f>IF(APPLICATION_LVL="",0,IF(OR(APPLICATION_LVL=COV!$V$68,APPLICATION_LVL=COV!$V$67),Dictionary!Z1278,IF(APPLICATION_LVL=COV!$V$66,Dictionary!AA1278,IF(APPLICATION_LVL=COV!$V$65,IF(DOMAIN=COV!$T$72,Dictionary!AC1278,IF(DOMAIN=COV!$T$73,Dictionary!AD1278,IF(DOMAIN=COV!$T$75,Dictionary!AE1278,2))),IF(APPLICATION_LVL=COV!$V$64,IF(DOMAIN=COV!$T$72,Dictionary!AG1278,IF(DOMAIN=COV!$T$73,Dictionary!AH1278,IF(DOMAIN=COV!$T$75,Dictionary!AI1278,3))),1)))))</f>
        <v>3</v>
      </c>
      <c r="Z1278" s="1779">
        <f t="shared" si="3"/>
        <v>1</v>
      </c>
      <c r="AA1278" s="1779">
        <f t="shared" si="3"/>
        <v>2</v>
      </c>
      <c r="AB1278" s="1779"/>
      <c r="AC1278" s="1779">
        <f t="shared" si="4"/>
        <v>2</v>
      </c>
      <c r="AD1278">
        <v>2</v>
      </c>
      <c r="AG1278" s="1779">
        <f t="shared" si="5"/>
        <v>3</v>
      </c>
      <c r="AH1278">
        <v>3</v>
      </c>
      <c r="AK1278">
        <v>1</v>
      </c>
      <c r="AL1278">
        <v>2</v>
      </c>
      <c r="AN1278">
        <v>2</v>
      </c>
      <c r="AP1278">
        <v>3</v>
      </c>
      <c r="AR1278">
        <v>1</v>
      </c>
      <c r="AS1278">
        <v>3</v>
      </c>
      <c r="AU1278">
        <v>4</v>
      </c>
      <c r="AW1278">
        <v>6</v>
      </c>
    </row>
    <row r="1279" spans="2:49">
      <c r="R1279" s="616"/>
      <c r="S1279" s="615"/>
      <c r="T1279" s="616"/>
      <c r="U1279" s="615"/>
      <c r="V1279" s="616"/>
    </row>
    <row r="1280" spans="2:49" ht="29" customHeight="1">
      <c r="B1280" s="649" t="str">
        <f>IF(FORM_LANGUAGE=GER,Dictionary!G1280,Dictionary!E1280)</f>
        <v>Compliance, Standards und Regularien</v>
      </c>
      <c r="C1280" s="650"/>
      <c r="D1280" s="650"/>
      <c r="E1280" s="649" t="s">
        <v>255</v>
      </c>
      <c r="F1280" s="649"/>
      <c r="G1280" s="649" t="s">
        <v>1192</v>
      </c>
      <c r="H1280" s="74"/>
      <c r="I1280" s="651" t="s">
        <v>463</v>
      </c>
      <c r="J1280" s="650" t="s">
        <v>1740</v>
      </c>
      <c r="K1280" s="650"/>
      <c r="L1280" s="649"/>
      <c r="M1280" s="650"/>
      <c r="N1280" s="649"/>
      <c r="O1280" s="650"/>
      <c r="P1280" s="649"/>
      <c r="Q1280" s="74"/>
      <c r="R1280" s="649"/>
      <c r="S1280" s="650"/>
      <c r="T1280" s="649"/>
      <c r="U1280" s="650"/>
      <c r="V1280" s="649"/>
      <c r="X1280">
        <f>IF(APPLICATION_LVL="",0,IF(OR(APPLICATION_LVL=COV!$V$68,APPLICATION_LVL=COV!$V$67),Dictionary!Z1280,IF(APPLICATION_LVL=COV!$V$66,Dictionary!AA1280,IF(APPLICATION_LVL=COV!$V$65,IF(DOMAIN=COV!$T$72,Dictionary!AC1280,IF(DOMAIN=COV!$T$73,Dictionary!AD1280,IF(DOMAIN=COV!$T$75,Dictionary!AE1280,2))),IF(APPLICATION_LVL=COV!$V$64,IF(DOMAIN=COV!$T$72,Dictionary!AG1280,IF(DOMAIN=COV!$T$73,Dictionary!AH1280,IF(DOMAIN=COV!$T$75,Dictionary!AI1280,3))),1)))))</f>
        <v>2</v>
      </c>
      <c r="Z1280" s="1779">
        <f t="shared" ref="Z1280:AA1286" si="6">IF(GC_Flag="",AK1280,AR1280)</f>
        <v>1</v>
      </c>
      <c r="AA1280" s="1779">
        <f t="shared" si="6"/>
        <v>1</v>
      </c>
      <c r="AB1280" s="1779"/>
      <c r="AC1280" s="1779">
        <f t="shared" ref="AC1280:AC1286" si="7">IF(GC_Flag="",AN1280,AU1280)</f>
        <v>2</v>
      </c>
      <c r="AD1280">
        <v>2</v>
      </c>
      <c r="AE1280">
        <v>3</v>
      </c>
      <c r="AG1280" s="1779">
        <f t="shared" ref="AG1280:AG1286" si="8">IF(GC_Flag="",AP1280,AW1280)</f>
        <v>2</v>
      </c>
      <c r="AH1280">
        <v>3</v>
      </c>
      <c r="AI1280">
        <v>3</v>
      </c>
      <c r="AK1280">
        <v>1</v>
      </c>
      <c r="AL1280">
        <v>1</v>
      </c>
      <c r="AN1280">
        <v>2</v>
      </c>
      <c r="AP1280">
        <v>2</v>
      </c>
      <c r="AR1280">
        <v>2</v>
      </c>
      <c r="AS1280">
        <v>2</v>
      </c>
      <c r="AU1280">
        <v>4</v>
      </c>
      <c r="AW1280">
        <v>4</v>
      </c>
    </row>
    <row r="1281" spans="2:49" ht="32">
      <c r="B1281" s="616" t="str">
        <f>IF(FORM_LANGUAGE=GER,Dictionary!G1281,Dictionary!E1281)</f>
        <v>Die für das Projekt und dessen Komponenten gültigen Rechtsvorschriften identifizieren und einhalten</v>
      </c>
      <c r="E1281" s="616" t="str">
        <f>IF(DOMAIN=COV!$T$72,Dictionary!L1281,IF(DOMAIN=COV!$T$73,Dictionary!N1281,IF(DOMAIN=COV!$T$74,Dictionary!P1281,Dictionary!L1281)))</f>
        <v>Identify, and ensure that the project complies with, all relevant legislation</v>
      </c>
      <c r="F1281" s="616"/>
      <c r="G1281" s="616" t="str">
        <f>IF(DOMAIN=COV!$T$72,Dictionary!R1281,IF(DOMAIN=COV!$T$73,Dictionary!T1281,IF(DOMAIN=COV!$T$74,Dictionary!V1281,Dictionary!R1281)))</f>
        <v>Die für das Projekt und dessen Komponenten gültigen Rechtsvorschriften identifizieren und einhalten</v>
      </c>
      <c r="I1281" s="615" t="s">
        <v>1608</v>
      </c>
      <c r="J1281" s="615" t="s">
        <v>1741</v>
      </c>
      <c r="L1281" s="616" t="s">
        <v>462</v>
      </c>
      <c r="N1281" s="616" t="s">
        <v>1948</v>
      </c>
      <c r="O1281" s="639"/>
      <c r="P1281" s="638" t="s">
        <v>2851</v>
      </c>
      <c r="R1281" s="616" t="s">
        <v>1590</v>
      </c>
      <c r="S1281" s="615"/>
      <c r="T1281" s="616" t="s">
        <v>1348</v>
      </c>
      <c r="U1281" s="615"/>
      <c r="V1281" s="616" t="s">
        <v>1349</v>
      </c>
      <c r="X1281">
        <f>IF(APPLICATION_LVL="",0,IF(OR(APPLICATION_LVL=COV!$V$68,APPLICATION_LVL=COV!$V$67),Dictionary!Z1281,IF(APPLICATION_LVL=COV!$V$66,Dictionary!AA1281,IF(APPLICATION_LVL=COV!$V$65,IF(DOMAIN=COV!$T$72,Dictionary!AC1281,IF(DOMAIN=COV!$T$73,Dictionary!AD1281,IF(DOMAIN=COV!$T$75,Dictionary!AE1281,2))),IF(APPLICATION_LVL=COV!$V$64,IF(DOMAIN=COV!$T$72,Dictionary!AG1281,IF(DOMAIN=COV!$T$73,Dictionary!AH1281,IF(DOMAIN=COV!$T$75,Dictionary!AI1281,3))),1)))))</f>
        <v>2</v>
      </c>
      <c r="Z1281" s="1779">
        <f t="shared" si="6"/>
        <v>1</v>
      </c>
      <c r="AA1281" s="1779">
        <f t="shared" si="6"/>
        <v>1</v>
      </c>
      <c r="AB1281" s="1779"/>
      <c r="AC1281" s="1779">
        <f t="shared" si="7"/>
        <v>2</v>
      </c>
      <c r="AD1281">
        <v>2</v>
      </c>
      <c r="AE1281">
        <v>2</v>
      </c>
      <c r="AG1281" s="1779">
        <f t="shared" si="8"/>
        <v>2</v>
      </c>
      <c r="AH1281">
        <v>2</v>
      </c>
      <c r="AI1281">
        <v>2</v>
      </c>
      <c r="AK1281">
        <v>1</v>
      </c>
      <c r="AL1281">
        <v>1</v>
      </c>
      <c r="AN1281">
        <v>2</v>
      </c>
      <c r="AP1281">
        <v>2</v>
      </c>
      <c r="AR1281">
        <v>2</v>
      </c>
      <c r="AS1281">
        <v>2</v>
      </c>
      <c r="AU1281">
        <v>4</v>
      </c>
      <c r="AW1281">
        <v>4</v>
      </c>
    </row>
    <row r="1282" spans="2:49" ht="48">
      <c r="B1282" s="616" t="str">
        <f>IF(FORM_LANGUAGE=GER,Dictionary!G1282,Dictionary!E1282)</f>
        <v>Alle für das Projekt relevanten Vorschriften für Sicherheit, Gesundheit, und Umweltschutz (SGU) identifizieren und einhalten</v>
      </c>
      <c r="E1282" s="616" t="str">
        <f>IF(DOMAIN=COV!$T$72,Dictionary!L1282,IF(DOMAIN=COV!$T$73,Dictionary!N1282,IF(DOMAIN=COV!$T$74,Dictionary!P1282,Dictionary!L1282)))</f>
        <v>Identify, and ensure that the project complies with, all relevant health, safety, security, and environmental regulations (HSSE)</v>
      </c>
      <c r="F1282" s="616"/>
      <c r="G1282" s="616" t="str">
        <f>IF(DOMAIN=COV!$T$72,Dictionary!R1282,IF(DOMAIN=COV!$T$73,Dictionary!T1282,IF(DOMAIN=COV!$T$74,Dictionary!V1282,Dictionary!R1282)))</f>
        <v>Alle für das Projekt relevanten Vorschriften für Sicherheit, Gesundheit, und Umweltschutz (SGU) identifizieren und einhalten</v>
      </c>
      <c r="I1282" s="615" t="s">
        <v>1609</v>
      </c>
      <c r="J1282" s="615" t="s">
        <v>1742</v>
      </c>
      <c r="L1282" s="616" t="s">
        <v>461</v>
      </c>
      <c r="N1282" s="616" t="s">
        <v>1949</v>
      </c>
      <c r="O1282" s="639"/>
      <c r="P1282" s="638" t="s">
        <v>2852</v>
      </c>
      <c r="R1282" s="616" t="s">
        <v>1350</v>
      </c>
      <c r="S1282" s="615"/>
      <c r="T1282" s="616" t="s">
        <v>1351</v>
      </c>
      <c r="U1282" s="615"/>
      <c r="V1282" s="616" t="s">
        <v>1352</v>
      </c>
      <c r="X1282">
        <f>IF(APPLICATION_LVL="",0,IF(OR(APPLICATION_LVL=COV!$V$68,APPLICATION_LVL=COV!$V$67),Dictionary!Z1282,IF(APPLICATION_LVL=COV!$V$66,Dictionary!AA1282,IF(APPLICATION_LVL=COV!$V$65,IF(DOMAIN=COV!$T$72,Dictionary!AC1282,IF(DOMAIN=COV!$T$73,Dictionary!AD1282,IF(DOMAIN=COV!$T$75,Dictionary!AE1282,2))),IF(APPLICATION_LVL=COV!$V$64,IF(DOMAIN=COV!$T$72,Dictionary!AG1282,IF(DOMAIN=COV!$T$73,Dictionary!AH1282,IF(DOMAIN=COV!$T$75,Dictionary!AI1282,3))),1)))))</f>
        <v>2</v>
      </c>
      <c r="Z1282" s="1779">
        <f t="shared" si="6"/>
        <v>1</v>
      </c>
      <c r="AA1282" s="1779">
        <f t="shared" si="6"/>
        <v>1</v>
      </c>
      <c r="AB1282" s="1779"/>
      <c r="AC1282" s="1779">
        <f t="shared" si="7"/>
        <v>2</v>
      </c>
      <c r="AD1282">
        <v>2</v>
      </c>
      <c r="AE1282">
        <v>2</v>
      </c>
      <c r="AG1282" s="1779">
        <f t="shared" si="8"/>
        <v>2</v>
      </c>
      <c r="AH1282">
        <v>2</v>
      </c>
      <c r="AI1282">
        <v>2</v>
      </c>
      <c r="AK1282">
        <v>1</v>
      </c>
      <c r="AL1282">
        <v>1</v>
      </c>
      <c r="AN1282">
        <v>2</v>
      </c>
      <c r="AP1282">
        <v>2</v>
      </c>
      <c r="AR1282">
        <v>2</v>
      </c>
      <c r="AS1282">
        <v>2</v>
      </c>
      <c r="AU1282">
        <v>4</v>
      </c>
      <c r="AW1282">
        <v>4</v>
      </c>
    </row>
    <row r="1283" spans="2:49" ht="29" customHeight="1">
      <c r="B1283" s="616" t="str">
        <f>IF(FORM_LANGUAGE=GER,Dictionary!G1283,Dictionary!E1283)</f>
        <v>Alle für das Projekt relevanten Verhaltensregeln und Berufsvorschriften identifizieren und einhalten</v>
      </c>
      <c r="E1283" s="616" t="str">
        <f>IF(DOMAIN=COV!$T$72,Dictionary!L1283,IF(DOMAIN=COV!$T$73,Dictionary!N1283,IF(DOMAIN=COV!$T$74,Dictionary!P1283,Dictionary!L1283)))</f>
        <v>Identify, and ensure that the project complies with, all relevant codes of conduct and professional regulation</v>
      </c>
      <c r="F1283" s="616"/>
      <c r="G1283" s="616" t="str">
        <f>IF(DOMAIN=COV!$T$72,Dictionary!R1283,IF(DOMAIN=COV!$T$73,Dictionary!T1283,IF(DOMAIN=COV!$T$74,Dictionary!V1283,Dictionary!R1283)))</f>
        <v>Alle für das Projekt relevanten Verhaltensregeln und Berufsvorschriften identifizieren und einhalten</v>
      </c>
      <c r="I1283" s="615" t="s">
        <v>1610</v>
      </c>
      <c r="J1283" s="615" t="s">
        <v>1743</v>
      </c>
      <c r="L1283" s="616" t="s">
        <v>460</v>
      </c>
      <c r="N1283" s="616" t="s">
        <v>1950</v>
      </c>
      <c r="O1283" s="639"/>
      <c r="P1283" s="638" t="s">
        <v>2853</v>
      </c>
      <c r="R1283" s="616" t="s">
        <v>1353</v>
      </c>
      <c r="S1283" s="615"/>
      <c r="T1283" s="616" t="s">
        <v>1354</v>
      </c>
      <c r="U1283" s="615"/>
      <c r="V1283" s="616" t="s">
        <v>1355</v>
      </c>
      <c r="X1283">
        <f>IF(APPLICATION_LVL="",0,IF(OR(APPLICATION_LVL=COV!$V$68,APPLICATION_LVL=COV!$V$67),Dictionary!Z1283,IF(APPLICATION_LVL=COV!$V$66,Dictionary!AA1283,IF(APPLICATION_LVL=COV!$V$65,IF(DOMAIN=COV!$T$72,Dictionary!AC1283,IF(DOMAIN=COV!$T$73,Dictionary!AD1283,IF(DOMAIN=COV!$T$75,Dictionary!AE1283,2))),IF(APPLICATION_LVL=COV!$V$64,IF(DOMAIN=COV!$T$72,Dictionary!AG1283,IF(DOMAIN=COV!$T$73,Dictionary!AH1283,IF(DOMAIN=COV!$T$75,Dictionary!AI1283,3))),1)))))</f>
        <v>2</v>
      </c>
      <c r="Z1283" s="1779">
        <f t="shared" si="6"/>
        <v>1</v>
      </c>
      <c r="AA1283" s="1779">
        <f t="shared" si="6"/>
        <v>1</v>
      </c>
      <c r="AB1283" s="1779"/>
      <c r="AC1283" s="1779">
        <f t="shared" si="7"/>
        <v>2</v>
      </c>
      <c r="AD1283">
        <v>2</v>
      </c>
      <c r="AE1283">
        <v>3</v>
      </c>
      <c r="AG1283" s="1779">
        <f t="shared" si="8"/>
        <v>2</v>
      </c>
      <c r="AH1283">
        <v>2</v>
      </c>
      <c r="AI1283">
        <v>3</v>
      </c>
      <c r="AK1283">
        <v>1</v>
      </c>
      <c r="AL1283">
        <v>1</v>
      </c>
      <c r="AN1283">
        <v>2</v>
      </c>
      <c r="AP1283">
        <v>2</v>
      </c>
      <c r="AR1283">
        <v>2</v>
      </c>
      <c r="AS1283">
        <v>2</v>
      </c>
      <c r="AU1283">
        <v>4</v>
      </c>
      <c r="AW1283">
        <v>4</v>
      </c>
    </row>
    <row r="1284" spans="2:49" ht="32">
      <c r="B1284" s="616" t="str">
        <f>IF(FORM_LANGUAGE=GER,Dictionary!G1284,Dictionary!E1284)</f>
        <v>Für das Projekt relevante Prinzipien und Ziele der Nachhaltigkeit identifizieren und einhalten</v>
      </c>
      <c r="E1284" s="616" t="str">
        <f>IF(DOMAIN=COV!$T$72,Dictionary!L1284,IF(DOMAIN=COV!$T$73,Dictionary!N1284,IF(DOMAIN=COV!$T$74,Dictionary!P1284,Dictionary!L1284)))</f>
        <v>Identify, and ensure that the project complies with, relevant sustainability principles and objectives</v>
      </c>
      <c r="F1284" s="616"/>
      <c r="G1284" s="616" t="str">
        <f>IF(DOMAIN=COV!$T$72,Dictionary!R1284,IF(DOMAIN=COV!$T$73,Dictionary!T1284,IF(DOMAIN=COV!$T$74,Dictionary!V1284,Dictionary!R1284)))</f>
        <v>Für das Projekt relevante Prinzipien und Ziele der Nachhaltigkeit identifizieren und einhalten</v>
      </c>
      <c r="I1284" s="615" t="s">
        <v>1611</v>
      </c>
      <c r="J1284" s="615" t="s">
        <v>1744</v>
      </c>
      <c r="L1284" s="616" t="s">
        <v>459</v>
      </c>
      <c r="N1284" s="616" t="s">
        <v>1951</v>
      </c>
      <c r="O1284" s="639"/>
      <c r="P1284" s="638" t="s">
        <v>2854</v>
      </c>
      <c r="R1284" s="616" t="s">
        <v>1356</v>
      </c>
      <c r="S1284" s="615"/>
      <c r="T1284" s="616" t="s">
        <v>1357</v>
      </c>
      <c r="U1284" s="615"/>
      <c r="V1284" s="616" t="s">
        <v>1358</v>
      </c>
      <c r="X1284">
        <f>IF(APPLICATION_LVL="",0,IF(OR(APPLICATION_LVL=COV!$V$68,APPLICATION_LVL=COV!$V$67),Dictionary!Z1284,IF(APPLICATION_LVL=COV!$V$66,Dictionary!AA1284,IF(APPLICATION_LVL=COV!$V$65,IF(DOMAIN=COV!$T$72,Dictionary!AC1284,IF(DOMAIN=COV!$T$73,Dictionary!AD1284,IF(DOMAIN=COV!$T$75,Dictionary!AE1284,2))),IF(APPLICATION_LVL=COV!$V$64,IF(DOMAIN=COV!$T$72,Dictionary!AG1284,IF(DOMAIN=COV!$T$73,Dictionary!AH1284,IF(DOMAIN=COV!$T$75,Dictionary!AI1284,3))),1)))))</f>
        <v>2</v>
      </c>
      <c r="Z1284" s="1779">
        <f t="shared" si="6"/>
        <v>1</v>
      </c>
      <c r="AA1284" s="1779">
        <f t="shared" si="6"/>
        <v>1</v>
      </c>
      <c r="AB1284" s="1779"/>
      <c r="AC1284" s="1779">
        <f t="shared" si="7"/>
        <v>2</v>
      </c>
      <c r="AD1284">
        <v>2</v>
      </c>
      <c r="AE1284">
        <v>2</v>
      </c>
      <c r="AG1284" s="1779">
        <f t="shared" si="8"/>
        <v>2</v>
      </c>
      <c r="AH1284">
        <v>3</v>
      </c>
      <c r="AI1284">
        <v>3</v>
      </c>
      <c r="AK1284">
        <v>1</v>
      </c>
      <c r="AL1284">
        <v>1</v>
      </c>
      <c r="AN1284">
        <v>2</v>
      </c>
      <c r="AP1284">
        <v>2</v>
      </c>
      <c r="AR1284">
        <v>1</v>
      </c>
      <c r="AS1284">
        <v>2</v>
      </c>
      <c r="AU1284">
        <v>4</v>
      </c>
      <c r="AW1284">
        <v>4</v>
      </c>
    </row>
    <row r="1285" spans="2:49" ht="29" customHeight="1">
      <c r="B1285" s="616" t="str">
        <f>IF(FORM_LANGUAGE=GER,Dictionary!G1285,Dictionary!E1285)</f>
        <v>Für das Projekt relevante fachliche Standards und Tools beurteilen, nutzen und weiterentwickeln</v>
      </c>
      <c r="E1285" s="616" t="str">
        <f>IF(DOMAIN=COV!$T$72,Dictionary!L1285,IF(DOMAIN=COV!$T$73,Dictionary!N1285,IF(DOMAIN=COV!$T$74,Dictionary!P1285,Dictionary!L1285)))</f>
        <v>Assess, use, and develop professional standards and tools for the project</v>
      </c>
      <c r="F1285" s="616"/>
      <c r="G1285" s="616" t="str">
        <f>IF(DOMAIN=COV!$T$72,Dictionary!R1285,IF(DOMAIN=COV!$T$73,Dictionary!T1285,IF(DOMAIN=COV!$T$74,Dictionary!V1285,Dictionary!R1285)))</f>
        <v>Für das Projekt relevante fachliche Standards und Tools beurteilen, nutzen und weiterentwickeln</v>
      </c>
      <c r="I1285" s="615" t="s">
        <v>1612</v>
      </c>
      <c r="J1285" s="615" t="s">
        <v>1745</v>
      </c>
      <c r="L1285" s="616" t="s">
        <v>458</v>
      </c>
      <c r="N1285" s="616" t="s">
        <v>1952</v>
      </c>
      <c r="O1285" s="639"/>
      <c r="P1285" s="638" t="s">
        <v>2855</v>
      </c>
      <c r="R1285" s="616" t="s">
        <v>1359</v>
      </c>
      <c r="S1285" s="615"/>
      <c r="T1285" s="616" t="s">
        <v>1360</v>
      </c>
      <c r="U1285" s="615"/>
      <c r="V1285" s="616" t="s">
        <v>1361</v>
      </c>
      <c r="X1285">
        <f>IF(APPLICATION_LVL="",0,IF(OR(APPLICATION_LVL=COV!$V$68,APPLICATION_LVL=COV!$V$67),Dictionary!Z1285,IF(APPLICATION_LVL=COV!$V$66,Dictionary!AA1285,IF(APPLICATION_LVL=COV!$V$65,IF(DOMAIN=COV!$T$72,Dictionary!AC1285,IF(DOMAIN=COV!$T$73,Dictionary!AD1285,IF(DOMAIN=COV!$T$75,Dictionary!AE1285,2))),IF(APPLICATION_LVL=COV!$V$64,IF(DOMAIN=COV!$T$72,Dictionary!AG1285,IF(DOMAIN=COV!$T$73,Dictionary!AH1285,IF(DOMAIN=COV!$T$75,Dictionary!AI1285,3))),1)))))</f>
        <v>1</v>
      </c>
      <c r="Z1285" s="1779">
        <f t="shared" si="6"/>
        <v>1</v>
      </c>
      <c r="AA1285" s="1779">
        <f t="shared" si="6"/>
        <v>1</v>
      </c>
      <c r="AB1285" s="1779"/>
      <c r="AC1285" s="1779">
        <f t="shared" si="7"/>
        <v>1</v>
      </c>
      <c r="AD1285">
        <v>2</v>
      </c>
      <c r="AE1285">
        <v>3</v>
      </c>
      <c r="AG1285" s="1779">
        <f t="shared" si="8"/>
        <v>1</v>
      </c>
      <c r="AH1285">
        <v>3</v>
      </c>
      <c r="AI1285">
        <v>3</v>
      </c>
      <c r="AK1285">
        <v>1</v>
      </c>
      <c r="AL1285">
        <v>1</v>
      </c>
      <c r="AN1285">
        <v>1</v>
      </c>
      <c r="AP1285">
        <v>1</v>
      </c>
      <c r="AR1285">
        <v>2</v>
      </c>
      <c r="AS1285">
        <v>2</v>
      </c>
      <c r="AU1285">
        <v>2</v>
      </c>
      <c r="AW1285">
        <v>2</v>
      </c>
    </row>
    <row r="1286" spans="2:49" ht="32">
      <c r="B1286" s="616" t="str">
        <f>IF(FORM_LANGUAGE=GER,Dictionary!G1286,Dictionary!E1286)</f>
        <v>Die Projektmanagementkompetenz der Organisation beurteilen, vergleichen und verbessern</v>
      </c>
      <c r="E1286" s="616" t="str">
        <f>IF(DOMAIN=COV!$T$72,Dictionary!L1286,IF(DOMAIN=COV!$T$73,Dictionary!N1286,IF(DOMAIN=COV!$T$74,Dictionary!P1286,Dictionary!L1286)))</f>
        <v>Assess, benchmark, and improve the organization's project management competence</v>
      </c>
      <c r="F1286" s="616"/>
      <c r="G1286" s="616" t="str">
        <f>IF(DOMAIN=COV!$T$72,Dictionary!R1286,IF(DOMAIN=COV!$T$73,Dictionary!T1286,IF(DOMAIN=COV!$T$74,Dictionary!V1286,Dictionary!R1286)))</f>
        <v>Die Projektmanagementkompetenz der Organisation beurteilen, vergleichen und verbessern</v>
      </c>
      <c r="I1286" s="615" t="s">
        <v>1613</v>
      </c>
      <c r="J1286" s="615" t="s">
        <v>1746</v>
      </c>
      <c r="L1286" s="616" t="s">
        <v>457</v>
      </c>
      <c r="N1286" s="616" t="s">
        <v>1953</v>
      </c>
      <c r="O1286" s="639"/>
      <c r="P1286" s="638" t="s">
        <v>2856</v>
      </c>
      <c r="R1286" s="645" t="s">
        <v>1362</v>
      </c>
      <c r="T1286" s="645" t="s">
        <v>1363</v>
      </c>
      <c r="V1286" s="645" t="s">
        <v>1364</v>
      </c>
      <c r="X1286">
        <f>IF(APPLICATION_LVL="",0,IF(OR(APPLICATION_LVL=COV!$V$68,APPLICATION_LVL=COV!$V$67),Dictionary!Z1286,IF(APPLICATION_LVL=COV!$V$66,Dictionary!AA1286,IF(APPLICATION_LVL=COV!$V$65,IF(DOMAIN=COV!$T$72,Dictionary!AC1286,IF(DOMAIN=COV!$T$73,Dictionary!AD1286,IF(DOMAIN=COV!$T$75,Dictionary!AE1286,2))),IF(APPLICATION_LVL=COV!$V$64,IF(DOMAIN=COV!$T$72,Dictionary!AG1286,IF(DOMAIN=COV!$T$73,Dictionary!AH1286,IF(DOMAIN=COV!$T$75,Dictionary!AI1286,3))),1)))))</f>
        <v>2</v>
      </c>
      <c r="Z1286" s="1779">
        <f t="shared" si="6"/>
        <v>0</v>
      </c>
      <c r="AA1286" s="1779">
        <f t="shared" si="6"/>
        <v>1</v>
      </c>
      <c r="AB1286" s="1779"/>
      <c r="AC1286" s="1779">
        <f t="shared" si="7"/>
        <v>2</v>
      </c>
      <c r="AD1286">
        <v>2</v>
      </c>
      <c r="AE1286">
        <v>2</v>
      </c>
      <c r="AG1286" s="1779">
        <f t="shared" si="8"/>
        <v>2</v>
      </c>
      <c r="AH1286">
        <v>3</v>
      </c>
      <c r="AI1286">
        <v>3</v>
      </c>
      <c r="AK1286">
        <v>0</v>
      </c>
      <c r="AL1286">
        <v>1</v>
      </c>
      <c r="AN1286">
        <v>2</v>
      </c>
      <c r="AP1286">
        <v>2</v>
      </c>
      <c r="AR1286">
        <v>0</v>
      </c>
      <c r="AS1286">
        <v>2</v>
      </c>
      <c r="AU1286">
        <v>4</v>
      </c>
      <c r="AW1286">
        <v>4</v>
      </c>
    </row>
    <row r="1287" spans="2:49">
      <c r="F1287" s="616"/>
      <c r="N1287" s="638"/>
      <c r="O1287" s="639"/>
      <c r="P1287" s="638"/>
    </row>
    <row r="1288" spans="2:49">
      <c r="F1288" s="638"/>
      <c r="N1288" s="638"/>
      <c r="O1288" s="639"/>
      <c r="P1288" s="638"/>
    </row>
    <row r="1289" spans="2:49" ht="29" customHeight="1">
      <c r="B1289" s="649" t="str">
        <f>IF(FORM_LANGUAGE=GER,Dictionary!G1289,Dictionary!E1289)</f>
        <v>Macht und Interessen</v>
      </c>
      <c r="C1289" s="650"/>
      <c r="D1289" s="650"/>
      <c r="E1289" s="649" t="str">
        <f>E1232</f>
        <v>Power and interest</v>
      </c>
      <c r="F1289" s="649"/>
      <c r="G1289" s="649" t="str">
        <f>G1232</f>
        <v>Macht und Interessen</v>
      </c>
      <c r="H1289" s="74"/>
      <c r="I1289" s="651" t="s">
        <v>456</v>
      </c>
      <c r="J1289" s="650" t="s">
        <v>1747</v>
      </c>
      <c r="K1289" s="650"/>
      <c r="L1289" s="649"/>
      <c r="M1289" s="650"/>
      <c r="N1289" s="652"/>
      <c r="O1289" s="653"/>
      <c r="P1289" s="652"/>
      <c r="Q1289" s="74"/>
      <c r="R1289" s="654"/>
      <c r="S1289" s="74"/>
      <c r="T1289" s="654"/>
      <c r="U1289" s="74"/>
      <c r="V1289" s="654"/>
      <c r="X1289">
        <f>IF(APPLICATION_LVL="",0,IF(OR(APPLICATION_LVL=COV!$V$68,APPLICATION_LVL=COV!$V$67),Dictionary!Z1289,IF(APPLICATION_LVL=COV!$V$66,Dictionary!AA1289,IF(APPLICATION_LVL=COV!$V$65,IF(DOMAIN=COV!$T$72,Dictionary!AC1289,IF(DOMAIN=COV!$T$73,Dictionary!AD1289,IF(DOMAIN=COV!$T$75,Dictionary!AE1289,2))),IF(APPLICATION_LVL=COV!$V$64,IF(DOMAIN=COV!$T$72,Dictionary!AG1289,IF(DOMAIN=COV!$T$73,Dictionary!AH1289,IF(DOMAIN=COV!$T$75,Dictionary!AI1289,3))),1)))))</f>
        <v>3</v>
      </c>
      <c r="Z1289" s="1779">
        <f t="shared" ref="Z1289:AA1292" si="9">IF(GC_Flag="",AK1289,AR1289)</f>
        <v>1</v>
      </c>
      <c r="AA1289" s="1779">
        <f t="shared" si="9"/>
        <v>2</v>
      </c>
      <c r="AB1289" s="1779"/>
      <c r="AC1289" s="1779">
        <f>IF(GC_Flag="",AN1289,AU1289)</f>
        <v>3</v>
      </c>
      <c r="AD1289">
        <v>3</v>
      </c>
      <c r="AE1289">
        <v>3</v>
      </c>
      <c r="AG1289" s="1779">
        <f>IF(GC_Flag="",AP1289,AW1289)</f>
        <v>3</v>
      </c>
      <c r="AH1289">
        <v>3</v>
      </c>
      <c r="AI1289">
        <v>3</v>
      </c>
      <c r="AK1289">
        <v>1</v>
      </c>
      <c r="AL1289">
        <v>2</v>
      </c>
      <c r="AN1289">
        <v>3</v>
      </c>
      <c r="AP1289">
        <v>3</v>
      </c>
      <c r="AR1289">
        <v>2</v>
      </c>
      <c r="AS1289">
        <v>3</v>
      </c>
      <c r="AU1289">
        <v>5</v>
      </c>
      <c r="AW1289">
        <v>6</v>
      </c>
    </row>
    <row r="1290" spans="2:49" ht="64">
      <c r="B1290" s="616" t="str">
        <f>IF(FORM_LANGUAGE=GER,Dictionary!G1290,Dictionary!E1290)</f>
        <v>Persönliche Ambitionen und Interessen Dritter und deren potenzielle Auswirkungen auf das Projekt beurteilen sowie diese Kenntnisse zum Nutzen des Projekts einsetzen</v>
      </c>
      <c r="E1290" s="616" t="str">
        <f>IF(DOMAIN=COV!$T$72,Dictionary!L1290,IF(DOMAIN=COV!$T$73,Dictionary!N1290,IF(DOMAIN=COV!$T$74,Dictionary!P1290,Dictionary!L1290)))</f>
        <v>Assess the personal ambitions and interests of others and the potential impact of these on the project</v>
      </c>
      <c r="F1290" s="616"/>
      <c r="G1290" s="616" t="str">
        <f>IF(DOMAIN=COV!$T$72,Dictionary!R1290,IF(DOMAIN=COV!$T$73,Dictionary!T1290,IF(DOMAIN=COV!$T$74,Dictionary!V1290,Dictionary!R1290)))</f>
        <v>Persönliche Ambitionen und Interessen Dritter und deren potenzielle Auswirkungen auf das Projekt beurteilen sowie diese Kenntnisse zum Nutzen des Projekts einsetzen</v>
      </c>
      <c r="I1290" s="615" t="s">
        <v>1614</v>
      </c>
      <c r="J1290" s="615" t="s">
        <v>1748</v>
      </c>
      <c r="L1290" s="616" t="s">
        <v>455</v>
      </c>
      <c r="N1290" s="616" t="s">
        <v>1954</v>
      </c>
      <c r="O1290" s="639"/>
      <c r="P1290" s="638" t="s">
        <v>2857</v>
      </c>
      <c r="R1290" s="645" t="s">
        <v>1365</v>
      </c>
      <c r="T1290" s="645" t="s">
        <v>1366</v>
      </c>
      <c r="V1290" s="645" t="s">
        <v>1367</v>
      </c>
      <c r="X1290">
        <f>IF(APPLICATION_LVL="",0,IF(OR(APPLICATION_LVL=COV!$V$68,APPLICATION_LVL=COV!$V$67),Dictionary!Z1290,IF(APPLICATION_LVL=COV!$V$66,Dictionary!AA1290,IF(APPLICATION_LVL=COV!$V$65,IF(DOMAIN=COV!$T$72,Dictionary!AC1290,IF(DOMAIN=COV!$T$73,Dictionary!AD1290,IF(DOMAIN=COV!$T$75,Dictionary!AE1290,2))),IF(APPLICATION_LVL=COV!$V$64,IF(DOMAIN=COV!$T$72,Dictionary!AG1290,IF(DOMAIN=COV!$T$73,Dictionary!AH1290,IF(DOMAIN=COV!$T$75,Dictionary!AI1290,3))),1)))))</f>
        <v>3</v>
      </c>
      <c r="Z1290" s="1779">
        <f t="shared" si="9"/>
        <v>1</v>
      </c>
      <c r="AA1290" s="1779">
        <f t="shared" si="9"/>
        <v>2</v>
      </c>
      <c r="AB1290" s="1779"/>
      <c r="AC1290" s="1779">
        <f>IF(GC_Flag="",AN1290,AU1290)</f>
        <v>3</v>
      </c>
      <c r="AD1290">
        <v>3</v>
      </c>
      <c r="AE1290">
        <v>3</v>
      </c>
      <c r="AG1290" s="1779">
        <f>IF(GC_Flag="",AP1290,AW1290)</f>
        <v>3</v>
      </c>
      <c r="AH1290">
        <v>3</v>
      </c>
      <c r="AI1290">
        <v>3</v>
      </c>
      <c r="AK1290">
        <v>1</v>
      </c>
      <c r="AL1290">
        <v>2</v>
      </c>
      <c r="AN1290">
        <v>3</v>
      </c>
      <c r="AP1290">
        <v>3</v>
      </c>
      <c r="AR1290">
        <v>2</v>
      </c>
      <c r="AS1290">
        <v>3</v>
      </c>
      <c r="AU1290">
        <v>5</v>
      </c>
      <c r="AW1290">
        <v>6</v>
      </c>
    </row>
    <row r="1291" spans="2:49" ht="64">
      <c r="B1291" s="616" t="str">
        <f>IF(FORM_LANGUAGE=GER,Dictionary!G1291,Dictionary!E1291)</f>
        <v>Informellen Einfluss von Einzelpersonen und Personengruppen und deren potenzielle Auswirkungen auf das Projekt beurteilen sowie diese Kenntnisse zum Nutzen des Projekts verwenden</v>
      </c>
      <c r="E1291" s="616" t="str">
        <f>IF(DOMAIN=COV!$T$72,Dictionary!L1291,IF(DOMAIN=COV!$T$73,Dictionary!N1291,IF(DOMAIN=COV!$T$74,Dictionary!P1291,Dictionary!L1291)))</f>
        <v>Assess the informal influence of individuals and groups and its potential impact on the project</v>
      </c>
      <c r="F1291" s="616"/>
      <c r="G1291" s="616" t="str">
        <f>IF(DOMAIN=COV!$T$72,Dictionary!R1291,IF(DOMAIN=COV!$T$73,Dictionary!T1291,IF(DOMAIN=COV!$T$74,Dictionary!V1291,Dictionary!R1291)))</f>
        <v>Informellen Einfluss von Einzelpersonen und Personengruppen und deren potenzielle Auswirkungen auf das Projekt beurteilen sowie diese Kenntnisse zum Nutzen des Projekts verwenden</v>
      </c>
      <c r="I1291" s="615" t="s">
        <v>1615</v>
      </c>
      <c r="J1291" s="615" t="s">
        <v>1749</v>
      </c>
      <c r="L1291" s="616" t="s">
        <v>454</v>
      </c>
      <c r="N1291" s="616" t="s">
        <v>1955</v>
      </c>
      <c r="O1291" s="639"/>
      <c r="P1291" s="638" t="s">
        <v>2858</v>
      </c>
      <c r="R1291" s="645" t="s">
        <v>1368</v>
      </c>
      <c r="T1291" s="645" t="s">
        <v>1369</v>
      </c>
      <c r="V1291" s="645" t="s">
        <v>1370</v>
      </c>
      <c r="X1291">
        <f>IF(APPLICATION_LVL="",0,IF(OR(APPLICATION_LVL=COV!$V$68,APPLICATION_LVL=COV!$V$67),Dictionary!Z1291,IF(APPLICATION_LVL=COV!$V$66,Dictionary!AA1291,IF(APPLICATION_LVL=COV!$V$65,IF(DOMAIN=COV!$T$72,Dictionary!AC1291,IF(DOMAIN=COV!$T$73,Dictionary!AD1291,IF(DOMAIN=COV!$T$75,Dictionary!AE1291,2))),IF(APPLICATION_LVL=COV!$V$64,IF(DOMAIN=COV!$T$72,Dictionary!AG1291,IF(DOMAIN=COV!$T$73,Dictionary!AH1291,IF(DOMAIN=COV!$T$75,Dictionary!AI1291,3))),1)))))</f>
        <v>3</v>
      </c>
      <c r="Z1291" s="1779">
        <f t="shared" si="9"/>
        <v>1</v>
      </c>
      <c r="AA1291" s="1779">
        <f t="shared" si="9"/>
        <v>2</v>
      </c>
      <c r="AB1291" s="1779"/>
      <c r="AC1291" s="1779">
        <f>IF(GC_Flag="",AN1291,AU1291)</f>
        <v>3</v>
      </c>
      <c r="AD1291">
        <v>3</v>
      </c>
      <c r="AE1291">
        <v>3</v>
      </c>
      <c r="AG1291" s="1779">
        <f>IF(GC_Flag="",AP1291,AW1291)</f>
        <v>3</v>
      </c>
      <c r="AH1291">
        <v>3</v>
      </c>
      <c r="AI1291">
        <v>3</v>
      </c>
      <c r="AK1291">
        <v>1</v>
      </c>
      <c r="AL1291">
        <v>2</v>
      </c>
      <c r="AN1291">
        <v>3</v>
      </c>
      <c r="AP1291">
        <v>3</v>
      </c>
      <c r="AR1291">
        <v>2</v>
      </c>
      <c r="AS1291">
        <v>3</v>
      </c>
      <c r="AU1291">
        <v>5</v>
      </c>
      <c r="AW1291">
        <v>6</v>
      </c>
    </row>
    <row r="1292" spans="2:49" ht="32">
      <c r="B1292" s="616" t="str">
        <f>IF(FORM_LANGUAGE=GER,Dictionary!G1292,Dictionary!E1292)</f>
        <v>Persönlichkeiten und Arbeitsstile Dritter beurteilen und zum Nutzen des Projekts einsetzen</v>
      </c>
      <c r="E1292" s="616" t="str">
        <f>IF(DOMAIN=COV!$T$72,Dictionary!L1292,IF(DOMAIN=COV!$T$73,Dictionary!N1292,IF(DOMAIN=COV!$T$74,Dictionary!P1292,Dictionary!L1292)))</f>
        <v>Assess the personalities and working styles of others and employ them to the benefit of the project</v>
      </c>
      <c r="F1292" s="616"/>
      <c r="G1292" s="616" t="str">
        <f>IF(DOMAIN=COV!$T$72,Dictionary!R1292,IF(DOMAIN=COV!$T$73,Dictionary!T1292,IF(DOMAIN=COV!$T$74,Dictionary!V1292,Dictionary!R1292)))</f>
        <v>Persönlichkeiten und Arbeitsstile Dritter beurteilen und zum Nutzen des Projekts einsetzen</v>
      </c>
      <c r="I1292" s="615" t="s">
        <v>1616</v>
      </c>
      <c r="J1292" s="615" t="s">
        <v>1750</v>
      </c>
      <c r="L1292" s="616" t="s">
        <v>453</v>
      </c>
      <c r="N1292" s="616" t="s">
        <v>1956</v>
      </c>
      <c r="O1292" s="639"/>
      <c r="P1292" s="638" t="s">
        <v>2859</v>
      </c>
      <c r="R1292" s="645" t="s">
        <v>1371</v>
      </c>
      <c r="T1292" s="645" t="s">
        <v>1372</v>
      </c>
      <c r="V1292" s="645" t="s">
        <v>1373</v>
      </c>
      <c r="X1292">
        <f>IF(APPLICATION_LVL="",0,IF(OR(APPLICATION_LVL=COV!$V$68,APPLICATION_LVL=COV!$V$67),Dictionary!Z1292,IF(APPLICATION_LVL=COV!$V$66,Dictionary!AA1292,IF(APPLICATION_LVL=COV!$V$65,IF(DOMAIN=COV!$T$72,Dictionary!AC1292,IF(DOMAIN=COV!$T$73,Dictionary!AD1292,IF(DOMAIN=COV!$T$75,Dictionary!AE1292,2))),IF(APPLICATION_LVL=COV!$V$64,IF(DOMAIN=COV!$T$72,Dictionary!AG1292,IF(DOMAIN=COV!$T$73,Dictionary!AH1292,IF(DOMAIN=COV!$T$75,Dictionary!AI1292,3))),1)))))</f>
        <v>3</v>
      </c>
      <c r="Z1292" s="1779">
        <f t="shared" si="9"/>
        <v>0</v>
      </c>
      <c r="AA1292" s="1779">
        <f t="shared" si="9"/>
        <v>2</v>
      </c>
      <c r="AB1292" s="1779"/>
      <c r="AC1292" s="1779">
        <f>IF(GC_Flag="",AN1292,AU1292)</f>
        <v>2</v>
      </c>
      <c r="AD1292">
        <v>2</v>
      </c>
      <c r="AE1292">
        <v>2</v>
      </c>
      <c r="AG1292" s="1779">
        <f>IF(GC_Flag="",AP1292,AW1292)</f>
        <v>3</v>
      </c>
      <c r="AH1292">
        <v>3</v>
      </c>
      <c r="AI1292">
        <v>3</v>
      </c>
      <c r="AK1292">
        <v>0</v>
      </c>
      <c r="AL1292">
        <v>2</v>
      </c>
      <c r="AN1292">
        <v>2</v>
      </c>
      <c r="AP1292">
        <v>3</v>
      </c>
      <c r="AR1292">
        <v>0</v>
      </c>
      <c r="AS1292">
        <v>3</v>
      </c>
      <c r="AU1292">
        <v>4</v>
      </c>
      <c r="AW1292">
        <v>6</v>
      </c>
    </row>
    <row r="1294" spans="2:49">
      <c r="F1294" s="638"/>
    </row>
    <row r="1295" spans="2:49" ht="29" customHeight="1">
      <c r="B1295" s="649" t="str">
        <f>IF(FORM_LANGUAGE=GER,Dictionary!G1295,Dictionary!E1295)</f>
        <v>Kultur und Werte</v>
      </c>
      <c r="C1295" s="650"/>
      <c r="D1295" s="650"/>
      <c r="E1295" s="649" t="str">
        <f>E1233</f>
        <v>Culture and values</v>
      </c>
      <c r="F1295" s="649"/>
      <c r="G1295" s="649" t="str">
        <f>G1233</f>
        <v>Kultur und Werte</v>
      </c>
      <c r="H1295" s="74"/>
      <c r="I1295" s="651" t="s">
        <v>452</v>
      </c>
      <c r="J1295" s="650" t="s">
        <v>1751</v>
      </c>
      <c r="K1295" s="650"/>
      <c r="L1295" s="649"/>
      <c r="M1295" s="650"/>
      <c r="N1295" s="649"/>
      <c r="O1295" s="650"/>
      <c r="P1295" s="649"/>
      <c r="Q1295" s="74"/>
      <c r="R1295" s="654"/>
      <c r="S1295" s="74"/>
      <c r="T1295" s="654"/>
      <c r="U1295" s="74"/>
      <c r="V1295" s="654"/>
      <c r="X1295">
        <f>IF(APPLICATION_LVL="",0,IF(OR(APPLICATION_LVL=COV!$V$68,APPLICATION_LVL=COV!$V$67),Dictionary!Z1295,IF(APPLICATION_LVL=COV!$V$66,Dictionary!AA1295,IF(APPLICATION_LVL=COV!$V$65,IF(DOMAIN=COV!$T$72,Dictionary!AC1295,IF(DOMAIN=COV!$T$73,Dictionary!AD1295,IF(DOMAIN=COV!$T$75,Dictionary!AE1295,2))),IF(APPLICATION_LVL=COV!$V$64,IF(DOMAIN=COV!$T$72,Dictionary!AG1295,IF(DOMAIN=COV!$T$73,Dictionary!AH1295,IF(DOMAIN=COV!$T$75,Dictionary!AI1295,3))),1)))))</f>
        <v>3</v>
      </c>
      <c r="Z1295" s="1779">
        <f t="shared" ref="Z1295:AA1298" si="10">IF(GC_Flag="",AK1295,AR1295)</f>
        <v>1</v>
      </c>
      <c r="AA1295" s="1779">
        <f t="shared" si="10"/>
        <v>2</v>
      </c>
      <c r="AB1295" s="1779"/>
      <c r="AC1295" s="1779">
        <f>IF(GC_Flag="",AN1295,AU1295)</f>
        <v>2</v>
      </c>
      <c r="AD1295">
        <v>2</v>
      </c>
      <c r="AE1295">
        <v>2</v>
      </c>
      <c r="AG1295" s="1779">
        <f>IF(GC_Flag="",AP1295,AW1295)</f>
        <v>3</v>
      </c>
      <c r="AH1295">
        <v>3</v>
      </c>
      <c r="AI1295">
        <v>3</v>
      </c>
      <c r="AK1295">
        <v>1</v>
      </c>
      <c r="AL1295">
        <v>2</v>
      </c>
      <c r="AN1295">
        <v>2</v>
      </c>
      <c r="AP1295">
        <v>3</v>
      </c>
      <c r="AR1295">
        <v>2</v>
      </c>
      <c r="AS1295">
        <v>3</v>
      </c>
      <c r="AU1295">
        <v>4</v>
      </c>
      <c r="AW1295">
        <v>6</v>
      </c>
    </row>
    <row r="1296" spans="2:49" ht="32">
      <c r="B1296" s="616" t="str">
        <f>IF(FORM_LANGUAGE=GER,Dictionary!G1296,Dictionary!E1296)</f>
        <v>Kultur und Werte der Gesellschaft und deren Auswirkungen auf das Projekt beurteilen</v>
      </c>
      <c r="E1296" s="616" t="str">
        <f>IF(DOMAIN=COV!$T$72,Dictionary!L1296,IF(DOMAIN=COV!$T$73,Dictionary!N1296,IF(DOMAIN=COV!$T$74,Dictionary!P1296,Dictionary!L1296)))</f>
        <v>Assess the culture and values of society and their implications for the project</v>
      </c>
      <c r="F1296" s="616"/>
      <c r="G1296" s="616" t="str">
        <f>IF(DOMAIN=COV!$T$72,Dictionary!R1296,IF(DOMAIN=COV!$T$73,Dictionary!T1296,IF(DOMAIN=COV!$T$74,Dictionary!V1296,Dictionary!R1296)))</f>
        <v>Kultur und Werte der Gesellschaft und deren Auswirkungen auf das Projekt beurteilen</v>
      </c>
      <c r="I1296" s="615" t="s">
        <v>1617</v>
      </c>
      <c r="J1296" s="615" t="s">
        <v>1752</v>
      </c>
      <c r="L1296" s="616" t="s">
        <v>451</v>
      </c>
      <c r="N1296" s="616" t="s">
        <v>1957</v>
      </c>
      <c r="O1296" s="639"/>
      <c r="P1296" s="638" t="s">
        <v>2860</v>
      </c>
      <c r="R1296" s="645" t="s">
        <v>1374</v>
      </c>
      <c r="T1296" s="645" t="s">
        <v>1375</v>
      </c>
      <c r="V1296" s="645" t="s">
        <v>1376</v>
      </c>
      <c r="X1296">
        <f>IF(APPLICATION_LVL="",0,IF(OR(APPLICATION_LVL=COV!$V$68,APPLICATION_LVL=COV!$V$67),Dictionary!Z1296,IF(APPLICATION_LVL=COV!$V$66,Dictionary!AA1296,IF(APPLICATION_LVL=COV!$V$65,IF(DOMAIN=COV!$T$72,Dictionary!AC1296,IF(DOMAIN=COV!$T$73,Dictionary!AD1296,IF(DOMAIN=COV!$T$75,Dictionary!AE1296,2))),IF(APPLICATION_LVL=COV!$V$64,IF(DOMAIN=COV!$T$72,Dictionary!AG1296,IF(DOMAIN=COV!$T$73,Dictionary!AH1296,IF(DOMAIN=COV!$T$75,Dictionary!AI1296,3))),1)))))</f>
        <v>3</v>
      </c>
      <c r="Z1296" s="1779">
        <f t="shared" si="10"/>
        <v>1</v>
      </c>
      <c r="AA1296" s="1779">
        <f t="shared" si="10"/>
        <v>2</v>
      </c>
      <c r="AB1296" s="1779"/>
      <c r="AC1296" s="1779">
        <f>IF(GC_Flag="",AN1296,AU1296)</f>
        <v>2</v>
      </c>
      <c r="AD1296">
        <v>2</v>
      </c>
      <c r="AE1296">
        <v>2</v>
      </c>
      <c r="AG1296" s="1779">
        <f>IF(GC_Flag="",AP1296,AW1296)</f>
        <v>3</v>
      </c>
      <c r="AH1296">
        <v>3</v>
      </c>
      <c r="AI1296">
        <v>3</v>
      </c>
      <c r="AK1296">
        <v>1</v>
      </c>
      <c r="AL1296">
        <v>2</v>
      </c>
      <c r="AN1296">
        <v>2</v>
      </c>
      <c r="AP1296">
        <v>3</v>
      </c>
      <c r="AR1296">
        <v>0</v>
      </c>
      <c r="AS1296">
        <v>3</v>
      </c>
      <c r="AU1296">
        <v>4</v>
      </c>
      <c r="AW1296">
        <v>6</v>
      </c>
    </row>
    <row r="1297" spans="2:49" ht="51" customHeight="1">
      <c r="B1297" s="616" t="str">
        <f>IF(FORM_LANGUAGE=GER,Dictionary!G1297,Dictionary!E1297)</f>
        <v>Das Projekt mit der formellen Kultur und den Werten der Organisation in Einklang bringen</v>
      </c>
      <c r="E1297" s="616" t="str">
        <f>IF(DOMAIN=COV!$T$72,Dictionary!L1297,IF(DOMAIN=COV!$T$73,Dictionary!N1297,IF(DOMAIN=COV!$T$74,Dictionary!P1297,Dictionary!L1297)))</f>
        <v>Align the project with the formal culture and values of the organization</v>
      </c>
      <c r="F1297" s="616"/>
      <c r="G1297" s="616" t="str">
        <f>IF(DOMAIN=COV!$T$72,Dictionary!R1297,IF(DOMAIN=COV!$T$73,Dictionary!T1297,IF(DOMAIN=COV!$T$74,Dictionary!V1297,Dictionary!R1297)))</f>
        <v>Das Projekt mit der formellen Kultur und den Werten der Organisation in Einklang bringen</v>
      </c>
      <c r="I1297" s="615" t="s">
        <v>1618</v>
      </c>
      <c r="J1297" s="615" t="s">
        <v>1753</v>
      </c>
      <c r="L1297" s="616" t="s">
        <v>450</v>
      </c>
      <c r="N1297" s="616" t="s">
        <v>1958</v>
      </c>
      <c r="O1297" s="639"/>
      <c r="P1297" s="638" t="s">
        <v>2861</v>
      </c>
      <c r="R1297" s="645" t="s">
        <v>1377</v>
      </c>
      <c r="T1297" s="645" t="s">
        <v>1378</v>
      </c>
      <c r="V1297" s="645" t="s">
        <v>1379</v>
      </c>
      <c r="X1297">
        <f>IF(APPLICATION_LVL="",0,IF(OR(APPLICATION_LVL=COV!$V$68,APPLICATION_LVL=COV!$V$67),Dictionary!Z1297,IF(APPLICATION_LVL=COV!$V$66,Dictionary!AA1297,IF(APPLICATION_LVL=COV!$V$65,IF(DOMAIN=COV!$T$72,Dictionary!AC1297,IF(DOMAIN=COV!$T$73,Dictionary!AD1297,IF(DOMAIN=COV!$T$75,Dictionary!AE1297,2))),IF(APPLICATION_LVL=COV!$V$64,IF(DOMAIN=COV!$T$72,Dictionary!AG1297,IF(DOMAIN=COV!$T$73,Dictionary!AH1297,IF(DOMAIN=COV!$T$75,Dictionary!AI1297,3))),1)))))</f>
        <v>2</v>
      </c>
      <c r="Z1297" s="1779">
        <f t="shared" si="10"/>
        <v>1</v>
      </c>
      <c r="AA1297" s="1779">
        <f t="shared" si="10"/>
        <v>1</v>
      </c>
      <c r="AB1297" s="1779"/>
      <c r="AC1297" s="1779">
        <f>IF(GC_Flag="",AN1297,AU1297)</f>
        <v>2</v>
      </c>
      <c r="AD1297">
        <v>2</v>
      </c>
      <c r="AE1297">
        <v>2</v>
      </c>
      <c r="AG1297" s="1779">
        <f>IF(GC_Flag="",AP1297,AW1297)</f>
        <v>2</v>
      </c>
      <c r="AH1297">
        <v>2</v>
      </c>
      <c r="AI1297">
        <v>2</v>
      </c>
      <c r="AK1297">
        <v>1</v>
      </c>
      <c r="AL1297">
        <v>1</v>
      </c>
      <c r="AN1297">
        <v>2</v>
      </c>
      <c r="AP1297">
        <v>2</v>
      </c>
      <c r="AR1297">
        <v>2</v>
      </c>
      <c r="AS1297">
        <v>2</v>
      </c>
      <c r="AU1297">
        <v>3</v>
      </c>
      <c r="AW1297">
        <v>4</v>
      </c>
    </row>
    <row r="1298" spans="2:49" ht="29" customHeight="1">
      <c r="B1298" s="616" t="str">
        <f>IF(FORM_LANGUAGE=GER,Dictionary!G1298,Dictionary!E1298)</f>
        <v>Die informelle Kultur und Werte der Organisation und deren Auswirkungen auf das Projekt beurteilen</v>
      </c>
      <c r="E1298" s="616" t="str">
        <f>IF(DOMAIN=COV!$T$72,Dictionary!L1298,IF(DOMAIN=COV!$T$73,Dictionary!N1298,IF(DOMAIN=COV!$T$74,Dictionary!P1298,Dictionary!L1298)))</f>
        <v>Assess the informal culture and values of the organization and their implications for the project</v>
      </c>
      <c r="F1298" s="616"/>
      <c r="G1298" s="616" t="str">
        <f>IF(DOMAIN=COV!$T$72,Dictionary!R1298,IF(DOMAIN=COV!$T$73,Dictionary!T1298,IF(DOMAIN=COV!$T$74,Dictionary!V1298,Dictionary!R1298)))</f>
        <v>Die informelle Kultur und Werte der Organisation und deren Auswirkungen auf das Projekt beurteilen</v>
      </c>
      <c r="I1298" s="615" t="s">
        <v>1619</v>
      </c>
      <c r="J1298" s="615" t="s">
        <v>1754</v>
      </c>
      <c r="L1298" s="616" t="s">
        <v>449</v>
      </c>
      <c r="N1298" s="616" t="s">
        <v>1959</v>
      </c>
      <c r="O1298" s="639"/>
      <c r="P1298" s="638" t="s">
        <v>2862</v>
      </c>
      <c r="R1298" s="645" t="s">
        <v>1380</v>
      </c>
      <c r="T1298" s="645" t="s">
        <v>1381</v>
      </c>
      <c r="V1298" s="645" t="s">
        <v>1382</v>
      </c>
      <c r="X1298">
        <f>IF(APPLICATION_LVL="",0,IF(OR(APPLICATION_LVL=COV!$V$68,APPLICATION_LVL=COV!$V$67),Dictionary!Z1298,IF(APPLICATION_LVL=COV!$V$66,Dictionary!AA1298,IF(APPLICATION_LVL=COV!$V$65,IF(DOMAIN=COV!$T$72,Dictionary!AC1298,IF(DOMAIN=COV!$T$73,Dictionary!AD1298,IF(DOMAIN=COV!$T$75,Dictionary!AE1298,2))),IF(APPLICATION_LVL=COV!$V$64,IF(DOMAIN=COV!$T$72,Dictionary!AG1298,IF(DOMAIN=COV!$T$73,Dictionary!AH1298,IF(DOMAIN=COV!$T$75,Dictionary!AI1298,3))),1)))))</f>
        <v>2</v>
      </c>
      <c r="Z1298" s="1779">
        <f t="shared" si="10"/>
        <v>0</v>
      </c>
      <c r="AA1298" s="1779">
        <f t="shared" si="10"/>
        <v>1</v>
      </c>
      <c r="AB1298" s="1779"/>
      <c r="AC1298" s="1779">
        <f>IF(GC_Flag="",AN1298,AU1298)</f>
        <v>2</v>
      </c>
      <c r="AD1298">
        <v>2</v>
      </c>
      <c r="AE1298">
        <v>2</v>
      </c>
      <c r="AG1298" s="1779">
        <f>IF(GC_Flag="",AP1298,AW1298)</f>
        <v>2</v>
      </c>
      <c r="AH1298">
        <v>2</v>
      </c>
      <c r="AI1298">
        <v>2</v>
      </c>
      <c r="AK1298">
        <v>0</v>
      </c>
      <c r="AL1298">
        <v>1</v>
      </c>
      <c r="AN1298">
        <v>2</v>
      </c>
      <c r="AP1298">
        <v>2</v>
      </c>
      <c r="AR1298">
        <v>0</v>
      </c>
      <c r="AS1298">
        <v>2</v>
      </c>
      <c r="AU1298">
        <v>4</v>
      </c>
      <c r="AW1298">
        <v>4</v>
      </c>
    </row>
    <row r="1299" spans="2:49" ht="29" customHeight="1"/>
    <row r="1301" spans="2:49" ht="16">
      <c r="B1301" s="655" t="str">
        <f>IF(FORM_LANGUAGE=GER,Dictionary!G1301,Dictionary!E1301)</f>
        <v>People Kompetenz Elemente</v>
      </c>
      <c r="C1301" s="659"/>
      <c r="D1301" s="659"/>
      <c r="E1301" s="655" t="str">
        <f>E845</f>
        <v>People Competence Elements</v>
      </c>
      <c r="F1301" s="659"/>
      <c r="G1301" s="655" t="str">
        <f>G845</f>
        <v>People Kompetenz Elemente</v>
      </c>
      <c r="H1301" s="658"/>
      <c r="I1301" s="659"/>
      <c r="J1301" s="659"/>
      <c r="K1301" s="659"/>
      <c r="L1301" s="655"/>
      <c r="M1301" s="659"/>
      <c r="N1301" s="655"/>
      <c r="O1301" s="659"/>
      <c r="P1301" s="655"/>
      <c r="Q1301" s="658"/>
      <c r="R1301" s="660"/>
      <c r="S1301" s="658"/>
      <c r="T1301" s="660"/>
      <c r="U1301" s="658"/>
      <c r="V1301" s="660"/>
      <c r="Z1301" s="1779">
        <f t="shared" ref="Z1301:AA1307" si="11">IF(GC_Flag="",AK1301,AR1301)</f>
        <v>0</v>
      </c>
      <c r="AA1301" s="1779">
        <f t="shared" si="11"/>
        <v>0</v>
      </c>
      <c r="AB1301" s="1779"/>
      <c r="AC1301" s="1779">
        <f t="shared" ref="AC1301:AC1307" si="12">IF(GC_Flag="",AN1301,AU1301)</f>
        <v>0</v>
      </c>
      <c r="AG1301" s="1779">
        <f t="shared" ref="AG1301:AG1307" si="13">IF(GC_Flag="",AP1301,AW1301)</f>
        <v>0</v>
      </c>
    </row>
    <row r="1302" spans="2:49" ht="29" customHeight="1">
      <c r="B1302" s="649" t="str">
        <f>IF(FORM_LANGUAGE=GER,Dictionary!G1302,Dictionary!E1302)</f>
        <v>Selbstreflexion und Selbstmanagement</v>
      </c>
      <c r="C1302" s="650"/>
      <c r="D1302" s="650"/>
      <c r="E1302" s="649" t="str">
        <f>E1235</f>
        <v>Self-reflection and self-management</v>
      </c>
      <c r="F1302" s="649"/>
      <c r="G1302" s="649" t="str">
        <f>G1235</f>
        <v>Selbstreflexion und Selbstmanagement</v>
      </c>
      <c r="H1302" s="74"/>
      <c r="I1302" s="651" t="s">
        <v>448</v>
      </c>
      <c r="J1302" s="650" t="s">
        <v>1723</v>
      </c>
      <c r="K1302" s="650"/>
      <c r="L1302" s="649"/>
      <c r="M1302" s="650"/>
      <c r="N1302" s="649"/>
      <c r="O1302" s="650"/>
      <c r="P1302" s="649"/>
      <c r="Q1302" s="74"/>
      <c r="R1302" s="654"/>
      <c r="S1302" s="74"/>
      <c r="T1302" s="654"/>
      <c r="U1302" s="74"/>
      <c r="V1302" s="654"/>
      <c r="X1302">
        <f>IF(APPLICATION_LVL="",0,IF(OR(APPLICATION_LVL=COV!$V$68,APPLICATION_LVL=COV!$V$67),Dictionary!Z1302,IF(APPLICATION_LVL=COV!$V$66,Dictionary!AA1302,IF(APPLICATION_LVL=COV!$V$65,IF(DOMAIN=COV!$T$72,Dictionary!AC1302,IF(DOMAIN=COV!$T$73,Dictionary!AD1302,IF(DOMAIN=COV!$T$75,Dictionary!AE1302,2))),IF(APPLICATION_LVL=COV!$V$64,IF(DOMAIN=COV!$T$72,Dictionary!AG1302,IF(DOMAIN=COV!$T$73,Dictionary!AH1302,IF(DOMAIN=COV!$T$75,Dictionary!AI1302,3))),1)))))</f>
        <v>3</v>
      </c>
      <c r="Z1302" s="1779">
        <f t="shared" si="11"/>
        <v>2</v>
      </c>
      <c r="AA1302" s="1779">
        <f t="shared" si="11"/>
        <v>2</v>
      </c>
      <c r="AB1302" s="1779"/>
      <c r="AC1302" s="1779">
        <f t="shared" si="12"/>
        <v>2</v>
      </c>
      <c r="AD1302">
        <v>2</v>
      </c>
      <c r="AE1302">
        <v>2</v>
      </c>
      <c r="AG1302" s="1779">
        <f t="shared" si="13"/>
        <v>3</v>
      </c>
      <c r="AH1302">
        <v>3</v>
      </c>
      <c r="AI1302">
        <v>3</v>
      </c>
      <c r="AK1302">
        <v>2</v>
      </c>
      <c r="AL1302">
        <v>2</v>
      </c>
      <c r="AN1302">
        <v>2</v>
      </c>
      <c r="AP1302">
        <v>3</v>
      </c>
      <c r="AR1302">
        <v>3</v>
      </c>
      <c r="AS1302">
        <v>3</v>
      </c>
      <c r="AU1302">
        <v>4</v>
      </c>
      <c r="AW1302">
        <v>6</v>
      </c>
    </row>
    <row r="1303" spans="2:49" ht="32">
      <c r="B1303" s="616" t="str">
        <f>IF(FORM_LANGUAGE=GER,Dictionary!G1303,Dictionary!E1303)</f>
        <v>Einfluss der eigenen Werte und persönlichen Erfahrungen auf die Arbeit identifizieren und reflektieren</v>
      </c>
      <c r="E1303" s="616" t="str">
        <f>IF(DOMAIN=COV!$T$72,Dictionary!L1303,IF(DOMAIN=COV!$T$73,Dictionary!N1303,IF(DOMAIN=COV!$T$74,Dictionary!P1303,Dictionary!L1303)))</f>
        <v>Identify, and reflect on, the ways in which one's own values and experiences affect the work</v>
      </c>
      <c r="F1303" s="616"/>
      <c r="G1303" s="616" t="str">
        <f>IF(DOMAIN=COV!$T$72,Dictionary!R1303,IF(DOMAIN=COV!$T$73,Dictionary!T1303,IF(DOMAIN=COV!$T$74,Dictionary!V1303,Dictionary!R1303)))</f>
        <v>Einfluss der eigenen Werte und persönlichen Erfahrungen auf die Arbeit identifizieren und reflektieren</v>
      </c>
      <c r="I1303" s="615" t="s">
        <v>1620</v>
      </c>
      <c r="J1303" s="615" t="s">
        <v>1724</v>
      </c>
      <c r="L1303" s="616" t="s">
        <v>447</v>
      </c>
      <c r="N1303" s="616" t="s">
        <v>1960</v>
      </c>
      <c r="O1303" s="639"/>
      <c r="P1303" s="638" t="s">
        <v>447</v>
      </c>
      <c r="R1303" s="645" t="s">
        <v>1383</v>
      </c>
      <c r="T1303" s="645" t="s">
        <v>1383</v>
      </c>
      <c r="V1303" s="645" t="s">
        <v>1383</v>
      </c>
      <c r="X1303">
        <f>IF(APPLICATION_LVL="",0,IF(OR(APPLICATION_LVL=COV!$V$68,APPLICATION_LVL=COV!$V$67),Dictionary!Z1303,IF(APPLICATION_LVL=COV!$V$66,Dictionary!AA1303,IF(APPLICATION_LVL=COV!$V$65,IF(DOMAIN=COV!$T$72,Dictionary!AC1303,IF(DOMAIN=COV!$T$73,Dictionary!AD1303,IF(DOMAIN=COV!$T$75,Dictionary!AE1303,2))),IF(APPLICATION_LVL=COV!$V$64,IF(DOMAIN=COV!$T$72,Dictionary!AG1303,IF(DOMAIN=COV!$T$73,Dictionary!AH1303,IF(DOMAIN=COV!$T$75,Dictionary!AI1303,3))),1)))))</f>
        <v>3</v>
      </c>
      <c r="Z1303" s="1779">
        <f t="shared" si="11"/>
        <v>1</v>
      </c>
      <c r="AA1303" s="1779">
        <f t="shared" si="11"/>
        <v>2</v>
      </c>
      <c r="AB1303" s="1779"/>
      <c r="AC1303" s="1779">
        <f t="shared" si="12"/>
        <v>2</v>
      </c>
      <c r="AD1303">
        <v>2</v>
      </c>
      <c r="AE1303">
        <v>2</v>
      </c>
      <c r="AG1303" s="1779">
        <f t="shared" si="13"/>
        <v>3</v>
      </c>
      <c r="AH1303">
        <v>3</v>
      </c>
      <c r="AI1303">
        <v>3</v>
      </c>
      <c r="AK1303">
        <v>1</v>
      </c>
      <c r="AL1303">
        <v>2</v>
      </c>
      <c r="AN1303">
        <v>2</v>
      </c>
      <c r="AP1303">
        <v>3</v>
      </c>
      <c r="AR1303">
        <v>2</v>
      </c>
      <c r="AS1303">
        <v>3</v>
      </c>
      <c r="AU1303">
        <v>4</v>
      </c>
      <c r="AW1303">
        <v>6</v>
      </c>
    </row>
    <row r="1304" spans="2:49" ht="32">
      <c r="B1304" s="616" t="str">
        <f>IF(FORM_LANGUAGE=GER,Dictionary!G1304,Dictionary!E1304)</f>
        <v>Selbstvertrauen auf der Basis von persönlichen Stärken und Schwächen aufbauen</v>
      </c>
      <c r="E1304" s="616" t="str">
        <f>IF(DOMAIN=COV!$T$72,Dictionary!L1304,IF(DOMAIN=COV!$T$73,Dictionary!N1304,IF(DOMAIN=COV!$T$74,Dictionary!P1304,Dictionary!L1304)))</f>
        <v>Build self-confidence on the basis of personal strengths and weaknesses</v>
      </c>
      <c r="F1304" s="616"/>
      <c r="G1304" s="616" t="str">
        <f>IF(DOMAIN=COV!$T$72,Dictionary!R1304,IF(DOMAIN=COV!$T$73,Dictionary!T1304,IF(DOMAIN=COV!$T$74,Dictionary!V1304,Dictionary!R1304)))</f>
        <v>Selbstvertrauen auf der Basis von persönlichen Stärken und Schwächen aufbauen</v>
      </c>
      <c r="I1304" s="615" t="s">
        <v>1621</v>
      </c>
      <c r="J1304" s="615" t="s">
        <v>1725</v>
      </c>
      <c r="L1304" s="616" t="s">
        <v>446</v>
      </c>
      <c r="N1304" s="616" t="s">
        <v>446</v>
      </c>
      <c r="O1304" s="639"/>
      <c r="P1304" s="638" t="s">
        <v>446</v>
      </c>
      <c r="R1304" s="645" t="s">
        <v>1384</v>
      </c>
      <c r="T1304" s="645" t="s">
        <v>1384</v>
      </c>
      <c r="V1304" s="645" t="s">
        <v>1384</v>
      </c>
      <c r="X1304">
        <f>IF(APPLICATION_LVL="",0,IF(OR(APPLICATION_LVL=COV!$V$68,APPLICATION_LVL=COV!$V$67),Dictionary!Z1304,IF(APPLICATION_LVL=COV!$V$66,Dictionary!AA1304,IF(APPLICATION_LVL=COV!$V$65,IF(DOMAIN=COV!$T$72,Dictionary!AC1304,IF(DOMAIN=COV!$T$73,Dictionary!AD1304,IF(DOMAIN=COV!$T$75,Dictionary!AE1304,2))),IF(APPLICATION_LVL=COV!$V$64,IF(DOMAIN=COV!$T$72,Dictionary!AG1304,IF(DOMAIN=COV!$T$73,Dictionary!AH1304,IF(DOMAIN=COV!$T$75,Dictionary!AI1304,3))),1)))))</f>
        <v>2</v>
      </c>
      <c r="Z1304" s="1779">
        <f t="shared" si="11"/>
        <v>1</v>
      </c>
      <c r="AA1304" s="1779">
        <f t="shared" si="11"/>
        <v>1</v>
      </c>
      <c r="AB1304" s="1779"/>
      <c r="AC1304" s="1779">
        <f t="shared" si="12"/>
        <v>2</v>
      </c>
      <c r="AD1304">
        <v>2</v>
      </c>
      <c r="AE1304">
        <v>2</v>
      </c>
      <c r="AG1304" s="1779">
        <f t="shared" si="13"/>
        <v>2</v>
      </c>
      <c r="AH1304">
        <v>2</v>
      </c>
      <c r="AI1304">
        <v>2</v>
      </c>
      <c r="AK1304">
        <v>1</v>
      </c>
      <c r="AL1304">
        <v>1</v>
      </c>
      <c r="AN1304">
        <v>2</v>
      </c>
      <c r="AP1304">
        <v>2</v>
      </c>
      <c r="AR1304">
        <v>0</v>
      </c>
      <c r="AS1304">
        <v>1</v>
      </c>
      <c r="AU1304">
        <v>3</v>
      </c>
      <c r="AW1304">
        <v>3</v>
      </c>
    </row>
    <row r="1305" spans="2:49" ht="32">
      <c r="B1305" s="616" t="str">
        <f>IF(FORM_LANGUAGE=GER,Dictionary!G1305,Dictionary!E1305)</f>
        <v>Persönliche Motivationen identifizieren und reflektieren, um persönliche Ziele zu setzen und darauf zu fokussieren</v>
      </c>
      <c r="E1305" s="616" t="str">
        <f>IF(DOMAIN=COV!$T$72,Dictionary!L1305,IF(DOMAIN=COV!$T$73,Dictionary!N1305,IF(DOMAIN=COV!$T$74,Dictionary!P1305,Dictionary!L1305)))</f>
        <v>Identify, and reflect on, personal motivations to set personal goals and keep focus</v>
      </c>
      <c r="F1305" s="616"/>
      <c r="G1305" s="616" t="str">
        <f>IF(DOMAIN=COV!$T$72,Dictionary!R1305,IF(DOMAIN=COV!$T$73,Dictionary!T1305,IF(DOMAIN=COV!$T$74,Dictionary!V1305,Dictionary!R1305)))</f>
        <v>Persönliche Motivationen identifizieren und reflektieren, um persönliche Ziele zu setzen und darauf zu fokussieren</v>
      </c>
      <c r="I1305" s="615" t="s">
        <v>1622</v>
      </c>
      <c r="J1305" s="615" t="s">
        <v>1726</v>
      </c>
      <c r="L1305" s="616" t="s">
        <v>445</v>
      </c>
      <c r="N1305" s="616" t="s">
        <v>1961</v>
      </c>
      <c r="O1305" s="639"/>
      <c r="P1305" s="638" t="s">
        <v>445</v>
      </c>
      <c r="R1305" s="645" t="s">
        <v>1385</v>
      </c>
      <c r="T1305" s="645" t="s">
        <v>1385</v>
      </c>
      <c r="V1305" s="645" t="s">
        <v>1385</v>
      </c>
      <c r="X1305">
        <f>IF(APPLICATION_LVL="",0,IF(OR(APPLICATION_LVL=COV!$V$68,APPLICATION_LVL=COV!$V$67),Dictionary!Z1305,IF(APPLICATION_LVL=COV!$V$66,Dictionary!AA1305,IF(APPLICATION_LVL=COV!$V$65,IF(DOMAIN=COV!$T$72,Dictionary!AC1305,IF(DOMAIN=COV!$T$73,Dictionary!AD1305,IF(DOMAIN=COV!$T$75,Dictionary!AE1305,2))),IF(APPLICATION_LVL=COV!$V$64,IF(DOMAIN=COV!$T$72,Dictionary!AG1305,IF(DOMAIN=COV!$T$73,Dictionary!AH1305,IF(DOMAIN=COV!$T$75,Dictionary!AI1305,3))),1)))))</f>
        <v>2</v>
      </c>
      <c r="Z1305" s="1779">
        <f t="shared" si="11"/>
        <v>0</v>
      </c>
      <c r="AA1305" s="1779">
        <f t="shared" si="11"/>
        <v>2</v>
      </c>
      <c r="AB1305" s="1779"/>
      <c r="AC1305" s="1779">
        <f t="shared" si="12"/>
        <v>2</v>
      </c>
      <c r="AD1305">
        <v>2</v>
      </c>
      <c r="AE1305">
        <v>2</v>
      </c>
      <c r="AG1305" s="1779">
        <f t="shared" si="13"/>
        <v>2</v>
      </c>
      <c r="AH1305">
        <v>2</v>
      </c>
      <c r="AI1305">
        <v>2</v>
      </c>
      <c r="AK1305">
        <v>0</v>
      </c>
      <c r="AL1305">
        <v>2</v>
      </c>
      <c r="AN1305">
        <v>2</v>
      </c>
      <c r="AP1305">
        <v>2</v>
      </c>
      <c r="AR1305">
        <v>2</v>
      </c>
      <c r="AS1305">
        <v>3</v>
      </c>
      <c r="AU1305">
        <v>4</v>
      </c>
      <c r="AW1305">
        <v>4</v>
      </c>
    </row>
    <row r="1306" spans="2:49" ht="29" customHeight="1">
      <c r="B1306" s="616" t="str">
        <f>IF(FORM_LANGUAGE=GER,Dictionary!G1306,Dictionary!E1306)</f>
        <v>Eigene Arbeit abhängig von der Situation und den eigenen Ressourcen organisieren</v>
      </c>
      <c r="E1306" s="616" t="str">
        <f>IF(DOMAIN=COV!$T$72,Dictionary!L1306,IF(DOMAIN=COV!$T$73,Dictionary!N1306,IF(DOMAIN=COV!$T$74,Dictionary!P1306,Dictionary!L1306)))</f>
        <v>Organize personal work depending on the situation and one's own resources</v>
      </c>
      <c r="F1306" s="616"/>
      <c r="G1306" s="616" t="str">
        <f>IF(DOMAIN=COV!$T$72,Dictionary!R1306,IF(DOMAIN=COV!$T$73,Dictionary!T1306,IF(DOMAIN=COV!$T$74,Dictionary!V1306,Dictionary!R1306)))</f>
        <v>Eigene Arbeit abhängig von der Situation und den eigenen Ressourcen organisieren</v>
      </c>
      <c r="I1306" s="615" t="s">
        <v>1623</v>
      </c>
      <c r="J1306" s="615" t="s">
        <v>1727</v>
      </c>
      <c r="L1306" s="616" t="s">
        <v>444</v>
      </c>
      <c r="N1306" s="616" t="s">
        <v>1962</v>
      </c>
      <c r="O1306" s="639"/>
      <c r="P1306" s="638" t="s">
        <v>444</v>
      </c>
      <c r="R1306" s="645" t="s">
        <v>1386</v>
      </c>
      <c r="T1306" s="645" t="s">
        <v>1386</v>
      </c>
      <c r="V1306" s="645" t="s">
        <v>1386</v>
      </c>
      <c r="X1306">
        <f>IF(APPLICATION_LVL="",0,IF(OR(APPLICATION_LVL=COV!$V$68,APPLICATION_LVL=COV!$V$67),Dictionary!Z1306,IF(APPLICATION_LVL=COV!$V$66,Dictionary!AA1306,IF(APPLICATION_LVL=COV!$V$65,IF(DOMAIN=COV!$T$72,Dictionary!AC1306,IF(DOMAIN=COV!$T$73,Dictionary!AD1306,IF(DOMAIN=COV!$T$75,Dictionary!AE1306,2))),IF(APPLICATION_LVL=COV!$V$64,IF(DOMAIN=COV!$T$72,Dictionary!AG1306,IF(DOMAIN=COV!$T$73,Dictionary!AH1306,IF(DOMAIN=COV!$T$75,Dictionary!AI1306,3))),1)))))</f>
        <v>2</v>
      </c>
      <c r="Z1306" s="1779">
        <f t="shared" si="11"/>
        <v>2</v>
      </c>
      <c r="AA1306" s="1779">
        <f t="shared" si="11"/>
        <v>2</v>
      </c>
      <c r="AB1306" s="1779"/>
      <c r="AC1306" s="1779">
        <f t="shared" si="12"/>
        <v>2</v>
      </c>
      <c r="AD1306">
        <v>2</v>
      </c>
      <c r="AE1306">
        <v>2</v>
      </c>
      <c r="AG1306" s="1779">
        <f t="shared" si="13"/>
        <v>2</v>
      </c>
      <c r="AH1306">
        <v>2</v>
      </c>
      <c r="AI1306">
        <v>2</v>
      </c>
      <c r="AK1306">
        <v>2</v>
      </c>
      <c r="AL1306">
        <v>2</v>
      </c>
      <c r="AN1306">
        <v>2</v>
      </c>
      <c r="AP1306">
        <v>2</v>
      </c>
      <c r="AR1306">
        <v>3</v>
      </c>
      <c r="AS1306">
        <v>3</v>
      </c>
      <c r="AU1306">
        <v>4</v>
      </c>
      <c r="AW1306">
        <v>4</v>
      </c>
    </row>
    <row r="1307" spans="2:49" ht="32">
      <c r="B1307" s="616" t="str">
        <f>IF(FORM_LANGUAGE=GER,Dictionary!G1307,Dictionary!E1307)</f>
        <v>Verantwortung für das persönliche Lernen und die persönliche Weiterentwicklung übernehmen</v>
      </c>
      <c r="E1307" s="616" t="str">
        <f>IF(DOMAIN=COV!$T$72,Dictionary!L1307,IF(DOMAIN=COV!$T$73,Dictionary!N1307,IF(DOMAIN=COV!$T$74,Dictionary!P1307,Dictionary!L1307)))</f>
        <v>Take responsibility for personal learning and development</v>
      </c>
      <c r="F1307" s="616"/>
      <c r="G1307" s="616" t="str">
        <f>IF(DOMAIN=COV!$T$72,Dictionary!R1307,IF(DOMAIN=COV!$T$73,Dictionary!T1307,IF(DOMAIN=COV!$T$74,Dictionary!V1307,Dictionary!R1307)))</f>
        <v>Verantwortung für das persönliche Lernen und die persönliche Weiterentwicklung übernehmen</v>
      </c>
      <c r="I1307" s="615" t="s">
        <v>1624</v>
      </c>
      <c r="J1307" s="615" t="s">
        <v>1728</v>
      </c>
      <c r="L1307" s="616" t="s">
        <v>443</v>
      </c>
      <c r="N1307" s="616" t="s">
        <v>443</v>
      </c>
      <c r="O1307" s="639"/>
      <c r="P1307" s="638" t="s">
        <v>443</v>
      </c>
      <c r="R1307" s="645" t="s">
        <v>1387</v>
      </c>
      <c r="T1307" s="645" t="s">
        <v>1387</v>
      </c>
      <c r="V1307" s="645" t="s">
        <v>1387</v>
      </c>
      <c r="X1307">
        <f>IF(APPLICATION_LVL="",0,IF(OR(APPLICATION_LVL=COV!$V$68,APPLICATION_LVL=COV!$V$67),Dictionary!Z1307,IF(APPLICATION_LVL=COV!$V$66,Dictionary!AA1307,IF(APPLICATION_LVL=COV!$V$65,IF(DOMAIN=COV!$T$72,Dictionary!AC1307,IF(DOMAIN=COV!$T$73,Dictionary!AD1307,IF(DOMAIN=COV!$T$75,Dictionary!AE1307,2))),IF(APPLICATION_LVL=COV!$V$64,IF(DOMAIN=COV!$T$72,Dictionary!AG1307,IF(DOMAIN=COV!$T$73,Dictionary!AH1307,IF(DOMAIN=COV!$T$75,Dictionary!AI1307,3))),1)))))</f>
        <v>2</v>
      </c>
      <c r="Z1307" s="1779">
        <f t="shared" si="11"/>
        <v>1</v>
      </c>
      <c r="AA1307" s="1779">
        <f t="shared" si="11"/>
        <v>2</v>
      </c>
      <c r="AB1307" s="1779"/>
      <c r="AC1307" s="1779">
        <f t="shared" si="12"/>
        <v>2</v>
      </c>
      <c r="AD1307">
        <v>2</v>
      </c>
      <c r="AE1307">
        <v>2</v>
      </c>
      <c r="AG1307" s="1779">
        <f t="shared" si="13"/>
        <v>2</v>
      </c>
      <c r="AH1307">
        <v>2</v>
      </c>
      <c r="AI1307">
        <v>2</v>
      </c>
      <c r="AK1307">
        <v>1</v>
      </c>
      <c r="AL1307">
        <v>2</v>
      </c>
      <c r="AN1307">
        <v>2</v>
      </c>
      <c r="AP1307">
        <v>2</v>
      </c>
      <c r="AR1307">
        <v>2</v>
      </c>
      <c r="AS1307">
        <v>3</v>
      </c>
      <c r="AU1307">
        <v>4</v>
      </c>
      <c r="AW1307">
        <v>6</v>
      </c>
    </row>
    <row r="1308" spans="2:49" ht="14.5" customHeight="1">
      <c r="F1308" s="638"/>
      <c r="N1308" s="638"/>
      <c r="O1308" s="639"/>
      <c r="P1308" s="638"/>
    </row>
    <row r="1310" spans="2:49" ht="29" customHeight="1">
      <c r="B1310" s="649" t="str">
        <f>IF(FORM_LANGUAGE=GER,Dictionary!G1310,Dictionary!E1310)</f>
        <v>Persönliche Integrität und Verlässlichkeit</v>
      </c>
      <c r="C1310" s="650"/>
      <c r="D1310" s="650"/>
      <c r="E1310" s="649" t="str">
        <f>E1236</f>
        <v>Personal integrity and reliability</v>
      </c>
      <c r="F1310" s="649"/>
      <c r="G1310" s="649" t="str">
        <f>G1236</f>
        <v>Persönliche Integrität und Verlässlichkeit</v>
      </c>
      <c r="H1310" s="74"/>
      <c r="I1310" s="651" t="s">
        <v>442</v>
      </c>
      <c r="J1310" s="650" t="s">
        <v>1717</v>
      </c>
      <c r="K1310" s="650"/>
      <c r="L1310" s="649"/>
      <c r="M1310" s="650"/>
      <c r="N1310" s="649"/>
      <c r="O1310" s="650"/>
      <c r="P1310" s="649"/>
      <c r="Q1310" s="74"/>
      <c r="R1310" s="654"/>
      <c r="S1310" s="74"/>
      <c r="T1310" s="654"/>
      <c r="U1310" s="74"/>
      <c r="V1310" s="654"/>
      <c r="X1310">
        <f>IF(APPLICATION_LVL="",0,IF(OR(APPLICATION_LVL=COV!$V$68,APPLICATION_LVL=COV!$V$67),Dictionary!Z1310,IF(APPLICATION_LVL=COV!$V$66,Dictionary!AA1310,IF(APPLICATION_LVL=COV!$V$65,IF(DOMAIN=COV!$T$72,Dictionary!AC1310,IF(DOMAIN=COV!$T$73,Dictionary!AD1310,IF(DOMAIN=COV!$T$75,Dictionary!AE1310,2))),IF(APPLICATION_LVL=COV!$V$64,IF(DOMAIN=COV!$T$72,Dictionary!AG1310,IF(DOMAIN=COV!$T$73,Dictionary!AH1310,IF(DOMAIN=COV!$T$75,Dictionary!AI1310,3))),1)))))</f>
        <v>3</v>
      </c>
      <c r="Z1310" s="1779">
        <f t="shared" ref="Z1310:AA1315" si="14">IF(GC_Flag="",AK1310,AR1310)</f>
        <v>1</v>
      </c>
      <c r="AA1310" s="1779">
        <f t="shared" si="14"/>
        <v>2</v>
      </c>
      <c r="AB1310" s="1779"/>
      <c r="AC1310" s="1779">
        <f t="shared" ref="AC1310:AC1315" si="15">IF(GC_Flag="",AN1310,AU1310)</f>
        <v>2</v>
      </c>
      <c r="AD1310">
        <v>2</v>
      </c>
      <c r="AE1310">
        <v>2</v>
      </c>
      <c r="AG1310" s="1779">
        <f t="shared" ref="AG1310:AG1315" si="16">IF(GC_Flag="",AP1310,AW1310)</f>
        <v>3</v>
      </c>
      <c r="AH1310">
        <v>3</v>
      </c>
      <c r="AI1310">
        <v>3</v>
      </c>
      <c r="AK1310">
        <v>1</v>
      </c>
      <c r="AL1310">
        <v>2</v>
      </c>
      <c r="AN1310">
        <v>2</v>
      </c>
      <c r="AP1310">
        <v>3</v>
      </c>
      <c r="AR1310">
        <v>2</v>
      </c>
      <c r="AS1310">
        <v>3</v>
      </c>
      <c r="AU1310">
        <v>4</v>
      </c>
      <c r="AW1310">
        <v>6</v>
      </c>
    </row>
    <row r="1311" spans="2:49" ht="32">
      <c r="B1311" s="616" t="str">
        <f>IF(FORM_LANGUAGE=GER,Dictionary!G1311,Dictionary!E1311)</f>
        <v>Ethische Werte bei allen Entscheidungen und Handlungen anerkennen und anwenden</v>
      </c>
      <c r="E1311" s="616" t="str">
        <f>IF(DOMAIN=COV!$T$72,Dictionary!L1311,IF(DOMAIN=COV!$T$73,Dictionary!N1311,IF(DOMAIN=COV!$T$74,Dictionary!P1311,Dictionary!L1311)))</f>
        <v>Acknowledge and apply ethical values to all decisions and actions</v>
      </c>
      <c r="F1311" s="616"/>
      <c r="G1311" s="616" t="str">
        <f>IF(DOMAIN=COV!$T$72,Dictionary!R1311,IF(DOMAIN=COV!$T$73,Dictionary!T1311,IF(DOMAIN=COV!$T$74,Dictionary!V1311,Dictionary!R1311)))</f>
        <v>Ethische Werte bei allen Entscheidungen und Handlungen anerkennen und anwenden</v>
      </c>
      <c r="I1311" s="615" t="s">
        <v>1625</v>
      </c>
      <c r="J1311" s="615" t="s">
        <v>1718</v>
      </c>
      <c r="L1311" s="616" t="s">
        <v>441</v>
      </c>
      <c r="N1311" s="638" t="s">
        <v>441</v>
      </c>
      <c r="O1311" s="639"/>
      <c r="P1311" s="638" t="s">
        <v>441</v>
      </c>
      <c r="R1311" s="645" t="s">
        <v>1388</v>
      </c>
      <c r="T1311" s="645" t="s">
        <v>1388</v>
      </c>
      <c r="V1311" s="645" t="s">
        <v>1388</v>
      </c>
      <c r="X1311">
        <f>IF(APPLICATION_LVL="",0,IF(OR(APPLICATION_LVL=COV!$V$68,APPLICATION_LVL=COV!$V$67),Dictionary!Z1311,IF(APPLICATION_LVL=COV!$V$66,Dictionary!AA1311,IF(APPLICATION_LVL=COV!$V$65,IF(DOMAIN=COV!$T$72,Dictionary!AC1311,IF(DOMAIN=COV!$T$73,Dictionary!AD1311,IF(DOMAIN=COV!$T$75,Dictionary!AE1311,2))),IF(APPLICATION_LVL=COV!$V$64,IF(DOMAIN=COV!$T$72,Dictionary!AG1311,IF(DOMAIN=COV!$T$73,Dictionary!AH1311,IF(DOMAIN=COV!$T$75,Dictionary!AI1311,3))),1)))))</f>
        <v>1</v>
      </c>
      <c r="Z1311" s="1779">
        <f t="shared" si="14"/>
        <v>0</v>
      </c>
      <c r="AA1311" s="1779">
        <f t="shared" si="14"/>
        <v>1</v>
      </c>
      <c r="AB1311" s="1779"/>
      <c r="AC1311" s="1779">
        <f t="shared" si="15"/>
        <v>1</v>
      </c>
      <c r="AD1311">
        <v>1</v>
      </c>
      <c r="AE1311">
        <v>1</v>
      </c>
      <c r="AG1311" s="1779">
        <f t="shared" si="16"/>
        <v>1</v>
      </c>
      <c r="AH1311">
        <v>1</v>
      </c>
      <c r="AI1311">
        <v>1</v>
      </c>
      <c r="AK1311">
        <v>0</v>
      </c>
      <c r="AL1311">
        <v>1</v>
      </c>
      <c r="AN1311">
        <v>1</v>
      </c>
      <c r="AP1311">
        <v>1</v>
      </c>
      <c r="AR1311">
        <v>0</v>
      </c>
      <c r="AS1311">
        <v>2</v>
      </c>
      <c r="AU1311">
        <v>2</v>
      </c>
      <c r="AW1311">
        <v>2</v>
      </c>
    </row>
    <row r="1312" spans="2:49" ht="16">
      <c r="B1312" s="616" t="str">
        <f>IF(FORM_LANGUAGE=GER,Dictionary!G1312,Dictionary!E1312)</f>
        <v>Nachhaltigkeit von Leistungen und Ergebnissen fördern</v>
      </c>
      <c r="E1312" s="616" t="str">
        <f>IF(DOMAIN=COV!$T$72,Dictionary!L1312,IF(DOMAIN=COV!$T$73,Dictionary!N1312,IF(DOMAIN=COV!$T$74,Dictionary!P1312,Dictionary!L1312)))</f>
        <v>Promote the sustainability of outputs and outcomes</v>
      </c>
      <c r="F1312" s="616"/>
      <c r="G1312" s="616" t="str">
        <f>IF(DOMAIN=COV!$T$72,Dictionary!R1312,IF(DOMAIN=COV!$T$73,Dictionary!T1312,IF(DOMAIN=COV!$T$74,Dictionary!V1312,Dictionary!R1312)))</f>
        <v>Nachhaltigkeit von Leistungen und Ergebnissen fördern</v>
      </c>
      <c r="I1312" s="615" t="s">
        <v>1626</v>
      </c>
      <c r="J1312" s="615" t="s">
        <v>1719</v>
      </c>
      <c r="L1312" s="616" t="s">
        <v>440</v>
      </c>
      <c r="N1312" s="638" t="s">
        <v>440</v>
      </c>
      <c r="O1312" s="639"/>
      <c r="P1312" s="638" t="s">
        <v>440</v>
      </c>
      <c r="R1312" s="645" t="s">
        <v>1389</v>
      </c>
      <c r="T1312" s="645" t="s">
        <v>1389</v>
      </c>
      <c r="V1312" s="645" t="s">
        <v>1389</v>
      </c>
      <c r="X1312">
        <f>IF(APPLICATION_LVL="",0,IF(OR(APPLICATION_LVL=COV!$V$68,APPLICATION_LVL=COV!$V$67),Dictionary!Z1312,IF(APPLICATION_LVL=COV!$V$66,Dictionary!AA1312,IF(APPLICATION_LVL=COV!$V$65,IF(DOMAIN=COV!$T$72,Dictionary!AC1312,IF(DOMAIN=COV!$T$73,Dictionary!AD1312,IF(DOMAIN=COV!$T$75,Dictionary!AE1312,2))),IF(APPLICATION_LVL=COV!$V$64,IF(DOMAIN=COV!$T$72,Dictionary!AG1312,IF(DOMAIN=COV!$T$73,Dictionary!AH1312,IF(DOMAIN=COV!$T$75,Dictionary!AI1312,3))),1)))))</f>
        <v>3</v>
      </c>
      <c r="Z1312" s="1779">
        <f t="shared" si="14"/>
        <v>1</v>
      </c>
      <c r="AA1312" s="1779">
        <f t="shared" si="14"/>
        <v>1</v>
      </c>
      <c r="AB1312" s="1779"/>
      <c r="AC1312" s="1779">
        <f t="shared" si="15"/>
        <v>2</v>
      </c>
      <c r="AD1312">
        <v>2</v>
      </c>
      <c r="AE1312">
        <v>2</v>
      </c>
      <c r="AG1312" s="1779">
        <f t="shared" si="16"/>
        <v>3</v>
      </c>
      <c r="AH1312">
        <v>3</v>
      </c>
      <c r="AI1312">
        <v>3</v>
      </c>
      <c r="AK1312">
        <v>1</v>
      </c>
      <c r="AL1312">
        <v>1</v>
      </c>
      <c r="AN1312">
        <v>2</v>
      </c>
      <c r="AP1312">
        <v>3</v>
      </c>
      <c r="AR1312">
        <v>0</v>
      </c>
      <c r="AS1312">
        <v>2</v>
      </c>
      <c r="AU1312">
        <v>2</v>
      </c>
      <c r="AW1312">
        <v>2</v>
      </c>
    </row>
    <row r="1313" spans="2:49" ht="14.5" customHeight="1">
      <c r="B1313" s="616" t="str">
        <f>IF(FORM_LANGUAGE=GER,Dictionary!G1313,Dictionary!E1313)</f>
        <v>Verantwortung für die eigenen Entscheidungen und Handlungen übernehmen</v>
      </c>
      <c r="E1313" s="616" t="str">
        <f>IF(DOMAIN=COV!$T$72,Dictionary!L1313,IF(DOMAIN=COV!$T$73,Dictionary!N1313,IF(DOMAIN=COV!$T$74,Dictionary!P1313,Dictionary!L1313)))</f>
        <v>Take responsibility for one's own decisions and actions</v>
      </c>
      <c r="F1313" s="616"/>
      <c r="G1313" s="616" t="str">
        <f>IF(DOMAIN=COV!$T$72,Dictionary!R1313,IF(DOMAIN=COV!$T$73,Dictionary!T1313,IF(DOMAIN=COV!$T$74,Dictionary!V1313,Dictionary!R1313)))</f>
        <v>Verantwortung für die eigenen Entscheidungen und Handlungen übernehmen</v>
      </c>
      <c r="I1313" s="615" t="s">
        <v>1627</v>
      </c>
      <c r="J1313" s="615" t="s">
        <v>1720</v>
      </c>
      <c r="L1313" s="616" t="s">
        <v>439</v>
      </c>
      <c r="N1313" s="638" t="s">
        <v>439</v>
      </c>
      <c r="O1313" s="639"/>
      <c r="P1313" s="638" t="s">
        <v>439</v>
      </c>
      <c r="R1313" s="645" t="s">
        <v>1390</v>
      </c>
      <c r="T1313" s="645" t="s">
        <v>1390</v>
      </c>
      <c r="V1313" s="645" t="s">
        <v>1390</v>
      </c>
      <c r="X1313">
        <f>IF(APPLICATION_LVL="",0,IF(OR(APPLICATION_LVL=COV!$V$68,APPLICATION_LVL=COV!$V$67),Dictionary!Z1313,IF(APPLICATION_LVL=COV!$V$66,Dictionary!AA1313,IF(APPLICATION_LVL=COV!$V$65,IF(DOMAIN=COV!$T$72,Dictionary!AC1313,IF(DOMAIN=COV!$T$73,Dictionary!AD1313,IF(DOMAIN=COV!$T$75,Dictionary!AE1313,2))),IF(APPLICATION_LVL=COV!$V$64,IF(DOMAIN=COV!$T$72,Dictionary!AG1313,IF(DOMAIN=COV!$T$73,Dictionary!AH1313,IF(DOMAIN=COV!$T$75,Dictionary!AI1313,3))),1)))))</f>
        <v>2</v>
      </c>
      <c r="Z1313" s="1779">
        <f t="shared" si="14"/>
        <v>1</v>
      </c>
      <c r="AA1313" s="1779">
        <f t="shared" si="14"/>
        <v>2</v>
      </c>
      <c r="AB1313" s="1779"/>
      <c r="AC1313" s="1779">
        <f t="shared" si="15"/>
        <v>2</v>
      </c>
      <c r="AD1313">
        <v>2</v>
      </c>
      <c r="AE1313">
        <v>2</v>
      </c>
      <c r="AG1313" s="1779">
        <f t="shared" si="16"/>
        <v>2</v>
      </c>
      <c r="AH1313">
        <v>2</v>
      </c>
      <c r="AI1313">
        <v>2</v>
      </c>
      <c r="AK1313">
        <v>1</v>
      </c>
      <c r="AL1313">
        <v>2</v>
      </c>
      <c r="AN1313">
        <v>2</v>
      </c>
      <c r="AP1313">
        <v>2</v>
      </c>
      <c r="AR1313">
        <v>1</v>
      </c>
      <c r="AS1313">
        <v>3</v>
      </c>
      <c r="AU1313">
        <v>4</v>
      </c>
      <c r="AW1313">
        <v>4</v>
      </c>
    </row>
    <row r="1314" spans="2:49" ht="14.5" customHeight="1">
      <c r="B1314" s="616" t="str">
        <f>IF(FORM_LANGUAGE=GER,Dictionary!G1314,Dictionary!E1314)</f>
        <v>Widerspruchsfrei handeln, Entscheidungen treffen und kommunizieren</v>
      </c>
      <c r="E1314" s="616" t="str">
        <f>IF(DOMAIN=COV!$T$72,Dictionary!L1314,IF(DOMAIN=COV!$T$73,Dictionary!N1314,IF(DOMAIN=COV!$T$74,Dictionary!P1314,Dictionary!L1314)))</f>
        <v>Act, take decisions, and communicate in a consistent way</v>
      </c>
      <c r="F1314" s="616"/>
      <c r="G1314" s="616" t="str">
        <f>IF(DOMAIN=COV!$T$72,Dictionary!R1314,IF(DOMAIN=COV!$T$73,Dictionary!T1314,IF(DOMAIN=COV!$T$74,Dictionary!V1314,Dictionary!R1314)))</f>
        <v>Widerspruchsfrei handeln, Entscheidungen treffen und kommunizieren</v>
      </c>
      <c r="I1314" s="615" t="s">
        <v>1628</v>
      </c>
      <c r="J1314" s="615" t="s">
        <v>1721</v>
      </c>
      <c r="L1314" s="616" t="s">
        <v>438</v>
      </c>
      <c r="N1314" s="638" t="s">
        <v>438</v>
      </c>
      <c r="O1314" s="639"/>
      <c r="P1314" s="638" t="s">
        <v>438</v>
      </c>
      <c r="R1314" s="645" t="s">
        <v>1391</v>
      </c>
      <c r="T1314" s="645" t="s">
        <v>1391</v>
      </c>
      <c r="V1314" s="645" t="s">
        <v>1391</v>
      </c>
      <c r="X1314">
        <f>IF(APPLICATION_LVL="",0,IF(OR(APPLICATION_LVL=COV!$V$68,APPLICATION_LVL=COV!$V$67),Dictionary!Z1314,IF(APPLICATION_LVL=COV!$V$66,Dictionary!AA1314,IF(APPLICATION_LVL=COV!$V$65,IF(DOMAIN=COV!$T$72,Dictionary!AC1314,IF(DOMAIN=COV!$T$73,Dictionary!AD1314,IF(DOMAIN=COV!$T$75,Dictionary!AE1314,2))),IF(APPLICATION_LVL=COV!$V$64,IF(DOMAIN=COV!$T$72,Dictionary!AG1314,IF(DOMAIN=COV!$T$73,Dictionary!AH1314,IF(DOMAIN=COV!$T$75,Dictionary!AI1314,3))),1)))))</f>
        <v>2</v>
      </c>
      <c r="Z1314" s="1779">
        <f t="shared" si="14"/>
        <v>0</v>
      </c>
      <c r="AA1314" s="1779">
        <f t="shared" si="14"/>
        <v>2</v>
      </c>
      <c r="AB1314" s="1779"/>
      <c r="AC1314" s="1779">
        <f t="shared" si="15"/>
        <v>2</v>
      </c>
      <c r="AD1314">
        <v>2</v>
      </c>
      <c r="AE1314">
        <v>2</v>
      </c>
      <c r="AG1314" s="1779">
        <f t="shared" si="16"/>
        <v>2</v>
      </c>
      <c r="AH1314">
        <v>2</v>
      </c>
      <c r="AI1314">
        <v>2</v>
      </c>
      <c r="AK1314">
        <v>0</v>
      </c>
      <c r="AL1314">
        <v>2</v>
      </c>
      <c r="AN1314">
        <v>2</v>
      </c>
      <c r="AP1314">
        <v>2</v>
      </c>
      <c r="AR1314">
        <v>0</v>
      </c>
      <c r="AS1314">
        <v>3</v>
      </c>
      <c r="AU1314">
        <v>4</v>
      </c>
      <c r="AW1314">
        <v>4</v>
      </c>
    </row>
    <row r="1315" spans="2:49" ht="32">
      <c r="B1315" s="616" t="str">
        <f>IF(FORM_LANGUAGE=GER,Dictionary!G1315,Dictionary!E1315)</f>
        <v>Aufgaben sorgfältig erfüllen, um Vertrauen bei anderen zu schaffen</v>
      </c>
      <c r="E1315" s="616" t="str">
        <f>IF(DOMAIN=COV!$T$72,Dictionary!L1315,IF(DOMAIN=COV!$T$73,Dictionary!N1315,IF(DOMAIN=COV!$T$74,Dictionary!P1315,Dictionary!L1315)))</f>
        <v>Complete tasks thoroughly in order to build confidence with others</v>
      </c>
      <c r="F1315" s="616"/>
      <c r="G1315" s="616" t="str">
        <f>IF(DOMAIN=COV!$T$72,Dictionary!R1315,IF(DOMAIN=COV!$T$73,Dictionary!T1315,IF(DOMAIN=COV!$T$74,Dictionary!V1315,Dictionary!R1315)))</f>
        <v>Aufgaben sorgfältig erfüllen, um Vertrauen bei anderen zu schaffen</v>
      </c>
      <c r="I1315" s="615" t="s">
        <v>1629</v>
      </c>
      <c r="J1315" s="615" t="s">
        <v>1722</v>
      </c>
      <c r="L1315" s="616" t="s">
        <v>437</v>
      </c>
      <c r="N1315" s="638" t="s">
        <v>437</v>
      </c>
      <c r="O1315" s="639"/>
      <c r="P1315" s="638" t="s">
        <v>437</v>
      </c>
      <c r="R1315" s="645" t="s">
        <v>1392</v>
      </c>
      <c r="T1315" s="645" t="s">
        <v>1392</v>
      </c>
      <c r="V1315" s="645" t="s">
        <v>1392</v>
      </c>
      <c r="X1315">
        <f>IF(APPLICATION_LVL="",0,IF(OR(APPLICATION_LVL=COV!$V$68,APPLICATION_LVL=COV!$V$67),Dictionary!Z1315,IF(APPLICATION_LVL=COV!$V$66,Dictionary!AA1315,IF(APPLICATION_LVL=COV!$V$65,IF(DOMAIN=COV!$T$72,Dictionary!AC1315,IF(DOMAIN=COV!$T$73,Dictionary!AD1315,IF(DOMAIN=COV!$T$75,Dictionary!AE1315,2))),IF(APPLICATION_LVL=COV!$V$64,IF(DOMAIN=COV!$T$72,Dictionary!AG1315,IF(DOMAIN=COV!$T$73,Dictionary!AH1315,IF(DOMAIN=COV!$T$75,Dictionary!AI1315,3))),1)))))</f>
        <v>3</v>
      </c>
      <c r="Z1315" s="1779">
        <f t="shared" si="14"/>
        <v>1</v>
      </c>
      <c r="AA1315" s="1779">
        <f t="shared" si="14"/>
        <v>2</v>
      </c>
      <c r="AB1315" s="1779"/>
      <c r="AC1315" s="1779">
        <f t="shared" si="15"/>
        <v>2</v>
      </c>
      <c r="AD1315">
        <v>2</v>
      </c>
      <c r="AE1315">
        <v>2</v>
      </c>
      <c r="AG1315" s="1779">
        <f t="shared" si="16"/>
        <v>3</v>
      </c>
      <c r="AH1315">
        <v>3</v>
      </c>
      <c r="AI1315">
        <v>3</v>
      </c>
      <c r="AK1315">
        <v>1</v>
      </c>
      <c r="AL1315">
        <v>2</v>
      </c>
      <c r="AN1315">
        <v>2</v>
      </c>
      <c r="AP1315">
        <v>3</v>
      </c>
      <c r="AR1315">
        <v>2</v>
      </c>
      <c r="AS1315">
        <v>3</v>
      </c>
      <c r="AU1315">
        <v>4</v>
      </c>
      <c r="AW1315">
        <v>6</v>
      </c>
    </row>
    <row r="1316" spans="2:49">
      <c r="F1316" s="639"/>
    </row>
    <row r="1318" spans="2:49" ht="16">
      <c r="B1318" s="649" t="str">
        <f>IF(FORM_LANGUAGE=GER,Dictionary!G1318,Dictionary!E1318)</f>
        <v>Persönliche Kommunikation</v>
      </c>
      <c r="C1318" s="650"/>
      <c r="D1318" s="650"/>
      <c r="E1318" s="649" t="str">
        <f>E1237</f>
        <v>Personal communication</v>
      </c>
      <c r="F1318" s="649"/>
      <c r="G1318" s="649" t="str">
        <f>G1237</f>
        <v>Persönliche Kommunikation</v>
      </c>
      <c r="H1318" s="74"/>
      <c r="I1318" s="651" t="s">
        <v>436</v>
      </c>
      <c r="J1318" s="650" t="s">
        <v>1711</v>
      </c>
      <c r="K1318" s="650"/>
      <c r="L1318" s="649"/>
      <c r="M1318" s="650"/>
      <c r="N1318" s="649"/>
      <c r="O1318" s="650"/>
      <c r="P1318" s="649"/>
      <c r="Q1318" s="74"/>
      <c r="R1318" s="654"/>
      <c r="S1318" s="74"/>
      <c r="T1318" s="654"/>
      <c r="U1318" s="74"/>
      <c r="V1318" s="654"/>
      <c r="X1318">
        <f>IF(APPLICATION_LVL="",0,IF(OR(APPLICATION_LVL=COV!$V$68,APPLICATION_LVL=COV!$V$67),Dictionary!Z1318,IF(APPLICATION_LVL=COV!$V$66,Dictionary!AA1318,IF(APPLICATION_LVL=COV!$V$65,IF(DOMAIN=COV!$T$72,Dictionary!AC1318,IF(DOMAIN=COV!$T$73,Dictionary!AD1318,IF(DOMAIN=COV!$T$75,Dictionary!AE1318,2))),IF(APPLICATION_LVL=COV!$V$64,IF(DOMAIN=COV!$T$72,Dictionary!AG1318,IF(DOMAIN=COV!$T$73,Dictionary!AH1318,IF(DOMAIN=COV!$T$75,Dictionary!AI1318,3))),1)))))</f>
        <v>3</v>
      </c>
      <c r="Z1318" s="1779">
        <f t="shared" ref="Z1318:AA1323" si="17">IF(GC_Flag="",AK1318,AR1318)</f>
        <v>2</v>
      </c>
      <c r="AA1318" s="1779">
        <f t="shared" si="17"/>
        <v>2</v>
      </c>
      <c r="AB1318" s="1779"/>
      <c r="AC1318" s="1779">
        <f t="shared" ref="AC1318:AC1323" si="18">IF(GC_Flag="",AN1318,AU1318)</f>
        <v>3</v>
      </c>
      <c r="AD1318">
        <v>3</v>
      </c>
      <c r="AE1318">
        <v>3</v>
      </c>
      <c r="AG1318" s="1779">
        <f t="shared" ref="AG1318:AG1323" si="19">IF(GC_Flag="",AP1318,AW1318)</f>
        <v>3</v>
      </c>
      <c r="AH1318">
        <v>3</v>
      </c>
      <c r="AI1318">
        <v>3</v>
      </c>
      <c r="AK1318">
        <v>2</v>
      </c>
      <c r="AL1318">
        <v>2</v>
      </c>
      <c r="AN1318">
        <v>3</v>
      </c>
      <c r="AP1318">
        <v>3</v>
      </c>
      <c r="AR1318">
        <v>3</v>
      </c>
      <c r="AS1318">
        <v>4</v>
      </c>
      <c r="AU1318">
        <v>6</v>
      </c>
      <c r="AW1318">
        <v>6</v>
      </c>
    </row>
    <row r="1319" spans="2:49" ht="29" customHeight="1">
      <c r="B1319" s="616" t="str">
        <f>IF(FORM_LANGUAGE=GER,Dictionary!G1319,Dictionary!E1319)</f>
        <v>Eindeutige und strukturierte Informationen an andere weitergeben und deren gleiches Verständnis sicherstellen</v>
      </c>
      <c r="E1319" s="616" t="str">
        <f>IF(DOMAIN=COV!$T$72,Dictionary!L1319,IF(DOMAIN=COV!$T$73,Dictionary!N1319,IF(DOMAIN=COV!$T$74,Dictionary!P1319,Dictionary!L1319)))</f>
        <v>Provide clear and structured information to others and verify their understanding</v>
      </c>
      <c r="F1319" s="616"/>
      <c r="G1319" s="616" t="str">
        <f>IF(DOMAIN=COV!$T$72,Dictionary!R1319,IF(DOMAIN=COV!$T$73,Dictionary!T1319,IF(DOMAIN=COV!$T$74,Dictionary!V1319,Dictionary!R1319)))</f>
        <v>Eindeutige und strukturierte Informationen an andere weitergeben und deren gleiches Verständnis sicherstellen</v>
      </c>
      <c r="I1319" s="615" t="s">
        <v>1630</v>
      </c>
      <c r="J1319" s="615" t="s">
        <v>1712</v>
      </c>
      <c r="L1319" s="616" t="s">
        <v>435</v>
      </c>
      <c r="N1319" s="638" t="s">
        <v>435</v>
      </c>
      <c r="O1319" s="639"/>
      <c r="P1319" s="638" t="s">
        <v>435</v>
      </c>
      <c r="R1319" s="645" t="s">
        <v>1393</v>
      </c>
      <c r="T1319" s="645" t="s">
        <v>1393</v>
      </c>
      <c r="V1319" s="645" t="s">
        <v>1393</v>
      </c>
      <c r="X1319">
        <f>IF(APPLICATION_LVL="",0,IF(OR(APPLICATION_LVL=COV!$V$68,APPLICATION_LVL=COV!$V$67),Dictionary!Z1319,IF(APPLICATION_LVL=COV!$V$66,Dictionary!AA1319,IF(APPLICATION_LVL=COV!$V$65,IF(DOMAIN=COV!$T$72,Dictionary!AC1319,IF(DOMAIN=COV!$T$73,Dictionary!AD1319,IF(DOMAIN=COV!$T$75,Dictionary!AE1319,2))),IF(APPLICATION_LVL=COV!$V$64,IF(DOMAIN=COV!$T$72,Dictionary!AG1319,IF(DOMAIN=COV!$T$73,Dictionary!AH1319,IF(DOMAIN=COV!$T$75,Dictionary!AI1319,3))),1)))))</f>
        <v>3</v>
      </c>
      <c r="Z1319" s="1779">
        <f t="shared" si="17"/>
        <v>2</v>
      </c>
      <c r="AA1319" s="1779">
        <f t="shared" si="17"/>
        <v>2</v>
      </c>
      <c r="AB1319" s="1779"/>
      <c r="AC1319" s="1779">
        <f t="shared" si="18"/>
        <v>3</v>
      </c>
      <c r="AD1319">
        <v>3</v>
      </c>
      <c r="AE1319">
        <v>3</v>
      </c>
      <c r="AG1319" s="1779">
        <f t="shared" si="19"/>
        <v>3</v>
      </c>
      <c r="AH1319">
        <v>3</v>
      </c>
      <c r="AI1319">
        <v>3</v>
      </c>
      <c r="AK1319">
        <v>2</v>
      </c>
      <c r="AL1319">
        <v>2</v>
      </c>
      <c r="AN1319">
        <v>3</v>
      </c>
      <c r="AP1319">
        <v>3</v>
      </c>
      <c r="AR1319">
        <v>3</v>
      </c>
      <c r="AS1319">
        <v>4</v>
      </c>
      <c r="AU1319">
        <v>5</v>
      </c>
      <c r="AW1319">
        <v>6</v>
      </c>
    </row>
    <row r="1320" spans="2:49" ht="16">
      <c r="B1320" s="616" t="str">
        <f>IF(FORM_LANGUAGE=GER,Dictionary!G1320,Dictionary!E1320)</f>
        <v>Offene Kommunikation ermöglichen und fördern</v>
      </c>
      <c r="E1320" s="616" t="str">
        <f>IF(DOMAIN=COV!$T$72,Dictionary!L1320,IF(DOMAIN=COV!$T$73,Dictionary!N1320,IF(DOMAIN=COV!$T$74,Dictionary!P1320,Dictionary!L1320)))</f>
        <v>Facilitate and promote open communication</v>
      </c>
      <c r="F1320" s="616"/>
      <c r="G1320" s="616" t="str">
        <f>IF(DOMAIN=COV!$T$72,Dictionary!R1320,IF(DOMAIN=COV!$T$73,Dictionary!T1320,IF(DOMAIN=COV!$T$74,Dictionary!V1320,Dictionary!R1320)))</f>
        <v>Offene Kommunikation ermöglichen und fördern</v>
      </c>
      <c r="I1320" s="615" t="s">
        <v>1631</v>
      </c>
      <c r="J1320" s="615" t="s">
        <v>1713</v>
      </c>
      <c r="L1320" s="616" t="s">
        <v>434</v>
      </c>
      <c r="N1320" s="638" t="s">
        <v>434</v>
      </c>
      <c r="O1320" s="639"/>
      <c r="P1320" s="638" t="s">
        <v>434</v>
      </c>
      <c r="R1320" s="645" t="s">
        <v>1394</v>
      </c>
      <c r="T1320" s="645" t="s">
        <v>1394</v>
      </c>
      <c r="V1320" s="645" t="s">
        <v>1394</v>
      </c>
      <c r="X1320">
        <f>IF(APPLICATION_LVL="",0,IF(OR(APPLICATION_LVL=COV!$V$68,APPLICATION_LVL=COV!$V$67),Dictionary!Z1320,IF(APPLICATION_LVL=COV!$V$66,Dictionary!AA1320,IF(APPLICATION_LVL=COV!$V$65,IF(DOMAIN=COV!$T$72,Dictionary!AC1320,IF(DOMAIN=COV!$T$73,Dictionary!AD1320,IF(DOMAIN=COV!$T$75,Dictionary!AE1320,2))),IF(APPLICATION_LVL=COV!$V$64,IF(DOMAIN=COV!$T$72,Dictionary!AG1320,IF(DOMAIN=COV!$T$73,Dictionary!AH1320,IF(DOMAIN=COV!$T$75,Dictionary!AI1320,3))),1)))))</f>
        <v>3</v>
      </c>
      <c r="Z1320" s="1779">
        <f t="shared" si="17"/>
        <v>1</v>
      </c>
      <c r="AA1320" s="1779">
        <f t="shared" si="17"/>
        <v>2</v>
      </c>
      <c r="AB1320" s="1779"/>
      <c r="AC1320" s="1779">
        <f t="shared" si="18"/>
        <v>3</v>
      </c>
      <c r="AD1320">
        <v>3</v>
      </c>
      <c r="AE1320">
        <v>3</v>
      </c>
      <c r="AG1320" s="1779">
        <f t="shared" si="19"/>
        <v>3</v>
      </c>
      <c r="AH1320">
        <v>3</v>
      </c>
      <c r="AI1320">
        <v>3</v>
      </c>
      <c r="AK1320">
        <v>1</v>
      </c>
      <c r="AL1320">
        <v>2</v>
      </c>
      <c r="AN1320">
        <v>3</v>
      </c>
      <c r="AP1320">
        <v>3</v>
      </c>
      <c r="AR1320">
        <v>2</v>
      </c>
      <c r="AS1320">
        <v>3</v>
      </c>
      <c r="AU1320">
        <v>5</v>
      </c>
      <c r="AW1320">
        <v>6</v>
      </c>
    </row>
    <row r="1321" spans="2:49" ht="29" customHeight="1">
      <c r="B1321" s="616" t="str">
        <f>IF(FORM_LANGUAGE=GER,Dictionary!G1321,Dictionary!E1321)</f>
        <v>Kommunikationsarten und -kanäle auswählen, um die Bedürfnisse der Zielgruppe, der Situation und der Führungsebene zu erfüllen</v>
      </c>
      <c r="E1321" s="616" t="str">
        <f>IF(DOMAIN=COV!$T$72,Dictionary!L1321,IF(DOMAIN=COV!$T$73,Dictionary!N1321,IF(DOMAIN=COV!$T$74,Dictionary!P1321,Dictionary!L1321)))</f>
        <v>Choose communication styles and channels to meet the needs of the audience, situation, and management level</v>
      </c>
      <c r="F1321" s="616"/>
      <c r="G1321" s="616" t="str">
        <f>IF(DOMAIN=COV!$T$72,Dictionary!R1321,IF(DOMAIN=COV!$T$73,Dictionary!T1321,IF(DOMAIN=COV!$T$74,Dictionary!V1321,Dictionary!R1321)))</f>
        <v>Kommunikationsarten und -kanäle auswählen, um die Bedürfnisse der Zielgruppe, der Situation und der Führungsebene zu erfüllen</v>
      </c>
      <c r="I1321" s="615" t="s">
        <v>1632</v>
      </c>
      <c r="J1321" s="615" t="s">
        <v>1714</v>
      </c>
      <c r="L1321" s="616" t="s">
        <v>433</v>
      </c>
      <c r="N1321" s="638" t="s">
        <v>433</v>
      </c>
      <c r="O1321" s="639"/>
      <c r="P1321" s="638" t="s">
        <v>433</v>
      </c>
      <c r="R1321" s="645" t="s">
        <v>1395</v>
      </c>
      <c r="T1321" s="645" t="s">
        <v>1395</v>
      </c>
      <c r="V1321" s="645" t="s">
        <v>1395</v>
      </c>
      <c r="X1321">
        <f>IF(APPLICATION_LVL="",0,IF(OR(APPLICATION_LVL=COV!$V$68,APPLICATION_LVL=COV!$V$67),Dictionary!Z1321,IF(APPLICATION_LVL=COV!$V$66,Dictionary!AA1321,IF(APPLICATION_LVL=COV!$V$65,IF(DOMAIN=COV!$T$72,Dictionary!AC1321,IF(DOMAIN=COV!$T$73,Dictionary!AD1321,IF(DOMAIN=COV!$T$75,Dictionary!AE1321,2))),IF(APPLICATION_LVL=COV!$V$64,IF(DOMAIN=COV!$T$72,Dictionary!AG1321,IF(DOMAIN=COV!$T$73,Dictionary!AH1321,IF(DOMAIN=COV!$T$75,Dictionary!AI1321,3))),1)))))</f>
        <v>3</v>
      </c>
      <c r="Z1321" s="1779">
        <f t="shared" si="17"/>
        <v>1</v>
      </c>
      <c r="AA1321" s="1779">
        <f t="shared" si="17"/>
        <v>2</v>
      </c>
      <c r="AB1321" s="1779"/>
      <c r="AC1321" s="1779">
        <f t="shared" si="18"/>
        <v>3</v>
      </c>
      <c r="AD1321">
        <v>3</v>
      </c>
      <c r="AE1321">
        <v>3</v>
      </c>
      <c r="AG1321" s="1779">
        <f t="shared" si="19"/>
        <v>3</v>
      </c>
      <c r="AH1321">
        <v>3</v>
      </c>
      <c r="AI1321">
        <v>3</v>
      </c>
      <c r="AK1321">
        <v>1</v>
      </c>
      <c r="AL1321">
        <v>2</v>
      </c>
      <c r="AN1321">
        <v>3</v>
      </c>
      <c r="AP1321">
        <v>3</v>
      </c>
      <c r="AR1321">
        <v>2</v>
      </c>
      <c r="AS1321">
        <v>4</v>
      </c>
      <c r="AU1321">
        <v>5</v>
      </c>
      <c r="AW1321">
        <v>6</v>
      </c>
    </row>
    <row r="1322" spans="2:49" ht="16">
      <c r="B1322" s="616" t="str">
        <f>IF(FORM_LANGUAGE=GER,Dictionary!G1322,Dictionary!E1322)</f>
        <v>Mit virtuellen Teams effektiv kommunizieren</v>
      </c>
      <c r="E1322" s="616" t="str">
        <f>IF(DOMAIN=COV!$T$72,Dictionary!L1322,IF(DOMAIN=COV!$T$73,Dictionary!N1322,IF(DOMAIN=COV!$T$74,Dictionary!P1322,Dictionary!L1322)))</f>
        <v>Communicate effectively with virtual teams</v>
      </c>
      <c r="F1322" s="616"/>
      <c r="G1322" s="616" t="str">
        <f>IF(DOMAIN=COV!$T$72,Dictionary!R1322,IF(DOMAIN=COV!$T$73,Dictionary!T1322,IF(DOMAIN=COV!$T$74,Dictionary!V1322,Dictionary!R1322)))</f>
        <v>Mit virtuellen Teams effektiv kommunizieren</v>
      </c>
      <c r="I1322" s="615" t="s">
        <v>1633</v>
      </c>
      <c r="J1322" s="615" t="s">
        <v>1715</v>
      </c>
      <c r="L1322" s="616" t="s">
        <v>432</v>
      </c>
      <c r="N1322" s="638" t="s">
        <v>432</v>
      </c>
      <c r="O1322" s="639"/>
      <c r="P1322" s="638" t="s">
        <v>432</v>
      </c>
      <c r="R1322" s="645" t="s">
        <v>1396</v>
      </c>
      <c r="T1322" s="645" t="s">
        <v>1396</v>
      </c>
      <c r="V1322" s="645" t="s">
        <v>1396</v>
      </c>
      <c r="X1322">
        <f>IF(APPLICATION_LVL="",0,IF(OR(APPLICATION_LVL=COV!$V$68,APPLICATION_LVL=COV!$V$67),Dictionary!Z1322,IF(APPLICATION_LVL=COV!$V$66,Dictionary!AA1322,IF(APPLICATION_LVL=COV!$V$65,IF(DOMAIN=COV!$T$72,Dictionary!AC1322,IF(DOMAIN=COV!$T$73,Dictionary!AD1322,IF(DOMAIN=COV!$T$75,Dictionary!AE1322,2))),IF(APPLICATION_LVL=COV!$V$64,IF(DOMAIN=COV!$T$72,Dictionary!AG1322,IF(DOMAIN=COV!$T$73,Dictionary!AH1322,IF(DOMAIN=COV!$T$75,Dictionary!AI1322,3))),1)))))</f>
        <v>3</v>
      </c>
      <c r="Z1322" s="1779">
        <f t="shared" si="17"/>
        <v>1</v>
      </c>
      <c r="AA1322" s="1779">
        <f t="shared" si="17"/>
        <v>2</v>
      </c>
      <c r="AB1322" s="1779"/>
      <c r="AC1322" s="1779">
        <f t="shared" si="18"/>
        <v>3</v>
      </c>
      <c r="AD1322">
        <v>3</v>
      </c>
      <c r="AE1322">
        <v>3</v>
      </c>
      <c r="AG1322" s="1779">
        <f t="shared" si="19"/>
        <v>3</v>
      </c>
      <c r="AH1322">
        <v>3</v>
      </c>
      <c r="AI1322">
        <v>3</v>
      </c>
      <c r="AK1322">
        <v>1</v>
      </c>
      <c r="AL1322">
        <v>2</v>
      </c>
      <c r="AN1322">
        <v>3</v>
      </c>
      <c r="AP1322">
        <v>3</v>
      </c>
      <c r="AR1322">
        <v>2</v>
      </c>
      <c r="AS1322">
        <v>3</v>
      </c>
      <c r="AU1322">
        <v>6</v>
      </c>
      <c r="AW1322">
        <v>6</v>
      </c>
    </row>
    <row r="1323" spans="2:49" ht="16">
      <c r="B1323" s="616" t="str">
        <f>IF(FORM_LANGUAGE=GER,Dictionary!G1323,Dictionary!E1323)</f>
        <v>Humor und Perspektivenwechsel angemessen verwenden</v>
      </c>
      <c r="E1323" s="616" t="str">
        <f>IF(DOMAIN=COV!$T$72,Dictionary!L1323,IF(DOMAIN=COV!$T$73,Dictionary!N1323,IF(DOMAIN=COV!$T$74,Dictionary!P1323,Dictionary!L1323)))</f>
        <v>Employ humor and sense of perspective when appropriate</v>
      </c>
      <c r="F1323" s="616"/>
      <c r="G1323" s="616" t="str">
        <f>IF(DOMAIN=COV!$T$72,Dictionary!R1323,IF(DOMAIN=COV!$T$73,Dictionary!T1323,IF(DOMAIN=COV!$T$74,Dictionary!V1323,Dictionary!R1323)))</f>
        <v>Humor und Perspektivenwechsel angemessen verwenden</v>
      </c>
      <c r="I1323" s="615" t="s">
        <v>1634</v>
      </c>
      <c r="J1323" s="615" t="s">
        <v>1716</v>
      </c>
      <c r="L1323" s="616" t="s">
        <v>431</v>
      </c>
      <c r="N1323" s="638" t="s">
        <v>431</v>
      </c>
      <c r="O1323" s="639"/>
      <c r="P1323" s="638" t="s">
        <v>431</v>
      </c>
      <c r="R1323" s="645" t="s">
        <v>1397</v>
      </c>
      <c r="T1323" s="645" t="s">
        <v>1397</v>
      </c>
      <c r="V1323" s="645" t="s">
        <v>1397</v>
      </c>
      <c r="X1323">
        <f>IF(APPLICATION_LVL="",0,IF(OR(APPLICATION_LVL=COV!$V$68,APPLICATION_LVL=COV!$V$67),Dictionary!Z1323,IF(APPLICATION_LVL=COV!$V$66,Dictionary!AA1323,IF(APPLICATION_LVL=COV!$V$65,IF(DOMAIN=COV!$T$72,Dictionary!AC1323,IF(DOMAIN=COV!$T$73,Dictionary!AD1323,IF(DOMAIN=COV!$T$75,Dictionary!AE1323,2))),IF(APPLICATION_LVL=COV!$V$64,IF(DOMAIN=COV!$T$72,Dictionary!AG1323,IF(DOMAIN=COV!$T$73,Dictionary!AH1323,IF(DOMAIN=COV!$T$75,Dictionary!AI1323,3))),1)))))</f>
        <v>3</v>
      </c>
      <c r="Z1323" s="1779">
        <f t="shared" si="17"/>
        <v>0</v>
      </c>
      <c r="AA1323" s="1779">
        <f t="shared" si="17"/>
        <v>2</v>
      </c>
      <c r="AB1323" s="1779"/>
      <c r="AC1323" s="1779">
        <f t="shared" si="18"/>
        <v>3</v>
      </c>
      <c r="AD1323">
        <v>3</v>
      </c>
      <c r="AE1323">
        <v>3</v>
      </c>
      <c r="AG1323" s="1779">
        <f t="shared" si="19"/>
        <v>3</v>
      </c>
      <c r="AH1323">
        <v>3</v>
      </c>
      <c r="AI1323">
        <v>3</v>
      </c>
      <c r="AK1323">
        <v>0</v>
      </c>
      <c r="AL1323">
        <v>2</v>
      </c>
      <c r="AN1323">
        <v>3</v>
      </c>
      <c r="AP1323">
        <v>3</v>
      </c>
      <c r="AR1323">
        <v>0</v>
      </c>
      <c r="AS1323">
        <v>3</v>
      </c>
      <c r="AU1323">
        <v>4</v>
      </c>
      <c r="AW1323">
        <v>4</v>
      </c>
    </row>
    <row r="1324" spans="2:49">
      <c r="N1324" s="638"/>
      <c r="O1324" s="639"/>
      <c r="P1324" s="638"/>
    </row>
    <row r="1325" spans="2:49">
      <c r="F1325" s="639"/>
    </row>
    <row r="1326" spans="2:49" ht="16">
      <c r="B1326" s="649" t="str">
        <f>IF(FORM_LANGUAGE=GER,Dictionary!G1326,Dictionary!E1326)</f>
        <v>Beziehungen und Engagement</v>
      </c>
      <c r="C1326" s="650"/>
      <c r="D1326" s="650"/>
      <c r="E1326" s="649" t="str">
        <f>E1238</f>
        <v>Relations and engagement</v>
      </c>
      <c r="F1326" s="649"/>
      <c r="G1326" s="649" t="str">
        <f>G1238</f>
        <v>Beziehungen und Engagement</v>
      </c>
      <c r="H1326" s="74"/>
      <c r="I1326" s="651" t="s">
        <v>430</v>
      </c>
      <c r="J1326" s="650" t="s">
        <v>1705</v>
      </c>
      <c r="K1326" s="650"/>
      <c r="L1326" s="649"/>
      <c r="M1326" s="650"/>
      <c r="N1326" s="649"/>
      <c r="O1326" s="650"/>
      <c r="P1326" s="649"/>
      <c r="Q1326" s="74"/>
      <c r="R1326" s="654"/>
      <c r="S1326" s="74"/>
      <c r="T1326" s="654"/>
      <c r="U1326" s="74"/>
      <c r="V1326" s="654"/>
      <c r="X1326">
        <f>IF(APPLICATION_LVL="",0,IF(OR(APPLICATION_LVL=COV!$V$68,APPLICATION_LVL=COV!$V$67),Dictionary!Z1326,IF(APPLICATION_LVL=COV!$V$66,Dictionary!AA1326,IF(APPLICATION_LVL=COV!$V$65,IF(DOMAIN=COV!$T$72,Dictionary!AC1326,IF(DOMAIN=COV!$T$73,Dictionary!AD1326,IF(DOMAIN=COV!$T$75,Dictionary!AE1326,2))),IF(APPLICATION_LVL=COV!$V$64,IF(DOMAIN=COV!$T$72,Dictionary!AG1326,IF(DOMAIN=COV!$T$73,Dictionary!AH1326,IF(DOMAIN=COV!$T$75,Dictionary!AI1326,3))),1)))))</f>
        <v>3</v>
      </c>
      <c r="Z1326" s="1779">
        <f t="shared" ref="Z1326:Z1339" si="20">IF(GC_Flag="",AK1326,AR1326)</f>
        <v>1</v>
      </c>
      <c r="AA1326" s="1779">
        <f t="shared" ref="AA1326:AA1339" si="21">IF(GC_Flag="",AL1326,AS1326)</f>
        <v>2</v>
      </c>
      <c r="AB1326" s="1779"/>
      <c r="AC1326" s="1779">
        <f t="shared" ref="AC1326:AC1339" si="22">IF(GC_Flag="",AN1326,AU1326)</f>
        <v>2</v>
      </c>
      <c r="AD1326">
        <v>2</v>
      </c>
      <c r="AE1326">
        <v>2</v>
      </c>
      <c r="AG1326" s="1779">
        <f t="shared" ref="AG1326:AG1339" si="23">IF(GC_Flag="",AP1326,AW1326)</f>
        <v>3</v>
      </c>
      <c r="AH1326">
        <v>2</v>
      </c>
      <c r="AI1326">
        <v>3</v>
      </c>
      <c r="AK1326">
        <v>1</v>
      </c>
      <c r="AL1326">
        <v>2</v>
      </c>
      <c r="AN1326">
        <v>2</v>
      </c>
      <c r="AP1326">
        <v>3</v>
      </c>
      <c r="AR1326">
        <v>2</v>
      </c>
      <c r="AS1326">
        <v>3</v>
      </c>
      <c r="AU1326">
        <v>4</v>
      </c>
      <c r="AW1326">
        <v>5</v>
      </c>
    </row>
    <row r="1327" spans="2:49" ht="14.5" customHeight="1">
      <c r="B1327" s="616" t="str">
        <f>IF(FORM_LANGUAGE=GER,Dictionary!G1327,Dictionary!E1327)</f>
        <v>Persönliche und berufliche Beziehungen aufbauen und pflegen</v>
      </c>
      <c r="E1327" s="616" t="str">
        <f>IF(DOMAIN=COV!$T$72,Dictionary!L1327,IF(DOMAIN=COV!$T$73,Dictionary!N1327,IF(DOMAIN=COV!$T$74,Dictionary!P1327,Dictionary!L1327)))</f>
        <v>Initiate and develop personal and professional relations</v>
      </c>
      <c r="F1327" s="616"/>
      <c r="G1327" s="616" t="str">
        <f>IF(DOMAIN=COV!$T$72,Dictionary!R1327,IF(DOMAIN=COV!$T$73,Dictionary!T1327,IF(DOMAIN=COV!$T$74,Dictionary!V1327,Dictionary!R1327)))</f>
        <v>Persönliche und berufliche Beziehungen aufbauen und pflegen</v>
      </c>
      <c r="I1327" s="615" t="s">
        <v>1635</v>
      </c>
      <c r="J1327" s="615" t="s">
        <v>1706</v>
      </c>
      <c r="L1327" s="616" t="s">
        <v>429</v>
      </c>
      <c r="N1327" s="638" t="s">
        <v>429</v>
      </c>
      <c r="O1327" s="639"/>
      <c r="P1327" s="638" t="s">
        <v>429</v>
      </c>
      <c r="R1327" s="645" t="s">
        <v>1398</v>
      </c>
      <c r="T1327" s="645" t="s">
        <v>1398</v>
      </c>
      <c r="V1327" s="645" t="s">
        <v>1398</v>
      </c>
      <c r="X1327">
        <f>IF(APPLICATION_LVL="",0,IF(OR(APPLICATION_LVL=COV!$V$68,APPLICATION_LVL=COV!$V$67),Dictionary!Z1327,IF(APPLICATION_LVL=COV!$V$66,Dictionary!AA1327,IF(APPLICATION_LVL=COV!$V$65,IF(DOMAIN=COV!$T$72,Dictionary!AC1327,IF(DOMAIN=COV!$T$73,Dictionary!AD1327,IF(DOMAIN=COV!$T$75,Dictionary!AE1327,2))),IF(APPLICATION_LVL=COV!$V$64,IF(DOMAIN=COV!$T$72,Dictionary!AG1327,IF(DOMAIN=COV!$T$73,Dictionary!AH1327,IF(DOMAIN=COV!$T$75,Dictionary!AI1327,3))),1)))))</f>
        <v>2</v>
      </c>
      <c r="Z1327" s="1779">
        <f t="shared" si="20"/>
        <v>1</v>
      </c>
      <c r="AA1327" s="1779">
        <f t="shared" si="21"/>
        <v>2</v>
      </c>
      <c r="AB1327" s="1779"/>
      <c r="AC1327" s="1779">
        <f t="shared" si="22"/>
        <v>2</v>
      </c>
      <c r="AD1327">
        <v>2</v>
      </c>
      <c r="AE1327">
        <v>2</v>
      </c>
      <c r="AG1327" s="1779">
        <f t="shared" si="23"/>
        <v>2</v>
      </c>
      <c r="AH1327">
        <v>2</v>
      </c>
      <c r="AI1327">
        <v>2</v>
      </c>
      <c r="AK1327">
        <v>1</v>
      </c>
      <c r="AL1327">
        <v>2</v>
      </c>
      <c r="AN1327">
        <v>2</v>
      </c>
      <c r="AP1327">
        <v>2</v>
      </c>
      <c r="AR1327">
        <v>2</v>
      </c>
      <c r="AS1327">
        <v>3</v>
      </c>
      <c r="AU1327">
        <v>4</v>
      </c>
      <c r="AW1327">
        <v>4</v>
      </c>
    </row>
    <row r="1328" spans="2:49" ht="14.5" customHeight="1">
      <c r="B1328" s="616" t="str">
        <f>IF(FORM_LANGUAGE=GER,Dictionary!G1328,Dictionary!E1328)</f>
        <v>Soziale Netzwerke aufbauen, moderieren und an ihnen teilnehmen</v>
      </c>
      <c r="E1328" s="616" t="str">
        <f>IF(DOMAIN=COV!$T$72,Dictionary!L1328,IF(DOMAIN=COV!$T$73,Dictionary!N1328,IF(DOMAIN=COV!$T$74,Dictionary!P1328,Dictionary!L1328)))</f>
        <v>Build, facilitate, and contribute to social networks</v>
      </c>
      <c r="F1328" s="616"/>
      <c r="G1328" s="616" t="str">
        <f>IF(DOMAIN=COV!$T$72,Dictionary!R1328,IF(DOMAIN=COV!$T$73,Dictionary!T1328,IF(DOMAIN=COV!$T$74,Dictionary!V1328,Dictionary!R1328)))</f>
        <v>Soziale Netzwerke aufbauen, moderieren und an ihnen teilnehmen</v>
      </c>
      <c r="I1328" s="615" t="s">
        <v>1636</v>
      </c>
      <c r="J1328" s="615" t="s">
        <v>1707</v>
      </c>
      <c r="L1328" s="616" t="s">
        <v>428</v>
      </c>
      <c r="N1328" s="638" t="s">
        <v>428</v>
      </c>
      <c r="O1328" s="639"/>
      <c r="P1328" s="638" t="s">
        <v>428</v>
      </c>
      <c r="R1328" s="645" t="s">
        <v>1399</v>
      </c>
      <c r="T1328" s="645" t="s">
        <v>1399</v>
      </c>
      <c r="V1328" s="645" t="s">
        <v>1399</v>
      </c>
      <c r="X1328">
        <f>IF(APPLICATION_LVL="",0,IF(OR(APPLICATION_LVL=COV!$V$68,APPLICATION_LVL=COV!$V$67),Dictionary!Z1328,IF(APPLICATION_LVL=COV!$V$66,Dictionary!AA1328,IF(APPLICATION_LVL=COV!$V$65,IF(DOMAIN=COV!$T$72,Dictionary!AC1328,IF(DOMAIN=COV!$T$73,Dictionary!AD1328,IF(DOMAIN=COV!$T$75,Dictionary!AE1328,2))),IF(APPLICATION_LVL=COV!$V$64,IF(DOMAIN=COV!$T$72,Dictionary!AG1328,IF(DOMAIN=COV!$T$73,Dictionary!AH1328,IF(DOMAIN=COV!$T$75,Dictionary!AI1328,3))),1)))))</f>
        <v>2</v>
      </c>
      <c r="Z1328" s="1779">
        <f t="shared" si="20"/>
        <v>0</v>
      </c>
      <c r="AA1328" s="1779">
        <f t="shared" si="21"/>
        <v>1</v>
      </c>
      <c r="AB1328" s="1779"/>
      <c r="AC1328" s="1779">
        <f t="shared" si="22"/>
        <v>2</v>
      </c>
      <c r="AD1328">
        <v>2</v>
      </c>
      <c r="AE1328">
        <v>2</v>
      </c>
      <c r="AG1328" s="1779">
        <f t="shared" si="23"/>
        <v>2</v>
      </c>
      <c r="AH1328">
        <v>2</v>
      </c>
      <c r="AI1328">
        <v>2</v>
      </c>
      <c r="AK1328">
        <v>0</v>
      </c>
      <c r="AL1328">
        <v>1</v>
      </c>
      <c r="AN1328">
        <v>2</v>
      </c>
      <c r="AP1328">
        <v>2</v>
      </c>
      <c r="AR1328">
        <v>0</v>
      </c>
      <c r="AS1328">
        <v>2</v>
      </c>
      <c r="AU1328">
        <v>2</v>
      </c>
      <c r="AW1328">
        <v>2</v>
      </c>
    </row>
    <row r="1329" spans="2:49" ht="32">
      <c r="B1329" s="616" t="str">
        <f>IF(FORM_LANGUAGE=GER,Dictionary!G1329,Dictionary!E1329)</f>
        <v>Durch Zuhören, Verständnis und Unterstützung Empathie zeigen</v>
      </c>
      <c r="E1329" s="616" t="str">
        <f>IF(DOMAIN=COV!$T$72,Dictionary!L1329,IF(DOMAIN=COV!$T$73,Dictionary!N1329,IF(DOMAIN=COV!$T$74,Dictionary!P1329,Dictionary!L1329)))</f>
        <v>Demonstrate empathy through listening, understanding, and support</v>
      </c>
      <c r="F1329" s="616"/>
      <c r="G1329" s="616" t="str">
        <f>IF(DOMAIN=COV!$T$72,Dictionary!R1329,IF(DOMAIN=COV!$T$73,Dictionary!T1329,IF(DOMAIN=COV!$T$74,Dictionary!V1329,Dictionary!R1329)))</f>
        <v>Durch Zuhören, Verständnis und Unterstützung Empathie zeigen</v>
      </c>
      <c r="I1329" s="615" t="s">
        <v>1637</v>
      </c>
      <c r="J1329" s="615" t="s">
        <v>1708</v>
      </c>
      <c r="L1329" s="616" t="s">
        <v>427</v>
      </c>
      <c r="N1329" s="638" t="s">
        <v>427</v>
      </c>
      <c r="O1329" s="639"/>
      <c r="P1329" s="638" t="s">
        <v>427</v>
      </c>
      <c r="R1329" s="645" t="s">
        <v>1400</v>
      </c>
      <c r="T1329" s="645" t="s">
        <v>1400</v>
      </c>
      <c r="V1329" s="645" t="s">
        <v>1400</v>
      </c>
      <c r="X1329">
        <f>IF(APPLICATION_LVL="",0,IF(OR(APPLICATION_LVL=COV!$V$68,APPLICATION_LVL=COV!$V$67),Dictionary!Z1329,IF(APPLICATION_LVL=COV!$V$66,Dictionary!AA1329,IF(APPLICATION_LVL=COV!$V$65,IF(DOMAIN=COV!$T$72,Dictionary!AC1329,IF(DOMAIN=COV!$T$73,Dictionary!AD1329,IF(DOMAIN=COV!$T$75,Dictionary!AE1329,2))),IF(APPLICATION_LVL=COV!$V$64,IF(DOMAIN=COV!$T$72,Dictionary!AG1329,IF(DOMAIN=COV!$T$73,Dictionary!AH1329,IF(DOMAIN=COV!$T$75,Dictionary!AI1329,3))),1)))))</f>
        <v>2</v>
      </c>
      <c r="Z1329" s="1779">
        <f t="shared" si="20"/>
        <v>1</v>
      </c>
      <c r="AA1329" s="1779">
        <f t="shared" si="21"/>
        <v>2</v>
      </c>
      <c r="AB1329" s="1779"/>
      <c r="AC1329" s="1779">
        <f t="shared" si="22"/>
        <v>2</v>
      </c>
      <c r="AD1329">
        <v>2</v>
      </c>
      <c r="AE1329">
        <v>2</v>
      </c>
      <c r="AG1329" s="1779">
        <f t="shared" si="23"/>
        <v>2</v>
      </c>
      <c r="AH1329">
        <v>2</v>
      </c>
      <c r="AI1329">
        <v>2</v>
      </c>
      <c r="AK1329">
        <v>1</v>
      </c>
      <c r="AL1329">
        <v>2</v>
      </c>
      <c r="AN1329">
        <v>2</v>
      </c>
      <c r="AP1329">
        <v>2</v>
      </c>
      <c r="AR1329">
        <v>2</v>
      </c>
      <c r="AS1329">
        <v>3</v>
      </c>
      <c r="AU1329">
        <v>4</v>
      </c>
      <c r="AW1329">
        <v>4</v>
      </c>
    </row>
    <row r="1330" spans="2:49" ht="32">
      <c r="B1330" s="616" t="str">
        <f>IF(FORM_LANGUAGE=GER,Dictionary!G1330,Dictionary!E1330)</f>
        <v>Vertrauen und Respekt zeigen, indem andere ermutigt werden, ihre Meinungen und Bedenken zu äußern</v>
      </c>
      <c r="E1330" s="616" t="str">
        <f>IF(DOMAIN=COV!$T$72,Dictionary!L1330,IF(DOMAIN=COV!$T$73,Dictionary!N1330,IF(DOMAIN=COV!$T$74,Dictionary!P1330,Dictionary!L1330)))</f>
        <v>Show confidence and respect by encouraging others to share their opinions or concerns</v>
      </c>
      <c r="F1330" s="616"/>
      <c r="G1330" s="616" t="str">
        <f>IF(DOMAIN=COV!$T$72,Dictionary!R1330,IF(DOMAIN=COV!$T$73,Dictionary!T1330,IF(DOMAIN=COV!$T$74,Dictionary!V1330,Dictionary!R1330)))</f>
        <v>Vertrauen und Respekt zeigen, indem andere ermutigt werden, ihre Meinungen und Bedenken zu äußern</v>
      </c>
      <c r="I1330" s="615" t="s">
        <v>1638</v>
      </c>
      <c r="J1330" s="615" t="s">
        <v>1709</v>
      </c>
      <c r="L1330" s="616" t="s">
        <v>426</v>
      </c>
      <c r="N1330" s="638" t="s">
        <v>426</v>
      </c>
      <c r="O1330" s="639"/>
      <c r="P1330" s="638" t="s">
        <v>426</v>
      </c>
      <c r="R1330" s="645" t="s">
        <v>1401</v>
      </c>
      <c r="T1330" s="645" t="s">
        <v>1401</v>
      </c>
      <c r="V1330" s="645" t="s">
        <v>1401</v>
      </c>
      <c r="X1330">
        <f>IF(APPLICATION_LVL="",0,IF(OR(APPLICATION_LVL=COV!$V$68,APPLICATION_LVL=COV!$V$67),Dictionary!Z1330,IF(APPLICATION_LVL=COV!$V$66,Dictionary!AA1330,IF(APPLICATION_LVL=COV!$V$65,IF(DOMAIN=COV!$T$72,Dictionary!AC1330,IF(DOMAIN=COV!$T$73,Dictionary!AD1330,IF(DOMAIN=COV!$T$75,Dictionary!AE1330,2))),IF(APPLICATION_LVL=COV!$V$64,IF(DOMAIN=COV!$T$72,Dictionary!AG1330,IF(DOMAIN=COV!$T$73,Dictionary!AH1330,IF(DOMAIN=COV!$T$75,Dictionary!AI1330,3))),1)))))</f>
        <v>2</v>
      </c>
      <c r="Z1330" s="1779">
        <f t="shared" si="20"/>
        <v>0</v>
      </c>
      <c r="AA1330" s="1779">
        <f t="shared" si="21"/>
        <v>2</v>
      </c>
      <c r="AB1330" s="1779"/>
      <c r="AC1330" s="1779">
        <f t="shared" si="22"/>
        <v>2</v>
      </c>
      <c r="AD1330">
        <v>2</v>
      </c>
      <c r="AE1330">
        <v>2</v>
      </c>
      <c r="AG1330" s="1779">
        <f t="shared" si="23"/>
        <v>2</v>
      </c>
      <c r="AH1330">
        <v>2</v>
      </c>
      <c r="AI1330">
        <v>2</v>
      </c>
      <c r="AK1330">
        <v>0</v>
      </c>
      <c r="AL1330">
        <v>2</v>
      </c>
      <c r="AN1330">
        <v>2</v>
      </c>
      <c r="AP1330">
        <v>2</v>
      </c>
      <c r="AR1330">
        <v>0</v>
      </c>
      <c r="AS1330">
        <v>3</v>
      </c>
      <c r="AU1330">
        <v>4</v>
      </c>
      <c r="AW1330">
        <v>4</v>
      </c>
    </row>
    <row r="1331" spans="2:49" ht="32">
      <c r="B1331" s="616" t="str">
        <f>IF(FORM_LANGUAGE=GER,Dictionary!G1331,Dictionary!E1331)</f>
        <v>Eigene Visionen und Ziele kommunizieren, um Engagement und Commitment Dritter zu erreichen</v>
      </c>
      <c r="E1331" s="616" t="str">
        <f>IF(DOMAIN=COV!$T$72,Dictionary!L1331,IF(DOMAIN=COV!$T$73,Dictionary!N1331,IF(DOMAIN=COV!$T$74,Dictionary!P1331,Dictionary!L1331)))</f>
        <v>Share one's own vision and goals in order to gain the engagement and commitment of others</v>
      </c>
      <c r="F1331" s="616"/>
      <c r="G1331" s="616" t="str">
        <f>IF(DOMAIN=COV!$T$72,Dictionary!R1331,IF(DOMAIN=COV!$T$73,Dictionary!T1331,IF(DOMAIN=COV!$T$74,Dictionary!V1331,Dictionary!R1331)))</f>
        <v>Eigene Visionen und Ziele kommunizieren, um Engagement und Commitment Dritter zu erreichen</v>
      </c>
      <c r="I1331" s="615" t="s">
        <v>1639</v>
      </c>
      <c r="J1331" s="615" t="s">
        <v>1710</v>
      </c>
      <c r="L1331" s="616" t="s">
        <v>425</v>
      </c>
      <c r="N1331" s="638" t="s">
        <v>425</v>
      </c>
      <c r="O1331" s="639"/>
      <c r="P1331" s="638" t="s">
        <v>425</v>
      </c>
      <c r="R1331" s="645" t="s">
        <v>1402</v>
      </c>
      <c r="T1331" s="645" t="s">
        <v>1402</v>
      </c>
      <c r="V1331" s="645" t="s">
        <v>1402</v>
      </c>
      <c r="X1331">
        <f>IF(APPLICATION_LVL="",0,IF(OR(APPLICATION_LVL=COV!$V$68,APPLICATION_LVL=COV!$V$67),Dictionary!Z1331,IF(APPLICATION_LVL=COV!$V$66,Dictionary!AA1331,IF(APPLICATION_LVL=COV!$V$65,IF(DOMAIN=COV!$T$72,Dictionary!AC1331,IF(DOMAIN=COV!$T$73,Dictionary!AD1331,IF(DOMAIN=COV!$T$75,Dictionary!AE1331,2))),IF(APPLICATION_LVL=COV!$V$64,IF(DOMAIN=COV!$T$72,Dictionary!AG1331,IF(DOMAIN=COV!$T$73,Dictionary!AH1331,IF(DOMAIN=COV!$T$75,Dictionary!AI1331,3))),1)))))</f>
        <v>2</v>
      </c>
      <c r="Z1331" s="1779">
        <f t="shared" si="20"/>
        <v>0</v>
      </c>
      <c r="AA1331" s="1779">
        <f t="shared" si="21"/>
        <v>2</v>
      </c>
      <c r="AB1331" s="1779"/>
      <c r="AC1331" s="1779">
        <f t="shared" si="22"/>
        <v>2</v>
      </c>
      <c r="AD1331">
        <v>2</v>
      </c>
      <c r="AE1331">
        <v>2</v>
      </c>
      <c r="AG1331" s="1779">
        <f t="shared" si="23"/>
        <v>2</v>
      </c>
      <c r="AH1331">
        <v>2</v>
      </c>
      <c r="AI1331">
        <v>2</v>
      </c>
      <c r="AK1331">
        <v>0</v>
      </c>
      <c r="AL1331">
        <v>2</v>
      </c>
      <c r="AN1331">
        <v>2</v>
      </c>
      <c r="AP1331">
        <v>2</v>
      </c>
      <c r="AR1331">
        <v>0</v>
      </c>
      <c r="AS1331">
        <v>3</v>
      </c>
      <c r="AU1331">
        <v>4</v>
      </c>
      <c r="AW1331">
        <v>4</v>
      </c>
    </row>
    <row r="1332" spans="2:49">
      <c r="F1332" s="639"/>
      <c r="Z1332" s="1779">
        <f t="shared" si="20"/>
        <v>0</v>
      </c>
      <c r="AA1332" s="1779">
        <f t="shared" si="21"/>
        <v>0</v>
      </c>
      <c r="AB1332" s="1779"/>
      <c r="AC1332" s="1779">
        <f t="shared" si="22"/>
        <v>0</v>
      </c>
      <c r="AG1332" s="1779">
        <f t="shared" si="23"/>
        <v>0</v>
      </c>
    </row>
    <row r="1333" spans="2:49">
      <c r="Z1333" s="1779">
        <f t="shared" si="20"/>
        <v>0</v>
      </c>
      <c r="AA1333" s="1779">
        <f t="shared" si="21"/>
        <v>0</v>
      </c>
      <c r="AB1333" s="1779"/>
      <c r="AC1333" s="1779">
        <f t="shared" si="22"/>
        <v>0</v>
      </c>
      <c r="AG1333" s="1779">
        <f t="shared" si="23"/>
        <v>0</v>
      </c>
    </row>
    <row r="1334" spans="2:49" ht="29" customHeight="1">
      <c r="B1334" s="649" t="str">
        <f>IF(FORM_LANGUAGE=GER,Dictionary!G1334,Dictionary!E1334)</f>
        <v>Führung</v>
      </c>
      <c r="C1334" s="650"/>
      <c r="D1334" s="650"/>
      <c r="E1334" s="649" t="str">
        <f>E1239</f>
        <v>Leadership</v>
      </c>
      <c r="F1334" s="649"/>
      <c r="G1334" s="649" t="str">
        <f>G1239</f>
        <v>Führung</v>
      </c>
      <c r="H1334" s="74"/>
      <c r="I1334" s="651" t="s">
        <v>424</v>
      </c>
      <c r="J1334" s="650" t="s">
        <v>1699</v>
      </c>
      <c r="K1334" s="650"/>
      <c r="L1334" s="649"/>
      <c r="M1334" s="650"/>
      <c r="N1334" s="649"/>
      <c r="O1334" s="650"/>
      <c r="P1334" s="649"/>
      <c r="Q1334" s="74"/>
      <c r="R1334" s="654"/>
      <c r="S1334" s="74"/>
      <c r="T1334" s="654"/>
      <c r="U1334" s="74"/>
      <c r="V1334" s="654"/>
      <c r="X1334">
        <f>IF(APPLICATION_LVL="",0,IF(OR(APPLICATION_LVL=COV!$V$68,APPLICATION_LVL=COV!$V$67),Dictionary!Z1334,IF(APPLICATION_LVL=COV!$V$66,Dictionary!AA1334,IF(APPLICATION_LVL=COV!$V$65,IF(DOMAIN=COV!$T$72,Dictionary!AC1334,IF(DOMAIN=COV!$T$73,Dictionary!AD1334,IF(DOMAIN=COV!$T$75,Dictionary!AE1334,2))),IF(APPLICATION_LVL=COV!$V$64,IF(DOMAIN=COV!$T$72,Dictionary!AG1334,IF(DOMAIN=COV!$T$73,Dictionary!AH1334,IF(DOMAIN=COV!$T$75,Dictionary!AI1334,3))),1)))))</f>
        <v>3</v>
      </c>
      <c r="Z1334" s="1779">
        <f t="shared" si="20"/>
        <v>1</v>
      </c>
      <c r="AA1334" s="1779">
        <f t="shared" si="21"/>
        <v>2</v>
      </c>
      <c r="AB1334" s="1779"/>
      <c r="AC1334" s="1779">
        <f t="shared" si="22"/>
        <v>3</v>
      </c>
      <c r="AD1334">
        <v>3</v>
      </c>
      <c r="AE1334">
        <v>3</v>
      </c>
      <c r="AG1334" s="1779">
        <f t="shared" si="23"/>
        <v>3</v>
      </c>
      <c r="AH1334">
        <v>3</v>
      </c>
      <c r="AI1334">
        <v>3</v>
      </c>
      <c r="AK1334">
        <v>1</v>
      </c>
      <c r="AL1334">
        <v>2</v>
      </c>
      <c r="AN1334">
        <v>3</v>
      </c>
      <c r="AP1334">
        <v>3</v>
      </c>
      <c r="AR1334">
        <v>2</v>
      </c>
      <c r="AS1334">
        <v>3</v>
      </c>
      <c r="AU1334">
        <v>5</v>
      </c>
      <c r="AW1334">
        <v>6</v>
      </c>
    </row>
    <row r="1335" spans="2:49" ht="14.5" customHeight="1">
      <c r="B1335" s="616" t="str">
        <f>IF(FORM_LANGUAGE=GER,Dictionary!G1335,Dictionary!E1335)</f>
        <v>Initiative ergreifen und proaktiv mit Rat und Tat zur Seite stehen</v>
      </c>
      <c r="E1335" s="616" t="str">
        <f>IF(DOMAIN=COV!$T$72,Dictionary!L1335,IF(DOMAIN=COV!$T$73,Dictionary!N1335,IF(DOMAIN=COV!$T$74,Dictionary!P1335,Dictionary!L1335)))</f>
        <v>Initiate actions and proactively offer help and advice</v>
      </c>
      <c r="F1335" s="616"/>
      <c r="G1335" s="616" t="str">
        <f>IF(DOMAIN=COV!$T$72,Dictionary!R1335,IF(DOMAIN=COV!$T$73,Dictionary!T1335,IF(DOMAIN=COV!$T$74,Dictionary!V1335,Dictionary!R1335)))</f>
        <v>Initiative ergreifen und proaktiv mit Rat und Tat zur Seite stehen</v>
      </c>
      <c r="I1335" s="615" t="s">
        <v>1640</v>
      </c>
      <c r="J1335" s="615" t="s">
        <v>1700</v>
      </c>
      <c r="L1335" s="616" t="s">
        <v>423</v>
      </c>
      <c r="N1335" s="638" t="s">
        <v>423</v>
      </c>
      <c r="O1335" s="639"/>
      <c r="P1335" s="638" t="s">
        <v>423</v>
      </c>
      <c r="R1335" s="645" t="s">
        <v>1403</v>
      </c>
      <c r="T1335" s="645" t="s">
        <v>1403</v>
      </c>
      <c r="V1335" s="645" t="s">
        <v>1403</v>
      </c>
      <c r="X1335">
        <f>IF(APPLICATION_LVL="",0,IF(OR(APPLICATION_LVL=COV!$V$68,APPLICATION_LVL=COV!$V$67),Dictionary!Z1335,IF(APPLICATION_LVL=COV!$V$66,Dictionary!AA1335,IF(APPLICATION_LVL=COV!$V$65,IF(DOMAIN=COV!$T$72,Dictionary!AC1335,IF(DOMAIN=COV!$T$73,Dictionary!AD1335,IF(DOMAIN=COV!$T$75,Dictionary!AE1335,2))),IF(APPLICATION_LVL=COV!$V$64,IF(DOMAIN=COV!$T$72,Dictionary!AG1335,IF(DOMAIN=COV!$T$73,Dictionary!AH1335,IF(DOMAIN=COV!$T$75,Dictionary!AI1335,3))),1)))))</f>
        <v>2</v>
      </c>
      <c r="Z1335" s="1779">
        <f t="shared" si="20"/>
        <v>0</v>
      </c>
      <c r="AA1335" s="1779">
        <f t="shared" si="21"/>
        <v>2</v>
      </c>
      <c r="AB1335" s="1779"/>
      <c r="AC1335" s="1779">
        <f t="shared" si="22"/>
        <v>2</v>
      </c>
      <c r="AD1335">
        <v>2</v>
      </c>
      <c r="AE1335">
        <v>2</v>
      </c>
      <c r="AG1335" s="1779">
        <f t="shared" si="23"/>
        <v>2</v>
      </c>
      <c r="AH1335">
        <v>2</v>
      </c>
      <c r="AI1335">
        <v>2</v>
      </c>
      <c r="AK1335">
        <v>0</v>
      </c>
      <c r="AL1335">
        <v>2</v>
      </c>
      <c r="AN1335">
        <v>2</v>
      </c>
      <c r="AP1335">
        <v>2</v>
      </c>
      <c r="AR1335">
        <v>0</v>
      </c>
      <c r="AS1335">
        <v>3</v>
      </c>
      <c r="AU1335">
        <v>3</v>
      </c>
      <c r="AW1335">
        <v>3</v>
      </c>
    </row>
    <row r="1336" spans="2:49" ht="16">
      <c r="B1336" s="616" t="str">
        <f>IF(FORM_LANGUAGE=GER,Dictionary!G1336,Dictionary!E1336)</f>
        <v>Ownership übernehmen und Commitment zeigen</v>
      </c>
      <c r="E1336" s="616" t="str">
        <f>IF(DOMAIN=COV!$T$72,Dictionary!L1336,IF(DOMAIN=COV!$T$73,Dictionary!N1336,IF(DOMAIN=COV!$T$74,Dictionary!P1336,Dictionary!L1336)))</f>
        <v>Take ownership and show commitment</v>
      </c>
      <c r="F1336" s="616"/>
      <c r="G1336" s="616" t="str">
        <f>IF(DOMAIN=COV!$T$72,Dictionary!R1336,IF(DOMAIN=COV!$T$73,Dictionary!T1336,IF(DOMAIN=COV!$T$74,Dictionary!V1336,Dictionary!R1336)))</f>
        <v>Ownership übernehmen und Commitment zeigen</v>
      </c>
      <c r="I1336" s="615" t="s">
        <v>1641</v>
      </c>
      <c r="J1336" s="615" t="s">
        <v>1701</v>
      </c>
      <c r="L1336" s="616" t="s">
        <v>422</v>
      </c>
      <c r="N1336" s="638" t="s">
        <v>422</v>
      </c>
      <c r="O1336" s="639"/>
      <c r="P1336" s="638" t="s">
        <v>422</v>
      </c>
      <c r="R1336" s="645" t="s">
        <v>1404</v>
      </c>
      <c r="T1336" s="645" t="s">
        <v>1404</v>
      </c>
      <c r="V1336" s="645" t="s">
        <v>1404</v>
      </c>
      <c r="X1336">
        <f>IF(APPLICATION_LVL="",0,IF(OR(APPLICATION_LVL=COV!$V$68,APPLICATION_LVL=COV!$V$67),Dictionary!Z1336,IF(APPLICATION_LVL=COV!$V$66,Dictionary!AA1336,IF(APPLICATION_LVL=COV!$V$65,IF(DOMAIN=COV!$T$72,Dictionary!AC1336,IF(DOMAIN=COV!$T$73,Dictionary!AD1336,IF(DOMAIN=COV!$T$75,Dictionary!AE1336,2))),IF(APPLICATION_LVL=COV!$V$64,IF(DOMAIN=COV!$T$72,Dictionary!AG1336,IF(DOMAIN=COV!$T$73,Dictionary!AH1336,IF(DOMAIN=COV!$T$75,Dictionary!AI1336,3))),1)))))</f>
        <v>3</v>
      </c>
      <c r="Z1336" s="1779">
        <f t="shared" si="20"/>
        <v>0</v>
      </c>
      <c r="AA1336" s="1779">
        <f t="shared" si="21"/>
        <v>2</v>
      </c>
      <c r="AB1336" s="1779"/>
      <c r="AC1336" s="1779">
        <f t="shared" si="22"/>
        <v>3</v>
      </c>
      <c r="AD1336">
        <v>3</v>
      </c>
      <c r="AE1336">
        <v>3</v>
      </c>
      <c r="AG1336" s="1779">
        <f t="shared" si="23"/>
        <v>3</v>
      </c>
      <c r="AH1336">
        <v>3</v>
      </c>
      <c r="AI1336">
        <v>3</v>
      </c>
      <c r="AK1336">
        <v>0</v>
      </c>
      <c r="AL1336">
        <v>2</v>
      </c>
      <c r="AN1336">
        <v>3</v>
      </c>
      <c r="AP1336">
        <v>3</v>
      </c>
      <c r="AR1336">
        <v>0</v>
      </c>
      <c r="AS1336">
        <v>3</v>
      </c>
      <c r="AU1336">
        <v>5</v>
      </c>
      <c r="AW1336">
        <v>6</v>
      </c>
    </row>
    <row r="1337" spans="2:49" ht="29" customHeight="1">
      <c r="B1337" s="616" t="str">
        <f>IF(FORM_LANGUAGE=GER,Dictionary!G1337,Dictionary!E1337)</f>
        <v>Durch Vorgeben der Richtung, durch Coaching und Mentoring die Arbeit von Einzelpersonen und Teams leiten und verbessern</v>
      </c>
      <c r="E1337" s="616" t="str">
        <f>IF(DOMAIN=COV!$T$72,Dictionary!L1337,IF(DOMAIN=COV!$T$73,Dictionary!N1337,IF(DOMAIN=COV!$T$74,Dictionary!P1337,Dictionary!L1337)))</f>
        <v>Provide direction, coaching, and mentoring to guide and improve the work of individuals and teams</v>
      </c>
      <c r="F1337" s="616"/>
      <c r="G1337" s="616" t="str">
        <f>IF(DOMAIN=COV!$T$72,Dictionary!R1337,IF(DOMAIN=COV!$T$73,Dictionary!T1337,IF(DOMAIN=COV!$T$74,Dictionary!V1337,Dictionary!R1337)))</f>
        <v>Durch Vorgeben der Richtung, durch Coaching und Mentoring die Arbeit von Einzelpersonen und Teams leiten und verbessern</v>
      </c>
      <c r="I1337" s="615" t="s">
        <v>1642</v>
      </c>
      <c r="J1337" s="615" t="s">
        <v>1702</v>
      </c>
      <c r="L1337" s="616" t="s">
        <v>421</v>
      </c>
      <c r="N1337" s="638" t="s">
        <v>421</v>
      </c>
      <c r="O1337" s="639"/>
      <c r="P1337" s="638" t="s">
        <v>421</v>
      </c>
      <c r="R1337" s="645" t="s">
        <v>1405</v>
      </c>
      <c r="T1337" s="645" t="s">
        <v>1405</v>
      </c>
      <c r="V1337" s="645" t="s">
        <v>1405</v>
      </c>
      <c r="X1337">
        <f>IF(APPLICATION_LVL="",0,IF(OR(APPLICATION_LVL=COV!$V$68,APPLICATION_LVL=COV!$V$67),Dictionary!Z1337,IF(APPLICATION_LVL=COV!$V$66,Dictionary!AA1337,IF(APPLICATION_LVL=COV!$V$65,IF(DOMAIN=COV!$T$72,Dictionary!AC1337,IF(DOMAIN=COV!$T$73,Dictionary!AD1337,IF(DOMAIN=COV!$T$75,Dictionary!AE1337,2))),IF(APPLICATION_LVL=COV!$V$64,IF(DOMAIN=COV!$T$72,Dictionary!AG1337,IF(DOMAIN=COV!$T$73,Dictionary!AH1337,IF(DOMAIN=COV!$T$75,Dictionary!AI1337,3))),1)))))</f>
        <v>3</v>
      </c>
      <c r="Z1337" s="1779">
        <f t="shared" si="20"/>
        <v>1</v>
      </c>
      <c r="AA1337" s="1779">
        <f t="shared" si="21"/>
        <v>2</v>
      </c>
      <c r="AB1337" s="1779"/>
      <c r="AC1337" s="1779">
        <f t="shared" si="22"/>
        <v>3</v>
      </c>
      <c r="AD1337">
        <v>3</v>
      </c>
      <c r="AE1337">
        <v>3</v>
      </c>
      <c r="AG1337" s="1779">
        <f t="shared" si="23"/>
        <v>3</v>
      </c>
      <c r="AH1337">
        <v>3</v>
      </c>
      <c r="AI1337">
        <v>3</v>
      </c>
      <c r="AK1337">
        <v>1</v>
      </c>
      <c r="AL1337">
        <v>2</v>
      </c>
      <c r="AN1337">
        <v>3</v>
      </c>
      <c r="AP1337">
        <v>3</v>
      </c>
      <c r="AR1337">
        <v>2</v>
      </c>
      <c r="AS1337">
        <v>3</v>
      </c>
      <c r="AU1337">
        <v>5</v>
      </c>
      <c r="AW1337">
        <v>5</v>
      </c>
    </row>
    <row r="1338" spans="2:49" ht="14.5" customHeight="1">
      <c r="B1338" s="616" t="str">
        <f>IF(FORM_LANGUAGE=GER,Dictionary!G1338,Dictionary!E1338)</f>
        <v>Macht und Einfluss angemessen auf Dritte ausüben, um die Ziele zu erreichen</v>
      </c>
      <c r="E1338" s="616" t="str">
        <f>IF(DOMAIN=COV!$T$72,Dictionary!L1338,IF(DOMAIN=COV!$T$73,Dictionary!N1338,IF(DOMAIN=COV!$T$74,Dictionary!P1338,Dictionary!L1338)))</f>
        <v>Exert appropriate power and influence over others to achieve project goals</v>
      </c>
      <c r="F1338" s="616"/>
      <c r="G1338" s="616" t="str">
        <f>IF(DOMAIN=COV!$T$72,Dictionary!R1338,IF(DOMAIN=COV!$T$73,Dictionary!T1338,IF(DOMAIN=COV!$T$74,Dictionary!V1338,Dictionary!R1338)))</f>
        <v>Macht und Einfluss angemessen auf Dritte ausüben, um die Ziele zu erreichen</v>
      </c>
      <c r="I1338" s="615" t="s">
        <v>1643</v>
      </c>
      <c r="J1338" s="615" t="s">
        <v>1703</v>
      </c>
      <c r="L1338" s="616" t="s">
        <v>420</v>
      </c>
      <c r="N1338" s="638" t="s">
        <v>420</v>
      </c>
      <c r="O1338" s="639"/>
      <c r="P1338" s="638" t="s">
        <v>420</v>
      </c>
      <c r="R1338" s="645" t="s">
        <v>1406</v>
      </c>
      <c r="T1338" s="645" t="s">
        <v>1406</v>
      </c>
      <c r="V1338" s="645" t="s">
        <v>1406</v>
      </c>
      <c r="X1338">
        <f>IF(APPLICATION_LVL="",0,IF(OR(APPLICATION_LVL=COV!$V$68,APPLICATION_LVL=COV!$V$67),Dictionary!Z1338,IF(APPLICATION_LVL=COV!$V$66,Dictionary!AA1338,IF(APPLICATION_LVL=COV!$V$65,IF(DOMAIN=COV!$T$72,Dictionary!AC1338,IF(DOMAIN=COV!$T$73,Dictionary!AD1338,IF(DOMAIN=COV!$T$75,Dictionary!AE1338,2))),IF(APPLICATION_LVL=COV!$V$64,IF(DOMAIN=COV!$T$72,Dictionary!AG1338,IF(DOMAIN=COV!$T$73,Dictionary!AH1338,IF(DOMAIN=COV!$T$75,Dictionary!AI1338,3))),1)))))</f>
        <v>3</v>
      </c>
      <c r="Z1338" s="1779">
        <f t="shared" si="20"/>
        <v>0</v>
      </c>
      <c r="AA1338" s="1779">
        <f t="shared" si="21"/>
        <v>2</v>
      </c>
      <c r="AB1338" s="1779"/>
      <c r="AC1338" s="1779">
        <f t="shared" si="22"/>
        <v>3</v>
      </c>
      <c r="AD1338">
        <v>3</v>
      </c>
      <c r="AE1338">
        <v>3</v>
      </c>
      <c r="AG1338" s="1779">
        <f t="shared" si="23"/>
        <v>3</v>
      </c>
      <c r="AH1338">
        <v>3</v>
      </c>
      <c r="AI1338">
        <v>3</v>
      </c>
      <c r="AK1338">
        <v>0</v>
      </c>
      <c r="AL1338">
        <v>2</v>
      </c>
      <c r="AN1338">
        <v>3</v>
      </c>
      <c r="AP1338">
        <v>3</v>
      </c>
      <c r="AR1338">
        <v>0</v>
      </c>
      <c r="AS1338">
        <v>3</v>
      </c>
      <c r="AU1338">
        <v>5</v>
      </c>
      <c r="AW1338">
        <v>6</v>
      </c>
    </row>
    <row r="1339" spans="2:49" ht="16">
      <c r="B1339" s="616" t="str">
        <f>IF(FORM_LANGUAGE=GER,Dictionary!G1339,Dictionary!E1339)</f>
        <v>Entscheidungen treffen, durchsetzen und überprüfen</v>
      </c>
      <c r="E1339" s="616" t="str">
        <f>IF(DOMAIN=COV!$T$72,Dictionary!L1339,IF(DOMAIN=COV!$T$73,Dictionary!N1339,IF(DOMAIN=COV!$T$74,Dictionary!P1339,Dictionary!L1339)))</f>
        <v>Make, enforce, and review decisions</v>
      </c>
      <c r="F1339" s="616"/>
      <c r="G1339" s="616" t="str">
        <f>IF(DOMAIN=COV!$T$72,Dictionary!R1339,IF(DOMAIN=COV!$T$73,Dictionary!T1339,IF(DOMAIN=COV!$T$74,Dictionary!V1339,Dictionary!R1339)))</f>
        <v>Entscheidungen treffen, durchsetzen und überprüfen</v>
      </c>
      <c r="I1339" s="615" t="s">
        <v>1644</v>
      </c>
      <c r="J1339" s="615" t="s">
        <v>1704</v>
      </c>
      <c r="L1339" s="616" t="s">
        <v>419</v>
      </c>
      <c r="N1339" s="638" t="s">
        <v>419</v>
      </c>
      <c r="O1339" s="639"/>
      <c r="P1339" s="638" t="s">
        <v>419</v>
      </c>
      <c r="R1339" s="645" t="s">
        <v>1407</v>
      </c>
      <c r="T1339" s="645" t="s">
        <v>1407</v>
      </c>
      <c r="V1339" s="645" t="s">
        <v>1407</v>
      </c>
      <c r="X1339">
        <f>IF(APPLICATION_LVL="",0,IF(OR(APPLICATION_LVL=COV!$V$68,APPLICATION_LVL=COV!$V$67),Dictionary!Z1339,IF(APPLICATION_LVL=COV!$V$66,Dictionary!AA1339,IF(APPLICATION_LVL=COV!$V$65,IF(DOMAIN=COV!$T$72,Dictionary!AC1339,IF(DOMAIN=COV!$T$73,Dictionary!AD1339,IF(DOMAIN=COV!$T$75,Dictionary!AE1339,2))),IF(APPLICATION_LVL=COV!$V$64,IF(DOMAIN=COV!$T$72,Dictionary!AG1339,IF(DOMAIN=COV!$T$73,Dictionary!AH1339,IF(DOMAIN=COV!$T$75,Dictionary!AI1339,3))),1)))))</f>
        <v>3</v>
      </c>
      <c r="Z1339" s="1779">
        <f t="shared" si="20"/>
        <v>1</v>
      </c>
      <c r="AA1339" s="1779">
        <f t="shared" si="21"/>
        <v>2</v>
      </c>
      <c r="AB1339" s="1779"/>
      <c r="AC1339" s="1779">
        <f t="shared" si="22"/>
        <v>3</v>
      </c>
      <c r="AD1339">
        <v>3</v>
      </c>
      <c r="AE1339">
        <v>3</v>
      </c>
      <c r="AG1339" s="1779">
        <f t="shared" si="23"/>
        <v>3</v>
      </c>
      <c r="AH1339">
        <v>3</v>
      </c>
      <c r="AI1339">
        <v>3</v>
      </c>
      <c r="AK1339">
        <v>1</v>
      </c>
      <c r="AL1339">
        <v>2</v>
      </c>
      <c r="AN1339">
        <v>3</v>
      </c>
      <c r="AP1339">
        <v>3</v>
      </c>
      <c r="AR1339">
        <v>0</v>
      </c>
      <c r="AS1339">
        <v>3</v>
      </c>
      <c r="AU1339">
        <v>5</v>
      </c>
      <c r="AW1339">
        <v>6</v>
      </c>
    </row>
    <row r="1340" spans="2:49">
      <c r="F1340" s="638"/>
    </row>
    <row r="1342" spans="2:49" ht="16">
      <c r="B1342" s="649" t="str">
        <f>IF(FORM_LANGUAGE=GER,Dictionary!G1342,Dictionary!E1342)</f>
        <v>Teamarbeit</v>
      </c>
      <c r="C1342" s="650"/>
      <c r="D1342" s="650"/>
      <c r="E1342" s="649" t="str">
        <f>E1240</f>
        <v>Teamwork</v>
      </c>
      <c r="F1342" s="649"/>
      <c r="G1342" s="649" t="str">
        <f>G1240</f>
        <v>Teamarbeit</v>
      </c>
      <c r="H1342" s="74"/>
      <c r="I1342" s="651" t="s">
        <v>418</v>
      </c>
      <c r="J1342" s="650" t="s">
        <v>1693</v>
      </c>
      <c r="K1342" s="650"/>
      <c r="L1342" s="649"/>
      <c r="M1342" s="650"/>
      <c r="N1342" s="649"/>
      <c r="O1342" s="650"/>
      <c r="P1342" s="649"/>
      <c r="Q1342" s="74"/>
      <c r="R1342" s="654"/>
      <c r="S1342" s="74"/>
      <c r="T1342" s="654"/>
      <c r="U1342" s="74"/>
      <c r="V1342" s="654"/>
      <c r="X1342">
        <f>IF(APPLICATION_LVL="",0,IF(OR(APPLICATION_LVL=COV!$V$68,APPLICATION_LVL=COV!$V$67),Dictionary!Z1342,IF(APPLICATION_LVL=COV!$V$66,Dictionary!AA1342,IF(APPLICATION_LVL=COV!$V$65,IF(DOMAIN=COV!$T$72,Dictionary!AC1342,IF(DOMAIN=COV!$T$73,Dictionary!AD1342,IF(DOMAIN=COV!$T$75,Dictionary!AE1342,2))),IF(APPLICATION_LVL=COV!$V$64,IF(DOMAIN=COV!$T$72,Dictionary!AG1342,IF(DOMAIN=COV!$T$73,Dictionary!AH1342,IF(DOMAIN=COV!$T$75,Dictionary!AI1342,3))),1)))))</f>
        <v>3</v>
      </c>
      <c r="Z1342" s="1779">
        <f t="shared" ref="Z1342:AA1347" si="24">IF(GC_Flag="",AK1342,AR1342)</f>
        <v>1</v>
      </c>
      <c r="AA1342" s="1779">
        <f t="shared" si="24"/>
        <v>2</v>
      </c>
      <c r="AB1342" s="1779"/>
      <c r="AC1342" s="1779">
        <f t="shared" ref="AC1342:AC1347" si="25">IF(GC_Flag="",AN1342,AU1342)</f>
        <v>3</v>
      </c>
      <c r="AD1342">
        <v>3</v>
      </c>
      <c r="AE1342">
        <v>3</v>
      </c>
      <c r="AG1342" s="1779">
        <f t="shared" ref="AG1342:AG1347" si="26">IF(GC_Flag="",AP1342,AW1342)</f>
        <v>3</v>
      </c>
      <c r="AH1342">
        <v>3</v>
      </c>
      <c r="AI1342">
        <v>3</v>
      </c>
      <c r="AK1342">
        <v>1</v>
      </c>
      <c r="AL1342">
        <v>2</v>
      </c>
      <c r="AN1342">
        <v>3</v>
      </c>
      <c r="AP1342">
        <v>3</v>
      </c>
      <c r="AR1342">
        <v>2</v>
      </c>
      <c r="AS1342">
        <v>3</v>
      </c>
      <c r="AU1342">
        <v>5</v>
      </c>
      <c r="AW1342">
        <v>6</v>
      </c>
    </row>
    <row r="1343" spans="2:49" ht="16">
      <c r="B1343" s="616" t="str">
        <f>IF(FORM_LANGUAGE=GER,Dictionary!G1343,Dictionary!E1343)</f>
        <v>Das Team zusammenstellen und entwickeln</v>
      </c>
      <c r="E1343" s="616" t="str">
        <f>IF(DOMAIN=COV!$T$72,Dictionary!L1343,IF(DOMAIN=COV!$T$73,Dictionary!N1343,IF(DOMAIN=COV!$T$74,Dictionary!P1343,Dictionary!L1343)))</f>
        <v>Select and build the team</v>
      </c>
      <c r="F1343" s="616"/>
      <c r="G1343" s="616" t="str">
        <f>IF(DOMAIN=COV!$T$72,Dictionary!R1343,IF(DOMAIN=COV!$T$73,Dictionary!T1343,IF(DOMAIN=COV!$T$74,Dictionary!V1343,Dictionary!R1343)))</f>
        <v>Das Team zusammenstellen und entwickeln</v>
      </c>
      <c r="I1343" s="615" t="s">
        <v>1645</v>
      </c>
      <c r="J1343" s="615" t="s">
        <v>1694</v>
      </c>
      <c r="L1343" s="616" t="s">
        <v>417</v>
      </c>
      <c r="N1343" s="638" t="s">
        <v>417</v>
      </c>
      <c r="O1343" s="639"/>
      <c r="P1343" s="638" t="s">
        <v>417</v>
      </c>
      <c r="R1343" s="645" t="s">
        <v>1408</v>
      </c>
      <c r="T1343" s="645" t="s">
        <v>1408</v>
      </c>
      <c r="V1343" s="645" t="s">
        <v>1408</v>
      </c>
      <c r="X1343">
        <f>IF(APPLICATION_LVL="",0,IF(OR(APPLICATION_LVL=COV!$V$68,APPLICATION_LVL=COV!$V$67),Dictionary!Z1343,IF(APPLICATION_LVL=COV!$V$66,Dictionary!AA1343,IF(APPLICATION_LVL=COV!$V$65,IF(DOMAIN=COV!$T$72,Dictionary!AC1343,IF(DOMAIN=COV!$T$73,Dictionary!AD1343,IF(DOMAIN=COV!$T$75,Dictionary!AE1343,2))),IF(APPLICATION_LVL=COV!$V$64,IF(DOMAIN=COV!$T$72,Dictionary!AG1343,IF(DOMAIN=COV!$T$73,Dictionary!AH1343,IF(DOMAIN=COV!$T$75,Dictionary!AI1343,3))),1)))))</f>
        <v>3</v>
      </c>
      <c r="Z1343" s="1779">
        <f t="shared" si="24"/>
        <v>1</v>
      </c>
      <c r="AA1343" s="1779">
        <f t="shared" si="24"/>
        <v>2</v>
      </c>
      <c r="AB1343" s="1779"/>
      <c r="AC1343" s="1779">
        <f t="shared" si="25"/>
        <v>3</v>
      </c>
      <c r="AD1343">
        <v>3</v>
      </c>
      <c r="AE1343">
        <v>3</v>
      </c>
      <c r="AG1343" s="1779">
        <f t="shared" si="26"/>
        <v>3</v>
      </c>
      <c r="AH1343">
        <v>3</v>
      </c>
      <c r="AI1343">
        <v>3</v>
      </c>
      <c r="AK1343">
        <v>1</v>
      </c>
      <c r="AL1343">
        <v>2</v>
      </c>
      <c r="AN1343">
        <v>3</v>
      </c>
      <c r="AP1343">
        <v>3</v>
      </c>
      <c r="AR1343">
        <v>2</v>
      </c>
      <c r="AS1343">
        <v>3</v>
      </c>
      <c r="AU1343">
        <v>4</v>
      </c>
      <c r="AW1343">
        <v>4</v>
      </c>
    </row>
    <row r="1344" spans="2:49" ht="14.5" customHeight="1">
      <c r="B1344" s="616" t="str">
        <f>IF(FORM_LANGUAGE=GER,Dictionary!G1344,Dictionary!E1344)</f>
        <v>Zusammenarbeit und Netzwerken zwischen Teammitgliedern fördern</v>
      </c>
      <c r="E1344" s="616" t="str">
        <f>IF(DOMAIN=COV!$T$72,Dictionary!L1344,IF(DOMAIN=COV!$T$73,Dictionary!N1344,IF(DOMAIN=COV!$T$74,Dictionary!P1344,Dictionary!L1344)))</f>
        <v>Promote cooperation and networking between team members</v>
      </c>
      <c r="F1344" s="616"/>
      <c r="G1344" s="616" t="str">
        <f>IF(DOMAIN=COV!$T$72,Dictionary!R1344,IF(DOMAIN=COV!$T$73,Dictionary!T1344,IF(DOMAIN=COV!$T$74,Dictionary!V1344,Dictionary!R1344)))</f>
        <v>Zusammenarbeit und Netzwerken zwischen Teammitgliedern fördern</v>
      </c>
      <c r="I1344" s="615" t="s">
        <v>1646</v>
      </c>
      <c r="J1344" s="615" t="s">
        <v>1695</v>
      </c>
      <c r="L1344" s="616" t="s">
        <v>416</v>
      </c>
      <c r="N1344" s="638" t="s">
        <v>416</v>
      </c>
      <c r="O1344" s="639"/>
      <c r="P1344" s="638" t="s">
        <v>416</v>
      </c>
      <c r="R1344" s="645" t="s">
        <v>1409</v>
      </c>
      <c r="T1344" s="645" t="s">
        <v>1409</v>
      </c>
      <c r="V1344" s="645" t="s">
        <v>1409</v>
      </c>
      <c r="X1344">
        <f>IF(APPLICATION_LVL="",0,IF(OR(APPLICATION_LVL=COV!$V$68,APPLICATION_LVL=COV!$V$67),Dictionary!Z1344,IF(APPLICATION_LVL=COV!$V$66,Dictionary!AA1344,IF(APPLICATION_LVL=COV!$V$65,IF(DOMAIN=COV!$T$72,Dictionary!AC1344,IF(DOMAIN=COV!$T$73,Dictionary!AD1344,IF(DOMAIN=COV!$T$75,Dictionary!AE1344,2))),IF(APPLICATION_LVL=COV!$V$64,IF(DOMAIN=COV!$T$72,Dictionary!AG1344,IF(DOMAIN=COV!$T$73,Dictionary!AH1344,IF(DOMAIN=COV!$T$75,Dictionary!AI1344,3))),1)))))</f>
        <v>3</v>
      </c>
      <c r="Z1344" s="1779">
        <f t="shared" si="24"/>
        <v>1</v>
      </c>
      <c r="AA1344" s="1779">
        <f t="shared" si="24"/>
        <v>2</v>
      </c>
      <c r="AB1344" s="1779"/>
      <c r="AC1344" s="1779">
        <f t="shared" si="25"/>
        <v>2</v>
      </c>
      <c r="AD1344">
        <v>2</v>
      </c>
      <c r="AE1344">
        <v>2</v>
      </c>
      <c r="AG1344" s="1779">
        <f t="shared" si="26"/>
        <v>3</v>
      </c>
      <c r="AH1344">
        <v>3</v>
      </c>
      <c r="AI1344">
        <v>3</v>
      </c>
      <c r="AK1344">
        <v>1</v>
      </c>
      <c r="AL1344">
        <v>2</v>
      </c>
      <c r="AN1344">
        <v>2</v>
      </c>
      <c r="AP1344">
        <v>3</v>
      </c>
      <c r="AR1344">
        <v>2</v>
      </c>
      <c r="AS1344">
        <v>3</v>
      </c>
      <c r="AU1344">
        <v>4</v>
      </c>
      <c r="AW1344">
        <v>4</v>
      </c>
    </row>
    <row r="1345" spans="2:49" ht="14.5" customHeight="1">
      <c r="B1345" s="616" t="str">
        <f>IF(FORM_LANGUAGE=GER,Dictionary!G1345,Dictionary!E1345)</f>
        <v>Die Entwicklung des Teams und der Teammitglieder ermöglichen, unterstützen und überprüfen</v>
      </c>
      <c r="E1345" s="616" t="str">
        <f>IF(DOMAIN=COV!$T$72,Dictionary!L1345,IF(DOMAIN=COV!$T$73,Dictionary!N1345,IF(DOMAIN=COV!$T$74,Dictionary!P1345,Dictionary!L1345)))</f>
        <v>Support, facilitate, and review the development of the team and its members</v>
      </c>
      <c r="F1345" s="616"/>
      <c r="G1345" s="616" t="str">
        <f>IF(DOMAIN=COV!$T$72,Dictionary!R1345,IF(DOMAIN=COV!$T$73,Dictionary!T1345,IF(DOMAIN=COV!$T$74,Dictionary!V1345,Dictionary!R1345)))</f>
        <v>Die Entwicklung des Teams und der Teammitglieder ermöglichen, unterstützen und überprüfen</v>
      </c>
      <c r="I1345" s="615" t="s">
        <v>1647</v>
      </c>
      <c r="J1345" s="615" t="s">
        <v>1696</v>
      </c>
      <c r="L1345" s="616" t="s">
        <v>415</v>
      </c>
      <c r="N1345" s="638" t="s">
        <v>415</v>
      </c>
      <c r="O1345" s="639"/>
      <c r="P1345" s="638" t="s">
        <v>415</v>
      </c>
      <c r="R1345" s="645" t="s">
        <v>1410</v>
      </c>
      <c r="T1345" s="645" t="s">
        <v>1410</v>
      </c>
      <c r="V1345" s="645" t="s">
        <v>1410</v>
      </c>
      <c r="X1345">
        <f>IF(APPLICATION_LVL="",0,IF(OR(APPLICATION_LVL=COV!$V$68,APPLICATION_LVL=COV!$V$67),Dictionary!Z1345,IF(APPLICATION_LVL=COV!$V$66,Dictionary!AA1345,IF(APPLICATION_LVL=COV!$V$65,IF(DOMAIN=COV!$T$72,Dictionary!AC1345,IF(DOMAIN=COV!$T$73,Dictionary!AD1345,IF(DOMAIN=COV!$T$75,Dictionary!AE1345,2))),IF(APPLICATION_LVL=COV!$V$64,IF(DOMAIN=COV!$T$72,Dictionary!AG1345,IF(DOMAIN=COV!$T$73,Dictionary!AH1345,IF(DOMAIN=COV!$T$75,Dictionary!AI1345,3))),1)))))</f>
        <v>3</v>
      </c>
      <c r="Z1345" s="1779">
        <f t="shared" si="24"/>
        <v>1</v>
      </c>
      <c r="AA1345" s="1779">
        <f t="shared" si="24"/>
        <v>2</v>
      </c>
      <c r="AB1345" s="1779"/>
      <c r="AC1345" s="1779">
        <f t="shared" si="25"/>
        <v>2</v>
      </c>
      <c r="AD1345">
        <v>2</v>
      </c>
      <c r="AE1345">
        <v>2</v>
      </c>
      <c r="AG1345" s="1779">
        <f t="shared" si="26"/>
        <v>3</v>
      </c>
      <c r="AH1345">
        <v>3</v>
      </c>
      <c r="AI1345">
        <v>3</v>
      </c>
      <c r="AK1345">
        <v>1</v>
      </c>
      <c r="AL1345">
        <v>2</v>
      </c>
      <c r="AN1345">
        <v>2</v>
      </c>
      <c r="AP1345">
        <v>3</v>
      </c>
      <c r="AR1345">
        <v>2</v>
      </c>
      <c r="AS1345">
        <v>3</v>
      </c>
      <c r="AU1345">
        <v>4</v>
      </c>
      <c r="AW1345">
        <v>4</v>
      </c>
    </row>
    <row r="1346" spans="2:49" ht="14.5" customHeight="1">
      <c r="B1346" s="616" t="str">
        <f>IF(FORM_LANGUAGE=GER,Dictionary!G1346,Dictionary!E1346)</f>
        <v>Teams durch das Delegieren von Aufgaben und Verantwortlichkeiten stärken</v>
      </c>
      <c r="E1346" s="616" t="str">
        <f>IF(DOMAIN=COV!$T$72,Dictionary!L1346,IF(DOMAIN=COV!$T$73,Dictionary!N1346,IF(DOMAIN=COV!$T$74,Dictionary!P1346,Dictionary!L1346)))</f>
        <v>Empower teams by delegating tasks and responsibilities</v>
      </c>
      <c r="F1346" s="616"/>
      <c r="G1346" s="616" t="str">
        <f>IF(DOMAIN=COV!$T$72,Dictionary!R1346,IF(DOMAIN=COV!$T$73,Dictionary!T1346,IF(DOMAIN=COV!$T$74,Dictionary!V1346,Dictionary!R1346)))</f>
        <v>Teams durch das Delegieren von Aufgaben und Verantwortlichkeiten stärken</v>
      </c>
      <c r="I1346" s="615" t="s">
        <v>1648</v>
      </c>
      <c r="J1346" s="615" t="s">
        <v>1697</v>
      </c>
      <c r="L1346" s="616" t="s">
        <v>414</v>
      </c>
      <c r="N1346" s="638" t="s">
        <v>414</v>
      </c>
      <c r="O1346" s="639"/>
      <c r="P1346" s="638" t="s">
        <v>414</v>
      </c>
      <c r="R1346" s="645" t="s">
        <v>1411</v>
      </c>
      <c r="T1346" s="645" t="s">
        <v>1411</v>
      </c>
      <c r="V1346" s="645" t="s">
        <v>1411</v>
      </c>
      <c r="X1346">
        <f>IF(APPLICATION_LVL="",0,IF(OR(APPLICATION_LVL=COV!$V$68,APPLICATION_LVL=COV!$V$67),Dictionary!Z1346,IF(APPLICATION_LVL=COV!$V$66,Dictionary!AA1346,IF(APPLICATION_LVL=COV!$V$65,IF(DOMAIN=COV!$T$72,Dictionary!AC1346,IF(DOMAIN=COV!$T$73,Dictionary!AD1346,IF(DOMAIN=COV!$T$75,Dictionary!AE1346,2))),IF(APPLICATION_LVL=COV!$V$64,IF(DOMAIN=COV!$T$72,Dictionary!AG1346,IF(DOMAIN=COV!$T$73,Dictionary!AH1346,IF(DOMAIN=COV!$T$75,Dictionary!AI1346,3))),1)))))</f>
        <v>3</v>
      </c>
      <c r="Z1346" s="1779">
        <f t="shared" si="24"/>
        <v>0</v>
      </c>
      <c r="AA1346" s="1779">
        <f t="shared" si="24"/>
        <v>2</v>
      </c>
      <c r="AB1346" s="1779"/>
      <c r="AC1346" s="1779">
        <f t="shared" si="25"/>
        <v>3</v>
      </c>
      <c r="AD1346">
        <v>3</v>
      </c>
      <c r="AE1346">
        <v>3</v>
      </c>
      <c r="AG1346" s="1779">
        <f t="shared" si="26"/>
        <v>3</v>
      </c>
      <c r="AH1346">
        <v>3</v>
      </c>
      <c r="AI1346">
        <v>3</v>
      </c>
      <c r="AK1346">
        <v>0</v>
      </c>
      <c r="AL1346">
        <v>2</v>
      </c>
      <c r="AN1346">
        <v>3</v>
      </c>
      <c r="AP1346">
        <v>3</v>
      </c>
      <c r="AR1346">
        <v>0</v>
      </c>
      <c r="AS1346">
        <v>3</v>
      </c>
      <c r="AU1346">
        <v>5</v>
      </c>
      <c r="AW1346">
        <v>6</v>
      </c>
    </row>
    <row r="1347" spans="2:49" ht="14.5" customHeight="1">
      <c r="B1347" s="616" t="str">
        <f>IF(FORM_LANGUAGE=GER,Dictionary!G1347,Dictionary!E1347)</f>
        <v>Fehler erkennen, um das Lernen aus Fehlern zu ermöglichen</v>
      </c>
      <c r="E1347" s="616" t="str">
        <f>IF(DOMAIN=COV!$T$72,Dictionary!L1347,IF(DOMAIN=COV!$T$73,Dictionary!N1347,IF(DOMAIN=COV!$T$74,Dictionary!P1347,Dictionary!L1347)))</f>
        <v>Recognize errors to facilitate learning from mistakes</v>
      </c>
      <c r="F1347" s="616"/>
      <c r="G1347" s="616" t="str">
        <f>IF(DOMAIN=COV!$T$72,Dictionary!R1347,IF(DOMAIN=COV!$T$73,Dictionary!T1347,IF(DOMAIN=COV!$T$74,Dictionary!V1347,Dictionary!R1347)))</f>
        <v>Fehler erkennen, um das Lernen aus Fehlern zu ermöglichen</v>
      </c>
      <c r="I1347" s="615" t="s">
        <v>1649</v>
      </c>
      <c r="J1347" s="615" t="s">
        <v>1698</v>
      </c>
      <c r="L1347" s="616" t="s">
        <v>413</v>
      </c>
      <c r="N1347" s="638" t="s">
        <v>413</v>
      </c>
      <c r="O1347" s="639"/>
      <c r="P1347" s="638" t="s">
        <v>413</v>
      </c>
      <c r="R1347" s="645" t="s">
        <v>1412</v>
      </c>
      <c r="T1347" s="645" t="s">
        <v>1412</v>
      </c>
      <c r="V1347" s="645" t="s">
        <v>1412</v>
      </c>
      <c r="X1347">
        <f>IF(APPLICATION_LVL="",0,IF(OR(APPLICATION_LVL=COV!$V$68,APPLICATION_LVL=COV!$V$67),Dictionary!Z1347,IF(APPLICATION_LVL=COV!$V$66,Dictionary!AA1347,IF(APPLICATION_LVL=COV!$V$65,IF(DOMAIN=COV!$T$72,Dictionary!AC1347,IF(DOMAIN=COV!$T$73,Dictionary!AD1347,IF(DOMAIN=COV!$T$75,Dictionary!AE1347,2))),IF(APPLICATION_LVL=COV!$V$64,IF(DOMAIN=COV!$T$72,Dictionary!AG1347,IF(DOMAIN=COV!$T$73,Dictionary!AH1347,IF(DOMAIN=COV!$T$75,Dictionary!AI1347,3))),1)))))</f>
        <v>3</v>
      </c>
      <c r="Z1347" s="1779">
        <f t="shared" si="24"/>
        <v>1</v>
      </c>
      <c r="AA1347" s="1779">
        <f t="shared" si="24"/>
        <v>2</v>
      </c>
      <c r="AB1347" s="1779"/>
      <c r="AC1347" s="1779">
        <f t="shared" si="25"/>
        <v>2</v>
      </c>
      <c r="AD1347">
        <v>2</v>
      </c>
      <c r="AE1347">
        <v>2</v>
      </c>
      <c r="AG1347" s="1779">
        <f t="shared" si="26"/>
        <v>3</v>
      </c>
      <c r="AH1347">
        <v>3</v>
      </c>
      <c r="AI1347">
        <v>3</v>
      </c>
      <c r="AK1347">
        <v>1</v>
      </c>
      <c r="AL1347">
        <v>2</v>
      </c>
      <c r="AN1347">
        <v>2</v>
      </c>
      <c r="AP1347">
        <v>3</v>
      </c>
      <c r="AR1347">
        <v>2</v>
      </c>
      <c r="AS1347">
        <v>3</v>
      </c>
      <c r="AU1347">
        <v>4</v>
      </c>
      <c r="AW1347">
        <v>6</v>
      </c>
    </row>
    <row r="1348" spans="2:49">
      <c r="F1348" s="638"/>
    </row>
    <row r="1350" spans="2:49" ht="16">
      <c r="B1350" s="649" t="str">
        <f>IF(FORM_LANGUAGE=GER,Dictionary!G1350,Dictionary!E1350)</f>
        <v>Konflikte und Krisen</v>
      </c>
      <c r="C1350" s="650"/>
      <c r="D1350" s="650"/>
      <c r="E1350" s="649" t="str">
        <f>E1241</f>
        <v>Conflict and crisis</v>
      </c>
      <c r="F1350" s="649"/>
      <c r="G1350" s="649" t="str">
        <f>G1241</f>
        <v>Konflikte und Krisen</v>
      </c>
      <c r="H1350" s="74"/>
      <c r="I1350" s="651" t="s">
        <v>412</v>
      </c>
      <c r="J1350" s="650" t="s">
        <v>1688</v>
      </c>
      <c r="K1350" s="650"/>
      <c r="L1350" s="649"/>
      <c r="M1350" s="650"/>
      <c r="N1350" s="649"/>
      <c r="O1350" s="650"/>
      <c r="P1350" s="649"/>
      <c r="Q1350" s="74"/>
      <c r="R1350" s="654"/>
      <c r="S1350" s="74"/>
      <c r="T1350" s="654"/>
      <c r="U1350" s="74"/>
      <c r="V1350" s="654"/>
      <c r="X1350">
        <f>IF(APPLICATION_LVL="",0,IF(OR(APPLICATION_LVL=COV!$V$68,APPLICATION_LVL=COV!$V$67),Dictionary!Z1350,IF(APPLICATION_LVL=COV!$V$66,Dictionary!AA1350,IF(APPLICATION_LVL=COV!$V$65,IF(DOMAIN=COV!$T$72,Dictionary!AC1350,IF(DOMAIN=COV!$T$73,Dictionary!AD1350,IF(DOMAIN=COV!$T$75,Dictionary!AE1350,2))),IF(APPLICATION_LVL=COV!$V$64,IF(DOMAIN=COV!$T$72,Dictionary!AG1350,IF(DOMAIN=COV!$T$73,Dictionary!AH1350,IF(DOMAIN=COV!$T$75,Dictionary!AI1350,3))),1)))))</f>
        <v>3</v>
      </c>
      <c r="Z1350" s="1779">
        <f t="shared" ref="Z1350:AA1354" si="27">IF(GC_Flag="",AK1350,AR1350)</f>
        <v>1</v>
      </c>
      <c r="AA1350" s="1779">
        <f t="shared" si="27"/>
        <v>2</v>
      </c>
      <c r="AB1350" s="1779"/>
      <c r="AC1350" s="1779">
        <f>IF(GC_Flag="",AN1350,AU1350)</f>
        <v>3</v>
      </c>
      <c r="AD1350">
        <v>3</v>
      </c>
      <c r="AE1350">
        <v>3</v>
      </c>
      <c r="AG1350" s="1779">
        <f>IF(GC_Flag="",AP1350,AW1350)</f>
        <v>3</v>
      </c>
      <c r="AH1350">
        <v>3</v>
      </c>
      <c r="AI1350">
        <v>3</v>
      </c>
      <c r="AK1350">
        <v>1</v>
      </c>
      <c r="AL1350">
        <v>2</v>
      </c>
      <c r="AN1350">
        <v>3</v>
      </c>
      <c r="AP1350">
        <v>3</v>
      </c>
      <c r="AR1350">
        <v>2</v>
      </c>
      <c r="AS1350">
        <v>3</v>
      </c>
      <c r="AU1350">
        <v>5</v>
      </c>
      <c r="AW1350">
        <v>6</v>
      </c>
    </row>
    <row r="1351" spans="2:49" ht="14.5" customHeight="1">
      <c r="B1351" s="616" t="str">
        <f>IF(FORM_LANGUAGE=GER,Dictionary!G1351,Dictionary!E1351)</f>
        <v>Konflikte und Krisen antizipieren und, wenn möglich, verhindern</v>
      </c>
      <c r="E1351" s="616" t="str">
        <f>IF(DOMAIN=COV!$T$72,Dictionary!L1351,IF(DOMAIN=COV!$T$73,Dictionary!N1351,IF(DOMAIN=COV!$T$74,Dictionary!P1351,Dictionary!L1351)))</f>
        <v>Anticipate and possibly prevent conflicts and crises</v>
      </c>
      <c r="F1351" s="616"/>
      <c r="G1351" s="616" t="str">
        <f>IF(DOMAIN=COV!$T$72,Dictionary!R1351,IF(DOMAIN=COV!$T$73,Dictionary!T1351,IF(DOMAIN=COV!$T$74,Dictionary!V1351,Dictionary!R1351)))</f>
        <v>Konflikte und Krisen antizipieren und, wenn möglich, verhindern</v>
      </c>
      <c r="I1351" s="615" t="s">
        <v>1650</v>
      </c>
      <c r="J1351" s="615" t="s">
        <v>1689</v>
      </c>
      <c r="L1351" s="616" t="s">
        <v>411</v>
      </c>
      <c r="N1351" s="638" t="s">
        <v>411</v>
      </c>
      <c r="O1351" s="639"/>
      <c r="P1351" s="638" t="s">
        <v>411</v>
      </c>
      <c r="R1351" s="645" t="s">
        <v>1413</v>
      </c>
      <c r="T1351" s="645" t="s">
        <v>1413</v>
      </c>
      <c r="V1351" s="645" t="s">
        <v>1413</v>
      </c>
      <c r="X1351">
        <f>IF(APPLICATION_LVL="",0,IF(OR(APPLICATION_LVL=COV!$V$68,APPLICATION_LVL=COV!$V$67),Dictionary!Z1351,IF(APPLICATION_LVL=COV!$V$66,Dictionary!AA1351,IF(APPLICATION_LVL=COV!$V$65,IF(DOMAIN=COV!$T$72,Dictionary!AC1351,IF(DOMAIN=COV!$T$73,Dictionary!AD1351,IF(DOMAIN=COV!$T$75,Dictionary!AE1351,2))),IF(APPLICATION_LVL=COV!$V$64,IF(DOMAIN=COV!$T$72,Dictionary!AG1351,IF(DOMAIN=COV!$T$73,Dictionary!AH1351,IF(DOMAIN=COV!$T$75,Dictionary!AI1351,3))),1)))))</f>
        <v>3</v>
      </c>
      <c r="Z1351" s="1779">
        <f t="shared" si="27"/>
        <v>1</v>
      </c>
      <c r="AA1351" s="1779">
        <f t="shared" si="27"/>
        <v>2</v>
      </c>
      <c r="AB1351" s="1779"/>
      <c r="AC1351" s="1779">
        <f>IF(GC_Flag="",AN1351,AU1351)</f>
        <v>3</v>
      </c>
      <c r="AD1351">
        <v>3</v>
      </c>
      <c r="AE1351">
        <v>3</v>
      </c>
      <c r="AG1351" s="1779">
        <f>IF(GC_Flag="",AP1351,AW1351)</f>
        <v>3</v>
      </c>
      <c r="AH1351">
        <v>3</v>
      </c>
      <c r="AI1351">
        <v>3</v>
      </c>
      <c r="AK1351">
        <v>1</v>
      </c>
      <c r="AL1351">
        <v>2</v>
      </c>
      <c r="AN1351">
        <v>3</v>
      </c>
      <c r="AP1351">
        <v>3</v>
      </c>
      <c r="AR1351">
        <v>1</v>
      </c>
      <c r="AS1351">
        <v>3</v>
      </c>
      <c r="AU1351">
        <v>5</v>
      </c>
      <c r="AW1351">
        <v>6</v>
      </c>
    </row>
    <row r="1352" spans="2:49" ht="32">
      <c r="B1352" s="616" t="str">
        <f>IF(FORM_LANGUAGE=GER,Dictionary!G1352,Dictionary!E1352)</f>
        <v>Ursachen und Auswirkungen von Konflikten und Krisen analysieren und angemessene Reaktionen auswählen</v>
      </c>
      <c r="E1352" s="616" t="str">
        <f>IF(DOMAIN=COV!$T$72,Dictionary!L1352,IF(DOMAIN=COV!$T$73,Dictionary!N1352,IF(DOMAIN=COV!$T$74,Dictionary!P1352,Dictionary!L1352)))</f>
        <v>Analyze the causes and consequences of conflicts and crises and select appropriate response(s)</v>
      </c>
      <c r="F1352" s="616"/>
      <c r="G1352" s="616" t="str">
        <f>IF(DOMAIN=COV!$T$72,Dictionary!R1352,IF(DOMAIN=COV!$T$73,Dictionary!T1352,IF(DOMAIN=COV!$T$74,Dictionary!V1352,Dictionary!R1352)))</f>
        <v>Ursachen und Auswirkungen von Konflikten und Krisen analysieren und angemessene Reaktionen auswählen</v>
      </c>
      <c r="I1352" s="615" t="s">
        <v>1651</v>
      </c>
      <c r="J1352" s="615" t="s">
        <v>1690</v>
      </c>
      <c r="L1352" s="616" t="s">
        <v>410</v>
      </c>
      <c r="N1352" s="638" t="s">
        <v>410</v>
      </c>
      <c r="O1352" s="639"/>
      <c r="P1352" s="638" t="s">
        <v>410</v>
      </c>
      <c r="R1352" s="645" t="s">
        <v>1414</v>
      </c>
      <c r="T1352" s="645" t="s">
        <v>1414</v>
      </c>
      <c r="V1352" s="645" t="s">
        <v>1414</v>
      </c>
      <c r="X1352">
        <f>IF(APPLICATION_LVL="",0,IF(OR(APPLICATION_LVL=COV!$V$68,APPLICATION_LVL=COV!$V$67),Dictionary!Z1352,IF(APPLICATION_LVL=COV!$V$66,Dictionary!AA1352,IF(APPLICATION_LVL=COV!$V$65,IF(DOMAIN=COV!$T$72,Dictionary!AC1352,IF(DOMAIN=COV!$T$73,Dictionary!AD1352,IF(DOMAIN=COV!$T$75,Dictionary!AE1352,2))),IF(APPLICATION_LVL=COV!$V$64,IF(DOMAIN=COV!$T$72,Dictionary!AG1352,IF(DOMAIN=COV!$T$73,Dictionary!AH1352,IF(DOMAIN=COV!$T$75,Dictionary!AI1352,3))),1)))))</f>
        <v>3</v>
      </c>
      <c r="Z1352" s="1779">
        <f t="shared" si="27"/>
        <v>1</v>
      </c>
      <c r="AA1352" s="1779">
        <f t="shared" si="27"/>
        <v>2</v>
      </c>
      <c r="AB1352" s="1779"/>
      <c r="AC1352" s="1779">
        <f>IF(GC_Flag="",AN1352,AU1352)</f>
        <v>3</v>
      </c>
      <c r="AD1352">
        <v>3</v>
      </c>
      <c r="AE1352">
        <v>3</v>
      </c>
      <c r="AG1352" s="1779">
        <f>IF(GC_Flag="",AP1352,AW1352)</f>
        <v>3</v>
      </c>
      <c r="AH1352">
        <v>3</v>
      </c>
      <c r="AI1352">
        <v>3</v>
      </c>
      <c r="AK1352">
        <v>1</v>
      </c>
      <c r="AL1352">
        <v>2</v>
      </c>
      <c r="AN1352">
        <v>3</v>
      </c>
      <c r="AP1352">
        <v>3</v>
      </c>
      <c r="AR1352">
        <v>2</v>
      </c>
      <c r="AS1352">
        <v>3</v>
      </c>
      <c r="AU1352">
        <v>5</v>
      </c>
      <c r="AW1352">
        <v>6</v>
      </c>
    </row>
    <row r="1353" spans="2:49" ht="32">
      <c r="B1353" s="616" t="str">
        <f>IF(FORM_LANGUAGE=GER,Dictionary!G1353,Dictionary!E1353)</f>
        <v>Konflikte und Krisen und / oder deren Auswirkungen lösen bzw in ihnen vermitteln</v>
      </c>
      <c r="E1353" s="616" t="str">
        <f>IF(DOMAIN=COV!$T$72,Dictionary!L1353,IF(DOMAIN=COV!$T$73,Dictionary!N1353,IF(DOMAIN=COV!$T$74,Dictionary!P1353,Dictionary!L1353)))</f>
        <v>Mediate and resolve conflicts and crises and/or their impact</v>
      </c>
      <c r="F1353" s="616"/>
      <c r="G1353" s="616" t="str">
        <f>IF(DOMAIN=COV!$T$72,Dictionary!R1353,IF(DOMAIN=COV!$T$73,Dictionary!T1353,IF(DOMAIN=COV!$T$74,Dictionary!V1353,Dictionary!R1353)))</f>
        <v>Konflikte und Krisen und / oder deren Auswirkungen lösen bzw in ihnen vermitteln</v>
      </c>
      <c r="I1353" s="615" t="s">
        <v>1652</v>
      </c>
      <c r="J1353" s="615" t="s">
        <v>1691</v>
      </c>
      <c r="L1353" s="616" t="s">
        <v>409</v>
      </c>
      <c r="N1353" s="638" t="s">
        <v>409</v>
      </c>
      <c r="O1353" s="639"/>
      <c r="P1353" s="638" t="s">
        <v>409</v>
      </c>
      <c r="R1353" s="645" t="s">
        <v>1415</v>
      </c>
      <c r="T1353" s="645" t="s">
        <v>1415</v>
      </c>
      <c r="V1353" s="645" t="s">
        <v>1415</v>
      </c>
      <c r="X1353">
        <f>IF(APPLICATION_LVL="",0,IF(OR(APPLICATION_LVL=COV!$V$68,APPLICATION_LVL=COV!$V$67),Dictionary!Z1353,IF(APPLICATION_LVL=COV!$V$66,Dictionary!AA1353,IF(APPLICATION_LVL=COV!$V$65,IF(DOMAIN=COV!$T$72,Dictionary!AC1353,IF(DOMAIN=COV!$T$73,Dictionary!AD1353,IF(DOMAIN=COV!$T$75,Dictionary!AE1353,2))),IF(APPLICATION_LVL=COV!$V$64,IF(DOMAIN=COV!$T$72,Dictionary!AG1353,IF(DOMAIN=COV!$T$73,Dictionary!AH1353,IF(DOMAIN=COV!$T$75,Dictionary!AI1353,3))),1)))))</f>
        <v>3</v>
      </c>
      <c r="Z1353" s="1779">
        <f t="shared" si="27"/>
        <v>0</v>
      </c>
      <c r="AA1353" s="1779">
        <f t="shared" si="27"/>
        <v>2</v>
      </c>
      <c r="AB1353" s="1779"/>
      <c r="AC1353" s="1779">
        <f>IF(GC_Flag="",AN1353,AU1353)</f>
        <v>3</v>
      </c>
      <c r="AD1353">
        <v>3</v>
      </c>
      <c r="AE1353">
        <v>3</v>
      </c>
      <c r="AG1353" s="1779">
        <f>IF(GC_Flag="",AP1353,AW1353)</f>
        <v>3</v>
      </c>
      <c r="AH1353">
        <v>3</v>
      </c>
      <c r="AI1353">
        <v>3</v>
      </c>
      <c r="AK1353">
        <v>0</v>
      </c>
      <c r="AL1353">
        <v>2</v>
      </c>
      <c r="AN1353">
        <v>3</v>
      </c>
      <c r="AP1353">
        <v>3</v>
      </c>
      <c r="AR1353">
        <v>0</v>
      </c>
      <c r="AS1353">
        <v>3</v>
      </c>
      <c r="AU1353">
        <v>5</v>
      </c>
      <c r="AW1353">
        <v>6</v>
      </c>
    </row>
    <row r="1354" spans="2:49" ht="29" customHeight="1">
      <c r="B1354" s="616" t="str">
        <f>IF(FORM_LANGUAGE=GER,Dictionary!G1354,Dictionary!E1354)</f>
        <v>Lernergebnisse aus Konflikten und Krisen identifizieren und weitergehen, um die zukünftige Arbeit zu verbessern</v>
      </c>
      <c r="E1354" s="616" t="str">
        <f>IF(DOMAIN=COV!$T$72,Dictionary!L1354,IF(DOMAIN=COV!$T$73,Dictionary!N1354,IF(DOMAIN=COV!$T$74,Dictionary!P1354,Dictionary!L1354)))</f>
        <v>Identify and share learning from conflicts and crises in order to improve future practice</v>
      </c>
      <c r="F1354" s="616"/>
      <c r="G1354" s="616" t="str">
        <f>IF(DOMAIN=COV!$T$72,Dictionary!R1354,IF(DOMAIN=COV!$T$73,Dictionary!T1354,IF(DOMAIN=COV!$T$74,Dictionary!V1354,Dictionary!R1354)))</f>
        <v>Lernergebnisse aus Konflikten und Krisen identifizieren und weitergehen, um die zukünftige Arbeit zu verbessern</v>
      </c>
      <c r="I1354" s="615" t="s">
        <v>1653</v>
      </c>
      <c r="J1354" s="615" t="s">
        <v>1692</v>
      </c>
      <c r="L1354" s="616" t="s">
        <v>408</v>
      </c>
      <c r="N1354" s="638" t="s">
        <v>408</v>
      </c>
      <c r="O1354" s="639"/>
      <c r="P1354" s="638" t="s">
        <v>408</v>
      </c>
      <c r="R1354" s="645" t="s">
        <v>1416</v>
      </c>
      <c r="T1354" s="645" t="s">
        <v>1416</v>
      </c>
      <c r="V1354" s="645" t="s">
        <v>1416</v>
      </c>
      <c r="X1354">
        <f>IF(APPLICATION_LVL="",0,IF(OR(APPLICATION_LVL=COV!$V$68,APPLICATION_LVL=COV!$V$67),Dictionary!Z1354,IF(APPLICATION_LVL=COV!$V$66,Dictionary!AA1354,IF(APPLICATION_LVL=COV!$V$65,IF(DOMAIN=COV!$T$72,Dictionary!AC1354,IF(DOMAIN=COV!$T$73,Dictionary!AD1354,IF(DOMAIN=COV!$T$75,Dictionary!AE1354,2))),IF(APPLICATION_LVL=COV!$V$64,IF(DOMAIN=COV!$T$72,Dictionary!AG1354,IF(DOMAIN=COV!$T$73,Dictionary!AH1354,IF(DOMAIN=COV!$T$75,Dictionary!AI1354,3))),1)))))</f>
        <v>3</v>
      </c>
      <c r="Z1354" s="1779">
        <f t="shared" si="27"/>
        <v>0</v>
      </c>
      <c r="AA1354" s="1779">
        <f t="shared" si="27"/>
        <v>2</v>
      </c>
      <c r="AB1354" s="1779"/>
      <c r="AC1354" s="1779">
        <f>IF(GC_Flag="",AN1354,AU1354)</f>
        <v>2</v>
      </c>
      <c r="AD1354">
        <v>2</v>
      </c>
      <c r="AE1354">
        <v>2</v>
      </c>
      <c r="AG1354" s="1779">
        <f>IF(GC_Flag="",AP1354,AW1354)</f>
        <v>3</v>
      </c>
      <c r="AH1354">
        <v>3</v>
      </c>
      <c r="AI1354">
        <v>3</v>
      </c>
      <c r="AK1354">
        <v>0</v>
      </c>
      <c r="AL1354">
        <v>2</v>
      </c>
      <c r="AN1354">
        <v>2</v>
      </c>
      <c r="AP1354">
        <v>3</v>
      </c>
      <c r="AR1354">
        <v>2</v>
      </c>
      <c r="AS1354">
        <v>3</v>
      </c>
      <c r="AU1354">
        <v>4</v>
      </c>
      <c r="AW1354">
        <v>6</v>
      </c>
    </row>
    <row r="1355" spans="2:49">
      <c r="F1355" s="616"/>
    </row>
    <row r="1356" spans="2:49">
      <c r="F1356" s="616"/>
    </row>
    <row r="1357" spans="2:49" ht="29" customHeight="1">
      <c r="B1357" s="649" t="str">
        <f>IF(FORM_LANGUAGE=GER,Dictionary!G1357,Dictionary!E1357)</f>
        <v>Vielseitigkeit</v>
      </c>
      <c r="C1357" s="650"/>
      <c r="D1357" s="650"/>
      <c r="E1357" s="649" t="str">
        <f>E1242</f>
        <v>Resourcefulness</v>
      </c>
      <c r="F1357" s="649"/>
      <c r="G1357" s="649" t="str">
        <f>G1242</f>
        <v>Vielseitigkeit</v>
      </c>
      <c r="H1357" s="74"/>
      <c r="I1357" s="651" t="s">
        <v>407</v>
      </c>
      <c r="J1357" s="650" t="s">
        <v>1682</v>
      </c>
      <c r="K1357" s="650"/>
      <c r="L1357" s="649"/>
      <c r="M1357" s="650"/>
      <c r="N1357" s="649"/>
      <c r="O1357" s="650"/>
      <c r="P1357" s="649"/>
      <c r="Q1357" s="74"/>
      <c r="R1357" s="654"/>
      <c r="S1357" s="74"/>
      <c r="T1357" s="654"/>
      <c r="U1357" s="74"/>
      <c r="V1357" s="654"/>
      <c r="X1357">
        <f>IF(APPLICATION_LVL="",0,IF(OR(APPLICATION_LVL=COV!$V$68,APPLICATION_LVL=COV!$V$67),Dictionary!Z1357,IF(APPLICATION_LVL=COV!$V$66,Dictionary!AA1357,IF(APPLICATION_LVL=COV!$V$65,IF(DOMAIN=COV!$T$72,Dictionary!AC1357,IF(DOMAIN=COV!$T$73,Dictionary!AD1357,IF(DOMAIN=COV!$T$75,Dictionary!AE1357,2))),IF(APPLICATION_LVL=COV!$V$64,IF(DOMAIN=COV!$T$72,Dictionary!AG1357,IF(DOMAIN=COV!$T$73,Dictionary!AH1357,IF(DOMAIN=COV!$T$75,Dictionary!AI1357,3))),1)))))</f>
        <v>3</v>
      </c>
      <c r="Z1357" s="1779">
        <f t="shared" ref="Z1357:AA1362" si="28">IF(GC_Flag="",AK1357,AR1357)</f>
        <v>1</v>
      </c>
      <c r="AA1357" s="1779">
        <f t="shared" si="28"/>
        <v>2</v>
      </c>
      <c r="AB1357" s="1779"/>
      <c r="AC1357" s="1779">
        <f t="shared" ref="AC1357:AC1362" si="29">IF(GC_Flag="",AN1357,AU1357)</f>
        <v>3</v>
      </c>
      <c r="AD1357">
        <v>3</v>
      </c>
      <c r="AE1357">
        <v>3</v>
      </c>
      <c r="AG1357" s="1779">
        <f t="shared" ref="AG1357:AG1362" si="30">IF(GC_Flag="",AP1357,AW1357)</f>
        <v>3</v>
      </c>
      <c r="AH1357">
        <v>3</v>
      </c>
      <c r="AI1357">
        <v>3</v>
      </c>
      <c r="AK1357">
        <v>1</v>
      </c>
      <c r="AL1357">
        <v>2</v>
      </c>
      <c r="AN1357">
        <v>3</v>
      </c>
      <c r="AP1357">
        <v>3</v>
      </c>
      <c r="AR1357">
        <v>2</v>
      </c>
      <c r="AS1357">
        <v>3</v>
      </c>
      <c r="AU1357">
        <v>5</v>
      </c>
      <c r="AW1357">
        <v>6</v>
      </c>
    </row>
    <row r="1358" spans="2:49" ht="16">
      <c r="B1358" s="616" t="str">
        <f>IF(FORM_LANGUAGE=GER,Dictionary!G1358,Dictionary!E1358)</f>
        <v>Ein offenes und kreatives Umfeld schaffen und unterstützen</v>
      </c>
      <c r="E1358" s="616" t="str">
        <f>IF(DOMAIN=COV!$T$72,Dictionary!L1358,IF(DOMAIN=COV!$T$73,Dictionary!N1358,IF(DOMAIN=COV!$T$74,Dictionary!P1358,Dictionary!L1358)))</f>
        <v>Stimulate and support an open and creative environment</v>
      </c>
      <c r="F1358" s="616"/>
      <c r="G1358" s="616" t="str">
        <f>IF(DOMAIN=COV!$T$72,Dictionary!R1358,IF(DOMAIN=COV!$T$73,Dictionary!T1358,IF(DOMAIN=COV!$T$74,Dictionary!V1358,Dictionary!R1358)))</f>
        <v>Ein offenes und kreatives Umfeld schaffen und unterstützen</v>
      </c>
      <c r="I1358" s="615" t="s">
        <v>1654</v>
      </c>
      <c r="J1358" s="615" t="s">
        <v>1683</v>
      </c>
      <c r="L1358" s="616" t="s">
        <v>406</v>
      </c>
      <c r="N1358" s="638" t="s">
        <v>406</v>
      </c>
      <c r="O1358" s="639"/>
      <c r="P1358" s="638" t="s">
        <v>406</v>
      </c>
      <c r="R1358" s="645" t="s">
        <v>1417</v>
      </c>
      <c r="T1358" s="645" t="s">
        <v>1417</v>
      </c>
      <c r="V1358" s="645" t="s">
        <v>1417</v>
      </c>
      <c r="X1358">
        <f>IF(APPLICATION_LVL="",0,IF(OR(APPLICATION_LVL=COV!$V$68,APPLICATION_LVL=COV!$V$67),Dictionary!Z1358,IF(APPLICATION_LVL=COV!$V$66,Dictionary!AA1358,IF(APPLICATION_LVL=COV!$V$65,IF(DOMAIN=COV!$T$72,Dictionary!AC1358,IF(DOMAIN=COV!$T$73,Dictionary!AD1358,IF(DOMAIN=COV!$T$75,Dictionary!AE1358,2))),IF(APPLICATION_LVL=COV!$V$64,IF(DOMAIN=COV!$T$72,Dictionary!AG1358,IF(DOMAIN=COV!$T$73,Dictionary!AH1358,IF(DOMAIN=COV!$T$75,Dictionary!AI1358,3))),1)))))</f>
        <v>3</v>
      </c>
      <c r="Z1358" s="1779">
        <f t="shared" si="28"/>
        <v>1</v>
      </c>
      <c r="AA1358" s="1779">
        <f t="shared" si="28"/>
        <v>2</v>
      </c>
      <c r="AB1358" s="1779"/>
      <c r="AC1358" s="1779">
        <f t="shared" si="29"/>
        <v>2</v>
      </c>
      <c r="AD1358">
        <v>2</v>
      </c>
      <c r="AE1358">
        <v>2</v>
      </c>
      <c r="AG1358" s="1779">
        <f t="shared" si="30"/>
        <v>3</v>
      </c>
      <c r="AH1358">
        <v>2</v>
      </c>
      <c r="AI1358">
        <v>3</v>
      </c>
      <c r="AK1358">
        <v>1</v>
      </c>
      <c r="AL1358">
        <v>2</v>
      </c>
      <c r="AN1358">
        <v>2</v>
      </c>
      <c r="AP1358">
        <v>3</v>
      </c>
      <c r="AR1358">
        <v>2</v>
      </c>
      <c r="AS1358">
        <v>3</v>
      </c>
      <c r="AU1358">
        <v>4</v>
      </c>
      <c r="AW1358">
        <v>4</v>
      </c>
    </row>
    <row r="1359" spans="2:49" ht="32">
      <c r="B1359" s="616" t="str">
        <f>IF(FORM_LANGUAGE=GER,Dictionary!G1359,Dictionary!E1359)</f>
        <v>Konzeptionelles Denken anwenden, um Situationen zu analysieren und Lösungsstrategien zu definieren</v>
      </c>
      <c r="E1359" s="616" t="str">
        <f>IF(DOMAIN=COV!$T$72,Dictionary!L1359,IF(DOMAIN=COV!$T$73,Dictionary!N1359,IF(DOMAIN=COV!$T$74,Dictionary!P1359,Dictionary!L1359)))</f>
        <v>Apply conceptual thinking to define situations and strategies</v>
      </c>
      <c r="F1359" s="616"/>
      <c r="G1359" s="616" t="str">
        <f>IF(DOMAIN=COV!$T$72,Dictionary!R1359,IF(DOMAIN=COV!$T$73,Dictionary!T1359,IF(DOMAIN=COV!$T$74,Dictionary!V1359,Dictionary!R1359)))</f>
        <v>Konzeptionelles Denken anwenden, um Situationen zu analysieren und Lösungsstrategien zu definieren</v>
      </c>
      <c r="I1359" s="615" t="s">
        <v>1655</v>
      </c>
      <c r="J1359" s="615" t="s">
        <v>1684</v>
      </c>
      <c r="L1359" s="616" t="s">
        <v>405</v>
      </c>
      <c r="N1359" s="638" t="s">
        <v>405</v>
      </c>
      <c r="O1359" s="639"/>
      <c r="P1359" s="638" t="s">
        <v>405</v>
      </c>
      <c r="R1359" s="645" t="s">
        <v>1418</v>
      </c>
      <c r="T1359" s="645" t="s">
        <v>1418</v>
      </c>
      <c r="V1359" s="645" t="s">
        <v>1418</v>
      </c>
      <c r="X1359">
        <f>IF(APPLICATION_LVL="",0,IF(OR(APPLICATION_LVL=COV!$V$68,APPLICATION_LVL=COV!$V$67),Dictionary!Z1359,IF(APPLICATION_LVL=COV!$V$66,Dictionary!AA1359,IF(APPLICATION_LVL=COV!$V$65,IF(DOMAIN=COV!$T$72,Dictionary!AC1359,IF(DOMAIN=COV!$T$73,Dictionary!AD1359,IF(DOMAIN=COV!$T$75,Dictionary!AE1359,2))),IF(APPLICATION_LVL=COV!$V$64,IF(DOMAIN=COV!$T$72,Dictionary!AG1359,IF(DOMAIN=COV!$T$73,Dictionary!AH1359,IF(DOMAIN=COV!$T$75,Dictionary!AI1359,3))),1)))))</f>
        <v>3</v>
      </c>
      <c r="Z1359" s="1779">
        <f t="shared" si="28"/>
        <v>1</v>
      </c>
      <c r="AA1359" s="1779">
        <f t="shared" si="28"/>
        <v>2</v>
      </c>
      <c r="AB1359" s="1779"/>
      <c r="AC1359" s="1779">
        <f t="shared" si="29"/>
        <v>3</v>
      </c>
      <c r="AD1359">
        <v>3</v>
      </c>
      <c r="AE1359">
        <v>3</v>
      </c>
      <c r="AG1359" s="1779">
        <f t="shared" si="30"/>
        <v>3</v>
      </c>
      <c r="AH1359">
        <v>3</v>
      </c>
      <c r="AI1359">
        <v>3</v>
      </c>
      <c r="AK1359">
        <v>1</v>
      </c>
      <c r="AL1359">
        <v>2</v>
      </c>
      <c r="AN1359">
        <v>3</v>
      </c>
      <c r="AP1359">
        <v>3</v>
      </c>
      <c r="AR1359">
        <v>2</v>
      </c>
      <c r="AS1359">
        <v>3</v>
      </c>
      <c r="AU1359">
        <v>5</v>
      </c>
      <c r="AW1359">
        <v>5</v>
      </c>
    </row>
    <row r="1360" spans="2:49" ht="32">
      <c r="B1360" s="616" t="str">
        <f>IF(FORM_LANGUAGE=GER,Dictionary!G1360,Dictionary!E1360)</f>
        <v>Analytische Techniken anwenden, um Situationen, Informationen und Trends zu analysieren</v>
      </c>
      <c r="E1360" s="616" t="str">
        <f>IF(DOMAIN=COV!$T$72,Dictionary!L1360,IF(DOMAIN=COV!$T$73,Dictionary!N1360,IF(DOMAIN=COV!$T$74,Dictionary!P1360,Dictionary!L1360)))</f>
        <v>Apply analytic techniques to analyzing situations and financial and organizational data and trends</v>
      </c>
      <c r="F1360" s="616"/>
      <c r="G1360" s="616" t="str">
        <f>IF(DOMAIN=COV!$T$72,Dictionary!R1360,IF(DOMAIN=COV!$T$73,Dictionary!T1360,IF(DOMAIN=COV!$T$74,Dictionary!V1360,Dictionary!R1360)))</f>
        <v>Analytische Techniken anwenden, um Situationen, Informationen und Trends zu analysieren</v>
      </c>
      <c r="I1360" s="615" t="s">
        <v>1656</v>
      </c>
      <c r="J1360" s="615" t="s">
        <v>1685</v>
      </c>
      <c r="L1360" s="616" t="s">
        <v>404</v>
      </c>
      <c r="N1360" s="638" t="s">
        <v>404</v>
      </c>
      <c r="O1360" s="639"/>
      <c r="P1360" s="638" t="s">
        <v>404</v>
      </c>
      <c r="R1360" s="645" t="s">
        <v>1419</v>
      </c>
      <c r="T1360" s="645" t="s">
        <v>1419</v>
      </c>
      <c r="V1360" s="645" t="s">
        <v>1419</v>
      </c>
      <c r="X1360">
        <f>IF(APPLICATION_LVL="",0,IF(OR(APPLICATION_LVL=COV!$V$68,APPLICATION_LVL=COV!$V$67),Dictionary!Z1360,IF(APPLICATION_LVL=COV!$V$66,Dictionary!AA1360,IF(APPLICATION_LVL=COV!$V$65,IF(DOMAIN=COV!$T$72,Dictionary!AC1360,IF(DOMAIN=COV!$T$73,Dictionary!AD1360,IF(DOMAIN=COV!$T$75,Dictionary!AE1360,2))),IF(APPLICATION_LVL=COV!$V$64,IF(DOMAIN=COV!$T$72,Dictionary!AG1360,IF(DOMAIN=COV!$T$73,Dictionary!AH1360,IF(DOMAIN=COV!$T$75,Dictionary!AI1360,3))),1)))))</f>
        <v>3</v>
      </c>
      <c r="Z1360" s="1779">
        <f t="shared" si="28"/>
        <v>1</v>
      </c>
      <c r="AA1360" s="1779">
        <f t="shared" si="28"/>
        <v>2</v>
      </c>
      <c r="AB1360" s="1779"/>
      <c r="AC1360" s="1779">
        <f t="shared" si="29"/>
        <v>3</v>
      </c>
      <c r="AD1360">
        <v>3</v>
      </c>
      <c r="AE1360">
        <v>3</v>
      </c>
      <c r="AG1360" s="1779">
        <f t="shared" si="30"/>
        <v>3</v>
      </c>
      <c r="AH1360">
        <v>3</v>
      </c>
      <c r="AI1360">
        <v>3</v>
      </c>
      <c r="AK1360">
        <v>1</v>
      </c>
      <c r="AL1360">
        <v>2</v>
      </c>
      <c r="AN1360">
        <v>3</v>
      </c>
      <c r="AP1360">
        <v>3</v>
      </c>
      <c r="AR1360">
        <v>2</v>
      </c>
      <c r="AS1360">
        <v>3</v>
      </c>
      <c r="AU1360">
        <v>5</v>
      </c>
      <c r="AW1360">
        <v>6</v>
      </c>
    </row>
    <row r="1361" spans="2:49" ht="32">
      <c r="B1361" s="616" t="str">
        <f>IF(FORM_LANGUAGE=GER,Dictionary!G1361,Dictionary!E1361)</f>
        <v>Kreative Techniken fördern und anwenden, um Alternativen und Lösungen zu finden</v>
      </c>
      <c r="E1361" s="616" t="str">
        <f>IF(DOMAIN=COV!$T$72,Dictionary!L1361,IF(DOMAIN=COV!$T$73,Dictionary!N1361,IF(DOMAIN=COV!$T$74,Dictionary!P1361,Dictionary!L1361)))</f>
        <v>Promote and apply creative techniques to find alternatives and solutions</v>
      </c>
      <c r="F1361" s="616"/>
      <c r="G1361" s="616" t="str">
        <f>IF(DOMAIN=COV!$T$72,Dictionary!R1361,IF(DOMAIN=COV!$T$73,Dictionary!T1361,IF(DOMAIN=COV!$T$74,Dictionary!V1361,Dictionary!R1361)))</f>
        <v>Kreative Techniken fördern und anwenden, um Alternativen und Lösungen zu finden</v>
      </c>
      <c r="I1361" s="615" t="s">
        <v>1657</v>
      </c>
      <c r="J1361" s="615" t="s">
        <v>1686</v>
      </c>
      <c r="L1361" s="616" t="s">
        <v>403</v>
      </c>
      <c r="N1361" s="638" t="s">
        <v>403</v>
      </c>
      <c r="O1361" s="639"/>
      <c r="P1361" s="638" t="s">
        <v>403</v>
      </c>
      <c r="R1361" s="645" t="s">
        <v>1420</v>
      </c>
      <c r="T1361" s="645" t="s">
        <v>1420</v>
      </c>
      <c r="V1361" s="645" t="s">
        <v>1420</v>
      </c>
      <c r="X1361">
        <f>IF(APPLICATION_LVL="",0,IF(OR(APPLICATION_LVL=COV!$V$68,APPLICATION_LVL=COV!$V$67),Dictionary!Z1361,IF(APPLICATION_LVL=COV!$V$66,Dictionary!AA1361,IF(APPLICATION_LVL=COV!$V$65,IF(DOMAIN=COV!$T$72,Dictionary!AC1361,IF(DOMAIN=COV!$T$73,Dictionary!AD1361,IF(DOMAIN=COV!$T$75,Dictionary!AE1361,2))),IF(APPLICATION_LVL=COV!$V$64,IF(DOMAIN=COV!$T$72,Dictionary!AG1361,IF(DOMAIN=COV!$T$73,Dictionary!AH1361,IF(DOMAIN=COV!$T$75,Dictionary!AI1361,3))),1)))))</f>
        <v>2</v>
      </c>
      <c r="Z1361" s="1779">
        <f t="shared" si="28"/>
        <v>1</v>
      </c>
      <c r="AA1361" s="1779">
        <f t="shared" si="28"/>
        <v>2</v>
      </c>
      <c r="AB1361" s="1779"/>
      <c r="AC1361" s="1779">
        <f t="shared" si="29"/>
        <v>2</v>
      </c>
      <c r="AD1361">
        <v>2</v>
      </c>
      <c r="AE1361">
        <v>2</v>
      </c>
      <c r="AG1361" s="1779">
        <f t="shared" si="30"/>
        <v>2</v>
      </c>
      <c r="AH1361">
        <v>2</v>
      </c>
      <c r="AI1361">
        <v>2</v>
      </c>
      <c r="AK1361">
        <v>1</v>
      </c>
      <c r="AL1361">
        <v>2</v>
      </c>
      <c r="AN1361">
        <v>2</v>
      </c>
      <c r="AP1361">
        <v>2</v>
      </c>
      <c r="AR1361">
        <v>2</v>
      </c>
      <c r="AS1361">
        <v>3</v>
      </c>
      <c r="AU1361">
        <v>3</v>
      </c>
      <c r="AW1361">
        <v>3</v>
      </c>
    </row>
    <row r="1362" spans="2:49" ht="29" customHeight="1">
      <c r="B1362" s="616" t="str">
        <f>IF(FORM_LANGUAGE=GER,Dictionary!G1362,Dictionary!E1362)</f>
        <v>Ganzheitliche Sicht auf das Projekt und seinen Kontext fördern, um den Entscheidungsprozess zu verbessern</v>
      </c>
      <c r="E1362" s="616" t="str">
        <f>IF(DOMAIN=COV!$T$72,Dictionary!L1362,IF(DOMAIN=COV!$T$73,Dictionary!N1362,IF(DOMAIN=COV!$T$74,Dictionary!P1362,Dictionary!L1362)))</f>
        <v>Promote a holistic view of the project and its context to improve decision-making</v>
      </c>
      <c r="F1362" s="616"/>
      <c r="G1362" s="616" t="str">
        <f>IF(DOMAIN=COV!$T$72,Dictionary!R1362,IF(DOMAIN=COV!$T$73,Dictionary!T1362,IF(DOMAIN=COV!$T$74,Dictionary!V1362,Dictionary!R1362)))</f>
        <v>Ganzheitliche Sicht auf das Projekt und seinen Kontext fördern, um den Entscheidungsprozess zu verbessern</v>
      </c>
      <c r="I1362" s="615" t="s">
        <v>1658</v>
      </c>
      <c r="J1362" s="615" t="s">
        <v>1687</v>
      </c>
      <c r="L1362" s="616" t="s">
        <v>402</v>
      </c>
      <c r="N1362" s="638" t="s">
        <v>1592</v>
      </c>
      <c r="O1362" s="639"/>
      <c r="P1362" s="638" t="s">
        <v>1591</v>
      </c>
      <c r="R1362" s="645" t="s">
        <v>1421</v>
      </c>
      <c r="T1362" s="645" t="s">
        <v>1422</v>
      </c>
      <c r="V1362" s="645" t="s">
        <v>1423</v>
      </c>
      <c r="X1362">
        <f>IF(APPLICATION_LVL="",0,IF(OR(APPLICATION_LVL=COV!$V$68,APPLICATION_LVL=COV!$V$67),Dictionary!Z1362,IF(APPLICATION_LVL=COV!$V$66,Dictionary!AA1362,IF(APPLICATION_LVL=COV!$V$65,IF(DOMAIN=COV!$T$72,Dictionary!AC1362,IF(DOMAIN=COV!$T$73,Dictionary!AD1362,IF(DOMAIN=COV!$T$75,Dictionary!AE1362,2))),IF(APPLICATION_LVL=COV!$V$64,IF(DOMAIN=COV!$T$72,Dictionary!AG1362,IF(DOMAIN=COV!$T$73,Dictionary!AH1362,IF(DOMAIN=COV!$T$75,Dictionary!AI1362,3))),1)))))</f>
        <v>2</v>
      </c>
      <c r="Z1362" s="1779">
        <f t="shared" si="28"/>
        <v>1</v>
      </c>
      <c r="AA1362" s="1779">
        <f t="shared" si="28"/>
        <v>2</v>
      </c>
      <c r="AB1362" s="1779"/>
      <c r="AC1362" s="1779">
        <f t="shared" si="29"/>
        <v>2</v>
      </c>
      <c r="AD1362">
        <v>2</v>
      </c>
      <c r="AE1362">
        <v>2</v>
      </c>
      <c r="AG1362" s="1779">
        <f t="shared" si="30"/>
        <v>2</v>
      </c>
      <c r="AH1362">
        <v>2</v>
      </c>
      <c r="AI1362">
        <v>2</v>
      </c>
      <c r="AK1362">
        <v>1</v>
      </c>
      <c r="AL1362">
        <v>2</v>
      </c>
      <c r="AN1362">
        <v>2</v>
      </c>
      <c r="AP1362">
        <v>2</v>
      </c>
      <c r="AR1362">
        <v>0</v>
      </c>
      <c r="AS1362">
        <v>3</v>
      </c>
      <c r="AU1362">
        <v>3</v>
      </c>
      <c r="AW1362">
        <v>3</v>
      </c>
    </row>
    <row r="1363" spans="2:49">
      <c r="F1363" s="638"/>
    </row>
    <row r="1365" spans="2:49" ht="29" customHeight="1">
      <c r="B1365" s="649" t="str">
        <f>IF(FORM_LANGUAGE=GER,Dictionary!G1365,Dictionary!E1365)</f>
        <v>Verhandlungen</v>
      </c>
      <c r="C1365" s="650"/>
      <c r="D1365" s="650"/>
      <c r="E1365" s="649" t="str">
        <f>E1243</f>
        <v>Negotiation</v>
      </c>
      <c r="F1365" s="649"/>
      <c r="G1365" s="649" t="str">
        <f>G1243</f>
        <v>Verhandlungen</v>
      </c>
      <c r="H1365" s="74"/>
      <c r="I1365" s="651" t="s">
        <v>401</v>
      </c>
      <c r="J1365" s="650" t="s">
        <v>1676</v>
      </c>
      <c r="K1365" s="650"/>
      <c r="L1365" s="649"/>
      <c r="M1365" s="650"/>
      <c r="N1365" s="652"/>
      <c r="O1365" s="653"/>
      <c r="P1365" s="652"/>
      <c r="Q1365" s="74"/>
      <c r="R1365" s="654"/>
      <c r="S1365" s="74"/>
      <c r="T1365" s="654"/>
      <c r="U1365" s="74"/>
      <c r="V1365" s="654"/>
      <c r="X1365">
        <f>IF(APPLICATION_LVL="",0,IF(OR(APPLICATION_LVL=COV!$V$68,APPLICATION_LVL=COV!$V$67),Dictionary!Z1365,IF(APPLICATION_LVL=COV!$V$66,Dictionary!AA1365,IF(APPLICATION_LVL=COV!$V$65,IF(DOMAIN=COV!$T$72,Dictionary!AC1365,IF(DOMAIN=COV!$T$73,Dictionary!AD1365,IF(DOMAIN=COV!$T$75,Dictionary!AE1365,2))),IF(APPLICATION_LVL=COV!$V$64,IF(DOMAIN=COV!$T$72,Dictionary!AG1365,IF(DOMAIN=COV!$T$73,Dictionary!AH1365,IF(DOMAIN=COV!$T$75,Dictionary!AI1365,3))),1)))))</f>
        <v>3</v>
      </c>
      <c r="Z1365" s="1779">
        <f t="shared" ref="Z1365:AA1370" si="31">IF(GC_Flag="",AK1365,AR1365)</f>
        <v>1</v>
      </c>
      <c r="AA1365" s="1779">
        <f t="shared" si="31"/>
        <v>2</v>
      </c>
      <c r="AB1365" s="1779"/>
      <c r="AC1365" s="1779">
        <f t="shared" ref="AC1365:AC1370" si="32">IF(GC_Flag="",AN1365,AU1365)</f>
        <v>2</v>
      </c>
      <c r="AD1365">
        <v>2</v>
      </c>
      <c r="AE1365">
        <v>2</v>
      </c>
      <c r="AG1365" s="1779">
        <f t="shared" ref="AG1365:AG1370" si="33">IF(GC_Flag="",AP1365,AW1365)</f>
        <v>3</v>
      </c>
      <c r="AH1365">
        <v>3</v>
      </c>
      <c r="AI1365">
        <v>3</v>
      </c>
      <c r="AK1365">
        <v>1</v>
      </c>
      <c r="AL1365">
        <v>2</v>
      </c>
      <c r="AN1365">
        <v>2</v>
      </c>
      <c r="AP1365">
        <v>3</v>
      </c>
      <c r="AR1365">
        <v>2</v>
      </c>
      <c r="AS1365">
        <v>3</v>
      </c>
      <c r="AU1365">
        <v>4</v>
      </c>
      <c r="AW1365">
        <v>6</v>
      </c>
    </row>
    <row r="1366" spans="2:49" ht="32">
      <c r="B1366" s="616" t="str">
        <f>IF(FORM_LANGUAGE=GER,Dictionary!G1366,Dictionary!E1366)</f>
        <v>Interessen aller Parteien, die an den Verhandlungen beteiligt sind, identifizieren und analysieren</v>
      </c>
      <c r="E1366" s="616" t="str">
        <f>IF(DOMAIN=COV!$T$72,Dictionary!L1366,IF(DOMAIN=COV!$T$73,Dictionary!N1366,IF(DOMAIN=COV!$T$74,Dictionary!P1366,Dictionary!L1366)))</f>
        <v>Identify and analyze the interests of all parties involved in the negotiation</v>
      </c>
      <c r="F1366" s="616"/>
      <c r="G1366" s="616" t="str">
        <f>IF(DOMAIN=COV!$T$72,Dictionary!R1366,IF(DOMAIN=COV!$T$73,Dictionary!T1366,IF(DOMAIN=COV!$T$74,Dictionary!V1366,Dictionary!R1366)))</f>
        <v>Interessen aller Parteien, die an den Verhandlungen beteiligt sind, identifizieren und analysieren</v>
      </c>
      <c r="I1366" s="615" t="s">
        <v>1659</v>
      </c>
      <c r="J1366" s="615" t="s">
        <v>1677</v>
      </c>
      <c r="L1366" s="616" t="s">
        <v>400</v>
      </c>
      <c r="N1366" s="638" t="s">
        <v>400</v>
      </c>
      <c r="O1366" s="639"/>
      <c r="P1366" s="638" t="s">
        <v>400</v>
      </c>
      <c r="R1366" s="645" t="s">
        <v>1424</v>
      </c>
      <c r="T1366" s="645" t="s">
        <v>1424</v>
      </c>
      <c r="V1366" s="645" t="s">
        <v>1424</v>
      </c>
      <c r="X1366">
        <f>IF(APPLICATION_LVL="",0,IF(OR(APPLICATION_LVL=COV!$V$68,APPLICATION_LVL=COV!$V$67),Dictionary!Z1366,IF(APPLICATION_LVL=COV!$V$66,Dictionary!AA1366,IF(APPLICATION_LVL=COV!$V$65,IF(DOMAIN=COV!$T$72,Dictionary!AC1366,IF(DOMAIN=COV!$T$73,Dictionary!AD1366,IF(DOMAIN=COV!$T$75,Dictionary!AE1366,2))),IF(APPLICATION_LVL=COV!$V$64,IF(DOMAIN=COV!$T$72,Dictionary!AG1366,IF(DOMAIN=COV!$T$73,Dictionary!AH1366,IF(DOMAIN=COV!$T$75,Dictionary!AI1366,3))),1)))))</f>
        <v>2</v>
      </c>
      <c r="Z1366" s="1779">
        <f t="shared" si="31"/>
        <v>1</v>
      </c>
      <c r="AA1366" s="1779">
        <f t="shared" si="31"/>
        <v>2</v>
      </c>
      <c r="AB1366" s="1779"/>
      <c r="AC1366" s="1779">
        <f t="shared" si="32"/>
        <v>2</v>
      </c>
      <c r="AD1366">
        <v>2</v>
      </c>
      <c r="AE1366">
        <v>2</v>
      </c>
      <c r="AG1366" s="1779">
        <f t="shared" si="33"/>
        <v>2</v>
      </c>
      <c r="AH1366">
        <v>2</v>
      </c>
      <c r="AI1366">
        <v>2</v>
      </c>
      <c r="AK1366">
        <v>1</v>
      </c>
      <c r="AL1366">
        <v>2</v>
      </c>
      <c r="AN1366">
        <v>2</v>
      </c>
      <c r="AP1366">
        <v>2</v>
      </c>
      <c r="AR1366">
        <v>2</v>
      </c>
      <c r="AS1366">
        <v>3</v>
      </c>
      <c r="AU1366">
        <v>4</v>
      </c>
      <c r="AW1366">
        <v>4</v>
      </c>
    </row>
    <row r="1367" spans="2:49" ht="29" customHeight="1">
      <c r="B1367" s="616" t="str">
        <f>IF(FORM_LANGUAGE=GER,Dictionary!G1367,Dictionary!E1367)</f>
        <v>Optionen und Alternativen entwickeln und evaluieren, die das Potenzial haben, die Bedürfnisse aller Beteiligten zu erfüllen</v>
      </c>
      <c r="E1367" s="616" t="str">
        <f>IF(DOMAIN=COV!$T$72,Dictionary!L1367,IF(DOMAIN=COV!$T$73,Dictionary!N1367,IF(DOMAIN=COV!$T$74,Dictionary!P1367,Dictionary!L1367)))</f>
        <v>Develop and evaluate options and alternatives with the potential to meet the needs of all parties</v>
      </c>
      <c r="F1367" s="616"/>
      <c r="G1367" s="616" t="str">
        <f>IF(DOMAIN=COV!$T$72,Dictionary!R1367,IF(DOMAIN=COV!$T$73,Dictionary!T1367,IF(DOMAIN=COV!$T$74,Dictionary!V1367,Dictionary!R1367)))</f>
        <v>Optionen und Alternativen entwickeln und evaluieren, die das Potenzial haben, die Bedürfnisse aller Beteiligten zu erfüllen</v>
      </c>
      <c r="I1367" s="615" t="s">
        <v>1660</v>
      </c>
      <c r="J1367" s="615" t="s">
        <v>1678</v>
      </c>
      <c r="L1367" s="616" t="s">
        <v>399</v>
      </c>
      <c r="N1367" s="638" t="s">
        <v>399</v>
      </c>
      <c r="O1367" s="639"/>
      <c r="P1367" s="638" t="s">
        <v>399</v>
      </c>
      <c r="R1367" s="645" t="s">
        <v>1425</v>
      </c>
      <c r="T1367" s="645" t="s">
        <v>1425</v>
      </c>
      <c r="V1367" s="645" t="s">
        <v>1425</v>
      </c>
      <c r="X1367">
        <f>IF(APPLICATION_LVL="",0,IF(OR(APPLICATION_LVL=COV!$V$68,APPLICATION_LVL=COV!$V$67),Dictionary!Z1367,IF(APPLICATION_LVL=COV!$V$66,Dictionary!AA1367,IF(APPLICATION_LVL=COV!$V$65,IF(DOMAIN=COV!$T$72,Dictionary!AC1367,IF(DOMAIN=COV!$T$73,Dictionary!AD1367,IF(DOMAIN=COV!$T$75,Dictionary!AE1367,2))),IF(APPLICATION_LVL=COV!$V$64,IF(DOMAIN=COV!$T$72,Dictionary!AG1367,IF(DOMAIN=COV!$T$73,Dictionary!AH1367,IF(DOMAIN=COV!$T$75,Dictionary!AI1367,3))),1)))))</f>
        <v>2</v>
      </c>
      <c r="Z1367" s="1779">
        <f t="shared" si="31"/>
        <v>0</v>
      </c>
      <c r="AA1367" s="1779">
        <f t="shared" si="31"/>
        <v>1</v>
      </c>
      <c r="AB1367" s="1779"/>
      <c r="AC1367" s="1779">
        <f t="shared" si="32"/>
        <v>2</v>
      </c>
      <c r="AD1367">
        <v>2</v>
      </c>
      <c r="AE1367">
        <v>2</v>
      </c>
      <c r="AG1367" s="1779">
        <f t="shared" si="33"/>
        <v>2</v>
      </c>
      <c r="AH1367">
        <v>2</v>
      </c>
      <c r="AI1367">
        <v>2</v>
      </c>
      <c r="AK1367">
        <v>0</v>
      </c>
      <c r="AL1367">
        <v>1</v>
      </c>
      <c r="AN1367">
        <v>2</v>
      </c>
      <c r="AP1367">
        <v>2</v>
      </c>
      <c r="AR1367">
        <v>0</v>
      </c>
      <c r="AS1367">
        <v>2</v>
      </c>
      <c r="AU1367">
        <v>3</v>
      </c>
      <c r="AW1367">
        <v>4</v>
      </c>
    </row>
    <row r="1368" spans="2:49" ht="29" customHeight="1">
      <c r="B1368" s="616" t="str">
        <f>IF(FORM_LANGUAGE=GER,Dictionary!G1368,Dictionary!E1368)</f>
        <v>Verhandlungsstrategie definieren, die mit den eigenen Zielen übereinstimmt und für alle beteiligten Parteien akzeptabel ist</v>
      </c>
      <c r="E1368" s="616" t="str">
        <f>IF(DOMAIN=COV!$T$72,Dictionary!L1368,IF(DOMAIN=COV!$T$73,Dictionary!N1368,IF(DOMAIN=COV!$T$74,Dictionary!P1368,Dictionary!L1368)))</f>
        <v>Define a negotiation strategy in line with one's own objectives that is acceptable to all parties involved</v>
      </c>
      <c r="F1368" s="616"/>
      <c r="G1368" s="616" t="str">
        <f>IF(DOMAIN=COV!$T$72,Dictionary!R1368,IF(DOMAIN=COV!$T$73,Dictionary!T1368,IF(DOMAIN=COV!$T$74,Dictionary!V1368,Dictionary!R1368)))</f>
        <v>Verhandlungsstrategie definieren, die mit den eigenen Zielen übereinstimmt und für alle beteiligten Parteien akzeptabel ist</v>
      </c>
      <c r="I1368" s="615" t="s">
        <v>1661</v>
      </c>
      <c r="J1368" s="615" t="s">
        <v>1679</v>
      </c>
      <c r="L1368" s="616" t="s">
        <v>398</v>
      </c>
      <c r="N1368" s="638" t="s">
        <v>398</v>
      </c>
      <c r="O1368" s="639"/>
      <c r="P1368" s="638" t="s">
        <v>398</v>
      </c>
      <c r="R1368" s="645" t="s">
        <v>1426</v>
      </c>
      <c r="T1368" s="645" t="s">
        <v>1426</v>
      </c>
      <c r="V1368" s="645" t="s">
        <v>1426</v>
      </c>
      <c r="X1368">
        <f>IF(APPLICATION_LVL="",0,IF(OR(APPLICATION_LVL=COV!$V$68,APPLICATION_LVL=COV!$V$67),Dictionary!Z1368,IF(APPLICATION_LVL=COV!$V$66,Dictionary!AA1368,IF(APPLICATION_LVL=COV!$V$65,IF(DOMAIN=COV!$T$72,Dictionary!AC1368,IF(DOMAIN=COV!$T$73,Dictionary!AD1368,IF(DOMAIN=COV!$T$75,Dictionary!AE1368,2))),IF(APPLICATION_LVL=COV!$V$64,IF(DOMAIN=COV!$T$72,Dictionary!AG1368,IF(DOMAIN=COV!$T$73,Dictionary!AH1368,IF(DOMAIN=COV!$T$75,Dictionary!AI1368,3))),1)))))</f>
        <v>3</v>
      </c>
      <c r="Z1368" s="1779">
        <f t="shared" si="31"/>
        <v>0</v>
      </c>
      <c r="AA1368" s="1779">
        <f t="shared" si="31"/>
        <v>1</v>
      </c>
      <c r="AB1368" s="1779"/>
      <c r="AC1368" s="1779">
        <f t="shared" si="32"/>
        <v>2</v>
      </c>
      <c r="AD1368">
        <v>2</v>
      </c>
      <c r="AE1368">
        <v>2</v>
      </c>
      <c r="AG1368" s="1779">
        <f t="shared" si="33"/>
        <v>3</v>
      </c>
      <c r="AH1368">
        <v>3</v>
      </c>
      <c r="AI1368">
        <v>3</v>
      </c>
      <c r="AK1368">
        <v>0</v>
      </c>
      <c r="AL1368">
        <v>1</v>
      </c>
      <c r="AN1368">
        <v>2</v>
      </c>
      <c r="AP1368">
        <v>3</v>
      </c>
      <c r="AR1368">
        <v>0</v>
      </c>
      <c r="AS1368">
        <v>2</v>
      </c>
      <c r="AU1368">
        <v>3</v>
      </c>
      <c r="AW1368">
        <v>6</v>
      </c>
    </row>
    <row r="1369" spans="2:49" ht="32">
      <c r="B1369" s="616" t="str">
        <f>IF(FORM_LANGUAGE=GER,Dictionary!G1369,Dictionary!E1369)</f>
        <v>Einigungen mit anderen Parteien erzielen, die mit den eigenen Zielen übereinstimmen</v>
      </c>
      <c r="E1369" s="616" t="str">
        <f>IF(DOMAIN=COV!$T$72,Dictionary!L1369,IF(DOMAIN=COV!$T$73,Dictionary!N1369,IF(DOMAIN=COV!$T$74,Dictionary!P1369,Dictionary!L1369)))</f>
        <v>Reach negotiated agreements with other parties that are in line with one's own objectives</v>
      </c>
      <c r="F1369" s="616"/>
      <c r="G1369" s="616" t="str">
        <f>IF(DOMAIN=COV!$T$72,Dictionary!R1369,IF(DOMAIN=COV!$T$73,Dictionary!T1369,IF(DOMAIN=COV!$T$74,Dictionary!V1369,Dictionary!R1369)))</f>
        <v>Einigungen mit anderen Parteien erzielen, die mit den eigenen Zielen übereinstimmen</v>
      </c>
      <c r="I1369" s="615" t="s">
        <v>1662</v>
      </c>
      <c r="J1369" s="615" t="s">
        <v>1680</v>
      </c>
      <c r="L1369" s="616" t="s">
        <v>397</v>
      </c>
      <c r="N1369" s="638" t="s">
        <v>397</v>
      </c>
      <c r="O1369" s="639"/>
      <c r="P1369" s="638" t="s">
        <v>397</v>
      </c>
      <c r="R1369" s="645" t="s">
        <v>1427</v>
      </c>
      <c r="T1369" s="645" t="s">
        <v>1427</v>
      </c>
      <c r="V1369" s="645" t="s">
        <v>1427</v>
      </c>
      <c r="X1369">
        <f>IF(APPLICATION_LVL="",0,IF(OR(APPLICATION_LVL=COV!$V$68,APPLICATION_LVL=COV!$V$67),Dictionary!Z1369,IF(APPLICATION_LVL=COV!$V$66,Dictionary!AA1369,IF(APPLICATION_LVL=COV!$V$65,IF(DOMAIN=COV!$T$72,Dictionary!AC1369,IF(DOMAIN=COV!$T$73,Dictionary!AD1369,IF(DOMAIN=COV!$T$75,Dictionary!AE1369,2))),IF(APPLICATION_LVL=COV!$V$64,IF(DOMAIN=COV!$T$72,Dictionary!AG1369,IF(DOMAIN=COV!$T$73,Dictionary!AH1369,IF(DOMAIN=COV!$T$75,Dictionary!AI1369,3))),1)))))</f>
        <v>3</v>
      </c>
      <c r="Z1369" s="1779">
        <f t="shared" si="31"/>
        <v>0</v>
      </c>
      <c r="AA1369" s="1779">
        <f t="shared" si="31"/>
        <v>1</v>
      </c>
      <c r="AB1369" s="1779"/>
      <c r="AC1369" s="1779">
        <f t="shared" si="32"/>
        <v>2</v>
      </c>
      <c r="AD1369">
        <v>2</v>
      </c>
      <c r="AE1369">
        <v>2</v>
      </c>
      <c r="AG1369" s="1779">
        <f t="shared" si="33"/>
        <v>3</v>
      </c>
      <c r="AH1369">
        <v>3</v>
      </c>
      <c r="AI1369">
        <v>3</v>
      </c>
      <c r="AK1369">
        <v>0</v>
      </c>
      <c r="AL1369">
        <v>1</v>
      </c>
      <c r="AN1369">
        <v>2</v>
      </c>
      <c r="AP1369">
        <v>3</v>
      </c>
      <c r="AR1369">
        <v>0</v>
      </c>
      <c r="AS1369">
        <v>2</v>
      </c>
      <c r="AU1369">
        <v>3</v>
      </c>
      <c r="AW1369">
        <v>6</v>
      </c>
    </row>
    <row r="1370" spans="2:49" ht="32">
      <c r="B1370" s="616" t="str">
        <f>IF(FORM_LANGUAGE=GER,Dictionary!G1370,Dictionary!E1370)</f>
        <v>Zusätzliche Verkaufs- und Akquisitionsmöglichkeiten entdecken und ausschöpfen</v>
      </c>
      <c r="E1370" s="616" t="str">
        <f>IF(DOMAIN=COV!$T$72,Dictionary!L1370,IF(DOMAIN=COV!$T$73,Dictionary!N1370,IF(DOMAIN=COV!$T$74,Dictionary!P1370,Dictionary!L1370)))</f>
        <v>Detect and exploit additional selling and acquisition possibilities</v>
      </c>
      <c r="F1370" s="616"/>
      <c r="G1370" s="616" t="str">
        <f>IF(DOMAIN=COV!$T$72,Dictionary!R1370,IF(DOMAIN=COV!$T$73,Dictionary!T1370,IF(DOMAIN=COV!$T$74,Dictionary!V1370,Dictionary!R1370)))</f>
        <v>Zusätzliche Verkaufs- und Akquisitionsmöglichkeiten entdecken und ausschöpfen</v>
      </c>
      <c r="I1370" s="615" t="s">
        <v>1663</v>
      </c>
      <c r="J1370" s="615" t="s">
        <v>1681</v>
      </c>
      <c r="L1370" s="616" t="s">
        <v>396</v>
      </c>
      <c r="N1370" s="638" t="s">
        <v>396</v>
      </c>
      <c r="O1370" s="639"/>
      <c r="P1370" s="638" t="s">
        <v>396</v>
      </c>
      <c r="R1370" s="645" t="s">
        <v>1428</v>
      </c>
      <c r="T1370" s="645" t="s">
        <v>1428</v>
      </c>
      <c r="V1370" s="645" t="s">
        <v>1428</v>
      </c>
      <c r="X1370">
        <f>IF(APPLICATION_LVL="",0,IF(OR(APPLICATION_LVL=COV!$V$68,APPLICATION_LVL=COV!$V$67),Dictionary!Z1370,IF(APPLICATION_LVL=COV!$V$66,Dictionary!AA1370,IF(APPLICATION_LVL=COV!$V$65,IF(DOMAIN=COV!$T$72,Dictionary!AC1370,IF(DOMAIN=COV!$T$73,Dictionary!AD1370,IF(DOMAIN=COV!$T$75,Dictionary!AE1370,2))),IF(APPLICATION_LVL=COV!$V$64,IF(DOMAIN=COV!$T$72,Dictionary!AG1370,IF(DOMAIN=COV!$T$73,Dictionary!AH1370,IF(DOMAIN=COV!$T$75,Dictionary!AI1370,3))),1)))))</f>
        <v>3</v>
      </c>
      <c r="Z1370" s="1779">
        <f t="shared" si="31"/>
        <v>0</v>
      </c>
      <c r="AA1370" s="1779">
        <f t="shared" si="31"/>
        <v>2</v>
      </c>
      <c r="AB1370" s="1779"/>
      <c r="AC1370" s="1779">
        <f t="shared" si="32"/>
        <v>2</v>
      </c>
      <c r="AD1370">
        <v>2</v>
      </c>
      <c r="AE1370">
        <v>2</v>
      </c>
      <c r="AG1370" s="1779">
        <f t="shared" si="33"/>
        <v>3</v>
      </c>
      <c r="AH1370">
        <v>3</v>
      </c>
      <c r="AI1370">
        <v>3</v>
      </c>
      <c r="AK1370">
        <v>0</v>
      </c>
      <c r="AL1370">
        <v>2</v>
      </c>
      <c r="AN1370">
        <v>2</v>
      </c>
      <c r="AP1370">
        <v>3</v>
      </c>
      <c r="AR1370">
        <v>0</v>
      </c>
      <c r="AS1370">
        <v>3</v>
      </c>
      <c r="AU1370">
        <v>4</v>
      </c>
      <c r="AW1370">
        <v>5</v>
      </c>
    </row>
    <row r="1371" spans="2:49">
      <c r="F1371" s="638"/>
      <c r="N1371" s="638"/>
      <c r="O1371" s="639"/>
      <c r="P1371" s="638"/>
    </row>
    <row r="1372" spans="2:49">
      <c r="N1372" s="638"/>
      <c r="O1372" s="639"/>
      <c r="P1372" s="638"/>
    </row>
    <row r="1373" spans="2:49" ht="16">
      <c r="B1373" s="649" t="str">
        <f>IF(FORM_LANGUAGE=GER,Dictionary!G1373,Dictionary!E1373)</f>
        <v>Ergebnisorientierung</v>
      </c>
      <c r="C1373" s="650"/>
      <c r="D1373" s="650"/>
      <c r="E1373" s="649" t="str">
        <f>E1244</f>
        <v>Results orientation</v>
      </c>
      <c r="F1373" s="649"/>
      <c r="G1373" s="649" t="str">
        <f>G1244</f>
        <v>Ergebnisorientierung</v>
      </c>
      <c r="H1373" s="74"/>
      <c r="I1373" s="651" t="s">
        <v>395</v>
      </c>
      <c r="J1373" s="650" t="s">
        <v>1670</v>
      </c>
      <c r="K1373" s="650"/>
      <c r="L1373" s="649"/>
      <c r="M1373" s="650"/>
      <c r="N1373" s="652"/>
      <c r="O1373" s="653"/>
      <c r="P1373" s="652"/>
      <c r="Q1373" s="74"/>
      <c r="R1373" s="654"/>
      <c r="S1373" s="74"/>
      <c r="T1373" s="654"/>
      <c r="U1373" s="74"/>
      <c r="V1373" s="654"/>
      <c r="X1373">
        <f>IF(APPLICATION_LVL="",0,IF(OR(APPLICATION_LVL=COV!$V$68,APPLICATION_LVL=COV!$V$67),Dictionary!Z1373,IF(APPLICATION_LVL=COV!$V$66,Dictionary!AA1373,IF(APPLICATION_LVL=COV!$V$65,IF(DOMAIN=COV!$T$72,Dictionary!AC1373,IF(DOMAIN=COV!$T$73,Dictionary!AD1373,IF(DOMAIN=COV!$T$75,Dictionary!AE1373,2))),IF(APPLICATION_LVL=COV!$V$64,IF(DOMAIN=COV!$T$72,Dictionary!AG1373,IF(DOMAIN=COV!$T$73,Dictionary!AH1373,IF(DOMAIN=COV!$T$75,Dictionary!AI1373,3))),1)))))</f>
        <v>3</v>
      </c>
      <c r="Z1373" s="1779">
        <f t="shared" ref="Z1373:AA1378" si="34">IF(GC_Flag="",AK1373,AR1373)</f>
        <v>1</v>
      </c>
      <c r="AA1373" s="1779">
        <f t="shared" si="34"/>
        <v>2</v>
      </c>
      <c r="AB1373" s="1779"/>
      <c r="AC1373" s="1779">
        <f t="shared" ref="AC1373:AC1378" si="35">IF(GC_Flag="",AN1373,AU1373)</f>
        <v>3</v>
      </c>
      <c r="AD1373">
        <v>3</v>
      </c>
      <c r="AE1373">
        <v>3</v>
      </c>
      <c r="AG1373" s="1779">
        <f t="shared" ref="AG1373:AG1378" si="36">IF(GC_Flag="",AP1373,AW1373)</f>
        <v>3</v>
      </c>
      <c r="AH1373">
        <v>3</v>
      </c>
      <c r="AI1373">
        <v>3</v>
      </c>
      <c r="AK1373">
        <v>1</v>
      </c>
      <c r="AL1373">
        <v>2</v>
      </c>
      <c r="AN1373">
        <v>3</v>
      </c>
      <c r="AP1373">
        <v>3</v>
      </c>
      <c r="AR1373">
        <v>2</v>
      </c>
      <c r="AS1373">
        <v>3</v>
      </c>
      <c r="AU1373">
        <v>6</v>
      </c>
      <c r="AW1373">
        <v>6</v>
      </c>
    </row>
    <row r="1374" spans="2:49" ht="48">
      <c r="B1374" s="616" t="str">
        <f>IF(FORM_LANGUAGE=GER,Dictionary!G1374,Dictionary!E1374)</f>
        <v>Alle Entscheidungen und Handlungen hinsichtlich ihrer Auswirkung auf den Projekterfolg und die Ziele der Organisation evaluieren</v>
      </c>
      <c r="E1374" s="616" t="str">
        <f>IF(DOMAIN=COV!$T$72,Dictionary!L1374,IF(DOMAIN=COV!$T$73,Dictionary!N1374,IF(DOMAIN=COV!$T$74,Dictionary!P1374,Dictionary!L1374)))</f>
        <v>Evaluate all decisions and actions against their impact on project success and the objectives of the organization</v>
      </c>
      <c r="F1374" s="616"/>
      <c r="G1374" s="616" t="str">
        <f>IF(DOMAIN=COV!$T$72,Dictionary!R1374,IF(DOMAIN=COV!$T$73,Dictionary!T1374,IF(DOMAIN=COV!$T$74,Dictionary!V1374,Dictionary!R1374)))</f>
        <v>Alle Entscheidungen und Handlungen hinsichtlich ihrer Auswirkung auf den Projekterfolg und die Ziele der Organisation evaluieren</v>
      </c>
      <c r="I1374" s="615" t="s">
        <v>1664</v>
      </c>
      <c r="J1374" s="615" t="s">
        <v>1671</v>
      </c>
      <c r="L1374" s="616" t="s">
        <v>394</v>
      </c>
      <c r="N1374" s="638" t="s">
        <v>1595</v>
      </c>
      <c r="O1374" s="639"/>
      <c r="P1374" s="638" t="s">
        <v>1596</v>
      </c>
      <c r="R1374" s="645" t="s">
        <v>1429</v>
      </c>
      <c r="T1374" s="645" t="s">
        <v>1430</v>
      </c>
      <c r="V1374" s="645" t="s">
        <v>1431</v>
      </c>
      <c r="X1374">
        <f>IF(APPLICATION_LVL="",0,IF(OR(APPLICATION_LVL=COV!$V$68,APPLICATION_LVL=COV!$V$67),Dictionary!Z1374,IF(APPLICATION_LVL=COV!$V$66,Dictionary!AA1374,IF(APPLICATION_LVL=COV!$V$65,IF(DOMAIN=COV!$T$72,Dictionary!AC1374,IF(DOMAIN=COV!$T$73,Dictionary!AD1374,IF(DOMAIN=COV!$T$75,Dictionary!AE1374,2))),IF(APPLICATION_LVL=COV!$V$64,IF(DOMAIN=COV!$T$72,Dictionary!AG1374,IF(DOMAIN=COV!$T$73,Dictionary!AH1374,IF(DOMAIN=COV!$T$75,Dictionary!AI1374,3))),1)))))</f>
        <v>3</v>
      </c>
      <c r="Z1374" s="1779">
        <f t="shared" si="34"/>
        <v>1</v>
      </c>
      <c r="AA1374" s="1779">
        <f t="shared" si="34"/>
        <v>2</v>
      </c>
      <c r="AB1374" s="1779"/>
      <c r="AC1374" s="1779">
        <f t="shared" si="35"/>
        <v>2</v>
      </c>
      <c r="AD1374">
        <v>2</v>
      </c>
      <c r="AE1374">
        <v>2</v>
      </c>
      <c r="AG1374" s="1779">
        <f t="shared" si="36"/>
        <v>3</v>
      </c>
      <c r="AH1374">
        <v>3</v>
      </c>
      <c r="AI1374">
        <v>3</v>
      </c>
      <c r="AK1374">
        <v>1</v>
      </c>
      <c r="AL1374">
        <v>2</v>
      </c>
      <c r="AN1374">
        <v>2</v>
      </c>
      <c r="AP1374">
        <v>3</v>
      </c>
      <c r="AR1374">
        <v>1</v>
      </c>
      <c r="AS1374">
        <v>3</v>
      </c>
      <c r="AU1374">
        <v>4</v>
      </c>
      <c r="AW1374">
        <v>5</v>
      </c>
    </row>
    <row r="1375" spans="2:49" ht="32">
      <c r="B1375" s="616" t="str">
        <f>IF(FORM_LANGUAGE=GER,Dictionary!G1375,Dictionary!E1375)</f>
        <v>Bedürfnisse und Mittel aufeinander abstimmen, um Ergebnisse und Erfolge zu optimieren</v>
      </c>
      <c r="E1375" s="616" t="str">
        <f>IF(DOMAIN=COV!$T$72,Dictionary!L1375,IF(DOMAIN=COV!$T$73,Dictionary!N1375,IF(DOMAIN=COV!$T$74,Dictionary!P1375,Dictionary!L1375)))</f>
        <v>Balance needs and means to optimize outcomes and success</v>
      </c>
      <c r="F1375" s="616"/>
      <c r="G1375" s="616" t="str">
        <f>IF(DOMAIN=COV!$T$72,Dictionary!R1375,IF(DOMAIN=COV!$T$73,Dictionary!T1375,IF(DOMAIN=COV!$T$74,Dictionary!V1375,Dictionary!R1375)))</f>
        <v>Bedürfnisse und Mittel aufeinander abstimmen, um Ergebnisse und Erfolge zu optimieren</v>
      </c>
      <c r="I1375" s="615" t="s">
        <v>1665</v>
      </c>
      <c r="J1375" s="615" t="s">
        <v>1672</v>
      </c>
      <c r="L1375" s="616" t="s">
        <v>393</v>
      </c>
      <c r="N1375" s="638" t="s">
        <v>393</v>
      </c>
      <c r="O1375" s="639"/>
      <c r="P1375" s="638" t="s">
        <v>393</v>
      </c>
      <c r="R1375" s="645" t="s">
        <v>1432</v>
      </c>
      <c r="T1375" s="645" t="s">
        <v>1432</v>
      </c>
      <c r="V1375" s="645" t="s">
        <v>1432</v>
      </c>
      <c r="X1375">
        <f>IF(APPLICATION_LVL="",0,IF(OR(APPLICATION_LVL=COV!$V$68,APPLICATION_LVL=COV!$V$67),Dictionary!Z1375,IF(APPLICATION_LVL=COV!$V$66,Dictionary!AA1375,IF(APPLICATION_LVL=COV!$V$65,IF(DOMAIN=COV!$T$72,Dictionary!AC1375,IF(DOMAIN=COV!$T$73,Dictionary!AD1375,IF(DOMAIN=COV!$T$75,Dictionary!AE1375,2))),IF(APPLICATION_LVL=COV!$V$64,IF(DOMAIN=COV!$T$72,Dictionary!AG1375,IF(DOMAIN=COV!$T$73,Dictionary!AH1375,IF(DOMAIN=COV!$T$75,Dictionary!AI1375,3))),1)))))</f>
        <v>3</v>
      </c>
      <c r="Z1375" s="1779">
        <f t="shared" si="34"/>
        <v>1</v>
      </c>
      <c r="AA1375" s="1779">
        <f t="shared" si="34"/>
        <v>2</v>
      </c>
      <c r="AB1375" s="1779"/>
      <c r="AC1375" s="1779">
        <f t="shared" si="35"/>
        <v>3</v>
      </c>
      <c r="AD1375">
        <v>3</v>
      </c>
      <c r="AE1375">
        <v>3</v>
      </c>
      <c r="AG1375" s="1779">
        <f t="shared" si="36"/>
        <v>3</v>
      </c>
      <c r="AH1375">
        <v>3</v>
      </c>
      <c r="AI1375">
        <v>3</v>
      </c>
      <c r="AK1375">
        <v>1</v>
      </c>
      <c r="AL1375">
        <v>2</v>
      </c>
      <c r="AN1375">
        <v>3</v>
      </c>
      <c r="AP1375">
        <v>3</v>
      </c>
      <c r="AR1375">
        <v>1</v>
      </c>
      <c r="AS1375">
        <v>3</v>
      </c>
      <c r="AU1375">
        <v>6</v>
      </c>
      <c r="AW1375">
        <v>6</v>
      </c>
    </row>
    <row r="1376" spans="2:49" ht="32">
      <c r="B1376" s="616" t="str">
        <f>IF(FORM_LANGUAGE=GER,Dictionary!G1376,Dictionary!E1376)</f>
        <v>Gesunde, sichere und produktive Arbeitsumgebung schaffen und diese aufrecht erhalten</v>
      </c>
      <c r="E1376" s="616" t="str">
        <f>IF(DOMAIN=COV!$T$72,Dictionary!L1376,IF(DOMAIN=COV!$T$73,Dictionary!N1376,IF(DOMAIN=COV!$T$74,Dictionary!P1376,Dictionary!L1376)))</f>
        <v>Create and maintain a healthy, safe, and productive working environment</v>
      </c>
      <c r="F1376" s="616"/>
      <c r="G1376" s="616" t="str">
        <f>IF(DOMAIN=COV!$T$72,Dictionary!R1376,IF(DOMAIN=COV!$T$73,Dictionary!T1376,IF(DOMAIN=COV!$T$74,Dictionary!V1376,Dictionary!R1376)))</f>
        <v>Gesunde, sichere und produktive Arbeitsumgebung schaffen und diese aufrecht erhalten</v>
      </c>
      <c r="I1376" s="615" t="s">
        <v>1666</v>
      </c>
      <c r="J1376" s="615" t="s">
        <v>1673</v>
      </c>
      <c r="L1376" s="616" t="s">
        <v>392</v>
      </c>
      <c r="N1376" s="638" t="s">
        <v>392</v>
      </c>
      <c r="O1376" s="639"/>
      <c r="P1376" s="638" t="s">
        <v>392</v>
      </c>
      <c r="R1376" s="645" t="s">
        <v>1433</v>
      </c>
      <c r="T1376" s="645" t="s">
        <v>1433</v>
      </c>
      <c r="V1376" s="645" t="s">
        <v>1433</v>
      </c>
      <c r="X1376">
        <f>IF(APPLICATION_LVL="",0,IF(OR(APPLICATION_LVL=COV!$V$68,APPLICATION_LVL=COV!$V$67),Dictionary!Z1376,IF(APPLICATION_LVL=COV!$V$66,Dictionary!AA1376,IF(APPLICATION_LVL=COV!$V$65,IF(DOMAIN=COV!$T$72,Dictionary!AC1376,IF(DOMAIN=COV!$T$73,Dictionary!AD1376,IF(DOMAIN=COV!$T$75,Dictionary!AE1376,2))),IF(APPLICATION_LVL=COV!$V$64,IF(DOMAIN=COV!$T$72,Dictionary!AG1376,IF(DOMAIN=COV!$T$73,Dictionary!AH1376,IF(DOMAIN=COV!$T$75,Dictionary!AI1376,3))),1)))))</f>
        <v>2</v>
      </c>
      <c r="Z1376" s="1779">
        <f t="shared" si="34"/>
        <v>0</v>
      </c>
      <c r="AA1376" s="1779">
        <f t="shared" si="34"/>
        <v>2</v>
      </c>
      <c r="AB1376" s="1779"/>
      <c r="AC1376" s="1779">
        <f t="shared" si="35"/>
        <v>2</v>
      </c>
      <c r="AD1376">
        <v>2</v>
      </c>
      <c r="AE1376">
        <v>2</v>
      </c>
      <c r="AG1376" s="1779">
        <f t="shared" si="36"/>
        <v>2</v>
      </c>
      <c r="AH1376">
        <v>3</v>
      </c>
      <c r="AI1376">
        <v>3</v>
      </c>
      <c r="AK1376">
        <v>0</v>
      </c>
      <c r="AL1376">
        <v>2</v>
      </c>
      <c r="AN1376">
        <v>2</v>
      </c>
      <c r="AP1376">
        <v>2</v>
      </c>
      <c r="AR1376">
        <v>0</v>
      </c>
      <c r="AS1376">
        <v>3</v>
      </c>
      <c r="AU1376">
        <v>4</v>
      </c>
      <c r="AW1376">
        <v>6</v>
      </c>
    </row>
    <row r="1377" spans="2:49" ht="32">
      <c r="B1377" s="616" t="str">
        <f>IF(FORM_LANGUAGE=GER,Dictionary!G1377,Dictionary!E1377)</f>
        <v>Das Projekt, seine Prozesse und Ergebnisse promoten und diese ‚verkaufen‘</v>
      </c>
      <c r="E1377" s="616" t="str">
        <f>IF(DOMAIN=COV!$T$72,Dictionary!L1377,IF(DOMAIN=COV!$T$73,Dictionary!N1377,IF(DOMAIN=COV!$T$74,Dictionary!P1377,Dictionary!L1377)))</f>
        <v>Promote and 'sell' the project and its processes and outcomes</v>
      </c>
      <c r="F1377" s="616"/>
      <c r="G1377" s="616" t="str">
        <f>IF(DOMAIN=COV!$T$72,Dictionary!R1377,IF(DOMAIN=COV!$T$73,Dictionary!T1377,IF(DOMAIN=COV!$T$74,Dictionary!V1377,Dictionary!R1377)))</f>
        <v>Das Projekt, seine Prozesse und Ergebnisse promoten und diese ‚verkaufen‘</v>
      </c>
      <c r="I1377" s="615" t="s">
        <v>1667</v>
      </c>
      <c r="J1377" s="615" t="s">
        <v>1674</v>
      </c>
      <c r="L1377" s="616" t="s">
        <v>391</v>
      </c>
      <c r="N1377" s="638" t="s">
        <v>1593</v>
      </c>
      <c r="O1377" s="639"/>
      <c r="P1377" s="638" t="s">
        <v>1594</v>
      </c>
      <c r="R1377" s="645" t="s">
        <v>1434</v>
      </c>
      <c r="T1377" s="645" t="s">
        <v>1436</v>
      </c>
      <c r="V1377" s="645" t="s">
        <v>1435</v>
      </c>
      <c r="X1377">
        <f>IF(APPLICATION_LVL="",0,IF(OR(APPLICATION_LVL=COV!$V$68,APPLICATION_LVL=COV!$V$67),Dictionary!Z1377,IF(APPLICATION_LVL=COV!$V$66,Dictionary!AA1377,IF(APPLICATION_LVL=COV!$V$65,IF(DOMAIN=COV!$T$72,Dictionary!AC1377,IF(DOMAIN=COV!$T$73,Dictionary!AD1377,IF(DOMAIN=COV!$T$75,Dictionary!AE1377,2))),IF(APPLICATION_LVL=COV!$V$64,IF(DOMAIN=COV!$T$72,Dictionary!AG1377,IF(DOMAIN=COV!$T$73,Dictionary!AH1377,IF(DOMAIN=COV!$T$75,Dictionary!AI1377,3))),1)))))</f>
        <v>3</v>
      </c>
      <c r="Z1377" s="1779">
        <f t="shared" si="34"/>
        <v>1</v>
      </c>
      <c r="AA1377" s="1779">
        <f t="shared" si="34"/>
        <v>2</v>
      </c>
      <c r="AB1377" s="1779"/>
      <c r="AC1377" s="1779">
        <f t="shared" si="35"/>
        <v>3</v>
      </c>
      <c r="AD1377">
        <v>3</v>
      </c>
      <c r="AE1377">
        <v>3</v>
      </c>
      <c r="AG1377" s="1779">
        <f t="shared" si="36"/>
        <v>3</v>
      </c>
      <c r="AH1377">
        <v>3</v>
      </c>
      <c r="AI1377">
        <v>3</v>
      </c>
      <c r="AK1377">
        <v>1</v>
      </c>
      <c r="AL1377">
        <v>2</v>
      </c>
      <c r="AN1377">
        <v>3</v>
      </c>
      <c r="AP1377">
        <v>3</v>
      </c>
      <c r="AR1377">
        <v>2</v>
      </c>
      <c r="AS1377">
        <v>3</v>
      </c>
      <c r="AU1377">
        <v>6</v>
      </c>
      <c r="AW1377">
        <v>6</v>
      </c>
    </row>
    <row r="1378" spans="2:49" ht="16">
      <c r="B1378" s="616" t="str">
        <f>IF(FORM_LANGUAGE=GER,Dictionary!G1378,Dictionary!E1378)</f>
        <v>Ergebnisse liefern und Akzeptanz erhalten</v>
      </c>
      <c r="E1378" s="616" t="str">
        <f>IF(DOMAIN=COV!$T$72,Dictionary!L1378,IF(DOMAIN=COV!$T$73,Dictionary!N1378,IF(DOMAIN=COV!$T$74,Dictionary!P1378,Dictionary!L1378)))</f>
        <v>Deliver results and get acceptance</v>
      </c>
      <c r="F1378" s="616"/>
      <c r="G1378" s="616" t="str">
        <f>IF(DOMAIN=COV!$T$72,Dictionary!R1378,IF(DOMAIN=COV!$T$73,Dictionary!T1378,IF(DOMAIN=COV!$T$74,Dictionary!V1378,Dictionary!R1378)))</f>
        <v>Ergebnisse liefern und Akzeptanz erhalten</v>
      </c>
      <c r="I1378" s="615" t="s">
        <v>1668</v>
      </c>
      <c r="J1378" s="615" t="s">
        <v>1675</v>
      </c>
      <c r="L1378" s="616" t="s">
        <v>390</v>
      </c>
      <c r="N1378" s="638" t="s">
        <v>390</v>
      </c>
      <c r="O1378" s="639"/>
      <c r="P1378" s="638" t="s">
        <v>390</v>
      </c>
      <c r="R1378" s="645" t="s">
        <v>1437</v>
      </c>
      <c r="T1378" s="645" t="s">
        <v>1437</v>
      </c>
      <c r="V1378" s="645" t="s">
        <v>1437</v>
      </c>
      <c r="X1378">
        <f>IF(APPLICATION_LVL="",0,IF(OR(APPLICATION_LVL=COV!$V$68,APPLICATION_LVL=COV!$V$67),Dictionary!Z1378,IF(APPLICATION_LVL=COV!$V$66,Dictionary!AA1378,IF(APPLICATION_LVL=COV!$V$65,IF(DOMAIN=COV!$T$72,Dictionary!AC1378,IF(DOMAIN=COV!$T$73,Dictionary!AD1378,IF(DOMAIN=COV!$T$75,Dictionary!AE1378,2))),IF(APPLICATION_LVL=COV!$V$64,IF(DOMAIN=COV!$T$72,Dictionary!AG1378,IF(DOMAIN=COV!$T$73,Dictionary!AH1378,IF(DOMAIN=COV!$T$75,Dictionary!AI1378,3))),1)))))</f>
        <v>3</v>
      </c>
      <c r="Z1378" s="1779">
        <f t="shared" si="34"/>
        <v>1</v>
      </c>
      <c r="AA1378" s="1779">
        <f t="shared" si="34"/>
        <v>2</v>
      </c>
      <c r="AB1378" s="1779"/>
      <c r="AC1378" s="1779">
        <f t="shared" si="35"/>
        <v>2</v>
      </c>
      <c r="AD1378">
        <v>2</v>
      </c>
      <c r="AE1378">
        <v>2</v>
      </c>
      <c r="AG1378" s="1779">
        <f t="shared" si="36"/>
        <v>3</v>
      </c>
      <c r="AH1378">
        <v>3</v>
      </c>
      <c r="AI1378">
        <v>3</v>
      </c>
      <c r="AK1378">
        <v>1</v>
      </c>
      <c r="AL1378">
        <v>2</v>
      </c>
      <c r="AN1378">
        <v>2</v>
      </c>
      <c r="AP1378">
        <v>3</v>
      </c>
      <c r="AR1378">
        <v>1</v>
      </c>
      <c r="AS1378">
        <v>3</v>
      </c>
      <c r="AU1378">
        <v>4</v>
      </c>
      <c r="AW1378">
        <v>6</v>
      </c>
    </row>
    <row r="1379" spans="2:49">
      <c r="F1379" s="638"/>
    </row>
    <row r="1380" spans="2:49" ht="16">
      <c r="B1380" s="655" t="str">
        <f>IF(FORM_LANGUAGE=GER,Dictionary!G1380,Dictionary!E1380)</f>
        <v>Practice Kompetenz Elements</v>
      </c>
      <c r="C1380" s="659"/>
      <c r="D1380" s="659"/>
      <c r="E1380" s="655" t="str">
        <f>E846</f>
        <v>Practice Competence Elements</v>
      </c>
      <c r="F1380" s="661"/>
      <c r="G1380" s="655" t="str">
        <f>G846</f>
        <v>Practice Kompetenz Elements</v>
      </c>
      <c r="H1380" s="658"/>
      <c r="I1380" s="659"/>
      <c r="J1380" s="659"/>
      <c r="K1380" s="659"/>
      <c r="L1380" s="655"/>
      <c r="M1380" s="659"/>
      <c r="N1380" s="655"/>
      <c r="O1380" s="659"/>
      <c r="P1380" s="655"/>
      <c r="Q1380" s="658"/>
      <c r="R1380" s="660"/>
      <c r="S1380" s="658"/>
      <c r="T1380" s="660"/>
      <c r="U1380" s="658"/>
      <c r="V1380" s="660"/>
    </row>
    <row r="1381" spans="2:49" ht="16">
      <c r="B1381" s="649" t="str">
        <f>IF(FORM_LANGUAGE=GER,Dictionary!G1381,Dictionary!E1381)</f>
        <v>Projektdesign</v>
      </c>
      <c r="C1381" s="650"/>
      <c r="D1381" s="650"/>
      <c r="E1381" s="649" t="str">
        <f>E1246</f>
        <v>Project design</v>
      </c>
      <c r="F1381" s="649"/>
      <c r="G1381" s="649" t="str">
        <f>G1246</f>
        <v>Projektdesign</v>
      </c>
      <c r="H1381" s="74"/>
      <c r="I1381" s="651" t="s">
        <v>388</v>
      </c>
      <c r="J1381" s="650" t="s">
        <v>1669</v>
      </c>
      <c r="K1381" s="650"/>
      <c r="L1381" s="649"/>
      <c r="M1381" s="650"/>
      <c r="N1381" s="649"/>
      <c r="O1381" s="650"/>
      <c r="P1381" s="649"/>
      <c r="Q1381" s="74"/>
      <c r="R1381" s="654"/>
      <c r="S1381" s="74"/>
      <c r="T1381" s="654"/>
      <c r="U1381" s="74"/>
      <c r="V1381" s="654"/>
      <c r="X1381">
        <f>IF(APPLICATION_LVL="",0,IF(OR(APPLICATION_LVL=COV!$V$68,APPLICATION_LVL=COV!$V$67),Dictionary!Z1381,IF(APPLICATION_LVL=COV!$V$66,Dictionary!AA1381,IF(APPLICATION_LVL=COV!$V$65,IF(DOMAIN=COV!$T$72,Dictionary!AC1381,IF(DOMAIN=COV!$T$73,Dictionary!AD1381,IF(DOMAIN=COV!$T$75,Dictionary!AE1381,2))),IF(APPLICATION_LVL=COV!$V$64,IF(DOMAIN=COV!$T$72,Dictionary!AG1381,IF(DOMAIN=COV!$T$73,Dictionary!AH1381,IF(DOMAIN=COV!$T$75,Dictionary!AI1381,3))),1)))))</f>
        <v>3</v>
      </c>
      <c r="Z1381" s="1779">
        <f t="shared" ref="Z1381:Z1389" si="37">IF(GC_Flag="",AK1381,AR1381)</f>
        <v>2</v>
      </c>
      <c r="AA1381" s="1779">
        <f t="shared" ref="AA1381:AA1389" si="38">IF(GC_Flag="",AL1381,AS1381)</f>
        <v>2</v>
      </c>
      <c r="AB1381" s="1779"/>
      <c r="AC1381" s="1779">
        <f t="shared" ref="AC1381:AC1389" si="39">IF(GC_Flag="",AN1381,AU1381)</f>
        <v>3</v>
      </c>
      <c r="AD1381">
        <v>2</v>
      </c>
      <c r="AE1381">
        <v>2</v>
      </c>
      <c r="AG1381" s="1779">
        <f t="shared" ref="AG1381:AG1389" si="40">IF(GC_Flag="",AP1381,AW1381)</f>
        <v>3</v>
      </c>
      <c r="AH1381">
        <v>3</v>
      </c>
      <c r="AI1381">
        <v>3</v>
      </c>
      <c r="AK1381">
        <v>2</v>
      </c>
      <c r="AL1381">
        <v>2</v>
      </c>
      <c r="AN1381">
        <v>3</v>
      </c>
      <c r="AP1381">
        <v>3</v>
      </c>
      <c r="AR1381">
        <v>2</v>
      </c>
      <c r="AS1381">
        <v>3</v>
      </c>
      <c r="AU1381">
        <v>5</v>
      </c>
      <c r="AW1381">
        <v>6</v>
      </c>
    </row>
    <row r="1382" spans="2:49" ht="16">
      <c r="B1382" s="616" t="str">
        <f>IF(FORM_LANGUAGE=GER,Dictionary!G1382,Dictionary!E1382)</f>
        <v>Erfolgskriterien anerkennen, priorisieren und überprüfen</v>
      </c>
      <c r="E1382" s="616" t="str">
        <f>IF(DOMAIN=COV!$T$72,IF(Dictionary!L1382="","",Dictionary!L1382),IF(DOMAIN=COV!$T$73,IF(Dictionary!N1382="","",Dictionary!N1382),IF(DOMAIN=COV!$T$74,IF(Dictionary!P1382="","",Dictionary!P1382),IF(Dictionary!L1382="","",Dictionary!L1382))))</f>
        <v>Acknowledge, prioritize, and review success criteria</v>
      </c>
      <c r="F1382" s="616"/>
      <c r="G1382" s="616" t="str">
        <f>IF(DOMAIN=COV!$T$72,IF(Dictionary!R1382="","",Dictionary!R1382),IF(DOMAIN=COV!$T$73,IF(Dictionary!T1382="","",Dictionary!T1382),IF(DOMAIN=COV!$T$74,IF(Dictionary!V1382="","",Dictionary!V1382),IF(Dictionary!R1382="","",Dictionary!R1382))))</f>
        <v>Erfolgskriterien anerkennen, priorisieren und überprüfen</v>
      </c>
      <c r="I1382" s="615" t="s">
        <v>1755</v>
      </c>
      <c r="J1382" s="615" t="s">
        <v>1759</v>
      </c>
      <c r="L1382" s="616" t="s">
        <v>387</v>
      </c>
      <c r="N1382" s="638" t="s">
        <v>387</v>
      </c>
      <c r="O1382" s="639"/>
      <c r="P1382" s="638" t="s">
        <v>387</v>
      </c>
      <c r="R1382" s="645" t="s">
        <v>1438</v>
      </c>
      <c r="T1382" s="645" t="s">
        <v>1438</v>
      </c>
      <c r="V1382" s="645" t="s">
        <v>1438</v>
      </c>
      <c r="X1382">
        <f>IF(APPLICATION_LVL="",0,IF(OR(APPLICATION_LVL=COV!$V$68,APPLICATION_LVL=COV!$V$67),Dictionary!Z1382,IF(APPLICATION_LVL=COV!$V$66,Dictionary!AA1382,IF(APPLICATION_LVL=COV!$V$65,IF(DOMAIN=COV!$T$72,Dictionary!AC1382,IF(DOMAIN=COV!$T$73,Dictionary!AD1382,IF(DOMAIN=COV!$T$75,Dictionary!AE1382,2))),IF(APPLICATION_LVL=COV!$V$64,IF(DOMAIN=COV!$T$72,Dictionary!AG1382,IF(DOMAIN=COV!$T$73,Dictionary!AH1382,IF(DOMAIN=COV!$T$75,Dictionary!AI1382,3))),1)))))</f>
        <v>3</v>
      </c>
      <c r="Z1382" s="1779">
        <f t="shared" si="37"/>
        <v>2</v>
      </c>
      <c r="AA1382" s="1779">
        <f t="shared" si="38"/>
        <v>2</v>
      </c>
      <c r="AB1382" s="1779"/>
      <c r="AC1382" s="1779">
        <f t="shared" si="39"/>
        <v>3</v>
      </c>
      <c r="AD1382">
        <v>2</v>
      </c>
      <c r="AE1382">
        <v>2</v>
      </c>
      <c r="AG1382" s="1779">
        <f t="shared" si="40"/>
        <v>3</v>
      </c>
      <c r="AH1382">
        <v>3</v>
      </c>
      <c r="AI1382">
        <v>3</v>
      </c>
      <c r="AK1382">
        <v>2</v>
      </c>
      <c r="AL1382">
        <v>2</v>
      </c>
      <c r="AN1382">
        <v>3</v>
      </c>
      <c r="AP1382">
        <v>3</v>
      </c>
      <c r="AR1382">
        <v>2</v>
      </c>
      <c r="AS1382">
        <v>3</v>
      </c>
      <c r="AU1382">
        <v>4</v>
      </c>
      <c r="AW1382">
        <v>5</v>
      </c>
    </row>
    <row r="1383" spans="2:49" ht="32">
      <c r="B1383" s="616" t="str">
        <f>IF(FORM_LANGUAGE=GER,Dictionary!G1383,Dictionary!E1383)</f>
        <v>Lessons Learned aus und mit anderen Projekten überprüfen, anwenden und austauschen</v>
      </c>
      <c r="E1383" s="616" t="str">
        <f>IF(DOMAIN=COV!$T$72,IF(Dictionary!L1383="","",Dictionary!L1383),IF(DOMAIN=COV!$T$73,IF(Dictionary!N1383="","",Dictionary!N1383),IF(DOMAIN=COV!$T$74,IF(Dictionary!P1383="","",Dictionary!P1383),IF(Dictionary!L1383="","",Dictionary!L1383))))</f>
        <v>Review, apply, and exchange lessons learned from and with other projects</v>
      </c>
      <c r="F1383" s="616"/>
      <c r="G1383" s="616" t="str">
        <f>IF(DOMAIN=COV!$T$72,IF(Dictionary!R1383="","",Dictionary!R1383),IF(DOMAIN=COV!$T$73,IF(Dictionary!T1383="","",Dictionary!T1383),IF(DOMAIN=COV!$T$74,IF(Dictionary!V1383="","",Dictionary!V1383),IF(Dictionary!R1383="","",Dictionary!R1383))))</f>
        <v>Lessons Learned aus und mit anderen Projekten überprüfen, anwenden und austauschen</v>
      </c>
      <c r="I1383" s="615" t="s">
        <v>1756</v>
      </c>
      <c r="J1383" s="615" t="s">
        <v>1760</v>
      </c>
      <c r="L1383" s="616" t="s">
        <v>386</v>
      </c>
      <c r="N1383" s="638" t="s">
        <v>2698</v>
      </c>
      <c r="O1383" s="639"/>
      <c r="P1383" s="638" t="s">
        <v>2751</v>
      </c>
      <c r="R1383" s="645" t="s">
        <v>1439</v>
      </c>
      <c r="T1383" s="645" t="s">
        <v>1440</v>
      </c>
      <c r="V1383" s="645" t="s">
        <v>1441</v>
      </c>
      <c r="X1383">
        <f>IF(APPLICATION_LVL="",0,IF(OR(APPLICATION_LVL=COV!$V$68,APPLICATION_LVL=COV!$V$67),Dictionary!Z1383,IF(APPLICATION_LVL=COV!$V$66,Dictionary!AA1383,IF(APPLICATION_LVL=COV!$V$65,IF(DOMAIN=COV!$T$72,Dictionary!AC1383,IF(DOMAIN=COV!$T$73,Dictionary!AD1383,IF(DOMAIN=COV!$T$75,Dictionary!AE1383,2))),IF(APPLICATION_LVL=COV!$V$64,IF(DOMAIN=COV!$T$72,Dictionary!AG1383,IF(DOMAIN=COV!$T$73,Dictionary!AH1383,IF(DOMAIN=COV!$T$75,Dictionary!AI1383,3))),1)))))</f>
        <v>2</v>
      </c>
      <c r="Z1383" s="1779">
        <f t="shared" si="37"/>
        <v>1</v>
      </c>
      <c r="AA1383" s="1779">
        <f t="shared" si="38"/>
        <v>2</v>
      </c>
      <c r="AB1383" s="1779"/>
      <c r="AC1383" s="1779">
        <f t="shared" si="39"/>
        <v>2</v>
      </c>
      <c r="AD1383">
        <v>2</v>
      </c>
      <c r="AE1383">
        <v>2</v>
      </c>
      <c r="AG1383" s="1779">
        <f t="shared" si="40"/>
        <v>2</v>
      </c>
      <c r="AH1383">
        <v>2</v>
      </c>
      <c r="AI1383">
        <v>3</v>
      </c>
      <c r="AK1383">
        <v>1</v>
      </c>
      <c r="AL1383">
        <v>2</v>
      </c>
      <c r="AN1383">
        <v>2</v>
      </c>
      <c r="AP1383">
        <v>2</v>
      </c>
      <c r="AR1383">
        <v>1</v>
      </c>
      <c r="AS1383">
        <v>3</v>
      </c>
      <c r="AU1383">
        <v>4</v>
      </c>
      <c r="AW1383">
        <v>6</v>
      </c>
    </row>
    <row r="1384" spans="2:49" ht="32">
      <c r="B1384" s="616" t="str">
        <f>IF(FORM_LANGUAGE=GER,Dictionary!G1384,Dictionary!E1384)</f>
        <v>Projektkomplexität und ihre Konsequenzen für den Projektmanagementansatz bestimmen</v>
      </c>
      <c r="E1384" s="616" t="str">
        <f>IF(DOMAIN=COV!$T$72,IF(Dictionary!L1384="","",Dictionary!L1384),IF(DOMAIN=COV!$T$73,IF(Dictionary!N1384="","",Dictionary!N1384),IF(DOMAIN=COV!$T$74,IF(Dictionary!P1384="","",Dictionary!P1384),IF(Dictionary!L1384="","",Dictionary!L1384))))</f>
        <v>Determine complexity and its consequences for the approach</v>
      </c>
      <c r="F1384" s="616"/>
      <c r="G1384" s="616" t="str">
        <f>IF(DOMAIN=COV!$T$72,IF(Dictionary!R1384="","",Dictionary!R1384),IF(DOMAIN=COV!$T$73,IF(Dictionary!T1384="","",Dictionary!T1384),IF(DOMAIN=COV!$T$74,IF(Dictionary!V1384="","",Dictionary!V1384),IF(Dictionary!R1384="","",Dictionary!R1384))))</f>
        <v>Projektkomplexität und ihre Konsequenzen für den Projektmanagementansatz bestimmen</v>
      </c>
      <c r="I1384" s="615" t="s">
        <v>1757</v>
      </c>
      <c r="J1384" s="615" t="s">
        <v>1761</v>
      </c>
      <c r="L1384" s="616" t="s">
        <v>385</v>
      </c>
      <c r="N1384" s="638" t="s">
        <v>385</v>
      </c>
      <c r="O1384" s="639"/>
      <c r="P1384" s="638"/>
      <c r="R1384" s="645" t="s">
        <v>1442</v>
      </c>
      <c r="T1384" s="645" t="s">
        <v>1443</v>
      </c>
      <c r="X1384">
        <f>IF(APPLICATION_LVL="",0,IF(OR(APPLICATION_LVL=COV!$V$68,APPLICATION_LVL=COV!$V$67),Dictionary!Z1384,IF(APPLICATION_LVL=COV!$V$66,Dictionary!AA1384,IF(APPLICATION_LVL=COV!$V$65,IF(DOMAIN=COV!$T$72,Dictionary!AC1384,IF(DOMAIN=COV!$T$73,Dictionary!AD1384,IF(DOMAIN=COV!$T$75,Dictionary!AE1384,2))),IF(APPLICATION_LVL=COV!$V$64,IF(DOMAIN=COV!$T$72,Dictionary!AG1384,IF(DOMAIN=COV!$T$73,Dictionary!AH1384,IF(DOMAIN=COV!$T$75,Dictionary!AI1384,3))),1)))))</f>
        <v>2</v>
      </c>
      <c r="Z1384" s="1779">
        <f t="shared" si="37"/>
        <v>1</v>
      </c>
      <c r="AA1384" s="1779">
        <f t="shared" si="38"/>
        <v>2</v>
      </c>
      <c r="AB1384" s="1779"/>
      <c r="AC1384" s="1779">
        <f t="shared" si="39"/>
        <v>2</v>
      </c>
      <c r="AD1384">
        <v>2</v>
      </c>
      <c r="AG1384" s="1779">
        <f t="shared" si="40"/>
        <v>2</v>
      </c>
      <c r="AH1384">
        <v>3</v>
      </c>
      <c r="AK1384">
        <v>1</v>
      </c>
      <c r="AL1384">
        <v>2</v>
      </c>
      <c r="AN1384">
        <v>2</v>
      </c>
      <c r="AP1384">
        <v>2</v>
      </c>
      <c r="AR1384">
        <v>2</v>
      </c>
      <c r="AS1384">
        <v>3</v>
      </c>
      <c r="AU1384">
        <v>5</v>
      </c>
      <c r="AW1384">
        <v>6</v>
      </c>
    </row>
    <row r="1385" spans="2:49" ht="32">
      <c r="B1385" s="616" t="str">
        <f>IF(FORM_LANGUAGE=GER,Dictionary!G1385,Dictionary!E1385)</f>
        <v>Generellen Projektmanagementansatz auswählen und anpassen</v>
      </c>
      <c r="E1385" s="616" t="str">
        <f>IF(DOMAIN=COV!$T$72,IF(Dictionary!L1385="","",Dictionary!L1385),IF(DOMAIN=COV!$T$73,IF(Dictionary!N1385="","",Dictionary!N1385),IF(DOMAIN=COV!$T$74,IF(Dictionary!P1385="","",Dictionary!P1385),IF(Dictionary!L1385="","",Dictionary!L1385))))</f>
        <v>Select and review the overall project management approach</v>
      </c>
      <c r="F1385" s="616"/>
      <c r="G1385" s="616" t="str">
        <f>IF(DOMAIN=COV!$T$72,IF(Dictionary!R1385="","",Dictionary!R1385),IF(DOMAIN=COV!$T$73,IF(Dictionary!T1385="","",Dictionary!T1385),IF(DOMAIN=COV!$T$74,IF(Dictionary!V1385="","",Dictionary!V1385),IF(Dictionary!R1385="","",Dictionary!R1385))))</f>
        <v>Generellen Projektmanagementansatz auswählen und anpassen</v>
      </c>
      <c r="I1385" s="615" t="s">
        <v>1758</v>
      </c>
      <c r="J1385" s="615" t="s">
        <v>1762</v>
      </c>
      <c r="L1385" s="616" t="s">
        <v>384</v>
      </c>
      <c r="N1385" s="638" t="s">
        <v>2699</v>
      </c>
      <c r="O1385" s="639"/>
      <c r="P1385" s="638"/>
      <c r="R1385" s="645" t="s">
        <v>1444</v>
      </c>
      <c r="T1385" s="645" t="s">
        <v>1445</v>
      </c>
      <c r="X1385">
        <f>IF(APPLICATION_LVL="",0,IF(OR(APPLICATION_LVL=COV!$V$68,APPLICATION_LVL=COV!$V$67),Dictionary!Z1385,IF(APPLICATION_LVL=COV!$V$66,Dictionary!AA1385,IF(APPLICATION_LVL=COV!$V$65,IF(DOMAIN=COV!$T$72,Dictionary!AC1385,IF(DOMAIN=COV!$T$73,Dictionary!AD1385,IF(DOMAIN=COV!$T$75,Dictionary!AE1385,2))),IF(APPLICATION_LVL=COV!$V$64,IF(DOMAIN=COV!$T$72,Dictionary!AG1385,IF(DOMAIN=COV!$T$73,Dictionary!AH1385,IF(DOMAIN=COV!$T$75,Dictionary!AI1385,3))),1)))))</f>
        <v>2</v>
      </c>
      <c r="Z1385" s="1779">
        <f t="shared" si="37"/>
        <v>1</v>
      </c>
      <c r="AA1385" s="1779">
        <f t="shared" si="38"/>
        <v>2</v>
      </c>
      <c r="AB1385" s="1779"/>
      <c r="AC1385" s="1779">
        <f t="shared" si="39"/>
        <v>2</v>
      </c>
      <c r="AD1385">
        <v>2</v>
      </c>
      <c r="AG1385" s="1779">
        <f t="shared" si="40"/>
        <v>2</v>
      </c>
      <c r="AH1385">
        <v>2</v>
      </c>
      <c r="AK1385">
        <v>1</v>
      </c>
      <c r="AL1385">
        <v>2</v>
      </c>
      <c r="AN1385">
        <v>2</v>
      </c>
      <c r="AP1385">
        <v>2</v>
      </c>
      <c r="AR1385">
        <v>2</v>
      </c>
      <c r="AS1385">
        <v>3</v>
      </c>
      <c r="AU1385">
        <v>4</v>
      </c>
      <c r="AW1385">
        <v>6</v>
      </c>
    </row>
    <row r="1386" spans="2:49" ht="32">
      <c r="B1386" s="616" t="str">
        <f>IF(FORM_LANGUAGE=GER,Dictionary!G1386,Dictionary!E1386)</f>
        <v>Konzept für die Projektdurchführung entwerfen, überwachen und anpassen</v>
      </c>
      <c r="E1386" s="616" t="str">
        <f>IF(DOMAIN=COV!$T$72,IF(Dictionary!L1386="","",Dictionary!L1386),IF(DOMAIN=COV!$T$73,IF(Dictionary!N1386="","",Dictionary!N1386),IF(DOMAIN=COV!$T$74,IF(Dictionary!P1386="","",Dictionary!P1386),IF(Dictionary!L1386="","",Dictionary!L1386))))</f>
        <v>Design the project execution architecture</v>
      </c>
      <c r="F1386" s="616"/>
      <c r="G1386" s="616" t="str">
        <f>IF(DOMAIN=COV!$T$72,IF(Dictionary!R1386="","",Dictionary!R1386),IF(DOMAIN=COV!$T$73,IF(Dictionary!T1386="","",Dictionary!T1386),IF(DOMAIN=COV!$T$74,IF(Dictionary!V1386="","",Dictionary!V1386),IF(Dictionary!R1386="","",Dictionary!R1386))))</f>
        <v>Konzept für die Projektdurchführung entwerfen, überwachen und anpassen</v>
      </c>
      <c r="I1386" s="615" t="s">
        <v>1763</v>
      </c>
      <c r="J1386" s="615" t="s">
        <v>1764</v>
      </c>
      <c r="L1386" s="616" t="s">
        <v>383</v>
      </c>
      <c r="N1386" s="638" t="s">
        <v>2703</v>
      </c>
      <c r="O1386" s="639"/>
      <c r="P1386" s="638"/>
      <c r="R1386" s="645" t="s">
        <v>1446</v>
      </c>
      <c r="T1386" s="645" t="s">
        <v>1447</v>
      </c>
      <c r="X1386">
        <f>IF(APPLICATION_LVL="",0,IF(OR(APPLICATION_LVL=COV!$V$68,APPLICATION_LVL=COV!$V$67),Dictionary!Z1386,IF(APPLICATION_LVL=COV!$V$66,Dictionary!AA1386,IF(APPLICATION_LVL=COV!$V$65,IF(DOMAIN=COV!$T$72,Dictionary!AC1386,IF(DOMAIN=COV!$T$73,Dictionary!AD1386,IF(DOMAIN=COV!$T$75,Dictionary!AE1386,2))),IF(APPLICATION_LVL=COV!$V$64,IF(DOMAIN=COV!$T$72,Dictionary!AG1386,IF(DOMAIN=COV!$T$73,Dictionary!AH1386,IF(DOMAIN=COV!$T$75,Dictionary!AI1386,3))),1)))))</f>
        <v>3</v>
      </c>
      <c r="Z1386" s="1779">
        <f t="shared" si="37"/>
        <v>1</v>
      </c>
      <c r="AA1386" s="1779">
        <f t="shared" si="38"/>
        <v>2</v>
      </c>
      <c r="AB1386" s="1779"/>
      <c r="AC1386" s="1779">
        <f t="shared" si="39"/>
        <v>2</v>
      </c>
      <c r="AD1386">
        <v>2</v>
      </c>
      <c r="AG1386" s="1779">
        <f t="shared" si="40"/>
        <v>3</v>
      </c>
      <c r="AH1386">
        <v>3</v>
      </c>
      <c r="AK1386">
        <v>1</v>
      </c>
      <c r="AL1386">
        <v>2</v>
      </c>
      <c r="AN1386">
        <v>2</v>
      </c>
      <c r="AP1386">
        <v>3</v>
      </c>
      <c r="AR1386">
        <v>2</v>
      </c>
      <c r="AS1386">
        <v>3</v>
      </c>
      <c r="AU1386">
        <v>3</v>
      </c>
      <c r="AW1386">
        <v>3</v>
      </c>
    </row>
    <row r="1387" spans="2:49" ht="32">
      <c r="B1387" s="616" t="str">
        <f>IF(FORM_LANGUAGE=GER,Dictionary!G1387,Dictionary!E1387)</f>
        <v/>
      </c>
      <c r="E1387" s="616" t="str">
        <f>IF(DOMAIN=COV!$T$72,IF(Dictionary!L1387="","",Dictionary!L1387),IF(DOMAIN=COV!$T$73,IF(Dictionary!N1387="","",Dictionary!N1387),IF(DOMAIN=COV!$T$74,IF(Dictionary!P1387="","",Dictionary!P1387),IF(Dictionary!L1387="","",Dictionary!L1387))))</f>
        <v/>
      </c>
      <c r="F1387" s="616"/>
      <c r="G1387" s="616" t="str">
        <f>IF(DOMAIN=COV!$T$72,IF(Dictionary!R1387="","",Dictionary!R1387),IF(DOMAIN=COV!$T$73,IF(Dictionary!T1387="","",Dictionary!T1387),IF(DOMAIN=COV!$T$74,IF(Dictionary!V1387="","",Dictionary!V1387),IF(Dictionary!R1387="","",Dictionary!R1387))))</f>
        <v/>
      </c>
      <c r="I1387" s="639" t="s">
        <v>1765</v>
      </c>
      <c r="J1387" s="639" t="s">
        <v>1766</v>
      </c>
      <c r="N1387" s="638" t="s">
        <v>2700</v>
      </c>
      <c r="O1387" s="639"/>
      <c r="P1387" s="638"/>
      <c r="T1387" s="646" t="s">
        <v>2678</v>
      </c>
      <c r="X1387">
        <f>IF(APPLICATION_LVL="",0,IF(OR(APPLICATION_LVL=COV!$V$68,APPLICATION_LVL=COV!$V$67),Dictionary!Z1387,IF(APPLICATION_LVL=COV!$V$66,Dictionary!AA1387,IF(APPLICATION_LVL=COV!$V$65,IF(DOMAIN=COV!$T$72,Dictionary!AC1387,IF(DOMAIN=COV!$T$73,Dictionary!AD1387,IF(DOMAIN=COV!$T$75,Dictionary!AE1387,2))),IF(APPLICATION_LVL=COV!$V$64,IF(DOMAIN=COV!$T$72,Dictionary!AG1387,IF(DOMAIN=COV!$T$73,Dictionary!AH1387,IF(DOMAIN=COV!$T$75,Dictionary!AI1387,3))),1)))))</f>
        <v>0</v>
      </c>
      <c r="Z1387" s="1779">
        <f t="shared" si="37"/>
        <v>0</v>
      </c>
      <c r="AA1387" s="1779">
        <f t="shared" si="38"/>
        <v>0</v>
      </c>
      <c r="AB1387" s="1779"/>
      <c r="AC1387" s="1779">
        <f t="shared" si="39"/>
        <v>0</v>
      </c>
      <c r="AD1387">
        <v>2</v>
      </c>
      <c r="AG1387" s="1779">
        <f t="shared" si="40"/>
        <v>0</v>
      </c>
      <c r="AH1387">
        <v>3</v>
      </c>
    </row>
    <row r="1388" spans="2:49" ht="32">
      <c r="B1388" s="616" t="str">
        <f>IF(FORM_LANGUAGE=GER,Dictionary!G1388,Dictionary!E1388)</f>
        <v/>
      </c>
      <c r="E1388" s="616" t="str">
        <f>IF(DOMAIN=COV!$T$72,IF(Dictionary!L1388="","",Dictionary!L1388),IF(DOMAIN=COV!$T$73,IF(Dictionary!N1388="","",Dictionary!N1388),IF(DOMAIN=COV!$T$74,IF(Dictionary!P1388="","",Dictionary!P1388),IF(Dictionary!L1388="","",Dictionary!L1388))))</f>
        <v/>
      </c>
      <c r="F1388" s="616"/>
      <c r="G1388" s="616" t="str">
        <f>IF(DOMAIN=COV!$T$72,IF(Dictionary!R1388="","",Dictionary!R1388),IF(DOMAIN=COV!$T$73,IF(Dictionary!T1388="","",Dictionary!T1388),IF(DOMAIN=COV!$T$74,IF(Dictionary!V1388="","",Dictionary!V1388),IF(Dictionary!R1388="","",Dictionary!R1388))))</f>
        <v/>
      </c>
      <c r="I1388" s="639" t="s">
        <v>1768</v>
      </c>
      <c r="J1388" s="639" t="s">
        <v>1767</v>
      </c>
      <c r="N1388" s="638" t="s">
        <v>2701</v>
      </c>
      <c r="O1388" s="639"/>
      <c r="P1388" s="638"/>
      <c r="T1388" s="646" t="s">
        <v>1769</v>
      </c>
      <c r="X1388">
        <f>IF(APPLICATION_LVL="",0,IF(OR(APPLICATION_LVL=COV!$V$68,APPLICATION_LVL=COV!$V$67),Dictionary!Z1388,IF(APPLICATION_LVL=COV!$V$66,Dictionary!AA1388,IF(APPLICATION_LVL=COV!$V$65,IF(DOMAIN=COV!$T$72,Dictionary!AC1388,IF(DOMAIN=COV!$T$73,Dictionary!AD1388,IF(DOMAIN=COV!$T$75,Dictionary!AE1388,2))),IF(APPLICATION_LVL=COV!$V$64,IF(DOMAIN=COV!$T$72,Dictionary!AG1388,IF(DOMAIN=COV!$T$73,Dictionary!AH1388,IF(DOMAIN=COV!$T$75,Dictionary!AI1388,3))),1)))))</f>
        <v>0</v>
      </c>
      <c r="Z1388" s="1779">
        <f t="shared" si="37"/>
        <v>0</v>
      </c>
      <c r="AA1388" s="1779">
        <f t="shared" si="38"/>
        <v>0</v>
      </c>
      <c r="AB1388" s="1779"/>
      <c r="AC1388" s="1779">
        <f t="shared" si="39"/>
        <v>0</v>
      </c>
      <c r="AD1388">
        <v>2</v>
      </c>
      <c r="AG1388" s="1779">
        <f t="shared" si="40"/>
        <v>0</v>
      </c>
      <c r="AH1388">
        <v>3</v>
      </c>
    </row>
    <row r="1389" spans="2:49" ht="16">
      <c r="B1389" s="616" t="str">
        <f>IF(FORM_LANGUAGE=GER,Dictionary!G1389,Dictionary!E1389)</f>
        <v/>
      </c>
      <c r="E1389" s="616" t="str">
        <f>IF(DOMAIN=COV!$T$72,IF(Dictionary!L1389="","",Dictionary!L1389),IF(DOMAIN=COV!$T$73,IF(Dictionary!N1389="","",Dictionary!N1389),IF(DOMAIN=COV!$T$74,IF(Dictionary!P1389="","",Dictionary!P1389),IF(Dictionary!L1389="","",Dictionary!L1389))))</f>
        <v/>
      </c>
      <c r="F1389" s="616"/>
      <c r="G1389" s="616" t="str">
        <f>IF(DOMAIN=COV!$T$72,IF(Dictionary!R1389="","",Dictionary!R1389),IF(DOMAIN=COV!$T$73,IF(Dictionary!T1389="","",Dictionary!T1389),IF(DOMAIN=COV!$T$74,IF(Dictionary!V1389="","",Dictionary!V1389),IF(Dictionary!R1389="","",Dictionary!R1389))))</f>
        <v/>
      </c>
      <c r="I1389" s="639" t="s">
        <v>1770</v>
      </c>
      <c r="J1389" s="639" t="s">
        <v>1771</v>
      </c>
      <c r="N1389" s="638" t="s">
        <v>2702</v>
      </c>
      <c r="O1389" s="639"/>
      <c r="P1389" s="638"/>
      <c r="T1389" s="646" t="s">
        <v>1772</v>
      </c>
      <c r="X1389">
        <f>IF(APPLICATION_LVL="",0,IF(OR(APPLICATION_LVL=COV!$V$68,APPLICATION_LVL=COV!$V$67),Dictionary!Z1389,IF(APPLICATION_LVL=COV!$V$66,Dictionary!AA1389,IF(APPLICATION_LVL=COV!$V$65,IF(DOMAIN=COV!$T$72,Dictionary!AC1389,IF(DOMAIN=COV!$T$73,Dictionary!AD1389,IF(DOMAIN=COV!$T$75,Dictionary!AE1389,2))),IF(APPLICATION_LVL=COV!$V$64,IF(DOMAIN=COV!$T$72,Dictionary!AG1389,IF(DOMAIN=COV!$T$73,Dictionary!AH1389,IF(DOMAIN=COV!$T$75,Dictionary!AI1389,3))),1)))))</f>
        <v>0</v>
      </c>
      <c r="Z1389" s="1779">
        <f t="shared" si="37"/>
        <v>0</v>
      </c>
      <c r="AA1389" s="1779">
        <f t="shared" si="38"/>
        <v>0</v>
      </c>
      <c r="AB1389" s="1779"/>
      <c r="AC1389" s="1779">
        <f t="shared" si="39"/>
        <v>0</v>
      </c>
      <c r="AD1389">
        <v>2</v>
      </c>
      <c r="AG1389" s="1779">
        <f t="shared" si="40"/>
        <v>0</v>
      </c>
      <c r="AH1389">
        <v>2</v>
      </c>
    </row>
    <row r="1390" spans="2:49">
      <c r="F1390" s="616"/>
      <c r="I1390" s="639"/>
      <c r="J1390" s="639"/>
      <c r="N1390" s="638"/>
      <c r="O1390" s="639"/>
      <c r="P1390" s="638"/>
      <c r="T1390" s="646"/>
    </row>
    <row r="1391" spans="2:49">
      <c r="F1391" s="616"/>
      <c r="N1391" s="638"/>
      <c r="O1391" s="639"/>
      <c r="P1391" s="638"/>
    </row>
    <row r="1392" spans="2:49" ht="16">
      <c r="B1392" s="649" t="str">
        <f>IF(FORM_LANGUAGE=GER,Dictionary!G1392,Dictionary!E1392)</f>
        <v>Anforderungen und Ziele</v>
      </c>
      <c r="C1392" s="650"/>
      <c r="D1392" s="650"/>
      <c r="E1392" s="649" t="str">
        <f>E1247</f>
        <v>Requirements and objectives</v>
      </c>
      <c r="F1392" s="650"/>
      <c r="G1392" s="649" t="str">
        <f>G1247</f>
        <v>Anforderungen und Ziele</v>
      </c>
      <c r="H1392" s="74"/>
      <c r="I1392" s="651" t="s">
        <v>382</v>
      </c>
      <c r="J1392" s="650" t="s">
        <v>1774</v>
      </c>
      <c r="K1392" s="650"/>
      <c r="L1392" s="649"/>
      <c r="M1392" s="650"/>
      <c r="N1392" s="649"/>
      <c r="O1392" s="650"/>
      <c r="P1392" s="649"/>
      <c r="Q1392" s="74"/>
      <c r="R1392" s="654"/>
      <c r="S1392" s="74"/>
      <c r="T1392" s="654"/>
      <c r="U1392" s="74"/>
      <c r="V1392" s="654"/>
      <c r="X1392">
        <f>IF(APPLICATION_LVL="",0,IF(OR(APPLICATION_LVL=COV!$V$68,APPLICATION_LVL=COV!$V$67),Dictionary!Z1392,IF(APPLICATION_LVL=COV!$V$66,Dictionary!AA1392,IF(APPLICATION_LVL=COV!$V$65,IF(DOMAIN=COV!$T$72,Dictionary!AC1392,IF(DOMAIN=COV!$T$73,Dictionary!AD1392,IF(DOMAIN=COV!$T$75,Dictionary!AE1392,2))),IF(APPLICATION_LVL=COV!$V$64,IF(DOMAIN=COV!$T$72,Dictionary!AG1392,IF(DOMAIN=COV!$T$73,Dictionary!AH1392,IF(DOMAIN=COV!$T$75,Dictionary!AI1392,3))),1)))))</f>
        <v>3</v>
      </c>
      <c r="Z1392" s="1779">
        <f t="shared" ref="Z1392:AA1397" si="41">IF(GC_Flag="",AK1392,AR1392)</f>
        <v>2</v>
      </c>
      <c r="AA1392" s="1779">
        <f t="shared" si="41"/>
        <v>2</v>
      </c>
      <c r="AB1392" s="1779"/>
      <c r="AC1392" s="1779">
        <f t="shared" ref="AC1392:AC1397" si="42">IF(GC_Flag="",AN1392,AU1392)</f>
        <v>3</v>
      </c>
      <c r="AD1392">
        <v>3</v>
      </c>
      <c r="AE1392">
        <v>3</v>
      </c>
      <c r="AG1392" s="1779">
        <f t="shared" ref="AG1392:AG1397" si="43">IF(GC_Flag="",AP1392,AW1392)</f>
        <v>3</v>
      </c>
      <c r="AH1392">
        <v>3</v>
      </c>
      <c r="AI1392">
        <v>3</v>
      </c>
      <c r="AK1392">
        <v>2</v>
      </c>
      <c r="AL1392">
        <v>2</v>
      </c>
      <c r="AN1392">
        <v>3</v>
      </c>
      <c r="AP1392">
        <v>3</v>
      </c>
      <c r="AR1392">
        <v>3</v>
      </c>
      <c r="AS1392">
        <v>4</v>
      </c>
      <c r="AU1392">
        <v>5</v>
      </c>
      <c r="AW1392">
        <v>6</v>
      </c>
    </row>
    <row r="1393" spans="2:49" ht="16">
      <c r="B1393" s="616" t="str">
        <f>IF(FORM_LANGUAGE=GER,Dictionary!G1393,Dictionary!E1393)</f>
        <v>Hierarchie der Projektziele definieren und entwickeln</v>
      </c>
      <c r="E1393" s="616" t="str">
        <f>IF(DOMAIN=COV!$T$72,IF(Dictionary!L1393="","",Dictionary!L1393),IF(DOMAIN=COV!$T$73,IF(Dictionary!N1393="","",Dictionary!N1393),IF(DOMAIN=COV!$T$74,IF(Dictionary!P1393="","",Dictionary!P1393),IF(Dictionary!L1393="","",Dictionary!L1393))))</f>
        <v>Define and develop the project goal hierarchy</v>
      </c>
      <c r="F1393" s="616"/>
      <c r="G1393" s="616" t="str">
        <f>IF(DOMAIN=COV!$T$72,IF(Dictionary!R1393="","",Dictionary!R1393),IF(DOMAIN=COV!$T$73,IF(Dictionary!T1393="","",Dictionary!T1393),IF(DOMAIN=COV!$T$74,IF(Dictionary!V1393="","",Dictionary!V1393),IF(Dictionary!R1393="","",Dictionary!R1393))))</f>
        <v>Hierarchie der Projektziele definieren und entwickeln</v>
      </c>
      <c r="I1393" s="615" t="s">
        <v>1773</v>
      </c>
      <c r="J1393" s="615" t="s">
        <v>1775</v>
      </c>
      <c r="L1393" s="616" t="s">
        <v>381</v>
      </c>
      <c r="N1393" s="638" t="s">
        <v>2708</v>
      </c>
      <c r="O1393" s="639"/>
      <c r="P1393" s="638" t="s">
        <v>2752</v>
      </c>
      <c r="R1393" s="645" t="s">
        <v>1448</v>
      </c>
      <c r="T1393" s="616" t="s">
        <v>1449</v>
      </c>
      <c r="V1393" s="616" t="s">
        <v>1450</v>
      </c>
      <c r="X1393">
        <f>IF(APPLICATION_LVL="",0,IF(OR(APPLICATION_LVL=COV!$V$68,APPLICATION_LVL=COV!$V$67),Dictionary!Z1393,IF(APPLICATION_LVL=COV!$V$66,Dictionary!AA1393,IF(APPLICATION_LVL=COV!$V$65,IF(DOMAIN=COV!$T$72,Dictionary!AC1393,IF(DOMAIN=COV!$T$73,Dictionary!AD1393,IF(DOMAIN=COV!$T$75,Dictionary!AE1393,2))),IF(APPLICATION_LVL=COV!$V$64,IF(DOMAIN=COV!$T$72,Dictionary!AG1393,IF(DOMAIN=COV!$T$73,Dictionary!AH1393,IF(DOMAIN=COV!$T$75,Dictionary!AI1393,3))),1)))))</f>
        <v>3</v>
      </c>
      <c r="Z1393" s="1779">
        <f t="shared" si="41"/>
        <v>2</v>
      </c>
      <c r="AA1393" s="1779">
        <f t="shared" si="41"/>
        <v>2</v>
      </c>
      <c r="AB1393" s="1779"/>
      <c r="AC1393" s="1779">
        <f t="shared" si="42"/>
        <v>3</v>
      </c>
      <c r="AD1393">
        <v>3</v>
      </c>
      <c r="AE1393">
        <v>3</v>
      </c>
      <c r="AG1393" s="1779">
        <f t="shared" si="43"/>
        <v>3</v>
      </c>
      <c r="AH1393">
        <v>3</v>
      </c>
      <c r="AI1393">
        <v>3</v>
      </c>
      <c r="AK1393">
        <v>2</v>
      </c>
      <c r="AL1393">
        <v>2</v>
      </c>
      <c r="AN1393">
        <v>3</v>
      </c>
      <c r="AP1393">
        <v>3</v>
      </c>
      <c r="AR1393">
        <v>3</v>
      </c>
      <c r="AS1393">
        <v>3</v>
      </c>
      <c r="AU1393">
        <v>5</v>
      </c>
      <c r="AW1393">
        <v>6</v>
      </c>
    </row>
    <row r="1394" spans="2:49" ht="32">
      <c r="B1394" s="616" t="str">
        <f>IF(FORM_LANGUAGE=GER,Dictionary!G1394,Dictionary!E1394)</f>
        <v>Bedürfnisse und Anforderungen der Projekt-Stakeholder identifizieren und analysieren</v>
      </c>
      <c r="E1394" s="616" t="str">
        <f>IF(DOMAIN=COV!$T$72,IF(Dictionary!L1394="","",Dictionary!L1394),IF(DOMAIN=COV!$T$73,IF(Dictionary!N1394="","",Dictionary!N1394),IF(DOMAIN=COV!$T$74,IF(Dictionary!P1394="","",Dictionary!P1394),IF(Dictionary!L1394="","",Dictionary!L1394))))</f>
        <v>Identify and analyze project stakeholder needs and requirements</v>
      </c>
      <c r="F1394" s="616"/>
      <c r="G1394" s="616" t="str">
        <f>IF(DOMAIN=COV!$T$72,IF(Dictionary!R1394="","",Dictionary!R1394),IF(DOMAIN=COV!$T$73,IF(Dictionary!T1394="","",Dictionary!T1394),IF(DOMAIN=COV!$T$74,IF(Dictionary!V1394="","",Dictionary!V1394),IF(Dictionary!R1394="","",Dictionary!R1394))))</f>
        <v>Bedürfnisse und Anforderungen der Projekt-Stakeholder identifizieren und analysieren</v>
      </c>
      <c r="I1394" s="615" t="s">
        <v>1776</v>
      </c>
      <c r="J1394" s="615" t="s">
        <v>1778</v>
      </c>
      <c r="L1394" s="616" t="s">
        <v>380</v>
      </c>
      <c r="N1394" s="638" t="s">
        <v>2709</v>
      </c>
      <c r="O1394" s="639"/>
      <c r="P1394" s="638"/>
      <c r="R1394" s="645" t="s">
        <v>1451</v>
      </c>
      <c r="T1394" s="645" t="s">
        <v>1452</v>
      </c>
      <c r="X1394">
        <f>IF(APPLICATION_LVL="",0,IF(OR(APPLICATION_LVL=COV!$V$68,APPLICATION_LVL=COV!$V$67),Dictionary!Z1394,IF(APPLICATION_LVL=COV!$V$66,Dictionary!AA1394,IF(APPLICATION_LVL=COV!$V$65,IF(DOMAIN=COV!$T$72,Dictionary!AC1394,IF(DOMAIN=COV!$T$73,Dictionary!AD1394,IF(DOMAIN=COV!$T$75,Dictionary!AE1394,2))),IF(APPLICATION_LVL=COV!$V$64,IF(DOMAIN=COV!$T$72,Dictionary!AG1394,IF(DOMAIN=COV!$T$73,Dictionary!AH1394,IF(DOMAIN=COV!$T$75,Dictionary!AI1394,3))),1)))))</f>
        <v>2</v>
      </c>
      <c r="Z1394" s="1779">
        <f t="shared" si="41"/>
        <v>0</v>
      </c>
      <c r="AA1394" s="1779">
        <f t="shared" si="41"/>
        <v>2</v>
      </c>
      <c r="AB1394" s="1779"/>
      <c r="AC1394" s="1779">
        <f t="shared" si="42"/>
        <v>2</v>
      </c>
      <c r="AD1394">
        <v>2</v>
      </c>
      <c r="AG1394" s="1779">
        <f t="shared" si="43"/>
        <v>2</v>
      </c>
      <c r="AH1394">
        <v>2</v>
      </c>
      <c r="AK1394">
        <v>0</v>
      </c>
      <c r="AL1394">
        <v>2</v>
      </c>
      <c r="AN1394">
        <v>2</v>
      </c>
      <c r="AP1394">
        <v>2</v>
      </c>
      <c r="AR1394">
        <v>3</v>
      </c>
      <c r="AS1394">
        <v>4</v>
      </c>
      <c r="AU1394">
        <v>4</v>
      </c>
      <c r="AW1394">
        <v>6</v>
      </c>
    </row>
    <row r="1395" spans="2:49" ht="32">
      <c r="B1395" s="616" t="str">
        <f>IF(FORM_LANGUAGE=GER,Dictionary!G1395,Dictionary!E1395)</f>
        <v>Anforderungen und Abnahmekriterien priorisieren und darüber entscheiden</v>
      </c>
      <c r="E1395" s="616" t="str">
        <f>IF(DOMAIN=COV!$T$72,IF(Dictionary!L1395="","",Dictionary!L1395),IF(DOMAIN=COV!$T$73,IF(Dictionary!N1395="","",Dictionary!N1395),IF(DOMAIN=COV!$T$74,IF(Dictionary!P1395="","",Dictionary!P1395),IF(Dictionary!L1395="","",Dictionary!L1395))))</f>
        <v>Prioritize and decide on requirements and acceptance criteria</v>
      </c>
      <c r="F1395" s="616"/>
      <c r="G1395" s="616" t="str">
        <f>IF(DOMAIN=COV!$T$72,IF(Dictionary!R1395="","",Dictionary!R1395),IF(DOMAIN=COV!$T$73,IF(Dictionary!T1395="","",Dictionary!T1395),IF(DOMAIN=COV!$T$74,IF(Dictionary!V1395="","",Dictionary!V1395),IF(Dictionary!R1395="","",Dictionary!R1395))))</f>
        <v>Anforderungen und Abnahmekriterien priorisieren und darüber entscheiden</v>
      </c>
      <c r="I1395" s="615" t="s">
        <v>1777</v>
      </c>
      <c r="J1395" s="615" t="s">
        <v>1779</v>
      </c>
      <c r="L1395" s="616" t="s">
        <v>379</v>
      </c>
      <c r="N1395" s="638" t="s">
        <v>2710</v>
      </c>
      <c r="O1395" s="639"/>
      <c r="P1395" s="638"/>
      <c r="R1395" s="645" t="s">
        <v>1453</v>
      </c>
      <c r="T1395" s="645" t="s">
        <v>1454</v>
      </c>
      <c r="X1395">
        <f>IF(APPLICATION_LVL="",0,IF(OR(APPLICATION_LVL=COV!$V$68,APPLICATION_LVL=COV!$V$67),Dictionary!Z1395,IF(APPLICATION_LVL=COV!$V$66,Dictionary!AA1395,IF(APPLICATION_LVL=COV!$V$65,IF(DOMAIN=COV!$T$72,Dictionary!AC1395,IF(DOMAIN=COV!$T$73,Dictionary!AD1395,IF(DOMAIN=COV!$T$75,Dictionary!AE1395,2))),IF(APPLICATION_LVL=COV!$V$64,IF(DOMAIN=COV!$T$72,Dictionary!AG1395,IF(DOMAIN=COV!$T$73,Dictionary!AH1395,IF(DOMAIN=COV!$T$75,Dictionary!AI1395,3))),1)))))</f>
        <v>3</v>
      </c>
      <c r="Z1395" s="1779">
        <f t="shared" si="41"/>
        <v>2</v>
      </c>
      <c r="AA1395" s="1779">
        <f t="shared" si="41"/>
        <v>2</v>
      </c>
      <c r="AB1395" s="1779"/>
      <c r="AC1395" s="1779">
        <f t="shared" si="42"/>
        <v>3</v>
      </c>
      <c r="AD1395">
        <v>3</v>
      </c>
      <c r="AG1395" s="1779">
        <f t="shared" si="43"/>
        <v>3</v>
      </c>
      <c r="AH1395">
        <v>3</v>
      </c>
      <c r="AK1395">
        <v>2</v>
      </c>
      <c r="AL1395">
        <v>2</v>
      </c>
      <c r="AN1395">
        <v>3</v>
      </c>
      <c r="AP1395">
        <v>3</v>
      </c>
      <c r="AR1395">
        <v>3</v>
      </c>
      <c r="AS1395">
        <v>4</v>
      </c>
      <c r="AU1395">
        <v>5</v>
      </c>
      <c r="AW1395">
        <v>6</v>
      </c>
    </row>
    <row r="1396" spans="2:49" ht="32">
      <c r="B1396" s="616" t="str">
        <f>IF(FORM_LANGUAGE=GER,Dictionary!G1396,Dictionary!E1396)</f>
        <v/>
      </c>
      <c r="E1396" s="616" t="str">
        <f>IF(DOMAIN=COV!$T$72,IF(Dictionary!L1396="","",Dictionary!L1396),IF(DOMAIN=COV!$T$73,IF(Dictionary!N1396="","",Dictionary!N1396),IF(DOMAIN=COV!$T$74,IF(Dictionary!P1396="","",Dictionary!P1396),IF(Dictionary!L1396="","",Dictionary!L1396))))</f>
        <v/>
      </c>
      <c r="F1396" s="616"/>
      <c r="G1396" s="616" t="str">
        <f>IF(DOMAIN=COV!$T$72,IF(Dictionary!R1396="","",Dictionary!R1396),IF(DOMAIN=COV!$T$73,IF(Dictionary!T1396="","",Dictionary!T1396),IF(DOMAIN=COV!$T$74,IF(Dictionary!V1396="","",Dictionary!V1396),IF(Dictionary!R1396="","",Dictionary!R1396))))</f>
        <v/>
      </c>
      <c r="I1396" s="639" t="s">
        <v>1780</v>
      </c>
      <c r="J1396" s="639" t="s">
        <v>1781</v>
      </c>
      <c r="N1396" s="616" t="s">
        <v>2711</v>
      </c>
      <c r="T1396" s="646" t="s">
        <v>1782</v>
      </c>
      <c r="X1396">
        <f>IF(APPLICATION_LVL="",0,IF(OR(APPLICATION_LVL=COV!$V$68,APPLICATION_LVL=COV!$V$67),Dictionary!Z1396,IF(APPLICATION_LVL=COV!$V$66,Dictionary!AA1396,IF(APPLICATION_LVL=COV!$V$65,IF(DOMAIN=COV!$T$72,Dictionary!AC1396,IF(DOMAIN=COV!$T$73,Dictionary!AD1396,IF(DOMAIN=COV!$T$75,Dictionary!AE1396,2))),IF(APPLICATION_LVL=COV!$V$64,IF(DOMAIN=COV!$T$72,Dictionary!AG1396,IF(DOMAIN=COV!$T$73,Dictionary!AH1396,IF(DOMAIN=COV!$T$75,Dictionary!AI1396,3))),1)))))</f>
        <v>0</v>
      </c>
      <c r="Z1396" s="1779">
        <f t="shared" si="41"/>
        <v>0</v>
      </c>
      <c r="AA1396" s="1779">
        <f t="shared" si="41"/>
        <v>0</v>
      </c>
      <c r="AB1396" s="1779"/>
      <c r="AC1396" s="1779">
        <f t="shared" si="42"/>
        <v>0</v>
      </c>
      <c r="AD1396">
        <v>2</v>
      </c>
      <c r="AG1396" s="1779">
        <f t="shared" si="43"/>
        <v>0</v>
      </c>
      <c r="AH1396">
        <v>2</v>
      </c>
    </row>
    <row r="1397" spans="2:49" ht="16">
      <c r="B1397" s="616" t="str">
        <f>IF(FORM_LANGUAGE=GER,Dictionary!G1397,Dictionary!E1397)</f>
        <v/>
      </c>
      <c r="E1397" s="616" t="str">
        <f>IF(DOMAIN=COV!$T$72,IF(Dictionary!L1397="","",Dictionary!L1397),IF(DOMAIN=COV!$T$73,IF(Dictionary!N1397="","",Dictionary!N1397),IF(DOMAIN=COV!$T$74,IF(Dictionary!P1397="","",Dictionary!P1397),IF(Dictionary!L1397="","",Dictionary!L1397))))</f>
        <v/>
      </c>
      <c r="F1397" s="616"/>
      <c r="G1397" s="616" t="str">
        <f>IF(DOMAIN=COV!$T$72,IF(Dictionary!R1397="","",Dictionary!R1397),IF(DOMAIN=COV!$T$73,IF(Dictionary!T1397="","",Dictionary!T1397),IF(DOMAIN=COV!$T$74,IF(Dictionary!V1397="","",Dictionary!V1397),IF(Dictionary!R1397="","",Dictionary!R1397))))</f>
        <v/>
      </c>
      <c r="I1397" s="639" t="s">
        <v>1783</v>
      </c>
      <c r="J1397" s="639" t="s">
        <v>1784</v>
      </c>
      <c r="N1397" s="616" t="s">
        <v>2712</v>
      </c>
      <c r="T1397" s="646" t="s">
        <v>1785</v>
      </c>
      <c r="X1397">
        <f>IF(APPLICATION_LVL="",0,IF(OR(APPLICATION_LVL=COV!$V$68,APPLICATION_LVL=COV!$V$67),Dictionary!Z1397,IF(APPLICATION_LVL=COV!$V$66,Dictionary!AA1397,IF(APPLICATION_LVL=COV!$V$65,IF(DOMAIN=COV!$T$72,Dictionary!AC1397,IF(DOMAIN=COV!$T$73,Dictionary!AD1397,IF(DOMAIN=COV!$T$75,Dictionary!AE1397,2))),IF(APPLICATION_LVL=COV!$V$64,IF(DOMAIN=COV!$T$72,Dictionary!AG1397,IF(DOMAIN=COV!$T$73,Dictionary!AH1397,IF(DOMAIN=COV!$T$75,Dictionary!AI1397,3))),1)))))</f>
        <v>0</v>
      </c>
      <c r="Z1397" s="1779">
        <f t="shared" si="41"/>
        <v>0</v>
      </c>
      <c r="AA1397" s="1779">
        <f t="shared" si="41"/>
        <v>0</v>
      </c>
      <c r="AB1397" s="1779"/>
      <c r="AC1397" s="1779">
        <f t="shared" si="42"/>
        <v>0</v>
      </c>
      <c r="AD1397">
        <v>2</v>
      </c>
      <c r="AG1397" s="1779">
        <f t="shared" si="43"/>
        <v>0</v>
      </c>
      <c r="AH1397">
        <v>3</v>
      </c>
    </row>
    <row r="1398" spans="2:49">
      <c r="F1398" s="616"/>
      <c r="I1398" s="639"/>
      <c r="J1398" s="639"/>
      <c r="T1398" s="646"/>
    </row>
    <row r="1400" spans="2:49" ht="29" customHeight="1">
      <c r="B1400" s="649" t="str">
        <f>IF(FORM_LANGUAGE=GER,Dictionary!G1400,Dictionary!E1400)</f>
        <v>Leistungsumfang</v>
      </c>
      <c r="C1400" s="650"/>
      <c r="D1400" s="650"/>
      <c r="E1400" s="649" t="str">
        <f>E1248</f>
        <v>Scope</v>
      </c>
      <c r="F1400" s="649"/>
      <c r="G1400" s="649" t="str">
        <f>G1248</f>
        <v>Leistungsumfang</v>
      </c>
      <c r="H1400" s="74"/>
      <c r="I1400" s="651" t="s">
        <v>378</v>
      </c>
      <c r="J1400" s="650" t="s">
        <v>1786</v>
      </c>
      <c r="K1400" s="650"/>
      <c r="L1400" s="649"/>
      <c r="M1400" s="650"/>
      <c r="N1400" s="649"/>
      <c r="O1400" s="650"/>
      <c r="P1400" s="649"/>
      <c r="Q1400" s="74"/>
      <c r="R1400" s="654"/>
      <c r="S1400" s="74"/>
      <c r="T1400" s="654"/>
      <c r="U1400" s="74"/>
      <c r="V1400" s="654"/>
      <c r="X1400">
        <f>IF(APPLICATION_LVL="",0,IF(OR(APPLICATION_LVL=COV!$V$68,APPLICATION_LVL=COV!$V$67),Dictionary!Z1400,IF(APPLICATION_LVL=COV!$V$66,Dictionary!AA1400,IF(APPLICATION_LVL=COV!$V$65,IF(DOMAIN=COV!$T$72,Dictionary!AC1400,IF(DOMAIN=COV!$T$73,Dictionary!AD1400,IF(DOMAIN=COV!$T$75,Dictionary!AE1400,2))),IF(APPLICATION_LVL=COV!$V$64,IF(DOMAIN=COV!$T$72,Dictionary!AG1400,IF(DOMAIN=COV!$T$73,Dictionary!AH1400,IF(DOMAIN=COV!$T$75,Dictionary!AI1400,3))),1)))))</f>
        <v>3</v>
      </c>
      <c r="Z1400" s="1779">
        <f t="shared" ref="Z1400:AA1404" si="44">IF(GC_Flag="",AK1400,AR1400)</f>
        <v>2</v>
      </c>
      <c r="AA1400" s="1779">
        <f t="shared" si="44"/>
        <v>2</v>
      </c>
      <c r="AB1400" s="1779"/>
      <c r="AC1400" s="1779">
        <f>IF(GC_Flag="",AN1400,AU1400)</f>
        <v>3</v>
      </c>
      <c r="AD1400">
        <v>3</v>
      </c>
      <c r="AE1400">
        <v>3</v>
      </c>
      <c r="AG1400" s="1779">
        <f>IF(GC_Flag="",AP1400,AW1400)</f>
        <v>3</v>
      </c>
      <c r="AH1400">
        <v>3</v>
      </c>
      <c r="AI1400">
        <v>3</v>
      </c>
      <c r="AK1400">
        <v>2</v>
      </c>
      <c r="AL1400">
        <v>2</v>
      </c>
      <c r="AN1400">
        <v>3</v>
      </c>
      <c r="AP1400">
        <v>3</v>
      </c>
      <c r="AR1400">
        <v>3</v>
      </c>
      <c r="AS1400">
        <v>3</v>
      </c>
      <c r="AU1400">
        <v>5</v>
      </c>
      <c r="AW1400">
        <v>6</v>
      </c>
    </row>
    <row r="1401" spans="2:49" ht="32">
      <c r="B1401" s="616" t="str">
        <f>IF(FORM_LANGUAGE=GER,Dictionary!G1401,Dictionary!E1401)</f>
        <v>Lieferobjekte definieren</v>
      </c>
      <c r="E1401" s="616" t="str">
        <f>IF(DOMAIN=COV!$T$72,IF(Dictionary!L1401="","",Dictionary!L1401),IF(DOMAIN=COV!$T$73,IF(Dictionary!N1401="","",Dictionary!N1401),IF(DOMAIN=COV!$T$74,IF(Dictionary!P1401="","",Dictionary!P1401),IF(Dictionary!L1401="","",Dictionary!L1401))))</f>
        <v>Define the project deliverables</v>
      </c>
      <c r="F1401" s="616"/>
      <c r="G1401" s="616" t="str">
        <f>IF(DOMAIN=COV!$T$72,IF(Dictionary!R1401="","",Dictionary!R1401),IF(DOMAIN=COV!$T$73,IF(Dictionary!T1401="","",Dictionary!T1401),IF(DOMAIN=COV!$T$74,IF(Dictionary!V1401="","",Dictionary!V1401),IF(Dictionary!R1401="","",Dictionary!R1401))))</f>
        <v>Lieferobjekte definieren</v>
      </c>
      <c r="I1401" s="615" t="s">
        <v>1787</v>
      </c>
      <c r="J1401" s="615" t="s">
        <v>1788</v>
      </c>
      <c r="L1401" s="616" t="s">
        <v>377</v>
      </c>
      <c r="N1401" s="638" t="s">
        <v>2713</v>
      </c>
      <c r="O1401" s="639"/>
      <c r="P1401" s="638" t="s">
        <v>2758</v>
      </c>
      <c r="R1401" s="645" t="s">
        <v>1455</v>
      </c>
      <c r="T1401" s="645" t="s">
        <v>1456</v>
      </c>
      <c r="V1401" s="645" t="s">
        <v>1457</v>
      </c>
      <c r="X1401">
        <f>IF(APPLICATION_LVL="",0,IF(OR(APPLICATION_LVL=COV!$V$68,APPLICATION_LVL=COV!$V$67),Dictionary!Z1401,IF(APPLICATION_LVL=COV!$V$66,Dictionary!AA1401,IF(APPLICATION_LVL=COV!$V$65,IF(DOMAIN=COV!$T$72,Dictionary!AC1401,IF(DOMAIN=COV!$T$73,Dictionary!AD1401,IF(DOMAIN=COV!$T$75,Dictionary!AE1401,2))),IF(APPLICATION_LVL=COV!$V$64,IF(DOMAIN=COV!$T$72,Dictionary!AG1401,IF(DOMAIN=COV!$T$73,Dictionary!AH1401,IF(DOMAIN=COV!$T$75,Dictionary!AI1401,3))),1)))))</f>
        <v>3</v>
      </c>
      <c r="Z1401" s="1779">
        <f t="shared" si="44"/>
        <v>1</v>
      </c>
      <c r="AA1401" s="1779">
        <f t="shared" si="44"/>
        <v>2</v>
      </c>
      <c r="AB1401" s="1779"/>
      <c r="AC1401" s="1779">
        <f>IF(GC_Flag="",AN1401,AU1401)</f>
        <v>3</v>
      </c>
      <c r="AD1401">
        <v>3</v>
      </c>
      <c r="AE1401">
        <v>3</v>
      </c>
      <c r="AG1401" s="1779">
        <f>IF(GC_Flag="",AP1401,AW1401)</f>
        <v>3</v>
      </c>
      <c r="AH1401">
        <v>3</v>
      </c>
      <c r="AI1401">
        <v>3</v>
      </c>
      <c r="AK1401">
        <v>1</v>
      </c>
      <c r="AL1401">
        <v>2</v>
      </c>
      <c r="AN1401">
        <v>3</v>
      </c>
      <c r="AP1401">
        <v>3</v>
      </c>
      <c r="AR1401">
        <v>2</v>
      </c>
      <c r="AS1401">
        <v>3</v>
      </c>
      <c r="AU1401">
        <v>5</v>
      </c>
      <c r="AW1401">
        <v>6</v>
      </c>
    </row>
    <row r="1402" spans="2:49" ht="32">
      <c r="B1402" s="616" t="str">
        <f>IF(FORM_LANGUAGE=GER,Dictionary!G1402,Dictionary!E1402)</f>
        <v>Leistungsumfang strukturieren</v>
      </c>
      <c r="E1402" s="616" t="str">
        <f>IF(DOMAIN=COV!$T$72,IF(Dictionary!L1402="","",Dictionary!L1402),IF(DOMAIN=COV!$T$73,IF(Dictionary!N1402="","",Dictionary!N1402),IF(DOMAIN=COV!$T$74,IF(Dictionary!P1402="","",Dictionary!P1402),IF(Dictionary!L1402="","",Dictionary!L1402))))</f>
        <v>Structure the project scope</v>
      </c>
      <c r="F1402" s="616"/>
      <c r="G1402" s="616" t="str">
        <f>IF(DOMAIN=COV!$T$72,IF(Dictionary!R1402="","",Dictionary!R1402),IF(DOMAIN=COV!$T$73,IF(Dictionary!T1402="","",Dictionary!T1402),IF(DOMAIN=COV!$T$74,IF(Dictionary!V1402="","",Dictionary!V1402),IF(Dictionary!R1402="","",Dictionary!R1402))))</f>
        <v>Leistungsumfang strukturieren</v>
      </c>
      <c r="I1402" s="615" t="s">
        <v>1789</v>
      </c>
      <c r="J1402" s="615" t="s">
        <v>1792</v>
      </c>
      <c r="L1402" s="616" t="s">
        <v>376</v>
      </c>
      <c r="N1402" s="638" t="s">
        <v>2714</v>
      </c>
      <c r="O1402" s="639"/>
      <c r="P1402" s="638" t="s">
        <v>2759</v>
      </c>
      <c r="R1402" s="645" t="s">
        <v>1458</v>
      </c>
      <c r="T1402" s="645" t="s">
        <v>1459</v>
      </c>
      <c r="V1402" s="645" t="s">
        <v>1460</v>
      </c>
      <c r="X1402">
        <f>IF(APPLICATION_LVL="",0,IF(OR(APPLICATION_LVL=COV!$V$68,APPLICATION_LVL=COV!$V$67),Dictionary!Z1402,IF(APPLICATION_LVL=COV!$V$66,Dictionary!AA1402,IF(APPLICATION_LVL=COV!$V$65,IF(DOMAIN=COV!$T$72,Dictionary!AC1402,IF(DOMAIN=COV!$T$73,Dictionary!AD1402,IF(DOMAIN=COV!$T$75,Dictionary!AE1402,2))),IF(APPLICATION_LVL=COV!$V$64,IF(DOMAIN=COV!$T$72,Dictionary!AG1402,IF(DOMAIN=COV!$T$73,Dictionary!AH1402,IF(DOMAIN=COV!$T$75,Dictionary!AI1402,3))),1)))))</f>
        <v>3</v>
      </c>
      <c r="Z1402" s="1779">
        <f t="shared" si="44"/>
        <v>2</v>
      </c>
      <c r="AA1402" s="1779">
        <f t="shared" si="44"/>
        <v>2</v>
      </c>
      <c r="AB1402" s="1779"/>
      <c r="AC1402" s="1779">
        <f>IF(GC_Flag="",AN1402,AU1402)</f>
        <v>3</v>
      </c>
      <c r="AD1402">
        <v>2</v>
      </c>
      <c r="AE1402">
        <v>3</v>
      </c>
      <c r="AG1402" s="1779">
        <f>IF(GC_Flag="",AP1402,AW1402)</f>
        <v>3</v>
      </c>
      <c r="AH1402">
        <v>3</v>
      </c>
      <c r="AI1402">
        <v>3</v>
      </c>
      <c r="AK1402">
        <v>2</v>
      </c>
      <c r="AL1402">
        <v>2</v>
      </c>
      <c r="AN1402">
        <v>3</v>
      </c>
      <c r="AP1402">
        <v>3</v>
      </c>
      <c r="AR1402">
        <v>3</v>
      </c>
      <c r="AS1402">
        <v>3</v>
      </c>
      <c r="AU1402">
        <v>5</v>
      </c>
      <c r="AW1402">
        <v>5</v>
      </c>
    </row>
    <row r="1403" spans="2:49" ht="16">
      <c r="B1403" s="616" t="str">
        <f>IF(FORM_LANGUAGE=GER,Dictionary!G1403,Dictionary!E1403)</f>
        <v>Arbeitspakete definieren</v>
      </c>
      <c r="E1403" s="616" t="str">
        <f>IF(DOMAIN=COV!$T$72,IF(Dictionary!L1403="","",Dictionary!L1403),IF(DOMAIN=COV!$T$73,IF(Dictionary!N1403="","",Dictionary!N1403),IF(DOMAIN=COV!$T$74,IF(Dictionary!P1403="","",Dictionary!P1403),IF(Dictionary!L1403="","",Dictionary!L1403))))</f>
        <v>Define the work packages of the project</v>
      </c>
      <c r="F1403" s="616"/>
      <c r="G1403" s="616" t="str">
        <f>IF(DOMAIN=COV!$T$72,IF(Dictionary!R1403="","",Dictionary!R1403),IF(DOMAIN=COV!$T$73,IF(Dictionary!T1403="","",Dictionary!T1403),IF(DOMAIN=COV!$T$74,IF(Dictionary!V1403="","",Dictionary!V1403),IF(Dictionary!R1403="","",Dictionary!R1403))))</f>
        <v>Arbeitspakete definieren</v>
      </c>
      <c r="I1403" s="615" t="s">
        <v>1790</v>
      </c>
      <c r="J1403" s="615" t="s">
        <v>1793</v>
      </c>
      <c r="L1403" s="616" t="s">
        <v>375</v>
      </c>
      <c r="N1403" s="638" t="s">
        <v>2715</v>
      </c>
      <c r="O1403" s="639"/>
      <c r="P1403" s="638"/>
      <c r="R1403" s="645" t="s">
        <v>1461</v>
      </c>
      <c r="T1403" s="645" t="s">
        <v>1462</v>
      </c>
      <c r="X1403">
        <f>IF(APPLICATION_LVL="",0,IF(OR(APPLICATION_LVL=COV!$V$68,APPLICATION_LVL=COV!$V$67),Dictionary!Z1403,IF(APPLICATION_LVL=COV!$V$66,Dictionary!AA1403,IF(APPLICATION_LVL=COV!$V$65,IF(DOMAIN=COV!$T$72,Dictionary!AC1403,IF(DOMAIN=COV!$T$73,Dictionary!AD1403,IF(DOMAIN=COV!$T$75,Dictionary!AE1403,2))),IF(APPLICATION_LVL=COV!$V$64,IF(DOMAIN=COV!$T$72,Dictionary!AG1403,IF(DOMAIN=COV!$T$73,Dictionary!AH1403,IF(DOMAIN=COV!$T$75,Dictionary!AI1403,3))),1)))))</f>
        <v>2</v>
      </c>
      <c r="Z1403" s="1779">
        <f t="shared" si="44"/>
        <v>2</v>
      </c>
      <c r="AA1403" s="1779">
        <f t="shared" si="44"/>
        <v>2</v>
      </c>
      <c r="AB1403" s="1779"/>
      <c r="AC1403" s="1779">
        <f>IF(GC_Flag="",AN1403,AU1403)</f>
        <v>2</v>
      </c>
      <c r="AD1403">
        <v>2</v>
      </c>
      <c r="AG1403" s="1779">
        <f>IF(GC_Flag="",AP1403,AW1403)</f>
        <v>2</v>
      </c>
      <c r="AH1403">
        <v>3</v>
      </c>
      <c r="AK1403">
        <v>2</v>
      </c>
      <c r="AL1403">
        <v>2</v>
      </c>
      <c r="AN1403">
        <v>2</v>
      </c>
      <c r="AP1403">
        <v>2</v>
      </c>
      <c r="AR1403">
        <v>3</v>
      </c>
      <c r="AS1403">
        <v>3</v>
      </c>
      <c r="AU1403">
        <v>4</v>
      </c>
      <c r="AW1403">
        <v>5</v>
      </c>
    </row>
    <row r="1404" spans="2:49" ht="14.5" customHeight="1">
      <c r="B1404" s="616" t="str">
        <f>IF(FORM_LANGUAGE=GER,Dictionary!G1404,Dictionary!E1404)</f>
        <v>Konfiguration des Leistungsumfangs erstellen und aufrechterhalten</v>
      </c>
      <c r="E1404" s="616" t="str">
        <f>IF(DOMAIN=COV!$T$72,IF(Dictionary!L1404="","",Dictionary!L1404),IF(DOMAIN=COV!$T$73,IF(Dictionary!N1404="","",Dictionary!N1404),IF(DOMAIN=COV!$T$74,IF(Dictionary!P1404="","",Dictionary!P1404),IF(Dictionary!L1404="","",Dictionary!L1404))))</f>
        <v>Establish and maintain scope configuration</v>
      </c>
      <c r="F1404" s="616"/>
      <c r="G1404" s="616" t="str">
        <f>IF(DOMAIN=COV!$T$72,IF(Dictionary!R1404="","",Dictionary!R1404),IF(DOMAIN=COV!$T$73,IF(Dictionary!T1404="","",Dictionary!T1404),IF(DOMAIN=COV!$T$74,IF(Dictionary!V1404="","",Dictionary!V1404),IF(Dictionary!R1404="","",Dictionary!R1404))))</f>
        <v>Konfiguration des Leistungsumfangs erstellen und aufrechterhalten</v>
      </c>
      <c r="I1404" s="615" t="s">
        <v>1791</v>
      </c>
      <c r="J1404" s="615" t="s">
        <v>1794</v>
      </c>
      <c r="L1404" s="616" t="s">
        <v>374</v>
      </c>
      <c r="N1404" s="638" t="s">
        <v>374</v>
      </c>
      <c r="O1404" s="639"/>
      <c r="P1404" s="638"/>
      <c r="R1404" s="645" t="s">
        <v>1463</v>
      </c>
      <c r="T1404" s="645" t="s">
        <v>1463</v>
      </c>
      <c r="X1404">
        <f>IF(APPLICATION_LVL="",0,IF(OR(APPLICATION_LVL=COV!$V$68,APPLICATION_LVL=COV!$V$67),Dictionary!Z1404,IF(APPLICATION_LVL=COV!$V$66,Dictionary!AA1404,IF(APPLICATION_LVL=COV!$V$65,IF(DOMAIN=COV!$T$72,Dictionary!AC1404,IF(DOMAIN=COV!$T$73,Dictionary!AD1404,IF(DOMAIN=COV!$T$75,Dictionary!AE1404,2))),IF(APPLICATION_LVL=COV!$V$64,IF(DOMAIN=COV!$T$72,Dictionary!AG1404,IF(DOMAIN=COV!$T$73,Dictionary!AH1404,IF(DOMAIN=COV!$T$75,Dictionary!AI1404,3))),1)))))</f>
        <v>2</v>
      </c>
      <c r="Z1404" s="1779">
        <f t="shared" si="44"/>
        <v>1</v>
      </c>
      <c r="AA1404" s="1779">
        <f t="shared" si="44"/>
        <v>2</v>
      </c>
      <c r="AB1404" s="1779"/>
      <c r="AC1404" s="1779">
        <f>IF(GC_Flag="",AN1404,AU1404)</f>
        <v>2</v>
      </c>
      <c r="AD1404">
        <v>2</v>
      </c>
      <c r="AG1404" s="1779">
        <f>IF(GC_Flag="",AP1404,AW1404)</f>
        <v>2</v>
      </c>
      <c r="AH1404">
        <v>2</v>
      </c>
      <c r="AK1404">
        <v>1</v>
      </c>
      <c r="AL1404">
        <v>2</v>
      </c>
      <c r="AN1404">
        <v>2</v>
      </c>
      <c r="AP1404">
        <v>2</v>
      </c>
      <c r="AR1404">
        <v>1</v>
      </c>
      <c r="AS1404">
        <v>3</v>
      </c>
      <c r="AU1404">
        <v>4</v>
      </c>
      <c r="AW1404">
        <v>4</v>
      </c>
    </row>
    <row r="1405" spans="2:49">
      <c r="N1405" s="638"/>
      <c r="O1405" s="639"/>
      <c r="P1405" s="638"/>
    </row>
    <row r="1407" spans="2:49" ht="16">
      <c r="B1407" s="649" t="str">
        <f>IF(FORM_LANGUAGE=GER,Dictionary!G1407,Dictionary!E1407)</f>
        <v>Ablauf und Termine</v>
      </c>
      <c r="C1407" s="650"/>
      <c r="D1407" s="650"/>
      <c r="E1407" s="649" t="str">
        <f>E1249</f>
        <v>Time</v>
      </c>
      <c r="F1407" s="649"/>
      <c r="G1407" s="649" t="str">
        <f>G1249</f>
        <v>Ablauf und Termine</v>
      </c>
      <c r="H1407" s="74"/>
      <c r="I1407" s="651" t="s">
        <v>373</v>
      </c>
      <c r="J1407" s="650" t="s">
        <v>1795</v>
      </c>
      <c r="K1407" s="650"/>
      <c r="L1407" s="649"/>
      <c r="M1407" s="650"/>
      <c r="N1407" s="649"/>
      <c r="O1407" s="650"/>
      <c r="P1407" s="649"/>
      <c r="Q1407" s="74"/>
      <c r="R1407" s="654"/>
      <c r="S1407" s="74"/>
      <c r="T1407" s="654"/>
      <c r="U1407" s="74"/>
      <c r="V1407" s="654"/>
      <c r="X1407">
        <f>IF(APPLICATION_LVL="",0,IF(OR(APPLICATION_LVL=COV!$V$68,APPLICATION_LVL=COV!$V$67),Dictionary!Z1407,IF(APPLICATION_LVL=COV!$V$66,Dictionary!AA1407,IF(APPLICATION_LVL=COV!$V$65,IF(DOMAIN=COV!$T$72,Dictionary!AC1407,IF(DOMAIN=COV!$T$73,Dictionary!AD1407,IF(DOMAIN=COV!$T$75,Dictionary!AE1407,2))),IF(APPLICATION_LVL=COV!$V$64,IF(DOMAIN=COV!$T$72,Dictionary!AG1407,IF(DOMAIN=COV!$T$73,Dictionary!AH1407,IF(DOMAIN=COV!$T$75,Dictionary!AI1407,3))),1)))))</f>
        <v>3</v>
      </c>
      <c r="Z1407" s="1779">
        <f t="shared" ref="Z1407:AA1412" si="45">IF(GC_Flag="",AK1407,AR1407)</f>
        <v>2</v>
      </c>
      <c r="AA1407" s="1779">
        <f t="shared" si="45"/>
        <v>2</v>
      </c>
      <c r="AB1407" s="1779"/>
      <c r="AC1407" s="1779">
        <f t="shared" ref="AC1407:AC1412" si="46">IF(GC_Flag="",AN1407,AU1407)</f>
        <v>3</v>
      </c>
      <c r="AD1407">
        <v>3</v>
      </c>
      <c r="AE1407">
        <v>2</v>
      </c>
      <c r="AG1407" s="1779">
        <f t="shared" ref="AG1407:AG1412" si="47">IF(GC_Flag="",AP1407,AW1407)</f>
        <v>3</v>
      </c>
      <c r="AH1407">
        <v>3</v>
      </c>
      <c r="AI1407">
        <v>2</v>
      </c>
      <c r="AK1407">
        <v>2</v>
      </c>
      <c r="AL1407">
        <v>2</v>
      </c>
      <c r="AN1407">
        <v>3</v>
      </c>
      <c r="AP1407">
        <v>3</v>
      </c>
      <c r="AR1407">
        <v>3</v>
      </c>
      <c r="AS1407">
        <v>4</v>
      </c>
      <c r="AU1407">
        <v>5</v>
      </c>
      <c r="AW1407">
        <v>6</v>
      </c>
    </row>
    <row r="1408" spans="2:49" ht="32">
      <c r="B1408" s="616" t="str">
        <f>IF(FORM_LANGUAGE=GER,Dictionary!G1408,Dictionary!E1408)</f>
        <v>Aktivitäten definieren, die nötig sind, um das Projekt (ab)liefern zu können</v>
      </c>
      <c r="E1408" s="616" t="str">
        <f>IF(DOMAIN=COV!$T$72,IF(Dictionary!L1408="","",Dictionary!L1408),IF(DOMAIN=COV!$T$73,IF(Dictionary!N1408="","",Dictionary!N1408),IF(DOMAIN=COV!$T$74,IF(Dictionary!P1408="","",Dictionary!P1408),IF(Dictionary!L1408="","",Dictionary!L1408))))</f>
        <v>Define the activities required to deliver the project</v>
      </c>
      <c r="F1408" s="616"/>
      <c r="G1408" s="616" t="str">
        <f>IF(DOMAIN=COV!$T$72,IF(Dictionary!R1408="","",Dictionary!R1408),IF(DOMAIN=COV!$T$73,IF(Dictionary!T1408="","",Dictionary!T1408),IF(DOMAIN=COV!$T$74,IF(Dictionary!V1408="","",Dictionary!V1408),IF(Dictionary!R1408="","",Dictionary!R1408))))</f>
        <v>Aktivitäten definieren, die nötig sind, um das Projekt (ab)liefern zu können</v>
      </c>
      <c r="I1408" s="615" t="s">
        <v>1796</v>
      </c>
      <c r="J1408" s="615" t="s">
        <v>1797</v>
      </c>
      <c r="L1408" s="616" t="s">
        <v>372</v>
      </c>
      <c r="N1408" s="638" t="s">
        <v>2716</v>
      </c>
      <c r="O1408" s="639"/>
      <c r="P1408" s="638" t="s">
        <v>2760</v>
      </c>
      <c r="R1408" s="645" t="s">
        <v>1464</v>
      </c>
      <c r="T1408" s="616" t="s">
        <v>1465</v>
      </c>
      <c r="V1408" s="616" t="s">
        <v>1466</v>
      </c>
      <c r="X1408">
        <f>IF(APPLICATION_LVL="",0,IF(OR(APPLICATION_LVL=COV!$V$68,APPLICATION_LVL=COV!$V$67),Dictionary!Z1408,IF(APPLICATION_LVL=COV!$V$66,Dictionary!AA1408,IF(APPLICATION_LVL=COV!$V$65,IF(DOMAIN=COV!$T$72,Dictionary!AC1408,IF(DOMAIN=COV!$T$73,Dictionary!AD1408,IF(DOMAIN=COV!$T$75,Dictionary!AE1408,2))),IF(APPLICATION_LVL=COV!$V$64,IF(DOMAIN=COV!$T$72,Dictionary!AG1408,IF(DOMAIN=COV!$T$73,Dictionary!AH1408,IF(DOMAIN=COV!$T$75,Dictionary!AI1408,3))),1)))))</f>
        <v>2</v>
      </c>
      <c r="Z1408" s="1779">
        <f t="shared" si="45"/>
        <v>2</v>
      </c>
      <c r="AA1408" s="1779">
        <f t="shared" si="45"/>
        <v>2</v>
      </c>
      <c r="AB1408" s="1779"/>
      <c r="AC1408" s="1779">
        <f t="shared" si="46"/>
        <v>2</v>
      </c>
      <c r="AD1408">
        <v>2</v>
      </c>
      <c r="AE1408">
        <v>2</v>
      </c>
      <c r="AG1408" s="1779">
        <f t="shared" si="47"/>
        <v>2</v>
      </c>
      <c r="AH1408">
        <v>2</v>
      </c>
      <c r="AI1408">
        <v>2</v>
      </c>
      <c r="AK1408">
        <v>2</v>
      </c>
      <c r="AL1408">
        <v>2</v>
      </c>
      <c r="AN1408">
        <v>2</v>
      </c>
      <c r="AP1408">
        <v>2</v>
      </c>
      <c r="AR1408">
        <v>3</v>
      </c>
      <c r="AS1408">
        <v>4</v>
      </c>
      <c r="AU1408">
        <v>4</v>
      </c>
      <c r="AW1408">
        <v>2</v>
      </c>
    </row>
    <row r="1409" spans="2:49" ht="16">
      <c r="B1409" s="616" t="str">
        <f>IF(FORM_LANGUAGE=GER,Dictionary!G1409,Dictionary!E1409)</f>
        <v>Arbeitsaufwand und Dauer von Aktivitäten festlegen</v>
      </c>
      <c r="E1409" s="616" t="str">
        <f>IF(DOMAIN=COV!$T$72,IF(Dictionary!L1409="","",Dictionary!L1409),IF(DOMAIN=COV!$T$73,IF(Dictionary!N1409="","",Dictionary!N1409),IF(DOMAIN=COV!$T$74,IF(Dictionary!P1409="","",Dictionary!P1409),IF(Dictionary!L1409="","",Dictionary!L1409))))</f>
        <v>Determine the work effort and duration of activities</v>
      </c>
      <c r="F1409" s="616"/>
      <c r="G1409" s="616" t="str">
        <f>IF(DOMAIN=COV!$T$72,IF(Dictionary!R1409="","",Dictionary!R1409),IF(DOMAIN=COV!$T$73,IF(Dictionary!T1409="","",Dictionary!T1409),IF(DOMAIN=COV!$T$74,IF(Dictionary!V1409="","",Dictionary!V1409),IF(Dictionary!R1409="","",Dictionary!R1409))))</f>
        <v>Arbeitsaufwand und Dauer von Aktivitäten festlegen</v>
      </c>
      <c r="I1409" s="615" t="s">
        <v>1798</v>
      </c>
      <c r="J1409" s="615" t="s">
        <v>1802</v>
      </c>
      <c r="L1409" s="616" t="s">
        <v>371</v>
      </c>
      <c r="N1409" s="638" t="s">
        <v>2717</v>
      </c>
      <c r="O1409" s="639"/>
      <c r="P1409" s="638"/>
      <c r="R1409" s="616" t="s">
        <v>1467</v>
      </c>
      <c r="T1409" s="616" t="s">
        <v>1468</v>
      </c>
      <c r="X1409">
        <f>IF(APPLICATION_LVL="",0,IF(OR(APPLICATION_LVL=COV!$V$68,APPLICATION_LVL=COV!$V$67),Dictionary!Z1409,IF(APPLICATION_LVL=COV!$V$66,Dictionary!AA1409,IF(APPLICATION_LVL=COV!$V$65,IF(DOMAIN=COV!$T$72,Dictionary!AC1409,IF(DOMAIN=COV!$T$73,Dictionary!AD1409,IF(DOMAIN=COV!$T$75,Dictionary!AE1409,2))),IF(APPLICATION_LVL=COV!$V$64,IF(DOMAIN=COV!$T$72,Dictionary!AG1409,IF(DOMAIN=COV!$T$73,Dictionary!AH1409,IF(DOMAIN=COV!$T$75,Dictionary!AI1409,3))),1)))))</f>
        <v>3</v>
      </c>
      <c r="Z1409" s="1779">
        <f t="shared" si="45"/>
        <v>1</v>
      </c>
      <c r="AA1409" s="1779">
        <f t="shared" si="45"/>
        <v>2</v>
      </c>
      <c r="AB1409" s="1779"/>
      <c r="AC1409" s="1779">
        <f t="shared" si="46"/>
        <v>3</v>
      </c>
      <c r="AD1409">
        <v>2</v>
      </c>
      <c r="AG1409" s="1779">
        <f t="shared" si="47"/>
        <v>3</v>
      </c>
      <c r="AH1409">
        <v>2</v>
      </c>
      <c r="AK1409">
        <v>1</v>
      </c>
      <c r="AL1409">
        <v>2</v>
      </c>
      <c r="AN1409">
        <v>3</v>
      </c>
      <c r="AP1409">
        <v>3</v>
      </c>
      <c r="AR1409">
        <v>3</v>
      </c>
      <c r="AS1409">
        <v>3</v>
      </c>
      <c r="AU1409">
        <v>4</v>
      </c>
      <c r="AW1409">
        <v>2</v>
      </c>
    </row>
    <row r="1410" spans="2:49" ht="16">
      <c r="B1410" s="616" t="str">
        <f>IF(FORM_LANGUAGE=GER,Dictionary!G1410,Dictionary!E1410)</f>
        <v>Vorgehensweise für Termine und Phasen, ggf. Sprints festlegen</v>
      </c>
      <c r="E1410" s="616" t="str">
        <f>IF(DOMAIN=COV!$T$72,IF(Dictionary!L1410="","",Dictionary!L1410),IF(DOMAIN=COV!$T$73,IF(Dictionary!N1410="","",Dictionary!N1410),IF(DOMAIN=COV!$T$74,IF(Dictionary!P1410="","",Dictionary!P1410),IF(Dictionary!L1410="","",Dictionary!L1410))))</f>
        <v>Decide on schedule and phasing approach</v>
      </c>
      <c r="F1410" s="616"/>
      <c r="G1410" s="616" t="str">
        <f>IF(DOMAIN=COV!$T$72,IF(Dictionary!R1410="","",Dictionary!R1410),IF(DOMAIN=COV!$T$73,IF(Dictionary!T1410="","",Dictionary!T1410),IF(DOMAIN=COV!$T$74,IF(Dictionary!V1410="","",Dictionary!V1410),IF(Dictionary!R1410="","",Dictionary!R1410))))</f>
        <v>Vorgehensweise für Termine und Phasen, ggf. Sprints festlegen</v>
      </c>
      <c r="I1410" s="615" t="s">
        <v>1799</v>
      </c>
      <c r="J1410" s="615" t="s">
        <v>1803</v>
      </c>
      <c r="L1410" s="616" t="s">
        <v>370</v>
      </c>
      <c r="N1410" s="638" t="s">
        <v>2718</v>
      </c>
      <c r="O1410" s="639"/>
      <c r="P1410" s="638"/>
      <c r="R1410" s="616" t="s">
        <v>1469</v>
      </c>
      <c r="T1410" s="616" t="s">
        <v>1470</v>
      </c>
      <c r="X1410">
        <f>IF(APPLICATION_LVL="",0,IF(OR(APPLICATION_LVL=COV!$V$68,APPLICATION_LVL=COV!$V$67),Dictionary!Z1410,IF(APPLICATION_LVL=COV!$V$66,Dictionary!AA1410,IF(APPLICATION_LVL=COV!$V$65,IF(DOMAIN=COV!$T$72,Dictionary!AC1410,IF(DOMAIN=COV!$T$73,Dictionary!AD1410,IF(DOMAIN=COV!$T$75,Dictionary!AE1410,2))),IF(APPLICATION_LVL=COV!$V$64,IF(DOMAIN=COV!$T$72,Dictionary!AG1410,IF(DOMAIN=COV!$T$73,Dictionary!AH1410,IF(DOMAIN=COV!$T$75,Dictionary!AI1410,3))),1)))))</f>
        <v>3</v>
      </c>
      <c r="Z1410" s="1779">
        <f t="shared" si="45"/>
        <v>2</v>
      </c>
      <c r="AA1410" s="1779">
        <f t="shared" si="45"/>
        <v>2</v>
      </c>
      <c r="AB1410" s="1779"/>
      <c r="AC1410" s="1779">
        <f t="shared" si="46"/>
        <v>3</v>
      </c>
      <c r="AD1410">
        <v>3</v>
      </c>
      <c r="AG1410" s="1779">
        <f t="shared" si="47"/>
        <v>3</v>
      </c>
      <c r="AH1410">
        <v>3</v>
      </c>
      <c r="AK1410">
        <v>2</v>
      </c>
      <c r="AL1410">
        <v>2</v>
      </c>
      <c r="AN1410">
        <v>3</v>
      </c>
      <c r="AP1410">
        <v>3</v>
      </c>
      <c r="AR1410">
        <v>3</v>
      </c>
      <c r="AS1410">
        <v>3</v>
      </c>
      <c r="AU1410">
        <v>5</v>
      </c>
      <c r="AW1410">
        <v>5</v>
      </c>
    </row>
    <row r="1411" spans="2:49" ht="32">
      <c r="B1411" s="616" t="str">
        <f>IF(FORM_LANGUAGE=GER,Dictionary!G1411,Dictionary!E1411)</f>
        <v>Abfolge der Projektaktivitäten bestimmen und einen Ablauf- und Terminplan erstellen</v>
      </c>
      <c r="E1411" s="616" t="str">
        <f>IF(DOMAIN=COV!$T$72,IF(Dictionary!L1411="","",Dictionary!L1411),IF(DOMAIN=COV!$T$73,IF(Dictionary!N1411="","",Dictionary!N1411),IF(DOMAIN=COV!$T$74,IF(Dictionary!P1411="","",Dictionary!P1411),IF(Dictionary!L1411="","",Dictionary!L1411))))</f>
        <v>Sequence project activities and create a schedule</v>
      </c>
      <c r="F1411" s="616"/>
      <c r="G1411" s="616" t="str">
        <f>IF(DOMAIN=COV!$T$72,IF(Dictionary!R1411="","",Dictionary!R1411),IF(DOMAIN=COV!$T$73,IF(Dictionary!T1411="","",Dictionary!T1411),IF(DOMAIN=COV!$T$74,IF(Dictionary!V1411="","",Dictionary!V1411),IF(Dictionary!R1411="","",Dictionary!R1411))))</f>
        <v>Abfolge der Projektaktivitäten bestimmen und einen Ablauf- und Terminplan erstellen</v>
      </c>
      <c r="I1411" s="615" t="s">
        <v>1800</v>
      </c>
      <c r="J1411" s="615" t="s">
        <v>1804</v>
      </c>
      <c r="L1411" s="616" t="s">
        <v>369</v>
      </c>
      <c r="N1411" s="638"/>
      <c r="O1411" s="639"/>
      <c r="P1411" s="638"/>
      <c r="R1411" s="616" t="s">
        <v>1471</v>
      </c>
      <c r="X1411">
        <f>IF(APPLICATION_LVL="",0,IF(OR(APPLICATION_LVL=COV!$V$68,APPLICATION_LVL=COV!$V$67),Dictionary!Z1411,IF(APPLICATION_LVL=COV!$V$66,Dictionary!AA1411,IF(APPLICATION_LVL=COV!$V$65,IF(DOMAIN=COV!$T$72,Dictionary!AC1411,IF(DOMAIN=COV!$T$73,Dictionary!AD1411,IF(DOMAIN=COV!$T$75,Dictionary!AE1411,2))),IF(APPLICATION_LVL=COV!$V$64,IF(DOMAIN=COV!$T$72,Dictionary!AG1411,IF(DOMAIN=COV!$T$73,Dictionary!AH1411,IF(DOMAIN=COV!$T$75,Dictionary!AI1411,3))),1)))))</f>
        <v>2</v>
      </c>
      <c r="Z1411" s="1779">
        <f t="shared" si="45"/>
        <v>2</v>
      </c>
      <c r="AA1411" s="1779">
        <f t="shared" si="45"/>
        <v>2</v>
      </c>
      <c r="AB1411" s="1779"/>
      <c r="AC1411" s="1779">
        <f t="shared" si="46"/>
        <v>2</v>
      </c>
      <c r="AG1411" s="1779">
        <f t="shared" si="47"/>
        <v>2</v>
      </c>
      <c r="AK1411">
        <v>2</v>
      </c>
      <c r="AL1411">
        <v>2</v>
      </c>
      <c r="AN1411">
        <v>2</v>
      </c>
      <c r="AP1411">
        <v>2</v>
      </c>
      <c r="AR1411">
        <v>3</v>
      </c>
      <c r="AS1411">
        <v>4</v>
      </c>
      <c r="AU1411">
        <v>4</v>
      </c>
      <c r="AW1411">
        <v>6</v>
      </c>
    </row>
    <row r="1412" spans="2:49" ht="32">
      <c r="B1412" s="616" t="str">
        <f>IF(FORM_LANGUAGE=GER,Dictionary!G1412,Dictionary!E1412)</f>
        <v>Fortschritt anhand des Terminplans überwachen und notwendige Anpassungen vornehmen</v>
      </c>
      <c r="E1412" s="616" t="str">
        <f>IF(DOMAIN=COV!$T$72,IF(Dictionary!L1412="","",Dictionary!L1412),IF(DOMAIN=COV!$T$73,IF(Dictionary!N1412="","",Dictionary!N1412),IF(DOMAIN=COV!$T$74,IF(Dictionary!P1412="","",Dictionary!P1412),IF(Dictionary!L1412="","",Dictionary!L1412))))</f>
        <v>Monitor progress against the schedule and make any necessary adjustments</v>
      </c>
      <c r="F1412" s="616"/>
      <c r="G1412" s="616" t="str">
        <f>IF(DOMAIN=COV!$T$72,IF(Dictionary!R1412="","",Dictionary!R1412),IF(DOMAIN=COV!$T$73,IF(Dictionary!T1412="","",Dictionary!T1412),IF(DOMAIN=COV!$T$74,IF(Dictionary!V1412="","",Dictionary!V1412),IF(Dictionary!R1412="","",Dictionary!R1412))))</f>
        <v>Fortschritt anhand des Terminplans überwachen und notwendige Anpassungen vornehmen</v>
      </c>
      <c r="I1412" s="615" t="s">
        <v>1801</v>
      </c>
      <c r="J1412" s="615" t="s">
        <v>1805</v>
      </c>
      <c r="L1412" s="616" t="s">
        <v>368</v>
      </c>
      <c r="N1412" s="638"/>
      <c r="O1412" s="639"/>
      <c r="P1412" s="638"/>
      <c r="R1412" s="616" t="s">
        <v>1472</v>
      </c>
      <c r="X1412">
        <f>IF(APPLICATION_LVL="",0,IF(OR(APPLICATION_LVL=COV!$V$68,APPLICATION_LVL=COV!$V$67),Dictionary!Z1412,IF(APPLICATION_LVL=COV!$V$66,Dictionary!AA1412,IF(APPLICATION_LVL=COV!$V$65,IF(DOMAIN=COV!$T$72,Dictionary!AC1412,IF(DOMAIN=COV!$T$73,Dictionary!AD1412,IF(DOMAIN=COV!$T$75,Dictionary!AE1412,2))),IF(APPLICATION_LVL=COV!$V$64,IF(DOMAIN=COV!$T$72,Dictionary!AG1412,IF(DOMAIN=COV!$T$73,Dictionary!AH1412,IF(DOMAIN=COV!$T$75,Dictionary!AI1412,3))),1)))))</f>
        <v>3</v>
      </c>
      <c r="Z1412" s="1779">
        <f t="shared" si="45"/>
        <v>2</v>
      </c>
      <c r="AA1412" s="1779">
        <f t="shared" si="45"/>
        <v>2</v>
      </c>
      <c r="AB1412" s="1779"/>
      <c r="AC1412" s="1779">
        <f t="shared" si="46"/>
        <v>2</v>
      </c>
      <c r="AG1412" s="1779">
        <f t="shared" si="47"/>
        <v>3</v>
      </c>
      <c r="AK1412">
        <v>2</v>
      </c>
      <c r="AL1412">
        <v>2</v>
      </c>
      <c r="AN1412">
        <v>2</v>
      </c>
      <c r="AP1412">
        <v>3</v>
      </c>
      <c r="AR1412">
        <v>2</v>
      </c>
      <c r="AS1412">
        <v>4</v>
      </c>
      <c r="AU1412">
        <v>4</v>
      </c>
      <c r="AW1412">
        <v>6</v>
      </c>
    </row>
    <row r="1414" spans="2:49">
      <c r="F1414" s="638"/>
    </row>
    <row r="1415" spans="2:49" ht="29" customHeight="1">
      <c r="B1415" s="649" t="str">
        <f>IF(FORM_LANGUAGE=GER,Dictionary!G1415,Dictionary!E1415)</f>
        <v>Organisation und Information</v>
      </c>
      <c r="C1415" s="650"/>
      <c r="D1415" s="650"/>
      <c r="E1415" s="649" t="str">
        <f>E1250</f>
        <v>Organization and information</v>
      </c>
      <c r="F1415" s="649"/>
      <c r="G1415" s="649" t="str">
        <f>G1250</f>
        <v>Organisation und Information</v>
      </c>
      <c r="H1415" s="74"/>
      <c r="I1415" s="651" t="s">
        <v>367</v>
      </c>
      <c r="J1415" s="650" t="s">
        <v>1806</v>
      </c>
      <c r="K1415" s="650"/>
      <c r="L1415" s="649"/>
      <c r="M1415" s="650"/>
      <c r="N1415" s="649"/>
      <c r="O1415" s="650"/>
      <c r="P1415" s="649"/>
      <c r="Q1415" s="74"/>
      <c r="R1415" s="654"/>
      <c r="S1415" s="74"/>
      <c r="T1415" s="654"/>
      <c r="U1415" s="74"/>
      <c r="V1415" s="654"/>
      <c r="X1415">
        <f>IF(APPLICATION_LVL="",0,IF(OR(APPLICATION_LVL=COV!$V$68,APPLICATION_LVL=COV!$V$67),Dictionary!Z1415,IF(APPLICATION_LVL=COV!$V$66,Dictionary!AA1415,IF(APPLICATION_LVL=COV!$V$65,IF(DOMAIN=COV!$T$72,Dictionary!AC1415,IF(DOMAIN=COV!$T$73,Dictionary!AD1415,IF(DOMAIN=COV!$T$75,Dictionary!AE1415,2))),IF(APPLICATION_LVL=COV!$V$64,IF(DOMAIN=COV!$T$72,Dictionary!AG1415,IF(DOMAIN=COV!$T$73,Dictionary!AH1415,IF(DOMAIN=COV!$T$75,Dictionary!AI1415,3))),1)))))</f>
        <v>3</v>
      </c>
      <c r="Z1415" s="1779">
        <f t="shared" ref="Z1415:AA1419" si="48">IF(GC_Flag="",AK1415,AR1415)</f>
        <v>2</v>
      </c>
      <c r="AA1415" s="1779">
        <f t="shared" si="48"/>
        <v>2</v>
      </c>
      <c r="AB1415" s="1779"/>
      <c r="AC1415" s="1779">
        <f>IF(GC_Flag="",AN1415,AU1415)</f>
        <v>3</v>
      </c>
      <c r="AD1415">
        <v>3</v>
      </c>
      <c r="AE1415">
        <v>3</v>
      </c>
      <c r="AG1415" s="1779">
        <f>IF(GC_Flag="",AP1415,AW1415)</f>
        <v>3</v>
      </c>
      <c r="AH1415">
        <v>3</v>
      </c>
      <c r="AI1415">
        <v>3</v>
      </c>
      <c r="AK1415">
        <v>2</v>
      </c>
      <c r="AL1415">
        <v>2</v>
      </c>
      <c r="AN1415">
        <v>3</v>
      </c>
      <c r="AP1415">
        <v>3</v>
      </c>
      <c r="AR1415">
        <v>3</v>
      </c>
      <c r="AS1415">
        <v>3</v>
      </c>
      <c r="AU1415">
        <v>6</v>
      </c>
      <c r="AW1415">
        <v>6</v>
      </c>
    </row>
    <row r="1416" spans="2:49" ht="32">
      <c r="B1416" s="616" t="str">
        <f>IF(FORM_LANGUAGE=GER,Dictionary!G1416,Dictionary!E1416)</f>
        <v>Bedürfnisse der Stakeholder bezüglich Information und Dokumentation beurteilen und bestimmen</v>
      </c>
      <c r="E1416" s="616" t="str">
        <f>IF(DOMAIN=COV!$T$72,IF(Dictionary!L1416="","",Dictionary!L1416),IF(DOMAIN=COV!$T$73,IF(Dictionary!N1416="","",Dictionary!N1416),IF(DOMAIN=COV!$T$74,IF(Dictionary!P1416="","",Dictionary!P1416),IF(Dictionary!L1416="","",Dictionary!L1416))))</f>
        <v>Assess and determine the needs of stakeholders relating to information and documentation</v>
      </c>
      <c r="F1416" s="616"/>
      <c r="G1416" s="616" t="str">
        <f>IF(DOMAIN=COV!$T$72,IF(Dictionary!R1416="","",Dictionary!R1416),IF(DOMAIN=COV!$T$73,IF(Dictionary!T1416="","",Dictionary!T1416),IF(DOMAIN=COV!$T$74,IF(Dictionary!V1416="","",Dictionary!V1416),IF(Dictionary!R1416="","",Dictionary!R1416))))</f>
        <v>Bedürfnisse der Stakeholder bezüglich Information und Dokumentation beurteilen und bestimmen</v>
      </c>
      <c r="I1416" s="615" t="s">
        <v>1807</v>
      </c>
      <c r="J1416" s="615" t="s">
        <v>1808</v>
      </c>
      <c r="L1416" s="616" t="s">
        <v>365</v>
      </c>
      <c r="N1416" s="638" t="s">
        <v>2719</v>
      </c>
      <c r="O1416" s="639"/>
      <c r="P1416" s="638" t="s">
        <v>2761</v>
      </c>
      <c r="R1416" s="616" t="s">
        <v>1473</v>
      </c>
      <c r="T1416" s="616" t="s">
        <v>1474</v>
      </c>
      <c r="V1416" s="616" t="s">
        <v>1473</v>
      </c>
      <c r="X1416">
        <f>IF(APPLICATION_LVL="",0,IF(OR(APPLICATION_LVL=COV!$V$68,APPLICATION_LVL=COV!$V$67),Dictionary!Z1416,IF(APPLICATION_LVL=COV!$V$66,Dictionary!AA1416,IF(APPLICATION_LVL=COV!$V$65,IF(DOMAIN=COV!$T$72,Dictionary!AC1416,IF(DOMAIN=COV!$T$73,Dictionary!AD1416,IF(DOMAIN=COV!$T$75,Dictionary!AE1416,2))),IF(APPLICATION_LVL=COV!$V$64,IF(DOMAIN=COV!$T$72,Dictionary!AG1416,IF(DOMAIN=COV!$T$73,Dictionary!AH1416,IF(DOMAIN=COV!$T$75,Dictionary!AI1416,3))),1)))))</f>
        <v>3</v>
      </c>
      <c r="Z1416" s="1779">
        <f t="shared" si="48"/>
        <v>2</v>
      </c>
      <c r="AA1416" s="1779">
        <f t="shared" si="48"/>
        <v>2</v>
      </c>
      <c r="AB1416" s="1779"/>
      <c r="AC1416" s="1779">
        <f>IF(GC_Flag="",AN1416,AU1416)</f>
        <v>3</v>
      </c>
      <c r="AD1416">
        <v>3</v>
      </c>
      <c r="AE1416">
        <v>3</v>
      </c>
      <c r="AG1416" s="1779">
        <f>IF(GC_Flag="",AP1416,AW1416)</f>
        <v>3</v>
      </c>
      <c r="AH1416">
        <v>3</v>
      </c>
      <c r="AI1416">
        <v>3</v>
      </c>
      <c r="AK1416">
        <v>2</v>
      </c>
      <c r="AL1416">
        <v>2</v>
      </c>
      <c r="AN1416">
        <v>3</v>
      </c>
      <c r="AP1416">
        <v>3</v>
      </c>
      <c r="AR1416">
        <v>3</v>
      </c>
      <c r="AS1416">
        <v>3</v>
      </c>
      <c r="AU1416">
        <v>6</v>
      </c>
      <c r="AW1416">
        <v>6</v>
      </c>
    </row>
    <row r="1417" spans="2:49" ht="32">
      <c r="B1417" s="616" t="str">
        <f>IF(FORM_LANGUAGE=GER,Dictionary!G1417,Dictionary!E1417)</f>
        <v>Struktur, Rollen und Verantwortlichkeiten im Projekt definieren</v>
      </c>
      <c r="E1417" s="616" t="str">
        <f>IF(DOMAIN=COV!$T$72,IF(Dictionary!L1417="","",Dictionary!L1417),IF(DOMAIN=COV!$T$73,IF(Dictionary!N1417="","",Dictionary!N1417),IF(DOMAIN=COV!$T$74,IF(Dictionary!P1417="","",Dictionary!P1417),IF(Dictionary!L1417="","",Dictionary!L1417))))</f>
        <v>Define the structure, roles, and responsibilities within the project</v>
      </c>
      <c r="F1417" s="616"/>
      <c r="G1417" s="616" t="str">
        <f>IF(DOMAIN=COV!$T$72,IF(Dictionary!R1417="","",Dictionary!R1417),IF(DOMAIN=COV!$T$73,IF(Dictionary!T1417="","",Dictionary!T1417),IF(DOMAIN=COV!$T$74,IF(Dictionary!V1417="","",Dictionary!V1417),IF(Dictionary!R1417="","",Dictionary!R1417))))</f>
        <v>Struktur, Rollen und Verantwortlichkeiten im Projekt definieren</v>
      </c>
      <c r="I1417" s="615" t="s">
        <v>1809</v>
      </c>
      <c r="J1417" s="615" t="s">
        <v>1812</v>
      </c>
      <c r="L1417" s="616" t="s">
        <v>364</v>
      </c>
      <c r="N1417" s="638" t="s">
        <v>2720</v>
      </c>
      <c r="O1417" s="639"/>
      <c r="P1417" s="638" t="s">
        <v>2762</v>
      </c>
      <c r="R1417" s="616" t="s">
        <v>1475</v>
      </c>
      <c r="T1417" s="616" t="s">
        <v>1476</v>
      </c>
      <c r="V1417" s="616" t="s">
        <v>1477</v>
      </c>
      <c r="X1417">
        <f>IF(APPLICATION_LVL="",0,IF(OR(APPLICATION_LVL=COV!$V$68,APPLICATION_LVL=COV!$V$67),Dictionary!Z1417,IF(APPLICATION_LVL=COV!$V$66,Dictionary!AA1417,IF(APPLICATION_LVL=COV!$V$65,IF(DOMAIN=COV!$T$72,Dictionary!AC1417,IF(DOMAIN=COV!$T$73,Dictionary!AD1417,IF(DOMAIN=COV!$T$75,Dictionary!AE1417,2))),IF(APPLICATION_LVL=COV!$V$64,IF(DOMAIN=COV!$T$72,Dictionary!AG1417,IF(DOMAIN=COV!$T$73,Dictionary!AH1417,IF(DOMAIN=COV!$T$75,Dictionary!AI1417,3))),1)))))</f>
        <v>3</v>
      </c>
      <c r="Z1417" s="1779">
        <f t="shared" si="48"/>
        <v>2</v>
      </c>
      <c r="AA1417" s="1779">
        <f t="shared" si="48"/>
        <v>2</v>
      </c>
      <c r="AB1417" s="1779"/>
      <c r="AC1417" s="1779">
        <f>IF(GC_Flag="",AN1417,AU1417)</f>
        <v>2</v>
      </c>
      <c r="AD1417">
        <v>2</v>
      </c>
      <c r="AE1417">
        <v>2</v>
      </c>
      <c r="AG1417" s="1779">
        <f>IF(GC_Flag="",AP1417,AW1417)</f>
        <v>3</v>
      </c>
      <c r="AH1417">
        <v>3</v>
      </c>
      <c r="AI1417">
        <v>3</v>
      </c>
      <c r="AK1417">
        <v>2</v>
      </c>
      <c r="AL1417">
        <v>2</v>
      </c>
      <c r="AN1417">
        <v>2</v>
      </c>
      <c r="AP1417">
        <v>3</v>
      </c>
      <c r="AR1417">
        <v>2</v>
      </c>
      <c r="AS1417">
        <v>3</v>
      </c>
      <c r="AU1417">
        <v>4</v>
      </c>
      <c r="AW1417">
        <v>6</v>
      </c>
    </row>
    <row r="1418" spans="2:49" ht="32">
      <c r="B1418" s="616" t="str">
        <f>IF(FORM_LANGUAGE=GER,Dictionary!G1418,Dictionary!E1418)</f>
        <v>Infrastruktur, Prozesse und Informationssysteme aufbauen</v>
      </c>
      <c r="E1418" s="616" t="str">
        <f>IF(DOMAIN=COV!$T$72,IF(Dictionary!L1418="","",Dictionary!L1418),IF(DOMAIN=COV!$T$73,IF(Dictionary!N1418="","",Dictionary!N1418),IF(DOMAIN=COV!$T$74,IF(Dictionary!P1418="","",Dictionary!P1418),IF(Dictionary!L1418="","",Dictionary!L1418))))</f>
        <v>Establish infrastructure, processes, and systems for information flow</v>
      </c>
      <c r="F1418" s="616"/>
      <c r="G1418" s="616" t="str">
        <f>IF(DOMAIN=COV!$T$72,IF(Dictionary!R1418="","",Dictionary!R1418),IF(DOMAIN=COV!$T$73,IF(Dictionary!T1418="","",Dictionary!T1418),IF(DOMAIN=COV!$T$74,IF(Dictionary!V1418="","",Dictionary!V1418),IF(Dictionary!R1418="","",Dictionary!R1418))))</f>
        <v>Infrastruktur, Prozesse und Informationssysteme aufbauen</v>
      </c>
      <c r="I1418" s="615" t="s">
        <v>1810</v>
      </c>
      <c r="J1418" s="615" t="s">
        <v>1813</v>
      </c>
      <c r="L1418" s="616" t="s">
        <v>363</v>
      </c>
      <c r="N1418" s="638" t="s">
        <v>2721</v>
      </c>
      <c r="O1418" s="639"/>
      <c r="P1418" s="638" t="s">
        <v>2763</v>
      </c>
      <c r="R1418" s="616" t="s">
        <v>1478</v>
      </c>
      <c r="T1418" s="616" t="s">
        <v>1478</v>
      </c>
      <c r="V1418" s="616" t="s">
        <v>1478</v>
      </c>
      <c r="X1418">
        <f>IF(APPLICATION_LVL="",0,IF(OR(APPLICATION_LVL=COV!$V$68,APPLICATION_LVL=COV!$V$67),Dictionary!Z1418,IF(APPLICATION_LVL=COV!$V$66,Dictionary!AA1418,IF(APPLICATION_LVL=COV!$V$65,IF(DOMAIN=COV!$T$72,Dictionary!AC1418,IF(DOMAIN=COV!$T$73,Dictionary!AD1418,IF(DOMAIN=COV!$T$75,Dictionary!AE1418,2))),IF(APPLICATION_LVL=COV!$V$64,IF(DOMAIN=COV!$T$72,Dictionary!AG1418,IF(DOMAIN=COV!$T$73,Dictionary!AH1418,IF(DOMAIN=COV!$T$75,Dictionary!AI1418,3))),1)))))</f>
        <v>3</v>
      </c>
      <c r="Z1418" s="1779">
        <f t="shared" si="48"/>
        <v>1</v>
      </c>
      <c r="AA1418" s="1779">
        <f t="shared" si="48"/>
        <v>2</v>
      </c>
      <c r="AB1418" s="1779"/>
      <c r="AC1418" s="1779">
        <f>IF(GC_Flag="",AN1418,AU1418)</f>
        <v>2</v>
      </c>
      <c r="AD1418">
        <v>2</v>
      </c>
      <c r="AE1418">
        <v>2</v>
      </c>
      <c r="AG1418" s="1779">
        <f>IF(GC_Flag="",AP1418,AW1418)</f>
        <v>3</v>
      </c>
      <c r="AH1418">
        <v>3</v>
      </c>
      <c r="AI1418">
        <v>3</v>
      </c>
      <c r="AK1418">
        <v>1</v>
      </c>
      <c r="AL1418">
        <v>2</v>
      </c>
      <c r="AN1418">
        <v>2</v>
      </c>
      <c r="AP1418">
        <v>3</v>
      </c>
      <c r="AR1418">
        <v>2</v>
      </c>
      <c r="AS1418">
        <v>3</v>
      </c>
      <c r="AU1418">
        <v>4</v>
      </c>
      <c r="AW1418">
        <v>5</v>
      </c>
    </row>
    <row r="1419" spans="2:49" ht="32">
      <c r="B1419" s="616" t="str">
        <f>IF(FORM_LANGUAGE=GER,Dictionary!G1419,Dictionary!E1419)</f>
        <v>Organisation des Projekts implementieren, überwachen und anpassen</v>
      </c>
      <c r="E1419" s="616" t="str">
        <f>IF(DOMAIN=COV!$T$72,IF(Dictionary!L1419="","",Dictionary!L1419),IF(DOMAIN=COV!$T$73,IF(Dictionary!N1419="","",Dictionary!N1419),IF(DOMAIN=COV!$T$74,IF(Dictionary!P1419="","",Dictionary!P1419),IF(Dictionary!L1419="","",Dictionary!L1419))))</f>
        <v>Implement, monitor, and maintain the organization of the project</v>
      </c>
      <c r="F1419" s="616"/>
      <c r="G1419" s="616" t="str">
        <f>IF(DOMAIN=COV!$T$72,IF(Dictionary!R1419="","",Dictionary!R1419),IF(DOMAIN=COV!$T$73,IF(Dictionary!T1419="","",Dictionary!T1419),IF(DOMAIN=COV!$T$74,IF(Dictionary!V1419="","",Dictionary!V1419),IF(Dictionary!R1419="","",Dictionary!R1419))))</f>
        <v>Organisation des Projekts implementieren, überwachen und anpassen</v>
      </c>
      <c r="I1419" s="615" t="s">
        <v>1811</v>
      </c>
      <c r="J1419" s="615" t="s">
        <v>1814</v>
      </c>
      <c r="L1419" s="616" t="s">
        <v>362</v>
      </c>
      <c r="N1419" s="638" t="s">
        <v>1597</v>
      </c>
      <c r="O1419" s="639"/>
      <c r="P1419" s="638" t="s">
        <v>2764</v>
      </c>
      <c r="R1419" s="616" t="s">
        <v>1479</v>
      </c>
      <c r="T1419" s="616" t="s">
        <v>1480</v>
      </c>
      <c r="V1419" s="616" t="s">
        <v>1481</v>
      </c>
      <c r="X1419">
        <f>IF(APPLICATION_LVL="",0,IF(OR(APPLICATION_LVL=COV!$V$68,APPLICATION_LVL=COV!$V$67),Dictionary!Z1419,IF(APPLICATION_LVL=COV!$V$66,Dictionary!AA1419,IF(APPLICATION_LVL=COV!$V$65,IF(DOMAIN=COV!$T$72,Dictionary!AC1419,IF(DOMAIN=COV!$T$73,Dictionary!AD1419,IF(DOMAIN=COV!$T$75,Dictionary!AE1419,2))),IF(APPLICATION_LVL=COV!$V$64,IF(DOMAIN=COV!$T$72,Dictionary!AG1419,IF(DOMAIN=COV!$T$73,Dictionary!AH1419,IF(DOMAIN=COV!$T$75,Dictionary!AI1419,3))),1)))))</f>
        <v>3</v>
      </c>
      <c r="Z1419" s="1779">
        <f t="shared" si="48"/>
        <v>1</v>
      </c>
      <c r="AA1419" s="1779">
        <f t="shared" si="48"/>
        <v>2</v>
      </c>
      <c r="AB1419" s="1779"/>
      <c r="AC1419" s="1779">
        <f>IF(GC_Flag="",AN1419,AU1419)</f>
        <v>3</v>
      </c>
      <c r="AD1419">
        <v>3</v>
      </c>
      <c r="AE1419">
        <v>3</v>
      </c>
      <c r="AG1419" s="1779">
        <f>IF(GC_Flag="",AP1419,AW1419)</f>
        <v>3</v>
      </c>
      <c r="AH1419">
        <v>3</v>
      </c>
      <c r="AI1419">
        <v>3</v>
      </c>
      <c r="AK1419">
        <v>1</v>
      </c>
      <c r="AL1419">
        <v>2</v>
      </c>
      <c r="AN1419">
        <v>3</v>
      </c>
      <c r="AP1419">
        <v>3</v>
      </c>
      <c r="AR1419">
        <v>2</v>
      </c>
      <c r="AS1419">
        <v>3</v>
      </c>
      <c r="AU1419">
        <v>6</v>
      </c>
      <c r="AW1419">
        <v>6</v>
      </c>
    </row>
    <row r="1421" spans="2:49">
      <c r="F1421" s="639"/>
    </row>
    <row r="1422" spans="2:49" ht="16">
      <c r="B1422" s="649" t="str">
        <f>IF(FORM_LANGUAGE=GER,Dictionary!G1422,Dictionary!E1422)</f>
        <v>Qualität</v>
      </c>
      <c r="C1422" s="650"/>
      <c r="D1422" s="650"/>
      <c r="E1422" s="649" t="str">
        <f>E1251</f>
        <v>Quality</v>
      </c>
      <c r="F1422" s="649"/>
      <c r="G1422" s="649" t="str">
        <f>G1251</f>
        <v>Qualität</v>
      </c>
      <c r="H1422" s="74"/>
      <c r="I1422" s="651" t="s">
        <v>361</v>
      </c>
      <c r="J1422" s="650" t="s">
        <v>1815</v>
      </c>
      <c r="K1422" s="650"/>
      <c r="L1422" s="649"/>
      <c r="M1422" s="650"/>
      <c r="N1422" s="649"/>
      <c r="O1422" s="650"/>
      <c r="P1422" s="649"/>
      <c r="Q1422" s="74"/>
      <c r="R1422" s="654"/>
      <c r="S1422" s="74"/>
      <c r="T1422" s="654"/>
      <c r="U1422" s="74"/>
      <c r="V1422" s="654"/>
      <c r="X1422">
        <f>IF(APPLICATION_LVL="",0,IF(OR(APPLICATION_LVL=COV!$V$68,APPLICATION_LVL=COV!$V$67),Dictionary!Z1422,IF(APPLICATION_LVL=COV!$V$66,Dictionary!AA1422,IF(APPLICATION_LVL=COV!$V$65,IF(DOMAIN=COV!$T$72,Dictionary!AC1422,IF(DOMAIN=COV!$T$73,Dictionary!AD1422,IF(DOMAIN=COV!$T$75,Dictionary!AE1422,2))),IF(APPLICATION_LVL=COV!$V$64,IF(DOMAIN=COV!$T$72,Dictionary!AG1422,IF(DOMAIN=COV!$T$73,Dictionary!AH1422,IF(DOMAIN=COV!$T$75,Dictionary!AI1422,3))),1)))))</f>
        <v>3</v>
      </c>
      <c r="Z1422" s="1779">
        <f t="shared" ref="Z1422:AA1427" si="49">IF(GC_Flag="",AK1422,AR1422)</f>
        <v>1</v>
      </c>
      <c r="AA1422" s="1779">
        <f t="shared" si="49"/>
        <v>2</v>
      </c>
      <c r="AB1422" s="1779"/>
      <c r="AC1422" s="1779">
        <f t="shared" ref="AC1422:AC1427" si="50">IF(GC_Flag="",AN1422,AU1422)</f>
        <v>3</v>
      </c>
      <c r="AD1422">
        <v>3</v>
      </c>
      <c r="AE1422">
        <v>3</v>
      </c>
      <c r="AG1422" s="1779">
        <f t="shared" ref="AG1422:AG1427" si="51">IF(GC_Flag="",AP1422,AW1422)</f>
        <v>3</v>
      </c>
      <c r="AH1422">
        <v>3</v>
      </c>
      <c r="AI1422">
        <v>3</v>
      </c>
      <c r="AK1422">
        <v>1</v>
      </c>
      <c r="AL1422">
        <v>2</v>
      </c>
      <c r="AN1422">
        <v>3</v>
      </c>
      <c r="AP1422">
        <v>3</v>
      </c>
      <c r="AR1422">
        <v>1</v>
      </c>
      <c r="AS1422">
        <v>3</v>
      </c>
      <c r="AU1422">
        <v>5</v>
      </c>
      <c r="AW1422">
        <v>5</v>
      </c>
    </row>
    <row r="1423" spans="2:49" ht="48">
      <c r="B1423" s="616" t="str">
        <f>IF(FORM_LANGUAGE=GER,Dictionary!G1423,Dictionary!E1423)</f>
        <v>Qualitätsmanagementplan für das Projekt entwickeln, die Implementierung überwachen und gegebenenfalls überarbeiten</v>
      </c>
      <c r="E1423" s="616" t="str">
        <f>IF(DOMAIN=COV!$T$72,IF(Dictionary!L1423="","",Dictionary!L1423),IF(DOMAIN=COV!$T$73,IF(Dictionary!N1423="","",Dictionary!N1423),IF(DOMAIN=COV!$T$74,IF(Dictionary!P1423="","",Dictionary!P1423),IF(Dictionary!L1423="","",Dictionary!L1423))))</f>
        <v>Develop, monitor the implementation of, and maintain a quality management plan for the project</v>
      </c>
      <c r="F1423" s="616"/>
      <c r="G1423" s="616" t="str">
        <f>IF(DOMAIN=COV!$T$72,IF(Dictionary!R1423="","",Dictionary!R1423),IF(DOMAIN=COV!$T$73,IF(Dictionary!T1423="","",Dictionary!T1423),IF(DOMAIN=COV!$T$74,IF(Dictionary!V1423="","",Dictionary!V1423),IF(Dictionary!R1423="","",Dictionary!R1423))))</f>
        <v>Qualitätsmanagementplan für das Projekt entwickeln, die Implementierung überwachen und gegebenenfalls überarbeiten</v>
      </c>
      <c r="I1423" s="615" t="s">
        <v>1816</v>
      </c>
      <c r="J1423" s="615" t="s">
        <v>1817</v>
      </c>
      <c r="L1423" s="616" t="s">
        <v>360</v>
      </c>
      <c r="N1423" s="638" t="s">
        <v>2723</v>
      </c>
      <c r="O1423" s="639"/>
      <c r="P1423" s="638" t="s">
        <v>2765</v>
      </c>
      <c r="R1423" s="616" t="s">
        <v>1496</v>
      </c>
      <c r="T1423" s="616" t="s">
        <v>1497</v>
      </c>
      <c r="V1423" s="616" t="s">
        <v>1498</v>
      </c>
      <c r="X1423">
        <f>IF(APPLICATION_LVL="",0,IF(OR(APPLICATION_LVL=COV!$V$68,APPLICATION_LVL=COV!$V$67),Dictionary!Z1423,IF(APPLICATION_LVL=COV!$V$66,Dictionary!AA1423,IF(APPLICATION_LVL=COV!$V$65,IF(DOMAIN=COV!$T$72,Dictionary!AC1423,IF(DOMAIN=COV!$T$73,Dictionary!AD1423,IF(DOMAIN=COV!$T$75,Dictionary!AE1423,2))),IF(APPLICATION_LVL=COV!$V$64,IF(DOMAIN=COV!$T$72,Dictionary!AG1423,IF(DOMAIN=COV!$T$73,Dictionary!AH1423,IF(DOMAIN=COV!$T$75,Dictionary!AI1423,3))),1)))))</f>
        <v>3</v>
      </c>
      <c r="Z1423" s="1779">
        <f t="shared" si="49"/>
        <v>1</v>
      </c>
      <c r="AA1423" s="1779">
        <f t="shared" si="49"/>
        <v>2</v>
      </c>
      <c r="AB1423" s="1779"/>
      <c r="AC1423" s="1779">
        <f t="shared" si="50"/>
        <v>3</v>
      </c>
      <c r="AD1423">
        <v>3</v>
      </c>
      <c r="AE1423">
        <v>3</v>
      </c>
      <c r="AG1423" s="1779">
        <f t="shared" si="51"/>
        <v>3</v>
      </c>
      <c r="AH1423">
        <v>3</v>
      </c>
      <c r="AI1423">
        <v>3</v>
      </c>
      <c r="AK1423">
        <v>1</v>
      </c>
      <c r="AL1423">
        <v>2</v>
      </c>
      <c r="AN1423">
        <v>3</v>
      </c>
      <c r="AP1423">
        <v>3</v>
      </c>
      <c r="AR1423">
        <v>1</v>
      </c>
      <c r="AS1423">
        <v>3</v>
      </c>
      <c r="AU1423">
        <v>5</v>
      </c>
      <c r="AW1423">
        <v>5</v>
      </c>
    </row>
    <row r="1424" spans="2:49" ht="48">
      <c r="B1424" s="616" t="str">
        <f>IF(FORM_LANGUAGE=GER,Dictionary!G1424,Dictionary!E1424)</f>
        <v>Projekt mit seinen Lieferobjekten überprüfen, um sicherzustellen, dass sie die Anforderungen des Qualitätsmanagementplans weiterhin erfüllen</v>
      </c>
      <c r="E1424" s="616" t="str">
        <f>IF(DOMAIN=COV!$T$72,IF(Dictionary!L1424="","",Dictionary!L1424),IF(DOMAIN=COV!$T$73,IF(Dictionary!N1424="","",Dictionary!N1424),IF(DOMAIN=COV!$T$74,IF(Dictionary!P1424="","",Dictionary!P1424),IF(Dictionary!L1424="","",Dictionary!L1424))))</f>
        <v>Review the project and its deliverables to ensure that they continue to meet the requirements of the quality management plan</v>
      </c>
      <c r="F1424" s="616"/>
      <c r="G1424" s="616" t="str">
        <f>IF(DOMAIN=COV!$T$72,IF(Dictionary!R1424="","",Dictionary!R1424),IF(DOMAIN=COV!$T$73,IF(Dictionary!T1424="","",Dictionary!T1424),IF(DOMAIN=COV!$T$74,IF(Dictionary!V1424="","",Dictionary!V1424),IF(Dictionary!R1424="","",Dictionary!R1424))))</f>
        <v>Projekt mit seinen Lieferobjekten überprüfen, um sicherzustellen, dass sie die Anforderungen des Qualitätsmanagementplans weiterhin erfüllen</v>
      </c>
      <c r="I1424" s="615" t="s">
        <v>1818</v>
      </c>
      <c r="J1424" s="615" t="s">
        <v>1821</v>
      </c>
      <c r="L1424" s="616" t="s">
        <v>359</v>
      </c>
      <c r="N1424" s="638" t="s">
        <v>2724</v>
      </c>
      <c r="O1424" s="639"/>
      <c r="P1424" s="638"/>
      <c r="R1424" s="616" t="s">
        <v>1499</v>
      </c>
      <c r="T1424" s="616" t="s">
        <v>1500</v>
      </c>
      <c r="X1424">
        <f>IF(APPLICATION_LVL="",0,IF(OR(APPLICATION_LVL=COV!$V$68,APPLICATION_LVL=COV!$V$67),Dictionary!Z1424,IF(APPLICATION_LVL=COV!$V$66,Dictionary!AA1424,IF(APPLICATION_LVL=COV!$V$65,IF(DOMAIN=COV!$T$72,Dictionary!AC1424,IF(DOMAIN=COV!$T$73,Dictionary!AD1424,IF(DOMAIN=COV!$T$75,Dictionary!AE1424,2))),IF(APPLICATION_LVL=COV!$V$64,IF(DOMAIN=COV!$T$72,Dictionary!AG1424,IF(DOMAIN=COV!$T$73,Dictionary!AH1424,IF(DOMAIN=COV!$T$75,Dictionary!AI1424,3))),1)))))</f>
        <v>3</v>
      </c>
      <c r="Z1424" s="1779">
        <f t="shared" si="49"/>
        <v>0</v>
      </c>
      <c r="AA1424" s="1779">
        <f t="shared" si="49"/>
        <v>2</v>
      </c>
      <c r="AB1424" s="1779"/>
      <c r="AC1424" s="1779">
        <f t="shared" si="50"/>
        <v>2</v>
      </c>
      <c r="AD1424">
        <v>2</v>
      </c>
      <c r="AG1424" s="1779">
        <f t="shared" si="51"/>
        <v>3</v>
      </c>
      <c r="AH1424">
        <v>3</v>
      </c>
      <c r="AK1424">
        <v>0</v>
      </c>
      <c r="AL1424">
        <v>2</v>
      </c>
      <c r="AN1424">
        <v>2</v>
      </c>
      <c r="AP1424">
        <v>3</v>
      </c>
      <c r="AR1424">
        <v>0</v>
      </c>
      <c r="AS1424">
        <v>3</v>
      </c>
      <c r="AU1424">
        <v>4</v>
      </c>
      <c r="AW1424">
        <v>5</v>
      </c>
    </row>
    <row r="1425" spans="2:49" ht="48">
      <c r="B1425" s="616" t="str">
        <f>IF(FORM_LANGUAGE=GER,Dictionary!G1425,Dictionary!E1425)</f>
        <v>Erreichung der Qualitätsziele des Projekts verifizieren und erforderliche korrektive und/oder präventive Maßnahmen empfehlen</v>
      </c>
      <c r="E1425" s="616" t="str">
        <f>IF(DOMAIN=COV!$T$72,IF(Dictionary!L1425="","",Dictionary!L1425),IF(DOMAIN=COV!$T$73,IF(Dictionary!N1425="","",Dictionary!N1425),IF(DOMAIN=COV!$T$74,IF(Dictionary!P1425="","",Dictionary!P1425),IF(Dictionary!L1425="","",Dictionary!L1425))))</f>
        <v>Verify the achievement of project quality objectives and recommend any necessary corrective and/or preventive actions</v>
      </c>
      <c r="F1425" s="616"/>
      <c r="G1425" s="616" t="str">
        <f>IF(DOMAIN=COV!$T$72,IF(Dictionary!R1425="","",Dictionary!R1425),IF(DOMAIN=COV!$T$73,IF(Dictionary!T1425="","",Dictionary!T1425),IF(DOMAIN=COV!$T$74,IF(Dictionary!V1425="","",Dictionary!V1425),IF(Dictionary!R1425="","",Dictionary!R1425))))</f>
        <v>Erreichung der Qualitätsziele des Projekts verifizieren und erforderliche korrektive und/oder präventive Maßnahmen empfehlen</v>
      </c>
      <c r="I1425" s="615" t="s">
        <v>1819</v>
      </c>
      <c r="J1425" s="615" t="s">
        <v>1822</v>
      </c>
      <c r="L1425" s="616" t="s">
        <v>358</v>
      </c>
      <c r="R1425" s="616" t="s">
        <v>1501</v>
      </c>
      <c r="X1425">
        <f>IF(APPLICATION_LVL="",0,IF(OR(APPLICATION_LVL=COV!$V$68,APPLICATION_LVL=COV!$V$67),Dictionary!Z1425,IF(APPLICATION_LVL=COV!$V$66,Dictionary!AA1425,IF(APPLICATION_LVL=COV!$V$65,IF(DOMAIN=COV!$T$72,Dictionary!AC1425,IF(DOMAIN=COV!$T$73,Dictionary!AD1425,IF(DOMAIN=COV!$T$75,Dictionary!AE1425,2))),IF(APPLICATION_LVL=COV!$V$64,IF(DOMAIN=COV!$T$72,Dictionary!AG1425,IF(DOMAIN=COV!$T$73,Dictionary!AH1425,IF(DOMAIN=COV!$T$75,Dictionary!AI1425,3))),1)))))</f>
        <v>3</v>
      </c>
      <c r="Z1425" s="1779">
        <f t="shared" si="49"/>
        <v>1</v>
      </c>
      <c r="AA1425" s="1779">
        <f t="shared" si="49"/>
        <v>2</v>
      </c>
      <c r="AB1425" s="1779"/>
      <c r="AC1425" s="1779">
        <f t="shared" si="50"/>
        <v>3</v>
      </c>
      <c r="AG1425" s="1779">
        <f t="shared" si="51"/>
        <v>3</v>
      </c>
      <c r="AK1425">
        <v>1</v>
      </c>
      <c r="AL1425">
        <v>2</v>
      </c>
      <c r="AN1425">
        <v>3</v>
      </c>
      <c r="AP1425">
        <v>3</v>
      </c>
      <c r="AR1425">
        <v>1</v>
      </c>
      <c r="AS1425">
        <v>3</v>
      </c>
      <c r="AU1425">
        <v>5</v>
      </c>
      <c r="AW1425">
        <v>5</v>
      </c>
    </row>
    <row r="1426" spans="2:49" ht="16">
      <c r="B1426" s="616" t="str">
        <f>IF(FORM_LANGUAGE=GER,Dictionary!G1426,Dictionary!E1426)</f>
        <v>Validierung von Projektergebnissen planen und organisieren</v>
      </c>
      <c r="E1426" s="616" t="str">
        <f>IF(DOMAIN=COV!$T$72,IF(Dictionary!L1426="","",Dictionary!L1426),IF(DOMAIN=COV!$T$73,IF(Dictionary!N1426="","",Dictionary!N1426),IF(DOMAIN=COV!$T$74,IF(Dictionary!P1426="","",Dictionary!P1426),IF(Dictionary!L1426="","",Dictionary!L1426))))</f>
        <v>Plan and organize the validation of project outcomes</v>
      </c>
      <c r="F1426" s="616"/>
      <c r="G1426" s="616" t="str">
        <f>IF(DOMAIN=COV!$T$72,IF(Dictionary!R1426="","",Dictionary!R1426),IF(DOMAIN=COV!$T$73,IF(Dictionary!T1426="","",Dictionary!T1426),IF(DOMAIN=COV!$T$74,IF(Dictionary!V1426="","",Dictionary!V1426),IF(Dictionary!R1426="","",Dictionary!R1426))))</f>
        <v>Validierung von Projektergebnissen planen und organisieren</v>
      </c>
      <c r="I1426" s="615" t="s">
        <v>1820</v>
      </c>
      <c r="J1426" s="615" t="s">
        <v>1823</v>
      </c>
      <c r="L1426" s="616" t="s">
        <v>357</v>
      </c>
      <c r="R1426" s="616" t="s">
        <v>1502</v>
      </c>
      <c r="X1426">
        <f>IF(APPLICATION_LVL="",0,IF(OR(APPLICATION_LVL=COV!$V$68,APPLICATION_LVL=COV!$V$67),Dictionary!Z1426,IF(APPLICATION_LVL=COV!$V$66,Dictionary!AA1426,IF(APPLICATION_LVL=COV!$V$65,IF(DOMAIN=COV!$T$72,Dictionary!AC1426,IF(DOMAIN=COV!$T$73,Dictionary!AD1426,IF(DOMAIN=COV!$T$75,Dictionary!AE1426,2))),IF(APPLICATION_LVL=COV!$V$64,IF(DOMAIN=COV!$T$72,Dictionary!AG1426,IF(DOMAIN=COV!$T$73,Dictionary!AH1426,IF(DOMAIN=COV!$T$75,Dictionary!AI1426,3))),1)))))</f>
        <v>3</v>
      </c>
      <c r="Z1426" s="1779">
        <f t="shared" si="49"/>
        <v>1</v>
      </c>
      <c r="AA1426" s="1779">
        <f t="shared" si="49"/>
        <v>2</v>
      </c>
      <c r="AB1426" s="1779"/>
      <c r="AC1426" s="1779">
        <f t="shared" si="50"/>
        <v>3</v>
      </c>
      <c r="AG1426" s="1779">
        <f t="shared" si="51"/>
        <v>3</v>
      </c>
      <c r="AK1426">
        <v>1</v>
      </c>
      <c r="AL1426">
        <v>2</v>
      </c>
      <c r="AN1426">
        <v>3</v>
      </c>
      <c r="AP1426">
        <v>3</v>
      </c>
      <c r="AR1426">
        <v>1</v>
      </c>
      <c r="AS1426">
        <v>3</v>
      </c>
      <c r="AU1426">
        <v>5</v>
      </c>
      <c r="AW1426">
        <v>5</v>
      </c>
    </row>
    <row r="1427" spans="2:49" ht="16">
      <c r="B1427" s="616" t="str">
        <f>IF(FORM_LANGUAGE=GER,Dictionary!G1427,Dictionary!E1427)</f>
        <v>Qualität im Verlauf des Projekts sicherstellen</v>
      </c>
      <c r="E1427" s="616" t="str">
        <f>IF(DOMAIN=COV!$T$72,IF(Dictionary!L1427="","",Dictionary!L1427),IF(DOMAIN=COV!$T$73,IF(Dictionary!N1427="","",Dictionary!N1427),IF(DOMAIN=COV!$T$74,IF(Dictionary!P1427="","",Dictionary!P1427),IF(Dictionary!L1427="","",Dictionary!L1427))))</f>
        <v>Ensure quality throughout the project</v>
      </c>
      <c r="F1427" s="616"/>
      <c r="G1427" s="616" t="str">
        <f>IF(DOMAIN=COV!$T$72,IF(Dictionary!R1427="","",Dictionary!R1427),IF(DOMAIN=COV!$T$73,IF(Dictionary!T1427="","",Dictionary!T1427),IF(DOMAIN=COV!$T$74,IF(Dictionary!V1427="","",Dictionary!V1427),IF(Dictionary!R1427="","",Dictionary!R1427))))</f>
        <v>Qualität im Verlauf des Projekts sicherstellen</v>
      </c>
      <c r="I1427" s="615" t="s">
        <v>1825</v>
      </c>
      <c r="J1427" s="615" t="s">
        <v>1824</v>
      </c>
      <c r="L1427" s="616" t="s">
        <v>356</v>
      </c>
      <c r="R1427" s="616" t="s">
        <v>1503</v>
      </c>
      <c r="X1427">
        <f>IF(APPLICATION_LVL="",0,IF(OR(APPLICATION_LVL=COV!$V$68,APPLICATION_LVL=COV!$V$67),Dictionary!Z1427,IF(APPLICATION_LVL=COV!$V$66,Dictionary!AA1427,IF(APPLICATION_LVL=COV!$V$65,IF(DOMAIN=COV!$T$72,Dictionary!AC1427,IF(DOMAIN=COV!$T$73,Dictionary!AD1427,IF(DOMAIN=COV!$T$75,Dictionary!AE1427,2))),IF(APPLICATION_LVL=COV!$V$64,IF(DOMAIN=COV!$T$72,Dictionary!AG1427,IF(DOMAIN=COV!$T$73,Dictionary!AH1427,IF(DOMAIN=COV!$T$75,Dictionary!AI1427,3))),1)))))</f>
        <v>2</v>
      </c>
      <c r="Z1427" s="1779">
        <f t="shared" si="49"/>
        <v>0</v>
      </c>
      <c r="AA1427" s="1779">
        <f t="shared" si="49"/>
        <v>1</v>
      </c>
      <c r="AB1427" s="1779"/>
      <c r="AC1427" s="1779">
        <f t="shared" si="50"/>
        <v>2</v>
      </c>
      <c r="AG1427" s="1779">
        <f t="shared" si="51"/>
        <v>2</v>
      </c>
      <c r="AK1427">
        <v>0</v>
      </c>
      <c r="AL1427">
        <v>1</v>
      </c>
      <c r="AN1427">
        <v>2</v>
      </c>
      <c r="AP1427">
        <v>2</v>
      </c>
      <c r="AR1427">
        <v>0</v>
      </c>
      <c r="AS1427">
        <v>2</v>
      </c>
      <c r="AU1427">
        <v>3</v>
      </c>
      <c r="AW1427">
        <v>3</v>
      </c>
    </row>
    <row r="1430" spans="2:49" ht="16">
      <c r="B1430" s="649" t="str">
        <f>IF(FORM_LANGUAGE=GER,Dictionary!G1430,Dictionary!E1430)</f>
        <v>Kosten &amp; Finanzierung</v>
      </c>
      <c r="C1430" s="650"/>
      <c r="D1430" s="650"/>
      <c r="E1430" s="649" t="str">
        <f>E1252</f>
        <v>Finance</v>
      </c>
      <c r="F1430" s="649"/>
      <c r="G1430" s="649" t="str">
        <f>G1252</f>
        <v>Kosten &amp; Finanzierung</v>
      </c>
      <c r="H1430" s="74"/>
      <c r="I1430" s="651" t="s">
        <v>355</v>
      </c>
      <c r="J1430" s="650" t="s">
        <v>1826</v>
      </c>
      <c r="K1430" s="650"/>
      <c r="L1430" s="649"/>
      <c r="M1430" s="650"/>
      <c r="N1430" s="649"/>
      <c r="O1430" s="650"/>
      <c r="P1430" s="649"/>
      <c r="Q1430" s="74"/>
      <c r="R1430" s="654"/>
      <c r="S1430" s="74"/>
      <c r="T1430" s="654"/>
      <c r="U1430" s="74"/>
      <c r="V1430" s="654"/>
      <c r="X1430">
        <f>IF(APPLICATION_LVL="",0,IF(OR(APPLICATION_LVL=COV!$V$68,APPLICATION_LVL=COV!$V$67),Dictionary!Z1430,IF(APPLICATION_LVL=COV!$V$66,Dictionary!AA1430,IF(APPLICATION_LVL=COV!$V$65,IF(DOMAIN=COV!$T$72,Dictionary!AC1430,IF(DOMAIN=COV!$T$73,Dictionary!AD1430,IF(DOMAIN=COV!$T$75,Dictionary!AE1430,2))),IF(APPLICATION_LVL=COV!$V$64,IF(DOMAIN=COV!$T$72,Dictionary!AG1430,IF(DOMAIN=COV!$T$73,Dictionary!AH1430,IF(DOMAIN=COV!$T$75,Dictionary!AI1430,3))),1)))))</f>
        <v>3</v>
      </c>
      <c r="Z1430" s="1779">
        <f t="shared" ref="Z1430:AA1435" si="52">IF(GC_Flag="",AK1430,AR1430)</f>
        <v>2</v>
      </c>
      <c r="AA1430" s="1779">
        <f t="shared" si="52"/>
        <v>2</v>
      </c>
      <c r="AB1430" s="1779"/>
      <c r="AC1430" s="1779">
        <f t="shared" ref="AC1430:AC1435" si="53">IF(GC_Flag="",AN1430,AU1430)</f>
        <v>3</v>
      </c>
      <c r="AD1430">
        <v>2</v>
      </c>
      <c r="AE1430">
        <v>2</v>
      </c>
      <c r="AG1430" s="1779">
        <f t="shared" ref="AG1430:AG1435" si="54">IF(GC_Flag="",AP1430,AW1430)</f>
        <v>3</v>
      </c>
      <c r="AH1430">
        <v>3</v>
      </c>
      <c r="AI1430">
        <v>3</v>
      </c>
      <c r="AK1430">
        <v>2</v>
      </c>
      <c r="AL1430">
        <v>2</v>
      </c>
      <c r="AN1430">
        <v>3</v>
      </c>
      <c r="AP1430">
        <v>3</v>
      </c>
      <c r="AR1430">
        <v>2</v>
      </c>
      <c r="AS1430">
        <v>3</v>
      </c>
      <c r="AU1430">
        <v>5</v>
      </c>
      <c r="AW1430">
        <v>6</v>
      </c>
    </row>
    <row r="1431" spans="2:49" ht="14.5" customHeight="1">
      <c r="B1431" s="616" t="str">
        <f>IF(FORM_LANGUAGE=GER,Dictionary!G1431,Dictionary!E1431)</f>
        <v>Projektkosten abschätzen</v>
      </c>
      <c r="E1431" s="616" t="str">
        <f>IF(DOMAIN=COV!$T$72,IF(Dictionary!L1431="","",Dictionary!L1431),IF(DOMAIN=COV!$T$73,IF(Dictionary!N1431="","",Dictionary!N1431),IF(DOMAIN=COV!$T$74,IF(Dictionary!P1431="","",Dictionary!P1431),IF(Dictionary!L1431="","",Dictionary!L1431))))</f>
        <v>Estimate project costs</v>
      </c>
      <c r="F1431" s="616"/>
      <c r="G1431" s="616" t="str">
        <f>IF(DOMAIN=COV!$T$72,IF(Dictionary!R1431="","",Dictionary!R1431),IF(DOMAIN=COV!$T$73,IF(Dictionary!T1431="","",Dictionary!T1431),IF(DOMAIN=COV!$T$74,IF(Dictionary!V1431="","",Dictionary!V1431),IF(Dictionary!R1431="","",Dictionary!R1431))))</f>
        <v>Projektkosten abschätzen</v>
      </c>
      <c r="I1431" s="615" t="s">
        <v>1827</v>
      </c>
      <c r="J1431" s="615" t="s">
        <v>1828</v>
      </c>
      <c r="L1431" s="616" t="s">
        <v>354</v>
      </c>
      <c r="N1431" s="638" t="s">
        <v>2725</v>
      </c>
      <c r="O1431" s="639"/>
      <c r="P1431" s="638" t="s">
        <v>2766</v>
      </c>
      <c r="R1431" s="645" t="s">
        <v>1504</v>
      </c>
      <c r="T1431" s="645" t="s">
        <v>1505</v>
      </c>
      <c r="V1431" s="645" t="s">
        <v>1506</v>
      </c>
      <c r="X1431">
        <f>IF(APPLICATION_LVL="",0,IF(OR(APPLICATION_LVL=COV!$V$68,APPLICATION_LVL=COV!$V$67),Dictionary!Z1431,IF(APPLICATION_LVL=COV!$V$66,Dictionary!AA1431,IF(APPLICATION_LVL=COV!$V$65,IF(DOMAIN=COV!$T$72,Dictionary!AC1431,IF(DOMAIN=COV!$T$73,Dictionary!AD1431,IF(DOMAIN=COV!$T$75,Dictionary!AE1431,2))),IF(APPLICATION_LVL=COV!$V$64,IF(DOMAIN=COV!$T$72,Dictionary!AG1431,IF(DOMAIN=COV!$T$73,Dictionary!AH1431,IF(DOMAIN=COV!$T$75,Dictionary!AI1431,3))),1)))))</f>
        <v>3</v>
      </c>
      <c r="Z1431" s="1779">
        <f t="shared" si="52"/>
        <v>2</v>
      </c>
      <c r="AA1431" s="1779">
        <f t="shared" si="52"/>
        <v>2</v>
      </c>
      <c r="AB1431" s="1779"/>
      <c r="AC1431" s="1779">
        <f t="shared" si="53"/>
        <v>3</v>
      </c>
      <c r="AD1431">
        <v>2</v>
      </c>
      <c r="AE1431">
        <v>2</v>
      </c>
      <c r="AG1431" s="1779">
        <f t="shared" si="54"/>
        <v>3</v>
      </c>
      <c r="AH1431">
        <v>3</v>
      </c>
      <c r="AI1431">
        <v>3</v>
      </c>
      <c r="AK1431">
        <v>2</v>
      </c>
      <c r="AL1431">
        <v>2</v>
      </c>
      <c r="AN1431">
        <v>3</v>
      </c>
      <c r="AP1431">
        <v>3</v>
      </c>
      <c r="AR1431">
        <v>2</v>
      </c>
      <c r="AS1431">
        <v>3</v>
      </c>
      <c r="AU1431">
        <v>5</v>
      </c>
      <c r="AW1431">
        <v>6</v>
      </c>
    </row>
    <row r="1432" spans="2:49" ht="48">
      <c r="B1432" s="616" t="str">
        <f>IF(FORM_LANGUAGE=GER,Dictionary!G1432,Dictionary!E1432)</f>
        <v>Projektbudget erstellen</v>
      </c>
      <c r="E1432" s="616" t="str">
        <f>IF(DOMAIN=COV!$T$72,IF(Dictionary!L1432="","",Dictionary!L1432),IF(DOMAIN=COV!$T$73,IF(Dictionary!N1432="","",Dictionary!N1432),IF(DOMAIN=COV!$T$74,IF(Dictionary!P1432="","",Dictionary!P1432),IF(Dictionary!L1432="","",Dictionary!L1432))))</f>
        <v>Establish the project budget</v>
      </c>
      <c r="F1432" s="616"/>
      <c r="G1432" s="616" t="str">
        <f>IF(DOMAIN=COV!$T$72,IF(Dictionary!R1432="","",Dictionary!R1432),IF(DOMAIN=COV!$T$73,IF(Dictionary!T1432="","",Dictionary!T1432),IF(DOMAIN=COV!$T$74,IF(Dictionary!V1432="","",Dictionary!V1432),IF(Dictionary!R1432="","",Dictionary!R1432))))</f>
        <v>Projektbudget erstellen</v>
      </c>
      <c r="I1432" s="615" t="s">
        <v>1829</v>
      </c>
      <c r="J1432" s="615" t="s">
        <v>1833</v>
      </c>
      <c r="L1432" s="616" t="s">
        <v>353</v>
      </c>
      <c r="N1432" s="638" t="s">
        <v>2726</v>
      </c>
      <c r="O1432" s="639"/>
      <c r="P1432" s="638" t="s">
        <v>2767</v>
      </c>
      <c r="R1432" s="645" t="s">
        <v>1507</v>
      </c>
      <c r="T1432" s="645" t="s">
        <v>1508</v>
      </c>
      <c r="V1432" s="645" t="s">
        <v>1509</v>
      </c>
      <c r="X1432">
        <f>IF(APPLICATION_LVL="",0,IF(OR(APPLICATION_LVL=COV!$V$68,APPLICATION_LVL=COV!$V$67),Dictionary!Z1432,IF(APPLICATION_LVL=COV!$V$66,Dictionary!AA1432,IF(APPLICATION_LVL=COV!$V$65,IF(DOMAIN=COV!$T$72,Dictionary!AC1432,IF(DOMAIN=COV!$T$73,Dictionary!AD1432,IF(DOMAIN=COV!$T$75,Dictionary!AE1432,2))),IF(APPLICATION_LVL=COV!$V$64,IF(DOMAIN=COV!$T$72,Dictionary!AG1432,IF(DOMAIN=COV!$T$73,Dictionary!AH1432,IF(DOMAIN=COV!$T$75,Dictionary!AI1432,3))),1)))))</f>
        <v>3</v>
      </c>
      <c r="Z1432" s="1779">
        <f t="shared" si="52"/>
        <v>2</v>
      </c>
      <c r="AA1432" s="1779">
        <f t="shared" si="52"/>
        <v>2</v>
      </c>
      <c r="AB1432" s="1779"/>
      <c r="AC1432" s="1779">
        <f t="shared" si="53"/>
        <v>3</v>
      </c>
      <c r="AD1432">
        <v>2</v>
      </c>
      <c r="AE1432">
        <v>2</v>
      </c>
      <c r="AG1432" s="1779">
        <f t="shared" si="54"/>
        <v>3</v>
      </c>
      <c r="AH1432">
        <v>3</v>
      </c>
      <c r="AI1432">
        <v>3</v>
      </c>
      <c r="AK1432">
        <v>2</v>
      </c>
      <c r="AL1432">
        <v>2</v>
      </c>
      <c r="AN1432">
        <v>3</v>
      </c>
      <c r="AP1432">
        <v>3</v>
      </c>
      <c r="AR1432">
        <v>0</v>
      </c>
      <c r="AS1432">
        <v>2</v>
      </c>
      <c r="AU1432">
        <v>5</v>
      </c>
      <c r="AW1432">
        <v>6</v>
      </c>
    </row>
    <row r="1433" spans="2:49" ht="32">
      <c r="B1433" s="616" t="str">
        <f>IF(FORM_LANGUAGE=GER,Dictionary!G1433,Dictionary!E1433)</f>
        <v>Projektfinanzierung sichern</v>
      </c>
      <c r="E1433" s="616" t="str">
        <f>IF(DOMAIN=COV!$T$72,IF(Dictionary!L1433="","",Dictionary!L1433),IF(DOMAIN=COV!$T$73,IF(Dictionary!N1433="","",Dictionary!N1433),IF(DOMAIN=COV!$T$74,IF(Dictionary!P1433="","",Dictionary!P1433),IF(Dictionary!L1433="","",Dictionary!L1433))))</f>
        <v>Secure project funding</v>
      </c>
      <c r="F1433" s="616"/>
      <c r="G1433" s="616" t="str">
        <f>IF(DOMAIN=COV!$T$72,IF(Dictionary!R1433="","",Dictionary!R1433),IF(DOMAIN=COV!$T$73,IF(Dictionary!T1433="","",Dictionary!T1433),IF(DOMAIN=COV!$T$74,IF(Dictionary!V1433="","",Dictionary!V1433),IF(Dictionary!R1433="","",Dictionary!R1433))))</f>
        <v>Projektfinanzierung sichern</v>
      </c>
      <c r="I1433" s="615" t="s">
        <v>1830</v>
      </c>
      <c r="J1433" s="615" t="s">
        <v>1834</v>
      </c>
      <c r="L1433" s="616" t="s">
        <v>352</v>
      </c>
      <c r="N1433" s="638" t="s">
        <v>2727</v>
      </c>
      <c r="O1433" s="639"/>
      <c r="P1433" s="638"/>
      <c r="R1433" s="645" t="s">
        <v>1510</v>
      </c>
      <c r="T1433" s="645" t="s">
        <v>1511</v>
      </c>
      <c r="X1433">
        <f>IF(APPLICATION_LVL="",0,IF(OR(APPLICATION_LVL=COV!$V$68,APPLICATION_LVL=COV!$V$67),Dictionary!Z1433,IF(APPLICATION_LVL=COV!$V$66,Dictionary!AA1433,IF(APPLICATION_LVL=COV!$V$65,IF(DOMAIN=COV!$T$72,Dictionary!AC1433,IF(DOMAIN=COV!$T$73,Dictionary!AD1433,IF(DOMAIN=COV!$T$75,Dictionary!AE1433,2))),IF(APPLICATION_LVL=COV!$V$64,IF(DOMAIN=COV!$T$72,Dictionary!AG1433,IF(DOMAIN=COV!$T$73,Dictionary!AH1433,IF(DOMAIN=COV!$T$75,Dictionary!AI1433,3))),1)))))</f>
        <v>3</v>
      </c>
      <c r="Z1433" s="1779">
        <f t="shared" si="52"/>
        <v>0</v>
      </c>
      <c r="AA1433" s="1779">
        <f t="shared" si="52"/>
        <v>1</v>
      </c>
      <c r="AB1433" s="1779"/>
      <c r="AC1433" s="1779">
        <f t="shared" si="53"/>
        <v>2</v>
      </c>
      <c r="AD1433">
        <v>2</v>
      </c>
      <c r="AG1433" s="1779">
        <f t="shared" si="54"/>
        <v>3</v>
      </c>
      <c r="AH1433">
        <v>2</v>
      </c>
      <c r="AK1433">
        <v>0</v>
      </c>
      <c r="AL1433">
        <v>1</v>
      </c>
      <c r="AN1433">
        <v>2</v>
      </c>
      <c r="AP1433">
        <v>3</v>
      </c>
      <c r="AR1433">
        <v>0</v>
      </c>
      <c r="AS1433">
        <v>1</v>
      </c>
      <c r="AU1433">
        <v>3</v>
      </c>
      <c r="AW1433">
        <v>4</v>
      </c>
    </row>
    <row r="1434" spans="2:49" ht="48">
      <c r="B1434" s="616" t="str">
        <f>IF(FORM_LANGUAGE=GER,Dictionary!G1434,Dictionary!E1434)</f>
        <v>Finanzmanagement- und Berichtssystem für das Projekt entwickeln, einrichten und aufrechterhalten</v>
      </c>
      <c r="E1434" s="616" t="str">
        <f>IF(DOMAIN=COV!$T$72,IF(Dictionary!L1434="","",Dictionary!L1434),IF(DOMAIN=COV!$T$73,IF(Dictionary!N1434="","",Dictionary!N1434),IF(DOMAIN=COV!$T$74,IF(Dictionary!P1434="","",Dictionary!P1434),IF(Dictionary!L1434="","",Dictionary!L1434))))</f>
        <v>Develop, establish, and maintain a financial management and reporting system for the project</v>
      </c>
      <c r="F1434" s="616"/>
      <c r="G1434" s="616" t="str">
        <f>IF(DOMAIN=COV!$T$72,IF(Dictionary!R1434="","",Dictionary!R1434),IF(DOMAIN=COV!$T$73,IF(Dictionary!T1434="","",Dictionary!T1434),IF(DOMAIN=COV!$T$74,IF(Dictionary!V1434="","",Dictionary!V1434),IF(Dictionary!R1434="","",Dictionary!R1434))))</f>
        <v>Finanzmanagement- und Berichtssystem für das Projekt entwickeln, einrichten und aufrechterhalten</v>
      </c>
      <c r="I1434" s="615" t="s">
        <v>1831</v>
      </c>
      <c r="J1434" s="615" t="s">
        <v>1835</v>
      </c>
      <c r="L1434" s="616" t="s">
        <v>351</v>
      </c>
      <c r="N1434" s="638" t="s">
        <v>2728</v>
      </c>
      <c r="O1434" s="639"/>
      <c r="P1434" s="638"/>
      <c r="R1434" s="645" t="s">
        <v>1512</v>
      </c>
      <c r="T1434" s="645" t="s">
        <v>1513</v>
      </c>
      <c r="X1434">
        <f>IF(APPLICATION_LVL="",0,IF(OR(APPLICATION_LVL=COV!$V$68,APPLICATION_LVL=COV!$V$67),Dictionary!Z1434,IF(APPLICATION_LVL=COV!$V$66,Dictionary!AA1434,IF(APPLICATION_LVL=COV!$V$65,IF(DOMAIN=COV!$T$72,Dictionary!AC1434,IF(DOMAIN=COV!$T$73,Dictionary!AD1434,IF(DOMAIN=COV!$T$75,Dictionary!AE1434,2))),IF(APPLICATION_LVL=COV!$V$64,IF(DOMAIN=COV!$T$72,Dictionary!AG1434,IF(DOMAIN=COV!$T$73,Dictionary!AH1434,IF(DOMAIN=COV!$T$75,Dictionary!AI1434,3))),1)))))</f>
        <v>3</v>
      </c>
      <c r="Z1434" s="1779">
        <f t="shared" si="52"/>
        <v>0</v>
      </c>
      <c r="AA1434" s="1779">
        <f t="shared" si="52"/>
        <v>2</v>
      </c>
      <c r="AB1434" s="1779"/>
      <c r="AC1434" s="1779">
        <f t="shared" si="53"/>
        <v>2</v>
      </c>
      <c r="AD1434">
        <v>2</v>
      </c>
      <c r="AG1434" s="1779">
        <f t="shared" si="54"/>
        <v>3</v>
      </c>
      <c r="AH1434">
        <v>3</v>
      </c>
      <c r="AK1434">
        <v>0</v>
      </c>
      <c r="AL1434">
        <v>2</v>
      </c>
      <c r="AN1434">
        <v>2</v>
      </c>
      <c r="AP1434">
        <v>3</v>
      </c>
      <c r="AR1434">
        <v>1</v>
      </c>
      <c r="AS1434">
        <v>3</v>
      </c>
      <c r="AU1434">
        <v>4</v>
      </c>
      <c r="AW1434">
        <v>5</v>
      </c>
    </row>
    <row r="1435" spans="2:49" ht="32">
      <c r="B1435" s="616" t="str">
        <f>IF(FORM_LANGUAGE=GER,Dictionary!G1435,Dictionary!E1435)</f>
        <v>Finanzen überwachen, um Abweichungen vom Projektplan zu identifizieren und zu korrigieren</v>
      </c>
      <c r="E1435" s="616" t="str">
        <f>IF(DOMAIN=COV!$T$72,IF(Dictionary!L1435="","",Dictionary!L1435),IF(DOMAIN=COV!$T$73,IF(Dictionary!N1435="","",Dictionary!N1435),IF(DOMAIN=COV!$T$74,IF(Dictionary!P1435="","",Dictionary!P1435),IF(Dictionary!L1435="","",Dictionary!L1435))))</f>
        <v>Monitor project financials in order to identify and correct deviations from the project plan</v>
      </c>
      <c r="F1435" s="616"/>
      <c r="G1435" s="616" t="str">
        <f>IF(DOMAIN=COV!$T$72,IF(Dictionary!R1435="","",Dictionary!R1435),IF(DOMAIN=COV!$T$73,IF(Dictionary!T1435="","",Dictionary!T1435),IF(DOMAIN=COV!$T$74,IF(Dictionary!V1435="","",Dictionary!V1435),IF(Dictionary!R1435="","",Dictionary!R1435))))</f>
        <v>Finanzen überwachen, um Abweichungen vom Projektplan zu identifizieren und zu korrigieren</v>
      </c>
      <c r="I1435" s="615" t="s">
        <v>1832</v>
      </c>
      <c r="J1435" s="615" t="s">
        <v>1836</v>
      </c>
      <c r="L1435" s="616" t="s">
        <v>350</v>
      </c>
      <c r="N1435" s="638" t="s">
        <v>2729</v>
      </c>
      <c r="O1435" s="639"/>
      <c r="P1435" s="638"/>
      <c r="R1435" s="645" t="s">
        <v>1514</v>
      </c>
      <c r="T1435" s="645" t="s">
        <v>1515</v>
      </c>
      <c r="X1435">
        <f>IF(APPLICATION_LVL="",0,IF(OR(APPLICATION_LVL=COV!$V$68,APPLICATION_LVL=COV!$V$67),Dictionary!Z1435,IF(APPLICATION_LVL=COV!$V$66,Dictionary!AA1435,IF(APPLICATION_LVL=COV!$V$65,IF(DOMAIN=COV!$T$72,Dictionary!AC1435,IF(DOMAIN=COV!$T$73,Dictionary!AD1435,IF(DOMAIN=COV!$T$75,Dictionary!AE1435,2))),IF(APPLICATION_LVL=COV!$V$64,IF(DOMAIN=COV!$T$72,Dictionary!AG1435,IF(DOMAIN=COV!$T$73,Dictionary!AH1435,IF(DOMAIN=COV!$T$75,Dictionary!AI1435,3))),1)))))</f>
        <v>3</v>
      </c>
      <c r="Z1435" s="1779">
        <f t="shared" si="52"/>
        <v>0</v>
      </c>
      <c r="AA1435" s="1779">
        <f t="shared" si="52"/>
        <v>2</v>
      </c>
      <c r="AB1435" s="1779"/>
      <c r="AC1435" s="1779">
        <f t="shared" si="53"/>
        <v>2</v>
      </c>
      <c r="AD1435">
        <v>2</v>
      </c>
      <c r="AG1435" s="1779">
        <f t="shared" si="54"/>
        <v>3</v>
      </c>
      <c r="AH1435">
        <v>3</v>
      </c>
      <c r="AK1435">
        <v>0</v>
      </c>
      <c r="AL1435">
        <v>2</v>
      </c>
      <c r="AN1435">
        <v>2</v>
      </c>
      <c r="AP1435">
        <v>3</v>
      </c>
      <c r="AR1435">
        <v>0</v>
      </c>
      <c r="AS1435">
        <v>3</v>
      </c>
      <c r="AU1435">
        <v>4</v>
      </c>
      <c r="AW1435">
        <v>5</v>
      </c>
    </row>
    <row r="1436" spans="2:49">
      <c r="N1436" s="638"/>
      <c r="O1436" s="639"/>
      <c r="P1436" s="638"/>
    </row>
    <row r="1438" spans="2:49" ht="29" customHeight="1">
      <c r="B1438" s="649" t="str">
        <f>IF(FORM_LANGUAGE=GER,Dictionary!G1438,Dictionary!E1438)</f>
        <v>Ressourcen</v>
      </c>
      <c r="C1438" s="650"/>
      <c r="D1438" s="650"/>
      <c r="E1438" s="649" t="str">
        <f>E1253</f>
        <v>Resources</v>
      </c>
      <c r="F1438" s="649"/>
      <c r="G1438" s="649" t="str">
        <f>G1253</f>
        <v>Ressourcen</v>
      </c>
      <c r="H1438" s="74"/>
      <c r="I1438" s="651" t="s">
        <v>349</v>
      </c>
      <c r="J1438" s="650" t="s">
        <v>1837</v>
      </c>
      <c r="K1438" s="650"/>
      <c r="L1438" s="649"/>
      <c r="M1438" s="650"/>
      <c r="N1438" s="649"/>
      <c r="O1438" s="650"/>
      <c r="P1438" s="649"/>
      <c r="Q1438" s="74"/>
      <c r="R1438" s="654"/>
      <c r="S1438" s="74"/>
      <c r="T1438" s="654"/>
      <c r="U1438" s="74"/>
      <c r="V1438" s="654"/>
      <c r="X1438">
        <f>IF(APPLICATION_LVL="",0,IF(OR(APPLICATION_LVL=COV!$V$68,APPLICATION_LVL=COV!$V$67),Dictionary!Z1438,IF(APPLICATION_LVL=COV!$V$66,Dictionary!AA1438,IF(APPLICATION_LVL=COV!$V$65,IF(DOMAIN=COV!$T$72,Dictionary!AC1438,IF(DOMAIN=COV!$T$73,Dictionary!AD1438,IF(DOMAIN=COV!$T$75,Dictionary!AE1438,2))),IF(APPLICATION_LVL=COV!$V$64,IF(DOMAIN=COV!$T$72,Dictionary!AG1438,IF(DOMAIN=COV!$T$73,Dictionary!AH1438,IF(DOMAIN=COV!$T$75,Dictionary!AI1438,3))),1)))))</f>
        <v>3</v>
      </c>
      <c r="Z1438" s="1779">
        <f t="shared" ref="Z1438:AA1443" si="55">IF(GC_Flag="",AK1438,AR1438)</f>
        <v>2</v>
      </c>
      <c r="AA1438" s="1779">
        <f t="shared" si="55"/>
        <v>2</v>
      </c>
      <c r="AB1438" s="1779"/>
      <c r="AC1438" s="1779">
        <f t="shared" ref="AC1438:AC1443" si="56">IF(GC_Flag="",AN1438,AU1438)</f>
        <v>3</v>
      </c>
      <c r="AD1438">
        <v>3</v>
      </c>
      <c r="AE1438">
        <v>3</v>
      </c>
      <c r="AG1438" s="1779">
        <f t="shared" ref="AG1438:AG1443" si="57">IF(GC_Flag="",AP1438,AW1438)</f>
        <v>3</v>
      </c>
      <c r="AH1438">
        <v>3</v>
      </c>
      <c r="AI1438">
        <v>3</v>
      </c>
      <c r="AK1438">
        <v>2</v>
      </c>
      <c r="AL1438">
        <v>2</v>
      </c>
      <c r="AN1438">
        <v>3</v>
      </c>
      <c r="AP1438">
        <v>3</v>
      </c>
      <c r="AR1438">
        <v>2</v>
      </c>
      <c r="AS1438">
        <v>4</v>
      </c>
      <c r="AU1438">
        <v>5</v>
      </c>
      <c r="AW1438">
        <v>6</v>
      </c>
    </row>
    <row r="1439" spans="2:49" ht="48">
      <c r="B1439" s="616" t="str">
        <f>IF(FORM_LANGUAGE=GER,Dictionary!G1439,Dictionary!E1439)</f>
        <v>Strategische Ressourcenplanung entwickeln, um die Projektergebnisse liefern zu können</v>
      </c>
      <c r="E1439" s="616" t="str">
        <f>IF(DOMAIN=COV!$T$72,IF(Dictionary!L1439="","",Dictionary!L1439),IF(DOMAIN=COV!$T$73,IF(Dictionary!N1439="","",Dictionary!N1439),IF(DOMAIN=COV!$T$74,IF(Dictionary!P1439="","",Dictionary!P1439),IF(Dictionary!L1439="","",Dictionary!L1439))))</f>
        <v>Develop a strategic resource plan to deliver the project</v>
      </c>
      <c r="F1439" s="616"/>
      <c r="G1439" s="616" t="str">
        <f>IF(DOMAIN=COV!$T$72,IF(Dictionary!R1439="","",Dictionary!R1439),IF(DOMAIN=COV!$T$73,IF(Dictionary!T1439="","",Dictionary!T1439),IF(DOMAIN=COV!$T$74,IF(Dictionary!V1439="","",Dictionary!V1439),IF(Dictionary!R1439="","",Dictionary!R1439))))</f>
        <v>Strategische Ressourcenplanung entwickeln, um die Projektergebnisse liefern zu können</v>
      </c>
      <c r="I1439" s="615" t="s">
        <v>1838</v>
      </c>
      <c r="J1439" s="615" t="s">
        <v>1843</v>
      </c>
      <c r="L1439" s="616" t="s">
        <v>348</v>
      </c>
      <c r="N1439" s="616" t="s">
        <v>2731</v>
      </c>
      <c r="P1439" s="616" t="s">
        <v>2768</v>
      </c>
      <c r="R1439" s="645" t="s">
        <v>1516</v>
      </c>
      <c r="T1439" s="645" t="s">
        <v>1517</v>
      </c>
      <c r="V1439" s="645" t="s">
        <v>1518</v>
      </c>
      <c r="X1439">
        <f>IF(APPLICATION_LVL="",0,IF(OR(APPLICATION_LVL=COV!$V$68,APPLICATION_LVL=COV!$V$67),Dictionary!Z1439,IF(APPLICATION_LVL=COV!$V$66,Dictionary!AA1439,IF(APPLICATION_LVL=COV!$V$65,IF(DOMAIN=COV!$T$72,Dictionary!AC1439,IF(DOMAIN=COV!$T$73,Dictionary!AD1439,IF(DOMAIN=COV!$T$75,Dictionary!AE1439,2))),IF(APPLICATION_LVL=COV!$V$64,IF(DOMAIN=COV!$T$72,Dictionary!AG1439,IF(DOMAIN=COV!$T$73,Dictionary!AH1439,IF(DOMAIN=COV!$T$75,Dictionary!AI1439,3))),1)))))</f>
        <v>3</v>
      </c>
      <c r="Z1439" s="1779">
        <f t="shared" si="55"/>
        <v>2</v>
      </c>
      <c r="AA1439" s="1779">
        <f t="shared" si="55"/>
        <v>2</v>
      </c>
      <c r="AB1439" s="1779"/>
      <c r="AC1439" s="1779">
        <f t="shared" si="56"/>
        <v>2</v>
      </c>
      <c r="AD1439">
        <v>2</v>
      </c>
      <c r="AE1439">
        <v>2</v>
      </c>
      <c r="AG1439" s="1779">
        <f t="shared" si="57"/>
        <v>3</v>
      </c>
      <c r="AH1439">
        <v>3</v>
      </c>
      <c r="AI1439">
        <v>3</v>
      </c>
      <c r="AK1439">
        <v>2</v>
      </c>
      <c r="AL1439">
        <v>2</v>
      </c>
      <c r="AN1439">
        <v>2</v>
      </c>
      <c r="AP1439">
        <v>3</v>
      </c>
      <c r="AR1439">
        <v>1</v>
      </c>
      <c r="AS1439">
        <v>3</v>
      </c>
      <c r="AU1439">
        <v>4</v>
      </c>
      <c r="AW1439">
        <v>5</v>
      </c>
    </row>
    <row r="1440" spans="2:49" ht="48">
      <c r="B1440" s="616" t="str">
        <f>IF(FORM_LANGUAGE=GER,Dictionary!G1440,Dictionary!E1440)</f>
        <v>Qualität und Menge der benötigten Ressourcen definieren</v>
      </c>
      <c r="E1440" s="616" t="str">
        <f>IF(DOMAIN=COV!$T$72,IF(Dictionary!L1440="","",Dictionary!L1440),IF(DOMAIN=COV!$T$73,IF(Dictionary!N1440="","",Dictionary!N1440),IF(DOMAIN=COV!$T$74,IF(Dictionary!P1440="","",Dictionary!P1440),IF(Dictionary!L1440="","",Dictionary!L1440))))</f>
        <v>Define the quality and quantity of resources required</v>
      </c>
      <c r="F1440" s="616"/>
      <c r="G1440" s="616" t="str">
        <f>IF(DOMAIN=COV!$T$72,IF(Dictionary!R1440="","",Dictionary!R1440),IF(DOMAIN=COV!$T$73,IF(Dictionary!T1440="","",Dictionary!T1440),IF(DOMAIN=COV!$T$74,IF(Dictionary!V1440="","",Dictionary!V1440),IF(Dictionary!R1440="","",Dictionary!R1440))))</f>
        <v>Qualität und Menge der benötigten Ressourcen definieren</v>
      </c>
      <c r="I1440" s="615" t="s">
        <v>1839</v>
      </c>
      <c r="J1440" s="615" t="s">
        <v>1844</v>
      </c>
      <c r="L1440" s="616" t="s">
        <v>347</v>
      </c>
      <c r="N1440" s="616" t="s">
        <v>347</v>
      </c>
      <c r="P1440" s="616" t="s">
        <v>2769</v>
      </c>
      <c r="R1440" s="645" t="s">
        <v>1519</v>
      </c>
      <c r="T1440" s="645" t="s">
        <v>1519</v>
      </c>
      <c r="V1440" s="645" t="s">
        <v>1520</v>
      </c>
      <c r="X1440">
        <f>IF(APPLICATION_LVL="",0,IF(OR(APPLICATION_LVL=COV!$V$68,APPLICATION_LVL=COV!$V$67),Dictionary!Z1440,IF(APPLICATION_LVL=COV!$V$66,Dictionary!AA1440,IF(APPLICATION_LVL=COV!$V$65,IF(DOMAIN=COV!$T$72,Dictionary!AC1440,IF(DOMAIN=COV!$T$73,Dictionary!AD1440,IF(DOMAIN=COV!$T$75,Dictionary!AE1440,2))),IF(APPLICATION_LVL=COV!$V$64,IF(DOMAIN=COV!$T$72,Dictionary!AG1440,IF(DOMAIN=COV!$T$73,Dictionary!AH1440,IF(DOMAIN=COV!$T$75,Dictionary!AI1440,3))),1)))))</f>
        <v>3</v>
      </c>
      <c r="Z1440" s="1779">
        <f t="shared" si="55"/>
        <v>1</v>
      </c>
      <c r="AA1440" s="1779">
        <f t="shared" si="55"/>
        <v>2</v>
      </c>
      <c r="AB1440" s="1779"/>
      <c r="AC1440" s="1779">
        <f t="shared" si="56"/>
        <v>3</v>
      </c>
      <c r="AD1440">
        <v>3</v>
      </c>
      <c r="AE1440">
        <v>3</v>
      </c>
      <c r="AG1440" s="1779">
        <f t="shared" si="57"/>
        <v>3</v>
      </c>
      <c r="AH1440">
        <v>3</v>
      </c>
      <c r="AI1440">
        <v>3</v>
      </c>
      <c r="AK1440">
        <v>1</v>
      </c>
      <c r="AL1440">
        <v>2</v>
      </c>
      <c r="AN1440">
        <v>3</v>
      </c>
      <c r="AP1440">
        <v>3</v>
      </c>
      <c r="AR1440">
        <v>1</v>
      </c>
      <c r="AS1440">
        <v>3</v>
      </c>
      <c r="AU1440">
        <v>5</v>
      </c>
      <c r="AW1440">
        <v>6</v>
      </c>
    </row>
    <row r="1441" spans="2:49" ht="32">
      <c r="B1441" s="616" t="str">
        <f>IF(FORM_LANGUAGE=GER,Dictionary!G1441,Dictionary!E1441)</f>
        <v>Potenzielle Ressourcenquellen identifizieren und ihre Beschaffung verhandeln</v>
      </c>
      <c r="E1441" s="616" t="str">
        <f>IF(DOMAIN=COV!$T$72,IF(Dictionary!L1441="","",Dictionary!L1441),IF(DOMAIN=COV!$T$73,IF(Dictionary!N1441="","",Dictionary!N1441),IF(DOMAIN=COV!$T$74,IF(Dictionary!P1441="","",Dictionary!P1441),IF(Dictionary!L1441="","",Dictionary!L1441))))</f>
        <v>Identify the potential sources of resources, and negotiate their acquisition</v>
      </c>
      <c r="F1441" s="616"/>
      <c r="G1441" s="616" t="str">
        <f>IF(DOMAIN=COV!$T$72,IF(Dictionary!R1441="","",Dictionary!R1441),IF(DOMAIN=COV!$T$73,IF(Dictionary!T1441="","",Dictionary!T1441),IF(DOMAIN=COV!$T$74,IF(Dictionary!V1441="","",Dictionary!V1441),IF(Dictionary!R1441="","",Dictionary!R1441))))</f>
        <v>Potenzielle Ressourcenquellen identifizieren und ihre Beschaffung verhandeln</v>
      </c>
      <c r="I1441" s="615" t="s">
        <v>1840</v>
      </c>
      <c r="J1441" s="615" t="s">
        <v>1845</v>
      </c>
      <c r="L1441" s="616" t="s">
        <v>346</v>
      </c>
      <c r="N1441" s="616" t="s">
        <v>346</v>
      </c>
      <c r="P1441" s="616" t="s">
        <v>2770</v>
      </c>
      <c r="R1441" s="645" t="s">
        <v>1521</v>
      </c>
      <c r="T1441" s="645" t="s">
        <v>1521</v>
      </c>
      <c r="V1441" s="645" t="s">
        <v>1522</v>
      </c>
      <c r="X1441">
        <f>IF(APPLICATION_LVL="",0,IF(OR(APPLICATION_LVL=COV!$V$68,APPLICATION_LVL=COV!$V$67),Dictionary!Z1441,IF(APPLICATION_LVL=COV!$V$66,Dictionary!AA1441,IF(APPLICATION_LVL=COV!$V$65,IF(DOMAIN=COV!$T$72,Dictionary!AC1441,IF(DOMAIN=COV!$T$73,Dictionary!AD1441,IF(DOMAIN=COV!$T$75,Dictionary!AE1441,2))),IF(APPLICATION_LVL=COV!$V$64,IF(DOMAIN=COV!$T$72,Dictionary!AG1441,IF(DOMAIN=COV!$T$73,Dictionary!AH1441,IF(DOMAIN=COV!$T$75,Dictionary!AI1441,3))),1)))))</f>
        <v>3</v>
      </c>
      <c r="Z1441" s="1779">
        <f t="shared" si="55"/>
        <v>0</v>
      </c>
      <c r="AA1441" s="1779">
        <f t="shared" si="55"/>
        <v>2</v>
      </c>
      <c r="AB1441" s="1779"/>
      <c r="AC1441" s="1779">
        <f t="shared" si="56"/>
        <v>3</v>
      </c>
      <c r="AD1441">
        <v>3</v>
      </c>
      <c r="AE1441">
        <v>3</v>
      </c>
      <c r="AG1441" s="1779">
        <f t="shared" si="57"/>
        <v>3</v>
      </c>
      <c r="AH1441">
        <v>3</v>
      </c>
      <c r="AI1441">
        <v>3</v>
      </c>
      <c r="AK1441">
        <v>0</v>
      </c>
      <c r="AL1441">
        <v>2</v>
      </c>
      <c r="AN1441">
        <v>3</v>
      </c>
      <c r="AP1441">
        <v>3</v>
      </c>
      <c r="AR1441">
        <v>0</v>
      </c>
      <c r="AS1441">
        <v>3</v>
      </c>
      <c r="AU1441">
        <v>5</v>
      </c>
      <c r="AW1441">
        <v>5</v>
      </c>
    </row>
    <row r="1442" spans="2:49" ht="32">
      <c r="B1442" s="616" t="str">
        <f>IF(FORM_LANGUAGE=GER,Dictionary!G1442,Dictionary!E1442)</f>
        <v>Ressourcen gemäß dem festgelegten Bedarf zuweisen und verteilen</v>
      </c>
      <c r="E1442" s="616" t="str">
        <f>IF(DOMAIN=COV!$T$72,IF(Dictionary!L1442="","",Dictionary!L1442),IF(DOMAIN=COV!$T$73,IF(Dictionary!N1442="","",Dictionary!N1442),IF(DOMAIN=COV!$T$74,IF(Dictionary!P1442="","",Dictionary!P1442),IF(Dictionary!L1442="","",Dictionary!L1442))))</f>
        <v>Allocate and distribute resources according to defined need</v>
      </c>
      <c r="F1442" s="616"/>
      <c r="G1442" s="616" t="str">
        <f>IF(DOMAIN=COV!$T$72,IF(Dictionary!R1442="","",Dictionary!R1442),IF(DOMAIN=COV!$T$73,IF(Dictionary!T1442="","",Dictionary!T1442),IF(DOMAIN=COV!$T$74,IF(Dictionary!V1442="","",Dictionary!V1442),IF(Dictionary!R1442="","",Dictionary!R1442))))</f>
        <v>Ressourcen gemäß dem festgelegten Bedarf zuweisen und verteilen</v>
      </c>
      <c r="I1442" s="615" t="s">
        <v>1841</v>
      </c>
      <c r="J1442" s="615" t="s">
        <v>1846</v>
      </c>
      <c r="L1442" s="616" t="s">
        <v>345</v>
      </c>
      <c r="N1442" s="616" t="s">
        <v>345</v>
      </c>
      <c r="R1442" s="645" t="s">
        <v>1523</v>
      </c>
      <c r="T1442" s="645" t="s">
        <v>1523</v>
      </c>
      <c r="X1442">
        <f>IF(APPLICATION_LVL="",0,IF(OR(APPLICATION_LVL=COV!$V$68,APPLICATION_LVL=COV!$V$67),Dictionary!Z1442,IF(APPLICATION_LVL=COV!$V$66,Dictionary!AA1442,IF(APPLICATION_LVL=COV!$V$65,IF(DOMAIN=COV!$T$72,Dictionary!AC1442,IF(DOMAIN=COV!$T$73,Dictionary!AD1442,IF(DOMAIN=COV!$T$75,Dictionary!AE1442,2))),IF(APPLICATION_LVL=COV!$V$64,IF(DOMAIN=COV!$T$72,Dictionary!AG1442,IF(DOMAIN=COV!$T$73,Dictionary!AH1442,IF(DOMAIN=COV!$T$75,Dictionary!AI1442,3))),1)))))</f>
        <v>3</v>
      </c>
      <c r="Z1442" s="1779">
        <f t="shared" si="55"/>
        <v>2</v>
      </c>
      <c r="AA1442" s="1779">
        <f t="shared" si="55"/>
        <v>2</v>
      </c>
      <c r="AB1442" s="1779"/>
      <c r="AC1442" s="1779">
        <f t="shared" si="56"/>
        <v>3</v>
      </c>
      <c r="AD1442">
        <v>3</v>
      </c>
      <c r="AG1442" s="1779">
        <f t="shared" si="57"/>
        <v>3</v>
      </c>
      <c r="AH1442">
        <v>3</v>
      </c>
      <c r="AK1442">
        <v>2</v>
      </c>
      <c r="AL1442">
        <v>2</v>
      </c>
      <c r="AN1442">
        <v>3</v>
      </c>
      <c r="AP1442">
        <v>3</v>
      </c>
      <c r="AR1442">
        <v>2</v>
      </c>
      <c r="AS1442">
        <v>4</v>
      </c>
      <c r="AU1442">
        <v>5</v>
      </c>
      <c r="AW1442">
        <v>6</v>
      </c>
    </row>
    <row r="1443" spans="2:49" ht="32">
      <c r="B1443" s="616" t="str">
        <f>IF(FORM_LANGUAGE=GER,Dictionary!G1443,Dictionary!E1443)</f>
        <v>Ressourcenverbrauch evaluieren und erforderliche Korrekturmaßnahmen ergreifen</v>
      </c>
      <c r="E1443" s="616" t="str">
        <f>IF(DOMAIN=COV!$T$72,IF(Dictionary!L1443="","",Dictionary!L1443),IF(DOMAIN=COV!$T$73,IF(Dictionary!N1443="","",Dictionary!N1443),IF(DOMAIN=COV!$T$74,IF(Dictionary!P1443="","",Dictionary!P1443),IF(Dictionary!L1443="","",Dictionary!L1443))))</f>
        <v>Evaluate resource usage and take any necessary corrective actions</v>
      </c>
      <c r="F1443" s="616"/>
      <c r="G1443" s="616" t="str">
        <f>IF(DOMAIN=COV!$T$72,IF(Dictionary!R1443="","",Dictionary!R1443),IF(DOMAIN=COV!$T$73,IF(Dictionary!T1443="","",Dictionary!T1443),IF(DOMAIN=COV!$T$74,IF(Dictionary!V1443="","",Dictionary!V1443),IF(Dictionary!R1443="","",Dictionary!R1443))))</f>
        <v>Ressourcenverbrauch evaluieren und erforderliche Korrekturmaßnahmen ergreifen</v>
      </c>
      <c r="I1443" s="615" t="s">
        <v>1842</v>
      </c>
      <c r="J1443" s="615" t="s">
        <v>1847</v>
      </c>
      <c r="L1443" s="616" t="s">
        <v>344</v>
      </c>
      <c r="N1443" s="616" t="s">
        <v>344</v>
      </c>
      <c r="R1443" s="645" t="s">
        <v>1524</v>
      </c>
      <c r="T1443" s="645" t="s">
        <v>1524</v>
      </c>
      <c r="X1443">
        <f>IF(APPLICATION_LVL="",0,IF(OR(APPLICATION_LVL=COV!$V$68,APPLICATION_LVL=COV!$V$67),Dictionary!Z1443,IF(APPLICATION_LVL=COV!$V$66,Dictionary!AA1443,IF(APPLICATION_LVL=COV!$V$65,IF(DOMAIN=COV!$T$72,Dictionary!AC1443,IF(DOMAIN=COV!$T$73,Dictionary!AD1443,IF(DOMAIN=COV!$T$75,Dictionary!AE1443,2))),IF(APPLICATION_LVL=COV!$V$64,IF(DOMAIN=COV!$T$72,Dictionary!AG1443,IF(DOMAIN=COV!$T$73,Dictionary!AH1443,IF(DOMAIN=COV!$T$75,Dictionary!AI1443,3))),1)))))</f>
        <v>3</v>
      </c>
      <c r="Z1443" s="1779">
        <f t="shared" si="55"/>
        <v>0</v>
      </c>
      <c r="AA1443" s="1779">
        <f t="shared" si="55"/>
        <v>2</v>
      </c>
      <c r="AB1443" s="1779"/>
      <c r="AC1443" s="1779">
        <f t="shared" si="56"/>
        <v>3</v>
      </c>
      <c r="AD1443">
        <v>2</v>
      </c>
      <c r="AG1443" s="1779">
        <f t="shared" si="57"/>
        <v>3</v>
      </c>
      <c r="AH1443">
        <v>2</v>
      </c>
      <c r="AK1443">
        <v>0</v>
      </c>
      <c r="AL1443">
        <v>2</v>
      </c>
      <c r="AN1443">
        <v>3</v>
      </c>
      <c r="AP1443">
        <v>3</v>
      </c>
      <c r="AR1443">
        <v>0</v>
      </c>
      <c r="AS1443">
        <v>3</v>
      </c>
      <c r="AU1443">
        <v>5</v>
      </c>
      <c r="AW1443">
        <v>6</v>
      </c>
    </row>
    <row r="1445" spans="2:49">
      <c r="F1445" s="638"/>
    </row>
    <row r="1446" spans="2:49" ht="29" customHeight="1">
      <c r="B1446" s="649" t="str">
        <f>IF(FORM_LANGUAGE=GER,Dictionary!G1446,Dictionary!E1446)</f>
        <v>Beschaffung</v>
      </c>
      <c r="C1446" s="650"/>
      <c r="D1446" s="650"/>
      <c r="E1446" s="649" t="str">
        <f>E1254</f>
        <v>Procurement</v>
      </c>
      <c r="F1446" s="649"/>
      <c r="G1446" s="649" t="str">
        <f>G1254</f>
        <v>Beschaffung</v>
      </c>
      <c r="H1446" s="74"/>
      <c r="I1446" s="651" t="s">
        <v>343</v>
      </c>
      <c r="J1446" s="650" t="s">
        <v>1848</v>
      </c>
      <c r="K1446" s="650"/>
      <c r="L1446" s="649"/>
      <c r="M1446" s="650"/>
      <c r="N1446" s="649"/>
      <c r="O1446" s="650"/>
      <c r="P1446" s="649"/>
      <c r="Q1446" s="74"/>
      <c r="R1446" s="654"/>
      <c r="S1446" s="74"/>
      <c r="T1446" s="654"/>
      <c r="U1446" s="74"/>
      <c r="V1446" s="654"/>
      <c r="X1446">
        <f>IF(APPLICATION_LVL="",0,IF(OR(APPLICATION_LVL=COV!$V$68,APPLICATION_LVL=COV!$V$67),Dictionary!Z1446,IF(APPLICATION_LVL=COV!$V$66,Dictionary!AA1446,IF(APPLICATION_LVL=COV!$V$65,IF(DOMAIN=COV!$T$72,Dictionary!AC1446,IF(DOMAIN=COV!$T$73,Dictionary!AD1446,IF(DOMAIN=COV!$T$75,Dictionary!AE1446,2))),IF(APPLICATION_LVL=COV!$V$64,IF(DOMAIN=COV!$T$72,Dictionary!AG1446,IF(DOMAIN=COV!$T$73,Dictionary!AH1446,IF(DOMAIN=COV!$T$75,Dictionary!AI1446,3))),1)))))</f>
        <v>3</v>
      </c>
      <c r="Z1446" s="1779">
        <f t="shared" ref="Z1446:AA1450" si="58">IF(GC_Flag="",AK1446,AR1446)</f>
        <v>1</v>
      </c>
      <c r="AA1446" s="1779">
        <f t="shared" si="58"/>
        <v>2</v>
      </c>
      <c r="AB1446" s="1779"/>
      <c r="AC1446" s="1779">
        <f>IF(GC_Flag="",AN1446,AU1446)</f>
        <v>3</v>
      </c>
      <c r="AD1446">
        <v>3</v>
      </c>
      <c r="AE1446">
        <v>2</v>
      </c>
      <c r="AG1446" s="1779">
        <f>IF(GC_Flag="",AP1446,AW1446)</f>
        <v>3</v>
      </c>
      <c r="AH1446">
        <v>3</v>
      </c>
      <c r="AI1446">
        <v>3</v>
      </c>
      <c r="AK1446">
        <v>1</v>
      </c>
      <c r="AL1446">
        <v>2</v>
      </c>
      <c r="AN1446">
        <v>3</v>
      </c>
      <c r="AP1446">
        <v>3</v>
      </c>
      <c r="AR1446">
        <v>1</v>
      </c>
      <c r="AS1446">
        <v>3</v>
      </c>
      <c r="AU1446">
        <v>6</v>
      </c>
      <c r="AW1446">
        <v>6</v>
      </c>
    </row>
    <row r="1447" spans="2:49" ht="32">
      <c r="B1447" s="616" t="str">
        <f>IF(FORM_LANGUAGE=GER,Dictionary!G1447,Dictionary!E1447)</f>
        <v>Beschaffungsbedarf, Optionen und Prozesse vereinbaren</v>
      </c>
      <c r="E1447" s="616" t="str">
        <f>IF(DOMAIN=COV!$T$72,IF(Dictionary!L1447="","",Dictionary!L1447),IF(DOMAIN=COV!$T$73,IF(Dictionary!N1447="","",Dictionary!N1447),IF(DOMAIN=COV!$T$74,IF(Dictionary!P1447="","",Dictionary!P1447),IF(Dictionary!L1447="","",Dictionary!L1447))))</f>
        <v>Agree on procurement needs, options, and processes</v>
      </c>
      <c r="F1447" s="616"/>
      <c r="G1447" s="616" t="str">
        <f>IF(DOMAIN=COV!$T$72,IF(Dictionary!R1447="","",Dictionary!R1447),IF(DOMAIN=COV!$T$73,IF(Dictionary!T1447="","",Dictionary!T1447),IF(DOMAIN=COV!$T$74,IF(Dictionary!V1447="","",Dictionary!V1447),IF(Dictionary!R1447="","",Dictionary!R1447))))</f>
        <v>Beschaffungsbedarf, Optionen und Prozesse vereinbaren</v>
      </c>
      <c r="I1447" s="615" t="s">
        <v>1853</v>
      </c>
      <c r="J1447" s="615" t="s">
        <v>1849</v>
      </c>
      <c r="L1447" s="616" t="s">
        <v>342</v>
      </c>
      <c r="N1447" s="638" t="s">
        <v>2730</v>
      </c>
      <c r="O1447" s="639"/>
      <c r="P1447" s="638" t="s">
        <v>2771</v>
      </c>
      <c r="R1447" s="645" t="s">
        <v>1525</v>
      </c>
      <c r="T1447" s="645" t="s">
        <v>1526</v>
      </c>
      <c r="V1447" s="645" t="s">
        <v>1527</v>
      </c>
      <c r="X1447">
        <f>IF(APPLICATION_LVL="",0,IF(OR(APPLICATION_LVL=COV!$V$68,APPLICATION_LVL=COV!$V$67),Dictionary!Z1447,IF(APPLICATION_LVL=COV!$V$66,Dictionary!AA1447,IF(APPLICATION_LVL=COV!$V$65,IF(DOMAIN=COV!$T$72,Dictionary!AC1447,IF(DOMAIN=COV!$T$73,Dictionary!AD1447,IF(DOMAIN=COV!$T$75,Dictionary!AE1447,2))),IF(APPLICATION_LVL=COV!$V$64,IF(DOMAIN=COV!$T$72,Dictionary!AG1447,IF(DOMAIN=COV!$T$73,Dictionary!AH1447,IF(DOMAIN=COV!$T$75,Dictionary!AI1447,3))),1)))))</f>
        <v>3</v>
      </c>
      <c r="Z1447" s="1779">
        <f t="shared" si="58"/>
        <v>1</v>
      </c>
      <c r="AA1447" s="1779">
        <f t="shared" si="58"/>
        <v>2</v>
      </c>
      <c r="AB1447" s="1779"/>
      <c r="AC1447" s="1779">
        <f>IF(GC_Flag="",AN1447,AU1447)</f>
        <v>2</v>
      </c>
      <c r="AD1447">
        <v>2</v>
      </c>
      <c r="AE1447">
        <v>2</v>
      </c>
      <c r="AG1447" s="1779">
        <f>IF(GC_Flag="",AP1447,AW1447)</f>
        <v>3</v>
      </c>
      <c r="AH1447">
        <v>3</v>
      </c>
      <c r="AI1447">
        <v>3</v>
      </c>
      <c r="AK1447">
        <v>1</v>
      </c>
      <c r="AL1447">
        <v>2</v>
      </c>
      <c r="AN1447">
        <v>2</v>
      </c>
      <c r="AP1447">
        <v>3</v>
      </c>
      <c r="AR1447">
        <v>1</v>
      </c>
      <c r="AS1447">
        <v>3</v>
      </c>
      <c r="AU1447">
        <v>4</v>
      </c>
      <c r="AW1447">
        <v>6</v>
      </c>
    </row>
    <row r="1448" spans="2:49" ht="32">
      <c r="B1448" s="616" t="str">
        <f>IF(FORM_LANGUAGE=GER,Dictionary!G1448,Dictionary!E1448)</f>
        <v>Zur Evaluation und Auswahl von Lieferanten und Partnern beitragen</v>
      </c>
      <c r="E1448" s="616" t="str">
        <f>IF(DOMAIN=COV!$T$72,IF(Dictionary!L1448="","",Dictionary!L1448),IF(DOMAIN=COV!$T$73,IF(Dictionary!N1448="","",Dictionary!N1448),IF(DOMAIN=COV!$T$74,IF(Dictionary!P1448="","",Dictionary!P1448),IF(Dictionary!L1448="","",Dictionary!L1448))))</f>
        <v>Contribute to the evaluation and selection of suppliers and partners</v>
      </c>
      <c r="F1448" s="616"/>
      <c r="G1448" s="616" t="str">
        <f>IF(DOMAIN=COV!$T$72,IF(Dictionary!R1448="","",Dictionary!R1448),IF(DOMAIN=COV!$T$73,IF(Dictionary!T1448="","",Dictionary!T1448),IF(DOMAIN=COV!$T$74,IF(Dictionary!V1448="","",Dictionary!V1448),IF(Dictionary!R1448="","",Dictionary!R1448))))</f>
        <v>Zur Evaluation und Auswahl von Lieferanten und Partnern beitragen</v>
      </c>
      <c r="I1448" s="615" t="s">
        <v>1854</v>
      </c>
      <c r="J1448" s="615" t="s">
        <v>1850</v>
      </c>
      <c r="L1448" s="616" t="s">
        <v>341</v>
      </c>
      <c r="N1448" s="638" t="s">
        <v>2732</v>
      </c>
      <c r="O1448" s="639"/>
      <c r="P1448" s="638"/>
      <c r="R1448" s="645" t="s">
        <v>1528</v>
      </c>
      <c r="T1448" s="645" t="s">
        <v>1529</v>
      </c>
      <c r="X1448">
        <f>IF(APPLICATION_LVL="",0,IF(OR(APPLICATION_LVL=COV!$V$68,APPLICATION_LVL=COV!$V$67),Dictionary!Z1448,IF(APPLICATION_LVL=COV!$V$66,Dictionary!AA1448,IF(APPLICATION_LVL=COV!$V$65,IF(DOMAIN=COV!$T$72,Dictionary!AC1448,IF(DOMAIN=COV!$T$73,Dictionary!AD1448,IF(DOMAIN=COV!$T$75,Dictionary!AE1448,2))),IF(APPLICATION_LVL=COV!$V$64,IF(DOMAIN=COV!$T$72,Dictionary!AG1448,IF(DOMAIN=COV!$T$73,Dictionary!AH1448,IF(DOMAIN=COV!$T$75,Dictionary!AI1448,3))),1)))))</f>
        <v>2</v>
      </c>
      <c r="Z1448" s="1779">
        <f t="shared" si="58"/>
        <v>0</v>
      </c>
      <c r="AA1448" s="1779">
        <f t="shared" si="58"/>
        <v>2</v>
      </c>
      <c r="AB1448" s="1779"/>
      <c r="AC1448" s="1779">
        <f>IF(GC_Flag="",AN1448,AU1448)</f>
        <v>2</v>
      </c>
      <c r="AD1448">
        <v>2</v>
      </c>
      <c r="AG1448" s="1779">
        <f>IF(GC_Flag="",AP1448,AW1448)</f>
        <v>2</v>
      </c>
      <c r="AH1448">
        <v>2</v>
      </c>
      <c r="AK1448">
        <v>0</v>
      </c>
      <c r="AL1448">
        <v>2</v>
      </c>
      <c r="AN1448">
        <v>2</v>
      </c>
      <c r="AP1448">
        <v>2</v>
      </c>
      <c r="AR1448">
        <v>0</v>
      </c>
      <c r="AS1448">
        <v>3</v>
      </c>
      <c r="AU1448">
        <v>3</v>
      </c>
      <c r="AW1448">
        <v>3</v>
      </c>
    </row>
    <row r="1449" spans="2:49" ht="48">
      <c r="B1449" s="616" t="str">
        <f>IF(FORM_LANGUAGE=GER,Dictionary!G1449,Dictionary!E1449)</f>
        <v>Zu Verhandlungen und Vereinbarungen von Vertragsbestimmungen beitragen, um diese in Einklang mit den Projektzielen zu bringen</v>
      </c>
      <c r="E1449" s="616" t="str">
        <f>IF(DOMAIN=COV!$T$72,IF(Dictionary!L1449="","",Dictionary!L1449),IF(DOMAIN=COV!$T$73,IF(Dictionary!N1449="","",Dictionary!N1449),IF(DOMAIN=COV!$T$74,IF(Dictionary!P1449="","",Dictionary!P1449),IF(Dictionary!L1449="","",Dictionary!L1449))))</f>
        <v>Contribute to the negotiation and agreement of contractual terms and conditions that meet project objectives</v>
      </c>
      <c r="F1449" s="616"/>
      <c r="G1449" s="616" t="str">
        <f>IF(DOMAIN=COV!$T$72,IF(Dictionary!R1449="","",Dictionary!R1449),IF(DOMAIN=COV!$T$73,IF(Dictionary!T1449="","",Dictionary!T1449),IF(DOMAIN=COV!$T$74,IF(Dictionary!V1449="","",Dictionary!V1449),IF(Dictionary!R1449="","",Dictionary!R1449))))</f>
        <v>Zu Verhandlungen und Vereinbarungen von Vertragsbestimmungen beitragen, um diese in Einklang mit den Projektzielen zu bringen</v>
      </c>
      <c r="I1449" s="615" t="s">
        <v>1855</v>
      </c>
      <c r="J1449" s="615" t="s">
        <v>1851</v>
      </c>
      <c r="L1449" s="616" t="s">
        <v>340</v>
      </c>
      <c r="N1449" s="638" t="s">
        <v>2733</v>
      </c>
      <c r="O1449" s="639"/>
      <c r="P1449" s="638"/>
      <c r="R1449" s="645" t="s">
        <v>1530</v>
      </c>
      <c r="T1449" s="645" t="s">
        <v>1531</v>
      </c>
      <c r="X1449">
        <f>IF(APPLICATION_LVL="",0,IF(OR(APPLICATION_LVL=COV!$V$68,APPLICATION_LVL=COV!$V$67),Dictionary!Z1449,IF(APPLICATION_LVL=COV!$V$66,Dictionary!AA1449,IF(APPLICATION_LVL=COV!$V$65,IF(DOMAIN=COV!$T$72,Dictionary!AC1449,IF(DOMAIN=COV!$T$73,Dictionary!AD1449,IF(DOMAIN=COV!$T$75,Dictionary!AE1449,2))),IF(APPLICATION_LVL=COV!$V$64,IF(DOMAIN=COV!$T$72,Dictionary!AG1449,IF(DOMAIN=COV!$T$73,Dictionary!AH1449,IF(DOMAIN=COV!$T$75,Dictionary!AI1449,3))),1)))))</f>
        <v>3</v>
      </c>
      <c r="Z1449" s="1779">
        <f t="shared" si="58"/>
        <v>1</v>
      </c>
      <c r="AA1449" s="1779">
        <f t="shared" si="58"/>
        <v>2</v>
      </c>
      <c r="AB1449" s="1779"/>
      <c r="AC1449" s="1779">
        <f>IF(GC_Flag="",AN1449,AU1449)</f>
        <v>3</v>
      </c>
      <c r="AD1449">
        <v>2</v>
      </c>
      <c r="AG1449" s="1779">
        <f>IF(GC_Flag="",AP1449,AW1449)</f>
        <v>3</v>
      </c>
      <c r="AH1449">
        <v>2</v>
      </c>
      <c r="AK1449">
        <v>1</v>
      </c>
      <c r="AL1449">
        <v>2</v>
      </c>
      <c r="AN1449">
        <v>3</v>
      </c>
      <c r="AP1449">
        <v>3</v>
      </c>
      <c r="AR1449">
        <v>1</v>
      </c>
      <c r="AS1449">
        <v>3</v>
      </c>
      <c r="AU1449">
        <v>6</v>
      </c>
      <c r="AW1449">
        <v>6</v>
      </c>
    </row>
    <row r="1450" spans="2:49" ht="32">
      <c r="B1450" s="616" t="str">
        <f>IF(FORM_LANGUAGE=GER,Dictionary!G1450,Dictionary!E1450)</f>
        <v>Vertragsausführung überwachen, Probleme ansprechen und, falls notwendig, Entschädigungen verlangen</v>
      </c>
      <c r="E1450" s="616" t="str">
        <f>IF(DOMAIN=COV!$T$72,IF(Dictionary!L1450="","",Dictionary!L1450),IF(DOMAIN=COV!$T$73,IF(Dictionary!N1450="","",Dictionary!N1450),IF(DOMAIN=COV!$T$74,IF(Dictionary!P1450="","",Dictionary!P1450),IF(Dictionary!L1450="","",Dictionary!L1450))))</f>
        <v>Supervise the execution of contracts, address issues, and seek redress where necessary</v>
      </c>
      <c r="F1450" s="616"/>
      <c r="G1450" s="616" t="str">
        <f>IF(DOMAIN=COV!$T$72,IF(Dictionary!R1450="","",Dictionary!R1450),IF(DOMAIN=COV!$T$73,IF(Dictionary!T1450="","",Dictionary!T1450),IF(DOMAIN=COV!$T$74,IF(Dictionary!V1450="","",Dictionary!V1450),IF(Dictionary!R1450="","",Dictionary!R1450))))</f>
        <v>Vertragsausführung überwachen, Probleme ansprechen und, falls notwendig, Entschädigungen verlangen</v>
      </c>
      <c r="I1450" s="615" t="s">
        <v>1856</v>
      </c>
      <c r="J1450" s="615" t="s">
        <v>1852</v>
      </c>
      <c r="L1450" s="616" t="s">
        <v>339</v>
      </c>
      <c r="N1450" s="638"/>
      <c r="O1450" s="639"/>
      <c r="P1450" s="638"/>
      <c r="R1450" s="645" t="s">
        <v>1532</v>
      </c>
      <c r="X1450">
        <f>IF(APPLICATION_LVL="",0,IF(OR(APPLICATION_LVL=COV!$V$68,APPLICATION_LVL=COV!$V$67),Dictionary!Z1450,IF(APPLICATION_LVL=COV!$V$66,Dictionary!AA1450,IF(APPLICATION_LVL=COV!$V$65,IF(DOMAIN=COV!$T$72,Dictionary!AC1450,IF(DOMAIN=COV!$T$73,Dictionary!AD1450,IF(DOMAIN=COV!$T$75,Dictionary!AE1450,2))),IF(APPLICATION_LVL=COV!$V$64,IF(DOMAIN=COV!$T$72,Dictionary!AG1450,IF(DOMAIN=COV!$T$73,Dictionary!AH1450,IF(DOMAIN=COV!$T$75,Dictionary!AI1450,3))),1)))))</f>
        <v>3</v>
      </c>
      <c r="Z1450" s="1779">
        <f t="shared" si="58"/>
        <v>1</v>
      </c>
      <c r="AA1450" s="1779">
        <f t="shared" si="58"/>
        <v>2</v>
      </c>
      <c r="AB1450" s="1779"/>
      <c r="AC1450" s="1779">
        <f>IF(GC_Flag="",AN1450,AU1450)</f>
        <v>2</v>
      </c>
      <c r="AD1450">
        <v>2</v>
      </c>
      <c r="AG1450" s="1779">
        <f>IF(GC_Flag="",AP1450,AW1450)</f>
        <v>3</v>
      </c>
      <c r="AH1450">
        <v>3</v>
      </c>
      <c r="AK1450">
        <v>1</v>
      </c>
      <c r="AL1450">
        <v>2</v>
      </c>
      <c r="AN1450">
        <v>2</v>
      </c>
      <c r="AP1450">
        <v>3</v>
      </c>
      <c r="AR1450">
        <v>1</v>
      </c>
      <c r="AS1450">
        <v>3</v>
      </c>
      <c r="AU1450">
        <v>4</v>
      </c>
      <c r="AW1450">
        <v>5</v>
      </c>
    </row>
    <row r="1452" spans="2:49">
      <c r="F1452" s="616"/>
    </row>
    <row r="1453" spans="2:49" ht="29" customHeight="1">
      <c r="B1453" s="649" t="str">
        <f>IF(FORM_LANGUAGE=GER,Dictionary!G1453,Dictionary!E1453)</f>
        <v>Planung und Steuerung</v>
      </c>
      <c r="C1453" s="650"/>
      <c r="D1453" s="650"/>
      <c r="E1453" s="649" t="str">
        <f>E1255</f>
        <v>Plan and control</v>
      </c>
      <c r="F1453" s="649"/>
      <c r="G1453" s="649" t="str">
        <f>G1255</f>
        <v>Planung und Steuerung</v>
      </c>
      <c r="H1453" s="74"/>
      <c r="I1453" s="651" t="s">
        <v>338</v>
      </c>
      <c r="J1453" s="650" t="s">
        <v>1857</v>
      </c>
      <c r="K1453" s="650"/>
      <c r="L1453" s="649"/>
      <c r="M1453" s="650"/>
      <c r="N1453" s="649"/>
      <c r="O1453" s="650"/>
      <c r="P1453" s="649"/>
      <c r="Q1453" s="74"/>
      <c r="R1453" s="654"/>
      <c r="S1453" s="74"/>
      <c r="T1453" s="654"/>
      <c r="U1453" s="74"/>
      <c r="V1453" s="654"/>
      <c r="X1453">
        <f>IF(APPLICATION_LVL="",0,IF(OR(APPLICATION_LVL=COV!$V$68,APPLICATION_LVL=COV!$V$67),Dictionary!Z1453,IF(APPLICATION_LVL=COV!$V$66,Dictionary!AA1453,IF(APPLICATION_LVL=COV!$V$65,IF(DOMAIN=COV!$T$72,Dictionary!AC1453,IF(DOMAIN=COV!$T$73,Dictionary!AD1453,IF(DOMAIN=COV!$T$75,Dictionary!AE1453,2))),IF(APPLICATION_LVL=COV!$V$64,IF(DOMAIN=COV!$T$72,Dictionary!AG1453,IF(DOMAIN=COV!$T$73,Dictionary!AH1453,IF(DOMAIN=COV!$T$75,Dictionary!AI1453,3))),1)))))</f>
        <v>3</v>
      </c>
      <c r="Z1453" s="1779">
        <f t="shared" ref="Z1453:AA1459" si="59">IF(GC_Flag="",AK1453,AR1453)</f>
        <v>2</v>
      </c>
      <c r="AA1453" s="1779">
        <f t="shared" si="59"/>
        <v>2</v>
      </c>
      <c r="AB1453" s="1779"/>
      <c r="AC1453" s="1779">
        <f t="shared" ref="AC1453:AC1459" si="60">IF(GC_Flag="",AN1453,AU1453)</f>
        <v>3</v>
      </c>
      <c r="AD1453">
        <v>2</v>
      </c>
      <c r="AE1453">
        <v>2</v>
      </c>
      <c r="AG1453" s="1779">
        <f t="shared" ref="AG1453:AG1459" si="61">IF(GC_Flag="",AP1453,AW1453)</f>
        <v>3</v>
      </c>
      <c r="AH1453">
        <v>3</v>
      </c>
      <c r="AI1453">
        <v>3</v>
      </c>
      <c r="AK1453">
        <v>2</v>
      </c>
      <c r="AL1453">
        <v>2</v>
      </c>
      <c r="AN1453">
        <v>3</v>
      </c>
      <c r="AP1453">
        <v>3</v>
      </c>
      <c r="AR1453">
        <v>2</v>
      </c>
      <c r="AS1453">
        <v>4</v>
      </c>
      <c r="AU1453">
        <v>6</v>
      </c>
      <c r="AW1453">
        <v>6</v>
      </c>
    </row>
    <row r="1454" spans="2:49" ht="32">
      <c r="B1454" s="616" t="str">
        <f>IF(FORM_LANGUAGE=GER,Dictionary!G1454,Dictionary!E1454)</f>
        <v>Projekt starten, Projektmanagement-Plan entwickeln und Zustimmung einholen</v>
      </c>
      <c r="E1454" s="616" t="str">
        <f>IF(DOMAIN=COV!$T$72,IF(Dictionary!L1454="","",Dictionary!L1454),IF(DOMAIN=COV!$T$73,IF(Dictionary!N1454="","",Dictionary!N1454),IF(DOMAIN=COV!$T$74,IF(Dictionary!P1454="","",Dictionary!P1454),IF(Dictionary!L1454="","",Dictionary!L1454))))</f>
        <v>Start the project, and develop and get agreement on the project management plan</v>
      </c>
      <c r="F1454" s="616"/>
      <c r="G1454" s="616" t="str">
        <f>IF(DOMAIN=COV!$T$72,IF(Dictionary!R1454="","",Dictionary!R1454),IF(DOMAIN=COV!$T$73,IF(Dictionary!T1454="","",Dictionary!T1454),IF(DOMAIN=COV!$T$74,IF(Dictionary!V1454="","",Dictionary!V1454),IF(Dictionary!R1454="","",Dictionary!R1454))))</f>
        <v>Projekt starten, Projektmanagement-Plan entwickeln und Zustimmung einholen</v>
      </c>
      <c r="I1454" s="615" t="s">
        <v>1859</v>
      </c>
      <c r="J1454" s="615" t="s">
        <v>1858</v>
      </c>
      <c r="L1454" s="616" t="s">
        <v>337</v>
      </c>
      <c r="N1454" s="638" t="s">
        <v>2734</v>
      </c>
      <c r="O1454" s="639"/>
      <c r="P1454" s="638" t="s">
        <v>2772</v>
      </c>
      <c r="R1454" s="645" t="s">
        <v>1533</v>
      </c>
      <c r="T1454" s="645" t="s">
        <v>1534</v>
      </c>
      <c r="V1454" s="645" t="s">
        <v>1535</v>
      </c>
      <c r="X1454">
        <f>IF(APPLICATION_LVL="",0,IF(OR(APPLICATION_LVL=COV!$V$68,APPLICATION_LVL=COV!$V$67),Dictionary!Z1454,IF(APPLICATION_LVL=COV!$V$66,Dictionary!AA1454,IF(APPLICATION_LVL=COV!$V$65,IF(DOMAIN=COV!$T$72,Dictionary!AC1454,IF(DOMAIN=COV!$T$73,Dictionary!AD1454,IF(DOMAIN=COV!$T$75,Dictionary!AE1454,2))),IF(APPLICATION_LVL=COV!$V$64,IF(DOMAIN=COV!$T$72,Dictionary!AG1454,IF(DOMAIN=COV!$T$73,Dictionary!AH1454,IF(DOMAIN=COV!$T$75,Dictionary!AI1454,3))),1)))))</f>
        <v>3</v>
      </c>
      <c r="Z1454" s="1779">
        <f t="shared" si="59"/>
        <v>2</v>
      </c>
      <c r="AA1454" s="1779">
        <f t="shared" si="59"/>
        <v>2</v>
      </c>
      <c r="AB1454" s="1779"/>
      <c r="AC1454" s="1779">
        <f t="shared" si="60"/>
        <v>3</v>
      </c>
      <c r="AD1454">
        <v>2</v>
      </c>
      <c r="AE1454">
        <v>2</v>
      </c>
      <c r="AG1454" s="1779">
        <f t="shared" si="61"/>
        <v>3</v>
      </c>
      <c r="AH1454">
        <v>3</v>
      </c>
      <c r="AI1454">
        <v>3</v>
      </c>
      <c r="AK1454">
        <v>2</v>
      </c>
      <c r="AL1454">
        <v>2</v>
      </c>
      <c r="AN1454">
        <v>3</v>
      </c>
      <c r="AP1454">
        <v>3</v>
      </c>
      <c r="AR1454">
        <v>2</v>
      </c>
      <c r="AS1454">
        <v>3</v>
      </c>
      <c r="AU1454">
        <v>5</v>
      </c>
      <c r="AW1454">
        <v>5</v>
      </c>
    </row>
    <row r="1455" spans="2:49" ht="32">
      <c r="B1455" s="616" t="str">
        <f>IF(FORM_LANGUAGE=GER,Dictionary!G1455,Dictionary!E1455)</f>
        <v>Übergang in eine neue Projektphase einleiten und managen</v>
      </c>
      <c r="E1455" s="616" t="str">
        <f>IF(DOMAIN=COV!$T$72,IF(Dictionary!L1455="","",Dictionary!L1455),IF(DOMAIN=COV!$T$73,IF(Dictionary!N1455="","",Dictionary!N1455),IF(DOMAIN=COV!$T$74,IF(Dictionary!P1455="","",Dictionary!P1455),IF(Dictionary!L1455="","",Dictionary!L1455))))</f>
        <v>Initiate and manage the transition to a new project phase</v>
      </c>
      <c r="F1455" s="616"/>
      <c r="G1455" s="616" t="str">
        <f>IF(DOMAIN=COV!$T$72,IF(Dictionary!R1455="","",Dictionary!R1455),IF(DOMAIN=COV!$T$73,IF(Dictionary!T1455="","",Dictionary!T1455),IF(DOMAIN=COV!$T$74,IF(Dictionary!V1455="","",Dictionary!V1455),IF(Dictionary!R1455="","",Dictionary!R1455))))</f>
        <v>Übergang in eine neue Projektphase einleiten und managen</v>
      </c>
      <c r="I1455" s="615" t="s">
        <v>1860</v>
      </c>
      <c r="J1455" s="615" t="s">
        <v>1865</v>
      </c>
      <c r="L1455" s="616" t="s">
        <v>336</v>
      </c>
      <c r="N1455" s="638" t="s">
        <v>2735</v>
      </c>
      <c r="O1455" s="639"/>
      <c r="P1455" s="638" t="s">
        <v>2773</v>
      </c>
      <c r="R1455" s="645" t="s">
        <v>1536</v>
      </c>
      <c r="T1455" s="645" t="s">
        <v>1537</v>
      </c>
      <c r="V1455" s="645" t="s">
        <v>1538</v>
      </c>
      <c r="X1455">
        <f>IF(APPLICATION_LVL="",0,IF(OR(APPLICATION_LVL=COV!$V$68,APPLICATION_LVL=COV!$V$67),Dictionary!Z1455,IF(APPLICATION_LVL=COV!$V$66,Dictionary!AA1455,IF(APPLICATION_LVL=COV!$V$65,IF(DOMAIN=COV!$T$72,Dictionary!AC1455,IF(DOMAIN=COV!$T$73,Dictionary!AD1455,IF(DOMAIN=COV!$T$75,Dictionary!AE1455,2))),IF(APPLICATION_LVL=COV!$V$64,IF(DOMAIN=COV!$T$72,Dictionary!AG1455,IF(DOMAIN=COV!$T$73,Dictionary!AH1455,IF(DOMAIN=COV!$T$75,Dictionary!AI1455,3))),1)))))</f>
        <v>3</v>
      </c>
      <c r="Z1455" s="1779">
        <f t="shared" si="59"/>
        <v>1</v>
      </c>
      <c r="AA1455" s="1779">
        <f t="shared" si="59"/>
        <v>2</v>
      </c>
      <c r="AB1455" s="1779"/>
      <c r="AC1455" s="1779">
        <f t="shared" si="60"/>
        <v>3</v>
      </c>
      <c r="AD1455">
        <v>2</v>
      </c>
      <c r="AE1455">
        <v>2</v>
      </c>
      <c r="AG1455" s="1779">
        <f t="shared" si="61"/>
        <v>3</v>
      </c>
      <c r="AH1455">
        <v>3</v>
      </c>
      <c r="AI1455">
        <v>3</v>
      </c>
      <c r="AK1455">
        <v>1</v>
      </c>
      <c r="AL1455">
        <v>2</v>
      </c>
      <c r="AN1455">
        <v>3</v>
      </c>
      <c r="AP1455">
        <v>3</v>
      </c>
      <c r="AR1455">
        <v>1</v>
      </c>
      <c r="AS1455">
        <v>3</v>
      </c>
      <c r="AU1455">
        <v>5</v>
      </c>
      <c r="AW1455">
        <v>5</v>
      </c>
    </row>
    <row r="1456" spans="2:49" ht="32">
      <c r="B1456" s="616" t="str">
        <f>IF(FORM_LANGUAGE=GER,Dictionary!G1456,Dictionary!E1456)</f>
        <v>Projektleistung mit dem Projektplan abgleichen und Korrekturmaßnahmen treffen</v>
      </c>
      <c r="E1456" s="616" t="str">
        <f>IF(DOMAIN=COV!$T$72,IF(Dictionary!L1456="","",Dictionary!L1456),IF(DOMAIN=COV!$T$73,IF(Dictionary!N1456="","",Dictionary!N1456),IF(DOMAIN=COV!$T$74,IF(Dictionary!P1456="","",Dictionary!P1456),IF(Dictionary!L1456="","",Dictionary!L1456))))</f>
        <v>Control project performance against the project plan and take any necessary corrective actions</v>
      </c>
      <c r="F1456" s="616"/>
      <c r="G1456" s="616" t="str">
        <f>IF(DOMAIN=COV!$T$72,IF(Dictionary!R1456="","",Dictionary!R1456),IF(DOMAIN=COV!$T$73,IF(Dictionary!T1456="","",Dictionary!T1456),IF(DOMAIN=COV!$T$74,IF(Dictionary!V1456="","",Dictionary!V1456),IF(Dictionary!R1456="","",Dictionary!R1456))))</f>
        <v>Projektleistung mit dem Projektplan abgleichen und Korrekturmaßnahmen treffen</v>
      </c>
      <c r="I1456" s="615" t="s">
        <v>1861</v>
      </c>
      <c r="J1456" s="615" t="s">
        <v>1866</v>
      </c>
      <c r="L1456" s="616" t="s">
        <v>335</v>
      </c>
      <c r="N1456" s="638" t="s">
        <v>2736</v>
      </c>
      <c r="O1456" s="639"/>
      <c r="P1456" s="638" t="s">
        <v>2774</v>
      </c>
      <c r="R1456" s="645" t="s">
        <v>1539</v>
      </c>
      <c r="T1456" s="645" t="s">
        <v>1540</v>
      </c>
      <c r="V1456" s="645" t="s">
        <v>1541</v>
      </c>
      <c r="X1456">
        <f>IF(APPLICATION_LVL="",0,IF(OR(APPLICATION_LVL=COV!$V$68,APPLICATION_LVL=COV!$V$67),Dictionary!Z1456,IF(APPLICATION_LVL=COV!$V$66,Dictionary!AA1456,IF(APPLICATION_LVL=COV!$V$65,IF(DOMAIN=COV!$T$72,Dictionary!AC1456,IF(DOMAIN=COV!$T$73,Dictionary!AD1456,IF(DOMAIN=COV!$T$75,Dictionary!AE1456,2))),IF(APPLICATION_LVL=COV!$V$64,IF(DOMAIN=COV!$T$72,Dictionary!AG1456,IF(DOMAIN=COV!$T$73,Dictionary!AH1456,IF(DOMAIN=COV!$T$75,Dictionary!AI1456,3))),1)))))</f>
        <v>3</v>
      </c>
      <c r="Z1456" s="1779">
        <f t="shared" si="59"/>
        <v>1</v>
      </c>
      <c r="AA1456" s="1779">
        <f t="shared" si="59"/>
        <v>2</v>
      </c>
      <c r="AB1456" s="1779"/>
      <c r="AC1456" s="1779">
        <f t="shared" si="60"/>
        <v>3</v>
      </c>
      <c r="AD1456">
        <v>2</v>
      </c>
      <c r="AE1456">
        <v>2</v>
      </c>
      <c r="AG1456" s="1779">
        <f t="shared" si="61"/>
        <v>3</v>
      </c>
      <c r="AH1456">
        <v>3</v>
      </c>
      <c r="AI1456">
        <v>3</v>
      </c>
      <c r="AK1456">
        <v>1</v>
      </c>
      <c r="AL1456">
        <v>2</v>
      </c>
      <c r="AN1456">
        <v>3</v>
      </c>
      <c r="AP1456">
        <v>3</v>
      </c>
      <c r="AR1456">
        <v>2</v>
      </c>
      <c r="AS1456">
        <v>4</v>
      </c>
      <c r="AU1456">
        <v>5</v>
      </c>
      <c r="AW1456">
        <v>6</v>
      </c>
    </row>
    <row r="1457" spans="2:49" ht="14.5" customHeight="1">
      <c r="B1457" s="616" t="str">
        <f>IF(FORM_LANGUAGE=GER,Dictionary!G1457,Dictionary!E1457)</f>
        <v>Bericht über den Projektfortschritt erstatten</v>
      </c>
      <c r="E1457" s="616" t="str">
        <f>IF(DOMAIN=COV!$T$72,IF(Dictionary!L1457="","",Dictionary!L1457),IF(DOMAIN=COV!$T$73,IF(Dictionary!N1457="","",Dictionary!N1457),IF(DOMAIN=COV!$T$74,IF(Dictionary!P1457="","",Dictionary!P1457),IF(Dictionary!L1457="","",Dictionary!L1457))))</f>
        <v>Report on project progress</v>
      </c>
      <c r="F1457" s="616"/>
      <c r="G1457" s="616" t="str">
        <f>IF(DOMAIN=COV!$T$72,IF(Dictionary!R1457="","",Dictionary!R1457),IF(DOMAIN=COV!$T$73,IF(Dictionary!T1457="","",Dictionary!T1457),IF(DOMAIN=COV!$T$74,IF(Dictionary!V1457="","",Dictionary!V1457),IF(Dictionary!R1457="","",Dictionary!R1457))))</f>
        <v>Bericht über den Projektfortschritt erstatten</v>
      </c>
      <c r="I1457" s="615" t="s">
        <v>1862</v>
      </c>
      <c r="J1457" s="615" t="s">
        <v>1867</v>
      </c>
      <c r="L1457" s="616" t="s">
        <v>334</v>
      </c>
      <c r="N1457" s="638" t="s">
        <v>2737</v>
      </c>
      <c r="O1457" s="639"/>
      <c r="P1457" s="638"/>
      <c r="R1457" s="645" t="s">
        <v>1542</v>
      </c>
      <c r="T1457" s="645" t="s">
        <v>1543</v>
      </c>
      <c r="X1457">
        <f>IF(APPLICATION_LVL="",0,IF(OR(APPLICATION_LVL=COV!$V$68,APPLICATION_LVL=COV!$V$67),Dictionary!Z1457,IF(APPLICATION_LVL=COV!$V$66,Dictionary!AA1457,IF(APPLICATION_LVL=COV!$V$65,IF(DOMAIN=COV!$T$72,Dictionary!AC1457,IF(DOMAIN=COV!$T$73,Dictionary!AD1457,IF(DOMAIN=COV!$T$75,Dictionary!AE1457,2))),IF(APPLICATION_LVL=COV!$V$64,IF(DOMAIN=COV!$T$72,Dictionary!AG1457,IF(DOMAIN=COV!$T$73,Dictionary!AH1457,IF(DOMAIN=COV!$T$75,Dictionary!AI1457,3))),1)))))</f>
        <v>3</v>
      </c>
      <c r="Z1457" s="1779">
        <f t="shared" si="59"/>
        <v>2</v>
      </c>
      <c r="AA1457" s="1779">
        <f t="shared" si="59"/>
        <v>2</v>
      </c>
      <c r="AB1457" s="1779"/>
      <c r="AC1457" s="1779">
        <f t="shared" si="60"/>
        <v>2</v>
      </c>
      <c r="AD1457">
        <v>2</v>
      </c>
      <c r="AG1457" s="1779">
        <f t="shared" si="61"/>
        <v>3</v>
      </c>
      <c r="AH1457">
        <v>3</v>
      </c>
      <c r="AK1457">
        <v>2</v>
      </c>
      <c r="AL1457">
        <v>2</v>
      </c>
      <c r="AN1457">
        <v>2</v>
      </c>
      <c r="AP1457">
        <v>3</v>
      </c>
      <c r="AR1457">
        <v>2</v>
      </c>
      <c r="AS1457">
        <v>3</v>
      </c>
      <c r="AU1457">
        <v>4</v>
      </c>
      <c r="AW1457">
        <v>5</v>
      </c>
    </row>
    <row r="1458" spans="2:49" ht="32">
      <c r="B1458" s="616" t="str">
        <f>IF(FORM_LANGUAGE=GER,Dictionary!G1458,Dictionary!E1458)</f>
        <v>Projektänderungen beurteilen, Zustimmung für diese einholen und sie implementieren</v>
      </c>
      <c r="E1458" s="616" t="str">
        <f>IF(DOMAIN=COV!$T$72,IF(Dictionary!L1458="","",Dictionary!L1458),IF(DOMAIN=COV!$T$73,IF(Dictionary!N1458="","",Dictionary!N1458),IF(DOMAIN=COV!$T$74,IF(Dictionary!P1458="","",Dictionary!P1458),IF(Dictionary!L1458="","",Dictionary!L1458))))</f>
        <v>Assess, get agreement on, and implement project changes</v>
      </c>
      <c r="F1458" s="616"/>
      <c r="G1458" s="616" t="str">
        <f>IF(DOMAIN=COV!$T$72,IF(Dictionary!R1458="","",Dictionary!R1458),IF(DOMAIN=COV!$T$73,IF(Dictionary!T1458="","",Dictionary!T1458),IF(DOMAIN=COV!$T$74,IF(Dictionary!V1458="","",Dictionary!V1458),IF(Dictionary!R1458="","",Dictionary!R1458))))</f>
        <v>Projektänderungen beurteilen, Zustimmung für diese einholen und sie implementieren</v>
      </c>
      <c r="I1458" s="615" t="s">
        <v>1863</v>
      </c>
      <c r="J1458" s="615" t="s">
        <v>1868</v>
      </c>
      <c r="L1458" s="616" t="s">
        <v>333</v>
      </c>
      <c r="N1458" s="638" t="s">
        <v>2738</v>
      </c>
      <c r="O1458" s="639"/>
      <c r="P1458" s="638"/>
      <c r="R1458" s="645" t="s">
        <v>1544</v>
      </c>
      <c r="T1458" s="645" t="s">
        <v>1545</v>
      </c>
      <c r="X1458">
        <f>IF(APPLICATION_LVL="",0,IF(OR(APPLICATION_LVL=COV!$V$68,APPLICATION_LVL=COV!$V$67),Dictionary!Z1458,IF(APPLICATION_LVL=COV!$V$66,Dictionary!AA1458,IF(APPLICATION_LVL=COV!$V$65,IF(DOMAIN=COV!$T$72,Dictionary!AC1458,IF(DOMAIN=COV!$T$73,Dictionary!AD1458,IF(DOMAIN=COV!$T$75,Dictionary!AE1458,2))),IF(APPLICATION_LVL=COV!$V$64,IF(DOMAIN=COV!$T$72,Dictionary!AG1458,IF(DOMAIN=COV!$T$73,Dictionary!AH1458,IF(DOMAIN=COV!$T$75,Dictionary!AI1458,3))),1)))))</f>
        <v>3</v>
      </c>
      <c r="Z1458" s="1779">
        <f t="shared" si="59"/>
        <v>2</v>
      </c>
      <c r="AA1458" s="1779">
        <f t="shared" si="59"/>
        <v>2</v>
      </c>
      <c r="AB1458" s="1779"/>
      <c r="AC1458" s="1779">
        <f t="shared" si="60"/>
        <v>2</v>
      </c>
      <c r="AD1458">
        <v>2</v>
      </c>
      <c r="AG1458" s="1779">
        <f t="shared" si="61"/>
        <v>3</v>
      </c>
      <c r="AH1458">
        <v>3</v>
      </c>
      <c r="AK1458">
        <v>2</v>
      </c>
      <c r="AL1458">
        <v>2</v>
      </c>
      <c r="AN1458">
        <v>2</v>
      </c>
      <c r="AP1458">
        <v>3</v>
      </c>
      <c r="AR1458">
        <v>2</v>
      </c>
      <c r="AS1458">
        <v>3</v>
      </c>
      <c r="AU1458">
        <v>4</v>
      </c>
      <c r="AW1458">
        <v>5</v>
      </c>
    </row>
    <row r="1459" spans="2:49" ht="16">
      <c r="B1459" s="616" t="str">
        <f>IF(FORM_LANGUAGE=GER,Dictionary!G1459,Dictionary!E1459)</f>
        <v>Eine Phase oder das Projekt abschließen und evaluieren</v>
      </c>
      <c r="E1459" s="616" t="str">
        <f>IF(DOMAIN=COV!$T$72,IF(Dictionary!L1459="","",Dictionary!L1459),IF(DOMAIN=COV!$T$73,IF(Dictionary!N1459="","",Dictionary!N1459),IF(DOMAIN=COV!$T$74,IF(Dictionary!P1459="","",Dictionary!P1459),IF(Dictionary!L1459="","",Dictionary!L1459))))</f>
        <v>Close and evaluate a phase or the project</v>
      </c>
      <c r="F1459" s="616"/>
      <c r="G1459" s="616" t="str">
        <f>IF(DOMAIN=COV!$T$72,IF(Dictionary!R1459="","",Dictionary!R1459),IF(DOMAIN=COV!$T$73,IF(Dictionary!T1459="","",Dictionary!T1459),IF(DOMAIN=COV!$T$74,IF(Dictionary!V1459="","",Dictionary!V1459),IF(Dictionary!R1459="","",Dictionary!R1459))))</f>
        <v>Eine Phase oder das Projekt abschließen und evaluieren</v>
      </c>
      <c r="I1459" s="615" t="s">
        <v>1864</v>
      </c>
      <c r="J1459" s="615" t="s">
        <v>1869</v>
      </c>
      <c r="L1459" s="616" t="s">
        <v>332</v>
      </c>
      <c r="N1459" s="638"/>
      <c r="O1459" s="639"/>
      <c r="P1459" s="638"/>
      <c r="R1459" s="645" t="s">
        <v>1546</v>
      </c>
      <c r="X1459">
        <f>IF(APPLICATION_LVL="",0,IF(OR(APPLICATION_LVL=COV!$V$68,APPLICATION_LVL=COV!$V$67),Dictionary!Z1459,IF(APPLICATION_LVL=COV!$V$66,Dictionary!AA1459,IF(APPLICATION_LVL=COV!$V$65,IF(DOMAIN=COV!$T$72,Dictionary!AC1459,IF(DOMAIN=COV!$T$73,Dictionary!AD1459,IF(DOMAIN=COV!$T$75,Dictionary!AE1459,2))),IF(APPLICATION_LVL=COV!$V$64,IF(DOMAIN=COV!$T$72,Dictionary!AG1459,IF(DOMAIN=COV!$T$73,Dictionary!AH1459,IF(DOMAIN=COV!$T$75,Dictionary!AI1459,3))),1)))))</f>
        <v>3</v>
      </c>
      <c r="Z1459" s="1779">
        <f t="shared" si="59"/>
        <v>1</v>
      </c>
      <c r="AA1459" s="1779">
        <f t="shared" si="59"/>
        <v>2</v>
      </c>
      <c r="AB1459" s="1779"/>
      <c r="AC1459" s="1779">
        <f t="shared" si="60"/>
        <v>3</v>
      </c>
      <c r="AG1459" s="1779">
        <f t="shared" si="61"/>
        <v>3</v>
      </c>
      <c r="AK1459">
        <v>1</v>
      </c>
      <c r="AL1459">
        <v>2</v>
      </c>
      <c r="AN1459">
        <v>3</v>
      </c>
      <c r="AP1459">
        <v>3</v>
      </c>
      <c r="AR1459">
        <v>2</v>
      </c>
      <c r="AS1459">
        <v>3</v>
      </c>
      <c r="AU1459">
        <v>6</v>
      </c>
      <c r="AW1459">
        <v>6</v>
      </c>
    </row>
    <row r="1460" spans="2:49">
      <c r="F1460" s="638"/>
    </row>
    <row r="1462" spans="2:49" ht="16">
      <c r="B1462" s="649" t="str">
        <f>IF(FORM_LANGUAGE=GER,Dictionary!G1462,Dictionary!E1462)</f>
        <v>Risiken und Chancen</v>
      </c>
      <c r="C1462" s="650"/>
      <c r="D1462" s="650"/>
      <c r="E1462" s="649" t="str">
        <f>E1256</f>
        <v>Risk and opportunity</v>
      </c>
      <c r="F1462" s="649"/>
      <c r="G1462" s="649" t="str">
        <f>G1256</f>
        <v>Risiken und Chancen</v>
      </c>
      <c r="H1462" s="74"/>
      <c r="I1462" s="651" t="s">
        <v>331</v>
      </c>
      <c r="J1462" s="650" t="s">
        <v>1870</v>
      </c>
      <c r="K1462" s="650"/>
      <c r="L1462" s="649"/>
      <c r="M1462" s="650"/>
      <c r="N1462" s="649"/>
      <c r="O1462" s="650"/>
      <c r="P1462" s="649"/>
      <c r="Q1462" s="74"/>
      <c r="R1462" s="654"/>
      <c r="S1462" s="74"/>
      <c r="T1462" s="654"/>
      <c r="U1462" s="74"/>
      <c r="V1462" s="654"/>
      <c r="X1462">
        <f>IF(APPLICATION_LVL="",0,IF(OR(APPLICATION_LVL=COV!$V$68,APPLICATION_LVL=COV!$V$67),Dictionary!Z1462,IF(APPLICATION_LVL=COV!$V$66,Dictionary!AA1462,IF(APPLICATION_LVL=COV!$V$65,IF(DOMAIN=COV!$T$72,Dictionary!AC1462,IF(DOMAIN=COV!$T$73,Dictionary!AD1462,IF(DOMAIN=COV!$T$75,Dictionary!AE1462,2))),IF(APPLICATION_LVL=COV!$V$64,IF(DOMAIN=COV!$T$72,Dictionary!AG1462,IF(DOMAIN=COV!$T$73,Dictionary!AH1462,IF(DOMAIN=COV!$T$75,Dictionary!AI1462,3))),1)))))</f>
        <v>3</v>
      </c>
      <c r="Z1462" s="1779">
        <f t="shared" ref="Z1462:AA1467" si="62">IF(GC_Flag="",AK1462,AR1462)</f>
        <v>2</v>
      </c>
      <c r="AA1462" s="1779">
        <f t="shared" si="62"/>
        <v>2</v>
      </c>
      <c r="AB1462" s="1779"/>
      <c r="AC1462" s="1779">
        <f t="shared" ref="AC1462:AC1467" si="63">IF(GC_Flag="",AN1462,AU1462)</f>
        <v>3</v>
      </c>
      <c r="AD1462">
        <v>3</v>
      </c>
      <c r="AE1462">
        <v>3</v>
      </c>
      <c r="AG1462" s="1779">
        <f t="shared" ref="AG1462:AG1467" si="64">IF(GC_Flag="",AP1462,AW1462)</f>
        <v>3</v>
      </c>
      <c r="AH1462">
        <v>3</v>
      </c>
      <c r="AI1462">
        <v>3</v>
      </c>
      <c r="AK1462">
        <v>2</v>
      </c>
      <c r="AL1462">
        <v>2</v>
      </c>
      <c r="AN1462">
        <v>3</v>
      </c>
      <c r="AP1462">
        <v>3</v>
      </c>
      <c r="AR1462">
        <v>3</v>
      </c>
      <c r="AS1462">
        <v>3</v>
      </c>
      <c r="AU1462">
        <v>4</v>
      </c>
      <c r="AW1462">
        <v>6</v>
      </c>
    </row>
    <row r="1463" spans="2:49" ht="14.5" customHeight="1">
      <c r="B1463" s="616" t="str">
        <f>IF(FORM_LANGUAGE=GER,Dictionary!G1463,Dictionary!E1463)</f>
        <v>Chancen- und Risikomanagementstruktur entwickeln und implementieren</v>
      </c>
      <c r="E1463" s="616" t="str">
        <f>IF(DOMAIN=COV!$T$72,IF(Dictionary!L1463="","",Dictionary!L1463),IF(DOMAIN=COV!$T$73,IF(Dictionary!N1463="","",Dictionary!N1463),IF(DOMAIN=COV!$T$74,IF(Dictionary!P1463="","",Dictionary!P1463),IF(Dictionary!L1463="","",Dictionary!L1463))))</f>
        <v>Develop and implement a risk management framework</v>
      </c>
      <c r="F1463" s="616"/>
      <c r="G1463" s="616" t="str">
        <f>IF(DOMAIN=COV!$T$72,IF(Dictionary!R1463="","",Dictionary!R1463),IF(DOMAIN=COV!$T$73,IF(Dictionary!T1463="","",Dictionary!T1463),IF(DOMAIN=COV!$T$74,IF(Dictionary!V1463="","",Dictionary!V1463),IF(Dictionary!R1463="","",Dictionary!R1463))))</f>
        <v>Chancen- und Risikomanagementstruktur entwickeln und implementieren</v>
      </c>
      <c r="I1463" s="615" t="s">
        <v>1871</v>
      </c>
      <c r="J1463" s="615" t="s">
        <v>1872</v>
      </c>
      <c r="L1463" s="616" t="s">
        <v>330</v>
      </c>
      <c r="N1463" s="638" t="s">
        <v>330</v>
      </c>
      <c r="O1463" s="639"/>
      <c r="P1463" s="638" t="s">
        <v>330</v>
      </c>
      <c r="R1463" s="645" t="s">
        <v>1547</v>
      </c>
      <c r="T1463" s="645" t="s">
        <v>1547</v>
      </c>
      <c r="V1463" s="645" t="s">
        <v>1548</v>
      </c>
      <c r="X1463">
        <f>IF(APPLICATION_LVL="",0,IF(OR(APPLICATION_LVL=COV!$V$68,APPLICATION_LVL=COV!$V$67),Dictionary!Z1463,IF(APPLICATION_LVL=COV!$V$66,Dictionary!AA1463,IF(APPLICATION_LVL=COV!$V$65,IF(DOMAIN=COV!$T$72,Dictionary!AC1463,IF(DOMAIN=COV!$T$73,Dictionary!AD1463,IF(DOMAIN=COV!$T$75,Dictionary!AE1463,2))),IF(APPLICATION_LVL=COV!$V$64,IF(DOMAIN=COV!$T$72,Dictionary!AG1463,IF(DOMAIN=COV!$T$73,Dictionary!AH1463,IF(DOMAIN=COV!$T$75,Dictionary!AI1463,3))),1)))))</f>
        <v>3</v>
      </c>
      <c r="Z1463" s="1779">
        <f t="shared" si="62"/>
        <v>2</v>
      </c>
      <c r="AA1463" s="1779">
        <f t="shared" si="62"/>
        <v>2</v>
      </c>
      <c r="AB1463" s="1779"/>
      <c r="AC1463" s="1779">
        <f t="shared" si="63"/>
        <v>3</v>
      </c>
      <c r="AD1463">
        <v>2</v>
      </c>
      <c r="AE1463">
        <v>2</v>
      </c>
      <c r="AG1463" s="1779">
        <f t="shared" si="64"/>
        <v>3</v>
      </c>
      <c r="AH1463">
        <v>3</v>
      </c>
      <c r="AI1463">
        <v>3</v>
      </c>
      <c r="AK1463">
        <v>2</v>
      </c>
      <c r="AL1463">
        <v>2</v>
      </c>
      <c r="AN1463">
        <v>3</v>
      </c>
      <c r="AP1463">
        <v>3</v>
      </c>
      <c r="AR1463">
        <v>3</v>
      </c>
      <c r="AS1463">
        <v>3</v>
      </c>
      <c r="AU1463">
        <v>4</v>
      </c>
      <c r="AW1463">
        <v>6</v>
      </c>
    </row>
    <row r="1464" spans="2:49" ht="16">
      <c r="B1464" s="616" t="str">
        <f>IF(FORM_LANGUAGE=GER,Dictionary!G1464,Dictionary!E1464)</f>
        <v>Chancen und Risiken identifizieren</v>
      </c>
      <c r="E1464" s="616" t="str">
        <f>IF(DOMAIN=COV!$T$72,IF(Dictionary!L1464="","",Dictionary!L1464),IF(DOMAIN=COV!$T$73,IF(Dictionary!N1464="","",Dictionary!N1464),IF(DOMAIN=COV!$T$74,IF(Dictionary!P1464="","",Dictionary!P1464),IF(Dictionary!L1464="","",Dictionary!L1464))))</f>
        <v>Identify risks and opportunities</v>
      </c>
      <c r="F1464" s="616"/>
      <c r="G1464" s="616" t="str">
        <f>IF(DOMAIN=COV!$T$72,IF(Dictionary!R1464="","",Dictionary!R1464),IF(DOMAIN=COV!$T$73,IF(Dictionary!T1464="","",Dictionary!T1464),IF(DOMAIN=COV!$T$74,IF(Dictionary!V1464="","",Dictionary!V1464),IF(Dictionary!R1464="","",Dictionary!R1464))))</f>
        <v>Chancen und Risiken identifizieren</v>
      </c>
      <c r="I1464" s="615" t="s">
        <v>1873</v>
      </c>
      <c r="J1464" s="615" t="s">
        <v>1877</v>
      </c>
      <c r="L1464" s="616" t="s">
        <v>329</v>
      </c>
      <c r="N1464" s="638" t="s">
        <v>329</v>
      </c>
      <c r="O1464" s="639"/>
      <c r="P1464" s="638" t="s">
        <v>329</v>
      </c>
      <c r="R1464" s="645" t="s">
        <v>1549</v>
      </c>
      <c r="T1464" s="645" t="s">
        <v>1549</v>
      </c>
      <c r="V1464" s="645" t="s">
        <v>1549</v>
      </c>
      <c r="X1464">
        <f>IF(APPLICATION_LVL="",0,IF(OR(APPLICATION_LVL=COV!$V$68,APPLICATION_LVL=COV!$V$67),Dictionary!Z1464,IF(APPLICATION_LVL=COV!$V$66,Dictionary!AA1464,IF(APPLICATION_LVL=COV!$V$65,IF(DOMAIN=COV!$T$72,Dictionary!AC1464,IF(DOMAIN=COV!$T$73,Dictionary!AD1464,IF(DOMAIN=COV!$T$75,Dictionary!AE1464,2))),IF(APPLICATION_LVL=COV!$V$64,IF(DOMAIN=COV!$T$72,Dictionary!AG1464,IF(DOMAIN=COV!$T$73,Dictionary!AH1464,IF(DOMAIN=COV!$T$75,Dictionary!AI1464,3))),1)))))</f>
        <v>3</v>
      </c>
      <c r="Z1464" s="1779">
        <f t="shared" si="62"/>
        <v>2</v>
      </c>
      <c r="AA1464" s="1779">
        <f t="shared" si="62"/>
        <v>2</v>
      </c>
      <c r="AB1464" s="1779"/>
      <c r="AC1464" s="1779">
        <f t="shared" si="63"/>
        <v>2</v>
      </c>
      <c r="AD1464">
        <v>2</v>
      </c>
      <c r="AE1464">
        <v>2</v>
      </c>
      <c r="AG1464" s="1779">
        <f t="shared" si="64"/>
        <v>3</v>
      </c>
      <c r="AH1464">
        <v>3</v>
      </c>
      <c r="AI1464">
        <v>3</v>
      </c>
      <c r="AK1464">
        <v>2</v>
      </c>
      <c r="AL1464">
        <v>2</v>
      </c>
      <c r="AN1464">
        <v>2</v>
      </c>
      <c r="AP1464">
        <v>3</v>
      </c>
      <c r="AR1464">
        <v>2</v>
      </c>
      <c r="AS1464">
        <v>3</v>
      </c>
      <c r="AU1464">
        <v>4</v>
      </c>
      <c r="AW1464">
        <v>5</v>
      </c>
    </row>
    <row r="1465" spans="2:49" ht="32">
      <c r="B1465" s="616" t="str">
        <f>IF(FORM_LANGUAGE=GER,Dictionary!G1465,Dictionary!E1465)</f>
        <v>Wahrscheinlichkeit und Auswirkungen von Chancen und Risiken analysieren</v>
      </c>
      <c r="E1465" s="616" t="str">
        <f>IF(DOMAIN=COV!$T$72,IF(Dictionary!L1465="","",Dictionary!L1465),IF(DOMAIN=COV!$T$73,IF(Dictionary!N1465="","",Dictionary!N1465),IF(DOMAIN=COV!$T$74,IF(Dictionary!P1465="","",Dictionary!P1465),IF(Dictionary!L1465="","",Dictionary!L1465))))</f>
        <v>Assess the probability and impact of risks and opportunities</v>
      </c>
      <c r="F1465" s="616"/>
      <c r="G1465" s="616" t="str">
        <f>IF(DOMAIN=COV!$T$72,IF(Dictionary!R1465="","",Dictionary!R1465),IF(DOMAIN=COV!$T$73,IF(Dictionary!T1465="","",Dictionary!T1465),IF(DOMAIN=COV!$T$74,IF(Dictionary!V1465="","",Dictionary!V1465),IF(Dictionary!R1465="","",Dictionary!R1465))))</f>
        <v>Wahrscheinlichkeit und Auswirkungen von Chancen und Risiken analysieren</v>
      </c>
      <c r="I1465" s="615" t="s">
        <v>1874</v>
      </c>
      <c r="J1465" s="615" t="s">
        <v>1878</v>
      </c>
      <c r="L1465" s="616" t="s">
        <v>328</v>
      </c>
      <c r="N1465" s="638" t="s">
        <v>328</v>
      </c>
      <c r="O1465" s="639"/>
      <c r="P1465" s="638" t="s">
        <v>328</v>
      </c>
      <c r="R1465" s="645" t="s">
        <v>1550</v>
      </c>
      <c r="T1465" s="645" t="s">
        <v>1550</v>
      </c>
      <c r="V1465" s="645" t="s">
        <v>1550</v>
      </c>
      <c r="X1465">
        <f>IF(APPLICATION_LVL="",0,IF(OR(APPLICATION_LVL=COV!$V$68,APPLICATION_LVL=COV!$V$67),Dictionary!Z1465,IF(APPLICATION_LVL=COV!$V$66,Dictionary!AA1465,IF(APPLICATION_LVL=COV!$V$65,IF(DOMAIN=COV!$T$72,Dictionary!AC1465,IF(DOMAIN=COV!$T$73,Dictionary!AD1465,IF(DOMAIN=COV!$T$75,Dictionary!AE1465,2))),IF(APPLICATION_LVL=COV!$V$64,IF(DOMAIN=COV!$T$72,Dictionary!AG1465,IF(DOMAIN=COV!$T$73,Dictionary!AH1465,IF(DOMAIN=COV!$T$75,Dictionary!AI1465,3))),1)))))</f>
        <v>3</v>
      </c>
      <c r="Z1465" s="1779">
        <f t="shared" si="62"/>
        <v>2</v>
      </c>
      <c r="AA1465" s="1779">
        <f t="shared" si="62"/>
        <v>2</v>
      </c>
      <c r="AB1465" s="1779"/>
      <c r="AC1465" s="1779">
        <f t="shared" si="63"/>
        <v>3</v>
      </c>
      <c r="AD1465">
        <v>2</v>
      </c>
      <c r="AE1465">
        <v>2</v>
      </c>
      <c r="AG1465" s="1779">
        <f t="shared" si="64"/>
        <v>3</v>
      </c>
      <c r="AH1465">
        <v>3</v>
      </c>
      <c r="AI1465">
        <v>3</v>
      </c>
      <c r="AK1465">
        <v>2</v>
      </c>
      <c r="AL1465">
        <v>2</v>
      </c>
      <c r="AN1465">
        <v>3</v>
      </c>
      <c r="AP1465">
        <v>3</v>
      </c>
      <c r="AR1465">
        <v>3</v>
      </c>
      <c r="AS1465">
        <v>3</v>
      </c>
      <c r="AU1465">
        <v>4</v>
      </c>
      <c r="AW1465">
        <v>5</v>
      </c>
    </row>
    <row r="1466" spans="2:49" ht="32">
      <c r="B1466" s="616" t="str">
        <f>IF(FORM_LANGUAGE=GER,Dictionary!G1466,Dictionary!E1466)</f>
        <v>Strategien auswählen und Maßnahmen implementieren, um Chancen und Risiken zu adressieren</v>
      </c>
      <c r="E1466" s="616" t="str">
        <f>IF(DOMAIN=COV!$T$72,IF(Dictionary!L1466="","",Dictionary!L1466),IF(DOMAIN=COV!$T$73,IF(Dictionary!N1466="","",Dictionary!N1466),IF(DOMAIN=COV!$T$74,IF(Dictionary!P1466="","",Dictionary!P1466),IF(Dictionary!L1466="","",Dictionary!L1466))))</f>
        <v>Select strategies and implement response plans to address risks and opportunities</v>
      </c>
      <c r="F1466" s="616"/>
      <c r="G1466" s="616" t="str">
        <f>IF(DOMAIN=COV!$T$72,IF(Dictionary!R1466="","",Dictionary!R1466),IF(DOMAIN=COV!$T$73,IF(Dictionary!T1466="","",Dictionary!T1466),IF(DOMAIN=COV!$T$74,IF(Dictionary!V1466="","",Dictionary!V1466),IF(Dictionary!R1466="","",Dictionary!R1466))))</f>
        <v>Strategien auswählen und Maßnahmen implementieren, um Chancen und Risiken zu adressieren</v>
      </c>
      <c r="I1466" s="615" t="s">
        <v>1875</v>
      </c>
      <c r="J1466" s="615" t="s">
        <v>1879</v>
      </c>
      <c r="L1466" s="616" t="s">
        <v>327</v>
      </c>
      <c r="N1466" s="638" t="s">
        <v>327</v>
      </c>
      <c r="O1466" s="639"/>
      <c r="P1466" s="638" t="s">
        <v>327</v>
      </c>
      <c r="R1466" s="645" t="s">
        <v>1551</v>
      </c>
      <c r="T1466" s="645" t="s">
        <v>1551</v>
      </c>
      <c r="V1466" s="645" t="s">
        <v>1551</v>
      </c>
      <c r="X1466">
        <f>IF(APPLICATION_LVL="",0,IF(OR(APPLICATION_LVL=COV!$V$68,APPLICATION_LVL=COV!$V$67),Dictionary!Z1466,IF(APPLICATION_LVL=COV!$V$66,Dictionary!AA1466,IF(APPLICATION_LVL=COV!$V$65,IF(DOMAIN=COV!$T$72,Dictionary!AC1466,IF(DOMAIN=COV!$T$73,Dictionary!AD1466,IF(DOMAIN=COV!$T$75,Dictionary!AE1466,2))),IF(APPLICATION_LVL=COV!$V$64,IF(DOMAIN=COV!$T$72,Dictionary!AG1466,IF(DOMAIN=COV!$T$73,Dictionary!AH1466,IF(DOMAIN=COV!$T$75,Dictionary!AI1466,3))),1)))))</f>
        <v>3</v>
      </c>
      <c r="Z1466" s="1779">
        <f t="shared" si="62"/>
        <v>2</v>
      </c>
      <c r="AA1466" s="1779">
        <f t="shared" si="62"/>
        <v>2</v>
      </c>
      <c r="AB1466" s="1779"/>
      <c r="AC1466" s="1779">
        <f t="shared" si="63"/>
        <v>2</v>
      </c>
      <c r="AD1466">
        <v>2</v>
      </c>
      <c r="AE1466">
        <v>3</v>
      </c>
      <c r="AG1466" s="1779">
        <f t="shared" si="64"/>
        <v>3</v>
      </c>
      <c r="AH1466">
        <v>3</v>
      </c>
      <c r="AI1466">
        <v>3</v>
      </c>
      <c r="AK1466">
        <v>2</v>
      </c>
      <c r="AL1466">
        <v>2</v>
      </c>
      <c r="AN1466">
        <v>2</v>
      </c>
      <c r="AP1466">
        <v>3</v>
      </c>
      <c r="AR1466">
        <v>3</v>
      </c>
      <c r="AS1466">
        <v>3</v>
      </c>
      <c r="AU1466">
        <v>4</v>
      </c>
      <c r="AW1466">
        <v>6</v>
      </c>
    </row>
    <row r="1467" spans="2:49" ht="32">
      <c r="B1467" s="616" t="str">
        <f>IF(FORM_LANGUAGE=GER,Dictionary!G1467,Dictionary!E1467)</f>
        <v>Chancen, Risiken und implementierte Maßnahmen evaluieren und überwachen</v>
      </c>
      <c r="E1467" s="616" t="str">
        <f>IF(DOMAIN=COV!$T$72,IF(Dictionary!L1467="","",Dictionary!L1467),IF(DOMAIN=COV!$T$73,IF(Dictionary!N1467="","",Dictionary!N1467),IF(DOMAIN=COV!$T$74,IF(Dictionary!P1467="","",Dictionary!P1467),IF(Dictionary!L1467="","",Dictionary!L1467))))</f>
        <v>Evaluate and monitor risks, opportunities, and implemented responses</v>
      </c>
      <c r="F1467" s="616"/>
      <c r="G1467" s="616" t="str">
        <f>IF(DOMAIN=COV!$T$72,IF(Dictionary!R1467="","",Dictionary!R1467),IF(DOMAIN=COV!$T$73,IF(Dictionary!T1467="","",Dictionary!T1467),IF(DOMAIN=COV!$T$74,IF(Dictionary!V1467="","",Dictionary!V1467),IF(Dictionary!R1467="","",Dictionary!R1467))))</f>
        <v>Chancen, Risiken und implementierte Maßnahmen evaluieren und überwachen</v>
      </c>
      <c r="I1467" s="615" t="s">
        <v>1876</v>
      </c>
      <c r="J1467" s="615" t="s">
        <v>1880</v>
      </c>
      <c r="L1467" s="616" t="s">
        <v>326</v>
      </c>
      <c r="N1467" s="638" t="s">
        <v>326</v>
      </c>
      <c r="O1467" s="639"/>
      <c r="P1467" s="638" t="s">
        <v>326</v>
      </c>
      <c r="R1467" s="645" t="s">
        <v>1552</v>
      </c>
      <c r="T1467" s="645" t="s">
        <v>1552</v>
      </c>
      <c r="V1467" s="645" t="s">
        <v>1552</v>
      </c>
      <c r="X1467">
        <f>IF(APPLICATION_LVL="",0,IF(OR(APPLICATION_LVL=COV!$V$68,APPLICATION_LVL=COV!$V$67),Dictionary!Z1467,IF(APPLICATION_LVL=COV!$V$66,Dictionary!AA1467,IF(APPLICATION_LVL=COV!$V$65,IF(DOMAIN=COV!$T$72,Dictionary!AC1467,IF(DOMAIN=COV!$T$73,Dictionary!AD1467,IF(DOMAIN=COV!$T$75,Dictionary!AE1467,2))),IF(APPLICATION_LVL=COV!$V$64,IF(DOMAIN=COV!$T$72,Dictionary!AG1467,IF(DOMAIN=COV!$T$73,Dictionary!AH1467,IF(DOMAIN=COV!$T$75,Dictionary!AI1467,3))),1)))))</f>
        <v>2</v>
      </c>
      <c r="Z1467" s="1779">
        <f t="shared" si="62"/>
        <v>1</v>
      </c>
      <c r="AA1467" s="1779">
        <f t="shared" si="62"/>
        <v>2</v>
      </c>
      <c r="AB1467" s="1779"/>
      <c r="AC1467" s="1779">
        <f t="shared" si="63"/>
        <v>2</v>
      </c>
      <c r="AD1467">
        <v>2</v>
      </c>
      <c r="AE1467">
        <v>2</v>
      </c>
      <c r="AG1467" s="1779">
        <f t="shared" si="64"/>
        <v>2</v>
      </c>
      <c r="AH1467">
        <v>3</v>
      </c>
      <c r="AI1467">
        <v>2</v>
      </c>
      <c r="AK1467">
        <v>1</v>
      </c>
      <c r="AL1467">
        <v>2</v>
      </c>
      <c r="AN1467">
        <v>2</v>
      </c>
      <c r="AP1467">
        <v>2</v>
      </c>
      <c r="AR1467">
        <v>0</v>
      </c>
      <c r="AS1467">
        <v>3</v>
      </c>
      <c r="AU1467">
        <v>4</v>
      </c>
      <c r="AW1467">
        <v>5</v>
      </c>
    </row>
    <row r="1468" spans="2:49">
      <c r="F1468" s="638"/>
      <c r="N1468" s="638"/>
      <c r="O1468" s="639"/>
      <c r="P1468" s="638"/>
    </row>
    <row r="1469" spans="2:49">
      <c r="N1469" s="638"/>
      <c r="O1469" s="639"/>
      <c r="P1469" s="638"/>
    </row>
    <row r="1470" spans="2:49" ht="16">
      <c r="B1470" s="649" t="str">
        <f>IF(FORM_LANGUAGE=GER,Dictionary!G1470,Dictionary!E1470)</f>
        <v>Stakeholder</v>
      </c>
      <c r="C1470" s="650"/>
      <c r="D1470" s="650"/>
      <c r="E1470" s="649" t="str">
        <f>E1257</f>
        <v>Stakeholders</v>
      </c>
      <c r="F1470" s="649"/>
      <c r="G1470" s="649" t="str">
        <f>G1257</f>
        <v>Stakeholder</v>
      </c>
      <c r="H1470" s="74"/>
      <c r="I1470" s="651" t="s">
        <v>325</v>
      </c>
      <c r="J1470" s="650" t="s">
        <v>1881</v>
      </c>
      <c r="K1470" s="650"/>
      <c r="L1470" s="649"/>
      <c r="M1470" s="650"/>
      <c r="N1470" s="652"/>
      <c r="O1470" s="653"/>
      <c r="P1470" s="652"/>
      <c r="Q1470" s="74"/>
      <c r="R1470" s="654"/>
      <c r="S1470" s="74"/>
      <c r="T1470" s="654"/>
      <c r="U1470" s="74"/>
      <c r="V1470" s="654"/>
      <c r="X1470">
        <f>IF(APPLICATION_LVL="",0,IF(OR(APPLICATION_LVL=COV!$V$68,APPLICATION_LVL=COV!$V$67),Dictionary!Z1470,IF(APPLICATION_LVL=COV!$V$66,Dictionary!AA1470,IF(APPLICATION_LVL=COV!$V$65,IF(DOMAIN=COV!$T$72,Dictionary!AC1470,IF(DOMAIN=COV!$T$73,Dictionary!AD1470,IF(DOMAIN=COV!$T$75,Dictionary!AE1470,2))),IF(APPLICATION_LVL=COV!$V$64,IF(DOMAIN=COV!$T$72,Dictionary!AG1470,IF(DOMAIN=COV!$T$73,Dictionary!AH1470,IF(DOMAIN=COV!$T$75,Dictionary!AI1470,3))),1)))))</f>
        <v>3</v>
      </c>
      <c r="Z1470" s="1779">
        <f t="shared" ref="Z1470:AA1475" si="65">IF(GC_Flag="",AK1470,AR1470)</f>
        <v>2</v>
      </c>
      <c r="AA1470" s="1779">
        <f t="shared" si="65"/>
        <v>2</v>
      </c>
      <c r="AB1470" s="1779"/>
      <c r="AC1470" s="1779">
        <f t="shared" ref="AC1470:AC1475" si="66">IF(GC_Flag="",AN1470,AU1470)</f>
        <v>2</v>
      </c>
      <c r="AD1470">
        <v>2</v>
      </c>
      <c r="AE1470">
        <v>2</v>
      </c>
      <c r="AG1470" s="1779">
        <f t="shared" ref="AG1470:AG1475" si="67">IF(GC_Flag="",AP1470,AW1470)</f>
        <v>3</v>
      </c>
      <c r="AH1470">
        <v>3</v>
      </c>
      <c r="AI1470">
        <v>3</v>
      </c>
      <c r="AK1470">
        <v>2</v>
      </c>
      <c r="AL1470">
        <v>2</v>
      </c>
      <c r="AN1470">
        <v>2</v>
      </c>
      <c r="AP1470">
        <v>3</v>
      </c>
      <c r="AR1470">
        <v>3</v>
      </c>
      <c r="AS1470">
        <v>3</v>
      </c>
      <c r="AU1470">
        <v>4</v>
      </c>
      <c r="AW1470">
        <v>6</v>
      </c>
    </row>
    <row r="1471" spans="2:49" ht="32">
      <c r="B1471" s="616" t="str">
        <f>IF(FORM_LANGUAGE=GER,Dictionary!G1471,Dictionary!E1471)</f>
        <v>Stakeholder identifizieren und ihre Interessen sowie ihren Einfluss analysieren</v>
      </c>
      <c r="E1471" s="616" t="str">
        <f>IF(DOMAIN=COV!$T$72,IF(Dictionary!L1471="","",Dictionary!L1471),IF(DOMAIN=COV!$T$73,IF(Dictionary!N1471="","",Dictionary!N1471),IF(DOMAIN=COV!$T$74,IF(Dictionary!P1471="","",Dictionary!P1471),IF(Dictionary!L1471="","",Dictionary!L1471))))</f>
        <v>Identify stakeholders, and analyze their interests and influence</v>
      </c>
      <c r="F1471" s="616"/>
      <c r="G1471" s="616" t="str">
        <f>IF(DOMAIN=COV!$T$72,IF(Dictionary!R1471="","",Dictionary!R1471),IF(DOMAIN=COV!$T$73,IF(Dictionary!T1471="","",Dictionary!T1471),IF(DOMAIN=COV!$T$74,IF(Dictionary!V1471="","",Dictionary!V1471),IF(Dictionary!R1471="","",Dictionary!R1471))))</f>
        <v>Stakeholder identifizieren und ihre Interessen sowie ihren Einfluss analysieren</v>
      </c>
      <c r="I1471" s="615" t="s">
        <v>1882</v>
      </c>
      <c r="J1471" s="615" t="s">
        <v>1883</v>
      </c>
      <c r="L1471" s="616" t="s">
        <v>324</v>
      </c>
      <c r="N1471" s="638" t="s">
        <v>324</v>
      </c>
      <c r="O1471" s="639"/>
      <c r="P1471" s="638" t="s">
        <v>324</v>
      </c>
      <c r="R1471" s="645" t="s">
        <v>1553</v>
      </c>
      <c r="T1471" s="645" t="s">
        <v>1553</v>
      </c>
      <c r="V1471" s="645" t="s">
        <v>1553</v>
      </c>
      <c r="X1471">
        <f>IF(APPLICATION_LVL="",0,IF(OR(APPLICATION_LVL=COV!$V$68,APPLICATION_LVL=COV!$V$67),Dictionary!Z1471,IF(APPLICATION_LVL=COV!$V$66,Dictionary!AA1471,IF(APPLICATION_LVL=COV!$V$65,IF(DOMAIN=COV!$T$72,Dictionary!AC1471,IF(DOMAIN=COV!$T$73,Dictionary!AD1471,IF(DOMAIN=COV!$T$75,Dictionary!AE1471,2))),IF(APPLICATION_LVL=COV!$V$64,IF(DOMAIN=COV!$T$72,Dictionary!AG1471,IF(DOMAIN=COV!$T$73,Dictionary!AH1471,IF(DOMAIN=COV!$T$75,Dictionary!AI1471,3))),1)))))</f>
        <v>3</v>
      </c>
      <c r="Z1471" s="1779">
        <f t="shared" si="65"/>
        <v>2</v>
      </c>
      <c r="AA1471" s="1779">
        <f t="shared" si="65"/>
        <v>2</v>
      </c>
      <c r="AB1471" s="1779"/>
      <c r="AC1471" s="1779">
        <f t="shared" si="66"/>
        <v>2</v>
      </c>
      <c r="AD1471">
        <v>2</v>
      </c>
      <c r="AE1471">
        <v>2</v>
      </c>
      <c r="AG1471" s="1779">
        <f t="shared" si="67"/>
        <v>3</v>
      </c>
      <c r="AH1471">
        <v>3</v>
      </c>
      <c r="AI1471">
        <v>3</v>
      </c>
      <c r="AK1471">
        <v>2</v>
      </c>
      <c r="AL1471">
        <v>2</v>
      </c>
      <c r="AN1471">
        <v>2</v>
      </c>
      <c r="AP1471">
        <v>3</v>
      </c>
      <c r="AR1471">
        <v>3</v>
      </c>
      <c r="AS1471">
        <v>3</v>
      </c>
      <c r="AU1471">
        <v>4</v>
      </c>
      <c r="AW1471">
        <v>5</v>
      </c>
    </row>
    <row r="1472" spans="2:49" ht="29" customHeight="1">
      <c r="B1472" s="616" t="str">
        <f>IF(FORM_LANGUAGE=GER,Dictionary!G1472,Dictionary!E1472)</f>
        <v>Stakeholderstrategie und einen Kommunikationsplan entwickeln und aufrechterhalten</v>
      </c>
      <c r="E1472" s="616" t="str">
        <f>IF(DOMAIN=COV!$T$72,IF(Dictionary!L1472="","",Dictionary!L1472),IF(DOMAIN=COV!$T$73,IF(Dictionary!N1472="","",Dictionary!N1472),IF(DOMAIN=COV!$T$74,IF(Dictionary!P1472="","",Dictionary!P1472),IF(Dictionary!L1472="","",Dictionary!L1472))))</f>
        <v>Develop and maintain a stakeholder strategy and communication plan</v>
      </c>
      <c r="F1472" s="616"/>
      <c r="G1472" s="616" t="str">
        <f>IF(DOMAIN=COV!$T$72,IF(Dictionary!R1472="","",Dictionary!R1472),IF(DOMAIN=COV!$T$73,IF(Dictionary!T1472="","",Dictionary!T1472),IF(DOMAIN=COV!$T$74,IF(Dictionary!V1472="","",Dictionary!V1472),IF(Dictionary!R1472="","",Dictionary!R1472))))</f>
        <v>Stakeholderstrategie und einen Kommunikationsplan entwickeln und aufrechterhalten</v>
      </c>
      <c r="I1472" s="615" t="s">
        <v>1884</v>
      </c>
      <c r="J1472" s="615" t="s">
        <v>1888</v>
      </c>
      <c r="L1472" s="616" t="s">
        <v>323</v>
      </c>
      <c r="N1472" s="638" t="s">
        <v>322</v>
      </c>
      <c r="O1472" s="639"/>
      <c r="P1472" s="638" t="s">
        <v>323</v>
      </c>
      <c r="R1472" s="645" t="s">
        <v>1554</v>
      </c>
      <c r="T1472" s="645" t="s">
        <v>1555</v>
      </c>
      <c r="V1472" s="645" t="s">
        <v>1556</v>
      </c>
      <c r="X1472">
        <f>IF(APPLICATION_LVL="",0,IF(OR(APPLICATION_LVL=COV!$V$68,APPLICATION_LVL=COV!$V$67),Dictionary!Z1472,IF(APPLICATION_LVL=COV!$V$66,Dictionary!AA1472,IF(APPLICATION_LVL=COV!$V$65,IF(DOMAIN=COV!$T$72,Dictionary!AC1472,IF(DOMAIN=COV!$T$73,Dictionary!AD1472,IF(DOMAIN=COV!$T$75,Dictionary!AE1472,2))),IF(APPLICATION_LVL=COV!$V$64,IF(DOMAIN=COV!$T$72,Dictionary!AG1472,IF(DOMAIN=COV!$T$73,Dictionary!AH1472,IF(DOMAIN=COV!$T$75,Dictionary!AI1472,3))),1)))))</f>
        <v>3</v>
      </c>
      <c r="Z1472" s="1779">
        <f t="shared" si="65"/>
        <v>2</v>
      </c>
      <c r="AA1472" s="1779">
        <f t="shared" si="65"/>
        <v>2</v>
      </c>
      <c r="AB1472" s="1779"/>
      <c r="AC1472" s="1779">
        <f t="shared" si="66"/>
        <v>2</v>
      </c>
      <c r="AD1472">
        <v>2</v>
      </c>
      <c r="AE1472">
        <v>2</v>
      </c>
      <c r="AG1472" s="1779">
        <f t="shared" si="67"/>
        <v>3</v>
      </c>
      <c r="AH1472">
        <v>3</v>
      </c>
      <c r="AI1472">
        <v>3</v>
      </c>
      <c r="AK1472">
        <v>2</v>
      </c>
      <c r="AL1472">
        <v>2</v>
      </c>
      <c r="AN1472">
        <v>2</v>
      </c>
      <c r="AP1472">
        <v>3</v>
      </c>
      <c r="AR1472">
        <v>2</v>
      </c>
      <c r="AS1472">
        <v>3</v>
      </c>
      <c r="AU1472">
        <v>4</v>
      </c>
      <c r="AW1472">
        <v>5</v>
      </c>
    </row>
    <row r="1473" spans="2:49" ht="48">
      <c r="B1473" s="616" t="str">
        <f>IF(FORM_LANGUAGE=GER,Dictionary!G1473,Dictionary!E1473)</f>
        <v>Geschäftsführung, Auftraggeber und höheres Management einbinden, um Commitment zu erreichen und um Interessen und Erwartungen zu managen</v>
      </c>
      <c r="E1473" s="616" t="str">
        <f>IF(DOMAIN=COV!$T$72,IF(Dictionary!L1473="","",Dictionary!L1473),IF(DOMAIN=COV!$T$73,IF(Dictionary!N1473="","",Dictionary!N1473),IF(DOMAIN=COV!$T$74,IF(Dictionary!P1473="","",Dictionary!P1473),IF(Dictionary!L1473="","",Dictionary!L1473))))</f>
        <v>Engage with the executive, sponsors, and higher management to gain commitment and to manage interests and expectations</v>
      </c>
      <c r="F1473" s="616"/>
      <c r="G1473" s="616" t="str">
        <f>IF(DOMAIN=COV!$T$72,IF(Dictionary!R1473="","",Dictionary!R1473),IF(DOMAIN=COV!$T$73,IF(Dictionary!T1473="","",Dictionary!T1473),IF(DOMAIN=COV!$T$74,IF(Dictionary!V1473="","",Dictionary!V1473),IF(Dictionary!R1473="","",Dictionary!R1473))))</f>
        <v>Geschäftsführung, Auftraggeber und höheres Management einbinden, um Commitment zu erreichen und um Interessen und Erwartungen zu managen</v>
      </c>
      <c r="I1473" s="615" t="s">
        <v>1885</v>
      </c>
      <c r="J1473" s="615" t="s">
        <v>1889</v>
      </c>
      <c r="L1473" s="616" t="s">
        <v>322</v>
      </c>
      <c r="N1473" s="638" t="s">
        <v>2739</v>
      </c>
      <c r="O1473" s="639"/>
      <c r="P1473" s="638" t="s">
        <v>322</v>
      </c>
      <c r="R1473" s="645" t="s">
        <v>1555</v>
      </c>
      <c r="T1473" s="645" t="s">
        <v>1557</v>
      </c>
      <c r="V1473" s="645" t="s">
        <v>1555</v>
      </c>
      <c r="X1473">
        <f>IF(APPLICATION_LVL="",0,IF(OR(APPLICATION_LVL=COV!$V$68,APPLICATION_LVL=COV!$V$67),Dictionary!Z1473,IF(APPLICATION_LVL=COV!$V$66,Dictionary!AA1473,IF(APPLICATION_LVL=COV!$V$65,IF(DOMAIN=COV!$T$72,Dictionary!AC1473,IF(DOMAIN=COV!$T$73,Dictionary!AD1473,IF(DOMAIN=COV!$T$75,Dictionary!AE1473,2))),IF(APPLICATION_LVL=COV!$V$64,IF(DOMAIN=COV!$T$72,Dictionary!AG1473,IF(DOMAIN=COV!$T$73,Dictionary!AH1473,IF(DOMAIN=COV!$T$75,Dictionary!AI1473,3))),1)))))</f>
        <v>3</v>
      </c>
      <c r="Z1473" s="1779">
        <f t="shared" si="65"/>
        <v>1</v>
      </c>
      <c r="AA1473" s="1779">
        <f t="shared" si="65"/>
        <v>2</v>
      </c>
      <c r="AB1473" s="1779"/>
      <c r="AC1473" s="1779">
        <f t="shared" si="66"/>
        <v>2</v>
      </c>
      <c r="AD1473">
        <v>2</v>
      </c>
      <c r="AE1473">
        <v>2</v>
      </c>
      <c r="AG1473" s="1779">
        <f t="shared" si="67"/>
        <v>3</v>
      </c>
      <c r="AH1473">
        <v>3</v>
      </c>
      <c r="AI1473">
        <v>3</v>
      </c>
      <c r="AK1473">
        <v>1</v>
      </c>
      <c r="AL1473">
        <v>2</v>
      </c>
      <c r="AN1473">
        <v>2</v>
      </c>
      <c r="AP1473">
        <v>3</v>
      </c>
      <c r="AR1473">
        <v>2</v>
      </c>
      <c r="AS1473">
        <v>3</v>
      </c>
      <c r="AU1473">
        <v>4</v>
      </c>
      <c r="AW1473">
        <v>5</v>
      </c>
    </row>
    <row r="1474" spans="2:49" ht="48">
      <c r="B1474" s="616" t="str">
        <f>IF(FORM_LANGUAGE=GER,Dictionary!G1474,Dictionary!E1474)</f>
        <v>Benutzer, Partner und Lieferanten und andere Stakeholder einbinden, um deren Kooperation und Commitment zu erreichen</v>
      </c>
      <c r="E1474" s="616" t="str">
        <f>IF(DOMAIN=COV!$T$72,IF(Dictionary!L1474="","",Dictionary!L1474),IF(DOMAIN=COV!$T$73,IF(Dictionary!N1474="","",Dictionary!N1474),IF(DOMAIN=COV!$T$74,IF(Dictionary!P1474="","",Dictionary!P1474),IF(Dictionary!L1474="","",Dictionary!L1474))))</f>
        <v>Engage with users, partners, and suppliers to gain their cooperation and commitment</v>
      </c>
      <c r="F1474" s="616"/>
      <c r="G1474" s="616" t="str">
        <f>IF(DOMAIN=COV!$T$72,IF(Dictionary!R1474="","",Dictionary!R1474),IF(DOMAIN=COV!$T$73,IF(Dictionary!T1474="","",Dictionary!T1474),IF(DOMAIN=COV!$T$74,IF(Dictionary!V1474="","",Dictionary!V1474),IF(Dictionary!R1474="","",Dictionary!R1474))))</f>
        <v>Benutzer, Partner und Lieferanten und andere Stakeholder einbinden, um deren Kooperation und Commitment zu erreichen</v>
      </c>
      <c r="I1474" s="615" t="s">
        <v>1886</v>
      </c>
      <c r="J1474" s="615" t="s">
        <v>1890</v>
      </c>
      <c r="L1474" s="616" t="s">
        <v>321</v>
      </c>
      <c r="N1474" s="638" t="s">
        <v>321</v>
      </c>
      <c r="O1474" s="639"/>
      <c r="P1474" s="638" t="s">
        <v>321</v>
      </c>
      <c r="R1474" s="645" t="s">
        <v>1558</v>
      </c>
      <c r="T1474" s="645" t="s">
        <v>1559</v>
      </c>
      <c r="V1474" s="645" t="s">
        <v>1560</v>
      </c>
      <c r="X1474">
        <f>IF(APPLICATION_LVL="",0,IF(OR(APPLICATION_LVL=COV!$V$68,APPLICATION_LVL=COV!$V$67),Dictionary!Z1474,IF(APPLICATION_LVL=COV!$V$66,Dictionary!AA1474,IF(APPLICATION_LVL=COV!$V$65,IF(DOMAIN=COV!$T$72,Dictionary!AC1474,IF(DOMAIN=COV!$T$73,Dictionary!AD1474,IF(DOMAIN=COV!$T$75,Dictionary!AE1474,2))),IF(APPLICATION_LVL=COV!$V$64,IF(DOMAIN=COV!$T$72,Dictionary!AG1474,IF(DOMAIN=COV!$T$73,Dictionary!AH1474,IF(DOMAIN=COV!$T$75,Dictionary!AI1474,3))),1)))))</f>
        <v>3</v>
      </c>
      <c r="Z1474" s="1779">
        <f t="shared" si="65"/>
        <v>0</v>
      </c>
      <c r="AA1474" s="1779">
        <f t="shared" si="65"/>
        <v>2</v>
      </c>
      <c r="AB1474" s="1779"/>
      <c r="AC1474" s="1779">
        <f t="shared" si="66"/>
        <v>2</v>
      </c>
      <c r="AD1474">
        <v>2</v>
      </c>
      <c r="AE1474">
        <v>2</v>
      </c>
      <c r="AG1474" s="1779">
        <f t="shared" si="67"/>
        <v>3</v>
      </c>
      <c r="AH1474">
        <v>3</v>
      </c>
      <c r="AI1474">
        <v>3</v>
      </c>
      <c r="AK1474">
        <v>0</v>
      </c>
      <c r="AL1474">
        <v>2</v>
      </c>
      <c r="AN1474">
        <v>2</v>
      </c>
      <c r="AP1474">
        <v>3</v>
      </c>
      <c r="AR1474">
        <v>2</v>
      </c>
      <c r="AS1474">
        <v>3</v>
      </c>
      <c r="AU1474">
        <v>4</v>
      </c>
      <c r="AW1474">
        <v>6</v>
      </c>
    </row>
    <row r="1475" spans="2:49" ht="32">
      <c r="B1475" s="616" t="str">
        <f>IF(FORM_LANGUAGE=GER,Dictionary!G1475,Dictionary!E1475)</f>
        <v>Netzwerke und Allianzen aufbauen, aufrechterhalten und beenden</v>
      </c>
      <c r="E1475" s="616" t="str">
        <f>IF(DOMAIN=COV!$T$72,IF(Dictionary!L1475="","",Dictionary!L1475),IF(DOMAIN=COV!$T$73,IF(Dictionary!N1475="","",Dictionary!N1475),IF(DOMAIN=COV!$T$74,IF(Dictionary!P1475="","",Dictionary!P1475),IF(Dictionary!L1475="","",Dictionary!L1475))))</f>
        <v>Organize and maintain networks and alliances</v>
      </c>
      <c r="F1475" s="616"/>
      <c r="G1475" s="616" t="str">
        <f>IF(DOMAIN=COV!$T$72,IF(Dictionary!R1475="","",Dictionary!R1475),IF(DOMAIN=COV!$T$73,IF(Dictionary!T1475="","",Dictionary!T1475),IF(DOMAIN=COV!$T$74,IF(Dictionary!V1475="","",Dictionary!V1475),IF(Dictionary!R1475="","",Dictionary!R1475))))</f>
        <v>Netzwerke und Allianzen aufbauen, aufrechterhalten und beenden</v>
      </c>
      <c r="I1475" s="615" t="s">
        <v>1887</v>
      </c>
      <c r="J1475" s="615" t="s">
        <v>1891</v>
      </c>
      <c r="L1475" s="616" t="s">
        <v>320</v>
      </c>
      <c r="N1475" s="638" t="s">
        <v>320</v>
      </c>
      <c r="O1475" s="639"/>
      <c r="P1475" s="638" t="s">
        <v>320</v>
      </c>
      <c r="R1475" s="645" t="s">
        <v>1561</v>
      </c>
      <c r="T1475" s="645" t="s">
        <v>1561</v>
      </c>
      <c r="V1475" s="645" t="s">
        <v>1561</v>
      </c>
      <c r="X1475">
        <f>IF(APPLICATION_LVL="",0,IF(OR(APPLICATION_LVL=COV!$V$68,APPLICATION_LVL=COV!$V$67),Dictionary!Z1475,IF(APPLICATION_LVL=COV!$V$66,Dictionary!AA1475,IF(APPLICATION_LVL=COV!$V$65,IF(DOMAIN=COV!$T$72,Dictionary!AC1475,IF(DOMAIN=COV!$T$73,Dictionary!AD1475,IF(DOMAIN=COV!$T$75,Dictionary!AE1475,2))),IF(APPLICATION_LVL=COV!$V$64,IF(DOMAIN=COV!$T$72,Dictionary!AG1475,IF(DOMAIN=COV!$T$73,Dictionary!AH1475,IF(DOMAIN=COV!$T$75,Dictionary!AI1475,3))),1)))))</f>
        <v>3</v>
      </c>
      <c r="Z1475" s="1779">
        <f t="shared" si="65"/>
        <v>0</v>
      </c>
      <c r="AA1475" s="1779">
        <f t="shared" si="65"/>
        <v>1</v>
      </c>
      <c r="AB1475" s="1779"/>
      <c r="AC1475" s="1779">
        <f t="shared" si="66"/>
        <v>2</v>
      </c>
      <c r="AD1475">
        <v>2</v>
      </c>
      <c r="AE1475">
        <v>2</v>
      </c>
      <c r="AG1475" s="1779">
        <f t="shared" si="67"/>
        <v>3</v>
      </c>
      <c r="AH1475">
        <v>3</v>
      </c>
      <c r="AI1475">
        <v>3</v>
      </c>
      <c r="AK1475">
        <v>0</v>
      </c>
      <c r="AL1475">
        <v>1</v>
      </c>
      <c r="AN1475">
        <v>2</v>
      </c>
      <c r="AP1475">
        <v>3</v>
      </c>
      <c r="AR1475">
        <v>0</v>
      </c>
      <c r="AS1475">
        <v>2</v>
      </c>
      <c r="AU1475">
        <v>3</v>
      </c>
      <c r="AW1475">
        <v>6</v>
      </c>
    </row>
    <row r="1476" spans="2:49">
      <c r="F1476" s="638"/>
    </row>
    <row r="1478" spans="2:49" ht="16">
      <c r="B1478" s="649" t="str">
        <f>IF(FORM_LANGUAGE=GER,Dictionary!G1478,Dictionary!E1478)</f>
        <v>Change und Transformation</v>
      </c>
      <c r="C1478" s="650"/>
      <c r="D1478" s="650"/>
      <c r="E1478" s="649" t="str">
        <f>E1258</f>
        <v>Change and transformation</v>
      </c>
      <c r="F1478" s="649"/>
      <c r="G1478" s="649" t="str">
        <f>G1258</f>
        <v>Change und Transformation</v>
      </c>
      <c r="H1478" s="74"/>
      <c r="I1478" s="651" t="s">
        <v>319</v>
      </c>
      <c r="J1478" s="650" t="s">
        <v>1892</v>
      </c>
      <c r="K1478" s="650"/>
      <c r="L1478" s="649"/>
      <c r="M1478" s="650"/>
      <c r="N1478" s="649"/>
      <c r="O1478" s="650"/>
      <c r="P1478" s="649"/>
      <c r="Q1478" s="74"/>
      <c r="R1478" s="654"/>
      <c r="S1478" s="74"/>
      <c r="T1478" s="654"/>
      <c r="U1478" s="74"/>
      <c r="V1478" s="654"/>
      <c r="X1478">
        <f>IF(APPLICATION_LVL="",0,IF(OR(APPLICATION_LVL=COV!$V$68,APPLICATION_LVL=COV!$V$67),Dictionary!Z1478,IF(APPLICATION_LVL=COV!$V$66,Dictionary!AA1478,IF(APPLICATION_LVL=COV!$V$65,IF(DOMAIN=COV!$T$72,Dictionary!AC1478,IF(DOMAIN=COV!$T$73,Dictionary!AD1478,IF(DOMAIN=COV!$T$75,Dictionary!AE1478,2))),IF(APPLICATION_LVL=COV!$V$64,IF(DOMAIN=COV!$T$72,Dictionary!AG1478,IF(DOMAIN=COV!$T$73,Dictionary!AH1478,IF(DOMAIN=COV!$T$75,Dictionary!AI1478,3))),1)))))</f>
        <v>3</v>
      </c>
      <c r="Z1478" s="1779">
        <f t="shared" ref="Z1478:AA1482" si="68">IF(GC_Flag="",AK1478,AR1478)</f>
        <v>1</v>
      </c>
      <c r="AA1478" s="1779">
        <f t="shared" si="68"/>
        <v>2</v>
      </c>
      <c r="AB1478" s="1779"/>
      <c r="AC1478" s="1779">
        <f>IF(GC_Flag="",AN1478,AU1478)</f>
        <v>2</v>
      </c>
      <c r="AD1478">
        <v>2</v>
      </c>
      <c r="AE1478">
        <v>2</v>
      </c>
      <c r="AG1478" s="1779">
        <f>IF(GC_Flag="",AP1478,AW1478)</f>
        <v>3</v>
      </c>
      <c r="AH1478">
        <v>3</v>
      </c>
      <c r="AI1478">
        <v>3</v>
      </c>
      <c r="AK1478">
        <v>1</v>
      </c>
      <c r="AL1478">
        <v>2</v>
      </c>
      <c r="AN1478">
        <v>2</v>
      </c>
      <c r="AP1478">
        <v>3</v>
      </c>
      <c r="AR1478">
        <v>1</v>
      </c>
      <c r="AS1478">
        <v>3</v>
      </c>
      <c r="AU1478">
        <v>4</v>
      </c>
      <c r="AW1478">
        <v>5</v>
      </c>
    </row>
    <row r="1479" spans="2:49" ht="32">
      <c r="B1479" s="616" t="str">
        <f>IF(FORM_LANGUAGE=GER,Dictionary!G1479,Dictionary!E1479)</f>
        <v>Adaptionsfähigkeit der Organisation(en) zu Veränderung beurteilen</v>
      </c>
      <c r="E1479" s="616" t="str">
        <f>IF(DOMAIN=COV!$T$72,IF(Dictionary!L1479="","",Dictionary!L1479),IF(DOMAIN=COV!$T$73,IF(Dictionary!N1479="","",Dictionary!N1479),IF(DOMAIN=COV!$T$74,IF(Dictionary!P1479="","",Dictionary!P1479),IF(Dictionary!L1479="","",Dictionary!L1479))))</f>
        <v>Assess the adaptability to change of the organization(s)</v>
      </c>
      <c r="F1479" s="616"/>
      <c r="G1479" s="616" t="str">
        <f>IF(DOMAIN=COV!$T$72,IF(Dictionary!R1479="","",Dictionary!R1479),IF(DOMAIN=COV!$T$73,IF(Dictionary!T1479="","",Dictionary!T1479),IF(DOMAIN=COV!$T$74,IF(Dictionary!V1479="","",Dictionary!V1479),IF(Dictionary!R1479="","",Dictionary!R1479))))</f>
        <v>Adaptionsfähigkeit der Organisation(en) zu Veränderung beurteilen</v>
      </c>
      <c r="I1479" s="615" t="s">
        <v>1893</v>
      </c>
      <c r="J1479" s="615" t="s">
        <v>1894</v>
      </c>
      <c r="L1479" s="616" t="s">
        <v>318</v>
      </c>
      <c r="N1479" s="638" t="s">
        <v>318</v>
      </c>
      <c r="O1479" s="639"/>
      <c r="P1479" s="638" t="s">
        <v>2775</v>
      </c>
      <c r="R1479" s="645" t="s">
        <v>1562</v>
      </c>
      <c r="T1479" s="645" t="s">
        <v>1563</v>
      </c>
      <c r="V1479" s="645" t="s">
        <v>1564</v>
      </c>
      <c r="X1479">
        <f>IF(APPLICATION_LVL="",0,IF(OR(APPLICATION_LVL=COV!$V$68,APPLICATION_LVL=COV!$V$67),Dictionary!Z1479,IF(APPLICATION_LVL=COV!$V$66,Dictionary!AA1479,IF(APPLICATION_LVL=COV!$V$65,IF(DOMAIN=COV!$T$72,Dictionary!AC1479,IF(DOMAIN=COV!$T$73,Dictionary!AD1479,IF(DOMAIN=COV!$T$75,Dictionary!AE1479,2))),IF(APPLICATION_LVL=COV!$V$64,IF(DOMAIN=COV!$T$72,Dictionary!AG1479,IF(DOMAIN=COV!$T$73,Dictionary!AH1479,IF(DOMAIN=COV!$T$75,Dictionary!AI1479,3))),1)))))</f>
        <v>2</v>
      </c>
      <c r="Z1479" s="1779">
        <f t="shared" si="68"/>
        <v>1</v>
      </c>
      <c r="AA1479" s="1779">
        <f t="shared" si="68"/>
        <v>2</v>
      </c>
      <c r="AB1479" s="1779"/>
      <c r="AC1479" s="1779">
        <f>IF(GC_Flag="",AN1479,AU1479)</f>
        <v>2</v>
      </c>
      <c r="AD1479">
        <v>2</v>
      </c>
      <c r="AE1479">
        <v>2</v>
      </c>
      <c r="AG1479" s="1779">
        <f>IF(GC_Flag="",AP1479,AW1479)</f>
        <v>2</v>
      </c>
      <c r="AH1479">
        <v>3</v>
      </c>
      <c r="AI1479">
        <v>2</v>
      </c>
      <c r="AK1479">
        <v>1</v>
      </c>
      <c r="AL1479">
        <v>2</v>
      </c>
      <c r="AN1479">
        <v>2</v>
      </c>
      <c r="AP1479">
        <v>2</v>
      </c>
      <c r="AR1479">
        <v>0</v>
      </c>
      <c r="AS1479">
        <v>3</v>
      </c>
      <c r="AU1479">
        <v>4</v>
      </c>
      <c r="AW1479">
        <v>4</v>
      </c>
    </row>
    <row r="1480" spans="2:49" ht="32">
      <c r="B1480" s="616" t="str">
        <f>IF(FORM_LANGUAGE=GER,Dictionary!G1480,Dictionary!E1480)</f>
        <v>Veränderungsanforderungen und Transformationschancen identifizieren</v>
      </c>
      <c r="E1480" s="616" t="str">
        <f>IF(DOMAIN=COV!$T$72,IF(Dictionary!L1480="","",Dictionary!L1480),IF(DOMAIN=COV!$T$73,IF(Dictionary!N1480="","",Dictionary!N1480),IF(DOMAIN=COV!$T$74,IF(Dictionary!P1480="","",Dictionary!P1480),IF(Dictionary!L1480="","",Dictionary!L1480))))</f>
        <v>Identify change requirements and transformation opportunities</v>
      </c>
      <c r="F1480" s="616"/>
      <c r="G1480" s="616" t="str">
        <f>IF(DOMAIN=COV!$T$72,IF(Dictionary!R1480="","",Dictionary!R1480),IF(DOMAIN=COV!$T$73,IF(Dictionary!T1480="","",Dictionary!T1480),IF(DOMAIN=COV!$T$74,IF(Dictionary!V1480="","",Dictionary!V1480),IF(Dictionary!R1480="","",Dictionary!R1480))))</f>
        <v>Veränderungsanforderungen und Transformationschancen identifizieren</v>
      </c>
      <c r="I1480" s="615" t="s">
        <v>1895</v>
      </c>
      <c r="J1480" s="615" t="s">
        <v>1898</v>
      </c>
      <c r="L1480" s="616" t="s">
        <v>317</v>
      </c>
      <c r="N1480" s="638" t="s">
        <v>317</v>
      </c>
      <c r="O1480" s="639"/>
      <c r="P1480" s="638" t="s">
        <v>2776</v>
      </c>
      <c r="R1480" s="645" t="s">
        <v>1565</v>
      </c>
      <c r="T1480" s="645" t="s">
        <v>1565</v>
      </c>
      <c r="V1480" s="645" t="s">
        <v>1566</v>
      </c>
      <c r="X1480">
        <f>IF(APPLICATION_LVL="",0,IF(OR(APPLICATION_LVL=COV!$V$68,APPLICATION_LVL=COV!$V$67),Dictionary!Z1480,IF(APPLICATION_LVL=COV!$V$66,Dictionary!AA1480,IF(APPLICATION_LVL=COV!$V$65,IF(DOMAIN=COV!$T$72,Dictionary!AC1480,IF(DOMAIN=COV!$T$73,Dictionary!AD1480,IF(DOMAIN=COV!$T$75,Dictionary!AE1480,2))),IF(APPLICATION_LVL=COV!$V$64,IF(DOMAIN=COV!$T$72,Dictionary!AG1480,IF(DOMAIN=COV!$T$73,Dictionary!AH1480,IF(DOMAIN=COV!$T$75,Dictionary!AI1480,3))),1)))))</f>
        <v>2</v>
      </c>
      <c r="Z1480" s="1779">
        <f t="shared" si="68"/>
        <v>1</v>
      </c>
      <c r="AA1480" s="1779">
        <f t="shared" si="68"/>
        <v>2</v>
      </c>
      <c r="AB1480" s="1779"/>
      <c r="AC1480" s="1779">
        <f>IF(GC_Flag="",AN1480,AU1480)</f>
        <v>2</v>
      </c>
      <c r="AD1480">
        <v>2</v>
      </c>
      <c r="AE1480">
        <v>2</v>
      </c>
      <c r="AG1480" s="1779">
        <f>IF(GC_Flag="",AP1480,AW1480)</f>
        <v>2</v>
      </c>
      <c r="AH1480">
        <v>2</v>
      </c>
      <c r="AI1480">
        <v>2</v>
      </c>
      <c r="AK1480">
        <v>1</v>
      </c>
      <c r="AL1480">
        <v>2</v>
      </c>
      <c r="AN1480">
        <v>2</v>
      </c>
      <c r="AP1480">
        <v>2</v>
      </c>
      <c r="AR1480">
        <v>0</v>
      </c>
      <c r="AS1480">
        <v>2</v>
      </c>
      <c r="AU1480">
        <v>4</v>
      </c>
      <c r="AW1480">
        <v>4</v>
      </c>
    </row>
    <row r="1481" spans="2:49" ht="14.5" customHeight="1">
      <c r="B1481" s="616" t="str">
        <f>IF(FORM_LANGUAGE=GER,Dictionary!G1481,Dictionary!E1481)</f>
        <v>Veränderungs- oder Transformationsstrategie für das Projekt entwickeln</v>
      </c>
      <c r="E1481" s="616" t="str">
        <f>IF(DOMAIN=COV!$T$72,IF(Dictionary!L1481="","",Dictionary!L1481),IF(DOMAIN=COV!$T$73,IF(Dictionary!N1481="","",Dictionary!N1481),IF(DOMAIN=COV!$T$74,IF(Dictionary!P1481="","",Dictionary!P1481),IF(Dictionary!L1481="","",Dictionary!L1481))))</f>
        <v>Develop change or transformation strategy</v>
      </c>
      <c r="F1481" s="616"/>
      <c r="G1481" s="616" t="str">
        <f>IF(DOMAIN=COV!$T$72,IF(Dictionary!R1481="","",Dictionary!R1481),IF(DOMAIN=COV!$T$73,IF(Dictionary!T1481="","",Dictionary!T1481),IF(DOMAIN=COV!$T$74,IF(Dictionary!V1481="","",Dictionary!V1481),IF(Dictionary!R1481="","",Dictionary!R1481))))</f>
        <v>Veränderungs- oder Transformationsstrategie für das Projekt entwickeln</v>
      </c>
      <c r="I1481" s="615" t="s">
        <v>1896</v>
      </c>
      <c r="J1481" s="615" t="s">
        <v>1899</v>
      </c>
      <c r="L1481" s="616" t="s">
        <v>316</v>
      </c>
      <c r="N1481" s="638" t="s">
        <v>316</v>
      </c>
      <c r="O1481" s="639"/>
      <c r="P1481" s="638" t="s">
        <v>2777</v>
      </c>
      <c r="R1481" s="645" t="s">
        <v>1567</v>
      </c>
      <c r="T1481" s="645" t="s">
        <v>1568</v>
      </c>
      <c r="V1481" s="645" t="s">
        <v>1569</v>
      </c>
      <c r="X1481">
        <f>IF(APPLICATION_LVL="",0,IF(OR(APPLICATION_LVL=COV!$V$68,APPLICATION_LVL=COV!$V$67),Dictionary!Z1481,IF(APPLICATION_LVL=COV!$V$66,Dictionary!AA1481,IF(APPLICATION_LVL=COV!$V$65,IF(DOMAIN=COV!$T$72,Dictionary!AC1481,IF(DOMAIN=COV!$T$73,Dictionary!AD1481,IF(DOMAIN=COV!$T$75,Dictionary!AE1481,2))),IF(APPLICATION_LVL=COV!$V$64,IF(DOMAIN=COV!$T$72,Dictionary!AG1481,IF(DOMAIN=COV!$T$73,Dictionary!AH1481,IF(DOMAIN=COV!$T$75,Dictionary!AI1481,3))),1)))))</f>
        <v>3</v>
      </c>
      <c r="Z1481" s="1779">
        <f t="shared" si="68"/>
        <v>1</v>
      </c>
      <c r="AA1481" s="1779">
        <f t="shared" si="68"/>
        <v>2</v>
      </c>
      <c r="AB1481" s="1779"/>
      <c r="AC1481" s="1779">
        <f>IF(GC_Flag="",AN1481,AU1481)</f>
        <v>2</v>
      </c>
      <c r="AD1481">
        <v>2</v>
      </c>
      <c r="AE1481">
        <v>2</v>
      </c>
      <c r="AG1481" s="1779">
        <f>IF(GC_Flag="",AP1481,AW1481)</f>
        <v>3</v>
      </c>
      <c r="AH1481">
        <v>3</v>
      </c>
      <c r="AI1481">
        <v>3</v>
      </c>
      <c r="AK1481">
        <v>1</v>
      </c>
      <c r="AL1481">
        <v>2</v>
      </c>
      <c r="AN1481">
        <v>2</v>
      </c>
      <c r="AP1481">
        <v>3</v>
      </c>
      <c r="AR1481">
        <v>0</v>
      </c>
      <c r="AS1481">
        <v>2</v>
      </c>
      <c r="AU1481">
        <v>4</v>
      </c>
      <c r="AW1481">
        <v>5</v>
      </c>
    </row>
    <row r="1482" spans="2:49" ht="32">
      <c r="B1482" s="616" t="str">
        <f>IF(FORM_LANGUAGE=GER,Dictionary!G1482,Dictionary!E1482)</f>
        <v>Veränderungs- oder Transformationsmanagement implementieren</v>
      </c>
      <c r="E1482" s="616" t="str">
        <f>IF(DOMAIN=COV!$T$72,IF(Dictionary!L1482="","",Dictionary!L1482),IF(DOMAIN=COV!$T$73,IF(Dictionary!N1482="","",Dictionary!N1482),IF(DOMAIN=COV!$T$74,IF(Dictionary!P1482="","",Dictionary!P1482),IF(Dictionary!L1482="","",Dictionary!L1482))))</f>
        <v>Implement change or transformation management strategy</v>
      </c>
      <c r="F1482" s="616"/>
      <c r="G1482" s="616" t="str">
        <f>IF(DOMAIN=COV!$T$72,IF(Dictionary!R1482="","",Dictionary!R1482),IF(DOMAIN=COV!$T$73,IF(Dictionary!T1482="","",Dictionary!T1482),IF(DOMAIN=COV!$T$74,IF(Dictionary!V1482="","",Dictionary!V1482),IF(Dictionary!R1482="","",Dictionary!R1482))))</f>
        <v>Veränderungs- oder Transformationsmanagement implementieren</v>
      </c>
      <c r="I1482" s="615" t="s">
        <v>1897</v>
      </c>
      <c r="J1482" s="615" t="s">
        <v>1900</v>
      </c>
      <c r="L1482" s="616" t="s">
        <v>315</v>
      </c>
      <c r="N1482" s="638"/>
      <c r="O1482" s="639"/>
      <c r="P1482" s="638"/>
      <c r="R1482" s="645" t="s">
        <v>1570</v>
      </c>
      <c r="X1482">
        <f>IF(APPLICATION_LVL="",0,IF(OR(APPLICATION_LVL=COV!$V$68,APPLICATION_LVL=COV!$V$67),Dictionary!Z1482,IF(APPLICATION_LVL=COV!$V$66,Dictionary!AA1482,IF(APPLICATION_LVL=COV!$V$65,IF(DOMAIN=COV!$T$72,Dictionary!AC1482,IF(DOMAIN=COV!$T$73,Dictionary!AD1482,IF(DOMAIN=COV!$T$75,Dictionary!AE1482,2))),IF(APPLICATION_LVL=COV!$V$64,IF(DOMAIN=COV!$T$72,Dictionary!AG1482,IF(DOMAIN=COV!$T$73,Dictionary!AH1482,IF(DOMAIN=COV!$T$75,Dictionary!AI1482,3))),1)))))</f>
        <v>3</v>
      </c>
      <c r="Z1482" s="1779">
        <f t="shared" si="68"/>
        <v>0</v>
      </c>
      <c r="AA1482" s="1779">
        <f t="shared" si="68"/>
        <v>2</v>
      </c>
      <c r="AB1482" s="1779"/>
      <c r="AC1482" s="1779">
        <f>IF(GC_Flag="",AN1482,AU1482)</f>
        <v>2</v>
      </c>
      <c r="AD1482">
        <v>2</v>
      </c>
      <c r="AG1482" s="1779">
        <f>IF(GC_Flag="",AP1482,AW1482)</f>
        <v>3</v>
      </c>
      <c r="AH1482">
        <v>3</v>
      </c>
      <c r="AK1482">
        <v>0</v>
      </c>
      <c r="AL1482">
        <v>2</v>
      </c>
      <c r="AN1482">
        <v>2</v>
      </c>
      <c r="AP1482">
        <v>3</v>
      </c>
      <c r="AR1482">
        <v>1</v>
      </c>
      <c r="AS1482">
        <v>3</v>
      </c>
      <c r="AU1482">
        <v>4</v>
      </c>
      <c r="AW1482">
        <v>5</v>
      </c>
    </row>
    <row r="1483" spans="2:49">
      <c r="F1483" s="639"/>
    </row>
    <row r="1484" spans="2:49">
      <c r="F1484" s="639"/>
    </row>
    <row r="1485" spans="2:49" ht="16">
      <c r="B1485" s="649" t="str">
        <f>IF(FORM_LANGUAGE=GER,Dictionary!G1485,Dictionary!E1485)</f>
        <v/>
      </c>
      <c r="C1485" s="650"/>
      <c r="D1485" s="650"/>
      <c r="E1485" s="649" t="str">
        <f>E1259</f>
        <v/>
      </c>
      <c r="F1485" s="649"/>
      <c r="G1485" s="649" t="str">
        <f>G1259</f>
        <v/>
      </c>
      <c r="H1485" s="74"/>
      <c r="I1485" s="651" t="s">
        <v>1902</v>
      </c>
      <c r="J1485" s="650" t="s">
        <v>1901</v>
      </c>
      <c r="K1485" s="650"/>
      <c r="L1485" s="649"/>
      <c r="M1485" s="650"/>
      <c r="N1485" s="649"/>
      <c r="O1485" s="650"/>
      <c r="P1485" s="649"/>
      <c r="Q1485" s="74"/>
      <c r="R1485" s="654"/>
      <c r="S1485" s="74"/>
      <c r="T1485" s="654"/>
      <c r="U1485" s="74"/>
      <c r="V1485" s="654"/>
      <c r="X1485">
        <f>IF(APPLICATION_LVL="",0,IF(OR(APPLICATION_LVL=COV!$V$68,APPLICATION_LVL=COV!$V$67),Dictionary!Z1485,IF(APPLICATION_LVL=COV!$V$66,Dictionary!AA1485,IF(APPLICATION_LVL=COV!$V$65,IF(DOMAIN=COV!$T$72,Dictionary!AC1485,IF(DOMAIN=COV!$T$73,Dictionary!AD1485,IF(DOMAIN=COV!$T$75,Dictionary!AE1485,2))),IF(APPLICATION_LVL=COV!$V$64,IF(DOMAIN=COV!$T$72,Dictionary!AG1485,IF(DOMAIN=COV!$T$73,Dictionary!AH1485,IF(DOMAIN=COV!$T$75,Dictionary!AI1485,3))),1)))))</f>
        <v>0</v>
      </c>
      <c r="AD1485">
        <v>2</v>
      </c>
      <c r="AE1485">
        <v>2</v>
      </c>
      <c r="AH1485">
        <v>3</v>
      </c>
      <c r="AI1485">
        <v>3</v>
      </c>
    </row>
    <row r="1486" spans="2:49" ht="32">
      <c r="B1486" s="616" t="str">
        <f>IF(FORM_LANGUAGE=GER,Dictionary!G1486,Dictionary!E1486)</f>
        <v/>
      </c>
      <c r="E1486" s="616" t="str">
        <f>IF(DOMAIN=COV!$T$72,IF(Dictionary!L1486="","",Dictionary!L1486),IF(DOMAIN=COV!$T$73,IF(Dictionary!N1486="","",Dictionary!N1486),IF(DOMAIN=COV!$T$74,IF(Dictionary!P1486="","",Dictionary!P1486),IF(Dictionary!L1486="","",Dictionary!L1486))))</f>
        <v/>
      </c>
      <c r="F1486" s="616"/>
      <c r="G1486" s="616" t="str">
        <f>IF(DOMAIN=COV!$T$72,IF(Dictionary!R1486="","",Dictionary!R1486),IF(DOMAIN=COV!$T$73,IF(Dictionary!T1486="","",Dictionary!T1486),IF(DOMAIN=COV!$T$74,IF(Dictionary!V1486="","",Dictionary!V1486),IF(Dictionary!R1486="","",Dictionary!R1486))))</f>
        <v/>
      </c>
      <c r="I1486" s="639" t="s">
        <v>1903</v>
      </c>
      <c r="J1486" s="639" t="s">
        <v>1904</v>
      </c>
      <c r="K1486" s="639"/>
      <c r="L1486" s="638"/>
      <c r="M1486" s="639"/>
      <c r="N1486" s="638" t="s">
        <v>2741</v>
      </c>
      <c r="O1486" s="639"/>
      <c r="P1486" s="638" t="s">
        <v>2745</v>
      </c>
      <c r="Q1486" s="647"/>
      <c r="R1486" s="646"/>
      <c r="S1486" s="647"/>
      <c r="T1486" s="646" t="s">
        <v>1905</v>
      </c>
      <c r="U1486" s="647"/>
      <c r="V1486" s="646" t="s">
        <v>1906</v>
      </c>
      <c r="X1486">
        <f>IF(APPLICATION_LVL="",0,IF(OR(APPLICATION_LVL=COV!$V$68,APPLICATION_LVL=COV!$V$67),Dictionary!Z1486,IF(APPLICATION_LVL=COV!$V$66,Dictionary!AA1486,IF(APPLICATION_LVL=COV!$V$65,IF(DOMAIN=COV!$T$72,Dictionary!AC1486,IF(DOMAIN=COV!$T$73,Dictionary!AD1486,IF(DOMAIN=COV!$T$75,Dictionary!AE1486,2))),IF(APPLICATION_LVL=COV!$V$64,IF(DOMAIN=COV!$T$72,Dictionary!AG1486,IF(DOMAIN=COV!$T$73,Dictionary!AH1486,IF(DOMAIN=COV!$T$75,Dictionary!AI1486,3))),1)))))</f>
        <v>0</v>
      </c>
      <c r="AD1486">
        <v>2</v>
      </c>
      <c r="AE1486">
        <v>2</v>
      </c>
      <c r="AH1486">
        <v>3</v>
      </c>
      <c r="AI1486">
        <v>3</v>
      </c>
    </row>
    <row r="1487" spans="2:49" ht="32">
      <c r="B1487" s="616" t="str">
        <f>IF(FORM_LANGUAGE=GER,Dictionary!G1487,Dictionary!E1487)</f>
        <v/>
      </c>
      <c r="E1487" s="616" t="str">
        <f>IF(DOMAIN=COV!$T$72,IF(Dictionary!L1487="","",Dictionary!L1487),IF(DOMAIN=COV!$T$73,IF(Dictionary!N1487="","",Dictionary!N1487),IF(DOMAIN=COV!$T$74,IF(Dictionary!P1487="","",Dictionary!P1487),IF(Dictionary!L1487="","",Dictionary!L1487))))</f>
        <v/>
      </c>
      <c r="F1487" s="616"/>
      <c r="G1487" s="616" t="str">
        <f>IF(DOMAIN=COV!$T$72,IF(Dictionary!R1487="","",Dictionary!R1487),IF(DOMAIN=COV!$T$73,IF(Dictionary!T1487="","",Dictionary!T1487),IF(DOMAIN=COV!$T$74,IF(Dictionary!V1487="","",Dictionary!V1487),IF(Dictionary!R1487="","",Dictionary!R1487))))</f>
        <v/>
      </c>
      <c r="I1487" s="639" t="s">
        <v>1919</v>
      </c>
      <c r="J1487" s="639" t="s">
        <v>1914</v>
      </c>
      <c r="K1487" s="639"/>
      <c r="L1487" s="638"/>
      <c r="M1487" s="639"/>
      <c r="N1487" s="638" t="s">
        <v>2742</v>
      </c>
      <c r="O1487" s="639"/>
      <c r="P1487" s="638" t="s">
        <v>2746</v>
      </c>
      <c r="Q1487" s="647"/>
      <c r="R1487" s="646"/>
      <c r="S1487" s="647"/>
      <c r="T1487" s="646" t="s">
        <v>1907</v>
      </c>
      <c r="U1487" s="647"/>
      <c r="V1487" s="646" t="s">
        <v>1905</v>
      </c>
      <c r="X1487">
        <f>IF(APPLICATION_LVL="",0,IF(OR(APPLICATION_LVL=COV!$V$68,APPLICATION_LVL=COV!$V$67),Dictionary!Z1487,IF(APPLICATION_LVL=COV!$V$66,Dictionary!AA1487,IF(APPLICATION_LVL=COV!$V$65,IF(DOMAIN=COV!$T$72,Dictionary!AC1487,IF(DOMAIN=COV!$T$73,Dictionary!AD1487,IF(DOMAIN=COV!$T$75,Dictionary!AE1487,2))),IF(APPLICATION_LVL=COV!$V$64,IF(DOMAIN=COV!$T$72,Dictionary!AG1487,IF(DOMAIN=COV!$T$73,Dictionary!AH1487,IF(DOMAIN=COV!$T$75,Dictionary!AI1487,3))),1)))))</f>
        <v>0</v>
      </c>
      <c r="AD1487">
        <v>2</v>
      </c>
      <c r="AE1487">
        <v>2</v>
      </c>
      <c r="AH1487">
        <v>3</v>
      </c>
      <c r="AI1487">
        <v>3</v>
      </c>
    </row>
    <row r="1488" spans="2:49" ht="32">
      <c r="B1488" s="616" t="str">
        <f>IF(FORM_LANGUAGE=GER,Dictionary!G1488,Dictionary!E1488)</f>
        <v/>
      </c>
      <c r="E1488" s="616" t="str">
        <f>IF(DOMAIN=COV!$T$72,IF(Dictionary!L1488="","",Dictionary!L1488),IF(DOMAIN=COV!$T$73,IF(Dictionary!N1488="","",Dictionary!N1488),IF(DOMAIN=COV!$T$74,IF(Dictionary!P1488="","",Dictionary!P1488),IF(Dictionary!L1488="","",Dictionary!L1488))))</f>
        <v/>
      </c>
      <c r="F1488" s="616"/>
      <c r="G1488" s="616" t="str">
        <f>IF(DOMAIN=COV!$T$72,IF(Dictionary!R1488="","",Dictionary!R1488),IF(DOMAIN=COV!$T$73,IF(Dictionary!T1488="","",Dictionary!T1488),IF(DOMAIN=COV!$T$74,IF(Dictionary!V1488="","",Dictionary!V1488),IF(Dictionary!R1488="","",Dictionary!R1488))))</f>
        <v/>
      </c>
      <c r="I1488" s="639" t="s">
        <v>1920</v>
      </c>
      <c r="J1488" s="639" t="s">
        <v>1915</v>
      </c>
      <c r="K1488" s="639"/>
      <c r="L1488" s="638"/>
      <c r="M1488" s="639"/>
      <c r="N1488" s="638" t="s">
        <v>2743</v>
      </c>
      <c r="O1488" s="639"/>
      <c r="P1488" s="638" t="s">
        <v>2747</v>
      </c>
      <c r="Q1488" s="647"/>
      <c r="R1488" s="646"/>
      <c r="S1488" s="647"/>
      <c r="T1488" s="646" t="s">
        <v>1908</v>
      </c>
      <c r="U1488" s="647"/>
      <c r="V1488" s="646" t="s">
        <v>1909</v>
      </c>
      <c r="X1488">
        <f>IF(APPLICATION_LVL="",0,IF(OR(APPLICATION_LVL=COV!$V$68,APPLICATION_LVL=COV!$V$67),Dictionary!Z1488,IF(APPLICATION_LVL=COV!$V$66,Dictionary!AA1488,IF(APPLICATION_LVL=COV!$V$65,IF(DOMAIN=COV!$T$72,Dictionary!AC1488,IF(DOMAIN=COV!$T$73,Dictionary!AD1488,IF(DOMAIN=COV!$T$75,Dictionary!AE1488,2))),IF(APPLICATION_LVL=COV!$V$64,IF(DOMAIN=COV!$T$72,Dictionary!AG1488,IF(DOMAIN=COV!$T$73,Dictionary!AH1488,IF(DOMAIN=COV!$T$75,Dictionary!AI1488,3))),1)))))</f>
        <v>0</v>
      </c>
      <c r="AD1488">
        <v>2</v>
      </c>
      <c r="AE1488">
        <v>2</v>
      </c>
      <c r="AH1488">
        <v>3</v>
      </c>
      <c r="AI1488">
        <v>3</v>
      </c>
    </row>
    <row r="1489" spans="2:35" ht="16">
      <c r="B1489" s="616" t="str">
        <f>IF(FORM_LANGUAGE=GER,Dictionary!G1489,Dictionary!E1489)</f>
        <v/>
      </c>
      <c r="E1489" s="616" t="str">
        <f>IF(DOMAIN=COV!$T$72,IF(Dictionary!L1489="","",Dictionary!L1489),IF(DOMAIN=COV!$T$73,IF(Dictionary!N1489="","",Dictionary!N1489),IF(DOMAIN=COV!$T$74,IF(Dictionary!P1489="","",Dictionary!P1489),IF(Dictionary!L1489="","",Dictionary!L1489))))</f>
        <v/>
      </c>
      <c r="F1489" s="616"/>
      <c r="G1489" s="616" t="str">
        <f>IF(DOMAIN=COV!$T$72,IF(Dictionary!R1489="","",Dictionary!R1489),IF(DOMAIN=COV!$T$73,IF(Dictionary!T1489="","",Dictionary!T1489),IF(DOMAIN=COV!$T$74,IF(Dictionary!V1489="","",Dictionary!V1489),IF(Dictionary!R1489="","",Dictionary!R1489))))</f>
        <v/>
      </c>
      <c r="I1489" s="639" t="s">
        <v>1921</v>
      </c>
      <c r="J1489" s="639" t="s">
        <v>1916</v>
      </c>
      <c r="K1489" s="639"/>
      <c r="L1489" s="638"/>
      <c r="M1489" s="639"/>
      <c r="N1489" s="638" t="s">
        <v>2744</v>
      </c>
      <c r="O1489" s="639"/>
      <c r="P1489" s="638" t="s">
        <v>2748</v>
      </c>
      <c r="Q1489" s="647"/>
      <c r="R1489" s="646"/>
      <c r="S1489" s="647"/>
      <c r="T1489" s="646" t="s">
        <v>1910</v>
      </c>
      <c r="U1489" s="647"/>
      <c r="V1489" s="646" t="s">
        <v>1911</v>
      </c>
      <c r="X1489">
        <f>IF(APPLICATION_LVL="",0,IF(OR(APPLICATION_LVL=COV!$V$68,APPLICATION_LVL=COV!$V$67),Dictionary!Z1489,IF(APPLICATION_LVL=COV!$V$66,Dictionary!AA1489,IF(APPLICATION_LVL=COV!$V$65,IF(DOMAIN=COV!$T$72,Dictionary!AC1489,IF(DOMAIN=COV!$T$73,Dictionary!AD1489,IF(DOMAIN=COV!$T$75,Dictionary!AE1489,2))),IF(APPLICATION_LVL=COV!$V$64,IF(DOMAIN=COV!$T$72,Dictionary!AG1489,IF(DOMAIN=COV!$T$73,Dictionary!AH1489,IF(DOMAIN=COV!$T$75,Dictionary!AI1489,3))),1)))))</f>
        <v>0</v>
      </c>
      <c r="AD1489">
        <v>2</v>
      </c>
      <c r="AE1489">
        <v>2</v>
      </c>
      <c r="AH1489">
        <v>2</v>
      </c>
      <c r="AI1489">
        <v>3</v>
      </c>
    </row>
    <row r="1490" spans="2:35" ht="32">
      <c r="B1490" s="616" t="str">
        <f>IF(FORM_LANGUAGE=GER,Dictionary!G1490,Dictionary!E1490)</f>
        <v/>
      </c>
      <c r="E1490" s="616" t="str">
        <f>IF(DOMAIN=COV!$T$72,IF(Dictionary!L1490="","",Dictionary!L1490),IF(DOMAIN=COV!$T$73,IF(Dictionary!N1490="","",Dictionary!N1490),IF(DOMAIN=COV!$T$74,IF(Dictionary!P1490="","",Dictionary!P1490),IF(Dictionary!L1490="","",Dictionary!L1490))))</f>
        <v/>
      </c>
      <c r="F1490" s="616"/>
      <c r="G1490" s="616" t="str">
        <f>IF(DOMAIN=COV!$T$72,IF(Dictionary!R1490="","",Dictionary!R1490),IF(DOMAIN=COV!$T$73,IF(Dictionary!T1490="","",Dictionary!T1490),IF(DOMAIN=COV!$T$74,IF(Dictionary!V1490="","",Dictionary!V1490),IF(Dictionary!R1490="","",Dictionary!R1490))))</f>
        <v/>
      </c>
      <c r="I1490" s="639" t="s">
        <v>1922</v>
      </c>
      <c r="J1490" s="639" t="s">
        <v>1917</v>
      </c>
      <c r="K1490" s="639"/>
      <c r="L1490" s="638"/>
      <c r="M1490" s="639"/>
      <c r="N1490" s="638"/>
      <c r="O1490" s="639"/>
      <c r="P1490" s="638" t="s">
        <v>2749</v>
      </c>
      <c r="Q1490" s="647"/>
      <c r="R1490" s="646"/>
      <c r="S1490" s="647"/>
      <c r="T1490" s="646"/>
      <c r="U1490" s="647"/>
      <c r="V1490" s="646" t="s">
        <v>1912</v>
      </c>
      <c r="X1490">
        <f>IF(APPLICATION_LVL="",0,IF(OR(APPLICATION_LVL=COV!$V$68,APPLICATION_LVL=COV!$V$67),Dictionary!Z1490,IF(APPLICATION_LVL=COV!$V$66,Dictionary!AA1490,IF(APPLICATION_LVL=COV!$V$65,IF(DOMAIN=COV!$T$72,Dictionary!AC1490,IF(DOMAIN=COV!$T$73,Dictionary!AD1490,IF(DOMAIN=COV!$T$75,Dictionary!AE1490,2))),IF(APPLICATION_LVL=COV!$V$64,IF(DOMAIN=COV!$T$72,Dictionary!AG1490,IF(DOMAIN=COV!$T$73,Dictionary!AH1490,IF(DOMAIN=COV!$T$75,Dictionary!AI1490,3))),1)))))</f>
        <v>0</v>
      </c>
      <c r="AE1490">
        <v>2</v>
      </c>
      <c r="AI1490">
        <v>3</v>
      </c>
    </row>
    <row r="1491" spans="2:35" ht="16">
      <c r="B1491" s="616" t="str">
        <f>IF(FORM_LANGUAGE=GER,Dictionary!G1491,Dictionary!E1491)</f>
        <v/>
      </c>
      <c r="E1491" s="616" t="str">
        <f>IF(DOMAIN=COV!$T$72,IF(Dictionary!L1491="","",Dictionary!L1491),IF(DOMAIN=COV!$T$73,IF(Dictionary!N1491="","",Dictionary!N1491),IF(DOMAIN=COV!$T$74,IF(Dictionary!P1491="","",Dictionary!P1491),IF(Dictionary!L1491="","",Dictionary!L1491))))</f>
        <v/>
      </c>
      <c r="F1491" s="616"/>
      <c r="G1491" s="616" t="str">
        <f>IF(DOMAIN=COV!$T$72,IF(Dictionary!R1491="","",Dictionary!R1491),IF(DOMAIN=COV!$T$73,IF(Dictionary!T1491="","",Dictionary!T1491),IF(DOMAIN=COV!$T$74,IF(Dictionary!V1491="","",Dictionary!V1491),IF(Dictionary!R1491="","",Dictionary!R1491))))</f>
        <v/>
      </c>
      <c r="I1491" s="639" t="s">
        <v>1923</v>
      </c>
      <c r="J1491" s="639" t="s">
        <v>1918</v>
      </c>
      <c r="K1491" s="639"/>
      <c r="L1491" s="638"/>
      <c r="M1491" s="639"/>
      <c r="N1491" s="638"/>
      <c r="O1491" s="639"/>
      <c r="P1491" s="638" t="s">
        <v>2750</v>
      </c>
      <c r="Q1491" s="647"/>
      <c r="R1491" s="646"/>
      <c r="S1491" s="647"/>
      <c r="T1491" s="646"/>
      <c r="U1491" s="647"/>
      <c r="V1491" s="646" t="s">
        <v>1913</v>
      </c>
      <c r="X1491">
        <f>IF(APPLICATION_LVL="",0,IF(OR(APPLICATION_LVL=COV!$V$68,APPLICATION_LVL=COV!$V$67),Dictionary!Z1491,IF(APPLICATION_LVL=COV!$V$66,Dictionary!AA1491,IF(APPLICATION_LVL=COV!$V$65,IF(DOMAIN=COV!$T$72,Dictionary!AC1491,IF(DOMAIN=COV!$T$73,Dictionary!AD1491,IF(DOMAIN=COV!$T$75,Dictionary!AE1491,2))),IF(APPLICATION_LVL=COV!$V$64,IF(DOMAIN=COV!$T$72,Dictionary!AG1491,IF(DOMAIN=COV!$T$73,Dictionary!AH1491,IF(DOMAIN=COV!$T$75,Dictionary!AI1491,3))),1)))))</f>
        <v>0</v>
      </c>
      <c r="AE1491">
        <v>2</v>
      </c>
      <c r="AI1491">
        <v>3</v>
      </c>
    </row>
  </sheetData>
  <sheetProtection algorithmName="SHA-512" hashValue="7W3Imku4Q7svYM9Zt9c0mS+DK8qglXCuiqOzuDixUAeETWUQs35AaXZJlchGxkpY1nSYgZtqlQRhec+uvD6vcw==" saltValue="J2xltrgScfnhVlh0TrGpow==" spinCount="100000" sheet="1" objects="1" scenarios="1" selectLockedCells="1" selectUnlockedCells="1"/>
  <sortState xmlns:xlrd2="http://schemas.microsoft.com/office/spreadsheetml/2017/richdata2" ref="G308:G502">
    <sortCondition ref="G308:G502"/>
  </sortState>
  <mergeCells count="34">
    <mergeCell ref="B1261:G1261"/>
    <mergeCell ref="B922:G922"/>
    <mergeCell ref="B956:G956"/>
    <mergeCell ref="B505:G505"/>
    <mergeCell ref="B538:G538"/>
    <mergeCell ref="B1132:G1132"/>
    <mergeCell ref="B971:G971"/>
    <mergeCell ref="B1043:G1043"/>
    <mergeCell ref="B1083:G1083"/>
    <mergeCell ref="B1108:G1108"/>
    <mergeCell ref="B1115:G1115"/>
    <mergeCell ref="B1220:G1220"/>
    <mergeCell ref="B973:G973"/>
    <mergeCell ref="B44:G44"/>
    <mergeCell ref="H5:I5"/>
    <mergeCell ref="B1228:G1228"/>
    <mergeCell ref="B54:G54"/>
    <mergeCell ref="B1029:G1029"/>
    <mergeCell ref="L5:P5"/>
    <mergeCell ref="R5:V5"/>
    <mergeCell ref="B773:G773"/>
    <mergeCell ref="B831:G831"/>
    <mergeCell ref="B854:G854"/>
    <mergeCell ref="B160:G160"/>
    <mergeCell ref="B554:G554"/>
    <mergeCell ref="B679:G679"/>
    <mergeCell ref="B586:G586"/>
    <mergeCell ref="B613:G613"/>
    <mergeCell ref="E526:F526"/>
    <mergeCell ref="B7:G7"/>
    <mergeCell ref="B662:G662"/>
    <mergeCell ref="B281:G281"/>
    <mergeCell ref="B306:G306"/>
    <mergeCell ref="H45:I45"/>
  </mergeCells>
  <pageMargins left="0.7" right="0.7" top="0.75" bottom="0.75" header="0.3" footer="0.3"/>
  <pageSetup paperSize="9"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1EAB8-DC36-49C6-A3E0-AD4F7B45F67F}">
  <sheetPr codeName="Sheet31">
    <tabColor theme="9" tint="-0.24994659260841701"/>
  </sheetPr>
  <dimension ref="B1:L70"/>
  <sheetViews>
    <sheetView showGridLines="0" showZeros="0" workbookViewId="0">
      <pane xSplit="8" ySplit="9" topLeftCell="I10" activePane="bottomRight" state="frozenSplit"/>
      <selection activeCell="B109" sqref="B109"/>
      <selection pane="topRight" activeCell="B109" sqref="B109"/>
      <selection pane="bottomLeft" activeCell="B109" sqref="B109"/>
      <selection pane="bottomRight" activeCell="I11" sqref="I11"/>
    </sheetView>
  </sheetViews>
  <sheetFormatPr baseColWidth="10" defaultColWidth="10" defaultRowHeight="14"/>
  <cols>
    <col min="1" max="1" width="2.6640625" style="472" customWidth="1"/>
    <col min="2" max="2" width="5.5" style="471" customWidth="1"/>
    <col min="3" max="3" width="17.1640625" style="472" customWidth="1"/>
    <col min="4" max="4" width="46.33203125" style="472" customWidth="1"/>
    <col min="5" max="8" width="26.5" style="472" customWidth="1"/>
    <col min="9" max="10" width="11.1640625" style="471" customWidth="1"/>
    <col min="11" max="11" width="55.33203125" style="473" customWidth="1"/>
    <col min="12" max="12" width="9.6640625" style="472" customWidth="1"/>
    <col min="13" max="16384" width="10" style="472"/>
  </cols>
  <sheetData>
    <row r="1" spans="2:11" ht="20.25" customHeight="1" thickBot="1">
      <c r="B1" s="497" t="str">
        <f ca="1">COV!C20</f>
        <v>DECKBLATT BITTE VOLLSTÄNDIG AUSFÜLLEN!</v>
      </c>
      <c r="C1" s="459"/>
      <c r="D1" s="459"/>
      <c r="E1" s="459"/>
      <c r="F1" s="459"/>
      <c r="G1" s="459"/>
      <c r="H1" s="459"/>
      <c r="I1" s="459"/>
      <c r="J1" s="459"/>
      <c r="K1" s="459"/>
    </row>
    <row r="2" spans="2:11" ht="5.25" customHeight="1" thickTop="1"/>
    <row r="3" spans="2:11" ht="21">
      <c r="B3" s="2046" t="str">
        <f>Dictionary!B680&amp;'(7b) Project List'!A11&amp;IF('(7b) Project List'!B11="","",": "&amp;'(7b) Project List'!B11)</f>
        <v>Bewertung der Managementkomplexität für Erfahrung 3</v>
      </c>
      <c r="C3" s="2046"/>
      <c r="D3" s="2046"/>
      <c r="E3" s="2046"/>
      <c r="F3" s="2046"/>
      <c r="G3" s="2046"/>
      <c r="H3" s="2046"/>
      <c r="I3" s="2046"/>
      <c r="J3" s="2046"/>
      <c r="K3" s="2046"/>
    </row>
    <row r="4" spans="2:11" s="498" customFormat="1" ht="21">
      <c r="B4" s="488"/>
      <c r="C4" s="488"/>
      <c r="D4" s="488"/>
      <c r="E4" s="488"/>
      <c r="F4" s="488"/>
      <c r="G4" s="488"/>
      <c r="H4" s="488"/>
      <c r="I4" s="488"/>
      <c r="J4" s="488"/>
      <c r="K4" s="488"/>
    </row>
    <row r="5" spans="2:11" s="467" customFormat="1" ht="22.5" customHeight="1">
      <c r="B5" s="489" t="str">
        <f>EXP!B5</f>
        <v xml:space="preserve"> , Level A, Projekt Management, Erstzertifizierung</v>
      </c>
      <c r="C5" s="491"/>
      <c r="D5" s="491"/>
      <c r="E5" s="492"/>
      <c r="F5" s="491"/>
      <c r="G5" s="493"/>
      <c r="H5" s="492"/>
      <c r="I5" s="492"/>
      <c r="J5" s="492"/>
      <c r="K5" s="494"/>
    </row>
    <row r="6" spans="2:11" s="467" customFormat="1" ht="20" customHeight="1">
      <c r="B6" s="466"/>
      <c r="C6" s="468"/>
      <c r="D6" s="468"/>
      <c r="E6" s="321"/>
      <c r="F6" s="2183"/>
      <c r="G6" s="2183"/>
      <c r="H6" s="2183"/>
      <c r="I6" s="469"/>
      <c r="J6" s="470"/>
    </row>
    <row r="7" spans="2:11" ht="15" customHeight="1"/>
    <row r="8" spans="2:11" s="334" customFormat="1" ht="22.25" customHeight="1">
      <c r="B8" s="2184" t="s">
        <v>294</v>
      </c>
      <c r="C8" s="2187" t="str">
        <f>Dictionary!B681</f>
        <v>Komplexitätsindikatoren und Teilindikatoren</v>
      </c>
      <c r="D8" s="2188"/>
      <c r="E8" s="2186" t="str">
        <f>Dictionary!B682</f>
        <v>Zu bewertende Kriterien:</v>
      </c>
      <c r="F8" s="2186"/>
      <c r="G8" s="2186"/>
      <c r="H8" s="2186"/>
      <c r="I8" s="2177" t="str">
        <f>Dictionary!B683</f>
        <v>Bewertungen und Kommentare</v>
      </c>
      <c r="J8" s="2178"/>
      <c r="K8" s="2179"/>
    </row>
    <row r="9" spans="2:11" s="334" customFormat="1" ht="30" customHeight="1">
      <c r="B9" s="2185"/>
      <c r="C9" s="2189"/>
      <c r="D9" s="2190"/>
      <c r="E9" s="474" t="str">
        <f>Dictionary!B684</f>
        <v>wenig komplex   (1)</v>
      </c>
      <c r="F9" s="474" t="str">
        <f>Dictionary!B685</f>
        <v>begrenzt komplex   (2)</v>
      </c>
      <c r="G9" s="474" t="str">
        <f>Dictionary!B686</f>
        <v>komplex   (3)</v>
      </c>
      <c r="H9" s="474" t="str">
        <f>Dictionary!B687</f>
        <v>sehr komplex   (4)</v>
      </c>
      <c r="I9" s="475" t="str">
        <f>Dictionary!B689</f>
        <v>Bewerber/in</v>
      </c>
      <c r="J9" s="476" t="str">
        <f>Dictionary!B690</f>
        <v>Leitende/r Assessor/in</v>
      </c>
      <c r="K9" s="476" t="str">
        <f>Dictionary!B691</f>
        <v>Anmerkungen, Kommentare, Nachweise (fakultativ)</v>
      </c>
    </row>
    <row r="10" spans="2:11" ht="30" customHeight="1">
      <c r="B10" s="477">
        <v>1</v>
      </c>
      <c r="C10" s="2180" t="str">
        <f>Dictionary!B693</f>
        <v>Indikatoren bezogen auf die technischen Fähigkeiten</v>
      </c>
      <c r="D10" s="2181"/>
      <c r="E10" s="2181"/>
      <c r="F10" s="2181"/>
      <c r="G10" s="2181"/>
      <c r="H10" s="2182"/>
      <c r="K10" s="478"/>
    </row>
    <row r="11" spans="2:11" ht="75">
      <c r="B11" s="479">
        <f>B10+0.1</f>
        <v>1.1000000000000001</v>
      </c>
      <c r="C11" s="558" t="str">
        <f>Dictionary!B694</f>
        <v>Ziele und Ergebnisse</v>
      </c>
      <c r="D11" s="558" t="str">
        <f>Dictionary!B695</f>
        <v>Anzahl und Unterschiedlichkeit der Einzelziele unter Berücksichtigung der Ziele und Erwartungen der relevanten Stakeholder, unterschiedliche Zielkategorien: Prozessziele, Nutzungsziele (Business Case), Operationalisierbarkeit, Transparenz und Abhängigkeiten</v>
      </c>
      <c r="E11" s="557" t="str">
        <f>Dictionary!B696</f>
        <v>sehr wenige klare Ziele, alle quantitativ angegeben, operabel</v>
      </c>
      <c r="F11" s="557" t="str">
        <f>Dictionary!B697</f>
        <v>wenige Ziele, gut formuliert, wenig Zielkonflikte</v>
      </c>
      <c r="G11" s="557" t="str">
        <f>Dictionary!B698</f>
        <v>mehrere Ziele unterschiedlicher Art, teilweise unklar definiert</v>
      </c>
      <c r="H11" s="557" t="str">
        <f>Dictionary!B699</f>
        <v>viele, teilweise konkurrierende  Ziele, strategische und politische Ziele, versteckte Ziele, Nutzungsziele</v>
      </c>
      <c r="I11" s="495"/>
      <c r="J11" s="495"/>
      <c r="K11" s="496"/>
    </row>
    <row r="12" spans="2:11" ht="65">
      <c r="B12" s="479">
        <f>B11+0.1</f>
        <v>1.2000000000000002</v>
      </c>
      <c r="C12" s="558" t="str">
        <f>Dictionary!B701</f>
        <v>Aufgaben und Prozesse</v>
      </c>
      <c r="D12" s="558" t="str">
        <f>Dictionary!B702</f>
        <v>Umfang der Aufgaben, Annahmen und Randbedingungen und deren Abhängigkeiten, eingesetzte Prozesse, Tools und Methoden, eingesetzte Team- und Kommunikationsstrukturen</v>
      </c>
      <c r="E12" s="557" t="str">
        <f>Dictionary!B703</f>
        <v>bekannte Aufgabenstellung und Randbedingungen; wenige Standard-/Reportingverfahren</v>
      </c>
      <c r="F12" s="557" t="str">
        <f>Dictionary!B704</f>
        <v>mehrere Aufgaben, ergänzt durch Annahmen; Einsatz bekannter Prozesse und Tools, einige Reporting-Vorgaben</v>
      </c>
      <c r="G12" s="557" t="str">
        <f>Dictionary!B705</f>
        <v>umfangreiches System von Aufgaben und Annahmen; viele Sachfaktoren; teilweise Einsatz neuartiger Tools und Prozesse, Reporting-Vorgaben</v>
      </c>
      <c r="H12" s="557" t="str">
        <f>Dictionary!B706</f>
        <v>sehr komplexe Aufgabenstellung, umfangreiches sachliches Umfeld; erfordert den Einsatz umfangreicher Prozess- und Toolwelt, strenge Reporting-Vorgaben</v>
      </c>
      <c r="I12" s="495"/>
      <c r="J12" s="495"/>
      <c r="K12" s="496"/>
    </row>
    <row r="13" spans="2:11" ht="65">
      <c r="B13" s="479">
        <f>B12+0.1</f>
        <v>1.3000000000000003</v>
      </c>
      <c r="C13" s="558" t="str">
        <f>Dictionary!B708</f>
        <v>Ressourcen und Finanzen</v>
      </c>
      <c r="D13" s="558" t="str">
        <f>Dictionary!B709</f>
        <v>Akquisition und Bereitstellung der erforderlichen Budgets sowie deren Management; Anzahl der Geldgeber; Verfügbarkeit und Qualität der notwendigen (personellen und sonstigen) Ressourcen; Ressourcen-Management und Beschaffungsprozesse</v>
      </c>
      <c r="E13" s="557" t="str">
        <f>Dictionary!B710</f>
        <v>Budget-Ermittlung ohne Verhandlung, einfache Kostenüberwachung; Ressourcen verfügbar, geringe Ressourcenkonflikte; geringfügige Beschaffungsvorgänge</v>
      </c>
      <c r="F13" s="557" t="str">
        <f>Dictionary!B711</f>
        <v>Budget-Ermittlung und  -Verhandlung; Verhandlung der benötigten Ressourcen, teilweise externe Ressourcen-Beschaffung</v>
      </c>
      <c r="G13" s="557" t="str">
        <f>Dictionary!B712</f>
        <v>Budget- und Ressourcenbeschaffung im Wettbewerb mit anderen Projekten; wesentliche Beschaffungsvorgänge</v>
      </c>
      <c r="H13" s="557" t="str">
        <f>Dictionary!B713</f>
        <v>Beschaffung wesentlicher Finanzmittel, Finanzierung durch unterschiedliche Geldgeber intern und extern; Steuerung wesentlicher Unterauftragnehmer</v>
      </c>
      <c r="I13" s="495"/>
      <c r="J13" s="495"/>
      <c r="K13" s="496"/>
    </row>
    <row r="14" spans="2:11" ht="60">
      <c r="B14" s="479">
        <f>B13+0.1</f>
        <v>1.4000000000000004</v>
      </c>
      <c r="C14" s="558" t="str">
        <f>Dictionary!B715</f>
        <v>Chancen und Risiken</v>
      </c>
      <c r="D14" s="558" t="str">
        <f>Dictionary!B716</f>
        <v xml:space="preserve">Bewertung der Chancen und Risiken im Projekt; Ermittlung und Steuerung des Risikosystems; Ableitung von validen Maßnahmen; Ermittlung und Nutzung von Chancen; Anwendung von Tools zur Steuerung des Risiko-Budgets </v>
      </c>
      <c r="E14" s="557" t="str">
        <f>Dictionary!B717</f>
        <v>wenige Risiken in überschaubarer Höhe, kein Chancen-Management</v>
      </c>
      <c r="F14" s="557" t="str">
        <f>Dictionary!B718</f>
        <v>mehrere Risiken und Chancen; stabiles Risiko-System; Management eines Risiko-Budgets</v>
      </c>
      <c r="G14" s="557" t="str">
        <f>Dictionary!B719</f>
        <v>mehrere Risiken mit begrenzter Schadenshöhe; Möglichkeit der Chancen-Nutzung zur Entlastung des Projektes</v>
      </c>
      <c r="H14" s="557" t="str">
        <f>Dictionary!B720</f>
        <v>Umfangreiches Risiko-Potential inklusive hoher strategischer Risiken; Anwendung valider Steuerungsmöglichkeiten; Meldung nach KONTRAG</v>
      </c>
      <c r="I14" s="495"/>
      <c r="J14" s="495"/>
      <c r="K14" s="496"/>
    </row>
    <row r="15" spans="2:11" s="387" customFormat="1" ht="24" customHeight="1">
      <c r="H15" s="387" t="str">
        <f>Dictionary!B721</f>
        <v>Durchschnitt der eingegebenen Detailbewertungen:</v>
      </c>
      <c r="I15" s="480" t="str">
        <f>IF(SUM(I11:I14)=0,"",ROUNDDOWN(AVERAGE(I11:I14),1))</f>
        <v/>
      </c>
      <c r="J15" s="480" t="str">
        <f>IF(SUM(J11:J14)=0,"",ROUNDDOWN(AVERAGE(J11:J14),1))</f>
        <v/>
      </c>
      <c r="K15" s="481"/>
    </row>
    <row r="16" spans="2:11">
      <c r="C16" s="473"/>
      <c r="D16" s="473"/>
      <c r="E16" s="482"/>
      <c r="F16" s="482"/>
      <c r="G16" s="482"/>
      <c r="H16" s="482"/>
    </row>
    <row r="17" spans="2:11" ht="30" customHeight="1">
      <c r="B17" s="477">
        <v>2</v>
      </c>
      <c r="C17" s="2180" t="str">
        <f>Dictionary!B723</f>
        <v>Indikatoren bezogen auf den Kontext</v>
      </c>
      <c r="D17" s="2181"/>
      <c r="E17" s="2181"/>
      <c r="F17" s="2181"/>
      <c r="G17" s="2181"/>
      <c r="H17" s="2182"/>
    </row>
    <row r="18" spans="2:11" ht="60">
      <c r="B18" s="479">
        <f>B17+0.1</f>
        <v>2.1</v>
      </c>
      <c r="C18" s="558" t="str">
        <f>Dictionary!B724</f>
        <v xml:space="preserve">Strategie, Stakeholder </v>
      </c>
      <c r="D18" s="558" t="str">
        <f>Dictionary!B725</f>
        <v>Einfluss der Unternehmens-Strategie, Auswirkungen des Projektes auf das Unternehmen, Stakeholder-Interessen;
Gesetze und Regularien</v>
      </c>
      <c r="E18" s="559" t="str">
        <f>Dictionary!B726</f>
        <v>wenige strategische Einflüsse; Projekt ist rein operativ ausgerichtet</v>
      </c>
      <c r="F18" s="559" t="str">
        <f>Dictionary!B727</f>
        <v>Stakeholder-Interessen  beeinflussen das Projekt begrenzte Einflüsse aus der Unternehmens-Strategie</v>
      </c>
      <c r="G18" s="559" t="str">
        <f>Dictionary!B728</f>
        <v>Viele Komponenten (?) unterschiedlicher Art</v>
      </c>
      <c r="H18" s="559" t="str">
        <f>Dictionary!B729</f>
        <v>Projekt hat erheblichen Einfluss auf das Unternehmen und seinen Erfolg; starke Auswirkungen von Gesetzen und Regularien</v>
      </c>
      <c r="I18" s="495"/>
      <c r="J18" s="495"/>
      <c r="K18" s="496"/>
    </row>
    <row r="19" spans="2:11" ht="135">
      <c r="B19" s="479">
        <f>B18+0.1</f>
        <v>2.2000000000000002</v>
      </c>
      <c r="C19" s="558" t="str">
        <f>Dictionary!B731</f>
        <v>Stammorganisation</v>
      </c>
      <c r="D19" s="558" t="str">
        <f>Dictionary!B732</f>
        <v>Umfang der Vernetzung über Schnittstellen des Projektes mit den Strukturen, Berichtswesen und Entscheidungswegen der Stammorganisation</v>
      </c>
      <c r="E19" s="559" t="str">
        <f>Dictionary!B733</f>
        <v xml:space="preserve">starke Abgrenzung des Projektes von der Stammorganisation, Entscheidungen fallen wesentlich in der Stammorganisation, viele ähnliche Projekte wurden bereits im Unternehmen durchgeführt </v>
      </c>
      <c r="F19" s="559" t="str">
        <f>Dictionary!B734</f>
        <v>klare Schnittstellen zur Stammorganisation z.B. über Leitungsgremium; Berichtswesen und Entscheidungswege begrenzt und klar definiert Projekt hat geringe Auswirkungen auf Prozesse der Stammorganisation,  ähnliche Projekte wurden bereits im Unternehmen durchgeführt</v>
      </c>
      <c r="G19" s="559" t="str">
        <f>Dictionary!B735</f>
        <v>viele operative Schnittstellen wirken auf  das Projekt ein; Berichte und Entscheidungen machen erheblichen Arbeitsanteil aus, Projekt hat  Auswirkungen auf Prozesse der Stammorganisation, wenige ähnliche Projekte wurden bereits im Unternehmen durchgeführt</v>
      </c>
      <c r="H19" s="559" t="str">
        <f>Dictionary!B736</f>
        <v>Starke Einflüsse der Stammorganisation auf strategischer Ebene; Entscheidungen durch Verhandlungen mit der Stammorganisation, Projekt hat starke Auswirkungen auf Prozesse der Stammorganisation , Projekt ist neuartig für Unternehmen</v>
      </c>
      <c r="I19" s="495"/>
      <c r="J19" s="495"/>
      <c r="K19" s="496"/>
    </row>
    <row r="20" spans="2:11" ht="65">
      <c r="B20" s="479">
        <f>B19+0.1</f>
        <v>2.3000000000000003</v>
      </c>
      <c r="C20" s="558" t="str">
        <f>Dictionary!B738</f>
        <v>Sozio-Kulturelle Einflüsse</v>
      </c>
      <c r="D20" s="558" t="str">
        <f>Dictionary!B739</f>
        <v>Einfluss der sozio-kulturellen Unterschiede im Projektteam, insbesondere bei verteilten oder Firmen-übergreifenden Teams</v>
      </c>
      <c r="E20" s="557" t="str">
        <f>Dictionary!B740</f>
        <v>keine Auswirkungen zu erwarten (Projekt an einem Standort, eine Sprache, homogene Projektgruppe)</v>
      </c>
      <c r="F20" s="557" t="str">
        <f>Dictionary!B741</f>
        <v>wenig Auswirkungen zu erwarten</v>
      </c>
      <c r="G20" s="557" t="str">
        <f>Dictionary!B742</f>
        <v>Auswirkungen infolge lokal verteilter Teams, mehreren Sprachen oder heterogenen Kulturkreisen erfordern in Einzelfällen Führungsmaßnahmen</v>
      </c>
      <c r="H20" s="557" t="str">
        <f>Dictionary!B743</f>
        <v>Auswirkungen infolge lokal verteilter Teams oder großer Teams aus unterschiedlichen Unternehmen und Kulturkreisen erfordern umfangreiche Führungsmaßnahmen</v>
      </c>
      <c r="I20" s="495"/>
      <c r="J20" s="495"/>
      <c r="K20" s="496"/>
    </row>
    <row r="21" spans="2:11" s="387" customFormat="1" ht="24" customHeight="1">
      <c r="H21" s="387" t="str">
        <f>Dictionary!B744</f>
        <v>Durchschnitt der eingegebenen Detailbewertungen:</v>
      </c>
      <c r="I21" s="480" t="str">
        <f>IF(SUM(I18:I20)=0,"",ROUNDDOWN(AVERAGE(I18:I20),1))</f>
        <v/>
      </c>
      <c r="J21" s="480" t="str">
        <f>IF(SUM(J18:J20)=0,"",ROUNDDOWN(AVERAGE(J18:J20),1))</f>
        <v/>
      </c>
      <c r="K21" s="481"/>
    </row>
    <row r="22" spans="2:11">
      <c r="C22" s="473"/>
      <c r="D22" s="473"/>
      <c r="E22" s="482"/>
      <c r="F22" s="482"/>
      <c r="G22" s="482"/>
      <c r="H22" s="482"/>
    </row>
    <row r="23" spans="2:11" ht="30" customHeight="1">
      <c r="B23" s="477">
        <v>3</v>
      </c>
      <c r="C23" s="2180" t="str">
        <f>Dictionary!B746</f>
        <v>Indikatoren bezogen auf Management und Führung</v>
      </c>
      <c r="D23" s="2181"/>
      <c r="E23" s="2181"/>
      <c r="F23" s="2181"/>
      <c r="G23" s="2181"/>
      <c r="H23" s="2182"/>
    </row>
    <row r="24" spans="2:11" ht="90">
      <c r="B24" s="479">
        <f>B23+0.1</f>
        <v>3.1</v>
      </c>
      <c r="C24" s="560" t="str">
        <f>Dictionary!B747</f>
        <v xml:space="preserve">Führung und Teamwork </v>
      </c>
      <c r="D24" s="560" t="str">
        <f>Dictionary!B748</f>
        <v>Umfang der Führungs-, Teambildungs und-Steuerungsmaßnahmen</v>
      </c>
      <c r="E24" s="559" t="str">
        <f>Dictionary!B749</f>
        <v>fast alle Teammitglieder haben bereits mit PL gearbeitet, PL hat Erfahrung im Mgt von Teams über 5 J, Governance Vorgaben sind klar definiert, das Projektteam hat hohe PM Skills</v>
      </c>
      <c r="F24" s="559" t="str">
        <f>Dictionary!B750</f>
        <v>sehr viele Teammitglieder haben bereits mit PL gearbeitet, PL hat Erfahrung im Mgt von Teams über 3 J, governance Vorgaben sind teilweise definiert, das Projektteam hat  PM Skills</v>
      </c>
      <c r="G24" s="559" t="str">
        <f>Dictionary!B751</f>
        <v>viele Teammitglieder haben bereits mit PL gearbeitet, PL hat Erfahrung im Mgt von Teams über 1-2 J, einige Governance Vorgaben sind klar definiert, das Projektteam hat einige PM Skills</v>
      </c>
      <c r="H24" s="559" t="str">
        <f>Dictionary!B752</f>
        <v>wenige Teammitglieder haben bereits mit PL gearbeitet, PL hat Erfahrung im Mgt von Teams weniger 1J, wenige Governance Vorgaben sind definiert, das Projektteam hat sehr wenig PM Skills</v>
      </c>
      <c r="I24" s="495"/>
      <c r="J24" s="495"/>
      <c r="K24" s="496"/>
    </row>
    <row r="25" spans="2:11" ht="91" customHeight="1">
      <c r="B25" s="479">
        <f>B24+0.1</f>
        <v>3.2</v>
      </c>
      <c r="C25" s="558" t="str">
        <f>Dictionary!B754</f>
        <v xml:space="preserve"> Innovation</v>
      </c>
      <c r="D25" s="558" t="str">
        <f>Dictionary!B755</f>
        <v>technische Neuartigkeit des Projektes und seine Auswirkungen auf Ressourcenauswahl und Aus- und Weiterbildung während des Projektes; Umgang mit neuartigen Ansätzen und Ergebnissen</v>
      </c>
      <c r="E25" s="559" t="str">
        <f>Dictionary!B756</f>
        <v>kein Handlungsbedarf infolge geringer Neuartigkeit, z.B. Wiederholprojekte</v>
      </c>
      <c r="F25" s="559" t="str">
        <f>Dictionary!B757</f>
        <v>einige Maßnahmen erforderlich infolge der Neuartigkeit in einzelnen Bereichen</v>
      </c>
      <c r="G25" s="559" t="str">
        <f>Dictionary!B758</f>
        <v>Neuartigkeit des Projektgegenstandes und/oder von Prozessen bedingt vorbereitende Qualifizerungsmaßnahmen</v>
      </c>
      <c r="H25" s="559" t="str">
        <f>Dictionary!B759</f>
        <v xml:space="preserve">Neuartigkeit des Projektgegenstandes und/oder von Prozessen in Verbindung mit großem Projektvolumen bedingt Planung der Qualifizierung, aber auch intensives Risiko-Management </v>
      </c>
      <c r="I25" s="495"/>
      <c r="J25" s="495"/>
      <c r="K25" s="496"/>
    </row>
    <row r="26" spans="2:11" ht="60">
      <c r="B26" s="479">
        <f>B25+0.1</f>
        <v>3.3000000000000003</v>
      </c>
      <c r="C26" s="558" t="str">
        <f>Dictionary!B761</f>
        <v>Autonomie und Verantwortung</v>
      </c>
      <c r="D26" s="558" t="str">
        <f>Dictionary!B762</f>
        <v>Entscheidungs- und Verantwortungsspielraum des Projektleiters; Umfang der Delegation in das Projektteam; Vertretung des Projektes gegenüber dem gesamten sozialen Umfeld</v>
      </c>
      <c r="E26" s="559" t="str">
        <f>Dictionary!B763</f>
        <v xml:space="preserve">wenig Autonomie/Gestaltungsspielräume des PL bzgl. Entscheidungen und Vertretung des Projektes nach aussen </v>
      </c>
      <c r="F26" s="559" t="str">
        <f>Dictionary!B764</f>
        <v>Verhandlung Lasten- und Pflichtenheft; Gesaltungs-spielräume ergeben sich hauptsächlich durch Änderungsprozesse</v>
      </c>
      <c r="G26" s="559" t="str">
        <f>Dictionary!B765</f>
        <v>Projektleiter vertritt das Projekt und damit auch das Unternehmen auch gegenüber externen Stakeholdern</v>
      </c>
      <c r="H26" s="559" t="str">
        <f>Dictionary!B766</f>
        <v>umfangreiche Verantwortungs- und Entscheidungsspielräume, z.B. durch Vollmachts- oder Unterschriftenregelung</v>
      </c>
      <c r="I26" s="495"/>
      <c r="J26" s="495"/>
      <c r="K26" s="496"/>
    </row>
    <row r="27" spans="2:11" s="387" customFormat="1" ht="24" customHeight="1">
      <c r="H27" s="387" t="str">
        <f>Dictionary!B767</f>
        <v>Durchschnitt der eingegebenen Detailbewertungen:</v>
      </c>
      <c r="I27" s="480" t="str">
        <f>IF(SUM(I24:I26)=0,"",ROUNDDOWN(AVERAGE(I24:I26),1))</f>
        <v/>
      </c>
      <c r="J27" s="480" t="str">
        <f>IF(SUM(J24:J26)=0,"",ROUNDDOWN(AVERAGE(J24:J26),1))</f>
        <v/>
      </c>
      <c r="K27" s="481"/>
    </row>
    <row r="28" spans="2:11">
      <c r="C28" s="473"/>
      <c r="D28" s="473"/>
      <c r="E28" s="482"/>
      <c r="F28" s="482"/>
      <c r="G28" s="482"/>
      <c r="H28" s="482"/>
    </row>
    <row r="29" spans="2:11" ht="17" customHeight="1"/>
    <row r="30" spans="2:11" ht="17" customHeight="1">
      <c r="F30" s="334" t="str">
        <f>Dictionary!B768</f>
        <v>Zusammenfassende Bewertungen (gerundet)</v>
      </c>
    </row>
    <row r="31" spans="2:11" ht="17" customHeight="1">
      <c r="G31" s="483" t="str">
        <f>Dictionary!B769</f>
        <v>Indikator</v>
      </c>
      <c r="H31" s="471">
        <v>1</v>
      </c>
      <c r="I31" s="484" t="str">
        <f>IF(I15="","",I15)</f>
        <v/>
      </c>
      <c r="J31" s="484" t="str">
        <f>IF(J15="","",J15)</f>
        <v/>
      </c>
    </row>
    <row r="32" spans="2:11" ht="17" customHeight="1">
      <c r="G32" s="483" t="str">
        <f>Dictionary!B769</f>
        <v>Indikator</v>
      </c>
      <c r="H32" s="471">
        <f>1+H31</f>
        <v>2</v>
      </c>
      <c r="I32" s="485" t="str">
        <f>IF(I21="","",I21)</f>
        <v/>
      </c>
      <c r="J32" s="485" t="str">
        <f>IF(J21="","",J21)</f>
        <v/>
      </c>
    </row>
    <row r="33" spans="2:12" ht="17" customHeight="1">
      <c r="G33" s="483" t="str">
        <f>Dictionary!B769</f>
        <v>Indikator</v>
      </c>
      <c r="H33" s="471">
        <f>1+H32</f>
        <v>3</v>
      </c>
      <c r="I33" s="485" t="str">
        <f>IF(I27="","",I27)</f>
        <v/>
      </c>
      <c r="J33" s="485" t="str">
        <f>IF(J27="","",J27)</f>
        <v/>
      </c>
    </row>
    <row r="34" spans="2:12" s="473" customFormat="1" ht="17" customHeight="1">
      <c r="B34" s="471"/>
      <c r="C34" s="472"/>
      <c r="D34" s="472"/>
      <c r="E34" s="472"/>
      <c r="F34" s="472"/>
      <c r="G34" s="472"/>
      <c r="H34" s="387" t="str">
        <f>Dictionary!B770</f>
        <v xml:space="preserve">Gesamtbewertung   </v>
      </c>
      <c r="I34" s="485">
        <f>SUM(I11:I14)+SUM(I18:I20)+SUM(I24:I26)</f>
        <v>0</v>
      </c>
      <c r="J34" s="485">
        <f>SUM(J11:J14)+SUM(J18:J20)+SUM(J24:J26)</f>
        <v>0</v>
      </c>
      <c r="L34" s="472"/>
    </row>
    <row r="35" spans="2:12" s="473" customFormat="1" ht="17" customHeight="1">
      <c r="B35" s="471"/>
      <c r="C35" s="472"/>
      <c r="D35" s="472"/>
      <c r="E35" s="472"/>
      <c r="F35" s="472"/>
      <c r="G35" s="472"/>
      <c r="H35" s="387"/>
      <c r="I35" s="486"/>
      <c r="J35" s="486"/>
      <c r="L35" s="472"/>
    </row>
    <row r="36" spans="2:12" s="473" customFormat="1" ht="17" customHeight="1">
      <c r="B36" s="471"/>
      <c r="C36" s="487"/>
      <c r="D36" s="487"/>
      <c r="E36" s="472"/>
      <c r="F36" s="472"/>
      <c r="G36" s="472"/>
      <c r="H36" s="472"/>
      <c r="I36" s="471"/>
      <c r="J36" s="471"/>
      <c r="L36" s="472"/>
    </row>
    <row r="37" spans="2:12" s="473" customFormat="1" ht="17" customHeight="1" thickBot="1">
      <c r="B37" s="460"/>
      <c r="C37" s="460"/>
      <c r="D37" s="460"/>
      <c r="E37" s="460"/>
      <c r="F37" s="460"/>
      <c r="G37" s="460"/>
      <c r="H37" s="460"/>
      <c r="I37" s="460"/>
      <c r="J37" s="460"/>
      <c r="K37" s="460"/>
      <c r="L37" s="472"/>
    </row>
    <row r="38" spans="2:12" s="473" customFormat="1" ht="17" customHeight="1">
      <c r="B38" s="89"/>
      <c r="C38" s="89"/>
      <c r="D38" s="89"/>
      <c r="F38" s="472"/>
      <c r="G38" s="472"/>
      <c r="H38" s="472"/>
      <c r="I38" s="471"/>
      <c r="J38" s="471"/>
      <c r="K38" s="464" t="s">
        <v>105</v>
      </c>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ht="17" customHeight="1"/>
    <row r="50" ht="17" customHeight="1"/>
    <row r="51" ht="17" customHeight="1"/>
    <row r="52" ht="17" customHeight="1"/>
    <row r="53" ht="17" customHeight="1"/>
    <row r="54" ht="17" customHeight="1"/>
    <row r="55" ht="17" customHeight="1"/>
    <row r="56" ht="17" customHeight="1"/>
    <row r="57" ht="17" customHeight="1"/>
    <row r="58" ht="17" customHeight="1"/>
    <row r="59" ht="17" customHeight="1"/>
    <row r="60" ht="17" customHeight="1"/>
    <row r="61" ht="17" customHeight="1"/>
    <row r="62" ht="17" customHeight="1"/>
    <row r="63" ht="17" customHeight="1"/>
    <row r="64" ht="17" customHeight="1"/>
    <row r="65" ht="17" customHeight="1"/>
    <row r="66" ht="17" customHeight="1"/>
    <row r="67" ht="17" customHeight="1"/>
    <row r="68" ht="17" customHeight="1"/>
    <row r="69" ht="17" customHeight="1"/>
    <row r="70" ht="17" customHeight="1"/>
  </sheetData>
  <sheetProtection algorithmName="SHA-512" hashValue="LLvncD9nBpoY1vrm+qt+HuheEfiDKGkChBR/qOSIuhTXllUQOHU3ScWh4/tTXUS78lsDohIvR4G+LRbRoQP1AQ==" saltValue="nNtp1PvWaswebGJb9f2Emw==" spinCount="100000" sheet="1" objects="1" scenarios="1" selectLockedCells="1"/>
  <mergeCells count="9">
    <mergeCell ref="C10:H10"/>
    <mergeCell ref="C17:H17"/>
    <mergeCell ref="C23:H23"/>
    <mergeCell ref="B3:K3"/>
    <mergeCell ref="F6:H6"/>
    <mergeCell ref="B8:B9"/>
    <mergeCell ref="C8:D9"/>
    <mergeCell ref="E8:H8"/>
    <mergeCell ref="I8:K8"/>
  </mergeCells>
  <conditionalFormatting sqref="I35:J35">
    <cfRule type="cellIs" dxfId="427" priority="1" operator="equal">
      <formula>"Yes"</formula>
    </cfRule>
    <cfRule type="cellIs" dxfId="426" priority="2" operator="equal">
      <formula>"No"</formula>
    </cfRule>
  </conditionalFormatting>
  <dataValidations count="1">
    <dataValidation type="whole" allowBlank="1" showInputMessage="1" showErrorMessage="1" sqref="I11:J14 I18:J20 I24:J26" xr:uid="{00000000-0002-0000-13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CA901-8E9B-4AE4-9C1C-3D411092CE50}">
  <sheetPr codeName="Sheet7">
    <tabColor theme="9"/>
  </sheetPr>
  <dimension ref="B1:E68"/>
  <sheetViews>
    <sheetView zoomScale="130" zoomScaleNormal="130" workbookViewId="0">
      <selection activeCell="C13" sqref="C13"/>
    </sheetView>
  </sheetViews>
  <sheetFormatPr baseColWidth="10" defaultColWidth="11.5" defaultRowHeight="15"/>
  <cols>
    <col min="1" max="1" width="2.5" style="89" customWidth="1"/>
    <col min="2" max="2" width="45.5" style="89" customWidth="1"/>
    <col min="3" max="3" width="22.83203125" style="89" customWidth="1"/>
    <col min="4" max="4" width="32" style="89" customWidth="1"/>
    <col min="5" max="5" width="22.83203125" style="89" customWidth="1"/>
    <col min="6" max="6" width="3.1640625" style="89" customWidth="1"/>
    <col min="7" max="7" width="20" style="89" customWidth="1"/>
    <col min="8" max="9" width="11.5" style="89"/>
    <col min="10" max="10" width="8.5" style="89" customWidth="1"/>
    <col min="11" max="16384" width="11.5" style="89"/>
  </cols>
  <sheetData>
    <row r="1" spans="2:5" ht="15.75" customHeight="1" thickBot="1">
      <c r="B1" s="497" t="str">
        <f ca="1">COV!C20</f>
        <v>DECKBLATT BITTE VOLLSTÄNDIG AUSFÜLLEN!</v>
      </c>
      <c r="C1" s="459"/>
      <c r="D1" s="459"/>
      <c r="E1" s="459"/>
    </row>
    <row r="2" spans="2:5" ht="5.25" customHeight="1" thickTop="1"/>
    <row r="3" spans="2:5" ht="21">
      <c r="B3" s="2046" t="str">
        <f>Dictionary!B614&amp;'(7b) Project List'!A12</f>
        <v>Steckbrief für Management Erfahrung 4</v>
      </c>
      <c r="C3" s="2046"/>
      <c r="D3" s="2046"/>
      <c r="E3" s="2046"/>
    </row>
    <row r="4" spans="2:5" ht="21">
      <c r="B4" s="488"/>
      <c r="C4" s="488"/>
      <c r="D4" s="488"/>
      <c r="E4" s="488"/>
    </row>
    <row r="5" spans="2:5" ht="21">
      <c r="B5" s="489" t="str">
        <f>EXP!B5</f>
        <v xml:space="preserve"> , Level A, Projekt Management, Erstzertifizierung</v>
      </c>
      <c r="C5" s="490"/>
      <c r="D5" s="490"/>
      <c r="E5" s="490"/>
    </row>
    <row r="7" spans="2:5">
      <c r="B7" s="2013" t="str">
        <f>Dictionary!B618</f>
        <v>Kopfzeile</v>
      </c>
      <c r="C7" s="2013"/>
      <c r="D7" s="2013"/>
      <c r="E7" s="2013"/>
    </row>
    <row r="8" spans="2:5" ht="16.5" customHeight="1">
      <c r="B8" s="503" t="str">
        <f>EXP!D12&amp;" "&amp;Dictionary!B615</f>
        <v xml:space="preserve"> Name </v>
      </c>
      <c r="C8" s="504" t="str">
        <f>IF('(7b) Project List'!B12="","",'(7b) Project List'!B12)</f>
        <v/>
      </c>
      <c r="D8" s="508" t="str">
        <f>EXP!D12&amp;" "&amp;Dictionary!B616</f>
        <v xml:space="preserve"> Nummer </v>
      </c>
      <c r="E8" s="509"/>
    </row>
    <row r="9" spans="2:5" ht="16.5" customHeight="1">
      <c r="B9" s="510" t="str">
        <f>Dictionary!B617</f>
        <v>Kunde/AuftraggeberIn:</v>
      </c>
      <c r="C9" s="2138"/>
      <c r="D9" s="2138"/>
      <c r="E9" s="511"/>
    </row>
    <row r="10" spans="2:5" ht="16.5" customHeight="1"/>
    <row r="11" spans="2:5" ht="16.5" customHeight="1">
      <c r="B11" s="2013" t="str">
        <f>Dictionary!B620</f>
        <v>Governance &amp; eigene Rolle</v>
      </c>
      <c r="C11" s="2013"/>
      <c r="D11" s="2013"/>
      <c r="E11" s="2013"/>
    </row>
    <row r="12" spans="2:5" ht="16.5" customHeight="1">
      <c r="B12" s="503" t="str">
        <f>Dictionary!B621</f>
        <v>Eigene Rolle:</v>
      </c>
      <c r="C12" s="504" t="str">
        <f>IF('(7b) Project List'!E12="","",'(7b) Project List'!E12)</f>
        <v/>
      </c>
      <c r="D12" s="2130" t="str">
        <f>Dictionary!B622</f>
        <v>Anmerkungen:</v>
      </c>
      <c r="E12" s="2131"/>
    </row>
    <row r="13" spans="2:5" ht="16.5" customHeight="1">
      <c r="B13" s="505" t="str">
        <f>Dictionary!B623</f>
        <v>Verantwortung für den Umfang/die Ergebnisse:</v>
      </c>
      <c r="C13" s="506"/>
      <c r="D13" s="2142"/>
      <c r="E13" s="2143"/>
    </row>
    <row r="14" spans="2:5" ht="16.5" customHeight="1">
      <c r="B14" s="505" t="str">
        <f>Dictionary!B624</f>
        <v>Verantwortung für die Terminplanung:</v>
      </c>
      <c r="C14" s="506"/>
      <c r="D14" s="2142"/>
      <c r="E14" s="2143"/>
    </row>
    <row r="15" spans="2:5" ht="16.5" customHeight="1">
      <c r="B15" s="505" t="str">
        <f>Dictionary!B625</f>
        <v>Verantwortung für das Budget:</v>
      </c>
      <c r="C15" s="506"/>
      <c r="D15" s="2142"/>
      <c r="E15" s="2143"/>
    </row>
    <row r="16" spans="2:5" ht="16.5" customHeight="1">
      <c r="B16" s="561" t="str">
        <f>EXP!D12&amp;" "&amp;Dictionary!B627</f>
        <v xml:space="preserve"> Typ</v>
      </c>
      <c r="C16" s="507"/>
      <c r="D16" s="2142"/>
      <c r="E16" s="2143"/>
    </row>
    <row r="17" spans="2:5" ht="16.5" customHeight="1">
      <c r="B17" s="561" t="str">
        <f>Dictionary!B626</f>
        <v>Art der PM Organisation</v>
      </c>
      <c r="C17" s="507"/>
      <c r="D17" s="2142"/>
      <c r="E17" s="2143"/>
    </row>
    <row r="18" spans="2:5" ht="16.5" customHeight="1">
      <c r="B18" s="2139" t="str">
        <f>Dictionary!B628</f>
        <v>Kurze Beschreibung Ihrer eigenen Rolle, Verantwortung und Aktivitäten; wem sind Sie unterstellt?</v>
      </c>
      <c r="C18" s="2140"/>
      <c r="D18" s="2140"/>
      <c r="E18" s="2141"/>
    </row>
    <row r="19" spans="2:5" ht="57" customHeight="1">
      <c r="B19" s="2149"/>
      <c r="C19" s="2150"/>
      <c r="D19" s="2150"/>
      <c r="E19" s="2151"/>
    </row>
    <row r="20" spans="2:5" ht="18" customHeight="1"/>
    <row r="21" spans="2:5" ht="16.5" customHeight="1">
      <c r="B21" s="2013" t="str">
        <f>Dictionary!B630</f>
        <v>Allgemeine Informationen und Beschreibung</v>
      </c>
      <c r="C21" s="2013"/>
      <c r="D21" s="2013"/>
      <c r="E21" s="2013"/>
    </row>
    <row r="22" spans="2:5" ht="16.5" customHeight="1">
      <c r="B22" s="2157" t="str">
        <f>Dictionary!B631</f>
        <v>Kurze Beschreibung der KPI, Ergebnisse und Liefergegenstände:</v>
      </c>
      <c r="C22" s="2158"/>
      <c r="D22" s="2158"/>
      <c r="E22" s="2159"/>
    </row>
    <row r="23" spans="2:5" ht="57" customHeight="1">
      <c r="B23" s="2160"/>
      <c r="C23" s="2161"/>
      <c r="D23" s="2161"/>
      <c r="E23" s="2162"/>
    </row>
    <row r="24" spans="2:5" ht="16.5" customHeight="1">
      <c r="B24" s="2139" t="str">
        <f>Dictionary!B632</f>
        <v>Kurze Beschreibung des Umfangs und der Ziele, für die Sie verantwortlich sind:</v>
      </c>
      <c r="C24" s="2140"/>
      <c r="D24" s="2140"/>
      <c r="E24" s="2141"/>
    </row>
    <row r="25" spans="2:5" ht="57" customHeight="1">
      <c r="B25" s="2160"/>
      <c r="C25" s="2161"/>
      <c r="D25" s="2161"/>
      <c r="E25" s="2162"/>
    </row>
    <row r="26" spans="2:5" ht="16.5" customHeight="1">
      <c r="B26" s="2139" t="str">
        <f>Dictionary!B633</f>
        <v>Informationen über erhebliche Planabweichungen und/oder kritische Managementsituationen:</v>
      </c>
      <c r="C26" s="2140"/>
      <c r="D26" s="2140"/>
      <c r="E26" s="2141"/>
    </row>
    <row r="27" spans="2:5" ht="54.75" customHeight="1">
      <c r="B27" s="2146"/>
      <c r="C27" s="2152"/>
      <c r="D27" s="2152"/>
      <c r="E27" s="2153"/>
    </row>
    <row r="28" spans="2:5" ht="18" customHeight="1"/>
    <row r="29" spans="2:5" ht="18" customHeight="1">
      <c r="B29" s="2013" t="str">
        <f>EXP!D12&amp;" "&amp;Dictionary!B635</f>
        <v xml:space="preserve"> Planung</v>
      </c>
      <c r="C29" s="2013"/>
      <c r="D29" s="2013"/>
      <c r="E29" s="2013"/>
    </row>
    <row r="30" spans="2:5" ht="16.5" customHeight="1">
      <c r="B30" s="512" t="str">
        <f>Dictionary!B636</f>
        <v>Beginn des Vorhabens:</v>
      </c>
      <c r="C30" s="513" t="str">
        <f>C31</f>
        <v/>
      </c>
      <c r="D30" s="508" t="str">
        <f>Dictionary!B642</f>
        <v>Ende des Vorhabens:</v>
      </c>
      <c r="E30" s="514" t="str">
        <f>E31</f>
        <v/>
      </c>
    </row>
    <row r="31" spans="2:5" ht="16.5" customHeight="1">
      <c r="B31" s="515" t="str">
        <f>Dictionary!B637</f>
        <v>Ihr Beginn in dieser Rolle:</v>
      </c>
      <c r="C31" s="516" t="str">
        <f>IF('(7b) Project List'!F12="","",'(7b) Project List'!F12)</f>
        <v/>
      </c>
      <c r="D31" s="517" t="str">
        <f>Dictionary!B643</f>
        <v>Ende Ihrer Beteiligung:</v>
      </c>
      <c r="E31" s="518" t="str">
        <f>IF('(7b) Project List'!G12="","",'(7b) Project List'!G12)</f>
        <v/>
      </c>
    </row>
    <row r="32" spans="2:5" ht="16.5" customHeight="1">
      <c r="B32" s="2139" t="str">
        <f>IF(ISNUMBER(SEARCH("ortfolio",B29)),Dictionary!B640,Dictionary!B638)</f>
        <v>Phasen:</v>
      </c>
      <c r="C32" s="2140"/>
      <c r="D32" s="2140" t="str">
        <f>IF(ISNUMBER(SEARCH("ortfolio",B29)),Dictionary!B641,Dictionary!B639)</f>
        <v>Meilensteine:</v>
      </c>
      <c r="E32" s="2141"/>
    </row>
    <row r="33" spans="2:5">
      <c r="B33" s="2154"/>
      <c r="C33" s="2142"/>
      <c r="D33" s="2133"/>
      <c r="E33" s="2143"/>
    </row>
    <row r="34" spans="2:5">
      <c r="B34" s="2155"/>
      <c r="C34" s="2142"/>
      <c r="D34" s="2142"/>
      <c r="E34" s="2143"/>
    </row>
    <row r="35" spans="2:5">
      <c r="B35" s="2155"/>
      <c r="C35" s="2142"/>
      <c r="D35" s="2142"/>
      <c r="E35" s="2143"/>
    </row>
    <row r="36" spans="2:5">
      <c r="B36" s="2155"/>
      <c r="C36" s="2142"/>
      <c r="D36" s="2142"/>
      <c r="E36" s="2143"/>
    </row>
    <row r="37" spans="2:5">
      <c r="B37" s="2155"/>
      <c r="C37" s="2142"/>
      <c r="D37" s="2142"/>
      <c r="E37" s="2143"/>
    </row>
    <row r="38" spans="2:5">
      <c r="B38" s="2155"/>
      <c r="C38" s="2142"/>
      <c r="D38" s="2142"/>
      <c r="E38" s="2143"/>
    </row>
    <row r="39" spans="2:5">
      <c r="B39" s="2155"/>
      <c r="C39" s="2142"/>
      <c r="D39" s="2142"/>
      <c r="E39" s="2143"/>
    </row>
    <row r="40" spans="2:5">
      <c r="B40" s="2155"/>
      <c r="C40" s="2142"/>
      <c r="D40" s="2142"/>
      <c r="E40" s="2143"/>
    </row>
    <row r="41" spans="2:5">
      <c r="B41" s="2155"/>
      <c r="C41" s="2142"/>
      <c r="D41" s="2142"/>
      <c r="E41" s="2143"/>
    </row>
    <row r="42" spans="2:5">
      <c r="B42" s="2156"/>
      <c r="C42" s="2150"/>
      <c r="D42" s="2150"/>
      <c r="E42" s="2151"/>
    </row>
    <row r="44" spans="2:5" ht="18" customHeight="1">
      <c r="B44" s="2132" t="str">
        <f>IF(PMO_MODE="",Dictionary!B645,IF(ISNUMBER(FIND(EXP!C42,B8)),Dictionary!B646,Dictionary!B645))</f>
        <v>Ressourcen, für die Sie direkt verantwortlich sind</v>
      </c>
      <c r="C44" s="2132"/>
      <c r="D44" s="2132"/>
      <c r="E44" s="2132"/>
    </row>
    <row r="45" spans="2:5" ht="16.5" customHeight="1">
      <c r="B45" s="519"/>
      <c r="C45" s="524" t="str">
        <f>Dictionary!B647</f>
        <v>Wert</v>
      </c>
      <c r="D45" s="2130" t="str">
        <f>Dictionary!B648</f>
        <v>Anmerkungen</v>
      </c>
      <c r="E45" s="2131"/>
    </row>
    <row r="46" spans="2:5" ht="16">
      <c r="B46" s="520" t="str">
        <f>Dictionary!B649</f>
        <v>Anzahl der Ihnen direkt unterstellten Teammitglieder:</v>
      </c>
      <c r="C46" s="1720"/>
      <c r="D46" s="2133"/>
      <c r="E46" s="2134"/>
    </row>
    <row r="47" spans="2:5" ht="32">
      <c r="B47" s="520" t="str">
        <f>Dictionary!B650</f>
        <v>Anzahl der Mitglieder des Teams gemäß dem Organigramm (inkl. Sie selbst):</v>
      </c>
      <c r="C47" s="1720"/>
      <c r="D47" s="2133"/>
      <c r="E47" s="2134"/>
    </row>
    <row r="48" spans="2:5" ht="16.5" customHeight="1">
      <c r="B48" s="521" t="str">
        <f>Dictionary!B651</f>
        <v>Gesamtaufwand [Personentage]:</v>
      </c>
      <c r="C48" s="1720"/>
      <c r="D48" s="2133"/>
      <c r="E48" s="2134"/>
    </row>
    <row r="49" spans="2:5" ht="16.5" customHeight="1">
      <c r="B49" s="522" t="str">
        <f>Dictionary!B652</f>
        <v>Externer Arbeitsaufwand [Personentage]:</v>
      </c>
      <c r="C49" s="1720"/>
      <c r="D49" s="2133"/>
      <c r="E49" s="2134"/>
    </row>
    <row r="50" spans="2:5" ht="16.5" customHeight="1">
      <c r="B50" s="522" t="str">
        <f>Dictionary!B653</f>
        <v>Interner Arbeitsaufwand [Personentage]:</v>
      </c>
      <c r="C50" s="1720"/>
      <c r="D50" s="2133"/>
      <c r="E50" s="2134"/>
    </row>
    <row r="51" spans="2:5" ht="16.5" customHeight="1">
      <c r="B51" s="522" t="str">
        <f>Dictionary!B654</f>
        <v>Enthaltener PM-Aufwand [Personentage]:</v>
      </c>
      <c r="C51" s="1720"/>
      <c r="D51" s="2133"/>
      <c r="E51" s="2134"/>
    </row>
    <row r="52" spans="2:5" ht="16.5" customHeight="1">
      <c r="B52" s="522" t="str">
        <f>Dictionary!B655</f>
        <v>Budget (Aufwand) unter Ihrer Verantwortung [€]:</v>
      </c>
      <c r="C52" s="1721"/>
      <c r="D52" s="2133"/>
      <c r="E52" s="2134"/>
    </row>
    <row r="53" spans="2:5" ht="16.5" customHeight="1">
      <c r="B53" s="523" t="str">
        <f>Dictionary!B656</f>
        <v>Budget (Sachmittel) unter Ihrer Verantwortung [€]:</v>
      </c>
      <c r="C53" s="1722"/>
      <c r="D53" s="2144"/>
      <c r="E53" s="2145"/>
    </row>
    <row r="54" spans="2:5" ht="16.5" customHeight="1">
      <c r="B54" s="1615" t="str">
        <f>Dictionary!B657</f>
        <v>Gesamtbudget unter Ihrer Verantwortung [€]:</v>
      </c>
      <c r="C54" s="1723">
        <f>C52+C53</f>
        <v>0</v>
      </c>
      <c r="D54" s="1724"/>
      <c r="E54" s="1725"/>
    </row>
    <row r="55" spans="2:5" ht="18" customHeight="1"/>
    <row r="56" spans="2:5" ht="18" customHeight="1">
      <c r="B56" s="2013" t="str">
        <f>Dictionary!B658</f>
        <v xml:space="preserve">Anmerkungen </v>
      </c>
      <c r="C56" s="2013"/>
      <c r="D56" s="2013"/>
      <c r="E56" s="2013"/>
    </row>
    <row r="57" spans="2:5" ht="16.5" customHeight="1">
      <c r="B57" s="2157" t="str">
        <f>Dictionary!B659</f>
        <v>Anmerkungen zur Komplexität:</v>
      </c>
      <c r="C57" s="2158"/>
      <c r="D57" s="2158"/>
      <c r="E57" s="2159"/>
    </row>
    <row r="58" spans="2:5">
      <c r="B58" s="2135"/>
      <c r="C58" s="2136"/>
      <c r="D58" s="2136"/>
      <c r="E58" s="2137"/>
    </row>
    <row r="59" spans="2:5">
      <c r="B59" s="2135"/>
      <c r="C59" s="2136"/>
      <c r="D59" s="2136"/>
      <c r="E59" s="2137"/>
    </row>
    <row r="60" spans="2:5" ht="27" customHeight="1">
      <c r="B60" s="2135"/>
      <c r="C60" s="2136"/>
      <c r="D60" s="2136"/>
      <c r="E60" s="2137"/>
    </row>
    <row r="61" spans="2:5" ht="16.5" customHeight="1">
      <c r="B61" s="2139" t="str">
        <f>Dictionary!B660</f>
        <v>Allgemeine Anmerkungen:</v>
      </c>
      <c r="C61" s="2140"/>
      <c r="D61" s="2140"/>
      <c r="E61" s="2141"/>
    </row>
    <row r="62" spans="2:5" ht="15" customHeight="1">
      <c r="B62" s="2135"/>
      <c r="C62" s="2136"/>
      <c r="D62" s="2136"/>
      <c r="E62" s="2137"/>
    </row>
    <row r="63" spans="2:5">
      <c r="B63" s="2135"/>
      <c r="C63" s="2136"/>
      <c r="D63" s="2136"/>
      <c r="E63" s="2137"/>
    </row>
    <row r="64" spans="2:5">
      <c r="B64" s="2135"/>
      <c r="C64" s="2136"/>
      <c r="D64" s="2136"/>
      <c r="E64" s="2137"/>
    </row>
    <row r="65" spans="2:5" ht="41" customHeight="1">
      <c r="B65" s="2146"/>
      <c r="C65" s="2147"/>
      <c r="D65" s="2147"/>
      <c r="E65" s="2148"/>
    </row>
    <row r="67" spans="2:5" ht="17" thickBot="1">
      <c r="B67" s="460"/>
      <c r="C67" s="460"/>
      <c r="D67" s="460"/>
      <c r="E67" s="460"/>
    </row>
    <row r="68" spans="2:5">
      <c r="E68" s="464" t="s">
        <v>105</v>
      </c>
    </row>
  </sheetData>
  <sheetProtection algorithmName="SHA-512" hashValue="KdHPTH1FiD4vrk8WhmB2snPts1fxLZp4eN7qDjJpjXLTC1peW4YJQnGFUQbHE/nRCUbKlGXbT5YFnyDqkR3B/w==" saltValue="V32NUK8TPvttorNfKJ8uzw==" spinCount="100000" sheet="1" objects="1" scenarios="1" selectLockedCells="1"/>
  <mergeCells count="39">
    <mergeCell ref="B58:E60"/>
    <mergeCell ref="B61:E61"/>
    <mergeCell ref="B62:E65"/>
    <mergeCell ref="D50:E50"/>
    <mergeCell ref="D51:E51"/>
    <mergeCell ref="D52:E52"/>
    <mergeCell ref="D53:E53"/>
    <mergeCell ref="B56:E56"/>
    <mergeCell ref="B57:E57"/>
    <mergeCell ref="D49:E49"/>
    <mergeCell ref="B27:E27"/>
    <mergeCell ref="B29:E29"/>
    <mergeCell ref="B32:C32"/>
    <mergeCell ref="D32:E32"/>
    <mergeCell ref="B33:C42"/>
    <mergeCell ref="D33:E42"/>
    <mergeCell ref="B44:E44"/>
    <mergeCell ref="D45:E45"/>
    <mergeCell ref="D46:E46"/>
    <mergeCell ref="D47:E47"/>
    <mergeCell ref="D48:E48"/>
    <mergeCell ref="B26:E26"/>
    <mergeCell ref="D14:E14"/>
    <mergeCell ref="D15:E15"/>
    <mergeCell ref="D16:E16"/>
    <mergeCell ref="D17:E17"/>
    <mergeCell ref="B18:E18"/>
    <mergeCell ref="B19:E19"/>
    <mergeCell ref="B21:E21"/>
    <mergeCell ref="B22:E22"/>
    <mergeCell ref="B23:E23"/>
    <mergeCell ref="B24:E24"/>
    <mergeCell ref="B25:E25"/>
    <mergeCell ref="D13:E13"/>
    <mergeCell ref="B3:E3"/>
    <mergeCell ref="B7:E7"/>
    <mergeCell ref="C9:D9"/>
    <mergeCell ref="B11:E11"/>
    <mergeCell ref="D12:E12"/>
  </mergeCells>
  <conditionalFormatting sqref="C16:C17">
    <cfRule type="notContainsBlanks" dxfId="425" priority="1">
      <formula>LEN(TRIM(C16))&gt;0</formula>
    </cfRule>
  </conditionalFormatting>
  <conditionalFormatting sqref="E8 C9:D9 B19:E19 B23:E23 B25:E25 B27:E27 C30 E30 B33:E42 C46:D54 B58:E60 B62:E65">
    <cfRule type="notContainsBlanks" dxfId="424" priority="2">
      <formula>LEN(TRIM(B8))&gt;0</formula>
    </cfRule>
  </conditionalFormatting>
  <dataValidations count="7">
    <dataValidation type="whole" allowBlank="1" showInputMessage="1" showErrorMessage="1" error="EN: please enter a whole number_x000a_DE: Bitte geben Sie eine ganze Zahl ein" prompt="EN: please enter a valid number_x000a_DE: Bitte geben Sie eine plausible Zahl ein" sqref="C46" xr:uid="{00000000-0002-0000-1400-000000000000}">
      <formula1>0</formula1>
      <formula2>1000000</formula2>
    </dataValidation>
    <dataValidation allowBlank="1" showInputMessage="1" showErrorMessage="1" error="EN: please enter a number_x000a_DE: Bitte geben Sie eine Zahl ein" prompt="EN: enter a Euro value_x000a_DE Geben Sie einen Wert in Euro an" sqref="C54" xr:uid="{00000000-0002-0000-1400-000001000000}"/>
    <dataValidation allowBlank="1" error="EN: Enter a number _x000a_DE: Geben Sie eine Zahl ein" prompt="EN: Effort in person-days_x000a_DE: Aufwand in Personentagen" sqref="D46:E54" xr:uid="{00000000-0002-0000-1400-000002000000}"/>
    <dataValidation type="whole" allowBlank="1" showInputMessage="1" showErrorMessage="1" error="EN: please enter a whole number_x000a_DE: Bitte geben Sie eine ganze Zahl ein" prompt="EN: please enter a valid number_x000a_DE: Bitte geben Sie eine plausible Zahl ein" sqref="C47" xr:uid="{00000000-0002-0000-1400-000003000000}">
      <formula1>1</formula1>
      <formula2>1000000</formula2>
    </dataValidation>
    <dataValidation type="decimal" allowBlank="1" showInputMessage="1" showErrorMessage="1" error="EN: please enter a number_x000a_DE: Bitte geben Sie eine Zahl ein" prompt="EN: enter a Euro value_x000a_DE Geben Sie einen Wert in Euro an" sqref="C52:C53" xr:uid="{00000000-0002-0000-1400-000004000000}">
      <formula1>1</formula1>
      <formula2>1000000000000</formula2>
    </dataValidation>
    <dataValidation type="decimal" allowBlank="1" showInputMessage="1" showErrorMessage="1" error="EN: Enter a number _x000a_DE: Geben Sie eine Zahl ein" prompt="EN: Effort in person-days_x000a_DE: Aufwand in Personentagen" sqref="C48:C49" xr:uid="{00000000-0002-0000-1400-000005000000}">
      <formula1>1</formula1>
      <formula2>1000000000</formula2>
    </dataValidation>
    <dataValidation type="decimal" allowBlank="1" showInputMessage="1" showErrorMessage="1" error="EN: Enter a number_x000a_DE: Geben Sie eine Zahl ein" prompt="EN: Effort in person-days_x000a_DE: Aufwand in Personentagen" sqref="C49:C51" xr:uid="{00000000-0002-0000-1400-000006000000}">
      <formula1>1</formula1>
      <formula2>1000000000</formula2>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400-000007000000}">
          <x14:formula1>
            <xm:f>'Control Values'!$B$14:$B$15</xm:f>
          </x14:formula1>
          <xm:sqref>E9</xm:sqref>
        </x14:dataValidation>
        <x14:dataValidation type="list" allowBlank="1" showInputMessage="1" showErrorMessage="1" xr:uid="{00000000-0002-0000-1400-000008000000}">
          <x14:formula1>
            <xm:f>'Control Values'!$B$29:$B$34</xm:f>
          </x14:formula1>
          <xm:sqref>C17</xm:sqref>
        </x14:dataValidation>
        <x14:dataValidation type="list" allowBlank="1" showInputMessage="1" showErrorMessage="1" xr:uid="{00000000-0002-0000-1400-000009000000}">
          <x14:formula1>
            <xm:f>'Control Values'!$B$23:$B$26</xm:f>
          </x14:formula1>
          <xm:sqref>C16</xm:sqref>
        </x14:dataValidation>
        <x14:dataValidation type="list" allowBlank="1" showInputMessage="1" showErrorMessage="1" xr:uid="{00000000-0002-0000-1400-00000A000000}">
          <x14:formula1>
            <xm:f>'Control Values'!$B$18:$B$19</xm:f>
          </x14:formula1>
          <xm:sqref>C13:C15</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5AAC7-36F0-460C-8AD5-D3C7CDDEBF56}">
  <sheetPr codeName="Sheet76">
    <tabColor theme="9"/>
  </sheetPr>
  <dimension ref="A1:S60"/>
  <sheetViews>
    <sheetView zoomScale="80" zoomScaleNormal="80" workbookViewId="0">
      <selection activeCell="C10" sqref="C10"/>
    </sheetView>
  </sheetViews>
  <sheetFormatPr baseColWidth="10" defaultColWidth="11.5" defaultRowHeight="15"/>
  <cols>
    <col min="1" max="1" width="8.6640625" style="89" customWidth="1"/>
    <col min="2" max="2" width="11.5" style="89" customWidth="1"/>
    <col min="3" max="3" width="44.33203125" style="89" customWidth="1"/>
    <col min="4" max="4" width="23.1640625" style="89" customWidth="1"/>
    <col min="5" max="5" width="37.5" style="89" customWidth="1"/>
    <col min="6" max="6" width="32" style="89" customWidth="1"/>
    <col min="7" max="7" width="11.6640625" style="89" customWidth="1"/>
    <col min="8" max="11" width="32" style="89" customWidth="1"/>
    <col min="12" max="13" width="32.5" style="89" customWidth="1"/>
    <col min="14" max="14" width="26.1640625" style="89" customWidth="1"/>
    <col min="15" max="15" width="20" style="89" customWidth="1"/>
    <col min="16" max="17" width="11.5" style="89"/>
    <col min="18" max="18" width="8.5" style="89" customWidth="1"/>
    <col min="19" max="16384" width="11.5" style="89"/>
  </cols>
  <sheetData>
    <row r="1" spans="1:19" ht="19.5" customHeight="1" thickBot="1">
      <c r="B1" s="497" t="str">
        <f ca="1">COV!C20</f>
        <v>DECKBLATT BITTE VOLLSTÄNDIG AUSFÜLLEN!</v>
      </c>
      <c r="C1" s="459"/>
      <c r="D1" s="459"/>
      <c r="E1" s="459"/>
      <c r="F1" s="459"/>
      <c r="G1" s="459"/>
      <c r="H1" s="459"/>
      <c r="I1" s="459"/>
      <c r="J1" s="459"/>
      <c r="K1" s="459"/>
      <c r="L1" s="459"/>
      <c r="M1" s="459"/>
    </row>
    <row r="2" spans="1:19" ht="5.25" customHeight="1" thickTop="1"/>
    <row r="3" spans="1:19" ht="21">
      <c r="B3" s="2046" t="str">
        <f>Dictionary!B663&amp;" "&amp;'(7b) Project List'!A12&amp;", "&amp;EXP!D12&amp;": "&amp;EXP!C12</f>
        <v xml:space="preserve">Projektliste für Eintrag 4, : </v>
      </c>
      <c r="C3" s="2046"/>
      <c r="D3" s="2046"/>
      <c r="E3" s="2046"/>
      <c r="F3" s="2046"/>
      <c r="G3" s="2046"/>
      <c r="H3" s="2046"/>
      <c r="I3" s="2046"/>
      <c r="J3" s="2046"/>
      <c r="K3" s="2046"/>
      <c r="L3" s="2046"/>
      <c r="M3" s="2046"/>
    </row>
    <row r="4" spans="1:19" ht="21">
      <c r="B4" s="488"/>
      <c r="C4" s="488"/>
      <c r="D4" s="488"/>
      <c r="E4" s="488"/>
      <c r="F4" s="488"/>
      <c r="G4" s="488"/>
      <c r="H4" s="488"/>
      <c r="I4" s="488"/>
      <c r="J4" s="488"/>
      <c r="K4" s="488"/>
      <c r="L4" s="488"/>
      <c r="M4" s="488"/>
    </row>
    <row r="5" spans="1:19" ht="21">
      <c r="B5" s="489" t="str">
        <f>EXP!B5</f>
        <v xml:space="preserve"> , Level A, Projekt Management, Erstzertifizierung</v>
      </c>
      <c r="C5" s="490"/>
      <c r="D5" s="490"/>
      <c r="E5" s="490"/>
      <c r="F5" s="490"/>
      <c r="G5" s="490"/>
      <c r="H5" s="490"/>
      <c r="I5" s="490"/>
      <c r="J5" s="490"/>
      <c r="K5" s="490"/>
      <c r="L5" s="490"/>
      <c r="M5" s="490"/>
    </row>
    <row r="6" spans="1:19" ht="15" customHeight="1">
      <c r="A6" s="1284"/>
      <c r="B6" s="554"/>
      <c r="C6" s="554"/>
      <c r="D6" s="554"/>
      <c r="E6" s="554"/>
      <c r="F6" s="554"/>
      <c r="G6" s="554"/>
      <c r="H6" s="554"/>
      <c r="I6" s="554"/>
      <c r="J6" s="554"/>
      <c r="K6" s="554"/>
      <c r="L6" s="554"/>
      <c r="M6" s="554"/>
      <c r="N6" s="554"/>
      <c r="O6" s="554"/>
      <c r="P6" s="554"/>
      <c r="Q6" s="554"/>
      <c r="R6" s="554"/>
      <c r="S6" s="554"/>
    </row>
    <row r="7" spans="1:19" ht="24">
      <c r="A7" s="1284"/>
      <c r="B7" s="2171" t="str">
        <f>Dictionary!B665</f>
        <v>Nr.</v>
      </c>
      <c r="C7" s="2166" t="str">
        <f>Dictionary!B666</f>
        <v>Projektname</v>
      </c>
      <c r="D7" s="2166" t="str">
        <f>Dictionary!B667</f>
        <v>PM Domäne</v>
      </c>
      <c r="E7" s="2166" t="s">
        <v>269</v>
      </c>
      <c r="F7" s="2166" t="str">
        <f>Dictionary!B676</f>
        <v>Projekt- / Programm Typ</v>
      </c>
      <c r="G7" s="2173" t="str">
        <f>Dictionary!B677</f>
        <v>Strategisch</v>
      </c>
      <c r="H7" s="2166" t="str">
        <f>Dictionary!B670</f>
        <v>Dauer</v>
      </c>
      <c r="I7" s="2166"/>
      <c r="J7" s="2166" t="str">
        <f>Dictionary!B671</f>
        <v>Gesamtaufwand [Personentage]:</v>
      </c>
      <c r="K7" s="2166"/>
      <c r="L7" s="2166" t="str">
        <f>Dictionary!B672</f>
        <v>Gesamtbudget [€]:</v>
      </c>
      <c r="M7" s="2175"/>
      <c r="N7" s="554"/>
      <c r="O7" s="554"/>
      <c r="P7" s="554"/>
      <c r="Q7" s="554"/>
      <c r="R7" s="554"/>
      <c r="S7" s="554"/>
    </row>
    <row r="8" spans="1:19" ht="24">
      <c r="A8" s="1284"/>
      <c r="B8" s="2172"/>
      <c r="C8" s="2167"/>
      <c r="D8" s="2167"/>
      <c r="E8" s="2167"/>
      <c r="F8" s="2167"/>
      <c r="G8" s="2174"/>
      <c r="H8" s="1305" t="str">
        <f>Dictionary!B668</f>
        <v>Startdatum</v>
      </c>
      <c r="I8" s="1305" t="str">
        <f>Dictionary!B669</f>
        <v>Endtermin</v>
      </c>
      <c r="J8" s="1305" t="str">
        <f>Dictionary!B673</f>
        <v>geplant</v>
      </c>
      <c r="K8" s="1305" t="str">
        <f>Dictionary!B674</f>
        <v>realisiert</v>
      </c>
      <c r="L8" s="1305" t="str">
        <f>Dictionary!B673</f>
        <v>geplant</v>
      </c>
      <c r="M8" s="1306" t="str">
        <f>Dictionary!B674</f>
        <v>realisiert</v>
      </c>
      <c r="N8" s="554"/>
      <c r="O8" s="554"/>
      <c r="P8" s="554"/>
      <c r="Q8" s="554"/>
      <c r="R8" s="554"/>
      <c r="S8" s="554"/>
    </row>
    <row r="9" spans="1:19" ht="24" hidden="1">
      <c r="A9" s="1284"/>
      <c r="B9" s="1304" t="s">
        <v>2826</v>
      </c>
      <c r="C9" s="1297" t="s">
        <v>2827</v>
      </c>
      <c r="D9" s="1297" t="s">
        <v>2837</v>
      </c>
      <c r="E9" s="1297" t="s">
        <v>2828</v>
      </c>
      <c r="F9" s="1297" t="s">
        <v>2829</v>
      </c>
      <c r="G9" s="1298" t="s">
        <v>2830</v>
      </c>
      <c r="H9" s="1299" t="s">
        <v>2831</v>
      </c>
      <c r="I9" s="1299" t="s">
        <v>2832</v>
      </c>
      <c r="J9" s="1300" t="s">
        <v>2833</v>
      </c>
      <c r="K9" s="1300" t="s">
        <v>2834</v>
      </c>
      <c r="L9" s="1300" t="s">
        <v>2835</v>
      </c>
      <c r="M9" s="1300" t="s">
        <v>2836</v>
      </c>
      <c r="N9" s="554"/>
      <c r="O9" s="554"/>
      <c r="P9" s="554"/>
      <c r="Q9" s="554"/>
      <c r="R9" s="554"/>
      <c r="S9" s="554"/>
    </row>
    <row r="10" spans="1:19" ht="24">
      <c r="A10" s="1284"/>
      <c r="B10" s="1292">
        <v>1</v>
      </c>
      <c r="C10" s="1291"/>
      <c r="D10" s="1291"/>
      <c r="E10" s="1291"/>
      <c r="F10" s="1291"/>
      <c r="G10" s="1296"/>
      <c r="H10" s="1307"/>
      <c r="I10" s="1308"/>
      <c r="J10" s="1321"/>
      <c r="K10" s="1321"/>
      <c r="L10" s="1293"/>
      <c r="M10" s="1293"/>
      <c r="N10" s="554"/>
      <c r="O10" s="554"/>
      <c r="P10" s="554"/>
      <c r="Q10" s="554"/>
      <c r="R10" s="554"/>
      <c r="S10" s="554"/>
    </row>
    <row r="11" spans="1:19" ht="24">
      <c r="A11" s="1284"/>
      <c r="B11" s="1292">
        <v>2</v>
      </c>
      <c r="C11" s="1291"/>
      <c r="D11" s="1291"/>
      <c r="E11" s="1291"/>
      <c r="F11" s="1291"/>
      <c r="G11" s="1296"/>
      <c r="H11" s="1309"/>
      <c r="I11" s="1310"/>
      <c r="J11" s="1321"/>
      <c r="K11" s="1321"/>
      <c r="L11" s="1293"/>
      <c r="M11" s="1293"/>
      <c r="N11" s="554"/>
      <c r="O11" s="554"/>
      <c r="P11" s="554"/>
      <c r="Q11" s="554"/>
      <c r="R11" s="554"/>
      <c r="S11" s="554"/>
    </row>
    <row r="12" spans="1:19" ht="24">
      <c r="A12" s="1284"/>
      <c r="B12" s="1292">
        <v>3</v>
      </c>
      <c r="C12" s="1291"/>
      <c r="D12" s="1291"/>
      <c r="E12" s="1291"/>
      <c r="F12" s="1291"/>
      <c r="G12" s="1296"/>
      <c r="H12" s="1309"/>
      <c r="I12" s="1310"/>
      <c r="J12" s="1321"/>
      <c r="K12" s="1321"/>
      <c r="L12" s="1293"/>
      <c r="M12" s="1293"/>
      <c r="N12" s="554"/>
      <c r="O12" s="554"/>
      <c r="P12" s="554"/>
      <c r="Q12" s="554"/>
      <c r="R12" s="554"/>
      <c r="S12" s="554"/>
    </row>
    <row r="13" spans="1:19" ht="24">
      <c r="A13" s="1284"/>
      <c r="B13" s="1292">
        <v>4</v>
      </c>
      <c r="C13" s="1291"/>
      <c r="D13" s="1291"/>
      <c r="E13" s="1291"/>
      <c r="F13" s="1291"/>
      <c r="G13" s="1296"/>
      <c r="H13" s="1309"/>
      <c r="I13" s="1310"/>
      <c r="J13" s="1321"/>
      <c r="K13" s="1321"/>
      <c r="L13" s="1293"/>
      <c r="M13" s="1293"/>
      <c r="N13" s="554"/>
      <c r="O13" s="554"/>
      <c r="P13" s="554"/>
      <c r="Q13" s="554"/>
      <c r="R13" s="554"/>
      <c r="S13" s="554"/>
    </row>
    <row r="14" spans="1:19" ht="24">
      <c r="A14" s="1284"/>
      <c r="B14" s="1292">
        <v>5</v>
      </c>
      <c r="C14" s="1291"/>
      <c r="D14" s="1291"/>
      <c r="E14" s="1291"/>
      <c r="F14" s="1291"/>
      <c r="G14" s="1296"/>
      <c r="H14" s="1309"/>
      <c r="I14" s="1310"/>
      <c r="J14" s="1321"/>
      <c r="K14" s="1321"/>
      <c r="L14" s="1293"/>
      <c r="M14" s="1293"/>
      <c r="N14" s="554"/>
      <c r="O14" s="554"/>
      <c r="P14" s="554"/>
      <c r="Q14" s="554"/>
      <c r="R14" s="554"/>
      <c r="S14" s="554"/>
    </row>
    <row r="15" spans="1:19" ht="24">
      <c r="A15" s="1284"/>
      <c r="B15" s="1292">
        <v>6</v>
      </c>
      <c r="C15" s="1291"/>
      <c r="D15" s="1291"/>
      <c r="E15" s="1291"/>
      <c r="F15" s="1291"/>
      <c r="G15" s="1296"/>
      <c r="H15" s="1309"/>
      <c r="I15" s="1310"/>
      <c r="J15" s="1321"/>
      <c r="K15" s="1321"/>
      <c r="L15" s="1293"/>
      <c r="M15" s="1293"/>
      <c r="N15" s="554"/>
      <c r="O15" s="554"/>
      <c r="P15" s="554"/>
      <c r="Q15" s="554"/>
      <c r="R15" s="554"/>
      <c r="S15" s="554"/>
    </row>
    <row r="16" spans="1:19" ht="24">
      <c r="A16" s="1284"/>
      <c r="B16" s="1292">
        <v>7</v>
      </c>
      <c r="C16" s="1291"/>
      <c r="D16" s="1291"/>
      <c r="E16" s="1291"/>
      <c r="F16" s="1291"/>
      <c r="G16" s="1296"/>
      <c r="H16" s="1309"/>
      <c r="I16" s="1310"/>
      <c r="J16" s="1321"/>
      <c r="K16" s="1321"/>
      <c r="L16" s="1293"/>
      <c r="M16" s="1293"/>
      <c r="N16" s="554"/>
      <c r="O16" s="554"/>
      <c r="P16" s="554"/>
      <c r="Q16" s="554"/>
      <c r="R16" s="554"/>
      <c r="S16" s="554"/>
    </row>
    <row r="17" spans="1:19" ht="24">
      <c r="A17" s="1284"/>
      <c r="B17" s="1292">
        <v>8</v>
      </c>
      <c r="C17" s="1291"/>
      <c r="D17" s="1291"/>
      <c r="E17" s="1291"/>
      <c r="F17" s="1291"/>
      <c r="G17" s="1296"/>
      <c r="H17" s="1309"/>
      <c r="I17" s="1310"/>
      <c r="J17" s="1321"/>
      <c r="K17" s="1321"/>
      <c r="L17" s="1293"/>
      <c r="M17" s="1293"/>
      <c r="N17" s="554"/>
      <c r="O17" s="554"/>
      <c r="P17" s="554"/>
      <c r="Q17" s="554"/>
      <c r="R17" s="554"/>
      <c r="S17" s="554"/>
    </row>
    <row r="18" spans="1:19" ht="24">
      <c r="A18" s="1284"/>
      <c r="B18" s="1292">
        <v>9</v>
      </c>
      <c r="C18" s="1291"/>
      <c r="D18" s="1291"/>
      <c r="E18" s="1291"/>
      <c r="F18" s="1291"/>
      <c r="G18" s="1296"/>
      <c r="H18" s="1309"/>
      <c r="I18" s="1310"/>
      <c r="J18" s="1321"/>
      <c r="K18" s="1321"/>
      <c r="L18" s="1293"/>
      <c r="M18" s="1293"/>
      <c r="N18" s="554"/>
      <c r="O18" s="554"/>
      <c r="P18" s="554"/>
      <c r="Q18" s="554"/>
      <c r="R18" s="554"/>
      <c r="S18" s="554"/>
    </row>
    <row r="19" spans="1:19" ht="24">
      <c r="A19" s="1284"/>
      <c r="B19" s="1292">
        <v>10</v>
      </c>
      <c r="C19" s="1291"/>
      <c r="D19" s="1291"/>
      <c r="E19" s="1291"/>
      <c r="F19" s="1291"/>
      <c r="G19" s="1296"/>
      <c r="H19" s="1309"/>
      <c r="I19" s="1310"/>
      <c r="J19" s="1321"/>
      <c r="K19" s="1321"/>
      <c r="L19" s="1293"/>
      <c r="M19" s="1293"/>
      <c r="N19" s="554"/>
      <c r="O19" s="554"/>
      <c r="P19" s="554"/>
      <c r="Q19" s="554"/>
      <c r="R19" s="554"/>
      <c r="S19" s="554"/>
    </row>
    <row r="20" spans="1:19" ht="24">
      <c r="A20" s="1284"/>
      <c r="B20" s="1292">
        <v>11</v>
      </c>
      <c r="C20" s="1291"/>
      <c r="D20" s="1291"/>
      <c r="E20" s="1291"/>
      <c r="F20" s="1291"/>
      <c r="G20" s="1296"/>
      <c r="H20" s="1309"/>
      <c r="I20" s="1310"/>
      <c r="J20" s="1321"/>
      <c r="K20" s="1321"/>
      <c r="L20" s="1293"/>
      <c r="M20" s="1293"/>
      <c r="N20" s="554"/>
      <c r="O20" s="554"/>
      <c r="P20" s="554"/>
      <c r="Q20" s="554"/>
      <c r="R20" s="554"/>
      <c r="S20" s="554"/>
    </row>
    <row r="21" spans="1:19" ht="24">
      <c r="A21" s="1284"/>
      <c r="B21" s="1292">
        <v>12</v>
      </c>
      <c r="C21" s="1291"/>
      <c r="D21" s="1291"/>
      <c r="E21" s="1291"/>
      <c r="F21" s="1291"/>
      <c r="G21" s="1296"/>
      <c r="H21" s="1309"/>
      <c r="I21" s="1310"/>
      <c r="J21" s="1321"/>
      <c r="K21" s="1321"/>
      <c r="L21" s="1293"/>
      <c r="M21" s="1293"/>
      <c r="N21" s="554"/>
      <c r="O21" s="554"/>
      <c r="P21" s="554"/>
      <c r="Q21" s="554"/>
      <c r="R21" s="554"/>
      <c r="S21" s="554"/>
    </row>
    <row r="22" spans="1:19" ht="24">
      <c r="A22" s="1284"/>
      <c r="B22" s="1292">
        <v>13</v>
      </c>
      <c r="C22" s="1291"/>
      <c r="D22" s="1291"/>
      <c r="E22" s="1291"/>
      <c r="F22" s="1291"/>
      <c r="G22" s="1296"/>
      <c r="H22" s="1309"/>
      <c r="I22" s="1310"/>
      <c r="J22" s="1321"/>
      <c r="K22" s="1321"/>
      <c r="L22" s="1293"/>
      <c r="M22" s="1293"/>
      <c r="N22" s="554"/>
      <c r="O22" s="554"/>
      <c r="P22" s="554"/>
      <c r="Q22" s="554"/>
      <c r="R22" s="554"/>
      <c r="S22" s="554"/>
    </row>
    <row r="23" spans="1:19" ht="24">
      <c r="A23" s="1284"/>
      <c r="B23" s="1292">
        <v>14</v>
      </c>
      <c r="C23" s="1291"/>
      <c r="D23" s="1291"/>
      <c r="E23" s="1291"/>
      <c r="F23" s="1291"/>
      <c r="G23" s="1296"/>
      <c r="H23" s="1309"/>
      <c r="I23" s="1310"/>
      <c r="J23" s="1321"/>
      <c r="K23" s="1321"/>
      <c r="L23" s="1293"/>
      <c r="M23" s="1293"/>
      <c r="N23" s="554"/>
      <c r="O23" s="554"/>
      <c r="P23" s="554"/>
      <c r="Q23" s="554"/>
      <c r="R23" s="554"/>
      <c r="S23" s="554"/>
    </row>
    <row r="24" spans="1:19" ht="24">
      <c r="A24" s="1284"/>
      <c r="B24" s="1292">
        <v>15</v>
      </c>
      <c r="C24" s="1291"/>
      <c r="D24" s="1291"/>
      <c r="E24" s="1291"/>
      <c r="F24" s="1291"/>
      <c r="G24" s="1296"/>
      <c r="H24" s="1309"/>
      <c r="I24" s="1310"/>
      <c r="J24" s="1321"/>
      <c r="K24" s="1321"/>
      <c r="L24" s="1293"/>
      <c r="M24" s="1293"/>
      <c r="N24" s="554"/>
      <c r="O24" s="554"/>
      <c r="P24" s="554"/>
      <c r="Q24" s="554"/>
      <c r="R24" s="554"/>
      <c r="S24" s="554"/>
    </row>
    <row r="25" spans="1:19" ht="24">
      <c r="A25" s="1284"/>
      <c r="B25" s="1292">
        <v>16</v>
      </c>
      <c r="C25" s="1291"/>
      <c r="D25" s="1291"/>
      <c r="E25" s="1291"/>
      <c r="F25" s="1291"/>
      <c r="G25" s="1296"/>
      <c r="H25" s="1309"/>
      <c r="I25" s="1310"/>
      <c r="J25" s="1321"/>
      <c r="K25" s="1321"/>
      <c r="L25" s="1293"/>
      <c r="M25" s="1293"/>
      <c r="N25" s="554"/>
      <c r="O25" s="554"/>
      <c r="P25" s="554"/>
      <c r="Q25" s="554"/>
      <c r="R25" s="554"/>
      <c r="S25" s="554"/>
    </row>
    <row r="26" spans="1:19" ht="24">
      <c r="A26" s="1284"/>
      <c r="B26" s="1292">
        <v>17</v>
      </c>
      <c r="C26" s="1291"/>
      <c r="D26" s="1291"/>
      <c r="E26" s="1291"/>
      <c r="F26" s="1291"/>
      <c r="G26" s="1296"/>
      <c r="H26" s="1309"/>
      <c r="I26" s="1310"/>
      <c r="J26" s="1321"/>
      <c r="K26" s="1321"/>
      <c r="L26" s="1293"/>
      <c r="M26" s="1293"/>
      <c r="N26" s="554"/>
      <c r="O26" s="554"/>
      <c r="P26" s="554"/>
      <c r="Q26" s="554"/>
      <c r="R26" s="554"/>
      <c r="S26" s="554"/>
    </row>
    <row r="27" spans="1:19" ht="24">
      <c r="A27" s="1284"/>
      <c r="B27" s="1292">
        <v>18</v>
      </c>
      <c r="C27" s="1291"/>
      <c r="D27" s="1291"/>
      <c r="E27" s="1291"/>
      <c r="F27" s="1291"/>
      <c r="G27" s="1296"/>
      <c r="H27" s="1309"/>
      <c r="I27" s="1310"/>
      <c r="J27" s="1321"/>
      <c r="K27" s="1321"/>
      <c r="L27" s="1293"/>
      <c r="M27" s="1293"/>
      <c r="N27" s="554"/>
      <c r="O27" s="554"/>
      <c r="P27" s="554"/>
      <c r="Q27" s="554"/>
      <c r="R27" s="554"/>
      <c r="S27" s="554"/>
    </row>
    <row r="28" spans="1:19" ht="24">
      <c r="A28" s="1284"/>
      <c r="B28" s="1292">
        <v>19</v>
      </c>
      <c r="C28" s="1291"/>
      <c r="D28" s="1291"/>
      <c r="E28" s="1291"/>
      <c r="F28" s="1291"/>
      <c r="G28" s="1296"/>
      <c r="H28" s="1309"/>
      <c r="I28" s="1310"/>
      <c r="J28" s="1321"/>
      <c r="K28" s="1321"/>
      <c r="L28" s="1293"/>
      <c r="M28" s="1293"/>
      <c r="N28" s="554"/>
      <c r="O28" s="554"/>
      <c r="P28" s="554"/>
      <c r="Q28" s="554"/>
      <c r="R28" s="554"/>
      <c r="S28" s="554"/>
    </row>
    <row r="29" spans="1:19" ht="24">
      <c r="A29" s="1284"/>
      <c r="B29" s="1292">
        <v>20</v>
      </c>
      <c r="C29" s="1291"/>
      <c r="D29" s="1291"/>
      <c r="E29" s="1291"/>
      <c r="F29" s="1291"/>
      <c r="G29" s="1296"/>
      <c r="H29" s="1309"/>
      <c r="I29" s="1310"/>
      <c r="J29" s="1321"/>
      <c r="K29" s="1321"/>
      <c r="L29" s="1293"/>
      <c r="M29" s="1293"/>
      <c r="N29" s="554"/>
      <c r="O29" s="554"/>
      <c r="P29" s="554"/>
      <c r="Q29" s="554"/>
      <c r="R29" s="554"/>
      <c r="S29" s="554"/>
    </row>
    <row r="30" spans="1:19" ht="24">
      <c r="A30" s="1284"/>
      <c r="B30" s="1292">
        <v>21</v>
      </c>
      <c r="C30" s="1291"/>
      <c r="D30" s="1291"/>
      <c r="E30" s="1291"/>
      <c r="F30" s="1291"/>
      <c r="G30" s="1296"/>
      <c r="H30" s="1309"/>
      <c r="I30" s="1310"/>
      <c r="J30" s="1321"/>
      <c r="K30" s="1321"/>
      <c r="L30" s="1293"/>
      <c r="M30" s="1293"/>
      <c r="N30" s="554"/>
      <c r="O30" s="554"/>
      <c r="P30" s="554"/>
      <c r="Q30" s="554"/>
      <c r="R30" s="554"/>
      <c r="S30" s="554"/>
    </row>
    <row r="31" spans="1:19" ht="24">
      <c r="A31" s="1284"/>
      <c r="B31" s="1292">
        <v>22</v>
      </c>
      <c r="C31" s="1291"/>
      <c r="D31" s="1291"/>
      <c r="E31" s="1291"/>
      <c r="F31" s="1291"/>
      <c r="G31" s="1296"/>
      <c r="H31" s="1309"/>
      <c r="I31" s="1310"/>
      <c r="J31" s="1321"/>
      <c r="K31" s="1321"/>
      <c r="L31" s="1293"/>
      <c r="M31" s="1293"/>
      <c r="N31" s="554"/>
      <c r="O31" s="554"/>
      <c r="P31" s="554"/>
      <c r="Q31" s="554"/>
      <c r="R31" s="554"/>
      <c r="S31" s="554"/>
    </row>
    <row r="32" spans="1:19" ht="24">
      <c r="A32" s="1284"/>
      <c r="B32" s="1292">
        <v>23</v>
      </c>
      <c r="C32" s="1291"/>
      <c r="D32" s="1291"/>
      <c r="E32" s="1291"/>
      <c r="F32" s="1291"/>
      <c r="G32" s="1296"/>
      <c r="H32" s="1309"/>
      <c r="I32" s="1310"/>
      <c r="J32" s="1321"/>
      <c r="K32" s="1321"/>
      <c r="L32" s="1293"/>
      <c r="M32" s="1293"/>
      <c r="N32" s="554"/>
      <c r="O32" s="554"/>
      <c r="P32" s="554"/>
      <c r="Q32" s="554"/>
      <c r="R32" s="554"/>
      <c r="S32" s="554"/>
    </row>
    <row r="33" spans="1:19" ht="24">
      <c r="A33" s="1284"/>
      <c r="B33" s="1292">
        <v>24</v>
      </c>
      <c r="C33" s="1291"/>
      <c r="D33" s="1291"/>
      <c r="E33" s="1291"/>
      <c r="F33" s="1291"/>
      <c r="G33" s="1296"/>
      <c r="H33" s="1309"/>
      <c r="I33" s="1310"/>
      <c r="J33" s="1321"/>
      <c r="K33" s="1321"/>
      <c r="L33" s="1293"/>
      <c r="M33" s="1293"/>
      <c r="N33" s="554"/>
      <c r="O33" s="554"/>
      <c r="P33" s="554"/>
      <c r="Q33" s="554"/>
      <c r="R33" s="554"/>
      <c r="S33" s="554"/>
    </row>
    <row r="34" spans="1:19" ht="24">
      <c r="A34" s="1284"/>
      <c r="B34" s="1292">
        <v>25</v>
      </c>
      <c r="C34" s="1291"/>
      <c r="D34" s="1291"/>
      <c r="E34" s="1291"/>
      <c r="F34" s="1291"/>
      <c r="G34" s="1296"/>
      <c r="H34" s="1309"/>
      <c r="I34" s="1310"/>
      <c r="J34" s="1321"/>
      <c r="K34" s="1321"/>
      <c r="L34" s="1293"/>
      <c r="M34" s="1293"/>
      <c r="N34" s="554"/>
      <c r="O34" s="554"/>
      <c r="P34" s="554"/>
      <c r="Q34" s="554"/>
      <c r="R34" s="554"/>
      <c r="S34" s="554"/>
    </row>
    <row r="35" spans="1:19" ht="24">
      <c r="A35" s="1284"/>
      <c r="B35" s="1292">
        <v>26</v>
      </c>
      <c r="C35" s="1291"/>
      <c r="D35" s="1291"/>
      <c r="E35" s="1291"/>
      <c r="F35" s="1291"/>
      <c r="G35" s="1296"/>
      <c r="H35" s="1309"/>
      <c r="I35" s="1310"/>
      <c r="J35" s="1321"/>
      <c r="K35" s="1321"/>
      <c r="L35" s="1293"/>
      <c r="M35" s="1293"/>
      <c r="N35" s="554"/>
      <c r="O35" s="554"/>
      <c r="P35" s="554"/>
      <c r="Q35" s="554"/>
      <c r="R35" s="554"/>
      <c r="S35" s="554"/>
    </row>
    <row r="36" spans="1:19" ht="24">
      <c r="A36" s="1284"/>
      <c r="B36" s="1292">
        <v>27</v>
      </c>
      <c r="C36" s="1291"/>
      <c r="D36" s="1291"/>
      <c r="E36" s="1291"/>
      <c r="F36" s="1291"/>
      <c r="G36" s="1296"/>
      <c r="H36" s="1309"/>
      <c r="I36" s="1310"/>
      <c r="J36" s="1321"/>
      <c r="K36" s="1321"/>
      <c r="L36" s="1293"/>
      <c r="M36" s="1293"/>
      <c r="N36" s="554"/>
      <c r="O36" s="554"/>
      <c r="P36" s="554"/>
      <c r="Q36" s="554"/>
      <c r="R36" s="554"/>
      <c r="S36" s="554"/>
    </row>
    <row r="37" spans="1:19" ht="24">
      <c r="A37" s="1284"/>
      <c r="B37" s="1292">
        <v>28</v>
      </c>
      <c r="C37" s="1291"/>
      <c r="D37" s="1291"/>
      <c r="E37" s="1291"/>
      <c r="F37" s="1291"/>
      <c r="G37" s="1296"/>
      <c r="H37" s="1309"/>
      <c r="I37" s="1310"/>
      <c r="J37" s="1321"/>
      <c r="K37" s="1321"/>
      <c r="L37" s="1293"/>
      <c r="M37" s="1293"/>
      <c r="N37" s="554"/>
      <c r="O37" s="554"/>
      <c r="P37" s="554"/>
      <c r="Q37" s="554"/>
      <c r="R37" s="554"/>
      <c r="S37" s="554"/>
    </row>
    <row r="38" spans="1:19" ht="24">
      <c r="A38" s="1284"/>
      <c r="B38" s="1292">
        <v>29</v>
      </c>
      <c r="C38" s="1291"/>
      <c r="D38" s="1291"/>
      <c r="E38" s="1291"/>
      <c r="F38" s="1291"/>
      <c r="G38" s="1296"/>
      <c r="H38" s="1309"/>
      <c r="I38" s="1310"/>
      <c r="J38" s="1321"/>
      <c r="K38" s="1321"/>
      <c r="L38" s="1293"/>
      <c r="M38" s="1293"/>
      <c r="N38" s="554"/>
      <c r="O38" s="554"/>
      <c r="P38" s="554"/>
      <c r="Q38" s="554"/>
      <c r="R38" s="554"/>
      <c r="S38" s="554"/>
    </row>
    <row r="39" spans="1:19" ht="24">
      <c r="A39" s="1284"/>
      <c r="B39" s="1292">
        <v>30</v>
      </c>
      <c r="C39" s="1311"/>
      <c r="D39" s="1311"/>
      <c r="E39" s="1311"/>
      <c r="F39" s="1311"/>
      <c r="G39" s="1312"/>
      <c r="H39" s="1313"/>
      <c r="I39" s="1314"/>
      <c r="J39" s="1322"/>
      <c r="K39" s="1322"/>
      <c r="L39" s="1315"/>
      <c r="M39" s="1315"/>
      <c r="N39" s="554"/>
      <c r="O39" s="554"/>
      <c r="P39" s="554"/>
      <c r="Q39" s="554"/>
      <c r="R39" s="554"/>
      <c r="S39" s="554"/>
    </row>
    <row r="40" spans="1:19" ht="24">
      <c r="A40" s="1284"/>
      <c r="B40" s="1301"/>
      <c r="C40" s="2168" t="str">
        <f>Dictionary!B675</f>
        <v xml:space="preserve">Programm / Portfolio Verwaltung </v>
      </c>
      <c r="D40" s="2169"/>
      <c r="E40" s="2169"/>
      <c r="F40" s="2169"/>
      <c r="G40" s="2170"/>
      <c r="H40" s="1319"/>
      <c r="I40" s="1320"/>
      <c r="J40" s="1323"/>
      <c r="K40" s="1323"/>
      <c r="L40" s="1294"/>
      <c r="M40" s="1295"/>
      <c r="N40" s="554"/>
      <c r="O40" s="554"/>
      <c r="P40" s="554"/>
      <c r="Q40" s="554"/>
      <c r="R40" s="554"/>
      <c r="S40" s="554"/>
    </row>
    <row r="41" spans="1:19" ht="24">
      <c r="A41" s="1284"/>
      <c r="B41" s="1302"/>
      <c r="C41" s="1316"/>
      <c r="D41" s="1316"/>
      <c r="E41" s="1316"/>
      <c r="F41" s="1316"/>
      <c r="G41" s="1316"/>
      <c r="H41" s="2176" t="s">
        <v>2825</v>
      </c>
      <c r="I41" s="2176"/>
      <c r="J41" s="1317">
        <f>SUM(J9:J40)</f>
        <v>0</v>
      </c>
      <c r="K41" s="1317">
        <f>SUM(K9:K40)</f>
        <v>0</v>
      </c>
      <c r="L41" s="1318">
        <f>SUM(L9:L40)</f>
        <v>0</v>
      </c>
      <c r="M41" s="1318">
        <f>SUM(M9:M40)</f>
        <v>0</v>
      </c>
      <c r="N41" s="554"/>
      <c r="O41" s="554"/>
      <c r="P41" s="554"/>
      <c r="Q41" s="554"/>
      <c r="R41" s="554"/>
      <c r="S41" s="554"/>
    </row>
    <row r="42" spans="1:19" ht="24">
      <c r="B42" s="554"/>
      <c r="C42" s="554"/>
      <c r="D42" s="554"/>
      <c r="E42" s="554"/>
      <c r="F42" s="554"/>
      <c r="G42" s="554"/>
      <c r="H42" s="554"/>
      <c r="I42" s="554"/>
      <c r="J42" s="554"/>
      <c r="K42" s="554"/>
      <c r="L42" s="554"/>
      <c r="M42" s="554"/>
    </row>
    <row r="43" spans="1:19" ht="17" thickBot="1">
      <c r="B43" s="460"/>
      <c r="C43" s="460"/>
      <c r="D43" s="460"/>
      <c r="E43" s="460"/>
      <c r="F43" s="460"/>
      <c r="G43" s="460"/>
      <c r="H43" s="460"/>
      <c r="I43" s="460"/>
      <c r="J43" s="460"/>
      <c r="K43" s="460"/>
      <c r="L43" s="460"/>
      <c r="M43" s="460"/>
    </row>
    <row r="44" spans="1:19">
      <c r="M44" s="464" t="s">
        <v>105</v>
      </c>
    </row>
    <row r="50" spans="3:6" hidden="1"/>
    <row r="51" spans="3:6" hidden="1">
      <c r="C51" s="2163" t="s">
        <v>249</v>
      </c>
      <c r="D51" s="2164"/>
      <c r="E51" s="2164"/>
      <c r="F51" s="2165"/>
    </row>
    <row r="52" spans="3:6" hidden="1">
      <c r="C52" s="240"/>
      <c r="D52" s="172"/>
      <c r="E52" s="241"/>
      <c r="F52" s="241"/>
    </row>
    <row r="53" spans="3:6" hidden="1">
      <c r="C53" s="1905" t="s">
        <v>970</v>
      </c>
      <c r="D53" s="172" t="s">
        <v>1037</v>
      </c>
      <c r="E53" s="241"/>
      <c r="F53" s="241"/>
    </row>
    <row r="54" spans="3:6" hidden="1">
      <c r="C54" s="1906" t="s">
        <v>1024</v>
      </c>
      <c r="D54" s="172"/>
      <c r="E54" s="241"/>
      <c r="F54" s="241"/>
    </row>
    <row r="55" spans="3:6" hidden="1">
      <c r="C55" s="1907" t="s">
        <v>1025</v>
      </c>
      <c r="D55" s="172"/>
      <c r="E55" s="241"/>
      <c r="F55" s="241"/>
    </row>
    <row r="56" spans="3:6" hidden="1">
      <c r="C56" s="240"/>
      <c r="D56" s="172"/>
      <c r="E56" s="241"/>
      <c r="F56" s="241"/>
    </row>
    <row r="57" spans="3:6" hidden="1">
      <c r="C57" s="240"/>
      <c r="D57" s="172"/>
      <c r="E57" s="241"/>
      <c r="F57" s="241"/>
    </row>
    <row r="58" spans="3:6" hidden="1">
      <c r="C58" s="240"/>
      <c r="D58" s="172"/>
      <c r="E58" s="241"/>
      <c r="F58" s="241"/>
    </row>
    <row r="59" spans="3:6" hidden="1">
      <c r="C59" s="242"/>
      <c r="D59" s="1303"/>
      <c r="E59" s="185"/>
      <c r="F59" s="185"/>
    </row>
    <row r="60" spans="3:6" hidden="1"/>
  </sheetData>
  <sheetProtection algorithmName="SHA-512" hashValue="HmsppQI2+/A5l15L2aJwQ3t3En6/EvVoMoxWhUTvBeFUpEQq/OHJIQAStNYJi+kl8uLvWaFfKYjX6d36rXg3pw==" saltValue="JjtR2PwrW9G6xULQEvfoyQ==" spinCount="100000" sheet="1" objects="1" scenarios="1" selectLockedCells="1"/>
  <mergeCells count="13">
    <mergeCell ref="C40:G40"/>
    <mergeCell ref="H41:I41"/>
    <mergeCell ref="C51:F51"/>
    <mergeCell ref="B3:M3"/>
    <mergeCell ref="B7:B8"/>
    <mergeCell ref="C7:C8"/>
    <mergeCell ref="D7:D8"/>
    <mergeCell ref="E7:E8"/>
    <mergeCell ref="F7:F8"/>
    <mergeCell ref="G7:G8"/>
    <mergeCell ref="H7:I7"/>
    <mergeCell ref="J7:K7"/>
    <mergeCell ref="L7:M7"/>
  </mergeCells>
  <dataValidations count="6">
    <dataValidation type="date" operator="lessThan" allowBlank="1" showInputMessage="1" showErrorMessage="1" error="EN_x000a_End must occur after start._x000a__x000a_DE_x000a_Das Ende muss nach dem Start kommen._x000a_ " sqref="H10:H40" xr:uid="{00000000-0002-0000-1500-000000000000}">
      <formula1>I10</formula1>
    </dataValidation>
    <dataValidation type="date" operator="greaterThan" allowBlank="1" showInputMessage="1" showErrorMessage="1" error="EN_x000a_End must occur after start._x000a__x000a_DE_x000a_Das Ende muss nach dem Start kommen._x000a_ " sqref="I10:I40" xr:uid="{00000000-0002-0000-1500-000001000000}">
      <formula1>H10</formula1>
    </dataValidation>
    <dataValidation type="list" allowBlank="1" showInputMessage="1" showErrorMessage="1" sqref="G10:G39" xr:uid="{00000000-0002-0000-1500-000002000000}">
      <formula1>$D$53:$D$54</formula1>
    </dataValidation>
    <dataValidation type="list" allowBlank="1" showInputMessage="1" showErrorMessage="1" sqref="D10:D39" xr:uid="{00000000-0002-0000-1500-000003000000}">
      <formula1>$C$53:$C$55</formula1>
    </dataValidation>
    <dataValidation type="whole" operator="greaterThan" allowBlank="1" showInputMessage="1" showErrorMessage="1" error="Bitte eine ganze Zahl grösser als 0 eingeben!" sqref="J9:K40 M9:M40 L10:L40" xr:uid="{00000000-0002-0000-1500-000004000000}">
      <formula1>0</formula1>
    </dataValidation>
    <dataValidation type="whole" operator="greaterThan" allowBlank="1" showInputMessage="1" showErrorMessage="1" error="Bitte eine ganze Zahl grösser als 0 eingeben!" promptTitle="Investition" prompt="Unter Investition werden die gesamten Kosten verstanden, inkl.der personellen Aufwände." sqref="L9" xr:uid="{00000000-0002-0000-1500-000005000000}">
      <formula1>0</formula1>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6000000}">
          <x14:formula1>
            <xm:f>'Control Values'!$B$23:$B$26</xm:f>
          </x14:formula1>
          <xm:sqref>F10:F39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F1C5F-EA2A-4CC3-9104-9C202F61DC89}">
  <sheetPr codeName="Sheet32">
    <tabColor theme="9" tint="-0.24994659260841701"/>
  </sheetPr>
  <dimension ref="B1:L70"/>
  <sheetViews>
    <sheetView showGridLines="0" showZeros="0" workbookViewId="0">
      <pane xSplit="8" ySplit="9" topLeftCell="I10" activePane="bottomRight" state="frozenSplit"/>
      <selection activeCell="B109" sqref="B109"/>
      <selection pane="topRight" activeCell="B109" sqref="B109"/>
      <selection pane="bottomLeft" activeCell="B109" sqref="B109"/>
      <selection pane="bottomRight" activeCell="I11" sqref="I11"/>
    </sheetView>
  </sheetViews>
  <sheetFormatPr baseColWidth="10" defaultColWidth="10" defaultRowHeight="14"/>
  <cols>
    <col min="1" max="1" width="2.6640625" style="472" customWidth="1"/>
    <col min="2" max="2" width="5.5" style="471" customWidth="1"/>
    <col min="3" max="3" width="17.1640625" style="472" customWidth="1"/>
    <col min="4" max="4" width="46.33203125" style="472" customWidth="1"/>
    <col min="5" max="8" width="26.5" style="472" customWidth="1"/>
    <col min="9" max="10" width="11.1640625" style="471" customWidth="1"/>
    <col min="11" max="11" width="55.33203125" style="473" customWidth="1"/>
    <col min="12" max="12" width="9.6640625" style="472" customWidth="1"/>
    <col min="13" max="16384" width="10" style="472"/>
  </cols>
  <sheetData>
    <row r="1" spans="2:11" ht="20.25" customHeight="1" thickBot="1">
      <c r="B1" s="497" t="str">
        <f ca="1">COV!C20</f>
        <v>DECKBLATT BITTE VOLLSTÄNDIG AUSFÜLLEN!</v>
      </c>
      <c r="C1" s="459"/>
      <c r="D1" s="459"/>
      <c r="E1" s="459"/>
      <c r="F1" s="459"/>
      <c r="G1" s="459"/>
      <c r="H1" s="459"/>
      <c r="I1" s="459"/>
      <c r="J1" s="459"/>
      <c r="K1" s="459"/>
    </row>
    <row r="2" spans="2:11" ht="5.25" customHeight="1" thickTop="1"/>
    <row r="3" spans="2:11" ht="21">
      <c r="B3" s="2046" t="str">
        <f>Dictionary!B680&amp;'(7b) Project List'!A12&amp;IF('(7b) Project List'!B12="","",": "&amp;'(7b) Project List'!B12)</f>
        <v>Bewertung der Managementkomplexität für Erfahrung 4</v>
      </c>
      <c r="C3" s="2046"/>
      <c r="D3" s="2046"/>
      <c r="E3" s="2046"/>
      <c r="F3" s="2046"/>
      <c r="G3" s="2046"/>
      <c r="H3" s="2046"/>
      <c r="I3" s="2046"/>
      <c r="J3" s="2046"/>
      <c r="K3" s="2046"/>
    </row>
    <row r="4" spans="2:11" s="498" customFormat="1" ht="21">
      <c r="B4" s="488"/>
      <c r="C4" s="488"/>
      <c r="D4" s="488"/>
      <c r="E4" s="488"/>
      <c r="F4" s="488"/>
      <c r="G4" s="488"/>
      <c r="H4" s="488"/>
      <c r="I4" s="488"/>
      <c r="J4" s="488"/>
      <c r="K4" s="488"/>
    </row>
    <row r="5" spans="2:11" s="467" customFormat="1" ht="22.5" customHeight="1">
      <c r="B5" s="489" t="str">
        <f>EXP!B5</f>
        <v xml:space="preserve"> , Level A, Projekt Management, Erstzertifizierung</v>
      </c>
      <c r="C5" s="491"/>
      <c r="D5" s="491"/>
      <c r="E5" s="492"/>
      <c r="F5" s="491"/>
      <c r="G5" s="493"/>
      <c r="H5" s="492"/>
      <c r="I5" s="492"/>
      <c r="J5" s="492"/>
      <c r="K5" s="494"/>
    </row>
    <row r="6" spans="2:11" s="467" customFormat="1" ht="20" customHeight="1">
      <c r="B6" s="466"/>
      <c r="C6" s="468"/>
      <c r="D6" s="468"/>
      <c r="E6" s="321"/>
      <c r="F6" s="2183"/>
      <c r="G6" s="2183"/>
      <c r="H6" s="2183"/>
      <c r="I6" s="469"/>
      <c r="J6" s="470"/>
    </row>
    <row r="7" spans="2:11" ht="15" customHeight="1"/>
    <row r="8" spans="2:11" s="334" customFormat="1" ht="22.25" customHeight="1">
      <c r="B8" s="2184" t="s">
        <v>294</v>
      </c>
      <c r="C8" s="2187" t="str">
        <f>Dictionary!B681</f>
        <v>Komplexitätsindikatoren und Teilindikatoren</v>
      </c>
      <c r="D8" s="2188"/>
      <c r="E8" s="2186" t="str">
        <f>Dictionary!B682</f>
        <v>Zu bewertende Kriterien:</v>
      </c>
      <c r="F8" s="2186"/>
      <c r="G8" s="2186"/>
      <c r="H8" s="2186"/>
      <c r="I8" s="2177" t="str">
        <f>Dictionary!B683</f>
        <v>Bewertungen und Kommentare</v>
      </c>
      <c r="J8" s="2178"/>
      <c r="K8" s="2179"/>
    </row>
    <row r="9" spans="2:11" s="334" customFormat="1" ht="30" customHeight="1">
      <c r="B9" s="2185"/>
      <c r="C9" s="2189"/>
      <c r="D9" s="2190"/>
      <c r="E9" s="474" t="str">
        <f>Dictionary!B684</f>
        <v>wenig komplex   (1)</v>
      </c>
      <c r="F9" s="474" t="str">
        <f>Dictionary!B685</f>
        <v>begrenzt komplex   (2)</v>
      </c>
      <c r="G9" s="474" t="str">
        <f>Dictionary!B686</f>
        <v>komplex   (3)</v>
      </c>
      <c r="H9" s="474" t="str">
        <f>Dictionary!B687</f>
        <v>sehr komplex   (4)</v>
      </c>
      <c r="I9" s="475" t="str">
        <f>Dictionary!B689</f>
        <v>Bewerber/in</v>
      </c>
      <c r="J9" s="476" t="str">
        <f>Dictionary!B690</f>
        <v>Leitende/r Assessor/in</v>
      </c>
      <c r="K9" s="476" t="str">
        <f>Dictionary!B691</f>
        <v>Anmerkungen, Kommentare, Nachweise (fakultativ)</v>
      </c>
    </row>
    <row r="10" spans="2:11" ht="30" customHeight="1">
      <c r="B10" s="477">
        <v>1</v>
      </c>
      <c r="C10" s="2180" t="str">
        <f>Dictionary!B693</f>
        <v>Indikatoren bezogen auf die technischen Fähigkeiten</v>
      </c>
      <c r="D10" s="2181"/>
      <c r="E10" s="2181"/>
      <c r="F10" s="2181"/>
      <c r="G10" s="2181"/>
      <c r="H10" s="2182"/>
      <c r="K10" s="478"/>
    </row>
    <row r="11" spans="2:11" ht="75">
      <c r="B11" s="479">
        <f>B10+0.1</f>
        <v>1.1000000000000001</v>
      </c>
      <c r="C11" s="558" t="str">
        <f>Dictionary!B694</f>
        <v>Ziele und Ergebnisse</v>
      </c>
      <c r="D11" s="558" t="str">
        <f>Dictionary!B695</f>
        <v>Anzahl und Unterschiedlichkeit der Einzelziele unter Berücksichtigung der Ziele und Erwartungen der relevanten Stakeholder, unterschiedliche Zielkategorien: Prozessziele, Nutzungsziele (Business Case), Operationalisierbarkeit, Transparenz und Abhängigkeiten</v>
      </c>
      <c r="E11" s="557" t="str">
        <f>Dictionary!B696</f>
        <v>sehr wenige klare Ziele, alle quantitativ angegeben, operabel</v>
      </c>
      <c r="F11" s="557" t="str">
        <f>Dictionary!B697</f>
        <v>wenige Ziele, gut formuliert, wenig Zielkonflikte</v>
      </c>
      <c r="G11" s="557" t="str">
        <f>Dictionary!B698</f>
        <v>mehrere Ziele unterschiedlicher Art, teilweise unklar definiert</v>
      </c>
      <c r="H11" s="557" t="str">
        <f>Dictionary!B699</f>
        <v>viele, teilweise konkurrierende  Ziele, strategische und politische Ziele, versteckte Ziele, Nutzungsziele</v>
      </c>
      <c r="I11" s="495"/>
      <c r="J11" s="495"/>
      <c r="K11" s="496"/>
    </row>
    <row r="12" spans="2:11" ht="65">
      <c r="B12" s="479">
        <f>B11+0.1</f>
        <v>1.2000000000000002</v>
      </c>
      <c r="C12" s="558" t="str">
        <f>Dictionary!B701</f>
        <v>Aufgaben und Prozesse</v>
      </c>
      <c r="D12" s="558" t="str">
        <f>Dictionary!B702</f>
        <v>Umfang der Aufgaben, Annahmen und Randbedingungen und deren Abhängigkeiten, eingesetzte Prozesse, Tools und Methoden, eingesetzte Team- und Kommunikationsstrukturen</v>
      </c>
      <c r="E12" s="557" t="str">
        <f>Dictionary!B703</f>
        <v>bekannte Aufgabenstellung und Randbedingungen; wenige Standard-/Reportingverfahren</v>
      </c>
      <c r="F12" s="557" t="str">
        <f>Dictionary!B704</f>
        <v>mehrere Aufgaben, ergänzt durch Annahmen; Einsatz bekannter Prozesse und Tools, einige Reporting-Vorgaben</v>
      </c>
      <c r="G12" s="557" t="str">
        <f>Dictionary!B705</f>
        <v>umfangreiches System von Aufgaben und Annahmen; viele Sachfaktoren; teilweise Einsatz neuartiger Tools und Prozesse, Reporting-Vorgaben</v>
      </c>
      <c r="H12" s="557" t="str">
        <f>Dictionary!B706</f>
        <v>sehr komplexe Aufgabenstellung, umfangreiches sachliches Umfeld; erfordert den Einsatz umfangreicher Prozess- und Toolwelt, strenge Reporting-Vorgaben</v>
      </c>
      <c r="I12" s="495"/>
      <c r="J12" s="495"/>
      <c r="K12" s="496"/>
    </row>
    <row r="13" spans="2:11" ht="65">
      <c r="B13" s="479">
        <f>B12+0.1</f>
        <v>1.3000000000000003</v>
      </c>
      <c r="C13" s="558" t="str">
        <f>Dictionary!B708</f>
        <v>Ressourcen und Finanzen</v>
      </c>
      <c r="D13" s="558" t="str">
        <f>Dictionary!B709</f>
        <v>Akquisition und Bereitstellung der erforderlichen Budgets sowie deren Management; Anzahl der Geldgeber; Verfügbarkeit und Qualität der notwendigen (personellen und sonstigen) Ressourcen; Ressourcen-Management und Beschaffungsprozesse</v>
      </c>
      <c r="E13" s="557" t="str">
        <f>Dictionary!B710</f>
        <v>Budget-Ermittlung ohne Verhandlung, einfache Kostenüberwachung; Ressourcen verfügbar, geringe Ressourcenkonflikte; geringfügige Beschaffungsvorgänge</v>
      </c>
      <c r="F13" s="557" t="str">
        <f>Dictionary!B711</f>
        <v>Budget-Ermittlung und  -Verhandlung; Verhandlung der benötigten Ressourcen, teilweise externe Ressourcen-Beschaffung</v>
      </c>
      <c r="G13" s="557" t="str">
        <f>Dictionary!B712</f>
        <v>Budget- und Ressourcenbeschaffung im Wettbewerb mit anderen Projekten; wesentliche Beschaffungsvorgänge</v>
      </c>
      <c r="H13" s="557" t="str">
        <f>Dictionary!B713</f>
        <v>Beschaffung wesentlicher Finanzmittel, Finanzierung durch unterschiedliche Geldgeber intern und extern; Steuerung wesentlicher Unterauftragnehmer</v>
      </c>
      <c r="I13" s="495"/>
      <c r="J13" s="495"/>
      <c r="K13" s="496"/>
    </row>
    <row r="14" spans="2:11" ht="60">
      <c r="B14" s="479">
        <f>B13+0.1</f>
        <v>1.4000000000000004</v>
      </c>
      <c r="C14" s="558" t="str">
        <f>Dictionary!B715</f>
        <v>Chancen und Risiken</v>
      </c>
      <c r="D14" s="558" t="str">
        <f>Dictionary!B716</f>
        <v xml:space="preserve">Bewertung der Chancen und Risiken im Projekt; Ermittlung und Steuerung des Risikosystems; Ableitung von validen Maßnahmen; Ermittlung und Nutzung von Chancen; Anwendung von Tools zur Steuerung des Risiko-Budgets </v>
      </c>
      <c r="E14" s="557" t="str">
        <f>Dictionary!B717</f>
        <v>wenige Risiken in überschaubarer Höhe, kein Chancen-Management</v>
      </c>
      <c r="F14" s="557" t="str">
        <f>Dictionary!B718</f>
        <v>mehrere Risiken und Chancen; stabiles Risiko-System; Management eines Risiko-Budgets</v>
      </c>
      <c r="G14" s="557" t="str">
        <f>Dictionary!B719</f>
        <v>mehrere Risiken mit begrenzter Schadenshöhe; Möglichkeit der Chancen-Nutzung zur Entlastung des Projektes</v>
      </c>
      <c r="H14" s="557" t="str">
        <f>Dictionary!B720</f>
        <v>Umfangreiches Risiko-Potential inklusive hoher strategischer Risiken; Anwendung valider Steuerungsmöglichkeiten; Meldung nach KONTRAG</v>
      </c>
      <c r="I14" s="495"/>
      <c r="J14" s="495"/>
      <c r="K14" s="496"/>
    </row>
    <row r="15" spans="2:11" s="387" customFormat="1" ht="24" customHeight="1">
      <c r="H15" s="387" t="str">
        <f>Dictionary!B721</f>
        <v>Durchschnitt der eingegebenen Detailbewertungen:</v>
      </c>
      <c r="I15" s="480" t="str">
        <f>IF(SUM(I11:I14)=0,"",ROUNDDOWN(AVERAGE(I11:I14),1))</f>
        <v/>
      </c>
      <c r="J15" s="480" t="str">
        <f>IF(SUM(J11:J14)=0,"",ROUNDDOWN(AVERAGE(J11:J14),1))</f>
        <v/>
      </c>
      <c r="K15" s="481"/>
    </row>
    <row r="16" spans="2:11">
      <c r="C16" s="473"/>
      <c r="D16" s="473"/>
      <c r="E16" s="482"/>
      <c r="F16" s="482"/>
      <c r="G16" s="482"/>
      <c r="H16" s="482"/>
    </row>
    <row r="17" spans="2:11" ht="30" customHeight="1">
      <c r="B17" s="477">
        <v>2</v>
      </c>
      <c r="C17" s="2180" t="str">
        <f>Dictionary!B723</f>
        <v>Indikatoren bezogen auf den Kontext</v>
      </c>
      <c r="D17" s="2181"/>
      <c r="E17" s="2181"/>
      <c r="F17" s="2181"/>
      <c r="G17" s="2181"/>
      <c r="H17" s="2182"/>
    </row>
    <row r="18" spans="2:11" ht="60">
      <c r="B18" s="479">
        <f>B17+0.1</f>
        <v>2.1</v>
      </c>
      <c r="C18" s="558" t="str">
        <f>Dictionary!B724</f>
        <v xml:space="preserve">Strategie, Stakeholder </v>
      </c>
      <c r="D18" s="558" t="str">
        <f>Dictionary!B725</f>
        <v>Einfluss der Unternehmens-Strategie, Auswirkungen des Projektes auf das Unternehmen, Stakeholder-Interessen;
Gesetze und Regularien</v>
      </c>
      <c r="E18" s="559" t="str">
        <f>Dictionary!B726</f>
        <v>wenige strategische Einflüsse; Projekt ist rein operativ ausgerichtet</v>
      </c>
      <c r="F18" s="559" t="str">
        <f>Dictionary!B727</f>
        <v>Stakeholder-Interessen  beeinflussen das Projekt begrenzte Einflüsse aus der Unternehmens-Strategie</v>
      </c>
      <c r="G18" s="559" t="str">
        <f>Dictionary!B728</f>
        <v>Viele Komponenten (?) unterschiedlicher Art</v>
      </c>
      <c r="H18" s="559" t="str">
        <f>Dictionary!B729</f>
        <v>Projekt hat erheblichen Einfluss auf das Unternehmen und seinen Erfolg; starke Auswirkungen von Gesetzen und Regularien</v>
      </c>
      <c r="I18" s="495"/>
      <c r="J18" s="495"/>
      <c r="K18" s="496"/>
    </row>
    <row r="19" spans="2:11" ht="135">
      <c r="B19" s="479">
        <f>B18+0.1</f>
        <v>2.2000000000000002</v>
      </c>
      <c r="C19" s="558" t="str">
        <f>Dictionary!B731</f>
        <v>Stammorganisation</v>
      </c>
      <c r="D19" s="558" t="str">
        <f>Dictionary!B732</f>
        <v>Umfang der Vernetzung über Schnittstellen des Projektes mit den Strukturen, Berichtswesen und Entscheidungswegen der Stammorganisation</v>
      </c>
      <c r="E19" s="559" t="str">
        <f>Dictionary!B733</f>
        <v xml:space="preserve">starke Abgrenzung des Projektes von der Stammorganisation, Entscheidungen fallen wesentlich in der Stammorganisation, viele ähnliche Projekte wurden bereits im Unternehmen durchgeführt </v>
      </c>
      <c r="F19" s="559" t="str">
        <f>Dictionary!B734</f>
        <v>klare Schnittstellen zur Stammorganisation z.B. über Leitungsgremium; Berichtswesen und Entscheidungswege begrenzt und klar definiert Projekt hat geringe Auswirkungen auf Prozesse der Stammorganisation,  ähnliche Projekte wurden bereits im Unternehmen durchgeführt</v>
      </c>
      <c r="G19" s="559" t="str">
        <f>Dictionary!B735</f>
        <v>viele operative Schnittstellen wirken auf  das Projekt ein; Berichte und Entscheidungen machen erheblichen Arbeitsanteil aus, Projekt hat  Auswirkungen auf Prozesse der Stammorganisation, wenige ähnliche Projekte wurden bereits im Unternehmen durchgeführt</v>
      </c>
      <c r="H19" s="559" t="str">
        <f>Dictionary!B736</f>
        <v>Starke Einflüsse der Stammorganisation auf strategischer Ebene; Entscheidungen durch Verhandlungen mit der Stammorganisation, Projekt hat starke Auswirkungen auf Prozesse der Stammorganisation , Projekt ist neuartig für Unternehmen</v>
      </c>
      <c r="I19" s="495"/>
      <c r="J19" s="495"/>
      <c r="K19" s="496"/>
    </row>
    <row r="20" spans="2:11" ht="65">
      <c r="B20" s="479">
        <f>B19+0.1</f>
        <v>2.3000000000000003</v>
      </c>
      <c r="C20" s="558" t="str">
        <f>Dictionary!B738</f>
        <v>Sozio-Kulturelle Einflüsse</v>
      </c>
      <c r="D20" s="558" t="str">
        <f>Dictionary!B739</f>
        <v>Einfluss der sozio-kulturellen Unterschiede im Projektteam, insbesondere bei verteilten oder Firmen-übergreifenden Teams</v>
      </c>
      <c r="E20" s="557" t="str">
        <f>Dictionary!B740</f>
        <v>keine Auswirkungen zu erwarten (Projekt an einem Standort, eine Sprache, homogene Projektgruppe)</v>
      </c>
      <c r="F20" s="557" t="str">
        <f>Dictionary!B741</f>
        <v>wenig Auswirkungen zu erwarten</v>
      </c>
      <c r="G20" s="557" t="str">
        <f>Dictionary!B742</f>
        <v>Auswirkungen infolge lokal verteilter Teams, mehreren Sprachen oder heterogenen Kulturkreisen erfordern in Einzelfällen Führungsmaßnahmen</v>
      </c>
      <c r="H20" s="557" t="str">
        <f>Dictionary!B743</f>
        <v>Auswirkungen infolge lokal verteilter Teams oder großer Teams aus unterschiedlichen Unternehmen und Kulturkreisen erfordern umfangreiche Führungsmaßnahmen</v>
      </c>
      <c r="I20" s="495"/>
      <c r="J20" s="495"/>
      <c r="K20" s="496"/>
    </row>
    <row r="21" spans="2:11" s="387" customFormat="1" ht="24" customHeight="1">
      <c r="H21" s="387" t="str">
        <f>Dictionary!B744</f>
        <v>Durchschnitt der eingegebenen Detailbewertungen:</v>
      </c>
      <c r="I21" s="480" t="str">
        <f>IF(SUM(I18:I20)=0,"",ROUNDDOWN(AVERAGE(I18:I20),1))</f>
        <v/>
      </c>
      <c r="J21" s="480" t="str">
        <f>IF(SUM(J18:J20)=0,"",ROUNDDOWN(AVERAGE(J18:J20),1))</f>
        <v/>
      </c>
      <c r="K21" s="481"/>
    </row>
    <row r="22" spans="2:11">
      <c r="C22" s="473"/>
      <c r="D22" s="473"/>
      <c r="E22" s="482"/>
      <c r="F22" s="482"/>
      <c r="G22" s="482"/>
      <c r="H22" s="482"/>
    </row>
    <row r="23" spans="2:11" ht="30" customHeight="1">
      <c r="B23" s="477">
        <v>3</v>
      </c>
      <c r="C23" s="2180" t="str">
        <f>Dictionary!B746</f>
        <v>Indikatoren bezogen auf Management und Führung</v>
      </c>
      <c r="D23" s="2181"/>
      <c r="E23" s="2181"/>
      <c r="F23" s="2181"/>
      <c r="G23" s="2181"/>
      <c r="H23" s="2182"/>
    </row>
    <row r="24" spans="2:11" ht="90">
      <c r="B24" s="479">
        <f>B23+0.1</f>
        <v>3.1</v>
      </c>
      <c r="C24" s="560" t="str">
        <f>Dictionary!B747</f>
        <v xml:space="preserve">Führung und Teamwork </v>
      </c>
      <c r="D24" s="560" t="str">
        <f>Dictionary!B748</f>
        <v>Umfang der Führungs-, Teambildungs und-Steuerungsmaßnahmen</v>
      </c>
      <c r="E24" s="559" t="str">
        <f>Dictionary!B749</f>
        <v>fast alle Teammitglieder haben bereits mit PL gearbeitet, PL hat Erfahrung im Mgt von Teams über 5 J, Governance Vorgaben sind klar definiert, das Projektteam hat hohe PM Skills</v>
      </c>
      <c r="F24" s="559" t="str">
        <f>Dictionary!B750</f>
        <v>sehr viele Teammitglieder haben bereits mit PL gearbeitet, PL hat Erfahrung im Mgt von Teams über 3 J, governance Vorgaben sind teilweise definiert, das Projektteam hat  PM Skills</v>
      </c>
      <c r="G24" s="559" t="str">
        <f>Dictionary!B751</f>
        <v>viele Teammitglieder haben bereits mit PL gearbeitet, PL hat Erfahrung im Mgt von Teams über 1-2 J, einige Governance Vorgaben sind klar definiert, das Projektteam hat einige PM Skills</v>
      </c>
      <c r="H24" s="559" t="str">
        <f>Dictionary!B752</f>
        <v>wenige Teammitglieder haben bereits mit PL gearbeitet, PL hat Erfahrung im Mgt von Teams weniger 1J, wenige Governance Vorgaben sind definiert, das Projektteam hat sehr wenig PM Skills</v>
      </c>
      <c r="I24" s="495"/>
      <c r="J24" s="495"/>
      <c r="K24" s="496"/>
    </row>
    <row r="25" spans="2:11" ht="91" customHeight="1">
      <c r="B25" s="479">
        <f>B24+0.1</f>
        <v>3.2</v>
      </c>
      <c r="C25" s="558" t="str">
        <f>Dictionary!B754</f>
        <v xml:space="preserve"> Innovation</v>
      </c>
      <c r="D25" s="558" t="str">
        <f>Dictionary!B755</f>
        <v>technische Neuartigkeit des Projektes und seine Auswirkungen auf Ressourcenauswahl und Aus- und Weiterbildung während des Projektes; Umgang mit neuartigen Ansätzen und Ergebnissen</v>
      </c>
      <c r="E25" s="559" t="str">
        <f>Dictionary!B756</f>
        <v>kein Handlungsbedarf infolge geringer Neuartigkeit, z.B. Wiederholprojekte</v>
      </c>
      <c r="F25" s="559" t="str">
        <f>Dictionary!B757</f>
        <v>einige Maßnahmen erforderlich infolge der Neuartigkeit in einzelnen Bereichen</v>
      </c>
      <c r="G25" s="559" t="str">
        <f>Dictionary!B758</f>
        <v>Neuartigkeit des Projektgegenstandes und/oder von Prozessen bedingt vorbereitende Qualifizerungsmaßnahmen</v>
      </c>
      <c r="H25" s="559" t="str">
        <f>Dictionary!B759</f>
        <v xml:space="preserve">Neuartigkeit des Projektgegenstandes und/oder von Prozessen in Verbindung mit großem Projektvolumen bedingt Planung der Qualifizierung, aber auch intensives Risiko-Management </v>
      </c>
      <c r="I25" s="495"/>
      <c r="J25" s="495"/>
      <c r="K25" s="496"/>
    </row>
    <row r="26" spans="2:11" ht="60">
      <c r="B26" s="479">
        <f>B25+0.1</f>
        <v>3.3000000000000003</v>
      </c>
      <c r="C26" s="558" t="str">
        <f>Dictionary!B761</f>
        <v>Autonomie und Verantwortung</v>
      </c>
      <c r="D26" s="558" t="str">
        <f>Dictionary!B762</f>
        <v>Entscheidungs- und Verantwortungsspielraum des Projektleiters; Umfang der Delegation in das Projektteam; Vertretung des Projektes gegenüber dem gesamten sozialen Umfeld</v>
      </c>
      <c r="E26" s="559" t="str">
        <f>Dictionary!B763</f>
        <v xml:space="preserve">wenig Autonomie/Gestaltungsspielräume des PL bzgl. Entscheidungen und Vertretung des Projektes nach aussen </v>
      </c>
      <c r="F26" s="559" t="str">
        <f>Dictionary!B764</f>
        <v>Verhandlung Lasten- und Pflichtenheft; Gesaltungs-spielräume ergeben sich hauptsächlich durch Änderungsprozesse</v>
      </c>
      <c r="G26" s="559" t="str">
        <f>Dictionary!B765</f>
        <v>Projektleiter vertritt das Projekt und damit auch das Unternehmen auch gegenüber externen Stakeholdern</v>
      </c>
      <c r="H26" s="559" t="str">
        <f>Dictionary!B766</f>
        <v>umfangreiche Verantwortungs- und Entscheidungsspielräume, z.B. durch Vollmachts- oder Unterschriftenregelung</v>
      </c>
      <c r="I26" s="495"/>
      <c r="J26" s="495"/>
      <c r="K26" s="496"/>
    </row>
    <row r="27" spans="2:11" s="387" customFormat="1" ht="24" customHeight="1">
      <c r="H27" s="387" t="str">
        <f>Dictionary!B767</f>
        <v>Durchschnitt der eingegebenen Detailbewertungen:</v>
      </c>
      <c r="I27" s="480" t="str">
        <f>IF(SUM(I24:I26)=0,"",ROUNDDOWN(AVERAGE(I24:I26),1))</f>
        <v/>
      </c>
      <c r="J27" s="480" t="str">
        <f>IF(SUM(J24:J26)=0,"",ROUNDDOWN(AVERAGE(J24:J26),1))</f>
        <v/>
      </c>
      <c r="K27" s="481"/>
    </row>
    <row r="28" spans="2:11">
      <c r="C28" s="473"/>
      <c r="D28" s="473"/>
      <c r="E28" s="482"/>
      <c r="F28" s="482"/>
      <c r="G28" s="482"/>
      <c r="H28" s="482"/>
    </row>
    <row r="29" spans="2:11" ht="17" customHeight="1"/>
    <row r="30" spans="2:11" ht="17" customHeight="1">
      <c r="F30" s="334" t="str">
        <f>Dictionary!B768</f>
        <v>Zusammenfassende Bewertungen (gerundet)</v>
      </c>
    </row>
    <row r="31" spans="2:11" ht="17" customHeight="1">
      <c r="G31" s="483" t="str">
        <f>Dictionary!B769</f>
        <v>Indikator</v>
      </c>
      <c r="H31" s="471">
        <v>1</v>
      </c>
      <c r="I31" s="484" t="str">
        <f>IF(I15="","",I15)</f>
        <v/>
      </c>
      <c r="J31" s="484" t="str">
        <f>IF(J15="","",J15)</f>
        <v/>
      </c>
    </row>
    <row r="32" spans="2:11" ht="17" customHeight="1">
      <c r="G32" s="483" t="str">
        <f>Dictionary!B769</f>
        <v>Indikator</v>
      </c>
      <c r="H32" s="471">
        <f>1+H31</f>
        <v>2</v>
      </c>
      <c r="I32" s="485" t="str">
        <f>IF(I21="","",I21)</f>
        <v/>
      </c>
      <c r="J32" s="485" t="str">
        <f>IF(J21="","",J21)</f>
        <v/>
      </c>
    </row>
    <row r="33" spans="2:12" ht="17" customHeight="1">
      <c r="G33" s="483" t="str">
        <f>Dictionary!B769</f>
        <v>Indikator</v>
      </c>
      <c r="H33" s="471">
        <f>1+H32</f>
        <v>3</v>
      </c>
      <c r="I33" s="485" t="str">
        <f>IF(I27="","",I27)</f>
        <v/>
      </c>
      <c r="J33" s="485" t="str">
        <f>IF(J27="","",J27)</f>
        <v/>
      </c>
    </row>
    <row r="34" spans="2:12" s="473" customFormat="1" ht="17" customHeight="1">
      <c r="B34" s="471"/>
      <c r="C34" s="472"/>
      <c r="D34" s="472"/>
      <c r="E34" s="472"/>
      <c r="F34" s="472"/>
      <c r="G34" s="472"/>
      <c r="H34" s="387" t="str">
        <f>Dictionary!B770</f>
        <v xml:space="preserve">Gesamtbewertung   </v>
      </c>
      <c r="I34" s="485">
        <f>SUM(I11:I14)+SUM(I18:I20)+SUM(I24:I26)</f>
        <v>0</v>
      </c>
      <c r="J34" s="485">
        <f>SUM(J11:J14)+SUM(J18:J20)+SUM(J24:J26)</f>
        <v>0</v>
      </c>
      <c r="L34" s="472"/>
    </row>
    <row r="35" spans="2:12" s="473" customFormat="1" ht="17" customHeight="1">
      <c r="B35" s="471"/>
      <c r="C35" s="472"/>
      <c r="D35" s="472"/>
      <c r="E35" s="472"/>
      <c r="F35" s="472"/>
      <c r="G35" s="472"/>
      <c r="H35" s="387"/>
      <c r="I35" s="486"/>
      <c r="J35" s="486"/>
      <c r="L35" s="472"/>
    </row>
    <row r="36" spans="2:12" s="473" customFormat="1" ht="17" customHeight="1">
      <c r="B36" s="471"/>
      <c r="C36" s="487"/>
      <c r="D36" s="487"/>
      <c r="E36" s="472"/>
      <c r="F36" s="472"/>
      <c r="G36" s="472"/>
      <c r="H36" s="472"/>
      <c r="I36" s="471"/>
      <c r="J36" s="471"/>
      <c r="L36" s="472"/>
    </row>
    <row r="37" spans="2:12" s="473" customFormat="1" ht="17" customHeight="1" thickBot="1">
      <c r="B37" s="460"/>
      <c r="C37" s="460"/>
      <c r="D37" s="460"/>
      <c r="E37" s="460"/>
      <c r="F37" s="460"/>
      <c r="G37" s="460"/>
      <c r="H37" s="460"/>
      <c r="I37" s="460"/>
      <c r="J37" s="460"/>
      <c r="K37" s="460"/>
      <c r="L37" s="472"/>
    </row>
    <row r="38" spans="2:12" s="473" customFormat="1" ht="17" customHeight="1">
      <c r="B38" s="89"/>
      <c r="C38" s="89"/>
      <c r="D38" s="89"/>
      <c r="F38" s="472"/>
      <c r="G38" s="472"/>
      <c r="H38" s="472"/>
      <c r="I38" s="471"/>
      <c r="J38" s="471"/>
      <c r="K38" s="464" t="s">
        <v>105</v>
      </c>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ht="17" customHeight="1"/>
    <row r="50" ht="17" customHeight="1"/>
    <row r="51" ht="17" customHeight="1"/>
    <row r="52" ht="17" customHeight="1"/>
    <row r="53" ht="17" customHeight="1"/>
    <row r="54" ht="17" customHeight="1"/>
    <row r="55" ht="17" customHeight="1"/>
    <row r="56" ht="17" customHeight="1"/>
    <row r="57" ht="17" customHeight="1"/>
    <row r="58" ht="17" customHeight="1"/>
    <row r="59" ht="17" customHeight="1"/>
    <row r="60" ht="17" customHeight="1"/>
    <row r="61" ht="17" customHeight="1"/>
    <row r="62" ht="17" customHeight="1"/>
    <row r="63" ht="17" customHeight="1"/>
    <row r="64" ht="17" customHeight="1"/>
    <row r="65" ht="17" customHeight="1"/>
    <row r="66" ht="17" customHeight="1"/>
    <row r="67" ht="17" customHeight="1"/>
    <row r="68" ht="17" customHeight="1"/>
    <row r="69" ht="17" customHeight="1"/>
    <row r="70" ht="17" customHeight="1"/>
  </sheetData>
  <sheetProtection algorithmName="SHA-512" hashValue="xoDH1FZFuwlzXY6HBnUXHnbnntOa0Nfk/UmP3HwtsxVab7i8hk87INMAhsmJprBKGk3fiPjN8uP+p1TwBwYcfA==" saltValue="anbUfj41E/BUBDKUQTI/4Q==" spinCount="100000" sheet="1" objects="1" scenarios="1" selectLockedCells="1"/>
  <mergeCells count="9">
    <mergeCell ref="C10:H10"/>
    <mergeCell ref="C17:H17"/>
    <mergeCell ref="C23:H23"/>
    <mergeCell ref="B3:K3"/>
    <mergeCell ref="F6:H6"/>
    <mergeCell ref="B8:B9"/>
    <mergeCell ref="C8:D9"/>
    <mergeCell ref="E8:H8"/>
    <mergeCell ref="I8:K8"/>
  </mergeCells>
  <conditionalFormatting sqref="I35:J35">
    <cfRule type="cellIs" dxfId="423" priority="1" operator="equal">
      <formula>"Yes"</formula>
    </cfRule>
    <cfRule type="cellIs" dxfId="422" priority="2" operator="equal">
      <formula>"No"</formula>
    </cfRule>
  </conditionalFormatting>
  <dataValidations count="1">
    <dataValidation type="whole" allowBlank="1" showInputMessage="1" showErrorMessage="1" sqref="I11:J14 I18:J20 I24:J26" xr:uid="{00000000-0002-0000-16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5BC34-2C29-43E5-BDF8-18312FE3C933}">
  <sheetPr codeName="Sheet8">
    <tabColor theme="9"/>
  </sheetPr>
  <dimension ref="B1:E68"/>
  <sheetViews>
    <sheetView zoomScale="130" zoomScaleNormal="130" workbookViewId="0">
      <selection activeCell="E8" sqref="E8"/>
    </sheetView>
  </sheetViews>
  <sheetFormatPr baseColWidth="10" defaultColWidth="11.5" defaultRowHeight="15"/>
  <cols>
    <col min="1" max="1" width="2.5" style="89" customWidth="1"/>
    <col min="2" max="2" width="45.5" style="89" customWidth="1"/>
    <col min="3" max="3" width="22.83203125" style="89" customWidth="1"/>
    <col min="4" max="4" width="32" style="89" customWidth="1"/>
    <col min="5" max="5" width="22.83203125" style="89" customWidth="1"/>
    <col min="6" max="6" width="3.1640625" style="89" customWidth="1"/>
    <col min="7" max="7" width="20" style="89" customWidth="1"/>
    <col min="8" max="9" width="11.5" style="89"/>
    <col min="10" max="10" width="8.5" style="89" customWidth="1"/>
    <col min="11" max="16384" width="11.5" style="89"/>
  </cols>
  <sheetData>
    <row r="1" spans="2:5" ht="15.75" customHeight="1" thickBot="1">
      <c r="B1" s="497" t="str">
        <f ca="1">COV!C20</f>
        <v>DECKBLATT BITTE VOLLSTÄNDIG AUSFÜLLEN!</v>
      </c>
      <c r="C1" s="459"/>
      <c r="D1" s="459"/>
      <c r="E1" s="459"/>
    </row>
    <row r="2" spans="2:5" ht="5.25" customHeight="1" thickTop="1"/>
    <row r="3" spans="2:5" ht="21">
      <c r="B3" s="2046" t="str">
        <f>Dictionary!B614&amp;'(7b) Project List'!A13</f>
        <v>Steckbrief für Management Erfahrung 5</v>
      </c>
      <c r="C3" s="2046"/>
      <c r="D3" s="2046"/>
      <c r="E3" s="2046"/>
    </row>
    <row r="4" spans="2:5" ht="21">
      <c r="B4" s="488"/>
      <c r="C4" s="488"/>
      <c r="D4" s="488"/>
      <c r="E4" s="488"/>
    </row>
    <row r="5" spans="2:5" ht="21">
      <c r="B5" s="489" t="str">
        <f>EXP!B5</f>
        <v xml:space="preserve"> , Level A, Projekt Management, Erstzertifizierung</v>
      </c>
      <c r="C5" s="490"/>
      <c r="D5" s="490"/>
      <c r="E5" s="490"/>
    </row>
    <row r="7" spans="2:5">
      <c r="B7" s="2013" t="str">
        <f>Dictionary!B618</f>
        <v>Kopfzeile</v>
      </c>
      <c r="C7" s="2013"/>
      <c r="D7" s="2013"/>
      <c r="E7" s="2013"/>
    </row>
    <row r="8" spans="2:5" ht="16.5" customHeight="1">
      <c r="B8" s="503" t="str">
        <f>EXP!D13&amp;" "&amp;Dictionary!B615</f>
        <v xml:space="preserve"> Name </v>
      </c>
      <c r="C8" s="504" t="str">
        <f>IF('(7b) Project List'!B13="","",'(7b) Project List'!B13)</f>
        <v/>
      </c>
      <c r="D8" s="508" t="str">
        <f>EXP!D13&amp;" "&amp;Dictionary!B616</f>
        <v xml:space="preserve"> Nummer </v>
      </c>
      <c r="E8" s="509"/>
    </row>
    <row r="9" spans="2:5" ht="16.5" customHeight="1">
      <c r="B9" s="510" t="str">
        <f>Dictionary!B617</f>
        <v>Kunde/AuftraggeberIn:</v>
      </c>
      <c r="C9" s="2138"/>
      <c r="D9" s="2138"/>
      <c r="E9" s="511"/>
    </row>
    <row r="10" spans="2:5" ht="16.5" customHeight="1"/>
    <row r="11" spans="2:5" ht="16.5" customHeight="1">
      <c r="B11" s="2013" t="str">
        <f>Dictionary!B620</f>
        <v>Governance &amp; eigene Rolle</v>
      </c>
      <c r="C11" s="2013"/>
      <c r="D11" s="2013"/>
      <c r="E11" s="2013"/>
    </row>
    <row r="12" spans="2:5" ht="16.5" customHeight="1">
      <c r="B12" s="503" t="str">
        <f>Dictionary!B621</f>
        <v>Eigene Rolle:</v>
      </c>
      <c r="C12" s="504" t="str">
        <f>IF('(7b) Project List'!E13="","",'(7b) Project List'!E13)</f>
        <v/>
      </c>
      <c r="D12" s="2130" t="str">
        <f>Dictionary!B622</f>
        <v>Anmerkungen:</v>
      </c>
      <c r="E12" s="2131"/>
    </row>
    <row r="13" spans="2:5" ht="16.5" customHeight="1">
      <c r="B13" s="505" t="str">
        <f>Dictionary!B623</f>
        <v>Verantwortung für den Umfang/die Ergebnisse:</v>
      </c>
      <c r="C13" s="506"/>
      <c r="D13" s="2142"/>
      <c r="E13" s="2143"/>
    </row>
    <row r="14" spans="2:5" ht="16.5" customHeight="1">
      <c r="B14" s="505" t="str">
        <f>Dictionary!B624</f>
        <v>Verantwortung für die Terminplanung:</v>
      </c>
      <c r="C14" s="506"/>
      <c r="D14" s="2142"/>
      <c r="E14" s="2143"/>
    </row>
    <row r="15" spans="2:5" ht="16.5" customHeight="1">
      <c r="B15" s="505" t="str">
        <f>Dictionary!B625</f>
        <v>Verantwortung für das Budget:</v>
      </c>
      <c r="C15" s="506"/>
      <c r="D15" s="2142"/>
      <c r="E15" s="2143"/>
    </row>
    <row r="16" spans="2:5" ht="16.5" customHeight="1">
      <c r="B16" s="561" t="str">
        <f>EXP!D13&amp;" "&amp;Dictionary!B627</f>
        <v xml:space="preserve"> Typ</v>
      </c>
      <c r="C16" s="507"/>
      <c r="D16" s="2142"/>
      <c r="E16" s="2143"/>
    </row>
    <row r="17" spans="2:5" ht="16.5" customHeight="1">
      <c r="B17" s="561" t="str">
        <f>Dictionary!B626</f>
        <v>Art der PM Organisation</v>
      </c>
      <c r="C17" s="507"/>
      <c r="D17" s="2142"/>
      <c r="E17" s="2143"/>
    </row>
    <row r="18" spans="2:5" ht="16.5" customHeight="1">
      <c r="B18" s="2139" t="str">
        <f>Dictionary!B628</f>
        <v>Kurze Beschreibung Ihrer eigenen Rolle, Verantwortung und Aktivitäten; wem sind Sie unterstellt?</v>
      </c>
      <c r="C18" s="2140"/>
      <c r="D18" s="2140"/>
      <c r="E18" s="2141"/>
    </row>
    <row r="19" spans="2:5" ht="57" customHeight="1">
      <c r="B19" s="2149"/>
      <c r="C19" s="2150"/>
      <c r="D19" s="2150"/>
      <c r="E19" s="2151"/>
    </row>
    <row r="20" spans="2:5" ht="18" customHeight="1"/>
    <row r="21" spans="2:5" ht="16.5" customHeight="1">
      <c r="B21" s="2013" t="str">
        <f>Dictionary!B630</f>
        <v>Allgemeine Informationen und Beschreibung</v>
      </c>
      <c r="C21" s="2013"/>
      <c r="D21" s="2013"/>
      <c r="E21" s="2013"/>
    </row>
    <row r="22" spans="2:5" ht="16.5" customHeight="1">
      <c r="B22" s="2157" t="str">
        <f>Dictionary!B631</f>
        <v>Kurze Beschreibung der KPI, Ergebnisse und Liefergegenstände:</v>
      </c>
      <c r="C22" s="2158"/>
      <c r="D22" s="2158"/>
      <c r="E22" s="2159"/>
    </row>
    <row r="23" spans="2:5" ht="57" customHeight="1">
      <c r="B23" s="2160"/>
      <c r="C23" s="2161"/>
      <c r="D23" s="2161"/>
      <c r="E23" s="2162"/>
    </row>
    <row r="24" spans="2:5" ht="16.5" customHeight="1">
      <c r="B24" s="2139" t="str">
        <f>Dictionary!B632</f>
        <v>Kurze Beschreibung des Umfangs und der Ziele, für die Sie verantwortlich sind:</v>
      </c>
      <c r="C24" s="2140"/>
      <c r="D24" s="2140"/>
      <c r="E24" s="2141"/>
    </row>
    <row r="25" spans="2:5" ht="57" customHeight="1">
      <c r="B25" s="2160"/>
      <c r="C25" s="2161"/>
      <c r="D25" s="2161"/>
      <c r="E25" s="2162"/>
    </row>
    <row r="26" spans="2:5" ht="16.5" customHeight="1">
      <c r="B26" s="2139" t="str">
        <f>Dictionary!B633</f>
        <v>Informationen über erhebliche Planabweichungen und/oder kritische Managementsituationen:</v>
      </c>
      <c r="C26" s="2140"/>
      <c r="D26" s="2140"/>
      <c r="E26" s="2141"/>
    </row>
    <row r="27" spans="2:5" ht="54.75" customHeight="1">
      <c r="B27" s="2146"/>
      <c r="C27" s="2152"/>
      <c r="D27" s="2152"/>
      <c r="E27" s="2153"/>
    </row>
    <row r="28" spans="2:5" ht="18" customHeight="1"/>
    <row r="29" spans="2:5" ht="18" customHeight="1">
      <c r="B29" s="2013" t="str">
        <f>EXP!D13&amp;" "&amp;Dictionary!B635</f>
        <v xml:space="preserve"> Planung</v>
      </c>
      <c r="C29" s="2013"/>
      <c r="D29" s="2013"/>
      <c r="E29" s="2013"/>
    </row>
    <row r="30" spans="2:5" ht="16.5" customHeight="1">
      <c r="B30" s="512" t="str">
        <f>Dictionary!B636</f>
        <v>Beginn des Vorhabens:</v>
      </c>
      <c r="C30" s="513" t="str">
        <f>C31</f>
        <v/>
      </c>
      <c r="D30" s="508" t="str">
        <f>Dictionary!B642</f>
        <v>Ende des Vorhabens:</v>
      </c>
      <c r="E30" s="514" t="str">
        <f>E31</f>
        <v/>
      </c>
    </row>
    <row r="31" spans="2:5" ht="16.5" customHeight="1">
      <c r="B31" s="515" t="str">
        <f>Dictionary!B637</f>
        <v>Ihr Beginn in dieser Rolle:</v>
      </c>
      <c r="C31" s="516" t="str">
        <f>IF('(7b) Project List'!F13="","",'(7b) Project List'!F13)</f>
        <v/>
      </c>
      <c r="D31" s="517" t="str">
        <f>Dictionary!B643</f>
        <v>Ende Ihrer Beteiligung:</v>
      </c>
      <c r="E31" s="518" t="str">
        <f>IF('(7b) Project List'!G13="","",'(7b) Project List'!G13)</f>
        <v/>
      </c>
    </row>
    <row r="32" spans="2:5" ht="16.5" customHeight="1">
      <c r="B32" s="2139" t="str">
        <f>IF(ISNUMBER(SEARCH("ortfolio",B29)),Dictionary!B640,Dictionary!B638)</f>
        <v>Phasen:</v>
      </c>
      <c r="C32" s="2140"/>
      <c r="D32" s="2140" t="str">
        <f>IF(ISNUMBER(SEARCH("ortfolio",B29)),Dictionary!B641,Dictionary!B639)</f>
        <v>Meilensteine:</v>
      </c>
      <c r="E32" s="2141"/>
    </row>
    <row r="33" spans="2:5">
      <c r="B33" s="2154"/>
      <c r="C33" s="2142"/>
      <c r="D33" s="2133"/>
      <c r="E33" s="2143"/>
    </row>
    <row r="34" spans="2:5">
      <c r="B34" s="2155"/>
      <c r="C34" s="2142"/>
      <c r="D34" s="2142"/>
      <c r="E34" s="2143"/>
    </row>
    <row r="35" spans="2:5">
      <c r="B35" s="2155"/>
      <c r="C35" s="2142"/>
      <c r="D35" s="2142"/>
      <c r="E35" s="2143"/>
    </row>
    <row r="36" spans="2:5">
      <c r="B36" s="2155"/>
      <c r="C36" s="2142"/>
      <c r="D36" s="2142"/>
      <c r="E36" s="2143"/>
    </row>
    <row r="37" spans="2:5">
      <c r="B37" s="2155"/>
      <c r="C37" s="2142"/>
      <c r="D37" s="2142"/>
      <c r="E37" s="2143"/>
    </row>
    <row r="38" spans="2:5">
      <c r="B38" s="2155"/>
      <c r="C38" s="2142"/>
      <c r="D38" s="2142"/>
      <c r="E38" s="2143"/>
    </row>
    <row r="39" spans="2:5">
      <c r="B39" s="2155"/>
      <c r="C39" s="2142"/>
      <c r="D39" s="2142"/>
      <c r="E39" s="2143"/>
    </row>
    <row r="40" spans="2:5">
      <c r="B40" s="2155"/>
      <c r="C40" s="2142"/>
      <c r="D40" s="2142"/>
      <c r="E40" s="2143"/>
    </row>
    <row r="41" spans="2:5">
      <c r="B41" s="2155"/>
      <c r="C41" s="2142"/>
      <c r="D41" s="2142"/>
      <c r="E41" s="2143"/>
    </row>
    <row r="42" spans="2:5">
      <c r="B42" s="2156"/>
      <c r="C42" s="2150"/>
      <c r="D42" s="2150"/>
      <c r="E42" s="2151"/>
    </row>
    <row r="44" spans="2:5" ht="18" customHeight="1">
      <c r="B44" s="2132" t="str">
        <f>IF(PMO_MODE="",Dictionary!B645,IF(ISNUMBER(FIND(EXP!C42,B8)),Dictionary!B646,Dictionary!B645))</f>
        <v>Ressourcen, für die Sie direkt verantwortlich sind</v>
      </c>
      <c r="C44" s="2132"/>
      <c r="D44" s="2132"/>
      <c r="E44" s="2132"/>
    </row>
    <row r="45" spans="2:5" ht="16.5" customHeight="1">
      <c r="B45" s="519"/>
      <c r="C45" s="524" t="str">
        <f>Dictionary!B647</f>
        <v>Wert</v>
      </c>
      <c r="D45" s="2130" t="str">
        <f>Dictionary!B648</f>
        <v>Anmerkungen</v>
      </c>
      <c r="E45" s="2131"/>
    </row>
    <row r="46" spans="2:5" ht="16">
      <c r="B46" s="520" t="str">
        <f>Dictionary!B649</f>
        <v>Anzahl der Ihnen direkt unterstellten Teammitglieder:</v>
      </c>
      <c r="C46" s="1720"/>
      <c r="D46" s="2133"/>
      <c r="E46" s="2134"/>
    </row>
    <row r="47" spans="2:5" ht="32">
      <c r="B47" s="520" t="str">
        <f>Dictionary!B650</f>
        <v>Anzahl der Mitglieder des Teams gemäß dem Organigramm (inkl. Sie selbst):</v>
      </c>
      <c r="C47" s="1720"/>
      <c r="D47" s="2133"/>
      <c r="E47" s="2134"/>
    </row>
    <row r="48" spans="2:5" ht="16.5" customHeight="1">
      <c r="B48" s="521" t="str">
        <f>Dictionary!B651</f>
        <v>Gesamtaufwand [Personentage]:</v>
      </c>
      <c r="C48" s="1720"/>
      <c r="D48" s="2133"/>
      <c r="E48" s="2134"/>
    </row>
    <row r="49" spans="2:5" ht="16.5" customHeight="1">
      <c r="B49" s="522" t="str">
        <f>Dictionary!B652</f>
        <v>Externer Arbeitsaufwand [Personentage]:</v>
      </c>
      <c r="C49" s="1720"/>
      <c r="D49" s="2133"/>
      <c r="E49" s="2134"/>
    </row>
    <row r="50" spans="2:5" ht="16.5" customHeight="1">
      <c r="B50" s="522" t="str">
        <f>Dictionary!B653</f>
        <v>Interner Arbeitsaufwand [Personentage]:</v>
      </c>
      <c r="C50" s="1720"/>
      <c r="D50" s="2133"/>
      <c r="E50" s="2134"/>
    </row>
    <row r="51" spans="2:5" ht="16.5" customHeight="1">
      <c r="B51" s="522" t="str">
        <f>Dictionary!B654</f>
        <v>Enthaltener PM-Aufwand [Personentage]:</v>
      </c>
      <c r="C51" s="1720"/>
      <c r="D51" s="2133"/>
      <c r="E51" s="2134"/>
    </row>
    <row r="52" spans="2:5" ht="16.5" customHeight="1">
      <c r="B52" s="522" t="str">
        <f>Dictionary!B655</f>
        <v>Budget (Aufwand) unter Ihrer Verantwortung [€]:</v>
      </c>
      <c r="C52" s="1721"/>
      <c r="D52" s="2133"/>
      <c r="E52" s="2134"/>
    </row>
    <row r="53" spans="2:5" ht="16.5" customHeight="1">
      <c r="B53" s="523" t="str">
        <f>Dictionary!B656</f>
        <v>Budget (Sachmittel) unter Ihrer Verantwortung [€]:</v>
      </c>
      <c r="C53" s="1722"/>
      <c r="D53" s="2144"/>
      <c r="E53" s="2145"/>
    </row>
    <row r="54" spans="2:5" ht="16.5" customHeight="1">
      <c r="B54" s="1615" t="str">
        <f>Dictionary!B657</f>
        <v>Gesamtbudget unter Ihrer Verantwortung [€]:</v>
      </c>
      <c r="C54" s="1723">
        <f>C52+C53</f>
        <v>0</v>
      </c>
      <c r="D54" s="1724"/>
      <c r="E54" s="1725"/>
    </row>
    <row r="55" spans="2:5" ht="18" customHeight="1"/>
    <row r="56" spans="2:5" ht="18" customHeight="1">
      <c r="B56" s="2013" t="str">
        <f>Dictionary!B658</f>
        <v xml:space="preserve">Anmerkungen </v>
      </c>
      <c r="C56" s="2013"/>
      <c r="D56" s="2013"/>
      <c r="E56" s="2013"/>
    </row>
    <row r="57" spans="2:5" ht="16.5" customHeight="1">
      <c r="B57" s="2157" t="str">
        <f>Dictionary!B659</f>
        <v>Anmerkungen zur Komplexität:</v>
      </c>
      <c r="C57" s="2158"/>
      <c r="D57" s="2158"/>
      <c r="E57" s="2159"/>
    </row>
    <row r="58" spans="2:5">
      <c r="B58" s="2135"/>
      <c r="C58" s="2136"/>
      <c r="D58" s="2136"/>
      <c r="E58" s="2137"/>
    </row>
    <row r="59" spans="2:5">
      <c r="B59" s="2135"/>
      <c r="C59" s="2136"/>
      <c r="D59" s="2136"/>
      <c r="E59" s="2137"/>
    </row>
    <row r="60" spans="2:5" ht="27" customHeight="1">
      <c r="B60" s="2135"/>
      <c r="C60" s="2136"/>
      <c r="D60" s="2136"/>
      <c r="E60" s="2137"/>
    </row>
    <row r="61" spans="2:5" ht="16.5" customHeight="1">
      <c r="B61" s="2139" t="str">
        <f>Dictionary!B660</f>
        <v>Allgemeine Anmerkungen:</v>
      </c>
      <c r="C61" s="2140"/>
      <c r="D61" s="2140"/>
      <c r="E61" s="2141"/>
    </row>
    <row r="62" spans="2:5" ht="15" customHeight="1">
      <c r="B62" s="2135"/>
      <c r="C62" s="2136"/>
      <c r="D62" s="2136"/>
      <c r="E62" s="2137"/>
    </row>
    <row r="63" spans="2:5">
      <c r="B63" s="2135"/>
      <c r="C63" s="2136"/>
      <c r="D63" s="2136"/>
      <c r="E63" s="2137"/>
    </row>
    <row r="64" spans="2:5">
      <c r="B64" s="2135"/>
      <c r="C64" s="2136"/>
      <c r="D64" s="2136"/>
      <c r="E64" s="2137"/>
    </row>
    <row r="65" spans="2:5" ht="41" customHeight="1">
      <c r="B65" s="2146"/>
      <c r="C65" s="2147"/>
      <c r="D65" s="2147"/>
      <c r="E65" s="2148"/>
    </row>
    <row r="67" spans="2:5" ht="17" thickBot="1">
      <c r="B67" s="460"/>
      <c r="C67" s="460"/>
      <c r="D67" s="460"/>
      <c r="E67" s="460"/>
    </row>
    <row r="68" spans="2:5">
      <c r="E68" s="464" t="s">
        <v>105</v>
      </c>
    </row>
  </sheetData>
  <sheetProtection algorithmName="SHA-512" hashValue="2H1wEHR2Liu8/DENRmuQtED1q2CUJOVUEm9EuIP6xrgzDkvzn6ks5333MpkxbnhPh63j1sTZpYPETVOC54yHxg==" saltValue="lfRIGBXXFulUpT+uDLYhSg==" spinCount="100000" sheet="1" objects="1" scenarios="1" selectLockedCells="1"/>
  <mergeCells count="39">
    <mergeCell ref="B58:E60"/>
    <mergeCell ref="B61:E61"/>
    <mergeCell ref="B62:E65"/>
    <mergeCell ref="D50:E50"/>
    <mergeCell ref="D51:E51"/>
    <mergeCell ref="D52:E52"/>
    <mergeCell ref="D53:E53"/>
    <mergeCell ref="B56:E56"/>
    <mergeCell ref="B57:E57"/>
    <mergeCell ref="D49:E49"/>
    <mergeCell ref="B27:E27"/>
    <mergeCell ref="B29:E29"/>
    <mergeCell ref="B32:C32"/>
    <mergeCell ref="D32:E32"/>
    <mergeCell ref="B33:C42"/>
    <mergeCell ref="D33:E42"/>
    <mergeCell ref="B44:E44"/>
    <mergeCell ref="D45:E45"/>
    <mergeCell ref="D46:E46"/>
    <mergeCell ref="D47:E47"/>
    <mergeCell ref="D48:E48"/>
    <mergeCell ref="B26:E26"/>
    <mergeCell ref="D14:E14"/>
    <mergeCell ref="D15:E15"/>
    <mergeCell ref="D16:E16"/>
    <mergeCell ref="D17:E17"/>
    <mergeCell ref="B18:E18"/>
    <mergeCell ref="B19:E19"/>
    <mergeCell ref="B21:E21"/>
    <mergeCell ref="B22:E22"/>
    <mergeCell ref="B23:E23"/>
    <mergeCell ref="B24:E24"/>
    <mergeCell ref="B25:E25"/>
    <mergeCell ref="D13:E13"/>
    <mergeCell ref="B3:E3"/>
    <mergeCell ref="B7:E7"/>
    <mergeCell ref="C9:D9"/>
    <mergeCell ref="B11:E11"/>
    <mergeCell ref="D12:E12"/>
  </mergeCells>
  <conditionalFormatting sqref="C16:C17">
    <cfRule type="notContainsBlanks" dxfId="421" priority="1">
      <formula>LEN(TRIM(C16))&gt;0</formula>
    </cfRule>
  </conditionalFormatting>
  <conditionalFormatting sqref="E8 C9:D9 B19:E19 B23:E23 B25:E25 B27:E27 C30 E30 B33:E42 C46:D54 B58:E60 B62:E65">
    <cfRule type="notContainsBlanks" dxfId="420" priority="2">
      <formula>LEN(TRIM(B8))&gt;0</formula>
    </cfRule>
  </conditionalFormatting>
  <dataValidations count="7">
    <dataValidation type="whole" allowBlank="1" showInputMessage="1" showErrorMessage="1" error="EN: please enter a whole number_x000a_DE: Bitte geben Sie eine ganze Zahl ein" prompt="EN: please enter a valid number_x000a_DE: Bitte geben Sie eine plausible Zahl ein" sqref="C46" xr:uid="{00000000-0002-0000-1700-000000000000}">
      <formula1>0</formula1>
      <formula2>1000000</formula2>
    </dataValidation>
    <dataValidation allowBlank="1" showInputMessage="1" showErrorMessage="1" error="EN: please enter a number_x000a_DE: Bitte geben Sie eine Zahl ein" prompt="EN: enter a Euro value_x000a_DE Geben Sie einen Wert in Euro an" sqref="C54" xr:uid="{00000000-0002-0000-1700-000001000000}"/>
    <dataValidation allowBlank="1" error="EN: Enter a number _x000a_DE: Geben Sie eine Zahl ein" prompt="EN: Effort in person-days_x000a_DE: Aufwand in Personentagen" sqref="D46:E54" xr:uid="{00000000-0002-0000-1700-000002000000}"/>
    <dataValidation type="whole" allowBlank="1" showInputMessage="1" showErrorMessage="1" error="EN: please enter a whole number_x000a_DE: Bitte geben Sie eine ganze Zahl ein" prompt="EN: please enter a valid number_x000a_DE: Bitte geben Sie eine plausible Zahl ein" sqref="C47" xr:uid="{00000000-0002-0000-1700-000003000000}">
      <formula1>1</formula1>
      <formula2>1000000</formula2>
    </dataValidation>
    <dataValidation type="decimal" allowBlank="1" showInputMessage="1" showErrorMessage="1" error="EN: please enter a number_x000a_DE: Bitte geben Sie eine Zahl ein" prompt="EN: enter a Euro value_x000a_DE Geben Sie einen Wert in Euro an" sqref="C52:C53" xr:uid="{00000000-0002-0000-1700-000004000000}">
      <formula1>1</formula1>
      <formula2>1000000000000</formula2>
    </dataValidation>
    <dataValidation type="decimal" allowBlank="1" showInputMessage="1" showErrorMessage="1" error="EN: Enter a number _x000a_DE: Geben Sie eine Zahl ein" prompt="EN: Effort in person-days_x000a_DE: Aufwand in Personentagen" sqref="C48:C49" xr:uid="{00000000-0002-0000-1700-000005000000}">
      <formula1>1</formula1>
      <formula2>1000000000</formula2>
    </dataValidation>
    <dataValidation type="decimal" allowBlank="1" showInputMessage="1" showErrorMessage="1" error="EN: Enter a number_x000a_DE: Geben Sie eine Zahl ein" prompt="EN: Effort in person-days_x000a_DE: Aufwand in Personentagen" sqref="C49:C51" xr:uid="{00000000-0002-0000-1700-000006000000}">
      <formula1>1</formula1>
      <formula2>1000000000</formula2>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700-000007000000}">
          <x14:formula1>
            <xm:f>'Control Values'!$B$14:$B$15</xm:f>
          </x14:formula1>
          <xm:sqref>E9</xm:sqref>
        </x14:dataValidation>
        <x14:dataValidation type="list" allowBlank="1" showInputMessage="1" showErrorMessage="1" xr:uid="{00000000-0002-0000-1700-000008000000}">
          <x14:formula1>
            <xm:f>'Control Values'!$B$29:$B$34</xm:f>
          </x14:formula1>
          <xm:sqref>C17</xm:sqref>
        </x14:dataValidation>
        <x14:dataValidation type="list" allowBlank="1" showInputMessage="1" showErrorMessage="1" xr:uid="{00000000-0002-0000-1700-000009000000}">
          <x14:formula1>
            <xm:f>'Control Values'!$B$23:$B$26</xm:f>
          </x14:formula1>
          <xm:sqref>C16</xm:sqref>
        </x14:dataValidation>
        <x14:dataValidation type="list" allowBlank="1" showInputMessage="1" showErrorMessage="1" xr:uid="{00000000-0002-0000-1700-00000A000000}">
          <x14:formula1>
            <xm:f>'Control Values'!$B$18:$B$19</xm:f>
          </x14:formula1>
          <xm:sqref>C13:C15</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54312-7B8E-4572-A9A4-D752753EE5F7}">
  <sheetPr codeName="Sheet77">
    <tabColor theme="9"/>
  </sheetPr>
  <dimension ref="A1:S60"/>
  <sheetViews>
    <sheetView zoomScale="80" zoomScaleNormal="80" workbookViewId="0">
      <selection activeCell="C10" sqref="C10"/>
    </sheetView>
  </sheetViews>
  <sheetFormatPr baseColWidth="10" defaultColWidth="11.5" defaultRowHeight="15"/>
  <cols>
    <col min="1" max="1" width="8.6640625" style="89" customWidth="1"/>
    <col min="2" max="2" width="11.5" style="89" customWidth="1"/>
    <col min="3" max="3" width="44.33203125" style="89" customWidth="1"/>
    <col min="4" max="4" width="23.1640625" style="89" customWidth="1"/>
    <col min="5" max="5" width="37.5" style="89" customWidth="1"/>
    <col min="6" max="6" width="32" style="89" customWidth="1"/>
    <col min="7" max="7" width="11.6640625" style="89" customWidth="1"/>
    <col min="8" max="11" width="32" style="89" customWidth="1"/>
    <col min="12" max="13" width="32.5" style="89" customWidth="1"/>
    <col min="14" max="14" width="26.1640625" style="89" customWidth="1"/>
    <col min="15" max="15" width="20" style="89" customWidth="1"/>
    <col min="16" max="17" width="11.5" style="89"/>
    <col min="18" max="18" width="8.5" style="89" customWidth="1"/>
    <col min="19" max="16384" width="11.5" style="89"/>
  </cols>
  <sheetData>
    <row r="1" spans="1:19" ht="19.5" customHeight="1" thickBot="1">
      <c r="B1" s="497" t="str">
        <f ca="1">COV!C20</f>
        <v>DECKBLATT BITTE VOLLSTÄNDIG AUSFÜLLEN!</v>
      </c>
      <c r="C1" s="459"/>
      <c r="D1" s="459"/>
      <c r="E1" s="459"/>
      <c r="F1" s="459"/>
      <c r="G1" s="459"/>
      <c r="H1" s="459"/>
      <c r="I1" s="459"/>
      <c r="J1" s="459"/>
      <c r="K1" s="459"/>
      <c r="L1" s="459"/>
      <c r="M1" s="459"/>
    </row>
    <row r="2" spans="1:19" ht="5.25" customHeight="1" thickTop="1"/>
    <row r="3" spans="1:19" ht="21">
      <c r="B3" s="2046" t="str">
        <f>Dictionary!B663&amp;" "&amp;'(7b) Project List'!A13&amp;", "&amp;EXP!D13&amp;": "&amp;EXP!C13</f>
        <v xml:space="preserve">Projektliste für Eintrag 5, : </v>
      </c>
      <c r="C3" s="2046"/>
      <c r="D3" s="2046"/>
      <c r="E3" s="2046"/>
      <c r="F3" s="2046"/>
      <c r="G3" s="2046"/>
      <c r="H3" s="2046"/>
      <c r="I3" s="2046"/>
      <c r="J3" s="2046"/>
      <c r="K3" s="2046"/>
      <c r="L3" s="2046"/>
      <c r="M3" s="2046"/>
    </row>
    <row r="4" spans="1:19" ht="21">
      <c r="B4" s="488"/>
      <c r="C4" s="488"/>
      <c r="D4" s="488"/>
      <c r="E4" s="488"/>
      <c r="F4" s="488"/>
      <c r="G4" s="488"/>
      <c r="H4" s="488"/>
      <c r="I4" s="488"/>
      <c r="J4" s="488"/>
      <c r="K4" s="488"/>
      <c r="L4" s="488"/>
      <c r="M4" s="488"/>
    </row>
    <row r="5" spans="1:19" ht="21">
      <c r="B5" s="489" t="str">
        <f>EXP!B5</f>
        <v xml:space="preserve"> , Level A, Projekt Management, Erstzertifizierung</v>
      </c>
      <c r="C5" s="490"/>
      <c r="D5" s="490"/>
      <c r="E5" s="490"/>
      <c r="F5" s="490"/>
      <c r="G5" s="490"/>
      <c r="H5" s="490"/>
      <c r="I5" s="490"/>
      <c r="J5" s="490"/>
      <c r="K5" s="490"/>
      <c r="L5" s="490"/>
      <c r="M5" s="490"/>
    </row>
    <row r="6" spans="1:19" ht="15" customHeight="1">
      <c r="A6" s="1284"/>
      <c r="B6" s="554"/>
      <c r="C6" s="554"/>
      <c r="D6" s="554"/>
      <c r="E6" s="554"/>
      <c r="F6" s="554"/>
      <c r="G6" s="554"/>
      <c r="H6" s="554"/>
      <c r="I6" s="554"/>
      <c r="J6" s="554"/>
      <c r="K6" s="554"/>
      <c r="L6" s="554"/>
      <c r="M6" s="554"/>
      <c r="N6" s="554"/>
      <c r="O6" s="554"/>
      <c r="P6" s="554"/>
      <c r="Q6" s="554"/>
      <c r="R6" s="554"/>
      <c r="S6" s="554"/>
    </row>
    <row r="7" spans="1:19" ht="24">
      <c r="A7" s="1284"/>
      <c r="B7" s="2171" t="str">
        <f>Dictionary!B665</f>
        <v>Nr.</v>
      </c>
      <c r="C7" s="2166" t="str">
        <f>Dictionary!B666</f>
        <v>Projektname</v>
      </c>
      <c r="D7" s="2166" t="str">
        <f>Dictionary!B667</f>
        <v>PM Domäne</v>
      </c>
      <c r="E7" s="2166" t="s">
        <v>269</v>
      </c>
      <c r="F7" s="2166" t="str">
        <f>Dictionary!B676</f>
        <v>Projekt- / Programm Typ</v>
      </c>
      <c r="G7" s="2173" t="str">
        <f>Dictionary!B677</f>
        <v>Strategisch</v>
      </c>
      <c r="H7" s="2166" t="str">
        <f>Dictionary!B670</f>
        <v>Dauer</v>
      </c>
      <c r="I7" s="2166"/>
      <c r="J7" s="2166" t="str">
        <f>Dictionary!B671</f>
        <v>Gesamtaufwand [Personentage]:</v>
      </c>
      <c r="K7" s="2166"/>
      <c r="L7" s="2166" t="str">
        <f>Dictionary!B672</f>
        <v>Gesamtbudget [€]:</v>
      </c>
      <c r="M7" s="2175"/>
      <c r="N7" s="554"/>
      <c r="O7" s="554"/>
      <c r="P7" s="554"/>
      <c r="Q7" s="554"/>
      <c r="R7" s="554"/>
      <c r="S7" s="554"/>
    </row>
    <row r="8" spans="1:19" ht="24">
      <c r="A8" s="1284"/>
      <c r="B8" s="2172"/>
      <c r="C8" s="2167"/>
      <c r="D8" s="2167"/>
      <c r="E8" s="2167"/>
      <c r="F8" s="2167"/>
      <c r="G8" s="2174"/>
      <c r="H8" s="1305" t="str">
        <f>Dictionary!B668</f>
        <v>Startdatum</v>
      </c>
      <c r="I8" s="1305" t="str">
        <f>Dictionary!B669</f>
        <v>Endtermin</v>
      </c>
      <c r="J8" s="1305" t="str">
        <f>Dictionary!B673</f>
        <v>geplant</v>
      </c>
      <c r="K8" s="1305" t="str">
        <f>Dictionary!B674</f>
        <v>realisiert</v>
      </c>
      <c r="L8" s="1305" t="str">
        <f>Dictionary!B673</f>
        <v>geplant</v>
      </c>
      <c r="M8" s="1306" t="str">
        <f>Dictionary!B674</f>
        <v>realisiert</v>
      </c>
      <c r="N8" s="554"/>
      <c r="O8" s="554"/>
      <c r="P8" s="554"/>
      <c r="Q8" s="554"/>
      <c r="R8" s="554"/>
      <c r="S8" s="554"/>
    </row>
    <row r="9" spans="1:19" ht="24" hidden="1">
      <c r="A9" s="1284"/>
      <c r="B9" s="1304" t="s">
        <v>2826</v>
      </c>
      <c r="C9" s="1297" t="s">
        <v>2827</v>
      </c>
      <c r="D9" s="1297" t="s">
        <v>2837</v>
      </c>
      <c r="E9" s="1297" t="s">
        <v>2828</v>
      </c>
      <c r="F9" s="1297" t="s">
        <v>2829</v>
      </c>
      <c r="G9" s="1298" t="s">
        <v>2830</v>
      </c>
      <c r="H9" s="1299" t="s">
        <v>2831</v>
      </c>
      <c r="I9" s="1299" t="s">
        <v>2832</v>
      </c>
      <c r="J9" s="1300" t="s">
        <v>2833</v>
      </c>
      <c r="K9" s="1300" t="s">
        <v>2834</v>
      </c>
      <c r="L9" s="1300" t="s">
        <v>2835</v>
      </c>
      <c r="M9" s="1300" t="s">
        <v>2836</v>
      </c>
      <c r="N9" s="554"/>
      <c r="O9" s="554"/>
      <c r="P9" s="554"/>
      <c r="Q9" s="554"/>
      <c r="R9" s="554"/>
      <c r="S9" s="554"/>
    </row>
    <row r="10" spans="1:19" ht="24">
      <c r="A10" s="1284"/>
      <c r="B10" s="1292">
        <v>1</v>
      </c>
      <c r="C10" s="1291"/>
      <c r="D10" s="1291"/>
      <c r="E10" s="1291"/>
      <c r="F10" s="1291"/>
      <c r="G10" s="1296"/>
      <c r="H10" s="1307"/>
      <c r="I10" s="1308"/>
      <c r="J10" s="1321"/>
      <c r="K10" s="1321"/>
      <c r="L10" s="1293"/>
      <c r="M10" s="1293"/>
      <c r="N10" s="554"/>
      <c r="O10" s="554"/>
      <c r="P10" s="554"/>
      <c r="Q10" s="554"/>
      <c r="R10" s="554"/>
      <c r="S10" s="554"/>
    </row>
    <row r="11" spans="1:19" ht="24">
      <c r="A11" s="1284"/>
      <c r="B11" s="1292">
        <v>2</v>
      </c>
      <c r="C11" s="1291"/>
      <c r="D11" s="1291"/>
      <c r="E11" s="1291"/>
      <c r="F11" s="1291"/>
      <c r="G11" s="1296"/>
      <c r="H11" s="1309"/>
      <c r="I11" s="1310"/>
      <c r="J11" s="1321"/>
      <c r="K11" s="1321"/>
      <c r="L11" s="1293"/>
      <c r="M11" s="1293"/>
      <c r="N11" s="554"/>
      <c r="O11" s="554"/>
      <c r="P11" s="554"/>
      <c r="Q11" s="554"/>
      <c r="R11" s="554"/>
      <c r="S11" s="554"/>
    </row>
    <row r="12" spans="1:19" ht="24">
      <c r="A12" s="1284"/>
      <c r="B12" s="1292">
        <v>3</v>
      </c>
      <c r="C12" s="1291"/>
      <c r="D12" s="1291"/>
      <c r="E12" s="1291"/>
      <c r="F12" s="1291"/>
      <c r="G12" s="1296"/>
      <c r="H12" s="1309"/>
      <c r="I12" s="1310"/>
      <c r="J12" s="1321"/>
      <c r="K12" s="1321"/>
      <c r="L12" s="1293"/>
      <c r="M12" s="1293"/>
      <c r="N12" s="554"/>
      <c r="O12" s="554"/>
      <c r="P12" s="554"/>
      <c r="Q12" s="554"/>
      <c r="R12" s="554"/>
      <c r="S12" s="554"/>
    </row>
    <row r="13" spans="1:19" ht="24">
      <c r="A13" s="1284"/>
      <c r="B13" s="1292">
        <v>4</v>
      </c>
      <c r="C13" s="1291"/>
      <c r="D13" s="1291"/>
      <c r="E13" s="1291"/>
      <c r="F13" s="1291"/>
      <c r="G13" s="1296"/>
      <c r="H13" s="1309"/>
      <c r="I13" s="1310"/>
      <c r="J13" s="1321"/>
      <c r="K13" s="1321"/>
      <c r="L13" s="1293"/>
      <c r="M13" s="1293"/>
      <c r="N13" s="554"/>
      <c r="O13" s="554"/>
      <c r="P13" s="554"/>
      <c r="Q13" s="554"/>
      <c r="R13" s="554"/>
      <c r="S13" s="554"/>
    </row>
    <row r="14" spans="1:19" ht="24">
      <c r="A14" s="1284"/>
      <c r="B14" s="1292">
        <v>5</v>
      </c>
      <c r="C14" s="1291"/>
      <c r="D14" s="1291"/>
      <c r="E14" s="1291"/>
      <c r="F14" s="1291"/>
      <c r="G14" s="1296"/>
      <c r="H14" s="1309"/>
      <c r="I14" s="1310"/>
      <c r="J14" s="1321"/>
      <c r="K14" s="1321"/>
      <c r="L14" s="1293"/>
      <c r="M14" s="1293"/>
      <c r="N14" s="554"/>
      <c r="O14" s="554"/>
      <c r="P14" s="554"/>
      <c r="Q14" s="554"/>
      <c r="R14" s="554"/>
      <c r="S14" s="554"/>
    </row>
    <row r="15" spans="1:19" ht="24">
      <c r="A15" s="1284"/>
      <c r="B15" s="1292">
        <v>6</v>
      </c>
      <c r="C15" s="1291"/>
      <c r="D15" s="1291"/>
      <c r="E15" s="1291"/>
      <c r="F15" s="1291"/>
      <c r="G15" s="1296"/>
      <c r="H15" s="1309"/>
      <c r="I15" s="1310"/>
      <c r="J15" s="1321"/>
      <c r="K15" s="1321"/>
      <c r="L15" s="1293"/>
      <c r="M15" s="1293"/>
      <c r="N15" s="554"/>
      <c r="O15" s="554"/>
      <c r="P15" s="554"/>
      <c r="Q15" s="554"/>
      <c r="R15" s="554"/>
      <c r="S15" s="554"/>
    </row>
    <row r="16" spans="1:19" ht="24">
      <c r="A16" s="1284"/>
      <c r="B16" s="1292">
        <v>7</v>
      </c>
      <c r="C16" s="1291"/>
      <c r="D16" s="1291"/>
      <c r="E16" s="1291"/>
      <c r="F16" s="1291"/>
      <c r="G16" s="1296"/>
      <c r="H16" s="1309"/>
      <c r="I16" s="1310"/>
      <c r="J16" s="1321"/>
      <c r="K16" s="1321"/>
      <c r="L16" s="1293"/>
      <c r="M16" s="1293"/>
      <c r="N16" s="554"/>
      <c r="O16" s="554"/>
      <c r="P16" s="554"/>
      <c r="Q16" s="554"/>
      <c r="R16" s="554"/>
      <c r="S16" s="554"/>
    </row>
    <row r="17" spans="1:19" ht="24">
      <c r="A17" s="1284"/>
      <c r="B17" s="1292">
        <v>8</v>
      </c>
      <c r="C17" s="1291"/>
      <c r="D17" s="1291"/>
      <c r="E17" s="1291"/>
      <c r="F17" s="1291"/>
      <c r="G17" s="1296"/>
      <c r="H17" s="1309"/>
      <c r="I17" s="1310"/>
      <c r="J17" s="1321"/>
      <c r="K17" s="1321"/>
      <c r="L17" s="1293"/>
      <c r="M17" s="1293"/>
      <c r="N17" s="554"/>
      <c r="O17" s="554"/>
      <c r="P17" s="554"/>
      <c r="Q17" s="554"/>
      <c r="R17" s="554"/>
      <c r="S17" s="554"/>
    </row>
    <row r="18" spans="1:19" ht="24">
      <c r="A18" s="1284"/>
      <c r="B18" s="1292">
        <v>9</v>
      </c>
      <c r="C18" s="1291"/>
      <c r="D18" s="1291"/>
      <c r="E18" s="1291"/>
      <c r="F18" s="1291"/>
      <c r="G18" s="1296"/>
      <c r="H18" s="1309"/>
      <c r="I18" s="1310"/>
      <c r="J18" s="1321"/>
      <c r="K18" s="1321"/>
      <c r="L18" s="1293"/>
      <c r="M18" s="1293"/>
      <c r="N18" s="554"/>
      <c r="O18" s="554"/>
      <c r="P18" s="554"/>
      <c r="Q18" s="554"/>
      <c r="R18" s="554"/>
      <c r="S18" s="554"/>
    </row>
    <row r="19" spans="1:19" ht="24">
      <c r="A19" s="1284"/>
      <c r="B19" s="1292">
        <v>10</v>
      </c>
      <c r="C19" s="1291"/>
      <c r="D19" s="1291"/>
      <c r="E19" s="1291"/>
      <c r="F19" s="1291"/>
      <c r="G19" s="1296"/>
      <c r="H19" s="1309"/>
      <c r="I19" s="1310"/>
      <c r="J19" s="1321"/>
      <c r="K19" s="1321"/>
      <c r="L19" s="1293"/>
      <c r="M19" s="1293"/>
      <c r="N19" s="554"/>
      <c r="O19" s="554"/>
      <c r="P19" s="554"/>
      <c r="Q19" s="554"/>
      <c r="R19" s="554"/>
      <c r="S19" s="554"/>
    </row>
    <row r="20" spans="1:19" ht="24">
      <c r="A20" s="1284"/>
      <c r="B20" s="1292">
        <v>11</v>
      </c>
      <c r="C20" s="1291"/>
      <c r="D20" s="1291"/>
      <c r="E20" s="1291"/>
      <c r="F20" s="1291"/>
      <c r="G20" s="1296"/>
      <c r="H20" s="1309"/>
      <c r="I20" s="1310"/>
      <c r="J20" s="1321"/>
      <c r="K20" s="1321"/>
      <c r="L20" s="1293"/>
      <c r="M20" s="1293"/>
      <c r="N20" s="554"/>
      <c r="O20" s="554"/>
      <c r="P20" s="554"/>
      <c r="Q20" s="554"/>
      <c r="R20" s="554"/>
      <c r="S20" s="554"/>
    </row>
    <row r="21" spans="1:19" ht="24">
      <c r="A21" s="1284"/>
      <c r="B21" s="1292">
        <v>12</v>
      </c>
      <c r="C21" s="1291"/>
      <c r="D21" s="1291"/>
      <c r="E21" s="1291"/>
      <c r="F21" s="1291"/>
      <c r="G21" s="1296"/>
      <c r="H21" s="1309"/>
      <c r="I21" s="1310"/>
      <c r="J21" s="1321"/>
      <c r="K21" s="1321"/>
      <c r="L21" s="1293"/>
      <c r="M21" s="1293"/>
      <c r="N21" s="554"/>
      <c r="O21" s="554"/>
      <c r="P21" s="554"/>
      <c r="Q21" s="554"/>
      <c r="R21" s="554"/>
      <c r="S21" s="554"/>
    </row>
    <row r="22" spans="1:19" ht="24">
      <c r="A22" s="1284"/>
      <c r="B22" s="1292">
        <v>13</v>
      </c>
      <c r="C22" s="1291"/>
      <c r="D22" s="1291"/>
      <c r="E22" s="1291"/>
      <c r="F22" s="1291"/>
      <c r="G22" s="1296"/>
      <c r="H22" s="1309"/>
      <c r="I22" s="1310"/>
      <c r="J22" s="1321"/>
      <c r="K22" s="1321"/>
      <c r="L22" s="1293"/>
      <c r="M22" s="1293"/>
      <c r="N22" s="554"/>
      <c r="O22" s="554"/>
      <c r="P22" s="554"/>
      <c r="Q22" s="554"/>
      <c r="R22" s="554"/>
      <c r="S22" s="554"/>
    </row>
    <row r="23" spans="1:19" ht="24">
      <c r="A23" s="1284"/>
      <c r="B23" s="1292">
        <v>14</v>
      </c>
      <c r="C23" s="1291"/>
      <c r="D23" s="1291"/>
      <c r="E23" s="1291"/>
      <c r="F23" s="1291"/>
      <c r="G23" s="1296"/>
      <c r="H23" s="1309"/>
      <c r="I23" s="1310"/>
      <c r="J23" s="1321"/>
      <c r="K23" s="1321"/>
      <c r="L23" s="1293"/>
      <c r="M23" s="1293"/>
      <c r="N23" s="554"/>
      <c r="O23" s="554"/>
      <c r="P23" s="554"/>
      <c r="Q23" s="554"/>
      <c r="R23" s="554"/>
      <c r="S23" s="554"/>
    </row>
    <row r="24" spans="1:19" ht="24">
      <c r="A24" s="1284"/>
      <c r="B24" s="1292">
        <v>15</v>
      </c>
      <c r="C24" s="1291"/>
      <c r="D24" s="1291"/>
      <c r="E24" s="1291"/>
      <c r="F24" s="1291"/>
      <c r="G24" s="1296"/>
      <c r="H24" s="1309"/>
      <c r="I24" s="1310"/>
      <c r="J24" s="1321"/>
      <c r="K24" s="1321"/>
      <c r="L24" s="1293"/>
      <c r="M24" s="1293"/>
      <c r="N24" s="554"/>
      <c r="O24" s="554"/>
      <c r="P24" s="554"/>
      <c r="Q24" s="554"/>
      <c r="R24" s="554"/>
      <c r="S24" s="554"/>
    </row>
    <row r="25" spans="1:19" ht="24">
      <c r="A25" s="1284"/>
      <c r="B25" s="1292">
        <v>16</v>
      </c>
      <c r="C25" s="1291"/>
      <c r="D25" s="1291"/>
      <c r="E25" s="1291"/>
      <c r="F25" s="1291"/>
      <c r="G25" s="1296"/>
      <c r="H25" s="1309"/>
      <c r="I25" s="1310"/>
      <c r="J25" s="1321"/>
      <c r="K25" s="1321"/>
      <c r="L25" s="1293"/>
      <c r="M25" s="1293"/>
      <c r="N25" s="554"/>
      <c r="O25" s="554"/>
      <c r="P25" s="554"/>
      <c r="Q25" s="554"/>
      <c r="R25" s="554"/>
      <c r="S25" s="554"/>
    </row>
    <row r="26" spans="1:19" ht="24">
      <c r="A26" s="1284"/>
      <c r="B26" s="1292">
        <v>17</v>
      </c>
      <c r="C26" s="1291"/>
      <c r="D26" s="1291"/>
      <c r="E26" s="1291"/>
      <c r="F26" s="1291"/>
      <c r="G26" s="1296"/>
      <c r="H26" s="1309"/>
      <c r="I26" s="1310"/>
      <c r="J26" s="1321"/>
      <c r="K26" s="1321"/>
      <c r="L26" s="1293"/>
      <c r="M26" s="1293"/>
      <c r="N26" s="554"/>
      <c r="O26" s="554"/>
      <c r="P26" s="554"/>
      <c r="Q26" s="554"/>
      <c r="R26" s="554"/>
      <c r="S26" s="554"/>
    </row>
    <row r="27" spans="1:19" ht="24">
      <c r="A27" s="1284"/>
      <c r="B27" s="1292">
        <v>18</v>
      </c>
      <c r="C27" s="1291"/>
      <c r="D27" s="1291"/>
      <c r="E27" s="1291"/>
      <c r="F27" s="1291"/>
      <c r="G27" s="1296"/>
      <c r="H27" s="1309"/>
      <c r="I27" s="1310"/>
      <c r="J27" s="1321"/>
      <c r="K27" s="1321"/>
      <c r="L27" s="1293"/>
      <c r="M27" s="1293"/>
      <c r="N27" s="554"/>
      <c r="O27" s="554"/>
      <c r="P27" s="554"/>
      <c r="Q27" s="554"/>
      <c r="R27" s="554"/>
      <c r="S27" s="554"/>
    </row>
    <row r="28" spans="1:19" ht="24">
      <c r="A28" s="1284"/>
      <c r="B28" s="1292">
        <v>19</v>
      </c>
      <c r="C28" s="1291"/>
      <c r="D28" s="1291"/>
      <c r="E28" s="1291"/>
      <c r="F28" s="1291"/>
      <c r="G28" s="1296"/>
      <c r="H28" s="1309"/>
      <c r="I28" s="1310"/>
      <c r="J28" s="1321"/>
      <c r="K28" s="1321"/>
      <c r="L28" s="1293"/>
      <c r="M28" s="1293"/>
      <c r="N28" s="554"/>
      <c r="O28" s="554"/>
      <c r="P28" s="554"/>
      <c r="Q28" s="554"/>
      <c r="R28" s="554"/>
      <c r="S28" s="554"/>
    </row>
    <row r="29" spans="1:19" ht="24">
      <c r="A29" s="1284"/>
      <c r="B29" s="1292">
        <v>20</v>
      </c>
      <c r="C29" s="1291"/>
      <c r="D29" s="1291"/>
      <c r="E29" s="1291"/>
      <c r="F29" s="1291"/>
      <c r="G29" s="1296"/>
      <c r="H29" s="1309"/>
      <c r="I29" s="1310"/>
      <c r="J29" s="1321"/>
      <c r="K29" s="1321"/>
      <c r="L29" s="1293"/>
      <c r="M29" s="1293"/>
      <c r="N29" s="554"/>
      <c r="O29" s="554"/>
      <c r="P29" s="554"/>
      <c r="Q29" s="554"/>
      <c r="R29" s="554"/>
      <c r="S29" s="554"/>
    </row>
    <row r="30" spans="1:19" ht="24">
      <c r="A30" s="1284"/>
      <c r="B30" s="1292">
        <v>21</v>
      </c>
      <c r="C30" s="1291"/>
      <c r="D30" s="1291"/>
      <c r="E30" s="1291"/>
      <c r="F30" s="1291"/>
      <c r="G30" s="1296"/>
      <c r="H30" s="1309"/>
      <c r="I30" s="1310"/>
      <c r="J30" s="1321"/>
      <c r="K30" s="1321"/>
      <c r="L30" s="1293"/>
      <c r="M30" s="1293"/>
      <c r="N30" s="554"/>
      <c r="O30" s="554"/>
      <c r="P30" s="554"/>
      <c r="Q30" s="554"/>
      <c r="R30" s="554"/>
      <c r="S30" s="554"/>
    </row>
    <row r="31" spans="1:19" ht="24">
      <c r="A31" s="1284"/>
      <c r="B31" s="1292">
        <v>22</v>
      </c>
      <c r="C31" s="1291"/>
      <c r="D31" s="1291"/>
      <c r="E31" s="1291"/>
      <c r="F31" s="1291"/>
      <c r="G31" s="1296"/>
      <c r="H31" s="1309"/>
      <c r="I31" s="1310"/>
      <c r="J31" s="1321"/>
      <c r="K31" s="1321"/>
      <c r="L31" s="1293"/>
      <c r="M31" s="1293"/>
      <c r="N31" s="554"/>
      <c r="O31" s="554"/>
      <c r="P31" s="554"/>
      <c r="Q31" s="554"/>
      <c r="R31" s="554"/>
      <c r="S31" s="554"/>
    </row>
    <row r="32" spans="1:19" ht="24">
      <c r="A32" s="1284"/>
      <c r="B32" s="1292">
        <v>23</v>
      </c>
      <c r="C32" s="1291"/>
      <c r="D32" s="1291"/>
      <c r="E32" s="1291"/>
      <c r="F32" s="1291"/>
      <c r="G32" s="1296"/>
      <c r="H32" s="1309"/>
      <c r="I32" s="1310"/>
      <c r="J32" s="1321"/>
      <c r="K32" s="1321"/>
      <c r="L32" s="1293"/>
      <c r="M32" s="1293"/>
      <c r="N32" s="554"/>
      <c r="O32" s="554"/>
      <c r="P32" s="554"/>
      <c r="Q32" s="554"/>
      <c r="R32" s="554"/>
      <c r="S32" s="554"/>
    </row>
    <row r="33" spans="1:19" ht="24">
      <c r="A33" s="1284"/>
      <c r="B33" s="1292">
        <v>24</v>
      </c>
      <c r="C33" s="1291"/>
      <c r="D33" s="1291"/>
      <c r="E33" s="1291"/>
      <c r="F33" s="1291"/>
      <c r="G33" s="1296"/>
      <c r="H33" s="1309"/>
      <c r="I33" s="1310"/>
      <c r="J33" s="1321"/>
      <c r="K33" s="1321"/>
      <c r="L33" s="1293"/>
      <c r="M33" s="1293"/>
      <c r="N33" s="554"/>
      <c r="O33" s="554"/>
      <c r="P33" s="554"/>
      <c r="Q33" s="554"/>
      <c r="R33" s="554"/>
      <c r="S33" s="554"/>
    </row>
    <row r="34" spans="1:19" ht="24">
      <c r="A34" s="1284"/>
      <c r="B34" s="1292">
        <v>25</v>
      </c>
      <c r="C34" s="1291"/>
      <c r="D34" s="1291"/>
      <c r="E34" s="1291"/>
      <c r="F34" s="1291"/>
      <c r="G34" s="1296"/>
      <c r="H34" s="1309"/>
      <c r="I34" s="1310"/>
      <c r="J34" s="1321"/>
      <c r="K34" s="1321"/>
      <c r="L34" s="1293"/>
      <c r="M34" s="1293"/>
      <c r="N34" s="554"/>
      <c r="O34" s="554"/>
      <c r="P34" s="554"/>
      <c r="Q34" s="554"/>
      <c r="R34" s="554"/>
      <c r="S34" s="554"/>
    </row>
    <row r="35" spans="1:19" ht="24">
      <c r="A35" s="1284"/>
      <c r="B35" s="1292">
        <v>26</v>
      </c>
      <c r="C35" s="1291"/>
      <c r="D35" s="1291"/>
      <c r="E35" s="1291"/>
      <c r="F35" s="1291"/>
      <c r="G35" s="1296"/>
      <c r="H35" s="1309"/>
      <c r="I35" s="1310"/>
      <c r="J35" s="1321"/>
      <c r="K35" s="1321"/>
      <c r="L35" s="1293"/>
      <c r="M35" s="1293"/>
      <c r="N35" s="554"/>
      <c r="O35" s="554"/>
      <c r="P35" s="554"/>
      <c r="Q35" s="554"/>
      <c r="R35" s="554"/>
      <c r="S35" s="554"/>
    </row>
    <row r="36" spans="1:19" ht="24">
      <c r="A36" s="1284"/>
      <c r="B36" s="1292">
        <v>27</v>
      </c>
      <c r="C36" s="1291"/>
      <c r="D36" s="1291"/>
      <c r="E36" s="1291"/>
      <c r="F36" s="1291"/>
      <c r="G36" s="1296"/>
      <c r="H36" s="1309"/>
      <c r="I36" s="1310"/>
      <c r="J36" s="1321"/>
      <c r="K36" s="1321"/>
      <c r="L36" s="1293"/>
      <c r="M36" s="1293"/>
      <c r="N36" s="554"/>
      <c r="O36" s="554"/>
      <c r="P36" s="554"/>
      <c r="Q36" s="554"/>
      <c r="R36" s="554"/>
      <c r="S36" s="554"/>
    </row>
    <row r="37" spans="1:19" ht="24">
      <c r="A37" s="1284"/>
      <c r="B37" s="1292">
        <v>28</v>
      </c>
      <c r="C37" s="1291"/>
      <c r="D37" s="1291"/>
      <c r="E37" s="1291"/>
      <c r="F37" s="1291"/>
      <c r="G37" s="1296"/>
      <c r="H37" s="1309"/>
      <c r="I37" s="1310"/>
      <c r="J37" s="1321"/>
      <c r="K37" s="1321"/>
      <c r="L37" s="1293"/>
      <c r="M37" s="1293"/>
      <c r="N37" s="554"/>
      <c r="O37" s="554"/>
      <c r="P37" s="554"/>
      <c r="Q37" s="554"/>
      <c r="R37" s="554"/>
      <c r="S37" s="554"/>
    </row>
    <row r="38" spans="1:19" ht="24">
      <c r="A38" s="1284"/>
      <c r="B38" s="1292">
        <v>29</v>
      </c>
      <c r="C38" s="1291"/>
      <c r="D38" s="1291"/>
      <c r="E38" s="1291"/>
      <c r="F38" s="1291"/>
      <c r="G38" s="1296"/>
      <c r="H38" s="1309"/>
      <c r="I38" s="1310"/>
      <c r="J38" s="1321"/>
      <c r="K38" s="1321"/>
      <c r="L38" s="1293"/>
      <c r="M38" s="1293"/>
      <c r="N38" s="554"/>
      <c r="O38" s="554"/>
      <c r="P38" s="554"/>
      <c r="Q38" s="554"/>
      <c r="R38" s="554"/>
      <c r="S38" s="554"/>
    </row>
    <row r="39" spans="1:19" ht="24">
      <c r="A39" s="1284"/>
      <c r="B39" s="1292">
        <v>30</v>
      </c>
      <c r="C39" s="1311"/>
      <c r="D39" s="1311"/>
      <c r="E39" s="1311"/>
      <c r="F39" s="1311"/>
      <c r="G39" s="1312"/>
      <c r="H39" s="1313"/>
      <c r="I39" s="1314"/>
      <c r="J39" s="1322"/>
      <c r="K39" s="1322"/>
      <c r="L39" s="1315"/>
      <c r="M39" s="1315"/>
      <c r="N39" s="554"/>
      <c r="O39" s="554"/>
      <c r="P39" s="554"/>
      <c r="Q39" s="554"/>
      <c r="R39" s="554"/>
      <c r="S39" s="554"/>
    </row>
    <row r="40" spans="1:19" ht="24">
      <c r="A40" s="1284"/>
      <c r="B40" s="1301"/>
      <c r="C40" s="2168" t="str">
        <f>Dictionary!B675</f>
        <v xml:space="preserve">Programm / Portfolio Verwaltung </v>
      </c>
      <c r="D40" s="2169"/>
      <c r="E40" s="2169"/>
      <c r="F40" s="2169"/>
      <c r="G40" s="2170"/>
      <c r="H40" s="1319"/>
      <c r="I40" s="1320"/>
      <c r="J40" s="1323"/>
      <c r="K40" s="1323"/>
      <c r="L40" s="1294"/>
      <c r="M40" s="1295"/>
      <c r="N40" s="554"/>
      <c r="O40" s="554"/>
      <c r="P40" s="554"/>
      <c r="Q40" s="554"/>
      <c r="R40" s="554"/>
      <c r="S40" s="554"/>
    </row>
    <row r="41" spans="1:19" ht="24">
      <c r="A41" s="1284"/>
      <c r="B41" s="1302"/>
      <c r="C41" s="1316"/>
      <c r="D41" s="1316"/>
      <c r="E41" s="1316"/>
      <c r="F41" s="1316"/>
      <c r="G41" s="1316"/>
      <c r="H41" s="2176" t="s">
        <v>2825</v>
      </c>
      <c r="I41" s="2176"/>
      <c r="J41" s="1317">
        <f>SUM(J9:J40)</f>
        <v>0</v>
      </c>
      <c r="K41" s="1317">
        <f>SUM(K9:K40)</f>
        <v>0</v>
      </c>
      <c r="L41" s="1318">
        <f>SUM(L9:L40)</f>
        <v>0</v>
      </c>
      <c r="M41" s="1318">
        <f>SUM(M9:M40)</f>
        <v>0</v>
      </c>
      <c r="N41" s="554"/>
      <c r="O41" s="554"/>
      <c r="P41" s="554"/>
      <c r="Q41" s="554"/>
      <c r="R41" s="554"/>
      <c r="S41" s="554"/>
    </row>
    <row r="42" spans="1:19" ht="24">
      <c r="B42" s="554"/>
      <c r="C42" s="554"/>
      <c r="D42" s="554"/>
      <c r="E42" s="554"/>
      <c r="F42" s="554"/>
      <c r="G42" s="554"/>
      <c r="H42" s="554"/>
      <c r="I42" s="554"/>
      <c r="J42" s="554"/>
      <c r="K42" s="554"/>
      <c r="L42" s="554"/>
      <c r="M42" s="554"/>
    </row>
    <row r="43" spans="1:19" ht="17" thickBot="1">
      <c r="B43" s="460"/>
      <c r="C43" s="460"/>
      <c r="D43" s="460"/>
      <c r="E43" s="460"/>
      <c r="F43" s="460"/>
      <c r="G43" s="460"/>
      <c r="H43" s="460"/>
      <c r="I43" s="460"/>
      <c r="J43" s="460"/>
      <c r="K43" s="460"/>
      <c r="L43" s="460"/>
      <c r="M43" s="460"/>
    </row>
    <row r="44" spans="1:19">
      <c r="M44" s="464" t="s">
        <v>105</v>
      </c>
    </row>
    <row r="50" spans="3:6" hidden="1"/>
    <row r="51" spans="3:6" hidden="1">
      <c r="C51" s="2163" t="s">
        <v>249</v>
      </c>
      <c r="D51" s="2164"/>
      <c r="E51" s="2164"/>
      <c r="F51" s="2165"/>
    </row>
    <row r="52" spans="3:6" hidden="1">
      <c r="C52" s="240"/>
      <c r="D52" s="172"/>
      <c r="E52" s="241"/>
      <c r="F52" s="241"/>
    </row>
    <row r="53" spans="3:6" hidden="1">
      <c r="C53" s="1905" t="s">
        <v>970</v>
      </c>
      <c r="D53" s="172" t="s">
        <v>1037</v>
      </c>
      <c r="E53" s="241"/>
      <c r="F53" s="241"/>
    </row>
    <row r="54" spans="3:6" hidden="1">
      <c r="C54" s="1906" t="s">
        <v>1024</v>
      </c>
      <c r="D54" s="172"/>
      <c r="E54" s="241"/>
      <c r="F54" s="241"/>
    </row>
    <row r="55" spans="3:6" hidden="1">
      <c r="C55" s="1907" t="s">
        <v>1025</v>
      </c>
      <c r="D55" s="172"/>
      <c r="E55" s="241"/>
      <c r="F55" s="241"/>
    </row>
    <row r="56" spans="3:6" hidden="1">
      <c r="C56" s="240"/>
      <c r="D56" s="172"/>
      <c r="E56" s="241"/>
      <c r="F56" s="241"/>
    </row>
    <row r="57" spans="3:6" hidden="1">
      <c r="C57" s="240"/>
      <c r="D57" s="172"/>
      <c r="E57" s="241"/>
      <c r="F57" s="241"/>
    </row>
    <row r="58" spans="3:6" hidden="1">
      <c r="C58" s="240"/>
      <c r="D58" s="172"/>
      <c r="E58" s="241"/>
      <c r="F58" s="241"/>
    </row>
    <row r="59" spans="3:6" hidden="1">
      <c r="C59" s="242"/>
      <c r="D59" s="1303"/>
      <c r="E59" s="185"/>
      <c r="F59" s="185"/>
    </row>
    <row r="60" spans="3:6" hidden="1"/>
  </sheetData>
  <sheetProtection algorithmName="SHA-512" hashValue="uoU5SwIo3N8pCCI8Bp8Yf75v0Z6LePsrxEbBg0u6b1yurhpOfc0v7Ak0BBGICPGq/OEPJggdTtH3m9XkBWCjsA==" saltValue="+jtFfbfnos+3cXq3h2Of5Q==" spinCount="100000" sheet="1" objects="1" scenarios="1" selectLockedCells="1"/>
  <mergeCells count="13">
    <mergeCell ref="C40:G40"/>
    <mergeCell ref="H41:I41"/>
    <mergeCell ref="C51:F51"/>
    <mergeCell ref="B3:M3"/>
    <mergeCell ref="B7:B8"/>
    <mergeCell ref="C7:C8"/>
    <mergeCell ref="D7:D8"/>
    <mergeCell ref="E7:E8"/>
    <mergeCell ref="F7:F8"/>
    <mergeCell ref="G7:G8"/>
    <mergeCell ref="H7:I7"/>
    <mergeCell ref="J7:K7"/>
    <mergeCell ref="L7:M7"/>
  </mergeCells>
  <dataValidations count="6">
    <dataValidation type="date" operator="lessThan" allowBlank="1" showInputMessage="1" showErrorMessage="1" error="EN_x000a_End must occur after start._x000a__x000a_DE_x000a_Das Ende muss nach dem Start kommen._x000a_ " sqref="H10:H40" xr:uid="{00000000-0002-0000-1800-000000000000}">
      <formula1>I10</formula1>
    </dataValidation>
    <dataValidation type="date" operator="greaterThan" allowBlank="1" showInputMessage="1" showErrorMessage="1" error="EN_x000a_End must occur after start._x000a__x000a_DE_x000a_Das Ende muss nach dem Start kommen._x000a_ " sqref="I10:I40" xr:uid="{00000000-0002-0000-1800-000001000000}">
      <formula1>H10</formula1>
    </dataValidation>
    <dataValidation type="list" allowBlank="1" showInputMessage="1" showErrorMessage="1" sqref="G10:G39" xr:uid="{00000000-0002-0000-1800-000002000000}">
      <formula1>$D$53:$D$54</formula1>
    </dataValidation>
    <dataValidation type="list" allowBlank="1" showInputMessage="1" showErrorMessage="1" sqref="D10:D39" xr:uid="{00000000-0002-0000-1800-000003000000}">
      <formula1>$C$53:$C$55</formula1>
    </dataValidation>
    <dataValidation type="whole" operator="greaterThan" allowBlank="1" showInputMessage="1" showErrorMessage="1" error="Bitte eine ganze Zahl grösser als 0 eingeben!" sqref="J9:K40 M9:M40 L10:L40" xr:uid="{00000000-0002-0000-1800-000004000000}">
      <formula1>0</formula1>
    </dataValidation>
    <dataValidation type="whole" operator="greaterThan" allowBlank="1" showInputMessage="1" showErrorMessage="1" error="Bitte eine ganze Zahl grösser als 0 eingeben!" promptTitle="Investition" prompt="Unter Investition werden die gesamten Kosten verstanden, inkl.der personellen Aufwände." sqref="L9" xr:uid="{00000000-0002-0000-1800-000005000000}">
      <formula1>0</formula1>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6000000}">
          <x14:formula1>
            <xm:f>'Control Values'!$B$23:$B$26</xm:f>
          </x14:formula1>
          <xm:sqref>F10:F39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1FF44-74DF-46C2-9381-198C142267AD}">
  <sheetPr codeName="Sheet33">
    <tabColor theme="9" tint="-0.24994659260841701"/>
  </sheetPr>
  <dimension ref="B1:L70"/>
  <sheetViews>
    <sheetView showGridLines="0" showZeros="0" workbookViewId="0">
      <pane xSplit="8" ySplit="9" topLeftCell="I10" activePane="bottomRight" state="frozenSplit"/>
      <selection activeCell="B109" sqref="B109"/>
      <selection pane="topRight" activeCell="B109" sqref="B109"/>
      <selection pane="bottomLeft" activeCell="B109" sqref="B109"/>
      <selection pane="bottomRight" activeCell="I11" sqref="I11"/>
    </sheetView>
  </sheetViews>
  <sheetFormatPr baseColWidth="10" defaultColWidth="10" defaultRowHeight="14"/>
  <cols>
    <col min="1" max="1" width="2.6640625" style="472" customWidth="1"/>
    <col min="2" max="2" width="5.5" style="471" customWidth="1"/>
    <col min="3" max="3" width="17.1640625" style="472" customWidth="1"/>
    <col min="4" max="4" width="46.33203125" style="472" customWidth="1"/>
    <col min="5" max="8" width="26.5" style="472" customWidth="1"/>
    <col min="9" max="10" width="11.1640625" style="471" customWidth="1"/>
    <col min="11" max="11" width="55.33203125" style="473" customWidth="1"/>
    <col min="12" max="12" width="9.6640625" style="472" customWidth="1"/>
    <col min="13" max="16384" width="10" style="472"/>
  </cols>
  <sheetData>
    <row r="1" spans="2:11" ht="20.25" customHeight="1" thickBot="1">
      <c r="B1" s="497" t="str">
        <f ca="1">COV!C20</f>
        <v>DECKBLATT BITTE VOLLSTÄNDIG AUSFÜLLEN!</v>
      </c>
      <c r="C1" s="459"/>
      <c r="D1" s="459"/>
      <c r="E1" s="459"/>
      <c r="F1" s="459"/>
      <c r="G1" s="459"/>
      <c r="H1" s="459"/>
      <c r="I1" s="459"/>
      <c r="J1" s="459"/>
      <c r="K1" s="459"/>
    </row>
    <row r="2" spans="2:11" ht="5.25" customHeight="1" thickTop="1"/>
    <row r="3" spans="2:11" ht="21">
      <c r="B3" s="2046" t="str">
        <f>Dictionary!B680&amp;'(7b) Project List'!A13&amp;IF('(7b) Project List'!B13="","",": "&amp;'(7b) Project List'!B13)</f>
        <v>Bewertung der Managementkomplexität für Erfahrung 5</v>
      </c>
      <c r="C3" s="2046"/>
      <c r="D3" s="2046"/>
      <c r="E3" s="2046"/>
      <c r="F3" s="2046"/>
      <c r="G3" s="2046"/>
      <c r="H3" s="2046"/>
      <c r="I3" s="2046"/>
      <c r="J3" s="2046"/>
      <c r="K3" s="2046"/>
    </row>
    <row r="4" spans="2:11" s="498" customFormat="1" ht="21">
      <c r="B4" s="488"/>
      <c r="C4" s="488"/>
      <c r="D4" s="488"/>
      <c r="E4" s="488"/>
      <c r="F4" s="488"/>
      <c r="G4" s="488"/>
      <c r="H4" s="488"/>
      <c r="I4" s="488"/>
      <c r="J4" s="488"/>
      <c r="K4" s="488"/>
    </row>
    <row r="5" spans="2:11" s="467" customFormat="1" ht="22.5" customHeight="1">
      <c r="B5" s="489" t="str">
        <f>EXP!B5</f>
        <v xml:space="preserve"> , Level A, Projekt Management, Erstzertifizierung</v>
      </c>
      <c r="C5" s="491"/>
      <c r="D5" s="491"/>
      <c r="E5" s="492"/>
      <c r="F5" s="491"/>
      <c r="G5" s="493"/>
      <c r="H5" s="492"/>
      <c r="I5" s="492"/>
      <c r="J5" s="492"/>
      <c r="K5" s="494"/>
    </row>
    <row r="6" spans="2:11" s="467" customFormat="1" ht="20" customHeight="1">
      <c r="B6" s="466"/>
      <c r="C6" s="468"/>
      <c r="D6" s="468"/>
      <c r="E6" s="321"/>
      <c r="F6" s="2183"/>
      <c r="G6" s="2183"/>
      <c r="H6" s="2183"/>
      <c r="I6" s="469"/>
      <c r="J6" s="470"/>
    </row>
    <row r="7" spans="2:11" ht="15" customHeight="1"/>
    <row r="8" spans="2:11" s="334" customFormat="1" ht="22.25" customHeight="1">
      <c r="B8" s="2184" t="s">
        <v>294</v>
      </c>
      <c r="C8" s="2187" t="str">
        <f>Dictionary!B681</f>
        <v>Komplexitätsindikatoren und Teilindikatoren</v>
      </c>
      <c r="D8" s="2188"/>
      <c r="E8" s="2186" t="str">
        <f>Dictionary!B682</f>
        <v>Zu bewertende Kriterien:</v>
      </c>
      <c r="F8" s="2186"/>
      <c r="G8" s="2186"/>
      <c r="H8" s="2186"/>
      <c r="I8" s="2177" t="str">
        <f>Dictionary!B683</f>
        <v>Bewertungen und Kommentare</v>
      </c>
      <c r="J8" s="2178"/>
      <c r="K8" s="2179"/>
    </row>
    <row r="9" spans="2:11" s="334" customFormat="1" ht="30" customHeight="1">
      <c r="B9" s="2185"/>
      <c r="C9" s="2189"/>
      <c r="D9" s="2190"/>
      <c r="E9" s="474" t="str">
        <f>Dictionary!B684</f>
        <v>wenig komplex   (1)</v>
      </c>
      <c r="F9" s="474" t="str">
        <f>Dictionary!B685</f>
        <v>begrenzt komplex   (2)</v>
      </c>
      <c r="G9" s="474" t="str">
        <f>Dictionary!B686</f>
        <v>komplex   (3)</v>
      </c>
      <c r="H9" s="474" t="str">
        <f>Dictionary!B687</f>
        <v>sehr komplex   (4)</v>
      </c>
      <c r="I9" s="475" t="str">
        <f>Dictionary!B689</f>
        <v>Bewerber/in</v>
      </c>
      <c r="J9" s="476" t="str">
        <f>Dictionary!B690</f>
        <v>Leitende/r Assessor/in</v>
      </c>
      <c r="K9" s="476" t="str">
        <f>Dictionary!B691</f>
        <v>Anmerkungen, Kommentare, Nachweise (fakultativ)</v>
      </c>
    </row>
    <row r="10" spans="2:11" ht="30" customHeight="1">
      <c r="B10" s="477">
        <v>1</v>
      </c>
      <c r="C10" s="2180" t="str">
        <f>Dictionary!B693</f>
        <v>Indikatoren bezogen auf die technischen Fähigkeiten</v>
      </c>
      <c r="D10" s="2181"/>
      <c r="E10" s="2181"/>
      <c r="F10" s="2181"/>
      <c r="G10" s="2181"/>
      <c r="H10" s="2182"/>
      <c r="K10" s="478"/>
    </row>
    <row r="11" spans="2:11" ht="75">
      <c r="B11" s="479">
        <f>B10+0.1</f>
        <v>1.1000000000000001</v>
      </c>
      <c r="C11" s="558" t="str">
        <f>Dictionary!B694</f>
        <v>Ziele und Ergebnisse</v>
      </c>
      <c r="D11" s="558" t="str">
        <f>Dictionary!B695</f>
        <v>Anzahl und Unterschiedlichkeit der Einzelziele unter Berücksichtigung der Ziele und Erwartungen der relevanten Stakeholder, unterschiedliche Zielkategorien: Prozessziele, Nutzungsziele (Business Case), Operationalisierbarkeit, Transparenz und Abhängigkeiten</v>
      </c>
      <c r="E11" s="557" t="str">
        <f>Dictionary!B696</f>
        <v>sehr wenige klare Ziele, alle quantitativ angegeben, operabel</v>
      </c>
      <c r="F11" s="557" t="str">
        <f>Dictionary!B697</f>
        <v>wenige Ziele, gut formuliert, wenig Zielkonflikte</v>
      </c>
      <c r="G11" s="557" t="str">
        <f>Dictionary!B698</f>
        <v>mehrere Ziele unterschiedlicher Art, teilweise unklar definiert</v>
      </c>
      <c r="H11" s="557" t="str">
        <f>Dictionary!B699</f>
        <v>viele, teilweise konkurrierende  Ziele, strategische und politische Ziele, versteckte Ziele, Nutzungsziele</v>
      </c>
      <c r="I11" s="495"/>
      <c r="J11" s="495"/>
      <c r="K11" s="496"/>
    </row>
    <row r="12" spans="2:11" ht="65">
      <c r="B12" s="479">
        <f>B11+0.1</f>
        <v>1.2000000000000002</v>
      </c>
      <c r="C12" s="558" t="str">
        <f>Dictionary!B701</f>
        <v>Aufgaben und Prozesse</v>
      </c>
      <c r="D12" s="558" t="str">
        <f>Dictionary!B702</f>
        <v>Umfang der Aufgaben, Annahmen und Randbedingungen und deren Abhängigkeiten, eingesetzte Prozesse, Tools und Methoden, eingesetzte Team- und Kommunikationsstrukturen</v>
      </c>
      <c r="E12" s="557" t="str">
        <f>Dictionary!B703</f>
        <v>bekannte Aufgabenstellung und Randbedingungen; wenige Standard-/Reportingverfahren</v>
      </c>
      <c r="F12" s="557" t="str">
        <f>Dictionary!B704</f>
        <v>mehrere Aufgaben, ergänzt durch Annahmen; Einsatz bekannter Prozesse und Tools, einige Reporting-Vorgaben</v>
      </c>
      <c r="G12" s="557" t="str">
        <f>Dictionary!B705</f>
        <v>umfangreiches System von Aufgaben und Annahmen; viele Sachfaktoren; teilweise Einsatz neuartiger Tools und Prozesse, Reporting-Vorgaben</v>
      </c>
      <c r="H12" s="557" t="str">
        <f>Dictionary!B706</f>
        <v>sehr komplexe Aufgabenstellung, umfangreiches sachliches Umfeld; erfordert den Einsatz umfangreicher Prozess- und Toolwelt, strenge Reporting-Vorgaben</v>
      </c>
      <c r="I12" s="495"/>
      <c r="J12" s="495"/>
      <c r="K12" s="496"/>
    </row>
    <row r="13" spans="2:11" ht="65">
      <c r="B13" s="479">
        <f>B12+0.1</f>
        <v>1.3000000000000003</v>
      </c>
      <c r="C13" s="558" t="str">
        <f>Dictionary!B708</f>
        <v>Ressourcen und Finanzen</v>
      </c>
      <c r="D13" s="558" t="str">
        <f>Dictionary!B709</f>
        <v>Akquisition und Bereitstellung der erforderlichen Budgets sowie deren Management; Anzahl der Geldgeber; Verfügbarkeit und Qualität der notwendigen (personellen und sonstigen) Ressourcen; Ressourcen-Management und Beschaffungsprozesse</v>
      </c>
      <c r="E13" s="557" t="str">
        <f>Dictionary!B710</f>
        <v>Budget-Ermittlung ohne Verhandlung, einfache Kostenüberwachung; Ressourcen verfügbar, geringe Ressourcenkonflikte; geringfügige Beschaffungsvorgänge</v>
      </c>
      <c r="F13" s="557" t="str">
        <f>Dictionary!B711</f>
        <v>Budget-Ermittlung und  -Verhandlung; Verhandlung der benötigten Ressourcen, teilweise externe Ressourcen-Beschaffung</v>
      </c>
      <c r="G13" s="557" t="str">
        <f>Dictionary!B712</f>
        <v>Budget- und Ressourcenbeschaffung im Wettbewerb mit anderen Projekten; wesentliche Beschaffungsvorgänge</v>
      </c>
      <c r="H13" s="557" t="str">
        <f>Dictionary!B713</f>
        <v>Beschaffung wesentlicher Finanzmittel, Finanzierung durch unterschiedliche Geldgeber intern und extern; Steuerung wesentlicher Unterauftragnehmer</v>
      </c>
      <c r="I13" s="495"/>
      <c r="J13" s="495"/>
      <c r="K13" s="496"/>
    </row>
    <row r="14" spans="2:11" ht="60">
      <c r="B14" s="479">
        <f>B13+0.1</f>
        <v>1.4000000000000004</v>
      </c>
      <c r="C14" s="558" t="str">
        <f>Dictionary!B715</f>
        <v>Chancen und Risiken</v>
      </c>
      <c r="D14" s="558" t="str">
        <f>Dictionary!B716</f>
        <v xml:space="preserve">Bewertung der Chancen und Risiken im Projekt; Ermittlung und Steuerung des Risikosystems; Ableitung von validen Maßnahmen; Ermittlung und Nutzung von Chancen; Anwendung von Tools zur Steuerung des Risiko-Budgets </v>
      </c>
      <c r="E14" s="557" t="str">
        <f>Dictionary!B717</f>
        <v>wenige Risiken in überschaubarer Höhe, kein Chancen-Management</v>
      </c>
      <c r="F14" s="557" t="str">
        <f>Dictionary!B718</f>
        <v>mehrere Risiken und Chancen; stabiles Risiko-System; Management eines Risiko-Budgets</v>
      </c>
      <c r="G14" s="557" t="str">
        <f>Dictionary!B719</f>
        <v>mehrere Risiken mit begrenzter Schadenshöhe; Möglichkeit der Chancen-Nutzung zur Entlastung des Projektes</v>
      </c>
      <c r="H14" s="557" t="str">
        <f>Dictionary!B720</f>
        <v>Umfangreiches Risiko-Potential inklusive hoher strategischer Risiken; Anwendung valider Steuerungsmöglichkeiten; Meldung nach KONTRAG</v>
      </c>
      <c r="I14" s="495"/>
      <c r="J14" s="495"/>
      <c r="K14" s="496"/>
    </row>
    <row r="15" spans="2:11" s="387" customFormat="1" ht="24" customHeight="1">
      <c r="H15" s="387" t="str">
        <f>Dictionary!B721</f>
        <v>Durchschnitt der eingegebenen Detailbewertungen:</v>
      </c>
      <c r="I15" s="480" t="str">
        <f>IF(SUM(I11:I14)=0,"",ROUNDDOWN(AVERAGE(I11:I14),1))</f>
        <v/>
      </c>
      <c r="J15" s="480" t="str">
        <f>IF(SUM(J11:J14)=0,"",ROUNDDOWN(AVERAGE(J11:J14),1))</f>
        <v/>
      </c>
      <c r="K15" s="481"/>
    </row>
    <row r="16" spans="2:11">
      <c r="C16" s="473"/>
      <c r="D16" s="473"/>
      <c r="E16" s="482"/>
      <c r="F16" s="482"/>
      <c r="G16" s="482"/>
      <c r="H16" s="482"/>
    </row>
    <row r="17" spans="2:11" ht="30" customHeight="1">
      <c r="B17" s="477">
        <v>2</v>
      </c>
      <c r="C17" s="2180" t="str">
        <f>Dictionary!B723</f>
        <v>Indikatoren bezogen auf den Kontext</v>
      </c>
      <c r="D17" s="2181"/>
      <c r="E17" s="2181"/>
      <c r="F17" s="2181"/>
      <c r="G17" s="2181"/>
      <c r="H17" s="2182"/>
    </row>
    <row r="18" spans="2:11" ht="60">
      <c r="B18" s="479">
        <f>B17+0.1</f>
        <v>2.1</v>
      </c>
      <c r="C18" s="558" t="str">
        <f>Dictionary!B724</f>
        <v xml:space="preserve">Strategie, Stakeholder </v>
      </c>
      <c r="D18" s="558" t="str">
        <f>Dictionary!B725</f>
        <v>Einfluss der Unternehmens-Strategie, Auswirkungen des Projektes auf das Unternehmen, Stakeholder-Interessen;
Gesetze und Regularien</v>
      </c>
      <c r="E18" s="559" t="str">
        <f>Dictionary!B726</f>
        <v>wenige strategische Einflüsse; Projekt ist rein operativ ausgerichtet</v>
      </c>
      <c r="F18" s="559" t="str">
        <f>Dictionary!B727</f>
        <v>Stakeholder-Interessen  beeinflussen das Projekt begrenzte Einflüsse aus der Unternehmens-Strategie</v>
      </c>
      <c r="G18" s="559" t="str">
        <f>Dictionary!B728</f>
        <v>Viele Komponenten (?) unterschiedlicher Art</v>
      </c>
      <c r="H18" s="559" t="str">
        <f>Dictionary!B729</f>
        <v>Projekt hat erheblichen Einfluss auf das Unternehmen und seinen Erfolg; starke Auswirkungen von Gesetzen und Regularien</v>
      </c>
      <c r="I18" s="495"/>
      <c r="J18" s="495"/>
      <c r="K18" s="496"/>
    </row>
    <row r="19" spans="2:11" ht="135">
      <c r="B19" s="479">
        <f>B18+0.1</f>
        <v>2.2000000000000002</v>
      </c>
      <c r="C19" s="558" t="str">
        <f>Dictionary!B731</f>
        <v>Stammorganisation</v>
      </c>
      <c r="D19" s="558" t="str">
        <f>Dictionary!B732</f>
        <v>Umfang der Vernetzung über Schnittstellen des Projektes mit den Strukturen, Berichtswesen und Entscheidungswegen der Stammorganisation</v>
      </c>
      <c r="E19" s="559" t="str">
        <f>Dictionary!B733</f>
        <v xml:space="preserve">starke Abgrenzung des Projektes von der Stammorganisation, Entscheidungen fallen wesentlich in der Stammorganisation, viele ähnliche Projekte wurden bereits im Unternehmen durchgeführt </v>
      </c>
      <c r="F19" s="559" t="str">
        <f>Dictionary!B734</f>
        <v>klare Schnittstellen zur Stammorganisation z.B. über Leitungsgremium; Berichtswesen und Entscheidungswege begrenzt und klar definiert Projekt hat geringe Auswirkungen auf Prozesse der Stammorganisation,  ähnliche Projekte wurden bereits im Unternehmen durchgeführt</v>
      </c>
      <c r="G19" s="559" t="str">
        <f>Dictionary!B735</f>
        <v>viele operative Schnittstellen wirken auf  das Projekt ein; Berichte und Entscheidungen machen erheblichen Arbeitsanteil aus, Projekt hat  Auswirkungen auf Prozesse der Stammorganisation, wenige ähnliche Projekte wurden bereits im Unternehmen durchgeführt</v>
      </c>
      <c r="H19" s="559" t="str">
        <f>Dictionary!B736</f>
        <v>Starke Einflüsse der Stammorganisation auf strategischer Ebene; Entscheidungen durch Verhandlungen mit der Stammorganisation, Projekt hat starke Auswirkungen auf Prozesse der Stammorganisation , Projekt ist neuartig für Unternehmen</v>
      </c>
      <c r="I19" s="495"/>
      <c r="J19" s="495"/>
      <c r="K19" s="496"/>
    </row>
    <row r="20" spans="2:11" ht="65">
      <c r="B20" s="479">
        <f>B19+0.1</f>
        <v>2.3000000000000003</v>
      </c>
      <c r="C20" s="558" t="str">
        <f>Dictionary!B738</f>
        <v>Sozio-Kulturelle Einflüsse</v>
      </c>
      <c r="D20" s="558" t="str">
        <f>Dictionary!B739</f>
        <v>Einfluss der sozio-kulturellen Unterschiede im Projektteam, insbesondere bei verteilten oder Firmen-übergreifenden Teams</v>
      </c>
      <c r="E20" s="557" t="str">
        <f>Dictionary!B740</f>
        <v>keine Auswirkungen zu erwarten (Projekt an einem Standort, eine Sprache, homogene Projektgruppe)</v>
      </c>
      <c r="F20" s="557" t="str">
        <f>Dictionary!B741</f>
        <v>wenig Auswirkungen zu erwarten</v>
      </c>
      <c r="G20" s="557" t="str">
        <f>Dictionary!B742</f>
        <v>Auswirkungen infolge lokal verteilter Teams, mehreren Sprachen oder heterogenen Kulturkreisen erfordern in Einzelfällen Führungsmaßnahmen</v>
      </c>
      <c r="H20" s="557" t="str">
        <f>Dictionary!B743</f>
        <v>Auswirkungen infolge lokal verteilter Teams oder großer Teams aus unterschiedlichen Unternehmen und Kulturkreisen erfordern umfangreiche Führungsmaßnahmen</v>
      </c>
      <c r="I20" s="495"/>
      <c r="J20" s="495"/>
      <c r="K20" s="496"/>
    </row>
    <row r="21" spans="2:11" s="387" customFormat="1" ht="24" customHeight="1">
      <c r="H21" s="387" t="str">
        <f>Dictionary!B744</f>
        <v>Durchschnitt der eingegebenen Detailbewertungen:</v>
      </c>
      <c r="I21" s="480" t="str">
        <f>IF(SUM(I18:I20)=0,"",ROUNDDOWN(AVERAGE(I18:I20),1))</f>
        <v/>
      </c>
      <c r="J21" s="480" t="str">
        <f>IF(SUM(J18:J20)=0,"",ROUNDDOWN(AVERAGE(J18:J20),1))</f>
        <v/>
      </c>
      <c r="K21" s="481"/>
    </row>
    <row r="22" spans="2:11">
      <c r="C22" s="473"/>
      <c r="D22" s="473"/>
      <c r="E22" s="482"/>
      <c r="F22" s="482"/>
      <c r="G22" s="482"/>
      <c r="H22" s="482"/>
    </row>
    <row r="23" spans="2:11" ht="30" customHeight="1">
      <c r="B23" s="477">
        <v>3</v>
      </c>
      <c r="C23" s="2180" t="str">
        <f>Dictionary!B746</f>
        <v>Indikatoren bezogen auf Management und Führung</v>
      </c>
      <c r="D23" s="2181"/>
      <c r="E23" s="2181"/>
      <c r="F23" s="2181"/>
      <c r="G23" s="2181"/>
      <c r="H23" s="2182"/>
    </row>
    <row r="24" spans="2:11" ht="90">
      <c r="B24" s="479">
        <f>B23+0.1</f>
        <v>3.1</v>
      </c>
      <c r="C24" s="560" t="str">
        <f>Dictionary!B747</f>
        <v xml:space="preserve">Führung und Teamwork </v>
      </c>
      <c r="D24" s="560" t="str">
        <f>Dictionary!B748</f>
        <v>Umfang der Führungs-, Teambildungs und-Steuerungsmaßnahmen</v>
      </c>
      <c r="E24" s="559" t="str">
        <f>Dictionary!B749</f>
        <v>fast alle Teammitglieder haben bereits mit PL gearbeitet, PL hat Erfahrung im Mgt von Teams über 5 J, Governance Vorgaben sind klar definiert, das Projektteam hat hohe PM Skills</v>
      </c>
      <c r="F24" s="559" t="str">
        <f>Dictionary!B750</f>
        <v>sehr viele Teammitglieder haben bereits mit PL gearbeitet, PL hat Erfahrung im Mgt von Teams über 3 J, governance Vorgaben sind teilweise definiert, das Projektteam hat  PM Skills</v>
      </c>
      <c r="G24" s="559" t="str">
        <f>Dictionary!B751</f>
        <v>viele Teammitglieder haben bereits mit PL gearbeitet, PL hat Erfahrung im Mgt von Teams über 1-2 J, einige Governance Vorgaben sind klar definiert, das Projektteam hat einige PM Skills</v>
      </c>
      <c r="H24" s="559" t="str">
        <f>Dictionary!B752</f>
        <v>wenige Teammitglieder haben bereits mit PL gearbeitet, PL hat Erfahrung im Mgt von Teams weniger 1J, wenige Governance Vorgaben sind definiert, das Projektteam hat sehr wenig PM Skills</v>
      </c>
      <c r="I24" s="495"/>
      <c r="J24" s="495"/>
      <c r="K24" s="496"/>
    </row>
    <row r="25" spans="2:11" ht="91" customHeight="1">
      <c r="B25" s="479">
        <f>B24+0.1</f>
        <v>3.2</v>
      </c>
      <c r="C25" s="558" t="str">
        <f>Dictionary!B754</f>
        <v xml:space="preserve"> Innovation</v>
      </c>
      <c r="D25" s="558" t="str">
        <f>Dictionary!B755</f>
        <v>technische Neuartigkeit des Projektes und seine Auswirkungen auf Ressourcenauswahl und Aus- und Weiterbildung während des Projektes; Umgang mit neuartigen Ansätzen und Ergebnissen</v>
      </c>
      <c r="E25" s="559" t="str">
        <f>Dictionary!B756</f>
        <v>kein Handlungsbedarf infolge geringer Neuartigkeit, z.B. Wiederholprojekte</v>
      </c>
      <c r="F25" s="559" t="str">
        <f>Dictionary!B757</f>
        <v>einige Maßnahmen erforderlich infolge der Neuartigkeit in einzelnen Bereichen</v>
      </c>
      <c r="G25" s="559" t="str">
        <f>Dictionary!B758</f>
        <v>Neuartigkeit des Projektgegenstandes und/oder von Prozessen bedingt vorbereitende Qualifizerungsmaßnahmen</v>
      </c>
      <c r="H25" s="559" t="str">
        <f>Dictionary!B759</f>
        <v xml:space="preserve">Neuartigkeit des Projektgegenstandes und/oder von Prozessen in Verbindung mit großem Projektvolumen bedingt Planung der Qualifizierung, aber auch intensives Risiko-Management </v>
      </c>
      <c r="I25" s="495"/>
      <c r="J25" s="495"/>
      <c r="K25" s="496"/>
    </row>
    <row r="26" spans="2:11" ht="60">
      <c r="B26" s="479">
        <f>B25+0.1</f>
        <v>3.3000000000000003</v>
      </c>
      <c r="C26" s="558" t="str">
        <f>Dictionary!B761</f>
        <v>Autonomie und Verantwortung</v>
      </c>
      <c r="D26" s="558" t="str">
        <f>Dictionary!B762</f>
        <v>Entscheidungs- und Verantwortungsspielraum des Projektleiters; Umfang der Delegation in das Projektteam; Vertretung des Projektes gegenüber dem gesamten sozialen Umfeld</v>
      </c>
      <c r="E26" s="559" t="str">
        <f>Dictionary!B763</f>
        <v xml:space="preserve">wenig Autonomie/Gestaltungsspielräume des PL bzgl. Entscheidungen und Vertretung des Projektes nach aussen </v>
      </c>
      <c r="F26" s="559" t="str">
        <f>Dictionary!B764</f>
        <v>Verhandlung Lasten- und Pflichtenheft; Gesaltungs-spielräume ergeben sich hauptsächlich durch Änderungsprozesse</v>
      </c>
      <c r="G26" s="559" t="str">
        <f>Dictionary!B765</f>
        <v>Projektleiter vertritt das Projekt und damit auch das Unternehmen auch gegenüber externen Stakeholdern</v>
      </c>
      <c r="H26" s="559" t="str">
        <f>Dictionary!B766</f>
        <v>umfangreiche Verantwortungs- und Entscheidungsspielräume, z.B. durch Vollmachts- oder Unterschriftenregelung</v>
      </c>
      <c r="I26" s="495"/>
      <c r="J26" s="495"/>
      <c r="K26" s="496"/>
    </row>
    <row r="27" spans="2:11" s="387" customFormat="1" ht="24" customHeight="1">
      <c r="H27" s="387" t="str">
        <f>Dictionary!B767</f>
        <v>Durchschnitt der eingegebenen Detailbewertungen:</v>
      </c>
      <c r="I27" s="480" t="str">
        <f>IF(SUM(I24:I26)=0,"",ROUNDDOWN(AVERAGE(I24:I26),1))</f>
        <v/>
      </c>
      <c r="J27" s="480" t="str">
        <f>IF(SUM(J24:J26)=0,"",ROUNDDOWN(AVERAGE(J24:J26),1))</f>
        <v/>
      </c>
      <c r="K27" s="481"/>
    </row>
    <row r="28" spans="2:11">
      <c r="C28" s="473"/>
      <c r="D28" s="473"/>
      <c r="E28" s="482"/>
      <c r="F28" s="482"/>
      <c r="G28" s="482"/>
      <c r="H28" s="482"/>
    </row>
    <row r="29" spans="2:11" ht="17" customHeight="1"/>
    <row r="30" spans="2:11" ht="17" customHeight="1">
      <c r="F30" s="334" t="str">
        <f>Dictionary!B768</f>
        <v>Zusammenfassende Bewertungen (gerundet)</v>
      </c>
    </row>
    <row r="31" spans="2:11" ht="17" customHeight="1">
      <c r="G31" s="483" t="str">
        <f>Dictionary!B769</f>
        <v>Indikator</v>
      </c>
      <c r="H31" s="471">
        <v>1</v>
      </c>
      <c r="I31" s="484" t="str">
        <f>IF(I15="","",I15)</f>
        <v/>
      </c>
      <c r="J31" s="484" t="str">
        <f>IF(J15="","",J15)</f>
        <v/>
      </c>
    </row>
    <row r="32" spans="2:11" ht="17" customHeight="1">
      <c r="G32" s="483" t="str">
        <f>Dictionary!B769</f>
        <v>Indikator</v>
      </c>
      <c r="H32" s="471">
        <f>1+H31</f>
        <v>2</v>
      </c>
      <c r="I32" s="485" t="str">
        <f>IF(I21="","",I21)</f>
        <v/>
      </c>
      <c r="J32" s="485" t="str">
        <f>IF(J21="","",J21)</f>
        <v/>
      </c>
    </row>
    <row r="33" spans="2:12" ht="17" customHeight="1">
      <c r="G33" s="483" t="str">
        <f>Dictionary!B769</f>
        <v>Indikator</v>
      </c>
      <c r="H33" s="471">
        <f>1+H32</f>
        <v>3</v>
      </c>
      <c r="I33" s="485" t="str">
        <f>IF(I27="","",I27)</f>
        <v/>
      </c>
      <c r="J33" s="485" t="str">
        <f>IF(J27="","",J27)</f>
        <v/>
      </c>
    </row>
    <row r="34" spans="2:12" s="473" customFormat="1" ht="17" customHeight="1">
      <c r="B34" s="471"/>
      <c r="C34" s="472"/>
      <c r="D34" s="472"/>
      <c r="E34" s="472"/>
      <c r="F34" s="472"/>
      <c r="G34" s="472"/>
      <c r="H34" s="387" t="str">
        <f>Dictionary!B770</f>
        <v xml:space="preserve">Gesamtbewertung   </v>
      </c>
      <c r="I34" s="485">
        <f>SUM(I11:I14)+SUM(I18:I20)+SUM(I24:I26)</f>
        <v>0</v>
      </c>
      <c r="J34" s="485">
        <f>SUM(J11:J14)+SUM(J18:J20)+SUM(J24:J26)</f>
        <v>0</v>
      </c>
      <c r="L34" s="472"/>
    </row>
    <row r="35" spans="2:12" s="473" customFormat="1" ht="17" customHeight="1">
      <c r="B35" s="471"/>
      <c r="C35" s="472"/>
      <c r="D35" s="472"/>
      <c r="E35" s="472"/>
      <c r="F35" s="472"/>
      <c r="G35" s="472"/>
      <c r="H35" s="387"/>
      <c r="I35" s="486"/>
      <c r="J35" s="486"/>
      <c r="L35" s="472"/>
    </row>
    <row r="36" spans="2:12" s="473" customFormat="1" ht="17" customHeight="1">
      <c r="B36" s="471"/>
      <c r="C36" s="487"/>
      <c r="D36" s="487"/>
      <c r="E36" s="472"/>
      <c r="F36" s="472"/>
      <c r="G36" s="472"/>
      <c r="H36" s="472"/>
      <c r="I36" s="471"/>
      <c r="J36" s="471"/>
      <c r="L36" s="472"/>
    </row>
    <row r="37" spans="2:12" s="473" customFormat="1" ht="17" customHeight="1" thickBot="1">
      <c r="B37" s="460"/>
      <c r="C37" s="460"/>
      <c r="D37" s="460"/>
      <c r="E37" s="460"/>
      <c r="F37" s="460"/>
      <c r="G37" s="460"/>
      <c r="H37" s="460"/>
      <c r="I37" s="460"/>
      <c r="J37" s="460"/>
      <c r="K37" s="460"/>
      <c r="L37" s="472"/>
    </row>
    <row r="38" spans="2:12" s="473" customFormat="1" ht="17" customHeight="1">
      <c r="B38" s="89"/>
      <c r="C38" s="89"/>
      <c r="D38" s="89"/>
      <c r="F38" s="472"/>
      <c r="G38" s="472"/>
      <c r="H38" s="472"/>
      <c r="I38" s="471"/>
      <c r="J38" s="471"/>
      <c r="K38" s="464" t="s">
        <v>105</v>
      </c>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ht="17" customHeight="1"/>
    <row r="50" ht="17" customHeight="1"/>
    <row r="51" ht="17" customHeight="1"/>
    <row r="52" ht="17" customHeight="1"/>
    <row r="53" ht="17" customHeight="1"/>
    <row r="54" ht="17" customHeight="1"/>
    <row r="55" ht="17" customHeight="1"/>
    <row r="56" ht="17" customHeight="1"/>
    <row r="57" ht="17" customHeight="1"/>
    <row r="58" ht="17" customHeight="1"/>
    <row r="59" ht="17" customHeight="1"/>
    <row r="60" ht="17" customHeight="1"/>
    <row r="61" ht="17" customHeight="1"/>
    <row r="62" ht="17" customHeight="1"/>
    <row r="63" ht="17" customHeight="1"/>
    <row r="64" ht="17" customHeight="1"/>
    <row r="65" ht="17" customHeight="1"/>
    <row r="66" ht="17" customHeight="1"/>
    <row r="67" ht="17" customHeight="1"/>
    <row r="68" ht="17" customHeight="1"/>
    <row r="69" ht="17" customHeight="1"/>
    <row r="70" ht="17" customHeight="1"/>
  </sheetData>
  <sheetProtection algorithmName="SHA-512" hashValue="S6wvHCXTwu+24B6G5tQOEypv+NevP5EmfSdu1G2tCeDMdmOa333ONS+B6l7XucEryr1arDJUHyMD019GAPjIhA==" saltValue="58QItjoO3rQ5+Euj0KS/Jg==" spinCount="100000" sheet="1" objects="1" scenarios="1" selectLockedCells="1"/>
  <mergeCells count="9">
    <mergeCell ref="C10:H10"/>
    <mergeCell ref="C17:H17"/>
    <mergeCell ref="C23:H23"/>
    <mergeCell ref="B3:K3"/>
    <mergeCell ref="F6:H6"/>
    <mergeCell ref="B8:B9"/>
    <mergeCell ref="C8:D9"/>
    <mergeCell ref="E8:H8"/>
    <mergeCell ref="I8:K8"/>
  </mergeCells>
  <conditionalFormatting sqref="I35:J35">
    <cfRule type="cellIs" dxfId="419" priority="1" operator="equal">
      <formula>"Yes"</formula>
    </cfRule>
    <cfRule type="cellIs" dxfId="418" priority="2" operator="equal">
      <formula>"No"</formula>
    </cfRule>
  </conditionalFormatting>
  <dataValidations count="1">
    <dataValidation type="whole" allowBlank="1" showInputMessage="1" showErrorMessage="1" sqref="I11:J14 I18:J20 I24:J26" xr:uid="{00000000-0002-0000-19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96FF3-3D7E-45E4-ABDB-DC81FD70977E}">
  <sheetPr codeName="Sheet9">
    <tabColor theme="9"/>
  </sheetPr>
  <dimension ref="B1:E68"/>
  <sheetViews>
    <sheetView zoomScale="130" zoomScaleNormal="130" workbookViewId="0">
      <selection activeCell="B19" sqref="B19:E19"/>
    </sheetView>
  </sheetViews>
  <sheetFormatPr baseColWidth="10" defaultColWidth="11.5" defaultRowHeight="15"/>
  <cols>
    <col min="1" max="1" width="2.5" style="89" customWidth="1"/>
    <col min="2" max="2" width="45.5" style="89" customWidth="1"/>
    <col min="3" max="3" width="22.83203125" style="89" customWidth="1"/>
    <col min="4" max="4" width="32" style="89" customWidth="1"/>
    <col min="5" max="5" width="22.83203125" style="89" customWidth="1"/>
    <col min="6" max="6" width="3.1640625" style="89" customWidth="1"/>
    <col min="7" max="7" width="20" style="89" customWidth="1"/>
    <col min="8" max="9" width="11.5" style="89"/>
    <col min="10" max="10" width="8.5" style="89" customWidth="1"/>
    <col min="11" max="16384" width="11.5" style="89"/>
  </cols>
  <sheetData>
    <row r="1" spans="2:5" ht="15.75" customHeight="1" thickBot="1">
      <c r="B1" s="497" t="str">
        <f ca="1">COV!C20</f>
        <v>DECKBLATT BITTE VOLLSTÄNDIG AUSFÜLLEN!</v>
      </c>
      <c r="C1" s="459"/>
      <c r="D1" s="459"/>
      <c r="E1" s="459"/>
    </row>
    <row r="2" spans="2:5" ht="5.25" customHeight="1" thickTop="1"/>
    <row r="3" spans="2:5" ht="21">
      <c r="B3" s="2046" t="str">
        <f>Dictionary!B614&amp;'(7b) Project List'!A14</f>
        <v>Steckbrief für Management Erfahrung 6</v>
      </c>
      <c r="C3" s="2046"/>
      <c r="D3" s="2046"/>
      <c r="E3" s="2046"/>
    </row>
    <row r="4" spans="2:5" ht="21">
      <c r="B4" s="488"/>
      <c r="C4" s="488"/>
      <c r="D4" s="488"/>
      <c r="E4" s="488"/>
    </row>
    <row r="5" spans="2:5" ht="21">
      <c r="B5" s="489" t="str">
        <f>EXP!B5</f>
        <v xml:space="preserve"> , Level A, Projekt Management, Erstzertifizierung</v>
      </c>
      <c r="C5" s="490"/>
      <c r="D5" s="490"/>
      <c r="E5" s="490"/>
    </row>
    <row r="7" spans="2:5">
      <c r="B7" s="2013" t="str">
        <f>Dictionary!B618</f>
        <v>Kopfzeile</v>
      </c>
      <c r="C7" s="2013"/>
      <c r="D7" s="2013"/>
      <c r="E7" s="2013"/>
    </row>
    <row r="8" spans="2:5" ht="16.5" customHeight="1">
      <c r="B8" s="503" t="str">
        <f>EXP!D14&amp;" "&amp;Dictionary!B615</f>
        <v xml:space="preserve"> Name </v>
      </c>
      <c r="C8" s="504" t="str">
        <f>IF('(7b) Project List'!B14="","",'(7b) Project List'!B14)</f>
        <v/>
      </c>
      <c r="D8" s="508" t="str">
        <f>EXP!D14&amp;" "&amp;Dictionary!B616</f>
        <v xml:space="preserve"> Nummer </v>
      </c>
      <c r="E8" s="509"/>
    </row>
    <row r="9" spans="2:5" ht="16.5" customHeight="1">
      <c r="B9" s="510" t="str">
        <f>Dictionary!B617</f>
        <v>Kunde/AuftraggeberIn:</v>
      </c>
      <c r="C9" s="2138"/>
      <c r="D9" s="2138"/>
      <c r="E9" s="511"/>
    </row>
    <row r="10" spans="2:5" ht="16.5" customHeight="1"/>
    <row r="11" spans="2:5" ht="16.5" customHeight="1">
      <c r="B11" s="2013" t="str">
        <f>Dictionary!B620</f>
        <v>Governance &amp; eigene Rolle</v>
      </c>
      <c r="C11" s="2013"/>
      <c r="D11" s="2013"/>
      <c r="E11" s="2013"/>
    </row>
    <row r="12" spans="2:5" ht="16.5" customHeight="1">
      <c r="B12" s="503" t="str">
        <f>Dictionary!B621</f>
        <v>Eigene Rolle:</v>
      </c>
      <c r="C12" s="504" t="str">
        <f>IF('(7b) Project List'!E14="","",'(7b) Project List'!E14)</f>
        <v/>
      </c>
      <c r="D12" s="2130" t="str">
        <f>Dictionary!B622</f>
        <v>Anmerkungen:</v>
      </c>
      <c r="E12" s="2131"/>
    </row>
    <row r="13" spans="2:5" ht="16.5" customHeight="1">
      <c r="B13" s="505" t="str">
        <f>Dictionary!B623</f>
        <v>Verantwortung für den Umfang/die Ergebnisse:</v>
      </c>
      <c r="C13" s="506"/>
      <c r="D13" s="2142"/>
      <c r="E13" s="2143"/>
    </row>
    <row r="14" spans="2:5" ht="16.5" customHeight="1">
      <c r="B14" s="505" t="str">
        <f>Dictionary!B624</f>
        <v>Verantwortung für die Terminplanung:</v>
      </c>
      <c r="C14" s="506"/>
      <c r="D14" s="2142"/>
      <c r="E14" s="2143"/>
    </row>
    <row r="15" spans="2:5" ht="16.5" customHeight="1">
      <c r="B15" s="505" t="str">
        <f>Dictionary!B625</f>
        <v>Verantwortung für das Budget:</v>
      </c>
      <c r="C15" s="506"/>
      <c r="D15" s="2142"/>
      <c r="E15" s="2143"/>
    </row>
    <row r="16" spans="2:5" ht="16.5" customHeight="1">
      <c r="B16" s="561" t="str">
        <f>EXP!D14&amp;" "&amp;Dictionary!B627</f>
        <v xml:space="preserve"> Typ</v>
      </c>
      <c r="C16" s="507"/>
      <c r="D16" s="2142"/>
      <c r="E16" s="2143"/>
    </row>
    <row r="17" spans="2:5" ht="16.5" customHeight="1">
      <c r="B17" s="561" t="str">
        <f>Dictionary!B626</f>
        <v>Art der PM Organisation</v>
      </c>
      <c r="C17" s="507"/>
      <c r="D17" s="2142"/>
      <c r="E17" s="2143"/>
    </row>
    <row r="18" spans="2:5" ht="16.5" customHeight="1">
      <c r="B18" s="2139" t="str">
        <f>Dictionary!B628</f>
        <v>Kurze Beschreibung Ihrer eigenen Rolle, Verantwortung und Aktivitäten; wem sind Sie unterstellt?</v>
      </c>
      <c r="C18" s="2140"/>
      <c r="D18" s="2140"/>
      <c r="E18" s="2141"/>
    </row>
    <row r="19" spans="2:5" ht="57" customHeight="1">
      <c r="B19" s="2149"/>
      <c r="C19" s="2150"/>
      <c r="D19" s="2150"/>
      <c r="E19" s="2151"/>
    </row>
    <row r="20" spans="2:5" ht="18" customHeight="1"/>
    <row r="21" spans="2:5" ht="16.5" customHeight="1">
      <c r="B21" s="2013" t="str">
        <f>Dictionary!B630</f>
        <v>Allgemeine Informationen und Beschreibung</v>
      </c>
      <c r="C21" s="2013"/>
      <c r="D21" s="2013"/>
      <c r="E21" s="2013"/>
    </row>
    <row r="22" spans="2:5" ht="16.5" customHeight="1">
      <c r="B22" s="2157" t="str">
        <f>Dictionary!B631</f>
        <v>Kurze Beschreibung der KPI, Ergebnisse und Liefergegenstände:</v>
      </c>
      <c r="C22" s="2158"/>
      <c r="D22" s="2158"/>
      <c r="E22" s="2159"/>
    </row>
    <row r="23" spans="2:5" ht="57" customHeight="1">
      <c r="B23" s="2160"/>
      <c r="C23" s="2161"/>
      <c r="D23" s="2161"/>
      <c r="E23" s="2162"/>
    </row>
    <row r="24" spans="2:5" ht="16.5" customHeight="1">
      <c r="B24" s="2139" t="str">
        <f>Dictionary!B632</f>
        <v>Kurze Beschreibung des Umfangs und der Ziele, für die Sie verantwortlich sind:</v>
      </c>
      <c r="C24" s="2140"/>
      <c r="D24" s="2140"/>
      <c r="E24" s="2141"/>
    </row>
    <row r="25" spans="2:5" ht="57" customHeight="1">
      <c r="B25" s="2160"/>
      <c r="C25" s="2161"/>
      <c r="D25" s="2161"/>
      <c r="E25" s="2162"/>
    </row>
    <row r="26" spans="2:5" ht="16.5" customHeight="1">
      <c r="B26" s="2139" t="str">
        <f>Dictionary!B633</f>
        <v>Informationen über erhebliche Planabweichungen und/oder kritische Managementsituationen:</v>
      </c>
      <c r="C26" s="2140"/>
      <c r="D26" s="2140"/>
      <c r="E26" s="2141"/>
    </row>
    <row r="27" spans="2:5" ht="54.75" customHeight="1">
      <c r="B27" s="2146"/>
      <c r="C27" s="2152"/>
      <c r="D27" s="2152"/>
      <c r="E27" s="2153"/>
    </row>
    <row r="28" spans="2:5" ht="18" customHeight="1"/>
    <row r="29" spans="2:5" ht="18" customHeight="1">
      <c r="B29" s="2013" t="str">
        <f>EXP!D14&amp;" "&amp;Dictionary!B635</f>
        <v xml:space="preserve"> Planung</v>
      </c>
      <c r="C29" s="2013"/>
      <c r="D29" s="2013"/>
      <c r="E29" s="2013"/>
    </row>
    <row r="30" spans="2:5" ht="16.5" customHeight="1">
      <c r="B30" s="512" t="str">
        <f>Dictionary!B636</f>
        <v>Beginn des Vorhabens:</v>
      </c>
      <c r="C30" s="513" t="str">
        <f>C31</f>
        <v/>
      </c>
      <c r="D30" s="508" t="str">
        <f>Dictionary!B642</f>
        <v>Ende des Vorhabens:</v>
      </c>
      <c r="E30" s="514" t="str">
        <f>E31</f>
        <v/>
      </c>
    </row>
    <row r="31" spans="2:5" ht="16.5" customHeight="1">
      <c r="B31" s="515" t="str">
        <f>Dictionary!B637</f>
        <v>Ihr Beginn in dieser Rolle:</v>
      </c>
      <c r="C31" s="516" t="str">
        <f>IF('(7b) Project List'!F14="","",'(7b) Project List'!F14)</f>
        <v/>
      </c>
      <c r="D31" s="517" t="str">
        <f>Dictionary!B643</f>
        <v>Ende Ihrer Beteiligung:</v>
      </c>
      <c r="E31" s="518" t="str">
        <f>IF('(7b) Project List'!G14="","",'(7b) Project List'!G14)</f>
        <v/>
      </c>
    </row>
    <row r="32" spans="2:5" ht="16.5" customHeight="1">
      <c r="B32" s="2139" t="str">
        <f>IF(ISNUMBER(SEARCH("ortfolio",B29)),Dictionary!B640,Dictionary!B638)</f>
        <v>Phasen:</v>
      </c>
      <c r="C32" s="2140"/>
      <c r="D32" s="2140" t="str">
        <f>IF(ISNUMBER(SEARCH("ortfolio",B29)),Dictionary!B641,Dictionary!B639)</f>
        <v>Meilensteine:</v>
      </c>
      <c r="E32" s="2141"/>
    </row>
    <row r="33" spans="2:5">
      <c r="B33" s="2154"/>
      <c r="C33" s="2142"/>
      <c r="D33" s="2133"/>
      <c r="E33" s="2143"/>
    </row>
    <row r="34" spans="2:5">
      <c r="B34" s="2155"/>
      <c r="C34" s="2142"/>
      <c r="D34" s="2142"/>
      <c r="E34" s="2143"/>
    </row>
    <row r="35" spans="2:5">
      <c r="B35" s="2155"/>
      <c r="C35" s="2142"/>
      <c r="D35" s="2142"/>
      <c r="E35" s="2143"/>
    </row>
    <row r="36" spans="2:5">
      <c r="B36" s="2155"/>
      <c r="C36" s="2142"/>
      <c r="D36" s="2142"/>
      <c r="E36" s="2143"/>
    </row>
    <row r="37" spans="2:5">
      <c r="B37" s="2155"/>
      <c r="C37" s="2142"/>
      <c r="D37" s="2142"/>
      <c r="E37" s="2143"/>
    </row>
    <row r="38" spans="2:5">
      <c r="B38" s="2155"/>
      <c r="C38" s="2142"/>
      <c r="D38" s="2142"/>
      <c r="E38" s="2143"/>
    </row>
    <row r="39" spans="2:5">
      <c r="B39" s="2155"/>
      <c r="C39" s="2142"/>
      <c r="D39" s="2142"/>
      <c r="E39" s="2143"/>
    </row>
    <row r="40" spans="2:5">
      <c r="B40" s="2155"/>
      <c r="C40" s="2142"/>
      <c r="D40" s="2142"/>
      <c r="E40" s="2143"/>
    </row>
    <row r="41" spans="2:5">
      <c r="B41" s="2155"/>
      <c r="C41" s="2142"/>
      <c r="D41" s="2142"/>
      <c r="E41" s="2143"/>
    </row>
    <row r="42" spans="2:5">
      <c r="B42" s="2156"/>
      <c r="C42" s="2150"/>
      <c r="D42" s="2150"/>
      <c r="E42" s="2151"/>
    </row>
    <row r="44" spans="2:5" ht="18" customHeight="1">
      <c r="B44" s="2132" t="str">
        <f>IF(PMO_MODE="",Dictionary!B645,IF(ISNUMBER(FIND(EXP!C42,B8)),Dictionary!B646,Dictionary!B645))</f>
        <v>Ressourcen, für die Sie direkt verantwortlich sind</v>
      </c>
      <c r="C44" s="2132"/>
      <c r="D44" s="2132"/>
      <c r="E44" s="2132"/>
    </row>
    <row r="45" spans="2:5" ht="16.5" customHeight="1">
      <c r="B45" s="519"/>
      <c r="C45" s="524" t="str">
        <f>Dictionary!B647</f>
        <v>Wert</v>
      </c>
      <c r="D45" s="2130" t="str">
        <f>Dictionary!B648</f>
        <v>Anmerkungen</v>
      </c>
      <c r="E45" s="2131"/>
    </row>
    <row r="46" spans="2:5" ht="16">
      <c r="B46" s="520" t="str">
        <f>Dictionary!B649</f>
        <v>Anzahl der Ihnen direkt unterstellten Teammitglieder:</v>
      </c>
      <c r="C46" s="1720"/>
      <c r="D46" s="2133"/>
      <c r="E46" s="2134"/>
    </row>
    <row r="47" spans="2:5" ht="32">
      <c r="B47" s="520" t="str">
        <f>Dictionary!B650</f>
        <v>Anzahl der Mitglieder des Teams gemäß dem Organigramm (inkl. Sie selbst):</v>
      </c>
      <c r="C47" s="1720"/>
      <c r="D47" s="2133"/>
      <c r="E47" s="2134"/>
    </row>
    <row r="48" spans="2:5" ht="16.5" customHeight="1">
      <c r="B48" s="521" t="str">
        <f>Dictionary!B651</f>
        <v>Gesamtaufwand [Personentage]:</v>
      </c>
      <c r="C48" s="1720"/>
      <c r="D48" s="2133"/>
      <c r="E48" s="2134"/>
    </row>
    <row r="49" spans="2:5" ht="16.5" customHeight="1">
      <c r="B49" s="522" t="str">
        <f>Dictionary!B652</f>
        <v>Externer Arbeitsaufwand [Personentage]:</v>
      </c>
      <c r="C49" s="1720"/>
      <c r="D49" s="2133"/>
      <c r="E49" s="2134"/>
    </row>
    <row r="50" spans="2:5" ht="16.5" customHeight="1">
      <c r="B50" s="522" t="str">
        <f>Dictionary!B653</f>
        <v>Interner Arbeitsaufwand [Personentage]:</v>
      </c>
      <c r="C50" s="1720"/>
      <c r="D50" s="2133"/>
      <c r="E50" s="2134"/>
    </row>
    <row r="51" spans="2:5" ht="16.5" customHeight="1">
      <c r="B51" s="522" t="str">
        <f>Dictionary!B654</f>
        <v>Enthaltener PM-Aufwand [Personentage]:</v>
      </c>
      <c r="C51" s="1720"/>
      <c r="D51" s="2133"/>
      <c r="E51" s="2134"/>
    </row>
    <row r="52" spans="2:5" ht="16.5" customHeight="1">
      <c r="B52" s="522" t="str">
        <f>Dictionary!B655</f>
        <v>Budget (Aufwand) unter Ihrer Verantwortung [€]:</v>
      </c>
      <c r="C52" s="1721"/>
      <c r="D52" s="2133"/>
      <c r="E52" s="2134"/>
    </row>
    <row r="53" spans="2:5" ht="16.5" customHeight="1">
      <c r="B53" s="523" t="str">
        <f>Dictionary!B656</f>
        <v>Budget (Sachmittel) unter Ihrer Verantwortung [€]:</v>
      </c>
      <c r="C53" s="1722"/>
      <c r="D53" s="2144"/>
      <c r="E53" s="2145"/>
    </row>
    <row r="54" spans="2:5" ht="16.5" customHeight="1">
      <c r="B54" s="1615" t="str">
        <f>Dictionary!B657</f>
        <v>Gesamtbudget unter Ihrer Verantwortung [€]:</v>
      </c>
      <c r="C54" s="1723">
        <f>C52+C53</f>
        <v>0</v>
      </c>
      <c r="D54" s="1724"/>
      <c r="E54" s="1725"/>
    </row>
    <row r="55" spans="2:5" ht="18" customHeight="1"/>
    <row r="56" spans="2:5" ht="18" customHeight="1">
      <c r="B56" s="2013" t="str">
        <f>Dictionary!B658</f>
        <v xml:space="preserve">Anmerkungen </v>
      </c>
      <c r="C56" s="2013"/>
      <c r="D56" s="2013"/>
      <c r="E56" s="2013"/>
    </row>
    <row r="57" spans="2:5" ht="16.5" customHeight="1">
      <c r="B57" s="2157" t="str">
        <f>Dictionary!B659</f>
        <v>Anmerkungen zur Komplexität:</v>
      </c>
      <c r="C57" s="2158"/>
      <c r="D57" s="2158"/>
      <c r="E57" s="2159"/>
    </row>
    <row r="58" spans="2:5">
      <c r="B58" s="2135"/>
      <c r="C58" s="2136"/>
      <c r="D58" s="2136"/>
      <c r="E58" s="2137"/>
    </row>
    <row r="59" spans="2:5">
      <c r="B59" s="2135"/>
      <c r="C59" s="2136"/>
      <c r="D59" s="2136"/>
      <c r="E59" s="2137"/>
    </row>
    <row r="60" spans="2:5" ht="27" customHeight="1">
      <c r="B60" s="2135"/>
      <c r="C60" s="2136"/>
      <c r="D60" s="2136"/>
      <c r="E60" s="2137"/>
    </row>
    <row r="61" spans="2:5" ht="16.5" customHeight="1">
      <c r="B61" s="2139" t="str">
        <f>Dictionary!B660</f>
        <v>Allgemeine Anmerkungen:</v>
      </c>
      <c r="C61" s="2140"/>
      <c r="D61" s="2140"/>
      <c r="E61" s="2141"/>
    </row>
    <row r="62" spans="2:5" ht="15" customHeight="1">
      <c r="B62" s="2135"/>
      <c r="C62" s="2136"/>
      <c r="D62" s="2136"/>
      <c r="E62" s="2137"/>
    </row>
    <row r="63" spans="2:5">
      <c r="B63" s="2135"/>
      <c r="C63" s="2136"/>
      <c r="D63" s="2136"/>
      <c r="E63" s="2137"/>
    </row>
    <row r="64" spans="2:5">
      <c r="B64" s="2135"/>
      <c r="C64" s="2136"/>
      <c r="D64" s="2136"/>
      <c r="E64" s="2137"/>
    </row>
    <row r="65" spans="2:5" ht="41" customHeight="1">
      <c r="B65" s="2146"/>
      <c r="C65" s="2147"/>
      <c r="D65" s="2147"/>
      <c r="E65" s="2148"/>
    </row>
    <row r="67" spans="2:5" ht="17" thickBot="1">
      <c r="B67" s="460"/>
      <c r="C67" s="460"/>
      <c r="D67" s="460"/>
      <c r="E67" s="460"/>
    </row>
    <row r="68" spans="2:5">
      <c r="E68" s="464" t="s">
        <v>105</v>
      </c>
    </row>
  </sheetData>
  <sheetProtection algorithmName="SHA-512" hashValue="9qsK2yXiUrNRynP0prrC4AeFCftfwZHwXkTCpuqUmEaAUPYYXZYxsUXowrWR+XJ8jajo4QCcpHhhEjottchYGw==" saltValue="lrF5WnpMShj6p68/hmn3XA==" spinCount="100000" sheet="1" objects="1" scenarios="1" selectLockedCells="1"/>
  <mergeCells count="39">
    <mergeCell ref="B58:E60"/>
    <mergeCell ref="B61:E61"/>
    <mergeCell ref="B62:E65"/>
    <mergeCell ref="D50:E50"/>
    <mergeCell ref="D51:E51"/>
    <mergeCell ref="D52:E52"/>
    <mergeCell ref="D53:E53"/>
    <mergeCell ref="B56:E56"/>
    <mergeCell ref="B57:E57"/>
    <mergeCell ref="D49:E49"/>
    <mergeCell ref="B27:E27"/>
    <mergeCell ref="B29:E29"/>
    <mergeCell ref="B32:C32"/>
    <mergeCell ref="D32:E32"/>
    <mergeCell ref="B33:C42"/>
    <mergeCell ref="D33:E42"/>
    <mergeCell ref="B44:E44"/>
    <mergeCell ref="D45:E45"/>
    <mergeCell ref="D46:E46"/>
    <mergeCell ref="D47:E47"/>
    <mergeCell ref="D48:E48"/>
    <mergeCell ref="B26:E26"/>
    <mergeCell ref="D14:E14"/>
    <mergeCell ref="D15:E15"/>
    <mergeCell ref="D16:E16"/>
    <mergeCell ref="D17:E17"/>
    <mergeCell ref="B18:E18"/>
    <mergeCell ref="B19:E19"/>
    <mergeCell ref="B21:E21"/>
    <mergeCell ref="B22:E22"/>
    <mergeCell ref="B23:E23"/>
    <mergeCell ref="B24:E24"/>
    <mergeCell ref="B25:E25"/>
    <mergeCell ref="D13:E13"/>
    <mergeCell ref="B3:E3"/>
    <mergeCell ref="B7:E7"/>
    <mergeCell ref="C9:D9"/>
    <mergeCell ref="B11:E11"/>
    <mergeCell ref="D12:E12"/>
  </mergeCells>
  <conditionalFormatting sqref="C16:C17">
    <cfRule type="notContainsBlanks" dxfId="417" priority="1">
      <formula>LEN(TRIM(C16))&gt;0</formula>
    </cfRule>
  </conditionalFormatting>
  <conditionalFormatting sqref="E8 C9:D9 B19:E19 B23:E23 B25:E25 B27:E27 C30 E30 B33:E42 C46:D54 B58:E60 B62:E65">
    <cfRule type="notContainsBlanks" dxfId="416" priority="2">
      <formula>LEN(TRIM(B8))&gt;0</formula>
    </cfRule>
  </conditionalFormatting>
  <dataValidations count="7">
    <dataValidation type="whole" allowBlank="1" showInputMessage="1" showErrorMessage="1" error="EN: please enter a whole number_x000a_DE: Bitte geben Sie eine ganze Zahl ein" prompt="EN: please enter a valid number_x000a_DE: Bitte geben Sie eine plausible Zahl ein" sqref="C46" xr:uid="{00000000-0002-0000-1A00-000000000000}">
      <formula1>0</formula1>
      <formula2>1000000</formula2>
    </dataValidation>
    <dataValidation allowBlank="1" showInputMessage="1" showErrorMessage="1" error="EN: please enter a number_x000a_DE: Bitte geben Sie eine Zahl ein" prompt="EN: enter a Euro value_x000a_DE Geben Sie einen Wert in Euro an" sqref="C54" xr:uid="{00000000-0002-0000-1A00-000001000000}"/>
    <dataValidation allowBlank="1" error="EN: Enter a number _x000a_DE: Geben Sie eine Zahl ein" prompt="EN: Effort in person-days_x000a_DE: Aufwand in Personentagen" sqref="D46:E54" xr:uid="{00000000-0002-0000-1A00-000002000000}"/>
    <dataValidation type="whole" allowBlank="1" showInputMessage="1" showErrorMessage="1" error="EN: please enter a whole number_x000a_DE: Bitte geben Sie eine ganze Zahl ein" prompt="EN: please enter a valid number_x000a_DE: Bitte geben Sie eine plausible Zahl ein" sqref="C47" xr:uid="{00000000-0002-0000-1A00-000003000000}">
      <formula1>1</formula1>
      <formula2>1000000</formula2>
    </dataValidation>
    <dataValidation type="decimal" allowBlank="1" showInputMessage="1" showErrorMessage="1" error="EN: please enter a number_x000a_DE: Bitte geben Sie eine Zahl ein" prompt="EN: enter a Euro value_x000a_DE Geben Sie einen Wert in Euro an" sqref="C52:C53" xr:uid="{00000000-0002-0000-1A00-000004000000}">
      <formula1>1</formula1>
      <formula2>1000000000000</formula2>
    </dataValidation>
    <dataValidation type="decimal" allowBlank="1" showInputMessage="1" showErrorMessage="1" error="EN: Enter a number _x000a_DE: Geben Sie eine Zahl ein" prompt="EN: Effort in person-days_x000a_DE: Aufwand in Personentagen" sqref="C48:C49" xr:uid="{00000000-0002-0000-1A00-000005000000}">
      <formula1>1</formula1>
      <formula2>1000000000</formula2>
    </dataValidation>
    <dataValidation type="decimal" allowBlank="1" showInputMessage="1" showErrorMessage="1" error="EN: Enter a number_x000a_DE: Geben Sie eine Zahl ein" prompt="EN: Effort in person-days_x000a_DE: Aufwand in Personentagen" sqref="C49:C51" xr:uid="{00000000-0002-0000-1A00-000006000000}">
      <formula1>1</formula1>
      <formula2>1000000000</formula2>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A00-000007000000}">
          <x14:formula1>
            <xm:f>'Control Values'!$B$14:$B$15</xm:f>
          </x14:formula1>
          <xm:sqref>E9</xm:sqref>
        </x14:dataValidation>
        <x14:dataValidation type="list" allowBlank="1" showInputMessage="1" showErrorMessage="1" xr:uid="{00000000-0002-0000-1A00-000008000000}">
          <x14:formula1>
            <xm:f>'Control Values'!$B$29:$B$34</xm:f>
          </x14:formula1>
          <xm:sqref>C17</xm:sqref>
        </x14:dataValidation>
        <x14:dataValidation type="list" allowBlank="1" showInputMessage="1" showErrorMessage="1" xr:uid="{00000000-0002-0000-1A00-000009000000}">
          <x14:formula1>
            <xm:f>'Control Values'!$B$23:$B$26</xm:f>
          </x14:formula1>
          <xm:sqref>C16</xm:sqref>
        </x14:dataValidation>
        <x14:dataValidation type="list" allowBlank="1" showInputMessage="1" showErrorMessage="1" xr:uid="{00000000-0002-0000-1A00-00000A000000}">
          <x14:formula1>
            <xm:f>'Control Values'!$B$18:$B$19</xm:f>
          </x14:formula1>
          <xm:sqref>C13:C15</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0CC19-AEF1-4E9E-AD6B-6A6A67862DC9}">
  <sheetPr codeName="Sheet78">
    <tabColor theme="9"/>
  </sheetPr>
  <dimension ref="A1:S60"/>
  <sheetViews>
    <sheetView zoomScale="80" zoomScaleNormal="80" workbookViewId="0">
      <selection activeCell="C10" sqref="C10"/>
    </sheetView>
  </sheetViews>
  <sheetFormatPr baseColWidth="10" defaultColWidth="11.5" defaultRowHeight="15"/>
  <cols>
    <col min="1" max="1" width="8.6640625" style="89" customWidth="1"/>
    <col min="2" max="2" width="11.5" style="89" customWidth="1"/>
    <col min="3" max="3" width="44.33203125" style="89" customWidth="1"/>
    <col min="4" max="4" width="23.1640625" style="89" customWidth="1"/>
    <col min="5" max="5" width="37.5" style="89" customWidth="1"/>
    <col min="6" max="6" width="32" style="89" customWidth="1"/>
    <col min="7" max="7" width="11.6640625" style="89" customWidth="1"/>
    <col min="8" max="11" width="32" style="89" customWidth="1"/>
    <col min="12" max="13" width="32.5" style="89" customWidth="1"/>
    <col min="14" max="14" width="26.1640625" style="89" customWidth="1"/>
    <col min="15" max="15" width="20" style="89" customWidth="1"/>
    <col min="16" max="17" width="11.5" style="89"/>
    <col min="18" max="18" width="8.5" style="89" customWidth="1"/>
    <col min="19" max="16384" width="11.5" style="89"/>
  </cols>
  <sheetData>
    <row r="1" spans="1:19" ht="19.5" customHeight="1" thickBot="1">
      <c r="B1" s="497" t="str">
        <f ca="1">COV!C20</f>
        <v>DECKBLATT BITTE VOLLSTÄNDIG AUSFÜLLEN!</v>
      </c>
      <c r="C1" s="459"/>
      <c r="D1" s="459"/>
      <c r="E1" s="459"/>
      <c r="F1" s="459"/>
      <c r="G1" s="459"/>
      <c r="H1" s="459"/>
      <c r="I1" s="459"/>
      <c r="J1" s="459"/>
      <c r="K1" s="459"/>
      <c r="L1" s="459"/>
      <c r="M1" s="459"/>
    </row>
    <row r="2" spans="1:19" ht="5.25" customHeight="1" thickTop="1"/>
    <row r="3" spans="1:19" ht="21">
      <c r="B3" s="2046" t="str">
        <f>Dictionary!B663&amp;" "&amp;'(7b) Project List'!A14&amp;", "&amp;EXP!D14&amp;": "&amp;EXP!C14</f>
        <v xml:space="preserve">Projektliste für Eintrag 6, : </v>
      </c>
      <c r="C3" s="2046"/>
      <c r="D3" s="2046"/>
      <c r="E3" s="2046"/>
      <c r="F3" s="2046"/>
      <c r="G3" s="2046"/>
      <c r="H3" s="2046"/>
      <c r="I3" s="2046"/>
      <c r="J3" s="2046"/>
      <c r="K3" s="2046"/>
      <c r="L3" s="2046"/>
      <c r="M3" s="2046"/>
    </row>
    <row r="4" spans="1:19" ht="21">
      <c r="B4" s="488"/>
      <c r="C4" s="488"/>
      <c r="D4" s="488"/>
      <c r="E4" s="488"/>
      <c r="F4" s="488"/>
      <c r="G4" s="488"/>
      <c r="H4" s="488"/>
      <c r="I4" s="488"/>
      <c r="J4" s="488"/>
      <c r="K4" s="488"/>
      <c r="L4" s="488"/>
      <c r="M4" s="488"/>
    </row>
    <row r="5" spans="1:19" ht="21">
      <c r="B5" s="489" t="str">
        <f>EXP!B5</f>
        <v xml:space="preserve"> , Level A, Projekt Management, Erstzertifizierung</v>
      </c>
      <c r="C5" s="490"/>
      <c r="D5" s="490"/>
      <c r="E5" s="490"/>
      <c r="F5" s="490"/>
      <c r="G5" s="490"/>
      <c r="H5" s="490"/>
      <c r="I5" s="490"/>
      <c r="J5" s="490"/>
      <c r="K5" s="490"/>
      <c r="L5" s="490"/>
      <c r="M5" s="490"/>
    </row>
    <row r="6" spans="1:19" ht="15" customHeight="1">
      <c r="A6" s="1284"/>
      <c r="B6" s="554"/>
      <c r="C6" s="554"/>
      <c r="D6" s="554"/>
      <c r="E6" s="554"/>
      <c r="F6" s="554"/>
      <c r="G6" s="554"/>
      <c r="H6" s="554"/>
      <c r="I6" s="554"/>
      <c r="J6" s="554"/>
      <c r="K6" s="554"/>
      <c r="L6" s="554"/>
      <c r="M6" s="554"/>
      <c r="N6" s="554"/>
      <c r="O6" s="554"/>
      <c r="P6" s="554"/>
      <c r="Q6" s="554"/>
      <c r="R6" s="554"/>
      <c r="S6" s="554"/>
    </row>
    <row r="7" spans="1:19" ht="24">
      <c r="A7" s="1284"/>
      <c r="B7" s="2171" t="str">
        <f>Dictionary!B665</f>
        <v>Nr.</v>
      </c>
      <c r="C7" s="2166" t="str">
        <f>Dictionary!B666</f>
        <v>Projektname</v>
      </c>
      <c r="D7" s="2166" t="str">
        <f>Dictionary!B667</f>
        <v>PM Domäne</v>
      </c>
      <c r="E7" s="2166" t="s">
        <v>269</v>
      </c>
      <c r="F7" s="2166" t="str">
        <f>Dictionary!B676</f>
        <v>Projekt- / Programm Typ</v>
      </c>
      <c r="G7" s="2173" t="str">
        <f>Dictionary!B677</f>
        <v>Strategisch</v>
      </c>
      <c r="H7" s="2166" t="str">
        <f>Dictionary!B670</f>
        <v>Dauer</v>
      </c>
      <c r="I7" s="2166"/>
      <c r="J7" s="2166" t="str">
        <f>Dictionary!B671</f>
        <v>Gesamtaufwand [Personentage]:</v>
      </c>
      <c r="K7" s="2166"/>
      <c r="L7" s="2166" t="str">
        <f>Dictionary!B672</f>
        <v>Gesamtbudget [€]:</v>
      </c>
      <c r="M7" s="2175"/>
      <c r="N7" s="554"/>
      <c r="O7" s="554"/>
      <c r="P7" s="554"/>
      <c r="Q7" s="554"/>
      <c r="R7" s="554"/>
      <c r="S7" s="554"/>
    </row>
    <row r="8" spans="1:19" ht="24">
      <c r="A8" s="1284"/>
      <c r="B8" s="2172"/>
      <c r="C8" s="2167"/>
      <c r="D8" s="2167"/>
      <c r="E8" s="2167"/>
      <c r="F8" s="2167"/>
      <c r="G8" s="2174"/>
      <c r="H8" s="1305" t="str">
        <f>Dictionary!B668</f>
        <v>Startdatum</v>
      </c>
      <c r="I8" s="1305" t="str">
        <f>Dictionary!B669</f>
        <v>Endtermin</v>
      </c>
      <c r="J8" s="1305" t="str">
        <f>Dictionary!B673</f>
        <v>geplant</v>
      </c>
      <c r="K8" s="1305" t="str">
        <f>Dictionary!B674</f>
        <v>realisiert</v>
      </c>
      <c r="L8" s="1305" t="str">
        <f>Dictionary!B673</f>
        <v>geplant</v>
      </c>
      <c r="M8" s="1306" t="str">
        <f>Dictionary!B674</f>
        <v>realisiert</v>
      </c>
      <c r="N8" s="554"/>
      <c r="O8" s="554"/>
      <c r="P8" s="554"/>
      <c r="Q8" s="554"/>
      <c r="R8" s="554"/>
      <c r="S8" s="554"/>
    </row>
    <row r="9" spans="1:19" ht="24" hidden="1">
      <c r="A9" s="1284"/>
      <c r="B9" s="1304" t="s">
        <v>2826</v>
      </c>
      <c r="C9" s="1297" t="s">
        <v>2827</v>
      </c>
      <c r="D9" s="1297" t="s">
        <v>2837</v>
      </c>
      <c r="E9" s="1297" t="s">
        <v>2828</v>
      </c>
      <c r="F9" s="1297" t="s">
        <v>2829</v>
      </c>
      <c r="G9" s="1298" t="s">
        <v>2830</v>
      </c>
      <c r="H9" s="1299" t="s">
        <v>2831</v>
      </c>
      <c r="I9" s="1299" t="s">
        <v>2832</v>
      </c>
      <c r="J9" s="1300" t="s">
        <v>2833</v>
      </c>
      <c r="K9" s="1300" t="s">
        <v>2834</v>
      </c>
      <c r="L9" s="1300" t="s">
        <v>2835</v>
      </c>
      <c r="M9" s="1300" t="s">
        <v>2836</v>
      </c>
      <c r="N9" s="554"/>
      <c r="O9" s="554"/>
      <c r="P9" s="554"/>
      <c r="Q9" s="554"/>
      <c r="R9" s="554"/>
      <c r="S9" s="554"/>
    </row>
    <row r="10" spans="1:19" ht="24">
      <c r="A10" s="1284"/>
      <c r="B10" s="1292">
        <v>1</v>
      </c>
      <c r="C10" s="1291"/>
      <c r="D10" s="1291"/>
      <c r="E10" s="1291"/>
      <c r="F10" s="1291"/>
      <c r="G10" s="1296"/>
      <c r="H10" s="1307"/>
      <c r="I10" s="1308"/>
      <c r="J10" s="1321"/>
      <c r="K10" s="1321"/>
      <c r="L10" s="1293"/>
      <c r="M10" s="1293"/>
      <c r="N10" s="554"/>
      <c r="O10" s="554"/>
      <c r="P10" s="554"/>
      <c r="Q10" s="554"/>
      <c r="R10" s="554"/>
      <c r="S10" s="554"/>
    </row>
    <row r="11" spans="1:19" ht="24">
      <c r="A11" s="1284"/>
      <c r="B11" s="1292">
        <v>2</v>
      </c>
      <c r="C11" s="1291"/>
      <c r="D11" s="1291"/>
      <c r="E11" s="1291"/>
      <c r="F11" s="1291"/>
      <c r="G11" s="1296"/>
      <c r="H11" s="1309"/>
      <c r="I11" s="1310"/>
      <c r="J11" s="1321"/>
      <c r="K11" s="1321"/>
      <c r="L11" s="1293"/>
      <c r="M11" s="1293"/>
      <c r="N11" s="554"/>
      <c r="O11" s="554"/>
      <c r="P11" s="554"/>
      <c r="Q11" s="554"/>
      <c r="R11" s="554"/>
      <c r="S11" s="554"/>
    </row>
    <row r="12" spans="1:19" ht="24">
      <c r="A12" s="1284"/>
      <c r="B12" s="1292">
        <v>3</v>
      </c>
      <c r="C12" s="1291"/>
      <c r="D12" s="1291"/>
      <c r="E12" s="1291"/>
      <c r="F12" s="1291"/>
      <c r="G12" s="1296"/>
      <c r="H12" s="1309"/>
      <c r="I12" s="1310"/>
      <c r="J12" s="1321"/>
      <c r="K12" s="1321"/>
      <c r="L12" s="1293"/>
      <c r="M12" s="1293"/>
      <c r="N12" s="554"/>
      <c r="O12" s="554"/>
      <c r="P12" s="554"/>
      <c r="Q12" s="554"/>
      <c r="R12" s="554"/>
      <c r="S12" s="554"/>
    </row>
    <row r="13" spans="1:19" ht="24">
      <c r="A13" s="1284"/>
      <c r="B13" s="1292">
        <v>4</v>
      </c>
      <c r="C13" s="1291"/>
      <c r="D13" s="1291"/>
      <c r="E13" s="1291"/>
      <c r="F13" s="1291"/>
      <c r="G13" s="1296"/>
      <c r="H13" s="1309"/>
      <c r="I13" s="1310"/>
      <c r="J13" s="1321"/>
      <c r="K13" s="1321"/>
      <c r="L13" s="1293"/>
      <c r="M13" s="1293"/>
      <c r="N13" s="554"/>
      <c r="O13" s="554"/>
      <c r="P13" s="554"/>
      <c r="Q13" s="554"/>
      <c r="R13" s="554"/>
      <c r="S13" s="554"/>
    </row>
    <row r="14" spans="1:19" ht="24">
      <c r="A14" s="1284"/>
      <c r="B14" s="1292">
        <v>5</v>
      </c>
      <c r="C14" s="1291"/>
      <c r="D14" s="1291"/>
      <c r="E14" s="1291"/>
      <c r="F14" s="1291"/>
      <c r="G14" s="1296"/>
      <c r="H14" s="1309"/>
      <c r="I14" s="1310"/>
      <c r="J14" s="1321"/>
      <c r="K14" s="1321"/>
      <c r="L14" s="1293"/>
      <c r="M14" s="1293"/>
      <c r="N14" s="554"/>
      <c r="O14" s="554"/>
      <c r="P14" s="554"/>
      <c r="Q14" s="554"/>
      <c r="R14" s="554"/>
      <c r="S14" s="554"/>
    </row>
    <row r="15" spans="1:19" ht="24">
      <c r="A15" s="1284"/>
      <c r="B15" s="1292">
        <v>6</v>
      </c>
      <c r="C15" s="1291"/>
      <c r="D15" s="1291"/>
      <c r="E15" s="1291"/>
      <c r="F15" s="1291"/>
      <c r="G15" s="1296"/>
      <c r="H15" s="1309"/>
      <c r="I15" s="1310"/>
      <c r="J15" s="1321"/>
      <c r="K15" s="1321"/>
      <c r="L15" s="1293"/>
      <c r="M15" s="1293"/>
      <c r="N15" s="554"/>
      <c r="O15" s="554"/>
      <c r="P15" s="554"/>
      <c r="Q15" s="554"/>
      <c r="R15" s="554"/>
      <c r="S15" s="554"/>
    </row>
    <row r="16" spans="1:19" ht="24">
      <c r="A16" s="1284"/>
      <c r="B16" s="1292">
        <v>7</v>
      </c>
      <c r="C16" s="1291"/>
      <c r="D16" s="1291"/>
      <c r="E16" s="1291"/>
      <c r="F16" s="1291"/>
      <c r="G16" s="1296"/>
      <c r="H16" s="1309"/>
      <c r="I16" s="1310"/>
      <c r="J16" s="1321"/>
      <c r="K16" s="1321"/>
      <c r="L16" s="1293"/>
      <c r="M16" s="1293"/>
      <c r="N16" s="554"/>
      <c r="O16" s="554"/>
      <c r="P16" s="554"/>
      <c r="Q16" s="554"/>
      <c r="R16" s="554"/>
      <c r="S16" s="554"/>
    </row>
    <row r="17" spans="1:19" ht="24">
      <c r="A17" s="1284"/>
      <c r="B17" s="1292">
        <v>8</v>
      </c>
      <c r="C17" s="1291"/>
      <c r="D17" s="1291"/>
      <c r="E17" s="1291"/>
      <c r="F17" s="1291"/>
      <c r="G17" s="1296"/>
      <c r="H17" s="1309"/>
      <c r="I17" s="1310"/>
      <c r="J17" s="1321"/>
      <c r="K17" s="1321"/>
      <c r="L17" s="1293"/>
      <c r="M17" s="1293"/>
      <c r="N17" s="554"/>
      <c r="O17" s="554"/>
      <c r="P17" s="554"/>
      <c r="Q17" s="554"/>
      <c r="R17" s="554"/>
      <c r="S17" s="554"/>
    </row>
    <row r="18" spans="1:19" ht="24">
      <c r="A18" s="1284"/>
      <c r="B18" s="1292">
        <v>9</v>
      </c>
      <c r="C18" s="1291"/>
      <c r="D18" s="1291"/>
      <c r="E18" s="1291"/>
      <c r="F18" s="1291"/>
      <c r="G18" s="1296"/>
      <c r="H18" s="1309"/>
      <c r="I18" s="1310"/>
      <c r="J18" s="1321"/>
      <c r="K18" s="1321"/>
      <c r="L18" s="1293"/>
      <c r="M18" s="1293"/>
      <c r="N18" s="554"/>
      <c r="O18" s="554"/>
      <c r="P18" s="554"/>
      <c r="Q18" s="554"/>
      <c r="R18" s="554"/>
      <c r="S18" s="554"/>
    </row>
    <row r="19" spans="1:19" ht="24">
      <c r="A19" s="1284"/>
      <c r="B19" s="1292">
        <v>10</v>
      </c>
      <c r="C19" s="1291"/>
      <c r="D19" s="1291"/>
      <c r="E19" s="1291"/>
      <c r="F19" s="1291"/>
      <c r="G19" s="1296"/>
      <c r="H19" s="1309"/>
      <c r="I19" s="1310"/>
      <c r="J19" s="1321"/>
      <c r="K19" s="1321"/>
      <c r="L19" s="1293"/>
      <c r="M19" s="1293"/>
      <c r="N19" s="554"/>
      <c r="O19" s="554"/>
      <c r="P19" s="554"/>
      <c r="Q19" s="554"/>
      <c r="R19" s="554"/>
      <c r="S19" s="554"/>
    </row>
    <row r="20" spans="1:19" ht="24">
      <c r="A20" s="1284"/>
      <c r="B20" s="1292">
        <v>11</v>
      </c>
      <c r="C20" s="1291"/>
      <c r="D20" s="1291"/>
      <c r="E20" s="1291"/>
      <c r="F20" s="1291"/>
      <c r="G20" s="1296"/>
      <c r="H20" s="1309"/>
      <c r="I20" s="1310"/>
      <c r="J20" s="1321"/>
      <c r="K20" s="1321"/>
      <c r="L20" s="1293"/>
      <c r="M20" s="1293"/>
      <c r="N20" s="554"/>
      <c r="O20" s="554"/>
      <c r="P20" s="554"/>
      <c r="Q20" s="554"/>
      <c r="R20" s="554"/>
      <c r="S20" s="554"/>
    </row>
    <row r="21" spans="1:19" ht="24">
      <c r="A21" s="1284"/>
      <c r="B21" s="1292">
        <v>12</v>
      </c>
      <c r="C21" s="1291"/>
      <c r="D21" s="1291"/>
      <c r="E21" s="1291"/>
      <c r="F21" s="1291"/>
      <c r="G21" s="1296"/>
      <c r="H21" s="1309"/>
      <c r="I21" s="1310"/>
      <c r="J21" s="1321"/>
      <c r="K21" s="1321"/>
      <c r="L21" s="1293"/>
      <c r="M21" s="1293"/>
      <c r="N21" s="554"/>
      <c r="O21" s="554"/>
      <c r="P21" s="554"/>
      <c r="Q21" s="554"/>
      <c r="R21" s="554"/>
      <c r="S21" s="554"/>
    </row>
    <row r="22" spans="1:19" ht="24">
      <c r="A22" s="1284"/>
      <c r="B22" s="1292">
        <v>13</v>
      </c>
      <c r="C22" s="1291"/>
      <c r="D22" s="1291"/>
      <c r="E22" s="1291"/>
      <c r="F22" s="1291"/>
      <c r="G22" s="1296"/>
      <c r="H22" s="1309"/>
      <c r="I22" s="1310"/>
      <c r="J22" s="1321"/>
      <c r="K22" s="1321"/>
      <c r="L22" s="1293"/>
      <c r="M22" s="1293"/>
      <c r="N22" s="554"/>
      <c r="O22" s="554"/>
      <c r="P22" s="554"/>
      <c r="Q22" s="554"/>
      <c r="R22" s="554"/>
      <c r="S22" s="554"/>
    </row>
    <row r="23" spans="1:19" ht="24">
      <c r="A23" s="1284"/>
      <c r="B23" s="1292">
        <v>14</v>
      </c>
      <c r="C23" s="1291"/>
      <c r="D23" s="1291"/>
      <c r="E23" s="1291"/>
      <c r="F23" s="1291"/>
      <c r="G23" s="1296"/>
      <c r="H23" s="1309"/>
      <c r="I23" s="1310"/>
      <c r="J23" s="1321"/>
      <c r="K23" s="1321"/>
      <c r="L23" s="1293"/>
      <c r="M23" s="1293"/>
      <c r="N23" s="554"/>
      <c r="O23" s="554"/>
      <c r="P23" s="554"/>
      <c r="Q23" s="554"/>
      <c r="R23" s="554"/>
      <c r="S23" s="554"/>
    </row>
    <row r="24" spans="1:19" ht="24">
      <c r="A24" s="1284"/>
      <c r="B24" s="1292">
        <v>15</v>
      </c>
      <c r="C24" s="1291"/>
      <c r="D24" s="1291"/>
      <c r="E24" s="1291"/>
      <c r="F24" s="1291"/>
      <c r="G24" s="1296"/>
      <c r="H24" s="1309"/>
      <c r="I24" s="1310"/>
      <c r="J24" s="1321"/>
      <c r="K24" s="1321"/>
      <c r="L24" s="1293"/>
      <c r="M24" s="1293"/>
      <c r="N24" s="554"/>
      <c r="O24" s="554"/>
      <c r="P24" s="554"/>
      <c r="Q24" s="554"/>
      <c r="R24" s="554"/>
      <c r="S24" s="554"/>
    </row>
    <row r="25" spans="1:19" ht="24">
      <c r="A25" s="1284"/>
      <c r="B25" s="1292">
        <v>16</v>
      </c>
      <c r="C25" s="1291"/>
      <c r="D25" s="1291"/>
      <c r="E25" s="1291"/>
      <c r="F25" s="1291"/>
      <c r="G25" s="1296"/>
      <c r="H25" s="1309"/>
      <c r="I25" s="1310"/>
      <c r="J25" s="1321"/>
      <c r="K25" s="1321"/>
      <c r="L25" s="1293"/>
      <c r="M25" s="1293"/>
      <c r="N25" s="554"/>
      <c r="O25" s="554"/>
      <c r="P25" s="554"/>
      <c r="Q25" s="554"/>
      <c r="R25" s="554"/>
      <c r="S25" s="554"/>
    </row>
    <row r="26" spans="1:19" ht="24">
      <c r="A26" s="1284"/>
      <c r="B26" s="1292">
        <v>17</v>
      </c>
      <c r="C26" s="1291"/>
      <c r="D26" s="1291"/>
      <c r="E26" s="1291"/>
      <c r="F26" s="1291"/>
      <c r="G26" s="1296"/>
      <c r="H26" s="1309"/>
      <c r="I26" s="1310"/>
      <c r="J26" s="1321"/>
      <c r="K26" s="1321"/>
      <c r="L26" s="1293"/>
      <c r="M26" s="1293"/>
      <c r="N26" s="554"/>
      <c r="O26" s="554"/>
      <c r="P26" s="554"/>
      <c r="Q26" s="554"/>
      <c r="R26" s="554"/>
      <c r="S26" s="554"/>
    </row>
    <row r="27" spans="1:19" ht="24">
      <c r="A27" s="1284"/>
      <c r="B27" s="1292">
        <v>18</v>
      </c>
      <c r="C27" s="1291"/>
      <c r="D27" s="1291"/>
      <c r="E27" s="1291"/>
      <c r="F27" s="1291"/>
      <c r="G27" s="1296"/>
      <c r="H27" s="1309"/>
      <c r="I27" s="1310"/>
      <c r="J27" s="1321"/>
      <c r="K27" s="1321"/>
      <c r="L27" s="1293"/>
      <c r="M27" s="1293"/>
      <c r="N27" s="554"/>
      <c r="O27" s="554"/>
      <c r="P27" s="554"/>
      <c r="Q27" s="554"/>
      <c r="R27" s="554"/>
      <c r="S27" s="554"/>
    </row>
    <row r="28" spans="1:19" ht="24">
      <c r="A28" s="1284"/>
      <c r="B28" s="1292">
        <v>19</v>
      </c>
      <c r="C28" s="1291"/>
      <c r="D28" s="1291"/>
      <c r="E28" s="1291"/>
      <c r="F28" s="1291"/>
      <c r="G28" s="1296"/>
      <c r="H28" s="1309"/>
      <c r="I28" s="1310"/>
      <c r="J28" s="1321"/>
      <c r="K28" s="1321"/>
      <c r="L28" s="1293"/>
      <c r="M28" s="1293"/>
      <c r="N28" s="554"/>
      <c r="O28" s="554"/>
      <c r="P28" s="554"/>
      <c r="Q28" s="554"/>
      <c r="R28" s="554"/>
      <c r="S28" s="554"/>
    </row>
    <row r="29" spans="1:19" ht="24">
      <c r="A29" s="1284"/>
      <c r="B29" s="1292">
        <v>20</v>
      </c>
      <c r="C29" s="1291"/>
      <c r="D29" s="1291"/>
      <c r="E29" s="1291"/>
      <c r="F29" s="1291"/>
      <c r="G29" s="1296"/>
      <c r="H29" s="1309"/>
      <c r="I29" s="1310"/>
      <c r="J29" s="1321"/>
      <c r="K29" s="1321"/>
      <c r="L29" s="1293"/>
      <c r="M29" s="1293"/>
      <c r="N29" s="554"/>
      <c r="O29" s="554"/>
      <c r="P29" s="554"/>
      <c r="Q29" s="554"/>
      <c r="R29" s="554"/>
      <c r="S29" s="554"/>
    </row>
    <row r="30" spans="1:19" ht="24">
      <c r="A30" s="1284"/>
      <c r="B30" s="1292">
        <v>21</v>
      </c>
      <c r="C30" s="1291"/>
      <c r="D30" s="1291"/>
      <c r="E30" s="1291"/>
      <c r="F30" s="1291"/>
      <c r="G30" s="1296"/>
      <c r="H30" s="1309"/>
      <c r="I30" s="1310"/>
      <c r="J30" s="1321"/>
      <c r="K30" s="1321"/>
      <c r="L30" s="1293"/>
      <c r="M30" s="1293"/>
      <c r="N30" s="554"/>
      <c r="O30" s="554"/>
      <c r="P30" s="554"/>
      <c r="Q30" s="554"/>
      <c r="R30" s="554"/>
      <c r="S30" s="554"/>
    </row>
    <row r="31" spans="1:19" ht="24">
      <c r="A31" s="1284"/>
      <c r="B31" s="1292">
        <v>22</v>
      </c>
      <c r="C31" s="1291"/>
      <c r="D31" s="1291"/>
      <c r="E31" s="1291"/>
      <c r="F31" s="1291"/>
      <c r="G31" s="1296"/>
      <c r="H31" s="1309"/>
      <c r="I31" s="1310"/>
      <c r="J31" s="1321"/>
      <c r="K31" s="1321"/>
      <c r="L31" s="1293"/>
      <c r="M31" s="1293"/>
      <c r="N31" s="554"/>
      <c r="O31" s="554"/>
      <c r="P31" s="554"/>
      <c r="Q31" s="554"/>
      <c r="R31" s="554"/>
      <c r="S31" s="554"/>
    </row>
    <row r="32" spans="1:19" ht="24">
      <c r="A32" s="1284"/>
      <c r="B32" s="1292">
        <v>23</v>
      </c>
      <c r="C32" s="1291"/>
      <c r="D32" s="1291"/>
      <c r="E32" s="1291"/>
      <c r="F32" s="1291"/>
      <c r="G32" s="1296"/>
      <c r="H32" s="1309"/>
      <c r="I32" s="1310"/>
      <c r="J32" s="1321"/>
      <c r="K32" s="1321"/>
      <c r="L32" s="1293"/>
      <c r="M32" s="1293"/>
      <c r="N32" s="554"/>
      <c r="O32" s="554"/>
      <c r="P32" s="554"/>
      <c r="Q32" s="554"/>
      <c r="R32" s="554"/>
      <c r="S32" s="554"/>
    </row>
    <row r="33" spans="1:19" ht="24">
      <c r="A33" s="1284"/>
      <c r="B33" s="1292">
        <v>24</v>
      </c>
      <c r="C33" s="1291"/>
      <c r="D33" s="1291"/>
      <c r="E33" s="1291"/>
      <c r="F33" s="1291"/>
      <c r="G33" s="1296"/>
      <c r="H33" s="1309"/>
      <c r="I33" s="1310"/>
      <c r="J33" s="1321"/>
      <c r="K33" s="1321"/>
      <c r="L33" s="1293"/>
      <c r="M33" s="1293"/>
      <c r="N33" s="554"/>
      <c r="O33" s="554"/>
      <c r="P33" s="554"/>
      <c r="Q33" s="554"/>
      <c r="R33" s="554"/>
      <c r="S33" s="554"/>
    </row>
    <row r="34" spans="1:19" ht="24">
      <c r="A34" s="1284"/>
      <c r="B34" s="1292">
        <v>25</v>
      </c>
      <c r="C34" s="1291"/>
      <c r="D34" s="1291"/>
      <c r="E34" s="1291"/>
      <c r="F34" s="1291"/>
      <c r="G34" s="1296"/>
      <c r="H34" s="1309"/>
      <c r="I34" s="1310"/>
      <c r="J34" s="1321"/>
      <c r="K34" s="1321"/>
      <c r="L34" s="1293"/>
      <c r="M34" s="1293"/>
      <c r="N34" s="554"/>
      <c r="O34" s="554"/>
      <c r="P34" s="554"/>
      <c r="Q34" s="554"/>
      <c r="R34" s="554"/>
      <c r="S34" s="554"/>
    </row>
    <row r="35" spans="1:19" ht="24">
      <c r="A35" s="1284"/>
      <c r="B35" s="1292">
        <v>26</v>
      </c>
      <c r="C35" s="1291"/>
      <c r="D35" s="1291"/>
      <c r="E35" s="1291"/>
      <c r="F35" s="1291"/>
      <c r="G35" s="1296"/>
      <c r="H35" s="1309"/>
      <c r="I35" s="1310"/>
      <c r="J35" s="1321"/>
      <c r="K35" s="1321"/>
      <c r="L35" s="1293"/>
      <c r="M35" s="1293"/>
      <c r="N35" s="554"/>
      <c r="O35" s="554"/>
      <c r="P35" s="554"/>
      <c r="Q35" s="554"/>
      <c r="R35" s="554"/>
      <c r="S35" s="554"/>
    </row>
    <row r="36" spans="1:19" ht="24">
      <c r="A36" s="1284"/>
      <c r="B36" s="1292">
        <v>27</v>
      </c>
      <c r="C36" s="1291"/>
      <c r="D36" s="1291"/>
      <c r="E36" s="1291"/>
      <c r="F36" s="1291"/>
      <c r="G36" s="1296"/>
      <c r="H36" s="1309"/>
      <c r="I36" s="1310"/>
      <c r="J36" s="1321"/>
      <c r="K36" s="1321"/>
      <c r="L36" s="1293"/>
      <c r="M36" s="1293"/>
      <c r="N36" s="554"/>
      <c r="O36" s="554"/>
      <c r="P36" s="554"/>
      <c r="Q36" s="554"/>
      <c r="R36" s="554"/>
      <c r="S36" s="554"/>
    </row>
    <row r="37" spans="1:19" ht="24">
      <c r="A37" s="1284"/>
      <c r="B37" s="1292">
        <v>28</v>
      </c>
      <c r="C37" s="1291"/>
      <c r="D37" s="1291"/>
      <c r="E37" s="1291"/>
      <c r="F37" s="1291"/>
      <c r="G37" s="1296"/>
      <c r="H37" s="1309"/>
      <c r="I37" s="1310"/>
      <c r="J37" s="1321"/>
      <c r="K37" s="1321"/>
      <c r="L37" s="1293"/>
      <c r="M37" s="1293"/>
      <c r="N37" s="554"/>
      <c r="O37" s="554"/>
      <c r="P37" s="554"/>
      <c r="Q37" s="554"/>
      <c r="R37" s="554"/>
      <c r="S37" s="554"/>
    </row>
    <row r="38" spans="1:19" ht="24">
      <c r="A38" s="1284"/>
      <c r="B38" s="1292">
        <v>29</v>
      </c>
      <c r="C38" s="1291"/>
      <c r="D38" s="1291"/>
      <c r="E38" s="1291"/>
      <c r="F38" s="1291"/>
      <c r="G38" s="1296"/>
      <c r="H38" s="1309"/>
      <c r="I38" s="1310"/>
      <c r="J38" s="1321"/>
      <c r="K38" s="1321"/>
      <c r="L38" s="1293"/>
      <c r="M38" s="1293"/>
      <c r="N38" s="554"/>
      <c r="O38" s="554"/>
      <c r="P38" s="554"/>
      <c r="Q38" s="554"/>
      <c r="R38" s="554"/>
      <c r="S38" s="554"/>
    </row>
    <row r="39" spans="1:19" ht="24">
      <c r="A39" s="1284"/>
      <c r="B39" s="1292">
        <v>30</v>
      </c>
      <c r="C39" s="1311"/>
      <c r="D39" s="1311"/>
      <c r="E39" s="1311"/>
      <c r="F39" s="1311"/>
      <c r="G39" s="1312"/>
      <c r="H39" s="1313"/>
      <c r="I39" s="1314"/>
      <c r="J39" s="1322"/>
      <c r="K39" s="1322"/>
      <c r="L39" s="1315"/>
      <c r="M39" s="1315"/>
      <c r="N39" s="554"/>
      <c r="O39" s="554"/>
      <c r="P39" s="554"/>
      <c r="Q39" s="554"/>
      <c r="R39" s="554"/>
      <c r="S39" s="554"/>
    </row>
    <row r="40" spans="1:19" ht="24">
      <c r="A40" s="1284"/>
      <c r="B40" s="1301"/>
      <c r="C40" s="2168" t="str">
        <f>Dictionary!B675</f>
        <v xml:space="preserve">Programm / Portfolio Verwaltung </v>
      </c>
      <c r="D40" s="2169"/>
      <c r="E40" s="2169"/>
      <c r="F40" s="2169"/>
      <c r="G40" s="2170"/>
      <c r="H40" s="1319"/>
      <c r="I40" s="1320"/>
      <c r="J40" s="1323"/>
      <c r="K40" s="1323"/>
      <c r="L40" s="1294"/>
      <c r="M40" s="1295"/>
      <c r="N40" s="554"/>
      <c r="O40" s="554"/>
      <c r="P40" s="554"/>
      <c r="Q40" s="554"/>
      <c r="R40" s="554"/>
      <c r="S40" s="554"/>
    </row>
    <row r="41" spans="1:19" ht="24">
      <c r="A41" s="1284"/>
      <c r="B41" s="1302"/>
      <c r="C41" s="1316"/>
      <c r="D41" s="1316"/>
      <c r="E41" s="1316"/>
      <c r="F41" s="1316"/>
      <c r="G41" s="1316"/>
      <c r="H41" s="2176" t="s">
        <v>2825</v>
      </c>
      <c r="I41" s="2176"/>
      <c r="J41" s="1317">
        <f>SUM(J9:J40)</f>
        <v>0</v>
      </c>
      <c r="K41" s="1317">
        <f>SUM(K9:K40)</f>
        <v>0</v>
      </c>
      <c r="L41" s="1318">
        <f>SUM(L9:L40)</f>
        <v>0</v>
      </c>
      <c r="M41" s="1318">
        <f>SUM(M9:M40)</f>
        <v>0</v>
      </c>
      <c r="N41" s="554"/>
      <c r="O41" s="554"/>
      <c r="P41" s="554"/>
      <c r="Q41" s="554"/>
      <c r="R41" s="554"/>
      <c r="S41" s="554"/>
    </row>
    <row r="42" spans="1:19" ht="24">
      <c r="B42" s="554"/>
      <c r="C42" s="554"/>
      <c r="D42" s="554"/>
      <c r="E42" s="554"/>
      <c r="F42" s="554"/>
      <c r="G42" s="554"/>
      <c r="H42" s="554"/>
      <c r="I42" s="554"/>
      <c r="J42" s="554"/>
      <c r="K42" s="554"/>
      <c r="L42" s="554"/>
      <c r="M42" s="554"/>
    </row>
    <row r="43" spans="1:19" ht="17" thickBot="1">
      <c r="B43" s="460"/>
      <c r="C43" s="460"/>
      <c r="D43" s="460"/>
      <c r="E43" s="460"/>
      <c r="F43" s="460"/>
      <c r="G43" s="460"/>
      <c r="H43" s="460"/>
      <c r="I43" s="460"/>
      <c r="J43" s="460"/>
      <c r="K43" s="460"/>
      <c r="L43" s="460"/>
      <c r="M43" s="460"/>
    </row>
    <row r="44" spans="1:19">
      <c r="M44" s="464" t="s">
        <v>105</v>
      </c>
    </row>
    <row r="50" spans="3:6" hidden="1"/>
    <row r="51" spans="3:6" hidden="1">
      <c r="C51" s="2163" t="s">
        <v>249</v>
      </c>
      <c r="D51" s="2164"/>
      <c r="E51" s="2164"/>
      <c r="F51" s="2165"/>
    </row>
    <row r="52" spans="3:6" hidden="1">
      <c r="C52" s="240"/>
      <c r="D52" s="172"/>
      <c r="E52" s="241"/>
      <c r="F52" s="241"/>
    </row>
    <row r="53" spans="3:6" hidden="1">
      <c r="C53" s="1905" t="s">
        <v>970</v>
      </c>
      <c r="D53" s="172" t="s">
        <v>1037</v>
      </c>
      <c r="E53" s="241"/>
      <c r="F53" s="241"/>
    </row>
    <row r="54" spans="3:6" hidden="1">
      <c r="C54" s="1906" t="s">
        <v>1024</v>
      </c>
      <c r="D54" s="172"/>
      <c r="E54" s="241"/>
      <c r="F54" s="241"/>
    </row>
    <row r="55" spans="3:6" hidden="1">
      <c r="C55" s="1907" t="s">
        <v>1025</v>
      </c>
      <c r="D55" s="172"/>
      <c r="E55" s="241"/>
      <c r="F55" s="241"/>
    </row>
    <row r="56" spans="3:6" hidden="1">
      <c r="C56" s="240"/>
      <c r="D56" s="172"/>
      <c r="E56" s="241"/>
      <c r="F56" s="241"/>
    </row>
    <row r="57" spans="3:6" hidden="1">
      <c r="C57" s="240"/>
      <c r="D57" s="172"/>
      <c r="E57" s="241"/>
      <c r="F57" s="241"/>
    </row>
    <row r="58" spans="3:6" hidden="1">
      <c r="C58" s="240"/>
      <c r="D58" s="172"/>
      <c r="E58" s="241"/>
      <c r="F58" s="241"/>
    </row>
    <row r="59" spans="3:6" hidden="1">
      <c r="C59" s="242"/>
      <c r="D59" s="1303"/>
      <c r="E59" s="185"/>
      <c r="F59" s="185"/>
    </row>
    <row r="60" spans="3:6" hidden="1"/>
  </sheetData>
  <sheetProtection algorithmName="SHA-512" hashValue="jak6ZtfYarwHy6pWQibSVhlnA891813nvXd+etTZ8MF3r/P2QZS9dgC1Mg1ku1xXA9jWcNb9dJeAa2m00DTz+A==" saltValue="VSg9dJLkoC6tQLAoGAefjQ==" spinCount="100000" sheet="1" objects="1" scenarios="1" selectLockedCells="1"/>
  <mergeCells count="13">
    <mergeCell ref="C40:G40"/>
    <mergeCell ref="H41:I41"/>
    <mergeCell ref="C51:F51"/>
    <mergeCell ref="B3:M3"/>
    <mergeCell ref="B7:B8"/>
    <mergeCell ref="C7:C8"/>
    <mergeCell ref="D7:D8"/>
    <mergeCell ref="E7:E8"/>
    <mergeCell ref="F7:F8"/>
    <mergeCell ref="G7:G8"/>
    <mergeCell ref="H7:I7"/>
    <mergeCell ref="J7:K7"/>
    <mergeCell ref="L7:M7"/>
  </mergeCells>
  <dataValidations count="6">
    <dataValidation type="date" operator="lessThan" allowBlank="1" showInputMessage="1" showErrorMessage="1" error="EN_x000a_End must occur after start._x000a__x000a_DE_x000a_Das Ende muss nach dem Start kommen._x000a_ " sqref="H10:H40" xr:uid="{00000000-0002-0000-1B00-000000000000}">
      <formula1>I10</formula1>
    </dataValidation>
    <dataValidation type="date" operator="greaterThan" allowBlank="1" showInputMessage="1" showErrorMessage="1" error="EN_x000a_End must occur after start._x000a__x000a_DE_x000a_Das Ende muss nach dem Start kommen._x000a_ " sqref="I10:I40" xr:uid="{00000000-0002-0000-1B00-000001000000}">
      <formula1>H10</formula1>
    </dataValidation>
    <dataValidation type="list" allowBlank="1" showInputMessage="1" showErrorMessage="1" sqref="G10:G39" xr:uid="{00000000-0002-0000-1B00-000002000000}">
      <formula1>$D$53:$D$54</formula1>
    </dataValidation>
    <dataValidation type="list" allowBlank="1" showInputMessage="1" showErrorMessage="1" sqref="D10:D39" xr:uid="{00000000-0002-0000-1B00-000003000000}">
      <formula1>$C$53:$C$55</formula1>
    </dataValidation>
    <dataValidation type="whole" operator="greaterThan" allowBlank="1" showInputMessage="1" showErrorMessage="1" error="Bitte eine ganze Zahl grösser als 0 eingeben!" sqref="J9:K40 M9:M40 L10:L40" xr:uid="{00000000-0002-0000-1B00-000004000000}">
      <formula1>0</formula1>
    </dataValidation>
    <dataValidation type="whole" operator="greaterThan" allowBlank="1" showInputMessage="1" showErrorMessage="1" error="Bitte eine ganze Zahl grösser als 0 eingeben!" promptTitle="Investition" prompt="Unter Investition werden die gesamten Kosten verstanden, inkl.der personellen Aufwände." sqref="L9" xr:uid="{00000000-0002-0000-1B00-000005000000}">
      <formula1>0</formula1>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B00-000006000000}">
          <x14:formula1>
            <xm:f>'Control Values'!$B$23:$B$26</xm:f>
          </x14:formula1>
          <xm:sqref>F10:F39</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24AEB-3E27-4464-9E76-561E3624A089}">
  <sheetPr codeName="Sheet34">
    <tabColor theme="9" tint="-0.24994659260841701"/>
  </sheetPr>
  <dimension ref="B1:L70"/>
  <sheetViews>
    <sheetView showGridLines="0" showZeros="0" workbookViewId="0">
      <pane xSplit="8" ySplit="9" topLeftCell="I10" activePane="bottomRight" state="frozenSplit"/>
      <selection activeCell="B109" sqref="B109"/>
      <selection pane="topRight" activeCell="B109" sqref="B109"/>
      <selection pane="bottomLeft" activeCell="B109" sqref="B109"/>
      <selection pane="bottomRight" activeCell="I11" sqref="I11"/>
    </sheetView>
  </sheetViews>
  <sheetFormatPr baseColWidth="10" defaultColWidth="10" defaultRowHeight="14"/>
  <cols>
    <col min="1" max="1" width="2.6640625" style="472" customWidth="1"/>
    <col min="2" max="2" width="5.5" style="471" customWidth="1"/>
    <col min="3" max="3" width="17.1640625" style="472" customWidth="1"/>
    <col min="4" max="4" width="46.33203125" style="472" customWidth="1"/>
    <col min="5" max="8" width="26.5" style="472" customWidth="1"/>
    <col min="9" max="10" width="11.1640625" style="471" customWidth="1"/>
    <col min="11" max="11" width="55.33203125" style="473" customWidth="1"/>
    <col min="12" max="12" width="9.6640625" style="472" customWidth="1"/>
    <col min="13" max="16384" width="10" style="472"/>
  </cols>
  <sheetData>
    <row r="1" spans="2:11" ht="20.25" customHeight="1" thickBot="1">
      <c r="B1" s="497" t="str">
        <f ca="1">COV!C20</f>
        <v>DECKBLATT BITTE VOLLSTÄNDIG AUSFÜLLEN!</v>
      </c>
      <c r="C1" s="459"/>
      <c r="D1" s="459"/>
      <c r="E1" s="459"/>
      <c r="F1" s="459"/>
      <c r="G1" s="459"/>
      <c r="H1" s="459"/>
      <c r="I1" s="459"/>
      <c r="J1" s="459"/>
      <c r="K1" s="459"/>
    </row>
    <row r="2" spans="2:11" ht="5.25" customHeight="1" thickTop="1"/>
    <row r="3" spans="2:11" ht="21">
      <c r="B3" s="2046" t="str">
        <f>Dictionary!B680&amp;'(7b) Project List'!A14&amp;IF('(7b) Project List'!B14="","",": "&amp;'(7b) Project List'!B14)</f>
        <v>Bewertung der Managementkomplexität für Erfahrung 6</v>
      </c>
      <c r="C3" s="2046"/>
      <c r="D3" s="2046"/>
      <c r="E3" s="2046"/>
      <c r="F3" s="2046"/>
      <c r="G3" s="2046"/>
      <c r="H3" s="2046"/>
      <c r="I3" s="2046"/>
      <c r="J3" s="2046"/>
      <c r="K3" s="2046"/>
    </row>
    <row r="4" spans="2:11" s="498" customFormat="1" ht="21">
      <c r="B4" s="488"/>
      <c r="C4" s="488"/>
      <c r="D4" s="488"/>
      <c r="E4" s="488"/>
      <c r="F4" s="488"/>
      <c r="G4" s="488"/>
      <c r="H4" s="488"/>
      <c r="I4" s="488"/>
      <c r="J4" s="488"/>
      <c r="K4" s="488"/>
    </row>
    <row r="5" spans="2:11" s="467" customFormat="1" ht="22.5" customHeight="1">
      <c r="B5" s="489" t="str">
        <f>EXP!B5</f>
        <v xml:space="preserve"> , Level A, Projekt Management, Erstzertifizierung</v>
      </c>
      <c r="C5" s="491"/>
      <c r="D5" s="491"/>
      <c r="E5" s="492"/>
      <c r="F5" s="491"/>
      <c r="G5" s="493"/>
      <c r="H5" s="492"/>
      <c r="I5" s="492"/>
      <c r="J5" s="492"/>
      <c r="K5" s="494"/>
    </row>
    <row r="6" spans="2:11" s="467" customFormat="1" ht="20" customHeight="1">
      <c r="B6" s="466"/>
      <c r="C6" s="468"/>
      <c r="D6" s="468"/>
      <c r="E6" s="321"/>
      <c r="F6" s="2183"/>
      <c r="G6" s="2183"/>
      <c r="H6" s="2183"/>
      <c r="I6" s="469"/>
      <c r="J6" s="470"/>
    </row>
    <row r="7" spans="2:11" ht="15" customHeight="1"/>
    <row r="8" spans="2:11" s="334" customFormat="1" ht="22.25" customHeight="1">
      <c r="B8" s="2184" t="s">
        <v>294</v>
      </c>
      <c r="C8" s="2187" t="str">
        <f>Dictionary!B681</f>
        <v>Komplexitätsindikatoren und Teilindikatoren</v>
      </c>
      <c r="D8" s="2188"/>
      <c r="E8" s="2186" t="str">
        <f>Dictionary!B682</f>
        <v>Zu bewertende Kriterien:</v>
      </c>
      <c r="F8" s="2186"/>
      <c r="G8" s="2186"/>
      <c r="H8" s="2186"/>
      <c r="I8" s="2177" t="str">
        <f>Dictionary!B683</f>
        <v>Bewertungen und Kommentare</v>
      </c>
      <c r="J8" s="2178"/>
      <c r="K8" s="2179"/>
    </row>
    <row r="9" spans="2:11" s="334" customFormat="1" ht="30" customHeight="1">
      <c r="B9" s="2185"/>
      <c r="C9" s="2189"/>
      <c r="D9" s="2190"/>
      <c r="E9" s="474" t="str">
        <f>Dictionary!B684</f>
        <v>wenig komplex   (1)</v>
      </c>
      <c r="F9" s="474" t="str">
        <f>Dictionary!B685</f>
        <v>begrenzt komplex   (2)</v>
      </c>
      <c r="G9" s="474" t="str">
        <f>Dictionary!B686</f>
        <v>komplex   (3)</v>
      </c>
      <c r="H9" s="474" t="str">
        <f>Dictionary!B687</f>
        <v>sehr komplex   (4)</v>
      </c>
      <c r="I9" s="475" t="str">
        <f>Dictionary!B689</f>
        <v>Bewerber/in</v>
      </c>
      <c r="J9" s="476" t="str">
        <f>Dictionary!B690</f>
        <v>Leitende/r Assessor/in</v>
      </c>
      <c r="K9" s="476" t="str">
        <f>Dictionary!B691</f>
        <v>Anmerkungen, Kommentare, Nachweise (fakultativ)</v>
      </c>
    </row>
    <row r="10" spans="2:11" ht="30" customHeight="1">
      <c r="B10" s="477">
        <v>1</v>
      </c>
      <c r="C10" s="2180" t="str">
        <f>Dictionary!B693</f>
        <v>Indikatoren bezogen auf die technischen Fähigkeiten</v>
      </c>
      <c r="D10" s="2181"/>
      <c r="E10" s="2181"/>
      <c r="F10" s="2181"/>
      <c r="G10" s="2181"/>
      <c r="H10" s="2182"/>
      <c r="K10" s="478"/>
    </row>
    <row r="11" spans="2:11" ht="75">
      <c r="B11" s="479">
        <f>B10+0.1</f>
        <v>1.1000000000000001</v>
      </c>
      <c r="C11" s="558" t="str">
        <f>Dictionary!B694</f>
        <v>Ziele und Ergebnisse</v>
      </c>
      <c r="D11" s="558" t="str">
        <f>Dictionary!B695</f>
        <v>Anzahl und Unterschiedlichkeit der Einzelziele unter Berücksichtigung der Ziele und Erwartungen der relevanten Stakeholder, unterschiedliche Zielkategorien: Prozessziele, Nutzungsziele (Business Case), Operationalisierbarkeit, Transparenz und Abhängigkeiten</v>
      </c>
      <c r="E11" s="557" t="str">
        <f>Dictionary!B696</f>
        <v>sehr wenige klare Ziele, alle quantitativ angegeben, operabel</v>
      </c>
      <c r="F11" s="557" t="str">
        <f>Dictionary!B697</f>
        <v>wenige Ziele, gut formuliert, wenig Zielkonflikte</v>
      </c>
      <c r="G11" s="557" t="str">
        <f>Dictionary!B698</f>
        <v>mehrere Ziele unterschiedlicher Art, teilweise unklar definiert</v>
      </c>
      <c r="H11" s="557" t="str">
        <f>Dictionary!B699</f>
        <v>viele, teilweise konkurrierende  Ziele, strategische und politische Ziele, versteckte Ziele, Nutzungsziele</v>
      </c>
      <c r="I11" s="495"/>
      <c r="J11" s="495"/>
      <c r="K11" s="496"/>
    </row>
    <row r="12" spans="2:11" ht="65">
      <c r="B12" s="479">
        <f>B11+0.1</f>
        <v>1.2000000000000002</v>
      </c>
      <c r="C12" s="558" t="str">
        <f>Dictionary!B701</f>
        <v>Aufgaben und Prozesse</v>
      </c>
      <c r="D12" s="558" t="str">
        <f>Dictionary!B702</f>
        <v>Umfang der Aufgaben, Annahmen und Randbedingungen und deren Abhängigkeiten, eingesetzte Prozesse, Tools und Methoden, eingesetzte Team- und Kommunikationsstrukturen</v>
      </c>
      <c r="E12" s="557" t="str">
        <f>Dictionary!B703</f>
        <v>bekannte Aufgabenstellung und Randbedingungen; wenige Standard-/Reportingverfahren</v>
      </c>
      <c r="F12" s="557" t="str">
        <f>Dictionary!B704</f>
        <v>mehrere Aufgaben, ergänzt durch Annahmen; Einsatz bekannter Prozesse und Tools, einige Reporting-Vorgaben</v>
      </c>
      <c r="G12" s="557" t="str">
        <f>Dictionary!B705</f>
        <v>umfangreiches System von Aufgaben und Annahmen; viele Sachfaktoren; teilweise Einsatz neuartiger Tools und Prozesse, Reporting-Vorgaben</v>
      </c>
      <c r="H12" s="557" t="str">
        <f>Dictionary!B706</f>
        <v>sehr komplexe Aufgabenstellung, umfangreiches sachliches Umfeld; erfordert den Einsatz umfangreicher Prozess- und Toolwelt, strenge Reporting-Vorgaben</v>
      </c>
      <c r="I12" s="495"/>
      <c r="J12" s="495"/>
      <c r="K12" s="496"/>
    </row>
    <row r="13" spans="2:11" ht="65">
      <c r="B13" s="479">
        <f>B12+0.1</f>
        <v>1.3000000000000003</v>
      </c>
      <c r="C13" s="558" t="str">
        <f>Dictionary!B708</f>
        <v>Ressourcen und Finanzen</v>
      </c>
      <c r="D13" s="558" t="str">
        <f>Dictionary!B709</f>
        <v>Akquisition und Bereitstellung der erforderlichen Budgets sowie deren Management; Anzahl der Geldgeber; Verfügbarkeit und Qualität der notwendigen (personellen und sonstigen) Ressourcen; Ressourcen-Management und Beschaffungsprozesse</v>
      </c>
      <c r="E13" s="557" t="str">
        <f>Dictionary!B710</f>
        <v>Budget-Ermittlung ohne Verhandlung, einfache Kostenüberwachung; Ressourcen verfügbar, geringe Ressourcenkonflikte; geringfügige Beschaffungsvorgänge</v>
      </c>
      <c r="F13" s="557" t="str">
        <f>Dictionary!B711</f>
        <v>Budget-Ermittlung und  -Verhandlung; Verhandlung der benötigten Ressourcen, teilweise externe Ressourcen-Beschaffung</v>
      </c>
      <c r="G13" s="557" t="str">
        <f>Dictionary!B712</f>
        <v>Budget- und Ressourcenbeschaffung im Wettbewerb mit anderen Projekten; wesentliche Beschaffungsvorgänge</v>
      </c>
      <c r="H13" s="557" t="str">
        <f>Dictionary!B713</f>
        <v>Beschaffung wesentlicher Finanzmittel, Finanzierung durch unterschiedliche Geldgeber intern und extern; Steuerung wesentlicher Unterauftragnehmer</v>
      </c>
      <c r="I13" s="495"/>
      <c r="J13" s="495"/>
      <c r="K13" s="496"/>
    </row>
    <row r="14" spans="2:11" ht="60">
      <c r="B14" s="479">
        <f>B13+0.1</f>
        <v>1.4000000000000004</v>
      </c>
      <c r="C14" s="558" t="str">
        <f>Dictionary!B715</f>
        <v>Chancen und Risiken</v>
      </c>
      <c r="D14" s="558" t="str">
        <f>Dictionary!B716</f>
        <v xml:space="preserve">Bewertung der Chancen und Risiken im Projekt; Ermittlung und Steuerung des Risikosystems; Ableitung von validen Maßnahmen; Ermittlung und Nutzung von Chancen; Anwendung von Tools zur Steuerung des Risiko-Budgets </v>
      </c>
      <c r="E14" s="557" t="str">
        <f>Dictionary!B717</f>
        <v>wenige Risiken in überschaubarer Höhe, kein Chancen-Management</v>
      </c>
      <c r="F14" s="557" t="str">
        <f>Dictionary!B718</f>
        <v>mehrere Risiken und Chancen; stabiles Risiko-System; Management eines Risiko-Budgets</v>
      </c>
      <c r="G14" s="557" t="str">
        <f>Dictionary!B719</f>
        <v>mehrere Risiken mit begrenzter Schadenshöhe; Möglichkeit der Chancen-Nutzung zur Entlastung des Projektes</v>
      </c>
      <c r="H14" s="557" t="str">
        <f>Dictionary!B720</f>
        <v>Umfangreiches Risiko-Potential inklusive hoher strategischer Risiken; Anwendung valider Steuerungsmöglichkeiten; Meldung nach KONTRAG</v>
      </c>
      <c r="I14" s="495"/>
      <c r="J14" s="495"/>
      <c r="K14" s="496"/>
    </row>
    <row r="15" spans="2:11" s="387" customFormat="1" ht="24" customHeight="1">
      <c r="H15" s="387" t="str">
        <f>Dictionary!B721</f>
        <v>Durchschnitt der eingegebenen Detailbewertungen:</v>
      </c>
      <c r="I15" s="480" t="str">
        <f>IF(SUM(I11:I14)=0,"",ROUNDDOWN(AVERAGE(I11:I14),1))</f>
        <v/>
      </c>
      <c r="J15" s="480" t="str">
        <f>IF(SUM(J11:J14)=0,"",ROUNDDOWN(AVERAGE(J11:J14),1))</f>
        <v/>
      </c>
      <c r="K15" s="481"/>
    </row>
    <row r="16" spans="2:11">
      <c r="C16" s="473"/>
      <c r="D16" s="473"/>
      <c r="E16" s="482"/>
      <c r="F16" s="482"/>
      <c r="G16" s="482"/>
      <c r="H16" s="482"/>
    </row>
    <row r="17" spans="2:11" ht="30" customHeight="1">
      <c r="B17" s="477">
        <v>2</v>
      </c>
      <c r="C17" s="2180" t="str">
        <f>Dictionary!B723</f>
        <v>Indikatoren bezogen auf den Kontext</v>
      </c>
      <c r="D17" s="2181"/>
      <c r="E17" s="2181"/>
      <c r="F17" s="2181"/>
      <c r="G17" s="2181"/>
      <c r="H17" s="2182"/>
    </row>
    <row r="18" spans="2:11" ht="60">
      <c r="B18" s="479">
        <f>B17+0.1</f>
        <v>2.1</v>
      </c>
      <c r="C18" s="558" t="str">
        <f>Dictionary!B724</f>
        <v xml:space="preserve">Strategie, Stakeholder </v>
      </c>
      <c r="D18" s="558" t="str">
        <f>Dictionary!B725</f>
        <v>Einfluss der Unternehmens-Strategie, Auswirkungen des Projektes auf das Unternehmen, Stakeholder-Interessen;
Gesetze und Regularien</v>
      </c>
      <c r="E18" s="559" t="str">
        <f>Dictionary!B726</f>
        <v>wenige strategische Einflüsse; Projekt ist rein operativ ausgerichtet</v>
      </c>
      <c r="F18" s="559" t="str">
        <f>Dictionary!B727</f>
        <v>Stakeholder-Interessen  beeinflussen das Projekt begrenzte Einflüsse aus der Unternehmens-Strategie</v>
      </c>
      <c r="G18" s="559" t="str">
        <f>Dictionary!B728</f>
        <v>Viele Komponenten (?) unterschiedlicher Art</v>
      </c>
      <c r="H18" s="559" t="str">
        <f>Dictionary!B729</f>
        <v>Projekt hat erheblichen Einfluss auf das Unternehmen und seinen Erfolg; starke Auswirkungen von Gesetzen und Regularien</v>
      </c>
      <c r="I18" s="495"/>
      <c r="J18" s="495"/>
      <c r="K18" s="496"/>
    </row>
    <row r="19" spans="2:11" ht="135">
      <c r="B19" s="479">
        <f>B18+0.1</f>
        <v>2.2000000000000002</v>
      </c>
      <c r="C19" s="558" t="str">
        <f>Dictionary!B731</f>
        <v>Stammorganisation</v>
      </c>
      <c r="D19" s="558" t="str">
        <f>Dictionary!B732</f>
        <v>Umfang der Vernetzung über Schnittstellen des Projektes mit den Strukturen, Berichtswesen und Entscheidungswegen der Stammorganisation</v>
      </c>
      <c r="E19" s="559" t="str">
        <f>Dictionary!B733</f>
        <v xml:space="preserve">starke Abgrenzung des Projektes von der Stammorganisation, Entscheidungen fallen wesentlich in der Stammorganisation, viele ähnliche Projekte wurden bereits im Unternehmen durchgeführt </v>
      </c>
      <c r="F19" s="559" t="str">
        <f>Dictionary!B734</f>
        <v>klare Schnittstellen zur Stammorganisation z.B. über Leitungsgremium; Berichtswesen und Entscheidungswege begrenzt und klar definiert Projekt hat geringe Auswirkungen auf Prozesse der Stammorganisation,  ähnliche Projekte wurden bereits im Unternehmen durchgeführt</v>
      </c>
      <c r="G19" s="559" t="str">
        <f>Dictionary!B735</f>
        <v>viele operative Schnittstellen wirken auf  das Projekt ein; Berichte und Entscheidungen machen erheblichen Arbeitsanteil aus, Projekt hat  Auswirkungen auf Prozesse der Stammorganisation, wenige ähnliche Projekte wurden bereits im Unternehmen durchgeführt</v>
      </c>
      <c r="H19" s="559" t="str">
        <f>Dictionary!B736</f>
        <v>Starke Einflüsse der Stammorganisation auf strategischer Ebene; Entscheidungen durch Verhandlungen mit der Stammorganisation, Projekt hat starke Auswirkungen auf Prozesse der Stammorganisation , Projekt ist neuartig für Unternehmen</v>
      </c>
      <c r="I19" s="495"/>
      <c r="J19" s="495"/>
      <c r="K19" s="496"/>
    </row>
    <row r="20" spans="2:11" ht="65">
      <c r="B20" s="479">
        <f>B19+0.1</f>
        <v>2.3000000000000003</v>
      </c>
      <c r="C20" s="558" t="str">
        <f>Dictionary!B738</f>
        <v>Sozio-Kulturelle Einflüsse</v>
      </c>
      <c r="D20" s="558" t="str">
        <f>Dictionary!B739</f>
        <v>Einfluss der sozio-kulturellen Unterschiede im Projektteam, insbesondere bei verteilten oder Firmen-übergreifenden Teams</v>
      </c>
      <c r="E20" s="557" t="str">
        <f>Dictionary!B740</f>
        <v>keine Auswirkungen zu erwarten (Projekt an einem Standort, eine Sprache, homogene Projektgruppe)</v>
      </c>
      <c r="F20" s="557" t="str">
        <f>Dictionary!B741</f>
        <v>wenig Auswirkungen zu erwarten</v>
      </c>
      <c r="G20" s="557" t="str">
        <f>Dictionary!B742</f>
        <v>Auswirkungen infolge lokal verteilter Teams, mehreren Sprachen oder heterogenen Kulturkreisen erfordern in Einzelfällen Führungsmaßnahmen</v>
      </c>
      <c r="H20" s="557" t="str">
        <f>Dictionary!B743</f>
        <v>Auswirkungen infolge lokal verteilter Teams oder großer Teams aus unterschiedlichen Unternehmen und Kulturkreisen erfordern umfangreiche Führungsmaßnahmen</v>
      </c>
      <c r="I20" s="495"/>
      <c r="J20" s="495"/>
      <c r="K20" s="496"/>
    </row>
    <row r="21" spans="2:11" s="387" customFormat="1" ht="24" customHeight="1">
      <c r="H21" s="387" t="str">
        <f>Dictionary!B744</f>
        <v>Durchschnitt der eingegebenen Detailbewertungen:</v>
      </c>
      <c r="I21" s="480" t="str">
        <f>IF(SUM(I18:I20)=0,"",ROUNDDOWN(AVERAGE(I18:I20),1))</f>
        <v/>
      </c>
      <c r="J21" s="480" t="str">
        <f>IF(SUM(J18:J20)=0,"",ROUNDDOWN(AVERAGE(J18:J20),1))</f>
        <v/>
      </c>
      <c r="K21" s="481"/>
    </row>
    <row r="22" spans="2:11">
      <c r="C22" s="473"/>
      <c r="D22" s="473"/>
      <c r="E22" s="482"/>
      <c r="F22" s="482"/>
      <c r="G22" s="482"/>
      <c r="H22" s="482"/>
    </row>
    <row r="23" spans="2:11" ht="30" customHeight="1">
      <c r="B23" s="477">
        <v>3</v>
      </c>
      <c r="C23" s="2180" t="str">
        <f>Dictionary!B746</f>
        <v>Indikatoren bezogen auf Management und Führung</v>
      </c>
      <c r="D23" s="2181"/>
      <c r="E23" s="2181"/>
      <c r="F23" s="2181"/>
      <c r="G23" s="2181"/>
      <c r="H23" s="2182"/>
    </row>
    <row r="24" spans="2:11" ht="90">
      <c r="B24" s="479">
        <f>B23+0.1</f>
        <v>3.1</v>
      </c>
      <c r="C24" s="560" t="str">
        <f>Dictionary!B747</f>
        <v xml:space="preserve">Führung und Teamwork </v>
      </c>
      <c r="D24" s="560" t="str">
        <f>Dictionary!B748</f>
        <v>Umfang der Führungs-, Teambildungs und-Steuerungsmaßnahmen</v>
      </c>
      <c r="E24" s="559" t="str">
        <f>Dictionary!B749</f>
        <v>fast alle Teammitglieder haben bereits mit PL gearbeitet, PL hat Erfahrung im Mgt von Teams über 5 J, Governance Vorgaben sind klar definiert, das Projektteam hat hohe PM Skills</v>
      </c>
      <c r="F24" s="559" t="str">
        <f>Dictionary!B750</f>
        <v>sehr viele Teammitglieder haben bereits mit PL gearbeitet, PL hat Erfahrung im Mgt von Teams über 3 J, governance Vorgaben sind teilweise definiert, das Projektteam hat  PM Skills</v>
      </c>
      <c r="G24" s="559" t="str">
        <f>Dictionary!B751</f>
        <v>viele Teammitglieder haben bereits mit PL gearbeitet, PL hat Erfahrung im Mgt von Teams über 1-2 J, einige Governance Vorgaben sind klar definiert, das Projektteam hat einige PM Skills</v>
      </c>
      <c r="H24" s="559" t="str">
        <f>Dictionary!B752</f>
        <v>wenige Teammitglieder haben bereits mit PL gearbeitet, PL hat Erfahrung im Mgt von Teams weniger 1J, wenige Governance Vorgaben sind definiert, das Projektteam hat sehr wenig PM Skills</v>
      </c>
      <c r="I24" s="495"/>
      <c r="J24" s="495"/>
      <c r="K24" s="496"/>
    </row>
    <row r="25" spans="2:11" ht="91" customHeight="1">
      <c r="B25" s="479">
        <f>B24+0.1</f>
        <v>3.2</v>
      </c>
      <c r="C25" s="558" t="str">
        <f>Dictionary!B754</f>
        <v xml:space="preserve"> Innovation</v>
      </c>
      <c r="D25" s="558" t="str">
        <f>Dictionary!B755</f>
        <v>technische Neuartigkeit des Projektes und seine Auswirkungen auf Ressourcenauswahl und Aus- und Weiterbildung während des Projektes; Umgang mit neuartigen Ansätzen und Ergebnissen</v>
      </c>
      <c r="E25" s="559" t="str">
        <f>Dictionary!B756</f>
        <v>kein Handlungsbedarf infolge geringer Neuartigkeit, z.B. Wiederholprojekte</v>
      </c>
      <c r="F25" s="559" t="str">
        <f>Dictionary!B757</f>
        <v>einige Maßnahmen erforderlich infolge der Neuartigkeit in einzelnen Bereichen</v>
      </c>
      <c r="G25" s="559" t="str">
        <f>Dictionary!B758</f>
        <v>Neuartigkeit des Projektgegenstandes und/oder von Prozessen bedingt vorbereitende Qualifizerungsmaßnahmen</v>
      </c>
      <c r="H25" s="559" t="str">
        <f>Dictionary!B759</f>
        <v xml:space="preserve">Neuartigkeit des Projektgegenstandes und/oder von Prozessen in Verbindung mit großem Projektvolumen bedingt Planung der Qualifizierung, aber auch intensives Risiko-Management </v>
      </c>
      <c r="I25" s="495"/>
      <c r="J25" s="495"/>
      <c r="K25" s="496"/>
    </row>
    <row r="26" spans="2:11" ht="60">
      <c r="B26" s="479">
        <f>B25+0.1</f>
        <v>3.3000000000000003</v>
      </c>
      <c r="C26" s="558" t="str">
        <f>Dictionary!B761</f>
        <v>Autonomie und Verantwortung</v>
      </c>
      <c r="D26" s="558" t="str">
        <f>Dictionary!B762</f>
        <v>Entscheidungs- und Verantwortungsspielraum des Projektleiters; Umfang der Delegation in das Projektteam; Vertretung des Projektes gegenüber dem gesamten sozialen Umfeld</v>
      </c>
      <c r="E26" s="559" t="str">
        <f>Dictionary!B763</f>
        <v xml:space="preserve">wenig Autonomie/Gestaltungsspielräume des PL bzgl. Entscheidungen und Vertretung des Projektes nach aussen </v>
      </c>
      <c r="F26" s="559" t="str">
        <f>Dictionary!B764</f>
        <v>Verhandlung Lasten- und Pflichtenheft; Gesaltungs-spielräume ergeben sich hauptsächlich durch Änderungsprozesse</v>
      </c>
      <c r="G26" s="559" t="str">
        <f>Dictionary!B765</f>
        <v>Projektleiter vertritt das Projekt und damit auch das Unternehmen auch gegenüber externen Stakeholdern</v>
      </c>
      <c r="H26" s="559" t="str">
        <f>Dictionary!B766</f>
        <v>umfangreiche Verantwortungs- und Entscheidungsspielräume, z.B. durch Vollmachts- oder Unterschriftenregelung</v>
      </c>
      <c r="I26" s="495"/>
      <c r="J26" s="495"/>
      <c r="K26" s="496"/>
    </row>
    <row r="27" spans="2:11" s="387" customFormat="1" ht="24" customHeight="1">
      <c r="H27" s="387" t="str">
        <f>Dictionary!B767</f>
        <v>Durchschnitt der eingegebenen Detailbewertungen:</v>
      </c>
      <c r="I27" s="480" t="str">
        <f>IF(SUM(I24:I26)=0,"",ROUNDDOWN(AVERAGE(I24:I26),1))</f>
        <v/>
      </c>
      <c r="J27" s="480" t="str">
        <f>IF(SUM(J24:J26)=0,"",ROUNDDOWN(AVERAGE(J24:J26),1))</f>
        <v/>
      </c>
      <c r="K27" s="481"/>
    </row>
    <row r="28" spans="2:11">
      <c r="C28" s="473"/>
      <c r="D28" s="473"/>
      <c r="E28" s="482"/>
      <c r="F28" s="482"/>
      <c r="G28" s="482"/>
      <c r="H28" s="482"/>
    </row>
    <row r="29" spans="2:11" ht="17" customHeight="1"/>
    <row r="30" spans="2:11" ht="17" customHeight="1">
      <c r="F30" s="334" t="str">
        <f>Dictionary!B768</f>
        <v>Zusammenfassende Bewertungen (gerundet)</v>
      </c>
    </row>
    <row r="31" spans="2:11" ht="17" customHeight="1">
      <c r="G31" s="483" t="str">
        <f>Dictionary!B769</f>
        <v>Indikator</v>
      </c>
      <c r="H31" s="471">
        <v>1</v>
      </c>
      <c r="I31" s="484" t="str">
        <f>IF(I15="","",I15)</f>
        <v/>
      </c>
      <c r="J31" s="484" t="str">
        <f>IF(J15="","",J15)</f>
        <v/>
      </c>
    </row>
    <row r="32" spans="2:11" ht="17" customHeight="1">
      <c r="G32" s="483" t="str">
        <f>Dictionary!B769</f>
        <v>Indikator</v>
      </c>
      <c r="H32" s="471">
        <f>1+H31</f>
        <v>2</v>
      </c>
      <c r="I32" s="485" t="str">
        <f>IF(I21="","",I21)</f>
        <v/>
      </c>
      <c r="J32" s="485" t="str">
        <f>IF(J21="","",J21)</f>
        <v/>
      </c>
    </row>
    <row r="33" spans="2:12" ht="17" customHeight="1">
      <c r="G33" s="483" t="str">
        <f>Dictionary!B769</f>
        <v>Indikator</v>
      </c>
      <c r="H33" s="471">
        <f>1+H32</f>
        <v>3</v>
      </c>
      <c r="I33" s="485" t="str">
        <f>IF(I27="","",I27)</f>
        <v/>
      </c>
      <c r="J33" s="485" t="str">
        <f>IF(J27="","",J27)</f>
        <v/>
      </c>
    </row>
    <row r="34" spans="2:12" s="473" customFormat="1" ht="17" customHeight="1">
      <c r="B34" s="471"/>
      <c r="C34" s="472"/>
      <c r="D34" s="472"/>
      <c r="E34" s="472"/>
      <c r="F34" s="472"/>
      <c r="G34" s="472"/>
      <c r="H34" s="387" t="str">
        <f>Dictionary!B770</f>
        <v xml:space="preserve">Gesamtbewertung   </v>
      </c>
      <c r="I34" s="485">
        <f>SUM(I11:I14)+SUM(I18:I20)+SUM(I24:I26)</f>
        <v>0</v>
      </c>
      <c r="J34" s="485">
        <f>SUM(J11:J14)+SUM(J18:J20)+SUM(J24:J26)</f>
        <v>0</v>
      </c>
      <c r="L34" s="472"/>
    </row>
    <row r="35" spans="2:12" s="473" customFormat="1" ht="17" customHeight="1">
      <c r="B35" s="471"/>
      <c r="C35" s="472"/>
      <c r="D35" s="472"/>
      <c r="E35" s="472"/>
      <c r="F35" s="472"/>
      <c r="G35" s="472"/>
      <c r="H35" s="387"/>
      <c r="I35" s="486"/>
      <c r="J35" s="486"/>
      <c r="L35" s="472"/>
    </row>
    <row r="36" spans="2:12" s="473" customFormat="1" ht="17" customHeight="1">
      <c r="B36" s="471"/>
      <c r="C36" s="487"/>
      <c r="D36" s="487"/>
      <c r="E36" s="472"/>
      <c r="F36" s="472"/>
      <c r="G36" s="472"/>
      <c r="H36" s="472"/>
      <c r="I36" s="471"/>
      <c r="J36" s="471"/>
      <c r="L36" s="472"/>
    </row>
    <row r="37" spans="2:12" s="473" customFormat="1" ht="17" customHeight="1" thickBot="1">
      <c r="B37" s="460"/>
      <c r="C37" s="460"/>
      <c r="D37" s="460"/>
      <c r="E37" s="460"/>
      <c r="F37" s="460"/>
      <c r="G37" s="460"/>
      <c r="H37" s="460"/>
      <c r="I37" s="460"/>
      <c r="J37" s="460"/>
      <c r="K37" s="460"/>
      <c r="L37" s="472"/>
    </row>
    <row r="38" spans="2:12" s="473" customFormat="1" ht="17" customHeight="1">
      <c r="B38" s="89"/>
      <c r="C38" s="89"/>
      <c r="D38" s="89"/>
      <c r="F38" s="472"/>
      <c r="G38" s="472"/>
      <c r="H38" s="472"/>
      <c r="I38" s="471"/>
      <c r="J38" s="471"/>
      <c r="K38" s="464" t="s">
        <v>105</v>
      </c>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ht="17" customHeight="1"/>
    <row r="50" ht="17" customHeight="1"/>
    <row r="51" ht="17" customHeight="1"/>
    <row r="52" ht="17" customHeight="1"/>
    <row r="53" ht="17" customHeight="1"/>
    <row r="54" ht="17" customHeight="1"/>
    <row r="55" ht="17" customHeight="1"/>
    <row r="56" ht="17" customHeight="1"/>
    <row r="57" ht="17" customHeight="1"/>
    <row r="58" ht="17" customHeight="1"/>
    <row r="59" ht="17" customHeight="1"/>
    <row r="60" ht="17" customHeight="1"/>
    <row r="61" ht="17" customHeight="1"/>
    <row r="62" ht="17" customHeight="1"/>
    <row r="63" ht="17" customHeight="1"/>
    <row r="64" ht="17" customHeight="1"/>
    <row r="65" ht="17" customHeight="1"/>
    <row r="66" ht="17" customHeight="1"/>
    <row r="67" ht="17" customHeight="1"/>
    <row r="68" ht="17" customHeight="1"/>
    <row r="69" ht="17" customHeight="1"/>
    <row r="70" ht="17" customHeight="1"/>
  </sheetData>
  <sheetProtection algorithmName="SHA-512" hashValue="cCViSJK0HXp0ZVQyj8XDXatjVQwpW/Gpt7TaboGZ04r5vWIkdvYyCkbCj0XhKMAhEk2nqJ3NQKE26l97aGTTgg==" saltValue="+bqGbSB+9bxwCsKQleBpaQ==" spinCount="100000" sheet="1" objects="1" scenarios="1" selectLockedCells="1"/>
  <mergeCells count="9">
    <mergeCell ref="C10:H10"/>
    <mergeCell ref="C17:H17"/>
    <mergeCell ref="C23:H23"/>
    <mergeCell ref="B3:K3"/>
    <mergeCell ref="F6:H6"/>
    <mergeCell ref="B8:B9"/>
    <mergeCell ref="C8:D9"/>
    <mergeCell ref="E8:H8"/>
    <mergeCell ref="I8:K8"/>
  </mergeCells>
  <conditionalFormatting sqref="I35:J35">
    <cfRule type="cellIs" dxfId="415" priority="1" operator="equal">
      <formula>"Yes"</formula>
    </cfRule>
    <cfRule type="cellIs" dxfId="414" priority="2" operator="equal">
      <formula>"No"</formula>
    </cfRule>
  </conditionalFormatting>
  <dataValidations count="1">
    <dataValidation type="whole" allowBlank="1" showInputMessage="1" showErrorMessage="1" sqref="I11:J14 I18:J20 I24:J26" xr:uid="{00000000-0002-0000-1C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19AF3-4ED9-4BC4-9BD8-4AE5B6A138DC}">
  <sheetPr codeName="Support_Sheet68"/>
  <dimension ref="A1:I55"/>
  <sheetViews>
    <sheetView topLeftCell="A16" workbookViewId="0">
      <selection activeCell="H25" sqref="H25"/>
    </sheetView>
  </sheetViews>
  <sheetFormatPr baseColWidth="10" defaultColWidth="8.6640625" defaultRowHeight="15"/>
  <cols>
    <col min="2" max="2" width="32.33203125" customWidth="1"/>
  </cols>
  <sheetData>
    <row r="1" spans="1:9">
      <c r="A1" t="s">
        <v>3709</v>
      </c>
    </row>
    <row r="11" spans="1:9">
      <c r="B11" s="2045" t="str">
        <f>Dictionary!B587</f>
        <v>Kontrollbereich für Projektauftrag und MCR-Selektoren</v>
      </c>
      <c r="C11" s="2045"/>
      <c r="D11" s="2045"/>
      <c r="E11" s="2045"/>
      <c r="F11" s="2045"/>
      <c r="G11" s="2045"/>
      <c r="H11" s="2045"/>
      <c r="I11" s="2045"/>
    </row>
    <row r="12" spans="1:9">
      <c r="B12" s="142"/>
      <c r="C12" s="142"/>
      <c r="D12" s="142"/>
      <c r="E12" s="142"/>
      <c r="F12" s="142"/>
      <c r="G12" s="142"/>
      <c r="H12" s="142"/>
      <c r="I12" s="142"/>
    </row>
    <row r="13" spans="1:9">
      <c r="B13" s="502" t="str">
        <f>Dictionary!B588</f>
        <v>Kundenauswahl</v>
      </c>
      <c r="C13" s="142"/>
      <c r="D13" s="142"/>
      <c r="E13" s="142"/>
      <c r="F13" s="142"/>
      <c r="G13" s="142"/>
      <c r="H13" s="142"/>
      <c r="I13" s="142"/>
    </row>
    <row r="14" spans="1:9">
      <c r="B14" s="501" t="str">
        <f>Dictionary!B594</f>
        <v>Interner Kunde</v>
      </c>
      <c r="C14" s="142"/>
      <c r="D14" s="142"/>
      <c r="E14" s="142"/>
      <c r="F14" s="142"/>
      <c r="G14" s="142"/>
      <c r="H14" s="142"/>
      <c r="I14" s="142"/>
    </row>
    <row r="15" spans="1:9">
      <c r="B15" s="501" t="str">
        <f>Dictionary!B595</f>
        <v>Externer Kunde</v>
      </c>
      <c r="C15" s="142"/>
      <c r="D15" s="142"/>
      <c r="E15" s="142"/>
      <c r="F15" s="142"/>
      <c r="G15" s="142"/>
      <c r="H15" s="142"/>
      <c r="I15" s="142"/>
    </row>
    <row r="16" spans="1:9">
      <c r="A16" t="s">
        <v>3709</v>
      </c>
    </row>
    <row r="17" spans="2:2">
      <c r="B17" s="499" t="str">
        <f>Dictionary!B589</f>
        <v>Projektverantwortung Dropdown</v>
      </c>
    </row>
    <row r="18" spans="2:2">
      <c r="B18" s="500" t="s">
        <v>1037</v>
      </c>
    </row>
    <row r="19" spans="2:2">
      <c r="B19" s="500" t="s">
        <v>1038</v>
      </c>
    </row>
    <row r="22" spans="2:2">
      <c r="B22" s="499" t="str">
        <f>Dictionary!B591</f>
        <v>PO Dropdown</v>
      </c>
    </row>
    <row r="23" spans="2:2">
      <c r="B23" s="500" t="str">
        <f>Dictionary!B598</f>
        <v>F&amp;E</v>
      </c>
    </row>
    <row r="24" spans="2:2">
      <c r="B24" s="500" t="str">
        <f>Dictionary!B599</f>
        <v>Organisation</v>
      </c>
    </row>
    <row r="25" spans="2:2">
      <c r="B25" s="500" t="str">
        <f>Dictionary!B600</f>
        <v>Investition</v>
      </c>
    </row>
    <row r="26" spans="2:2">
      <c r="B26" s="500" t="str">
        <f>Dictionary!B601</f>
        <v>Sonstige (s. Anm.)</v>
      </c>
    </row>
    <row r="28" spans="2:2">
      <c r="B28" s="499" t="str">
        <f>Dictionary!B591</f>
        <v>PO Dropdown</v>
      </c>
    </row>
    <row r="29" spans="2:2">
      <c r="B29" s="500" t="str">
        <f>Dictionary!B604</f>
        <v>Stabslinie</v>
      </c>
    </row>
    <row r="30" spans="2:2">
      <c r="B30" s="500" t="str">
        <f>Dictionary!B605</f>
        <v>Starke Matrix</v>
      </c>
    </row>
    <row r="31" spans="2:2">
      <c r="B31" s="500" t="str">
        <f>Dictionary!B606</f>
        <v>Schwache Matrix</v>
      </c>
    </row>
    <row r="32" spans="2:2">
      <c r="B32" s="500" t="str">
        <f>Dictionary!B607</f>
        <v>Ausgewogene Matrix</v>
      </c>
    </row>
    <row r="33" spans="2:9">
      <c r="B33" s="500" t="str">
        <f>Dictionary!B608</f>
        <v>Autonom</v>
      </c>
    </row>
    <row r="34" spans="2:9">
      <c r="B34" s="500" t="str">
        <f>Dictionary!B609</f>
        <v>Gemischt</v>
      </c>
    </row>
    <row r="39" spans="2:9">
      <c r="B39" s="2045" t="str">
        <f>Dictionary!B592</f>
        <v>Kontrollabschnitt für die Punktevergabe</v>
      </c>
      <c r="C39" s="2045"/>
      <c r="D39" s="2045"/>
      <c r="E39" s="2045"/>
      <c r="F39" s="2045"/>
      <c r="G39" s="2045"/>
      <c r="H39" s="2045"/>
      <c r="I39" s="2045"/>
    </row>
    <row r="41" spans="2:9">
      <c r="B41" s="500" t="str">
        <f>Dictionary!B593</f>
        <v>Bewertung Drop Down</v>
      </c>
    </row>
    <row r="42" spans="2:9">
      <c r="B42" s="500">
        <f>IF(Dictionary!I46="","",Dictionary!I46)</f>
        <v>0</v>
      </c>
    </row>
    <row r="43" spans="2:9">
      <c r="B43" s="500">
        <f>IF(Dictionary!I47="","",Dictionary!I47)</f>
        <v>1</v>
      </c>
    </row>
    <row r="44" spans="2:9">
      <c r="B44" s="500" t="str">
        <f>IF(Dictionary!I48="","",Dictionary!I48)</f>
        <v/>
      </c>
    </row>
    <row r="45" spans="2:9">
      <c r="B45" s="500" t="str">
        <f>IF(Dictionary!I49="","",Dictionary!I49)</f>
        <v/>
      </c>
    </row>
    <row r="46" spans="2:9">
      <c r="B46" s="500" t="str">
        <f>IF(Dictionary!I50="","",Dictionary!I50)</f>
        <v/>
      </c>
    </row>
    <row r="47" spans="2:9">
      <c r="B47" s="500" t="str">
        <f>IF(Dictionary!I51="","",Dictionary!I51)</f>
        <v/>
      </c>
    </row>
    <row r="49" spans="2:2">
      <c r="B49" s="500" t="s">
        <v>1996</v>
      </c>
    </row>
    <row r="50" spans="2:2">
      <c r="B50" s="500" t="s">
        <v>1997</v>
      </c>
    </row>
    <row r="51" spans="2:2">
      <c r="B51" s="500"/>
    </row>
    <row r="53" spans="2:2">
      <c r="B53" s="500" t="s">
        <v>4028</v>
      </c>
    </row>
    <row r="54" spans="2:2">
      <c r="B54" s="500" t="s">
        <v>1037</v>
      </c>
    </row>
    <row r="55" spans="2:2">
      <c r="B55" s="500"/>
    </row>
  </sheetData>
  <sheetProtection algorithmName="SHA-512" hashValue="glyUew9YfIs4Qx4llZ7718WSkNQJLlli+5u5dbdXjRWHdlqYHp8QD9IYfF/Gxzh9N3VIspHLLsRUeqiQJoTxcg==" saltValue="FqtMuWDCVGcjp8DO8826ow==" spinCount="100000" sheet="1" objects="1" scenarios="1" selectLockedCells="1" selectUnlockedCells="1"/>
  <mergeCells count="2">
    <mergeCell ref="B11:I11"/>
    <mergeCell ref="B39:I39"/>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0F1C7-96DA-4F16-95AD-61F1C94C66C1}">
  <sheetPr codeName="Sheet10">
    <tabColor theme="9"/>
  </sheetPr>
  <dimension ref="B1:E68"/>
  <sheetViews>
    <sheetView zoomScale="130" zoomScaleNormal="130" workbookViewId="0">
      <selection activeCell="C13" sqref="C13"/>
    </sheetView>
  </sheetViews>
  <sheetFormatPr baseColWidth="10" defaultColWidth="11.5" defaultRowHeight="15"/>
  <cols>
    <col min="1" max="1" width="2.5" style="89" customWidth="1"/>
    <col min="2" max="2" width="45.5" style="89" customWidth="1"/>
    <col min="3" max="3" width="22.83203125" style="89" customWidth="1"/>
    <col min="4" max="4" width="32" style="89" customWidth="1"/>
    <col min="5" max="5" width="22.83203125" style="89" customWidth="1"/>
    <col min="6" max="6" width="3.1640625" style="89" customWidth="1"/>
    <col min="7" max="7" width="20" style="89" customWidth="1"/>
    <col min="8" max="9" width="11.5" style="89"/>
    <col min="10" max="10" width="8.5" style="89" customWidth="1"/>
    <col min="11" max="16384" width="11.5" style="89"/>
  </cols>
  <sheetData>
    <row r="1" spans="2:5" ht="15.75" customHeight="1" thickBot="1">
      <c r="B1" s="497" t="str">
        <f ca="1">COV!C20</f>
        <v>DECKBLATT BITTE VOLLSTÄNDIG AUSFÜLLEN!</v>
      </c>
      <c r="C1" s="459"/>
      <c r="D1" s="459"/>
      <c r="E1" s="459"/>
    </row>
    <row r="2" spans="2:5" ht="5.25" customHeight="1" thickTop="1"/>
    <row r="3" spans="2:5" ht="21">
      <c r="B3" s="2046" t="str">
        <f>Dictionary!B614&amp;'(7b) Project List'!A15</f>
        <v>Steckbrief für Management Erfahrung 7</v>
      </c>
      <c r="C3" s="2046"/>
      <c r="D3" s="2046"/>
      <c r="E3" s="2046"/>
    </row>
    <row r="4" spans="2:5" ht="21">
      <c r="B4" s="488"/>
      <c r="C4" s="488"/>
      <c r="D4" s="488"/>
      <c r="E4" s="488"/>
    </row>
    <row r="5" spans="2:5" ht="21">
      <c r="B5" s="489" t="str">
        <f>EXP!B5</f>
        <v xml:space="preserve"> , Level A, Projekt Management, Erstzertifizierung</v>
      </c>
      <c r="C5" s="490"/>
      <c r="D5" s="490"/>
      <c r="E5" s="490"/>
    </row>
    <row r="7" spans="2:5">
      <c r="B7" s="2013" t="str">
        <f>Dictionary!B618</f>
        <v>Kopfzeile</v>
      </c>
      <c r="C7" s="2013"/>
      <c r="D7" s="2013"/>
      <c r="E7" s="2013"/>
    </row>
    <row r="8" spans="2:5" ht="16.5" customHeight="1">
      <c r="B8" s="503" t="str">
        <f>EXP!D15&amp;" "&amp;Dictionary!B615</f>
        <v xml:space="preserve"> Name </v>
      </c>
      <c r="C8" s="504" t="str">
        <f>IF('(7b) Project List'!B15="","",'(7b) Project List'!B15)</f>
        <v/>
      </c>
      <c r="D8" s="508" t="str">
        <f>EXP!D15&amp;" "&amp;Dictionary!B616</f>
        <v xml:space="preserve"> Nummer </v>
      </c>
      <c r="E8" s="509"/>
    </row>
    <row r="9" spans="2:5" ht="16.5" customHeight="1">
      <c r="B9" s="510" t="str">
        <f>Dictionary!B617</f>
        <v>Kunde/AuftraggeberIn:</v>
      </c>
      <c r="C9" s="2138"/>
      <c r="D9" s="2138"/>
      <c r="E9" s="511"/>
    </row>
    <row r="10" spans="2:5" ht="16.5" customHeight="1"/>
    <row r="11" spans="2:5" ht="16.5" customHeight="1">
      <c r="B11" s="2013" t="str">
        <f>Dictionary!B620</f>
        <v>Governance &amp; eigene Rolle</v>
      </c>
      <c r="C11" s="2013"/>
      <c r="D11" s="2013"/>
      <c r="E11" s="2013"/>
    </row>
    <row r="12" spans="2:5" ht="16.5" customHeight="1">
      <c r="B12" s="503" t="str">
        <f>Dictionary!B621</f>
        <v>Eigene Rolle:</v>
      </c>
      <c r="C12" s="504" t="str">
        <f>IF('(7b) Project List'!E15="","",'(7b) Project List'!E15)</f>
        <v/>
      </c>
      <c r="D12" s="2130" t="str">
        <f>Dictionary!B622</f>
        <v>Anmerkungen:</v>
      </c>
      <c r="E12" s="2131"/>
    </row>
    <row r="13" spans="2:5" ht="16.5" customHeight="1">
      <c r="B13" s="505" t="str">
        <f>Dictionary!B623</f>
        <v>Verantwortung für den Umfang/die Ergebnisse:</v>
      </c>
      <c r="C13" s="506"/>
      <c r="D13" s="2142"/>
      <c r="E13" s="2143"/>
    </row>
    <row r="14" spans="2:5" ht="16.5" customHeight="1">
      <c r="B14" s="505" t="str">
        <f>Dictionary!B624</f>
        <v>Verantwortung für die Terminplanung:</v>
      </c>
      <c r="C14" s="506"/>
      <c r="D14" s="2142"/>
      <c r="E14" s="2143"/>
    </row>
    <row r="15" spans="2:5" ht="16.5" customHeight="1">
      <c r="B15" s="505" t="str">
        <f>Dictionary!B625</f>
        <v>Verantwortung für das Budget:</v>
      </c>
      <c r="C15" s="506"/>
      <c r="D15" s="2142"/>
      <c r="E15" s="2143"/>
    </row>
    <row r="16" spans="2:5" ht="16.5" customHeight="1">
      <c r="B16" s="561" t="str">
        <f>EXP!D15&amp;" "&amp;Dictionary!B627</f>
        <v xml:space="preserve"> Typ</v>
      </c>
      <c r="C16" s="507"/>
      <c r="D16" s="2142"/>
      <c r="E16" s="2143"/>
    </row>
    <row r="17" spans="2:5" ht="16.5" customHeight="1">
      <c r="B17" s="561" t="str">
        <f>Dictionary!B626</f>
        <v>Art der PM Organisation</v>
      </c>
      <c r="C17" s="507"/>
      <c r="D17" s="2142"/>
      <c r="E17" s="2143"/>
    </row>
    <row r="18" spans="2:5" ht="16.5" customHeight="1">
      <c r="B18" s="2139" t="str">
        <f>Dictionary!B628</f>
        <v>Kurze Beschreibung Ihrer eigenen Rolle, Verantwortung und Aktivitäten; wem sind Sie unterstellt?</v>
      </c>
      <c r="C18" s="2140"/>
      <c r="D18" s="2140"/>
      <c r="E18" s="2141"/>
    </row>
    <row r="19" spans="2:5" ht="57" customHeight="1">
      <c r="B19" s="2149"/>
      <c r="C19" s="2150"/>
      <c r="D19" s="2150"/>
      <c r="E19" s="2151"/>
    </row>
    <row r="20" spans="2:5" ht="18" customHeight="1"/>
    <row r="21" spans="2:5" ht="16.5" customHeight="1">
      <c r="B21" s="2013" t="str">
        <f>Dictionary!B630</f>
        <v>Allgemeine Informationen und Beschreibung</v>
      </c>
      <c r="C21" s="2013"/>
      <c r="D21" s="2013"/>
      <c r="E21" s="2013"/>
    </row>
    <row r="22" spans="2:5" ht="16.5" customHeight="1">
      <c r="B22" s="2157" t="str">
        <f>Dictionary!B631</f>
        <v>Kurze Beschreibung der KPI, Ergebnisse und Liefergegenstände:</v>
      </c>
      <c r="C22" s="2158"/>
      <c r="D22" s="2158"/>
      <c r="E22" s="2159"/>
    </row>
    <row r="23" spans="2:5" ht="57" customHeight="1">
      <c r="B23" s="2160"/>
      <c r="C23" s="2161"/>
      <c r="D23" s="2161"/>
      <c r="E23" s="2162"/>
    </row>
    <row r="24" spans="2:5" ht="16.5" customHeight="1">
      <c r="B24" s="2139" t="str">
        <f>Dictionary!B632</f>
        <v>Kurze Beschreibung des Umfangs und der Ziele, für die Sie verantwortlich sind:</v>
      </c>
      <c r="C24" s="2140"/>
      <c r="D24" s="2140"/>
      <c r="E24" s="2141"/>
    </row>
    <row r="25" spans="2:5" ht="57" customHeight="1">
      <c r="B25" s="2160"/>
      <c r="C25" s="2161"/>
      <c r="D25" s="2161"/>
      <c r="E25" s="2162"/>
    </row>
    <row r="26" spans="2:5" ht="16.5" customHeight="1">
      <c r="B26" s="2139" t="str">
        <f>Dictionary!B633</f>
        <v>Informationen über erhebliche Planabweichungen und/oder kritische Managementsituationen:</v>
      </c>
      <c r="C26" s="2140"/>
      <c r="D26" s="2140"/>
      <c r="E26" s="2141"/>
    </row>
    <row r="27" spans="2:5" ht="54.75" customHeight="1">
      <c r="B27" s="2146"/>
      <c r="C27" s="2152"/>
      <c r="D27" s="2152"/>
      <c r="E27" s="2153"/>
    </row>
    <row r="28" spans="2:5" ht="18" customHeight="1"/>
    <row r="29" spans="2:5" ht="18" customHeight="1">
      <c r="B29" s="2013" t="str">
        <f>EXP!D15&amp;" "&amp;Dictionary!B635</f>
        <v xml:space="preserve"> Planung</v>
      </c>
      <c r="C29" s="2013"/>
      <c r="D29" s="2013"/>
      <c r="E29" s="2013"/>
    </row>
    <row r="30" spans="2:5" ht="16.5" customHeight="1">
      <c r="B30" s="512" t="str">
        <f>Dictionary!B636</f>
        <v>Beginn des Vorhabens:</v>
      </c>
      <c r="C30" s="513" t="str">
        <f>C31</f>
        <v/>
      </c>
      <c r="D30" s="508" t="str">
        <f>Dictionary!B642</f>
        <v>Ende des Vorhabens:</v>
      </c>
      <c r="E30" s="514" t="str">
        <f>E31</f>
        <v/>
      </c>
    </row>
    <row r="31" spans="2:5" ht="16.5" customHeight="1">
      <c r="B31" s="515" t="str">
        <f>Dictionary!B637</f>
        <v>Ihr Beginn in dieser Rolle:</v>
      </c>
      <c r="C31" s="516" t="str">
        <f>IF('(7b) Project List'!F15="","",'(7b) Project List'!F15)</f>
        <v/>
      </c>
      <c r="D31" s="517" t="str">
        <f>Dictionary!B643</f>
        <v>Ende Ihrer Beteiligung:</v>
      </c>
      <c r="E31" s="518" t="str">
        <f>IF('(7b) Project List'!G15="","",'(7b) Project List'!G15)</f>
        <v/>
      </c>
    </row>
    <row r="32" spans="2:5" ht="16.5" customHeight="1">
      <c r="B32" s="2139" t="str">
        <f>IF(ISNUMBER(SEARCH("ortfolio",B29)),Dictionary!B640,Dictionary!B638)</f>
        <v>Phasen:</v>
      </c>
      <c r="C32" s="2140"/>
      <c r="D32" s="2140" t="str">
        <f>IF(ISNUMBER(SEARCH("ortfolio",B29)),Dictionary!B641,Dictionary!B639)</f>
        <v>Meilensteine:</v>
      </c>
      <c r="E32" s="2141"/>
    </row>
    <row r="33" spans="2:5">
      <c r="B33" s="2154"/>
      <c r="C33" s="2142"/>
      <c r="D33" s="2133"/>
      <c r="E33" s="2143"/>
    </row>
    <row r="34" spans="2:5">
      <c r="B34" s="2155"/>
      <c r="C34" s="2142"/>
      <c r="D34" s="2142"/>
      <c r="E34" s="2143"/>
    </row>
    <row r="35" spans="2:5">
      <c r="B35" s="2155"/>
      <c r="C35" s="2142"/>
      <c r="D35" s="2142"/>
      <c r="E35" s="2143"/>
    </row>
    <row r="36" spans="2:5">
      <c r="B36" s="2155"/>
      <c r="C36" s="2142"/>
      <c r="D36" s="2142"/>
      <c r="E36" s="2143"/>
    </row>
    <row r="37" spans="2:5">
      <c r="B37" s="2155"/>
      <c r="C37" s="2142"/>
      <c r="D37" s="2142"/>
      <c r="E37" s="2143"/>
    </row>
    <row r="38" spans="2:5">
      <c r="B38" s="2155"/>
      <c r="C38" s="2142"/>
      <c r="D38" s="2142"/>
      <c r="E38" s="2143"/>
    </row>
    <row r="39" spans="2:5">
      <c r="B39" s="2155"/>
      <c r="C39" s="2142"/>
      <c r="D39" s="2142"/>
      <c r="E39" s="2143"/>
    </row>
    <row r="40" spans="2:5">
      <c r="B40" s="2155"/>
      <c r="C40" s="2142"/>
      <c r="D40" s="2142"/>
      <c r="E40" s="2143"/>
    </row>
    <row r="41" spans="2:5">
      <c r="B41" s="2155"/>
      <c r="C41" s="2142"/>
      <c r="D41" s="2142"/>
      <c r="E41" s="2143"/>
    </row>
    <row r="42" spans="2:5">
      <c r="B42" s="2156"/>
      <c r="C42" s="2150"/>
      <c r="D42" s="2150"/>
      <c r="E42" s="2151"/>
    </row>
    <row r="44" spans="2:5" ht="18" customHeight="1">
      <c r="B44" s="2132" t="str">
        <f>IF(PMO_MODE="",Dictionary!B645,IF(ISNUMBER(FIND(EXP!C42,B8)),Dictionary!B646,Dictionary!B645))</f>
        <v>Ressourcen, für die Sie direkt verantwortlich sind</v>
      </c>
      <c r="C44" s="2132"/>
      <c r="D44" s="2132"/>
      <c r="E44" s="2132"/>
    </row>
    <row r="45" spans="2:5" ht="16.5" customHeight="1">
      <c r="B45" s="519"/>
      <c r="C45" s="524" t="str">
        <f>Dictionary!B647</f>
        <v>Wert</v>
      </c>
      <c r="D45" s="2130" t="str">
        <f>Dictionary!B648</f>
        <v>Anmerkungen</v>
      </c>
      <c r="E45" s="2131"/>
    </row>
    <row r="46" spans="2:5" ht="16">
      <c r="B46" s="520" t="str">
        <f>Dictionary!B649</f>
        <v>Anzahl der Ihnen direkt unterstellten Teammitglieder:</v>
      </c>
      <c r="C46" s="1720"/>
      <c r="D46" s="2133"/>
      <c r="E46" s="2134"/>
    </row>
    <row r="47" spans="2:5" ht="32">
      <c r="B47" s="520" t="str">
        <f>Dictionary!B650</f>
        <v>Anzahl der Mitglieder des Teams gemäß dem Organigramm (inkl. Sie selbst):</v>
      </c>
      <c r="C47" s="1720"/>
      <c r="D47" s="2133"/>
      <c r="E47" s="2134"/>
    </row>
    <row r="48" spans="2:5" ht="16.5" customHeight="1">
      <c r="B48" s="521" t="str">
        <f>Dictionary!B651</f>
        <v>Gesamtaufwand [Personentage]:</v>
      </c>
      <c r="C48" s="1720"/>
      <c r="D48" s="2133"/>
      <c r="E48" s="2134"/>
    </row>
    <row r="49" spans="2:5" ht="16.5" customHeight="1">
      <c r="B49" s="522" t="str">
        <f>Dictionary!B652</f>
        <v>Externer Arbeitsaufwand [Personentage]:</v>
      </c>
      <c r="C49" s="1720"/>
      <c r="D49" s="2133"/>
      <c r="E49" s="2134"/>
    </row>
    <row r="50" spans="2:5" ht="16.5" customHeight="1">
      <c r="B50" s="522" t="str">
        <f>Dictionary!B653</f>
        <v>Interner Arbeitsaufwand [Personentage]:</v>
      </c>
      <c r="C50" s="1720"/>
      <c r="D50" s="2133"/>
      <c r="E50" s="2134"/>
    </row>
    <row r="51" spans="2:5" ht="16.5" customHeight="1">
      <c r="B51" s="522" t="str">
        <f>Dictionary!B654</f>
        <v>Enthaltener PM-Aufwand [Personentage]:</v>
      </c>
      <c r="C51" s="1720"/>
      <c r="D51" s="2133"/>
      <c r="E51" s="2134"/>
    </row>
    <row r="52" spans="2:5" ht="16.5" customHeight="1">
      <c r="B52" s="522" t="str">
        <f>Dictionary!B655</f>
        <v>Budget (Aufwand) unter Ihrer Verantwortung [€]:</v>
      </c>
      <c r="C52" s="1721"/>
      <c r="D52" s="2133"/>
      <c r="E52" s="2134"/>
    </row>
    <row r="53" spans="2:5" ht="16.5" customHeight="1">
      <c r="B53" s="523" t="str">
        <f>Dictionary!B656</f>
        <v>Budget (Sachmittel) unter Ihrer Verantwortung [€]:</v>
      </c>
      <c r="C53" s="1722"/>
      <c r="D53" s="2144"/>
      <c r="E53" s="2145"/>
    </row>
    <row r="54" spans="2:5" ht="16.5" customHeight="1">
      <c r="B54" s="1615" t="str">
        <f>Dictionary!B657</f>
        <v>Gesamtbudget unter Ihrer Verantwortung [€]:</v>
      </c>
      <c r="C54" s="1723">
        <f>C52+C53</f>
        <v>0</v>
      </c>
      <c r="D54" s="1724"/>
      <c r="E54" s="1725"/>
    </row>
    <row r="55" spans="2:5" ht="18" customHeight="1"/>
    <row r="56" spans="2:5" ht="18" customHeight="1">
      <c r="B56" s="2013" t="str">
        <f>Dictionary!B658</f>
        <v xml:space="preserve">Anmerkungen </v>
      </c>
      <c r="C56" s="2013"/>
      <c r="D56" s="2013"/>
      <c r="E56" s="2013"/>
    </row>
    <row r="57" spans="2:5" ht="16.5" customHeight="1">
      <c r="B57" s="2157" t="str">
        <f>Dictionary!B659</f>
        <v>Anmerkungen zur Komplexität:</v>
      </c>
      <c r="C57" s="2158"/>
      <c r="D57" s="2158"/>
      <c r="E57" s="2159"/>
    </row>
    <row r="58" spans="2:5">
      <c r="B58" s="2135"/>
      <c r="C58" s="2136"/>
      <c r="D58" s="2136"/>
      <c r="E58" s="2137"/>
    </row>
    <row r="59" spans="2:5">
      <c r="B59" s="2135"/>
      <c r="C59" s="2136"/>
      <c r="D59" s="2136"/>
      <c r="E59" s="2137"/>
    </row>
    <row r="60" spans="2:5" ht="27" customHeight="1">
      <c r="B60" s="2135"/>
      <c r="C60" s="2136"/>
      <c r="D60" s="2136"/>
      <c r="E60" s="2137"/>
    </row>
    <row r="61" spans="2:5" ht="16.5" customHeight="1">
      <c r="B61" s="2139" t="str">
        <f>Dictionary!B660</f>
        <v>Allgemeine Anmerkungen:</v>
      </c>
      <c r="C61" s="2140"/>
      <c r="D61" s="2140"/>
      <c r="E61" s="2141"/>
    </row>
    <row r="62" spans="2:5" ht="15" customHeight="1">
      <c r="B62" s="2135"/>
      <c r="C62" s="2136"/>
      <c r="D62" s="2136"/>
      <c r="E62" s="2137"/>
    </row>
    <row r="63" spans="2:5">
      <c r="B63" s="2135"/>
      <c r="C63" s="2136"/>
      <c r="D63" s="2136"/>
      <c r="E63" s="2137"/>
    </row>
    <row r="64" spans="2:5">
      <c r="B64" s="2135"/>
      <c r="C64" s="2136"/>
      <c r="D64" s="2136"/>
      <c r="E64" s="2137"/>
    </row>
    <row r="65" spans="2:5" ht="41" customHeight="1">
      <c r="B65" s="2146"/>
      <c r="C65" s="2147"/>
      <c r="D65" s="2147"/>
      <c r="E65" s="2148"/>
    </row>
    <row r="67" spans="2:5" ht="17" thickBot="1">
      <c r="B67" s="460"/>
      <c r="C67" s="460"/>
      <c r="D67" s="460"/>
      <c r="E67" s="460"/>
    </row>
    <row r="68" spans="2:5">
      <c r="E68" s="464" t="s">
        <v>105</v>
      </c>
    </row>
  </sheetData>
  <sheetProtection algorithmName="SHA-512" hashValue="sDZsjIuMCQPpwXpJZXvDFAJgsmAefC3WFbd7jVy79ifcjnw1yQJVra0vTs5NvJET/PY/omgz88Y58m9TexPwNA==" saltValue="XsV9XjfFZCwY17v4EBTwCA==" spinCount="100000" sheet="1" objects="1" scenarios="1" selectLockedCells="1"/>
  <mergeCells count="39">
    <mergeCell ref="B58:E60"/>
    <mergeCell ref="B61:E61"/>
    <mergeCell ref="B62:E65"/>
    <mergeCell ref="D50:E50"/>
    <mergeCell ref="D51:E51"/>
    <mergeCell ref="D52:E52"/>
    <mergeCell ref="D53:E53"/>
    <mergeCell ref="B56:E56"/>
    <mergeCell ref="B57:E57"/>
    <mergeCell ref="D49:E49"/>
    <mergeCell ref="B27:E27"/>
    <mergeCell ref="B29:E29"/>
    <mergeCell ref="B32:C32"/>
    <mergeCell ref="D32:E32"/>
    <mergeCell ref="B33:C42"/>
    <mergeCell ref="D33:E42"/>
    <mergeCell ref="B44:E44"/>
    <mergeCell ref="D45:E45"/>
    <mergeCell ref="D46:E46"/>
    <mergeCell ref="D47:E47"/>
    <mergeCell ref="D48:E48"/>
    <mergeCell ref="B26:E26"/>
    <mergeCell ref="D14:E14"/>
    <mergeCell ref="D15:E15"/>
    <mergeCell ref="D16:E16"/>
    <mergeCell ref="D17:E17"/>
    <mergeCell ref="B18:E18"/>
    <mergeCell ref="B19:E19"/>
    <mergeCell ref="B21:E21"/>
    <mergeCell ref="B22:E22"/>
    <mergeCell ref="B23:E23"/>
    <mergeCell ref="B24:E24"/>
    <mergeCell ref="B25:E25"/>
    <mergeCell ref="D13:E13"/>
    <mergeCell ref="B3:E3"/>
    <mergeCell ref="B7:E7"/>
    <mergeCell ref="C9:D9"/>
    <mergeCell ref="B11:E11"/>
    <mergeCell ref="D12:E12"/>
  </mergeCells>
  <conditionalFormatting sqref="C16:C17">
    <cfRule type="notContainsBlanks" dxfId="413" priority="1">
      <formula>LEN(TRIM(C16))&gt;0</formula>
    </cfRule>
  </conditionalFormatting>
  <conditionalFormatting sqref="E8 C9:D9 B19:E19 B23:E23 B25:E25 B27:E27 C30 E30 B33:E42 C46:D54 B58:E60 B62:E65">
    <cfRule type="notContainsBlanks" dxfId="412" priority="2">
      <formula>LEN(TRIM(B8))&gt;0</formula>
    </cfRule>
  </conditionalFormatting>
  <dataValidations count="7">
    <dataValidation type="whole" allowBlank="1" showInputMessage="1" showErrorMessage="1" error="EN: please enter a whole number_x000a_DE: Bitte geben Sie eine ganze Zahl ein" prompt="EN: please enter a valid number_x000a_DE: Bitte geben Sie eine plausible Zahl ein" sqref="C46" xr:uid="{00000000-0002-0000-1D00-000000000000}">
      <formula1>0</formula1>
      <formula2>1000000</formula2>
    </dataValidation>
    <dataValidation allowBlank="1" showInputMessage="1" showErrorMessage="1" error="EN: please enter a number_x000a_DE: Bitte geben Sie eine Zahl ein" prompt="EN: enter a Euro value_x000a_DE Geben Sie einen Wert in Euro an" sqref="C54" xr:uid="{00000000-0002-0000-1D00-000001000000}"/>
    <dataValidation allowBlank="1" error="EN: Enter a number _x000a_DE: Geben Sie eine Zahl ein" prompt="EN: Effort in person-days_x000a_DE: Aufwand in Personentagen" sqref="D46:E54" xr:uid="{00000000-0002-0000-1D00-000002000000}"/>
    <dataValidation type="whole" allowBlank="1" showInputMessage="1" showErrorMessage="1" error="EN: please enter a whole number_x000a_DE: Bitte geben Sie eine ganze Zahl ein" prompt="EN: please enter a valid number_x000a_DE: Bitte geben Sie eine plausible Zahl ein" sqref="C47" xr:uid="{00000000-0002-0000-1D00-000003000000}">
      <formula1>1</formula1>
      <formula2>1000000</formula2>
    </dataValidation>
    <dataValidation type="decimal" allowBlank="1" showInputMessage="1" showErrorMessage="1" error="EN: please enter a number_x000a_DE: Bitte geben Sie eine Zahl ein" prompt="EN: enter a Euro value_x000a_DE Geben Sie einen Wert in Euro an" sqref="C52:C53" xr:uid="{00000000-0002-0000-1D00-000004000000}">
      <formula1>1</formula1>
      <formula2>1000000000000</formula2>
    </dataValidation>
    <dataValidation type="decimal" allowBlank="1" showInputMessage="1" showErrorMessage="1" error="EN: Enter a number _x000a_DE: Geben Sie eine Zahl ein" prompt="EN: Effort in person-days_x000a_DE: Aufwand in Personentagen" sqref="C48:C49" xr:uid="{00000000-0002-0000-1D00-000005000000}">
      <formula1>1</formula1>
      <formula2>1000000000</formula2>
    </dataValidation>
    <dataValidation type="decimal" allowBlank="1" showInputMessage="1" showErrorMessage="1" error="EN: Enter a number_x000a_DE: Geben Sie eine Zahl ein" prompt="EN: Effort in person-days_x000a_DE: Aufwand in Personentagen" sqref="C49:C51" xr:uid="{00000000-0002-0000-1D00-000006000000}">
      <formula1>1</formula1>
      <formula2>1000000000</formula2>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D00-000007000000}">
          <x14:formula1>
            <xm:f>'Control Values'!$B$14:$B$15</xm:f>
          </x14:formula1>
          <xm:sqref>E9</xm:sqref>
        </x14:dataValidation>
        <x14:dataValidation type="list" allowBlank="1" showInputMessage="1" showErrorMessage="1" xr:uid="{00000000-0002-0000-1D00-000008000000}">
          <x14:formula1>
            <xm:f>'Control Values'!$B$29:$B$34</xm:f>
          </x14:formula1>
          <xm:sqref>C17</xm:sqref>
        </x14:dataValidation>
        <x14:dataValidation type="list" allowBlank="1" showInputMessage="1" showErrorMessage="1" xr:uid="{00000000-0002-0000-1D00-000009000000}">
          <x14:formula1>
            <xm:f>'Control Values'!$B$23:$B$26</xm:f>
          </x14:formula1>
          <xm:sqref>C16</xm:sqref>
        </x14:dataValidation>
        <x14:dataValidation type="list" allowBlank="1" showInputMessage="1" showErrorMessage="1" xr:uid="{00000000-0002-0000-1D00-00000A000000}">
          <x14:formula1>
            <xm:f>'Control Values'!$B$18:$B$19</xm:f>
          </x14:formula1>
          <xm:sqref>C13:C15</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69994-7D4A-405F-80DD-677976530220}">
  <sheetPr codeName="Sheet79">
    <tabColor theme="9"/>
  </sheetPr>
  <dimension ref="A1:S60"/>
  <sheetViews>
    <sheetView zoomScale="80" zoomScaleNormal="80" workbookViewId="0">
      <selection activeCell="C10" sqref="C10"/>
    </sheetView>
  </sheetViews>
  <sheetFormatPr baseColWidth="10" defaultColWidth="11.5" defaultRowHeight="15"/>
  <cols>
    <col min="1" max="1" width="8.6640625" style="89" customWidth="1"/>
    <col min="2" max="2" width="11.5" style="89" customWidth="1"/>
    <col min="3" max="3" width="44.33203125" style="89" customWidth="1"/>
    <col min="4" max="4" width="23.1640625" style="89" customWidth="1"/>
    <col min="5" max="5" width="37.5" style="89" customWidth="1"/>
    <col min="6" max="6" width="32" style="89" customWidth="1"/>
    <col min="7" max="7" width="11.6640625" style="89" customWidth="1"/>
    <col min="8" max="11" width="32" style="89" customWidth="1"/>
    <col min="12" max="13" width="32.5" style="89" customWidth="1"/>
    <col min="14" max="14" width="26.1640625" style="89" customWidth="1"/>
    <col min="15" max="15" width="20" style="89" customWidth="1"/>
    <col min="16" max="17" width="11.5" style="89"/>
    <col min="18" max="18" width="8.5" style="89" customWidth="1"/>
    <col min="19" max="16384" width="11.5" style="89"/>
  </cols>
  <sheetData>
    <row r="1" spans="1:19" ht="19.5" customHeight="1" thickBot="1">
      <c r="B1" s="497" t="str">
        <f ca="1">COV!C20</f>
        <v>DECKBLATT BITTE VOLLSTÄNDIG AUSFÜLLEN!</v>
      </c>
      <c r="C1" s="459"/>
      <c r="D1" s="459"/>
      <c r="E1" s="459"/>
      <c r="F1" s="459"/>
      <c r="G1" s="459"/>
      <c r="H1" s="459"/>
      <c r="I1" s="459"/>
      <c r="J1" s="459"/>
      <c r="K1" s="459"/>
      <c r="L1" s="459"/>
      <c r="M1" s="459"/>
    </row>
    <row r="2" spans="1:19" ht="5.25" customHeight="1" thickTop="1"/>
    <row r="3" spans="1:19" ht="21">
      <c r="B3" s="2046" t="str">
        <f>Dictionary!B663&amp;" "&amp;'(7b) Project List'!A15&amp;", "&amp;EXP!D15&amp;": "&amp;EXP!C15</f>
        <v xml:space="preserve">Projektliste für Eintrag 7, : </v>
      </c>
      <c r="C3" s="2046"/>
      <c r="D3" s="2046"/>
      <c r="E3" s="2046"/>
      <c r="F3" s="2046"/>
      <c r="G3" s="2046"/>
      <c r="H3" s="2046"/>
      <c r="I3" s="2046"/>
      <c r="J3" s="2046"/>
      <c r="K3" s="2046"/>
      <c r="L3" s="2046"/>
      <c r="M3" s="2046"/>
    </row>
    <row r="4" spans="1:19" ht="21">
      <c r="B4" s="488"/>
      <c r="C4" s="488"/>
      <c r="D4" s="488"/>
      <c r="E4" s="488"/>
      <c r="F4" s="488"/>
      <c r="G4" s="488"/>
      <c r="H4" s="488"/>
      <c r="I4" s="488"/>
      <c r="J4" s="488"/>
      <c r="K4" s="488"/>
      <c r="L4" s="488"/>
      <c r="M4" s="488"/>
    </row>
    <row r="5" spans="1:19" ht="21">
      <c r="B5" s="489" t="str">
        <f>EXP!B5</f>
        <v xml:space="preserve"> , Level A, Projekt Management, Erstzertifizierung</v>
      </c>
      <c r="C5" s="490"/>
      <c r="D5" s="490"/>
      <c r="E5" s="490"/>
      <c r="F5" s="490"/>
      <c r="G5" s="490"/>
      <c r="H5" s="490"/>
      <c r="I5" s="490"/>
      <c r="J5" s="490"/>
      <c r="K5" s="490"/>
      <c r="L5" s="490"/>
      <c r="M5" s="490"/>
    </row>
    <row r="6" spans="1:19" ht="15" customHeight="1">
      <c r="A6" s="1284"/>
      <c r="B6" s="554"/>
      <c r="C6" s="554"/>
      <c r="D6" s="554"/>
      <c r="E6" s="554"/>
      <c r="F6" s="554"/>
      <c r="G6" s="554"/>
      <c r="H6" s="554"/>
      <c r="I6" s="554"/>
      <c r="J6" s="554"/>
      <c r="K6" s="554"/>
      <c r="L6" s="554"/>
      <c r="M6" s="554"/>
      <c r="N6" s="554"/>
      <c r="O6" s="554"/>
      <c r="P6" s="554"/>
      <c r="Q6" s="554"/>
      <c r="R6" s="554"/>
      <c r="S6" s="554"/>
    </row>
    <row r="7" spans="1:19" ht="24">
      <c r="A7" s="1284"/>
      <c r="B7" s="2171" t="str">
        <f>Dictionary!B665</f>
        <v>Nr.</v>
      </c>
      <c r="C7" s="2166" t="str">
        <f>Dictionary!B666</f>
        <v>Projektname</v>
      </c>
      <c r="D7" s="2166" t="str">
        <f>Dictionary!B667</f>
        <v>PM Domäne</v>
      </c>
      <c r="E7" s="2166" t="s">
        <v>269</v>
      </c>
      <c r="F7" s="2166" t="str">
        <f>Dictionary!B676</f>
        <v>Projekt- / Programm Typ</v>
      </c>
      <c r="G7" s="2173" t="str">
        <f>Dictionary!B677</f>
        <v>Strategisch</v>
      </c>
      <c r="H7" s="2166" t="str">
        <f>Dictionary!B670</f>
        <v>Dauer</v>
      </c>
      <c r="I7" s="2166"/>
      <c r="J7" s="2166" t="str">
        <f>Dictionary!B671</f>
        <v>Gesamtaufwand [Personentage]:</v>
      </c>
      <c r="K7" s="2166"/>
      <c r="L7" s="2166" t="str">
        <f>Dictionary!B672</f>
        <v>Gesamtbudget [€]:</v>
      </c>
      <c r="M7" s="2175"/>
      <c r="N7" s="554"/>
      <c r="O7" s="554"/>
      <c r="P7" s="554"/>
      <c r="Q7" s="554"/>
      <c r="R7" s="554"/>
      <c r="S7" s="554"/>
    </row>
    <row r="8" spans="1:19" ht="24">
      <c r="A8" s="1284"/>
      <c r="B8" s="2172"/>
      <c r="C8" s="2167"/>
      <c r="D8" s="2167"/>
      <c r="E8" s="2167"/>
      <c r="F8" s="2167"/>
      <c r="G8" s="2174"/>
      <c r="H8" s="1305" t="str">
        <f>Dictionary!B668</f>
        <v>Startdatum</v>
      </c>
      <c r="I8" s="1305" t="str">
        <f>Dictionary!B669</f>
        <v>Endtermin</v>
      </c>
      <c r="J8" s="1305" t="str">
        <f>Dictionary!B673</f>
        <v>geplant</v>
      </c>
      <c r="K8" s="1305" t="str">
        <f>Dictionary!B674</f>
        <v>realisiert</v>
      </c>
      <c r="L8" s="1305" t="str">
        <f>Dictionary!B673</f>
        <v>geplant</v>
      </c>
      <c r="M8" s="1306" t="str">
        <f>Dictionary!B674</f>
        <v>realisiert</v>
      </c>
      <c r="N8" s="554"/>
      <c r="O8" s="554"/>
      <c r="P8" s="554"/>
      <c r="Q8" s="554"/>
      <c r="R8" s="554"/>
      <c r="S8" s="554"/>
    </row>
    <row r="9" spans="1:19" ht="24" hidden="1">
      <c r="A9" s="1284"/>
      <c r="B9" s="1304" t="s">
        <v>2826</v>
      </c>
      <c r="C9" s="1297" t="s">
        <v>2827</v>
      </c>
      <c r="D9" s="1297" t="s">
        <v>2837</v>
      </c>
      <c r="E9" s="1297" t="s">
        <v>2828</v>
      </c>
      <c r="F9" s="1297" t="s">
        <v>2829</v>
      </c>
      <c r="G9" s="1298" t="s">
        <v>2830</v>
      </c>
      <c r="H9" s="1299" t="s">
        <v>2831</v>
      </c>
      <c r="I9" s="1299" t="s">
        <v>2832</v>
      </c>
      <c r="J9" s="1300" t="s">
        <v>2833</v>
      </c>
      <c r="K9" s="1300" t="s">
        <v>2834</v>
      </c>
      <c r="L9" s="1300" t="s">
        <v>2835</v>
      </c>
      <c r="M9" s="1300" t="s">
        <v>2836</v>
      </c>
      <c r="N9" s="554"/>
      <c r="O9" s="554"/>
      <c r="P9" s="554"/>
      <c r="Q9" s="554"/>
      <c r="R9" s="554"/>
      <c r="S9" s="554"/>
    </row>
    <row r="10" spans="1:19" ht="24">
      <c r="A10" s="1284"/>
      <c r="B10" s="1292">
        <v>1</v>
      </c>
      <c r="C10" s="1291"/>
      <c r="D10" s="1291"/>
      <c r="E10" s="1291"/>
      <c r="F10" s="1291"/>
      <c r="G10" s="1296"/>
      <c r="H10" s="1307"/>
      <c r="I10" s="1308"/>
      <c r="J10" s="1321"/>
      <c r="K10" s="1321"/>
      <c r="L10" s="1293"/>
      <c r="M10" s="1293"/>
      <c r="N10" s="554"/>
      <c r="O10" s="554"/>
      <c r="P10" s="554"/>
      <c r="Q10" s="554"/>
      <c r="R10" s="554"/>
      <c r="S10" s="554"/>
    </row>
    <row r="11" spans="1:19" ht="24">
      <c r="A11" s="1284"/>
      <c r="B11" s="1292">
        <v>2</v>
      </c>
      <c r="C11" s="1291"/>
      <c r="D11" s="1291"/>
      <c r="E11" s="1291"/>
      <c r="F11" s="1291"/>
      <c r="G11" s="1296"/>
      <c r="H11" s="1309"/>
      <c r="I11" s="1310"/>
      <c r="J11" s="1321"/>
      <c r="K11" s="1321"/>
      <c r="L11" s="1293"/>
      <c r="M11" s="1293"/>
      <c r="N11" s="554"/>
      <c r="O11" s="554"/>
      <c r="P11" s="554"/>
      <c r="Q11" s="554"/>
      <c r="R11" s="554"/>
      <c r="S11" s="554"/>
    </row>
    <row r="12" spans="1:19" ht="24">
      <c r="A12" s="1284"/>
      <c r="B12" s="1292">
        <v>3</v>
      </c>
      <c r="C12" s="1291"/>
      <c r="D12" s="1291"/>
      <c r="E12" s="1291"/>
      <c r="F12" s="1291"/>
      <c r="G12" s="1296"/>
      <c r="H12" s="1309"/>
      <c r="I12" s="1310"/>
      <c r="J12" s="1321"/>
      <c r="K12" s="1321"/>
      <c r="L12" s="1293"/>
      <c r="M12" s="1293"/>
      <c r="N12" s="554"/>
      <c r="O12" s="554"/>
      <c r="P12" s="554"/>
      <c r="Q12" s="554"/>
      <c r="R12" s="554"/>
      <c r="S12" s="554"/>
    </row>
    <row r="13" spans="1:19" ht="24">
      <c r="A13" s="1284"/>
      <c r="B13" s="1292">
        <v>4</v>
      </c>
      <c r="C13" s="1291"/>
      <c r="D13" s="1291"/>
      <c r="E13" s="1291"/>
      <c r="F13" s="1291"/>
      <c r="G13" s="1296"/>
      <c r="H13" s="1309"/>
      <c r="I13" s="1310"/>
      <c r="J13" s="1321"/>
      <c r="K13" s="1321"/>
      <c r="L13" s="1293"/>
      <c r="M13" s="1293"/>
      <c r="N13" s="554"/>
      <c r="O13" s="554"/>
      <c r="P13" s="554"/>
      <c r="Q13" s="554"/>
      <c r="R13" s="554"/>
      <c r="S13" s="554"/>
    </row>
    <row r="14" spans="1:19" ht="24">
      <c r="A14" s="1284"/>
      <c r="B14" s="1292">
        <v>5</v>
      </c>
      <c r="C14" s="1291"/>
      <c r="D14" s="1291"/>
      <c r="E14" s="1291"/>
      <c r="F14" s="1291"/>
      <c r="G14" s="1296"/>
      <c r="H14" s="1309"/>
      <c r="I14" s="1310"/>
      <c r="J14" s="1321"/>
      <c r="K14" s="1321"/>
      <c r="L14" s="1293"/>
      <c r="M14" s="1293"/>
      <c r="N14" s="554"/>
      <c r="O14" s="554"/>
      <c r="P14" s="554"/>
      <c r="Q14" s="554"/>
      <c r="R14" s="554"/>
      <c r="S14" s="554"/>
    </row>
    <row r="15" spans="1:19" ht="24">
      <c r="A15" s="1284"/>
      <c r="B15" s="1292">
        <v>6</v>
      </c>
      <c r="C15" s="1291"/>
      <c r="D15" s="1291"/>
      <c r="E15" s="1291"/>
      <c r="F15" s="1291"/>
      <c r="G15" s="1296"/>
      <c r="H15" s="1309"/>
      <c r="I15" s="1310"/>
      <c r="J15" s="1321"/>
      <c r="K15" s="1321"/>
      <c r="L15" s="1293"/>
      <c r="M15" s="1293"/>
      <c r="N15" s="554"/>
      <c r="O15" s="554"/>
      <c r="P15" s="554"/>
      <c r="Q15" s="554"/>
      <c r="R15" s="554"/>
      <c r="S15" s="554"/>
    </row>
    <row r="16" spans="1:19" ht="24">
      <c r="A16" s="1284"/>
      <c r="B16" s="1292">
        <v>7</v>
      </c>
      <c r="C16" s="1291"/>
      <c r="D16" s="1291"/>
      <c r="E16" s="1291"/>
      <c r="F16" s="1291"/>
      <c r="G16" s="1296"/>
      <c r="H16" s="1309"/>
      <c r="I16" s="1310"/>
      <c r="J16" s="1321"/>
      <c r="K16" s="1321"/>
      <c r="L16" s="1293"/>
      <c r="M16" s="1293"/>
      <c r="N16" s="554"/>
      <c r="O16" s="554"/>
      <c r="P16" s="554"/>
      <c r="Q16" s="554"/>
      <c r="R16" s="554"/>
      <c r="S16" s="554"/>
    </row>
    <row r="17" spans="1:19" ht="24">
      <c r="A17" s="1284"/>
      <c r="B17" s="1292">
        <v>8</v>
      </c>
      <c r="C17" s="1291"/>
      <c r="D17" s="1291"/>
      <c r="E17" s="1291"/>
      <c r="F17" s="1291"/>
      <c r="G17" s="1296"/>
      <c r="H17" s="1309"/>
      <c r="I17" s="1310"/>
      <c r="J17" s="1321"/>
      <c r="K17" s="1321"/>
      <c r="L17" s="1293"/>
      <c r="M17" s="1293"/>
      <c r="N17" s="554"/>
      <c r="O17" s="554"/>
      <c r="P17" s="554"/>
      <c r="Q17" s="554"/>
      <c r="R17" s="554"/>
      <c r="S17" s="554"/>
    </row>
    <row r="18" spans="1:19" ht="24">
      <c r="A18" s="1284"/>
      <c r="B18" s="1292">
        <v>9</v>
      </c>
      <c r="C18" s="1291"/>
      <c r="D18" s="1291"/>
      <c r="E18" s="1291"/>
      <c r="F18" s="1291"/>
      <c r="G18" s="1296"/>
      <c r="H18" s="1309"/>
      <c r="I18" s="1310"/>
      <c r="J18" s="1321"/>
      <c r="K18" s="1321"/>
      <c r="L18" s="1293"/>
      <c r="M18" s="1293"/>
      <c r="N18" s="554"/>
      <c r="O18" s="554"/>
      <c r="P18" s="554"/>
      <c r="Q18" s="554"/>
      <c r="R18" s="554"/>
      <c r="S18" s="554"/>
    </row>
    <row r="19" spans="1:19" ht="24">
      <c r="A19" s="1284"/>
      <c r="B19" s="1292">
        <v>10</v>
      </c>
      <c r="C19" s="1291"/>
      <c r="D19" s="1291"/>
      <c r="E19" s="1291"/>
      <c r="F19" s="1291"/>
      <c r="G19" s="1296"/>
      <c r="H19" s="1309"/>
      <c r="I19" s="1310"/>
      <c r="J19" s="1321"/>
      <c r="K19" s="1321"/>
      <c r="L19" s="1293"/>
      <c r="M19" s="1293"/>
      <c r="N19" s="554"/>
      <c r="O19" s="554"/>
      <c r="P19" s="554"/>
      <c r="Q19" s="554"/>
      <c r="R19" s="554"/>
      <c r="S19" s="554"/>
    </row>
    <row r="20" spans="1:19" ht="24">
      <c r="A20" s="1284"/>
      <c r="B20" s="1292">
        <v>11</v>
      </c>
      <c r="C20" s="1291"/>
      <c r="D20" s="1291"/>
      <c r="E20" s="1291"/>
      <c r="F20" s="1291"/>
      <c r="G20" s="1296"/>
      <c r="H20" s="1309"/>
      <c r="I20" s="1310"/>
      <c r="J20" s="1321"/>
      <c r="K20" s="1321"/>
      <c r="L20" s="1293"/>
      <c r="M20" s="1293"/>
      <c r="N20" s="554"/>
      <c r="O20" s="554"/>
      <c r="P20" s="554"/>
      <c r="Q20" s="554"/>
      <c r="R20" s="554"/>
      <c r="S20" s="554"/>
    </row>
    <row r="21" spans="1:19" ht="24">
      <c r="A21" s="1284"/>
      <c r="B21" s="1292">
        <v>12</v>
      </c>
      <c r="C21" s="1291"/>
      <c r="D21" s="1291"/>
      <c r="E21" s="1291"/>
      <c r="F21" s="1291"/>
      <c r="G21" s="1296"/>
      <c r="H21" s="1309"/>
      <c r="I21" s="1310"/>
      <c r="J21" s="1321"/>
      <c r="K21" s="1321"/>
      <c r="L21" s="1293"/>
      <c r="M21" s="1293"/>
      <c r="N21" s="554"/>
      <c r="O21" s="554"/>
      <c r="P21" s="554"/>
      <c r="Q21" s="554"/>
      <c r="R21" s="554"/>
      <c r="S21" s="554"/>
    </row>
    <row r="22" spans="1:19" ht="24">
      <c r="A22" s="1284"/>
      <c r="B22" s="1292">
        <v>13</v>
      </c>
      <c r="C22" s="1291"/>
      <c r="D22" s="1291"/>
      <c r="E22" s="1291"/>
      <c r="F22" s="1291"/>
      <c r="G22" s="1296"/>
      <c r="H22" s="1309"/>
      <c r="I22" s="1310"/>
      <c r="J22" s="1321"/>
      <c r="K22" s="1321"/>
      <c r="L22" s="1293"/>
      <c r="M22" s="1293"/>
      <c r="N22" s="554"/>
      <c r="O22" s="554"/>
      <c r="P22" s="554"/>
      <c r="Q22" s="554"/>
      <c r="R22" s="554"/>
      <c r="S22" s="554"/>
    </row>
    <row r="23" spans="1:19" ht="24">
      <c r="A23" s="1284"/>
      <c r="B23" s="1292">
        <v>14</v>
      </c>
      <c r="C23" s="1291"/>
      <c r="D23" s="1291"/>
      <c r="E23" s="1291"/>
      <c r="F23" s="1291"/>
      <c r="G23" s="1296"/>
      <c r="H23" s="1309"/>
      <c r="I23" s="1310"/>
      <c r="J23" s="1321"/>
      <c r="K23" s="1321"/>
      <c r="L23" s="1293"/>
      <c r="M23" s="1293"/>
      <c r="N23" s="554"/>
      <c r="O23" s="554"/>
      <c r="P23" s="554"/>
      <c r="Q23" s="554"/>
      <c r="R23" s="554"/>
      <c r="S23" s="554"/>
    </row>
    <row r="24" spans="1:19" ht="24">
      <c r="A24" s="1284"/>
      <c r="B24" s="1292">
        <v>15</v>
      </c>
      <c r="C24" s="1291"/>
      <c r="D24" s="1291"/>
      <c r="E24" s="1291"/>
      <c r="F24" s="1291"/>
      <c r="G24" s="1296"/>
      <c r="H24" s="1309"/>
      <c r="I24" s="1310"/>
      <c r="J24" s="1321"/>
      <c r="K24" s="1321"/>
      <c r="L24" s="1293"/>
      <c r="M24" s="1293"/>
      <c r="N24" s="554"/>
      <c r="O24" s="554"/>
      <c r="P24" s="554"/>
      <c r="Q24" s="554"/>
      <c r="R24" s="554"/>
      <c r="S24" s="554"/>
    </row>
    <row r="25" spans="1:19" ht="24">
      <c r="A25" s="1284"/>
      <c r="B25" s="1292">
        <v>16</v>
      </c>
      <c r="C25" s="1291"/>
      <c r="D25" s="1291"/>
      <c r="E25" s="1291"/>
      <c r="F25" s="1291"/>
      <c r="G25" s="1296"/>
      <c r="H25" s="1309"/>
      <c r="I25" s="1310"/>
      <c r="J25" s="1321"/>
      <c r="K25" s="1321"/>
      <c r="L25" s="1293"/>
      <c r="M25" s="1293"/>
      <c r="N25" s="554"/>
      <c r="O25" s="554"/>
      <c r="P25" s="554"/>
      <c r="Q25" s="554"/>
      <c r="R25" s="554"/>
      <c r="S25" s="554"/>
    </row>
    <row r="26" spans="1:19" ht="24">
      <c r="A26" s="1284"/>
      <c r="B26" s="1292">
        <v>17</v>
      </c>
      <c r="C26" s="1291"/>
      <c r="D26" s="1291"/>
      <c r="E26" s="1291"/>
      <c r="F26" s="1291"/>
      <c r="G26" s="1296"/>
      <c r="H26" s="1309"/>
      <c r="I26" s="1310"/>
      <c r="J26" s="1321"/>
      <c r="K26" s="1321"/>
      <c r="L26" s="1293"/>
      <c r="M26" s="1293"/>
      <c r="N26" s="554"/>
      <c r="O26" s="554"/>
      <c r="P26" s="554"/>
      <c r="Q26" s="554"/>
      <c r="R26" s="554"/>
      <c r="S26" s="554"/>
    </row>
    <row r="27" spans="1:19" ht="24">
      <c r="A27" s="1284"/>
      <c r="B27" s="1292">
        <v>18</v>
      </c>
      <c r="C27" s="1291"/>
      <c r="D27" s="1291"/>
      <c r="E27" s="1291"/>
      <c r="F27" s="1291"/>
      <c r="G27" s="1296"/>
      <c r="H27" s="1309"/>
      <c r="I27" s="1310"/>
      <c r="J27" s="1321"/>
      <c r="K27" s="1321"/>
      <c r="L27" s="1293"/>
      <c r="M27" s="1293"/>
      <c r="N27" s="554"/>
      <c r="O27" s="554"/>
      <c r="P27" s="554"/>
      <c r="Q27" s="554"/>
      <c r="R27" s="554"/>
      <c r="S27" s="554"/>
    </row>
    <row r="28" spans="1:19" ht="24">
      <c r="A28" s="1284"/>
      <c r="B28" s="1292">
        <v>19</v>
      </c>
      <c r="C28" s="1291"/>
      <c r="D28" s="1291"/>
      <c r="E28" s="1291"/>
      <c r="F28" s="1291"/>
      <c r="G28" s="1296"/>
      <c r="H28" s="1309"/>
      <c r="I28" s="1310"/>
      <c r="J28" s="1321"/>
      <c r="K28" s="1321"/>
      <c r="L28" s="1293"/>
      <c r="M28" s="1293"/>
      <c r="N28" s="554"/>
      <c r="O28" s="554"/>
      <c r="P28" s="554"/>
      <c r="Q28" s="554"/>
      <c r="R28" s="554"/>
      <c r="S28" s="554"/>
    </row>
    <row r="29" spans="1:19" ht="24">
      <c r="A29" s="1284"/>
      <c r="B29" s="1292">
        <v>20</v>
      </c>
      <c r="C29" s="1291"/>
      <c r="D29" s="1291"/>
      <c r="E29" s="1291"/>
      <c r="F29" s="1291"/>
      <c r="G29" s="1296"/>
      <c r="H29" s="1309"/>
      <c r="I29" s="1310"/>
      <c r="J29" s="1321"/>
      <c r="K29" s="1321"/>
      <c r="L29" s="1293"/>
      <c r="M29" s="1293"/>
      <c r="N29" s="554"/>
      <c r="O29" s="554"/>
      <c r="P29" s="554"/>
      <c r="Q29" s="554"/>
      <c r="R29" s="554"/>
      <c r="S29" s="554"/>
    </row>
    <row r="30" spans="1:19" ht="24">
      <c r="A30" s="1284"/>
      <c r="B30" s="1292">
        <v>21</v>
      </c>
      <c r="C30" s="1291"/>
      <c r="D30" s="1291"/>
      <c r="E30" s="1291"/>
      <c r="F30" s="1291"/>
      <c r="G30" s="1296"/>
      <c r="H30" s="1309"/>
      <c r="I30" s="1310"/>
      <c r="J30" s="1321"/>
      <c r="K30" s="1321"/>
      <c r="L30" s="1293"/>
      <c r="M30" s="1293"/>
      <c r="N30" s="554"/>
      <c r="O30" s="554"/>
      <c r="P30" s="554"/>
      <c r="Q30" s="554"/>
      <c r="R30" s="554"/>
      <c r="S30" s="554"/>
    </row>
    <row r="31" spans="1:19" ht="24">
      <c r="A31" s="1284"/>
      <c r="B31" s="1292">
        <v>22</v>
      </c>
      <c r="C31" s="1291"/>
      <c r="D31" s="1291"/>
      <c r="E31" s="1291"/>
      <c r="F31" s="1291"/>
      <c r="G31" s="1296"/>
      <c r="H31" s="1309"/>
      <c r="I31" s="1310"/>
      <c r="J31" s="1321"/>
      <c r="K31" s="1321"/>
      <c r="L31" s="1293"/>
      <c r="M31" s="1293"/>
      <c r="N31" s="554"/>
      <c r="O31" s="554"/>
      <c r="P31" s="554"/>
      <c r="Q31" s="554"/>
      <c r="R31" s="554"/>
      <c r="S31" s="554"/>
    </row>
    <row r="32" spans="1:19" ht="24">
      <c r="A32" s="1284"/>
      <c r="B32" s="1292">
        <v>23</v>
      </c>
      <c r="C32" s="1291"/>
      <c r="D32" s="1291"/>
      <c r="E32" s="1291"/>
      <c r="F32" s="1291"/>
      <c r="G32" s="1296"/>
      <c r="H32" s="1309"/>
      <c r="I32" s="1310"/>
      <c r="J32" s="1321"/>
      <c r="K32" s="1321"/>
      <c r="L32" s="1293"/>
      <c r="M32" s="1293"/>
      <c r="N32" s="554"/>
      <c r="O32" s="554"/>
      <c r="P32" s="554"/>
      <c r="Q32" s="554"/>
      <c r="R32" s="554"/>
      <c r="S32" s="554"/>
    </row>
    <row r="33" spans="1:19" ht="24">
      <c r="A33" s="1284"/>
      <c r="B33" s="1292">
        <v>24</v>
      </c>
      <c r="C33" s="1291"/>
      <c r="D33" s="1291"/>
      <c r="E33" s="1291"/>
      <c r="F33" s="1291"/>
      <c r="G33" s="1296"/>
      <c r="H33" s="1309"/>
      <c r="I33" s="1310"/>
      <c r="J33" s="1321"/>
      <c r="K33" s="1321"/>
      <c r="L33" s="1293"/>
      <c r="M33" s="1293"/>
      <c r="N33" s="554"/>
      <c r="O33" s="554"/>
      <c r="P33" s="554"/>
      <c r="Q33" s="554"/>
      <c r="R33" s="554"/>
      <c r="S33" s="554"/>
    </row>
    <row r="34" spans="1:19" ht="24">
      <c r="A34" s="1284"/>
      <c r="B34" s="1292">
        <v>25</v>
      </c>
      <c r="C34" s="1291"/>
      <c r="D34" s="1291"/>
      <c r="E34" s="1291"/>
      <c r="F34" s="1291"/>
      <c r="G34" s="1296"/>
      <c r="H34" s="1309"/>
      <c r="I34" s="1310"/>
      <c r="J34" s="1321"/>
      <c r="K34" s="1321"/>
      <c r="L34" s="1293"/>
      <c r="M34" s="1293"/>
      <c r="N34" s="554"/>
      <c r="O34" s="554"/>
      <c r="P34" s="554"/>
      <c r="Q34" s="554"/>
      <c r="R34" s="554"/>
      <c r="S34" s="554"/>
    </row>
    <row r="35" spans="1:19" ht="24">
      <c r="A35" s="1284"/>
      <c r="B35" s="1292">
        <v>26</v>
      </c>
      <c r="C35" s="1291"/>
      <c r="D35" s="1291"/>
      <c r="E35" s="1291"/>
      <c r="F35" s="1291"/>
      <c r="G35" s="1296"/>
      <c r="H35" s="1309"/>
      <c r="I35" s="1310"/>
      <c r="J35" s="1321"/>
      <c r="K35" s="1321"/>
      <c r="L35" s="1293"/>
      <c r="M35" s="1293"/>
      <c r="N35" s="554"/>
      <c r="O35" s="554"/>
      <c r="P35" s="554"/>
      <c r="Q35" s="554"/>
      <c r="R35" s="554"/>
      <c r="S35" s="554"/>
    </row>
    <row r="36" spans="1:19" ht="24">
      <c r="A36" s="1284"/>
      <c r="B36" s="1292">
        <v>27</v>
      </c>
      <c r="C36" s="1291"/>
      <c r="D36" s="1291"/>
      <c r="E36" s="1291"/>
      <c r="F36" s="1291"/>
      <c r="G36" s="1296"/>
      <c r="H36" s="1309"/>
      <c r="I36" s="1310"/>
      <c r="J36" s="1321"/>
      <c r="K36" s="1321"/>
      <c r="L36" s="1293"/>
      <c r="M36" s="1293"/>
      <c r="N36" s="554"/>
      <c r="O36" s="554"/>
      <c r="P36" s="554"/>
      <c r="Q36" s="554"/>
      <c r="R36" s="554"/>
      <c r="S36" s="554"/>
    </row>
    <row r="37" spans="1:19" ht="24">
      <c r="A37" s="1284"/>
      <c r="B37" s="1292">
        <v>28</v>
      </c>
      <c r="C37" s="1291"/>
      <c r="D37" s="1291"/>
      <c r="E37" s="1291"/>
      <c r="F37" s="1291"/>
      <c r="G37" s="1296"/>
      <c r="H37" s="1309"/>
      <c r="I37" s="1310"/>
      <c r="J37" s="1321"/>
      <c r="K37" s="1321"/>
      <c r="L37" s="1293"/>
      <c r="M37" s="1293"/>
      <c r="N37" s="554"/>
      <c r="O37" s="554"/>
      <c r="P37" s="554"/>
      <c r="Q37" s="554"/>
      <c r="R37" s="554"/>
      <c r="S37" s="554"/>
    </row>
    <row r="38" spans="1:19" ht="24">
      <c r="A38" s="1284"/>
      <c r="B38" s="1292">
        <v>29</v>
      </c>
      <c r="C38" s="1291"/>
      <c r="D38" s="1291"/>
      <c r="E38" s="1291"/>
      <c r="F38" s="1291"/>
      <c r="G38" s="1296"/>
      <c r="H38" s="1309"/>
      <c r="I38" s="1310"/>
      <c r="J38" s="1321"/>
      <c r="K38" s="1321"/>
      <c r="L38" s="1293"/>
      <c r="M38" s="1293"/>
      <c r="N38" s="554"/>
      <c r="O38" s="554"/>
      <c r="P38" s="554"/>
      <c r="Q38" s="554"/>
      <c r="R38" s="554"/>
      <c r="S38" s="554"/>
    </row>
    <row r="39" spans="1:19" ht="24">
      <c r="A39" s="1284"/>
      <c r="B39" s="1292">
        <v>30</v>
      </c>
      <c r="C39" s="1311"/>
      <c r="D39" s="1311"/>
      <c r="E39" s="1311"/>
      <c r="F39" s="1311"/>
      <c r="G39" s="1312"/>
      <c r="H39" s="1313"/>
      <c r="I39" s="1314"/>
      <c r="J39" s="1322"/>
      <c r="K39" s="1322"/>
      <c r="L39" s="1315"/>
      <c r="M39" s="1315"/>
      <c r="N39" s="554"/>
      <c r="O39" s="554"/>
      <c r="P39" s="554"/>
      <c r="Q39" s="554"/>
      <c r="R39" s="554"/>
      <c r="S39" s="554"/>
    </row>
    <row r="40" spans="1:19" ht="24">
      <c r="A40" s="1284"/>
      <c r="B40" s="1301"/>
      <c r="C40" s="2168" t="str">
        <f>Dictionary!B675</f>
        <v xml:space="preserve">Programm / Portfolio Verwaltung </v>
      </c>
      <c r="D40" s="2169"/>
      <c r="E40" s="2169"/>
      <c r="F40" s="2169"/>
      <c r="G40" s="2170"/>
      <c r="H40" s="1319"/>
      <c r="I40" s="1320"/>
      <c r="J40" s="1323"/>
      <c r="K40" s="1323"/>
      <c r="L40" s="1294"/>
      <c r="M40" s="1295"/>
      <c r="N40" s="554"/>
      <c r="O40" s="554"/>
      <c r="P40" s="554"/>
      <c r="Q40" s="554"/>
      <c r="R40" s="554"/>
      <c r="S40" s="554"/>
    </row>
    <row r="41" spans="1:19" ht="24">
      <c r="A41" s="1284"/>
      <c r="B41" s="1302"/>
      <c r="C41" s="1316"/>
      <c r="D41" s="1316"/>
      <c r="E41" s="1316"/>
      <c r="F41" s="1316"/>
      <c r="G41" s="1316"/>
      <c r="H41" s="2176" t="s">
        <v>2825</v>
      </c>
      <c r="I41" s="2176"/>
      <c r="J41" s="1317">
        <f>SUM(J9:J40)</f>
        <v>0</v>
      </c>
      <c r="K41" s="1317">
        <f>SUM(K9:K40)</f>
        <v>0</v>
      </c>
      <c r="L41" s="1318">
        <f>SUM(L9:L40)</f>
        <v>0</v>
      </c>
      <c r="M41" s="1318">
        <f>SUM(M9:M40)</f>
        <v>0</v>
      </c>
      <c r="N41" s="554"/>
      <c r="O41" s="554"/>
      <c r="P41" s="554"/>
      <c r="Q41" s="554"/>
      <c r="R41" s="554"/>
      <c r="S41" s="554"/>
    </row>
    <row r="42" spans="1:19" ht="24">
      <c r="B42" s="554"/>
      <c r="C42" s="554"/>
      <c r="D42" s="554"/>
      <c r="E42" s="554"/>
      <c r="F42" s="554"/>
      <c r="G42" s="554"/>
      <c r="H42" s="554"/>
      <c r="I42" s="554"/>
      <c r="J42" s="554"/>
      <c r="K42" s="554"/>
      <c r="L42" s="554"/>
      <c r="M42" s="554"/>
    </row>
    <row r="43" spans="1:19" ht="17" thickBot="1">
      <c r="B43" s="460"/>
      <c r="C43" s="460"/>
      <c r="D43" s="460"/>
      <c r="E43" s="460"/>
      <c r="F43" s="460"/>
      <c r="G43" s="460"/>
      <c r="H43" s="460"/>
      <c r="I43" s="460"/>
      <c r="J43" s="460"/>
      <c r="K43" s="460"/>
      <c r="L43" s="460"/>
      <c r="M43" s="460"/>
    </row>
    <row r="44" spans="1:19">
      <c r="M44" s="464" t="s">
        <v>105</v>
      </c>
    </row>
    <row r="50" spans="3:6" hidden="1"/>
    <row r="51" spans="3:6" hidden="1">
      <c r="C51" s="2163" t="s">
        <v>249</v>
      </c>
      <c r="D51" s="2164"/>
      <c r="E51" s="2164"/>
      <c r="F51" s="2165"/>
    </row>
    <row r="52" spans="3:6" hidden="1">
      <c r="C52" s="240"/>
      <c r="D52" s="172"/>
      <c r="E52" s="241"/>
      <c r="F52" s="241"/>
    </row>
    <row r="53" spans="3:6" hidden="1">
      <c r="C53" s="1905" t="s">
        <v>970</v>
      </c>
      <c r="D53" s="172" t="s">
        <v>1037</v>
      </c>
      <c r="E53" s="241"/>
      <c r="F53" s="241"/>
    </row>
    <row r="54" spans="3:6" hidden="1">
      <c r="C54" s="1906" t="s">
        <v>1024</v>
      </c>
      <c r="D54" s="172"/>
      <c r="E54" s="241"/>
      <c r="F54" s="241"/>
    </row>
    <row r="55" spans="3:6" hidden="1">
      <c r="C55" s="1907" t="s">
        <v>1025</v>
      </c>
      <c r="D55" s="172"/>
      <c r="E55" s="241"/>
      <c r="F55" s="241"/>
    </row>
    <row r="56" spans="3:6" hidden="1">
      <c r="C56" s="240"/>
      <c r="D56" s="172"/>
      <c r="E56" s="241"/>
      <c r="F56" s="241"/>
    </row>
    <row r="57" spans="3:6" hidden="1">
      <c r="C57" s="240"/>
      <c r="D57" s="172"/>
      <c r="E57" s="241"/>
      <c r="F57" s="241"/>
    </row>
    <row r="58" spans="3:6" hidden="1">
      <c r="C58" s="240"/>
      <c r="D58" s="172"/>
      <c r="E58" s="241"/>
      <c r="F58" s="241"/>
    </row>
    <row r="59" spans="3:6" hidden="1">
      <c r="C59" s="242"/>
      <c r="D59" s="1303"/>
      <c r="E59" s="185"/>
      <c r="F59" s="185"/>
    </row>
    <row r="60" spans="3:6" hidden="1"/>
  </sheetData>
  <sheetProtection algorithmName="SHA-512" hashValue="UmhI9baEuOXo2gOUzw3MFurYKV9C3qf4pNTk9++H9r34WwjP6a55CUyBepjiCgmYAAS/UW0MdWZRHbFsIkyVHA==" saltValue="t4JE4YJ+MEfi8NvYw6Mo2w==" spinCount="100000" sheet="1" objects="1" scenarios="1" selectLockedCells="1"/>
  <mergeCells count="13">
    <mergeCell ref="C40:G40"/>
    <mergeCell ref="H41:I41"/>
    <mergeCell ref="C51:F51"/>
    <mergeCell ref="B3:M3"/>
    <mergeCell ref="B7:B8"/>
    <mergeCell ref="C7:C8"/>
    <mergeCell ref="D7:D8"/>
    <mergeCell ref="E7:E8"/>
    <mergeCell ref="F7:F8"/>
    <mergeCell ref="G7:G8"/>
    <mergeCell ref="H7:I7"/>
    <mergeCell ref="J7:K7"/>
    <mergeCell ref="L7:M7"/>
  </mergeCells>
  <dataValidations count="6">
    <dataValidation type="date" operator="lessThan" allowBlank="1" showInputMessage="1" showErrorMessage="1" error="EN_x000a_End must occur after start._x000a__x000a_DE_x000a_Das Ende muss nach dem Start kommen._x000a_ " sqref="H10:H40" xr:uid="{00000000-0002-0000-1E00-000000000000}">
      <formula1>I10</formula1>
    </dataValidation>
    <dataValidation type="date" operator="greaterThan" allowBlank="1" showInputMessage="1" showErrorMessage="1" error="EN_x000a_End must occur after start._x000a__x000a_DE_x000a_Das Ende muss nach dem Start kommen._x000a_ " sqref="I10:I40" xr:uid="{00000000-0002-0000-1E00-000001000000}">
      <formula1>H10</formula1>
    </dataValidation>
    <dataValidation type="list" allowBlank="1" showInputMessage="1" showErrorMessage="1" sqref="G10:G39" xr:uid="{00000000-0002-0000-1E00-000002000000}">
      <formula1>$D$53:$D$54</formula1>
    </dataValidation>
    <dataValidation type="list" allowBlank="1" showInputMessage="1" showErrorMessage="1" sqref="D10:D39" xr:uid="{00000000-0002-0000-1E00-000003000000}">
      <formula1>$C$53:$C$55</formula1>
    </dataValidation>
    <dataValidation type="whole" operator="greaterThan" allowBlank="1" showInputMessage="1" showErrorMessage="1" error="Bitte eine ganze Zahl grösser als 0 eingeben!" sqref="J9:K40 M9:M40 L10:L40" xr:uid="{00000000-0002-0000-1E00-000004000000}">
      <formula1>0</formula1>
    </dataValidation>
    <dataValidation type="whole" operator="greaterThan" allowBlank="1" showInputMessage="1" showErrorMessage="1" error="Bitte eine ganze Zahl grösser als 0 eingeben!" promptTitle="Investition" prompt="Unter Investition werden die gesamten Kosten verstanden, inkl.der personellen Aufwände." sqref="L9" xr:uid="{00000000-0002-0000-1E00-000005000000}">
      <formula1>0</formula1>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E00-000006000000}">
          <x14:formula1>
            <xm:f>'Control Values'!$B$23:$B$26</xm:f>
          </x14:formula1>
          <xm:sqref>F10:F39</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B23AB-A41D-4601-B0CE-BC16D3F7734E}">
  <sheetPr codeName="Sheet35">
    <tabColor theme="9" tint="-0.24994659260841701"/>
  </sheetPr>
  <dimension ref="B1:L70"/>
  <sheetViews>
    <sheetView showGridLines="0" showZeros="0" workbookViewId="0">
      <pane xSplit="8" ySplit="9" topLeftCell="I10" activePane="bottomRight" state="frozenSplit"/>
      <selection activeCell="B109" sqref="B109"/>
      <selection pane="topRight" activeCell="B109" sqref="B109"/>
      <selection pane="bottomLeft" activeCell="B109" sqref="B109"/>
      <selection pane="bottomRight" activeCell="I11" sqref="I11"/>
    </sheetView>
  </sheetViews>
  <sheetFormatPr baseColWidth="10" defaultColWidth="10" defaultRowHeight="14"/>
  <cols>
    <col min="1" max="1" width="2.6640625" style="472" customWidth="1"/>
    <col min="2" max="2" width="5.5" style="471" customWidth="1"/>
    <col min="3" max="3" width="17.1640625" style="472" customWidth="1"/>
    <col min="4" max="4" width="46.33203125" style="472" customWidth="1"/>
    <col min="5" max="8" width="26.5" style="472" customWidth="1"/>
    <col min="9" max="10" width="11.1640625" style="471" customWidth="1"/>
    <col min="11" max="11" width="55.33203125" style="473" customWidth="1"/>
    <col min="12" max="12" width="9.6640625" style="472" customWidth="1"/>
    <col min="13" max="16384" width="10" style="472"/>
  </cols>
  <sheetData>
    <row r="1" spans="2:11" ht="20.25" customHeight="1" thickBot="1">
      <c r="B1" s="497" t="str">
        <f ca="1">COV!C20</f>
        <v>DECKBLATT BITTE VOLLSTÄNDIG AUSFÜLLEN!</v>
      </c>
      <c r="C1" s="459"/>
      <c r="D1" s="459"/>
      <c r="E1" s="459"/>
      <c r="F1" s="459"/>
      <c r="G1" s="459"/>
      <c r="H1" s="459"/>
      <c r="I1" s="459"/>
      <c r="J1" s="459"/>
      <c r="K1" s="459"/>
    </row>
    <row r="2" spans="2:11" ht="5.25" customHeight="1" thickTop="1"/>
    <row r="3" spans="2:11" ht="21">
      <c r="B3" s="2046" t="str">
        <f>Dictionary!B680&amp;'(7b) Project List'!A15&amp;IF('(7b) Project List'!B15="","",": "&amp;'(7b) Project List'!B15)</f>
        <v>Bewertung der Managementkomplexität für Erfahrung 7</v>
      </c>
      <c r="C3" s="2046"/>
      <c r="D3" s="2046"/>
      <c r="E3" s="2046"/>
      <c r="F3" s="2046"/>
      <c r="G3" s="2046"/>
      <c r="H3" s="2046"/>
      <c r="I3" s="2046"/>
      <c r="J3" s="2046"/>
      <c r="K3" s="2046"/>
    </row>
    <row r="4" spans="2:11" s="498" customFormat="1" ht="21">
      <c r="B4" s="488"/>
      <c r="C4" s="488"/>
      <c r="D4" s="488"/>
      <c r="E4" s="488"/>
      <c r="F4" s="488"/>
      <c r="G4" s="488"/>
      <c r="H4" s="488"/>
      <c r="I4" s="488"/>
      <c r="J4" s="488"/>
      <c r="K4" s="488"/>
    </row>
    <row r="5" spans="2:11" s="467" customFormat="1" ht="22.5" customHeight="1">
      <c r="B5" s="489" t="str">
        <f>EXP!B5</f>
        <v xml:space="preserve"> , Level A, Projekt Management, Erstzertifizierung</v>
      </c>
      <c r="C5" s="491"/>
      <c r="D5" s="491"/>
      <c r="E5" s="492"/>
      <c r="F5" s="491"/>
      <c r="G5" s="493"/>
      <c r="H5" s="492"/>
      <c r="I5" s="492"/>
      <c r="J5" s="492"/>
      <c r="K5" s="494"/>
    </row>
    <row r="6" spans="2:11" s="467" customFormat="1" ht="20" customHeight="1">
      <c r="B6" s="466"/>
      <c r="C6" s="468"/>
      <c r="D6" s="468"/>
      <c r="E6" s="321"/>
      <c r="F6" s="2183"/>
      <c r="G6" s="2183"/>
      <c r="H6" s="2183"/>
      <c r="I6" s="469"/>
      <c r="J6" s="470"/>
    </row>
    <row r="7" spans="2:11" ht="15" customHeight="1"/>
    <row r="8" spans="2:11" s="334" customFormat="1" ht="22.25" customHeight="1">
      <c r="B8" s="2184" t="s">
        <v>294</v>
      </c>
      <c r="C8" s="2187" t="str">
        <f>Dictionary!B681</f>
        <v>Komplexitätsindikatoren und Teilindikatoren</v>
      </c>
      <c r="D8" s="2188"/>
      <c r="E8" s="2186" t="str">
        <f>Dictionary!B682</f>
        <v>Zu bewertende Kriterien:</v>
      </c>
      <c r="F8" s="2186"/>
      <c r="G8" s="2186"/>
      <c r="H8" s="2186"/>
      <c r="I8" s="2177" t="str">
        <f>Dictionary!B683</f>
        <v>Bewertungen und Kommentare</v>
      </c>
      <c r="J8" s="2178"/>
      <c r="K8" s="2179"/>
    </row>
    <row r="9" spans="2:11" s="334" customFormat="1" ht="30" customHeight="1">
      <c r="B9" s="2185"/>
      <c r="C9" s="2189"/>
      <c r="D9" s="2190"/>
      <c r="E9" s="474" t="str">
        <f>Dictionary!B684</f>
        <v>wenig komplex   (1)</v>
      </c>
      <c r="F9" s="474" t="str">
        <f>Dictionary!B685</f>
        <v>begrenzt komplex   (2)</v>
      </c>
      <c r="G9" s="474" t="str">
        <f>Dictionary!B686</f>
        <v>komplex   (3)</v>
      </c>
      <c r="H9" s="474" t="str">
        <f>Dictionary!B687</f>
        <v>sehr komplex   (4)</v>
      </c>
      <c r="I9" s="475" t="str">
        <f>Dictionary!B689</f>
        <v>Bewerber/in</v>
      </c>
      <c r="J9" s="476" t="str">
        <f>Dictionary!B690</f>
        <v>Leitende/r Assessor/in</v>
      </c>
      <c r="K9" s="476" t="str">
        <f>Dictionary!B691</f>
        <v>Anmerkungen, Kommentare, Nachweise (fakultativ)</v>
      </c>
    </row>
    <row r="10" spans="2:11" ht="30" customHeight="1">
      <c r="B10" s="477">
        <v>1</v>
      </c>
      <c r="C10" s="2180" t="str">
        <f>Dictionary!B693</f>
        <v>Indikatoren bezogen auf die technischen Fähigkeiten</v>
      </c>
      <c r="D10" s="2181"/>
      <c r="E10" s="2181"/>
      <c r="F10" s="2181"/>
      <c r="G10" s="2181"/>
      <c r="H10" s="2182"/>
      <c r="K10" s="478"/>
    </row>
    <row r="11" spans="2:11" ht="75">
      <c r="B11" s="479">
        <f>B10+0.1</f>
        <v>1.1000000000000001</v>
      </c>
      <c r="C11" s="558" t="str">
        <f>Dictionary!B694</f>
        <v>Ziele und Ergebnisse</v>
      </c>
      <c r="D11" s="558" t="str">
        <f>Dictionary!B695</f>
        <v>Anzahl und Unterschiedlichkeit der Einzelziele unter Berücksichtigung der Ziele und Erwartungen der relevanten Stakeholder, unterschiedliche Zielkategorien: Prozessziele, Nutzungsziele (Business Case), Operationalisierbarkeit, Transparenz und Abhängigkeiten</v>
      </c>
      <c r="E11" s="557" t="str">
        <f>Dictionary!B696</f>
        <v>sehr wenige klare Ziele, alle quantitativ angegeben, operabel</v>
      </c>
      <c r="F11" s="557" t="str">
        <f>Dictionary!B697</f>
        <v>wenige Ziele, gut formuliert, wenig Zielkonflikte</v>
      </c>
      <c r="G11" s="557" t="str">
        <f>Dictionary!B698</f>
        <v>mehrere Ziele unterschiedlicher Art, teilweise unklar definiert</v>
      </c>
      <c r="H11" s="557" t="str">
        <f>Dictionary!B699</f>
        <v>viele, teilweise konkurrierende  Ziele, strategische und politische Ziele, versteckte Ziele, Nutzungsziele</v>
      </c>
      <c r="I11" s="495"/>
      <c r="J11" s="495"/>
      <c r="K11" s="496"/>
    </row>
    <row r="12" spans="2:11" ht="65">
      <c r="B12" s="479">
        <f>B11+0.1</f>
        <v>1.2000000000000002</v>
      </c>
      <c r="C12" s="558" t="str">
        <f>Dictionary!B701</f>
        <v>Aufgaben und Prozesse</v>
      </c>
      <c r="D12" s="558" t="str">
        <f>Dictionary!B702</f>
        <v>Umfang der Aufgaben, Annahmen und Randbedingungen und deren Abhängigkeiten, eingesetzte Prozesse, Tools und Methoden, eingesetzte Team- und Kommunikationsstrukturen</v>
      </c>
      <c r="E12" s="557" t="str">
        <f>Dictionary!B703</f>
        <v>bekannte Aufgabenstellung und Randbedingungen; wenige Standard-/Reportingverfahren</v>
      </c>
      <c r="F12" s="557" t="str">
        <f>Dictionary!B704</f>
        <v>mehrere Aufgaben, ergänzt durch Annahmen; Einsatz bekannter Prozesse und Tools, einige Reporting-Vorgaben</v>
      </c>
      <c r="G12" s="557" t="str">
        <f>Dictionary!B705</f>
        <v>umfangreiches System von Aufgaben und Annahmen; viele Sachfaktoren; teilweise Einsatz neuartiger Tools und Prozesse, Reporting-Vorgaben</v>
      </c>
      <c r="H12" s="557" t="str">
        <f>Dictionary!B706</f>
        <v>sehr komplexe Aufgabenstellung, umfangreiches sachliches Umfeld; erfordert den Einsatz umfangreicher Prozess- und Toolwelt, strenge Reporting-Vorgaben</v>
      </c>
      <c r="I12" s="495"/>
      <c r="J12" s="495"/>
      <c r="K12" s="496"/>
    </row>
    <row r="13" spans="2:11" ht="65">
      <c r="B13" s="479">
        <f>B12+0.1</f>
        <v>1.3000000000000003</v>
      </c>
      <c r="C13" s="558" t="str">
        <f>Dictionary!B708</f>
        <v>Ressourcen und Finanzen</v>
      </c>
      <c r="D13" s="558" t="str">
        <f>Dictionary!B709</f>
        <v>Akquisition und Bereitstellung der erforderlichen Budgets sowie deren Management; Anzahl der Geldgeber; Verfügbarkeit und Qualität der notwendigen (personellen und sonstigen) Ressourcen; Ressourcen-Management und Beschaffungsprozesse</v>
      </c>
      <c r="E13" s="557" t="str">
        <f>Dictionary!B710</f>
        <v>Budget-Ermittlung ohne Verhandlung, einfache Kostenüberwachung; Ressourcen verfügbar, geringe Ressourcenkonflikte; geringfügige Beschaffungsvorgänge</v>
      </c>
      <c r="F13" s="557" t="str">
        <f>Dictionary!B711</f>
        <v>Budget-Ermittlung und  -Verhandlung; Verhandlung der benötigten Ressourcen, teilweise externe Ressourcen-Beschaffung</v>
      </c>
      <c r="G13" s="557" t="str">
        <f>Dictionary!B712</f>
        <v>Budget- und Ressourcenbeschaffung im Wettbewerb mit anderen Projekten; wesentliche Beschaffungsvorgänge</v>
      </c>
      <c r="H13" s="557" t="str">
        <f>Dictionary!B713</f>
        <v>Beschaffung wesentlicher Finanzmittel, Finanzierung durch unterschiedliche Geldgeber intern und extern; Steuerung wesentlicher Unterauftragnehmer</v>
      </c>
      <c r="I13" s="495"/>
      <c r="J13" s="495"/>
      <c r="K13" s="496"/>
    </row>
    <row r="14" spans="2:11" ht="60">
      <c r="B14" s="479">
        <f>B13+0.1</f>
        <v>1.4000000000000004</v>
      </c>
      <c r="C14" s="558" t="str">
        <f>Dictionary!B715</f>
        <v>Chancen und Risiken</v>
      </c>
      <c r="D14" s="558" t="str">
        <f>Dictionary!B716</f>
        <v xml:space="preserve">Bewertung der Chancen und Risiken im Projekt; Ermittlung und Steuerung des Risikosystems; Ableitung von validen Maßnahmen; Ermittlung und Nutzung von Chancen; Anwendung von Tools zur Steuerung des Risiko-Budgets </v>
      </c>
      <c r="E14" s="557" t="str">
        <f>Dictionary!B717</f>
        <v>wenige Risiken in überschaubarer Höhe, kein Chancen-Management</v>
      </c>
      <c r="F14" s="557" t="str">
        <f>Dictionary!B718</f>
        <v>mehrere Risiken und Chancen; stabiles Risiko-System; Management eines Risiko-Budgets</v>
      </c>
      <c r="G14" s="557" t="str">
        <f>Dictionary!B719</f>
        <v>mehrere Risiken mit begrenzter Schadenshöhe; Möglichkeit der Chancen-Nutzung zur Entlastung des Projektes</v>
      </c>
      <c r="H14" s="557" t="str">
        <f>Dictionary!B720</f>
        <v>Umfangreiches Risiko-Potential inklusive hoher strategischer Risiken; Anwendung valider Steuerungsmöglichkeiten; Meldung nach KONTRAG</v>
      </c>
      <c r="I14" s="495"/>
      <c r="J14" s="495"/>
      <c r="K14" s="496"/>
    </row>
    <row r="15" spans="2:11" s="387" customFormat="1" ht="24" customHeight="1">
      <c r="H15" s="387" t="str">
        <f>Dictionary!B721</f>
        <v>Durchschnitt der eingegebenen Detailbewertungen:</v>
      </c>
      <c r="I15" s="480" t="str">
        <f>IF(SUM(I11:I14)=0,"",ROUNDDOWN(AVERAGE(I11:I14),1))</f>
        <v/>
      </c>
      <c r="J15" s="480" t="str">
        <f>IF(SUM(J11:J14)=0,"",ROUNDDOWN(AVERAGE(J11:J14),1))</f>
        <v/>
      </c>
      <c r="K15" s="481"/>
    </row>
    <row r="16" spans="2:11">
      <c r="C16" s="473"/>
      <c r="D16" s="473"/>
      <c r="E16" s="482"/>
      <c r="F16" s="482"/>
      <c r="G16" s="482"/>
      <c r="H16" s="482"/>
    </row>
    <row r="17" spans="2:11" ht="30" customHeight="1">
      <c r="B17" s="477">
        <v>2</v>
      </c>
      <c r="C17" s="2180" t="str">
        <f>Dictionary!B723</f>
        <v>Indikatoren bezogen auf den Kontext</v>
      </c>
      <c r="D17" s="2181"/>
      <c r="E17" s="2181"/>
      <c r="F17" s="2181"/>
      <c r="G17" s="2181"/>
      <c r="H17" s="2182"/>
    </row>
    <row r="18" spans="2:11" ht="60">
      <c r="B18" s="479">
        <f>B17+0.1</f>
        <v>2.1</v>
      </c>
      <c r="C18" s="558" t="str">
        <f>Dictionary!B724</f>
        <v xml:space="preserve">Strategie, Stakeholder </v>
      </c>
      <c r="D18" s="558" t="str">
        <f>Dictionary!B725</f>
        <v>Einfluss der Unternehmens-Strategie, Auswirkungen des Projektes auf das Unternehmen, Stakeholder-Interessen;
Gesetze und Regularien</v>
      </c>
      <c r="E18" s="559" t="str">
        <f>Dictionary!B726</f>
        <v>wenige strategische Einflüsse; Projekt ist rein operativ ausgerichtet</v>
      </c>
      <c r="F18" s="559" t="str">
        <f>Dictionary!B727</f>
        <v>Stakeholder-Interessen  beeinflussen das Projekt begrenzte Einflüsse aus der Unternehmens-Strategie</v>
      </c>
      <c r="G18" s="559" t="str">
        <f>Dictionary!B728</f>
        <v>Viele Komponenten (?) unterschiedlicher Art</v>
      </c>
      <c r="H18" s="559" t="str">
        <f>Dictionary!B729</f>
        <v>Projekt hat erheblichen Einfluss auf das Unternehmen und seinen Erfolg; starke Auswirkungen von Gesetzen und Regularien</v>
      </c>
      <c r="I18" s="495"/>
      <c r="J18" s="495"/>
      <c r="K18" s="496"/>
    </row>
    <row r="19" spans="2:11" ht="135">
      <c r="B19" s="479">
        <f>B18+0.1</f>
        <v>2.2000000000000002</v>
      </c>
      <c r="C19" s="558" t="str">
        <f>Dictionary!B731</f>
        <v>Stammorganisation</v>
      </c>
      <c r="D19" s="558" t="str">
        <f>Dictionary!B732</f>
        <v>Umfang der Vernetzung über Schnittstellen des Projektes mit den Strukturen, Berichtswesen und Entscheidungswegen der Stammorganisation</v>
      </c>
      <c r="E19" s="559" t="str">
        <f>Dictionary!B733</f>
        <v xml:space="preserve">starke Abgrenzung des Projektes von der Stammorganisation, Entscheidungen fallen wesentlich in der Stammorganisation, viele ähnliche Projekte wurden bereits im Unternehmen durchgeführt </v>
      </c>
      <c r="F19" s="559" t="str">
        <f>Dictionary!B734</f>
        <v>klare Schnittstellen zur Stammorganisation z.B. über Leitungsgremium; Berichtswesen und Entscheidungswege begrenzt und klar definiert Projekt hat geringe Auswirkungen auf Prozesse der Stammorganisation,  ähnliche Projekte wurden bereits im Unternehmen durchgeführt</v>
      </c>
      <c r="G19" s="559" t="str">
        <f>Dictionary!B735</f>
        <v>viele operative Schnittstellen wirken auf  das Projekt ein; Berichte und Entscheidungen machen erheblichen Arbeitsanteil aus, Projekt hat  Auswirkungen auf Prozesse der Stammorganisation, wenige ähnliche Projekte wurden bereits im Unternehmen durchgeführt</v>
      </c>
      <c r="H19" s="559" t="str">
        <f>Dictionary!B736</f>
        <v>Starke Einflüsse der Stammorganisation auf strategischer Ebene; Entscheidungen durch Verhandlungen mit der Stammorganisation, Projekt hat starke Auswirkungen auf Prozesse der Stammorganisation , Projekt ist neuartig für Unternehmen</v>
      </c>
      <c r="I19" s="495"/>
      <c r="J19" s="495"/>
      <c r="K19" s="496"/>
    </row>
    <row r="20" spans="2:11" ht="65">
      <c r="B20" s="479">
        <f>B19+0.1</f>
        <v>2.3000000000000003</v>
      </c>
      <c r="C20" s="558" t="str">
        <f>Dictionary!B738</f>
        <v>Sozio-Kulturelle Einflüsse</v>
      </c>
      <c r="D20" s="558" t="str">
        <f>Dictionary!B739</f>
        <v>Einfluss der sozio-kulturellen Unterschiede im Projektteam, insbesondere bei verteilten oder Firmen-übergreifenden Teams</v>
      </c>
      <c r="E20" s="557" t="str">
        <f>Dictionary!B740</f>
        <v>keine Auswirkungen zu erwarten (Projekt an einem Standort, eine Sprache, homogene Projektgruppe)</v>
      </c>
      <c r="F20" s="557" t="str">
        <f>Dictionary!B741</f>
        <v>wenig Auswirkungen zu erwarten</v>
      </c>
      <c r="G20" s="557" t="str">
        <f>Dictionary!B742</f>
        <v>Auswirkungen infolge lokal verteilter Teams, mehreren Sprachen oder heterogenen Kulturkreisen erfordern in Einzelfällen Führungsmaßnahmen</v>
      </c>
      <c r="H20" s="557" t="str">
        <f>Dictionary!B743</f>
        <v>Auswirkungen infolge lokal verteilter Teams oder großer Teams aus unterschiedlichen Unternehmen und Kulturkreisen erfordern umfangreiche Führungsmaßnahmen</v>
      </c>
      <c r="I20" s="495"/>
      <c r="J20" s="495"/>
      <c r="K20" s="496"/>
    </row>
    <row r="21" spans="2:11" s="387" customFormat="1" ht="24" customHeight="1">
      <c r="H21" s="387" t="str">
        <f>Dictionary!B744</f>
        <v>Durchschnitt der eingegebenen Detailbewertungen:</v>
      </c>
      <c r="I21" s="480" t="str">
        <f>IF(SUM(I18:I20)=0,"",ROUNDDOWN(AVERAGE(I18:I20),1))</f>
        <v/>
      </c>
      <c r="J21" s="480" t="str">
        <f>IF(SUM(J18:J20)=0,"",ROUNDDOWN(AVERAGE(J18:J20),1))</f>
        <v/>
      </c>
      <c r="K21" s="481"/>
    </row>
    <row r="22" spans="2:11">
      <c r="C22" s="473"/>
      <c r="D22" s="473"/>
      <c r="E22" s="482"/>
      <c r="F22" s="482"/>
      <c r="G22" s="482"/>
      <c r="H22" s="482"/>
    </row>
    <row r="23" spans="2:11" ht="30" customHeight="1">
      <c r="B23" s="477">
        <v>3</v>
      </c>
      <c r="C23" s="2180" t="str">
        <f>Dictionary!B746</f>
        <v>Indikatoren bezogen auf Management und Führung</v>
      </c>
      <c r="D23" s="2181"/>
      <c r="E23" s="2181"/>
      <c r="F23" s="2181"/>
      <c r="G23" s="2181"/>
      <c r="H23" s="2182"/>
    </row>
    <row r="24" spans="2:11" ht="90">
      <c r="B24" s="479">
        <f>B23+0.1</f>
        <v>3.1</v>
      </c>
      <c r="C24" s="560" t="str">
        <f>Dictionary!B747</f>
        <v xml:space="preserve">Führung und Teamwork </v>
      </c>
      <c r="D24" s="560" t="str">
        <f>Dictionary!B748</f>
        <v>Umfang der Führungs-, Teambildungs und-Steuerungsmaßnahmen</v>
      </c>
      <c r="E24" s="559" t="str">
        <f>Dictionary!B749</f>
        <v>fast alle Teammitglieder haben bereits mit PL gearbeitet, PL hat Erfahrung im Mgt von Teams über 5 J, Governance Vorgaben sind klar definiert, das Projektteam hat hohe PM Skills</v>
      </c>
      <c r="F24" s="559" t="str">
        <f>Dictionary!B750</f>
        <v>sehr viele Teammitglieder haben bereits mit PL gearbeitet, PL hat Erfahrung im Mgt von Teams über 3 J, governance Vorgaben sind teilweise definiert, das Projektteam hat  PM Skills</v>
      </c>
      <c r="G24" s="559" t="str">
        <f>Dictionary!B751</f>
        <v>viele Teammitglieder haben bereits mit PL gearbeitet, PL hat Erfahrung im Mgt von Teams über 1-2 J, einige Governance Vorgaben sind klar definiert, das Projektteam hat einige PM Skills</v>
      </c>
      <c r="H24" s="559" t="str">
        <f>Dictionary!B752</f>
        <v>wenige Teammitglieder haben bereits mit PL gearbeitet, PL hat Erfahrung im Mgt von Teams weniger 1J, wenige Governance Vorgaben sind definiert, das Projektteam hat sehr wenig PM Skills</v>
      </c>
      <c r="I24" s="495"/>
      <c r="J24" s="495"/>
      <c r="K24" s="496"/>
    </row>
    <row r="25" spans="2:11" ht="91" customHeight="1">
      <c r="B25" s="479">
        <f>B24+0.1</f>
        <v>3.2</v>
      </c>
      <c r="C25" s="558" t="str">
        <f>Dictionary!B754</f>
        <v xml:space="preserve"> Innovation</v>
      </c>
      <c r="D25" s="558" t="str">
        <f>Dictionary!B755</f>
        <v>technische Neuartigkeit des Projektes und seine Auswirkungen auf Ressourcenauswahl und Aus- und Weiterbildung während des Projektes; Umgang mit neuartigen Ansätzen und Ergebnissen</v>
      </c>
      <c r="E25" s="559" t="str">
        <f>Dictionary!B756</f>
        <v>kein Handlungsbedarf infolge geringer Neuartigkeit, z.B. Wiederholprojekte</v>
      </c>
      <c r="F25" s="559" t="str">
        <f>Dictionary!B757</f>
        <v>einige Maßnahmen erforderlich infolge der Neuartigkeit in einzelnen Bereichen</v>
      </c>
      <c r="G25" s="559" t="str">
        <f>Dictionary!B758</f>
        <v>Neuartigkeit des Projektgegenstandes und/oder von Prozessen bedingt vorbereitende Qualifizerungsmaßnahmen</v>
      </c>
      <c r="H25" s="559" t="str">
        <f>Dictionary!B759</f>
        <v xml:space="preserve">Neuartigkeit des Projektgegenstandes und/oder von Prozessen in Verbindung mit großem Projektvolumen bedingt Planung der Qualifizierung, aber auch intensives Risiko-Management </v>
      </c>
      <c r="I25" s="495"/>
      <c r="J25" s="495"/>
      <c r="K25" s="496"/>
    </row>
    <row r="26" spans="2:11" ht="60">
      <c r="B26" s="479">
        <f>B25+0.1</f>
        <v>3.3000000000000003</v>
      </c>
      <c r="C26" s="558" t="str">
        <f>Dictionary!B761</f>
        <v>Autonomie und Verantwortung</v>
      </c>
      <c r="D26" s="558" t="str">
        <f>Dictionary!B762</f>
        <v>Entscheidungs- und Verantwortungsspielraum des Projektleiters; Umfang der Delegation in das Projektteam; Vertretung des Projektes gegenüber dem gesamten sozialen Umfeld</v>
      </c>
      <c r="E26" s="559" t="str">
        <f>Dictionary!B763</f>
        <v xml:space="preserve">wenig Autonomie/Gestaltungsspielräume des PL bzgl. Entscheidungen und Vertretung des Projektes nach aussen </v>
      </c>
      <c r="F26" s="559" t="str">
        <f>Dictionary!B764</f>
        <v>Verhandlung Lasten- und Pflichtenheft; Gesaltungs-spielräume ergeben sich hauptsächlich durch Änderungsprozesse</v>
      </c>
      <c r="G26" s="559" t="str">
        <f>Dictionary!B765</f>
        <v>Projektleiter vertritt das Projekt und damit auch das Unternehmen auch gegenüber externen Stakeholdern</v>
      </c>
      <c r="H26" s="559" t="str">
        <f>Dictionary!B766</f>
        <v>umfangreiche Verantwortungs- und Entscheidungsspielräume, z.B. durch Vollmachts- oder Unterschriftenregelung</v>
      </c>
      <c r="I26" s="495"/>
      <c r="J26" s="495"/>
      <c r="K26" s="496"/>
    </row>
    <row r="27" spans="2:11" s="387" customFormat="1" ht="24" customHeight="1">
      <c r="H27" s="387" t="str">
        <f>Dictionary!B767</f>
        <v>Durchschnitt der eingegebenen Detailbewertungen:</v>
      </c>
      <c r="I27" s="480" t="str">
        <f>IF(SUM(I24:I26)=0,"",ROUNDDOWN(AVERAGE(I24:I26),1))</f>
        <v/>
      </c>
      <c r="J27" s="480" t="str">
        <f>IF(SUM(J24:J26)=0,"",ROUNDDOWN(AVERAGE(J24:J26),1))</f>
        <v/>
      </c>
      <c r="K27" s="481"/>
    </row>
    <row r="28" spans="2:11">
      <c r="C28" s="473"/>
      <c r="D28" s="473"/>
      <c r="E28" s="482"/>
      <c r="F28" s="482"/>
      <c r="G28" s="482"/>
      <c r="H28" s="482"/>
    </row>
    <row r="29" spans="2:11" ht="17" customHeight="1"/>
    <row r="30" spans="2:11" ht="17" customHeight="1">
      <c r="F30" s="334" t="str">
        <f>Dictionary!B768</f>
        <v>Zusammenfassende Bewertungen (gerundet)</v>
      </c>
    </row>
    <row r="31" spans="2:11" ht="17" customHeight="1">
      <c r="G31" s="483" t="str">
        <f>Dictionary!B769</f>
        <v>Indikator</v>
      </c>
      <c r="H31" s="471">
        <v>1</v>
      </c>
      <c r="I31" s="484" t="str">
        <f>IF(I15="","",I15)</f>
        <v/>
      </c>
      <c r="J31" s="484" t="str">
        <f>IF(J15="","",J15)</f>
        <v/>
      </c>
    </row>
    <row r="32" spans="2:11" ht="17" customHeight="1">
      <c r="G32" s="483" t="str">
        <f>Dictionary!B769</f>
        <v>Indikator</v>
      </c>
      <c r="H32" s="471">
        <f>1+H31</f>
        <v>2</v>
      </c>
      <c r="I32" s="485" t="str">
        <f>IF(I21="","",I21)</f>
        <v/>
      </c>
      <c r="J32" s="485" t="str">
        <f>IF(J21="","",J21)</f>
        <v/>
      </c>
    </row>
    <row r="33" spans="2:12" ht="17" customHeight="1">
      <c r="G33" s="483" t="str">
        <f>Dictionary!B769</f>
        <v>Indikator</v>
      </c>
      <c r="H33" s="471">
        <f>1+H32</f>
        <v>3</v>
      </c>
      <c r="I33" s="485" t="str">
        <f>IF(I27="","",I27)</f>
        <v/>
      </c>
      <c r="J33" s="485" t="str">
        <f>IF(J27="","",J27)</f>
        <v/>
      </c>
    </row>
    <row r="34" spans="2:12" s="473" customFormat="1" ht="17" customHeight="1">
      <c r="B34" s="471"/>
      <c r="C34" s="472"/>
      <c r="D34" s="472"/>
      <c r="E34" s="472"/>
      <c r="F34" s="472"/>
      <c r="G34" s="472"/>
      <c r="H34" s="387" t="str">
        <f>Dictionary!B770</f>
        <v xml:space="preserve">Gesamtbewertung   </v>
      </c>
      <c r="I34" s="485">
        <f>SUM(I11:I14)+SUM(I18:I20)+SUM(I24:I26)</f>
        <v>0</v>
      </c>
      <c r="J34" s="485">
        <f>SUM(J11:J14)+SUM(J18:J20)+SUM(J24:J26)</f>
        <v>0</v>
      </c>
      <c r="L34" s="472"/>
    </row>
    <row r="35" spans="2:12" s="473" customFormat="1" ht="17" customHeight="1">
      <c r="B35" s="471"/>
      <c r="C35" s="472"/>
      <c r="D35" s="472"/>
      <c r="E35" s="472"/>
      <c r="F35" s="472"/>
      <c r="G35" s="472"/>
      <c r="H35" s="387"/>
      <c r="I35" s="486"/>
      <c r="J35" s="486"/>
      <c r="L35" s="472"/>
    </row>
    <row r="36" spans="2:12" s="473" customFormat="1" ht="17" customHeight="1">
      <c r="B36" s="471"/>
      <c r="C36" s="487"/>
      <c r="D36" s="487"/>
      <c r="E36" s="472"/>
      <c r="F36" s="472"/>
      <c r="G36" s="472"/>
      <c r="H36" s="472"/>
      <c r="I36" s="471"/>
      <c r="J36" s="471"/>
      <c r="L36" s="472"/>
    </row>
    <row r="37" spans="2:12" s="473" customFormat="1" ht="17" customHeight="1" thickBot="1">
      <c r="B37" s="460"/>
      <c r="C37" s="460"/>
      <c r="D37" s="460"/>
      <c r="E37" s="460"/>
      <c r="F37" s="460"/>
      <c r="G37" s="460"/>
      <c r="H37" s="460"/>
      <c r="I37" s="460"/>
      <c r="J37" s="460"/>
      <c r="K37" s="460"/>
      <c r="L37" s="472"/>
    </row>
    <row r="38" spans="2:12" s="473" customFormat="1" ht="17" customHeight="1">
      <c r="B38" s="89"/>
      <c r="C38" s="89"/>
      <c r="D38" s="89"/>
      <c r="F38" s="472"/>
      <c r="G38" s="472"/>
      <c r="H38" s="472"/>
      <c r="I38" s="471"/>
      <c r="J38" s="471"/>
      <c r="K38" s="464" t="s">
        <v>105</v>
      </c>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ht="17" customHeight="1"/>
    <row r="50" ht="17" customHeight="1"/>
    <row r="51" ht="17" customHeight="1"/>
    <row r="52" ht="17" customHeight="1"/>
    <row r="53" ht="17" customHeight="1"/>
    <row r="54" ht="17" customHeight="1"/>
    <row r="55" ht="17" customHeight="1"/>
    <row r="56" ht="17" customHeight="1"/>
    <row r="57" ht="17" customHeight="1"/>
    <row r="58" ht="17" customHeight="1"/>
    <row r="59" ht="17" customHeight="1"/>
    <row r="60" ht="17" customHeight="1"/>
    <row r="61" ht="17" customHeight="1"/>
    <row r="62" ht="17" customHeight="1"/>
    <row r="63" ht="17" customHeight="1"/>
    <row r="64" ht="17" customHeight="1"/>
    <row r="65" ht="17" customHeight="1"/>
    <row r="66" ht="17" customHeight="1"/>
    <row r="67" ht="17" customHeight="1"/>
    <row r="68" ht="17" customHeight="1"/>
    <row r="69" ht="17" customHeight="1"/>
    <row r="70" ht="17" customHeight="1"/>
  </sheetData>
  <sheetProtection algorithmName="SHA-512" hashValue="2wxD5g4mFyjA9BELd6494QxWnlqLhaV++H9MYk7BvvvrzA9jL+P5pXjajHQCCL2nTbuJ6UPwPC/IcWWMP7c/4A==" saltValue="HB//w6BJJ+nw4faWOFXrnA==" spinCount="100000" sheet="1" objects="1" scenarios="1" selectLockedCells="1"/>
  <mergeCells count="9">
    <mergeCell ref="C10:H10"/>
    <mergeCell ref="C17:H17"/>
    <mergeCell ref="C23:H23"/>
    <mergeCell ref="B3:K3"/>
    <mergeCell ref="F6:H6"/>
    <mergeCell ref="B8:B9"/>
    <mergeCell ref="C8:D9"/>
    <mergeCell ref="E8:H8"/>
    <mergeCell ref="I8:K8"/>
  </mergeCells>
  <conditionalFormatting sqref="I35:J35">
    <cfRule type="cellIs" dxfId="411" priority="1" operator="equal">
      <formula>"Yes"</formula>
    </cfRule>
    <cfRule type="cellIs" dxfId="410" priority="2" operator="equal">
      <formula>"No"</formula>
    </cfRule>
  </conditionalFormatting>
  <dataValidations count="1">
    <dataValidation type="whole" allowBlank="1" showInputMessage="1" showErrorMessage="1" sqref="I11:J14 I18:J20 I24:J26" xr:uid="{00000000-0002-0000-1F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104F6-E122-44A0-A227-E7EBDFAEDCDF}">
  <sheetPr codeName="Sheet11">
    <tabColor theme="9"/>
  </sheetPr>
  <dimension ref="B1:E68"/>
  <sheetViews>
    <sheetView topLeftCell="A4" zoomScale="130" zoomScaleNormal="130" workbookViewId="0">
      <selection activeCell="B19" sqref="B19:E19"/>
    </sheetView>
  </sheetViews>
  <sheetFormatPr baseColWidth="10" defaultColWidth="11.5" defaultRowHeight="15"/>
  <cols>
    <col min="1" max="1" width="2.5" style="89" customWidth="1"/>
    <col min="2" max="2" width="45.5" style="89" customWidth="1"/>
    <col min="3" max="3" width="22.83203125" style="89" customWidth="1"/>
    <col min="4" max="4" width="32" style="89" customWidth="1"/>
    <col min="5" max="5" width="22.83203125" style="89" customWidth="1"/>
    <col min="6" max="6" width="3.1640625" style="89" customWidth="1"/>
    <col min="7" max="7" width="20" style="89" customWidth="1"/>
    <col min="8" max="9" width="11.5" style="89"/>
    <col min="10" max="10" width="8.5" style="89" customWidth="1"/>
    <col min="11" max="16384" width="11.5" style="89"/>
  </cols>
  <sheetData>
    <row r="1" spans="2:5" ht="15.75" customHeight="1" thickBot="1">
      <c r="B1" s="497" t="str">
        <f ca="1">COV!C20</f>
        <v>DECKBLATT BITTE VOLLSTÄNDIG AUSFÜLLEN!</v>
      </c>
      <c r="C1" s="459"/>
      <c r="D1" s="459"/>
      <c r="E1" s="459"/>
    </row>
    <row r="2" spans="2:5" ht="5.25" customHeight="1" thickTop="1"/>
    <row r="3" spans="2:5" ht="21">
      <c r="B3" s="2046" t="str">
        <f>Dictionary!B614&amp;'(7b) Project List'!A16</f>
        <v>Steckbrief für Management Erfahrung 8</v>
      </c>
      <c r="C3" s="2046"/>
      <c r="D3" s="2046"/>
      <c r="E3" s="2046"/>
    </row>
    <row r="4" spans="2:5" ht="21">
      <c r="B4" s="488"/>
      <c r="C4" s="488"/>
      <c r="D4" s="488"/>
      <c r="E4" s="488"/>
    </row>
    <row r="5" spans="2:5" ht="21">
      <c r="B5" s="489" t="str">
        <f>EXP!B5</f>
        <v xml:space="preserve"> , Level A, Projekt Management, Erstzertifizierung</v>
      </c>
      <c r="C5" s="490"/>
      <c r="D5" s="490"/>
      <c r="E5" s="490"/>
    </row>
    <row r="7" spans="2:5">
      <c r="B7" s="2013" t="str">
        <f>Dictionary!B618</f>
        <v>Kopfzeile</v>
      </c>
      <c r="C7" s="2013"/>
      <c r="D7" s="2013"/>
      <c r="E7" s="2013"/>
    </row>
    <row r="8" spans="2:5" ht="16.5" customHeight="1">
      <c r="B8" s="503" t="str">
        <f>EXP!D16&amp;" "&amp;Dictionary!B615</f>
        <v xml:space="preserve"> Name </v>
      </c>
      <c r="C8" s="504" t="str">
        <f>IF('(7b) Project List'!B16="","",'(7b) Project List'!B16)</f>
        <v/>
      </c>
      <c r="D8" s="508" t="str">
        <f>EXP!D16&amp;" "&amp;Dictionary!B616</f>
        <v xml:space="preserve"> Nummer </v>
      </c>
      <c r="E8" s="509"/>
    </row>
    <row r="9" spans="2:5" ht="16.5" customHeight="1">
      <c r="B9" s="510" t="str">
        <f>Dictionary!B617</f>
        <v>Kunde/AuftraggeberIn:</v>
      </c>
      <c r="C9" s="2138"/>
      <c r="D9" s="2138"/>
      <c r="E9" s="511"/>
    </row>
    <row r="10" spans="2:5" ht="16.5" customHeight="1"/>
    <row r="11" spans="2:5" ht="16.5" customHeight="1">
      <c r="B11" s="2013" t="str">
        <f>Dictionary!B620</f>
        <v>Governance &amp; eigene Rolle</v>
      </c>
      <c r="C11" s="2013"/>
      <c r="D11" s="2013"/>
      <c r="E11" s="2013"/>
    </row>
    <row r="12" spans="2:5" ht="16.5" customHeight="1">
      <c r="B12" s="503" t="str">
        <f>Dictionary!B621</f>
        <v>Eigene Rolle:</v>
      </c>
      <c r="C12" s="504" t="str">
        <f>IF('(7b) Project List'!E16="","",'(7b) Project List'!E16)</f>
        <v/>
      </c>
      <c r="D12" s="2130" t="str">
        <f>Dictionary!B622</f>
        <v>Anmerkungen:</v>
      </c>
      <c r="E12" s="2131"/>
    </row>
    <row r="13" spans="2:5" ht="16.5" customHeight="1">
      <c r="B13" s="505" t="str">
        <f>Dictionary!B623</f>
        <v>Verantwortung für den Umfang/die Ergebnisse:</v>
      </c>
      <c r="C13" s="506"/>
      <c r="D13" s="2142"/>
      <c r="E13" s="2143"/>
    </row>
    <row r="14" spans="2:5" ht="16.5" customHeight="1">
      <c r="B14" s="505" t="str">
        <f>Dictionary!B624</f>
        <v>Verantwortung für die Terminplanung:</v>
      </c>
      <c r="C14" s="506"/>
      <c r="D14" s="2142"/>
      <c r="E14" s="2143"/>
    </row>
    <row r="15" spans="2:5" ht="16.5" customHeight="1">
      <c r="B15" s="505" t="str">
        <f>Dictionary!B625</f>
        <v>Verantwortung für das Budget:</v>
      </c>
      <c r="C15" s="506"/>
      <c r="D15" s="2142"/>
      <c r="E15" s="2143"/>
    </row>
    <row r="16" spans="2:5" ht="16.5" customHeight="1">
      <c r="B16" s="561" t="str">
        <f>EXP!D16&amp;" "&amp;Dictionary!B627</f>
        <v xml:space="preserve"> Typ</v>
      </c>
      <c r="C16" s="507"/>
      <c r="D16" s="2142"/>
      <c r="E16" s="2143"/>
    </row>
    <row r="17" spans="2:5" ht="16.5" customHeight="1">
      <c r="B17" s="561" t="str">
        <f>Dictionary!B626</f>
        <v>Art der PM Organisation</v>
      </c>
      <c r="C17" s="507"/>
      <c r="D17" s="2142"/>
      <c r="E17" s="2143"/>
    </row>
    <row r="18" spans="2:5" ht="16.5" customHeight="1">
      <c r="B18" s="2139" t="str">
        <f>Dictionary!B628</f>
        <v>Kurze Beschreibung Ihrer eigenen Rolle, Verantwortung und Aktivitäten; wem sind Sie unterstellt?</v>
      </c>
      <c r="C18" s="2140"/>
      <c r="D18" s="2140"/>
      <c r="E18" s="2141"/>
    </row>
    <row r="19" spans="2:5" ht="57" customHeight="1">
      <c r="B19" s="2149"/>
      <c r="C19" s="2150"/>
      <c r="D19" s="2150"/>
      <c r="E19" s="2151"/>
    </row>
    <row r="20" spans="2:5" ht="18" customHeight="1"/>
    <row r="21" spans="2:5" ht="16.5" customHeight="1">
      <c r="B21" s="2013" t="str">
        <f>Dictionary!B630</f>
        <v>Allgemeine Informationen und Beschreibung</v>
      </c>
      <c r="C21" s="2013"/>
      <c r="D21" s="2013"/>
      <c r="E21" s="2013"/>
    </row>
    <row r="22" spans="2:5" ht="16.5" customHeight="1">
      <c r="B22" s="2157" t="str">
        <f>Dictionary!B631</f>
        <v>Kurze Beschreibung der KPI, Ergebnisse und Liefergegenstände:</v>
      </c>
      <c r="C22" s="2158"/>
      <c r="D22" s="2158"/>
      <c r="E22" s="2159"/>
    </row>
    <row r="23" spans="2:5" ht="57" customHeight="1">
      <c r="B23" s="2160"/>
      <c r="C23" s="2161"/>
      <c r="D23" s="2161"/>
      <c r="E23" s="2162"/>
    </row>
    <row r="24" spans="2:5" ht="16.5" customHeight="1">
      <c r="B24" s="2139" t="str">
        <f>Dictionary!B632</f>
        <v>Kurze Beschreibung des Umfangs und der Ziele, für die Sie verantwortlich sind:</v>
      </c>
      <c r="C24" s="2140"/>
      <c r="D24" s="2140"/>
      <c r="E24" s="2141"/>
    </row>
    <row r="25" spans="2:5" ht="57" customHeight="1">
      <c r="B25" s="2160"/>
      <c r="C25" s="2161"/>
      <c r="D25" s="2161"/>
      <c r="E25" s="2162"/>
    </row>
    <row r="26" spans="2:5" ht="16.5" customHeight="1">
      <c r="B26" s="2139" t="str">
        <f>Dictionary!B633</f>
        <v>Informationen über erhebliche Planabweichungen und/oder kritische Managementsituationen:</v>
      </c>
      <c r="C26" s="2140"/>
      <c r="D26" s="2140"/>
      <c r="E26" s="2141"/>
    </row>
    <row r="27" spans="2:5" ht="54.75" customHeight="1">
      <c r="B27" s="2146"/>
      <c r="C27" s="2152"/>
      <c r="D27" s="2152"/>
      <c r="E27" s="2153"/>
    </row>
    <row r="28" spans="2:5" ht="18" customHeight="1"/>
    <row r="29" spans="2:5" ht="18" customHeight="1">
      <c r="B29" s="2013" t="str">
        <f>EXP!D16&amp;" "&amp;Dictionary!B635</f>
        <v xml:space="preserve"> Planung</v>
      </c>
      <c r="C29" s="2013"/>
      <c r="D29" s="2013"/>
      <c r="E29" s="2013"/>
    </row>
    <row r="30" spans="2:5" ht="16.5" customHeight="1">
      <c r="B30" s="512" t="str">
        <f>Dictionary!B636</f>
        <v>Beginn des Vorhabens:</v>
      </c>
      <c r="C30" s="513" t="str">
        <f>C31</f>
        <v/>
      </c>
      <c r="D30" s="508" t="str">
        <f>Dictionary!B642</f>
        <v>Ende des Vorhabens:</v>
      </c>
      <c r="E30" s="514" t="str">
        <f>E31</f>
        <v/>
      </c>
    </row>
    <row r="31" spans="2:5" ht="16.5" customHeight="1">
      <c r="B31" s="515" t="str">
        <f>Dictionary!B637</f>
        <v>Ihr Beginn in dieser Rolle:</v>
      </c>
      <c r="C31" s="516" t="str">
        <f>IF('(7b) Project List'!F16="","",'(7b) Project List'!F16)</f>
        <v/>
      </c>
      <c r="D31" s="517" t="str">
        <f>Dictionary!B643</f>
        <v>Ende Ihrer Beteiligung:</v>
      </c>
      <c r="E31" s="518" t="str">
        <f>IF('(7b) Project List'!G16="","",'(7b) Project List'!G16)</f>
        <v/>
      </c>
    </row>
    <row r="32" spans="2:5" ht="16.5" customHeight="1">
      <c r="B32" s="2139" t="str">
        <f>IF(ISNUMBER(SEARCH("ortfolio",B29)),Dictionary!B640,Dictionary!B638)</f>
        <v>Phasen:</v>
      </c>
      <c r="C32" s="2140"/>
      <c r="D32" s="2140" t="str">
        <f>IF(ISNUMBER(SEARCH("ortfolio",B29)),Dictionary!B641,Dictionary!B639)</f>
        <v>Meilensteine:</v>
      </c>
      <c r="E32" s="2141"/>
    </row>
    <row r="33" spans="2:5">
      <c r="B33" s="2154"/>
      <c r="C33" s="2142"/>
      <c r="D33" s="2133"/>
      <c r="E33" s="2143"/>
    </row>
    <row r="34" spans="2:5">
      <c r="B34" s="2155"/>
      <c r="C34" s="2142"/>
      <c r="D34" s="2142"/>
      <c r="E34" s="2143"/>
    </row>
    <row r="35" spans="2:5">
      <c r="B35" s="2155"/>
      <c r="C35" s="2142"/>
      <c r="D35" s="2142"/>
      <c r="E35" s="2143"/>
    </row>
    <row r="36" spans="2:5">
      <c r="B36" s="2155"/>
      <c r="C36" s="2142"/>
      <c r="D36" s="2142"/>
      <c r="E36" s="2143"/>
    </row>
    <row r="37" spans="2:5">
      <c r="B37" s="2155"/>
      <c r="C37" s="2142"/>
      <c r="D37" s="2142"/>
      <c r="E37" s="2143"/>
    </row>
    <row r="38" spans="2:5">
      <c r="B38" s="2155"/>
      <c r="C38" s="2142"/>
      <c r="D38" s="2142"/>
      <c r="E38" s="2143"/>
    </row>
    <row r="39" spans="2:5">
      <c r="B39" s="2155"/>
      <c r="C39" s="2142"/>
      <c r="D39" s="2142"/>
      <c r="E39" s="2143"/>
    </row>
    <row r="40" spans="2:5">
      <c r="B40" s="2155"/>
      <c r="C40" s="2142"/>
      <c r="D40" s="2142"/>
      <c r="E40" s="2143"/>
    </row>
    <row r="41" spans="2:5">
      <c r="B41" s="2155"/>
      <c r="C41" s="2142"/>
      <c r="D41" s="2142"/>
      <c r="E41" s="2143"/>
    </row>
    <row r="42" spans="2:5">
      <c r="B42" s="2156"/>
      <c r="C42" s="2150"/>
      <c r="D42" s="2150"/>
      <c r="E42" s="2151"/>
    </row>
    <row r="44" spans="2:5" ht="18" customHeight="1">
      <c r="B44" s="2132" t="str">
        <f>IF(PMO_MODE="",Dictionary!B645,IF(ISNUMBER(FIND(EXP!C42,B8)),Dictionary!B646,Dictionary!B645))</f>
        <v>Ressourcen, für die Sie direkt verantwortlich sind</v>
      </c>
      <c r="C44" s="2132"/>
      <c r="D44" s="2132"/>
      <c r="E44" s="2132"/>
    </row>
    <row r="45" spans="2:5" ht="16.5" customHeight="1">
      <c r="B45" s="519"/>
      <c r="C45" s="524" t="str">
        <f>Dictionary!B647</f>
        <v>Wert</v>
      </c>
      <c r="D45" s="2130" t="str">
        <f>Dictionary!B648</f>
        <v>Anmerkungen</v>
      </c>
      <c r="E45" s="2131"/>
    </row>
    <row r="46" spans="2:5" ht="16">
      <c r="B46" s="520" t="str">
        <f>Dictionary!B649</f>
        <v>Anzahl der Ihnen direkt unterstellten Teammitglieder:</v>
      </c>
      <c r="C46" s="1720"/>
      <c r="D46" s="2133"/>
      <c r="E46" s="2134"/>
    </row>
    <row r="47" spans="2:5" ht="32">
      <c r="B47" s="520" t="str">
        <f>Dictionary!B650</f>
        <v>Anzahl der Mitglieder des Teams gemäß dem Organigramm (inkl. Sie selbst):</v>
      </c>
      <c r="C47" s="1720"/>
      <c r="D47" s="2133"/>
      <c r="E47" s="2134"/>
    </row>
    <row r="48" spans="2:5" ht="16.5" customHeight="1">
      <c r="B48" s="521" t="str">
        <f>Dictionary!B651</f>
        <v>Gesamtaufwand [Personentage]:</v>
      </c>
      <c r="C48" s="1720"/>
      <c r="D48" s="2133"/>
      <c r="E48" s="2134"/>
    </row>
    <row r="49" spans="2:5" ht="16.5" customHeight="1">
      <c r="B49" s="522" t="str">
        <f>Dictionary!B652</f>
        <v>Externer Arbeitsaufwand [Personentage]:</v>
      </c>
      <c r="C49" s="1720"/>
      <c r="D49" s="2133"/>
      <c r="E49" s="2134"/>
    </row>
    <row r="50" spans="2:5" ht="16.5" customHeight="1">
      <c r="B50" s="522" t="str">
        <f>Dictionary!B653</f>
        <v>Interner Arbeitsaufwand [Personentage]:</v>
      </c>
      <c r="C50" s="1720"/>
      <c r="D50" s="2133"/>
      <c r="E50" s="2134"/>
    </row>
    <row r="51" spans="2:5" ht="16.5" customHeight="1">
      <c r="B51" s="522" t="str">
        <f>Dictionary!B654</f>
        <v>Enthaltener PM-Aufwand [Personentage]:</v>
      </c>
      <c r="C51" s="1720"/>
      <c r="D51" s="2133"/>
      <c r="E51" s="2134"/>
    </row>
    <row r="52" spans="2:5" ht="16.5" customHeight="1">
      <c r="B52" s="522" t="str">
        <f>Dictionary!B655</f>
        <v>Budget (Aufwand) unter Ihrer Verantwortung [€]:</v>
      </c>
      <c r="C52" s="1721"/>
      <c r="D52" s="2133"/>
      <c r="E52" s="2134"/>
    </row>
    <row r="53" spans="2:5" ht="16.5" customHeight="1">
      <c r="B53" s="523" t="str">
        <f>Dictionary!B656</f>
        <v>Budget (Sachmittel) unter Ihrer Verantwortung [€]:</v>
      </c>
      <c r="C53" s="1722"/>
      <c r="D53" s="2144"/>
      <c r="E53" s="2145"/>
    </row>
    <row r="54" spans="2:5" ht="16.5" customHeight="1">
      <c r="B54" s="1615" t="str">
        <f>Dictionary!B657</f>
        <v>Gesamtbudget unter Ihrer Verantwortung [€]:</v>
      </c>
      <c r="C54" s="1723">
        <f>C52+C53</f>
        <v>0</v>
      </c>
      <c r="D54" s="1724"/>
      <c r="E54" s="1725"/>
    </row>
    <row r="55" spans="2:5" ht="18" customHeight="1"/>
    <row r="56" spans="2:5" ht="18" customHeight="1">
      <c r="B56" s="2013" t="str">
        <f>Dictionary!B658</f>
        <v xml:space="preserve">Anmerkungen </v>
      </c>
      <c r="C56" s="2013"/>
      <c r="D56" s="2013"/>
      <c r="E56" s="2013"/>
    </row>
    <row r="57" spans="2:5" ht="16.5" customHeight="1">
      <c r="B57" s="2157" t="str">
        <f>Dictionary!B659</f>
        <v>Anmerkungen zur Komplexität:</v>
      </c>
      <c r="C57" s="2158"/>
      <c r="D57" s="2158"/>
      <c r="E57" s="2159"/>
    </row>
    <row r="58" spans="2:5">
      <c r="B58" s="2135"/>
      <c r="C58" s="2136"/>
      <c r="D58" s="2136"/>
      <c r="E58" s="2137"/>
    </row>
    <row r="59" spans="2:5">
      <c r="B59" s="2135"/>
      <c r="C59" s="2136"/>
      <c r="D59" s="2136"/>
      <c r="E59" s="2137"/>
    </row>
    <row r="60" spans="2:5" ht="27" customHeight="1">
      <c r="B60" s="2135"/>
      <c r="C60" s="2136"/>
      <c r="D60" s="2136"/>
      <c r="E60" s="2137"/>
    </row>
    <row r="61" spans="2:5" ht="16.5" customHeight="1">
      <c r="B61" s="2139" t="str">
        <f>Dictionary!B660</f>
        <v>Allgemeine Anmerkungen:</v>
      </c>
      <c r="C61" s="2140"/>
      <c r="D61" s="2140"/>
      <c r="E61" s="2141"/>
    </row>
    <row r="62" spans="2:5" ht="15" customHeight="1">
      <c r="B62" s="2135"/>
      <c r="C62" s="2136"/>
      <c r="D62" s="2136"/>
      <c r="E62" s="2137"/>
    </row>
    <row r="63" spans="2:5">
      <c r="B63" s="2135"/>
      <c r="C63" s="2136"/>
      <c r="D63" s="2136"/>
      <c r="E63" s="2137"/>
    </row>
    <row r="64" spans="2:5">
      <c r="B64" s="2135"/>
      <c r="C64" s="2136"/>
      <c r="D64" s="2136"/>
      <c r="E64" s="2137"/>
    </row>
    <row r="65" spans="2:5" ht="41" customHeight="1">
      <c r="B65" s="2146"/>
      <c r="C65" s="2147"/>
      <c r="D65" s="2147"/>
      <c r="E65" s="2148"/>
    </row>
    <row r="67" spans="2:5" ht="17" thickBot="1">
      <c r="B67" s="460"/>
      <c r="C67" s="460"/>
      <c r="D67" s="460"/>
      <c r="E67" s="460"/>
    </row>
    <row r="68" spans="2:5">
      <c r="E68" s="464" t="s">
        <v>105</v>
      </c>
    </row>
  </sheetData>
  <sheetProtection algorithmName="SHA-512" hashValue="O9TZEDtOeGWY0K8MaTfjdsB5cAB5y4TokE+6606CKslOGcG9Mr/mFDc5+FE4c9luYF5lJvkdOswlFnvxGfxQ9A==" saltValue="+Eibuf/n9ggMjpqLSNFG6w==" spinCount="100000" sheet="1" objects="1" scenarios="1" selectLockedCells="1"/>
  <mergeCells count="39">
    <mergeCell ref="B58:E60"/>
    <mergeCell ref="B61:E61"/>
    <mergeCell ref="B62:E65"/>
    <mergeCell ref="D50:E50"/>
    <mergeCell ref="D51:E51"/>
    <mergeCell ref="D52:E52"/>
    <mergeCell ref="D53:E53"/>
    <mergeCell ref="B56:E56"/>
    <mergeCell ref="B57:E57"/>
    <mergeCell ref="D49:E49"/>
    <mergeCell ref="B27:E27"/>
    <mergeCell ref="B29:E29"/>
    <mergeCell ref="B32:C32"/>
    <mergeCell ref="D32:E32"/>
    <mergeCell ref="B33:C42"/>
    <mergeCell ref="D33:E42"/>
    <mergeCell ref="B44:E44"/>
    <mergeCell ref="D45:E45"/>
    <mergeCell ref="D46:E46"/>
    <mergeCell ref="D47:E47"/>
    <mergeCell ref="D48:E48"/>
    <mergeCell ref="B26:E26"/>
    <mergeCell ref="D14:E14"/>
    <mergeCell ref="D15:E15"/>
    <mergeCell ref="D16:E16"/>
    <mergeCell ref="D17:E17"/>
    <mergeCell ref="B18:E18"/>
    <mergeCell ref="B19:E19"/>
    <mergeCell ref="B21:E21"/>
    <mergeCell ref="B22:E22"/>
    <mergeCell ref="B23:E23"/>
    <mergeCell ref="B24:E24"/>
    <mergeCell ref="B25:E25"/>
    <mergeCell ref="D13:E13"/>
    <mergeCell ref="B3:E3"/>
    <mergeCell ref="B7:E7"/>
    <mergeCell ref="C9:D9"/>
    <mergeCell ref="B11:E11"/>
    <mergeCell ref="D12:E12"/>
  </mergeCells>
  <conditionalFormatting sqref="C16:C17">
    <cfRule type="notContainsBlanks" dxfId="409" priority="1">
      <formula>LEN(TRIM(C16))&gt;0</formula>
    </cfRule>
  </conditionalFormatting>
  <conditionalFormatting sqref="E8 C9:D9 B19:E19 B23:E23 B25:E25 B27:E27 C30 E30 B33:E42 C46:D54 B58:E60 B62:E65">
    <cfRule type="notContainsBlanks" dxfId="408" priority="2">
      <formula>LEN(TRIM(B8))&gt;0</formula>
    </cfRule>
  </conditionalFormatting>
  <dataValidations count="7">
    <dataValidation type="whole" allowBlank="1" showInputMessage="1" showErrorMessage="1" error="EN: please enter a whole number_x000a_DE: Bitte geben Sie eine ganze Zahl ein" prompt="EN: please enter a valid number_x000a_DE: Bitte geben Sie eine plausible Zahl ein" sqref="C46" xr:uid="{00000000-0002-0000-2000-000000000000}">
      <formula1>0</formula1>
      <formula2>1000000</formula2>
    </dataValidation>
    <dataValidation allowBlank="1" showInputMessage="1" showErrorMessage="1" error="EN: please enter a number_x000a_DE: Bitte geben Sie eine Zahl ein" prompt="EN: enter a Euro value_x000a_DE Geben Sie einen Wert in Euro an" sqref="C54" xr:uid="{00000000-0002-0000-2000-000001000000}"/>
    <dataValidation allowBlank="1" error="EN: Enter a number _x000a_DE: Geben Sie eine Zahl ein" prompt="EN: Effort in person-days_x000a_DE: Aufwand in Personentagen" sqref="D46:E54" xr:uid="{00000000-0002-0000-2000-000002000000}"/>
    <dataValidation type="whole" allowBlank="1" showInputMessage="1" showErrorMessage="1" error="EN: please enter a whole number_x000a_DE: Bitte geben Sie eine ganze Zahl ein" prompt="EN: please enter a valid number_x000a_DE: Bitte geben Sie eine plausible Zahl ein" sqref="C47" xr:uid="{00000000-0002-0000-2000-000003000000}">
      <formula1>1</formula1>
      <formula2>1000000</formula2>
    </dataValidation>
    <dataValidation type="decimal" allowBlank="1" showInputMessage="1" showErrorMessage="1" error="EN: please enter a number_x000a_DE: Bitte geben Sie eine Zahl ein" prompt="EN: enter a Euro value_x000a_DE Geben Sie einen Wert in Euro an" sqref="C52:C53" xr:uid="{00000000-0002-0000-2000-000004000000}">
      <formula1>1</formula1>
      <formula2>1000000000000</formula2>
    </dataValidation>
    <dataValidation type="decimal" allowBlank="1" showInputMessage="1" showErrorMessage="1" error="EN: Enter a number _x000a_DE: Geben Sie eine Zahl ein" prompt="EN: Effort in person-days_x000a_DE: Aufwand in Personentagen" sqref="C48:C49" xr:uid="{00000000-0002-0000-2000-000005000000}">
      <formula1>1</formula1>
      <formula2>1000000000</formula2>
    </dataValidation>
    <dataValidation type="decimal" allowBlank="1" showInputMessage="1" showErrorMessage="1" error="EN: Enter a number_x000a_DE: Geben Sie eine Zahl ein" prompt="EN: Effort in person-days_x000a_DE: Aufwand in Personentagen" sqref="C49:C51" xr:uid="{00000000-0002-0000-2000-000006000000}">
      <formula1>1</formula1>
      <formula2>1000000000</formula2>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2000-000007000000}">
          <x14:formula1>
            <xm:f>'Control Values'!$B$14:$B$15</xm:f>
          </x14:formula1>
          <xm:sqref>E9</xm:sqref>
        </x14:dataValidation>
        <x14:dataValidation type="list" allowBlank="1" showInputMessage="1" showErrorMessage="1" xr:uid="{00000000-0002-0000-2000-000008000000}">
          <x14:formula1>
            <xm:f>'Control Values'!$B$29:$B$34</xm:f>
          </x14:formula1>
          <xm:sqref>C17</xm:sqref>
        </x14:dataValidation>
        <x14:dataValidation type="list" allowBlank="1" showInputMessage="1" showErrorMessage="1" xr:uid="{00000000-0002-0000-2000-000009000000}">
          <x14:formula1>
            <xm:f>'Control Values'!$B$23:$B$26</xm:f>
          </x14:formula1>
          <xm:sqref>C16</xm:sqref>
        </x14:dataValidation>
        <x14:dataValidation type="list" allowBlank="1" showInputMessage="1" showErrorMessage="1" xr:uid="{00000000-0002-0000-2000-00000A000000}">
          <x14:formula1>
            <xm:f>'Control Values'!$B$18:$B$19</xm:f>
          </x14:formula1>
          <xm:sqref>C13:C15</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5130F-6BBD-4D2D-AC91-5F549DF47BF3}">
  <sheetPr codeName="Sheet80">
    <tabColor theme="9"/>
  </sheetPr>
  <dimension ref="A1:S60"/>
  <sheetViews>
    <sheetView zoomScale="80" zoomScaleNormal="80" workbookViewId="0">
      <selection activeCell="C10" sqref="C10"/>
    </sheetView>
  </sheetViews>
  <sheetFormatPr baseColWidth="10" defaultColWidth="11.5" defaultRowHeight="15"/>
  <cols>
    <col min="1" max="1" width="8.6640625" style="89" customWidth="1"/>
    <col min="2" max="2" width="11.5" style="89" customWidth="1"/>
    <col min="3" max="3" width="44.33203125" style="89" customWidth="1"/>
    <col min="4" max="4" width="23.1640625" style="89" customWidth="1"/>
    <col min="5" max="5" width="37.5" style="89" customWidth="1"/>
    <col min="6" max="6" width="32" style="89" customWidth="1"/>
    <col min="7" max="7" width="11.6640625" style="89" customWidth="1"/>
    <col min="8" max="11" width="32" style="89" customWidth="1"/>
    <col min="12" max="13" width="32.5" style="89" customWidth="1"/>
    <col min="14" max="14" width="26.1640625" style="89" customWidth="1"/>
    <col min="15" max="15" width="20" style="89" customWidth="1"/>
    <col min="16" max="17" width="11.5" style="89"/>
    <col min="18" max="18" width="8.5" style="89" customWidth="1"/>
    <col min="19" max="16384" width="11.5" style="89"/>
  </cols>
  <sheetData>
    <row r="1" spans="1:19" ht="19.5" customHeight="1" thickBot="1">
      <c r="B1" s="497" t="str">
        <f ca="1">COV!C20</f>
        <v>DECKBLATT BITTE VOLLSTÄNDIG AUSFÜLLEN!</v>
      </c>
      <c r="C1" s="459"/>
      <c r="D1" s="459"/>
      <c r="E1" s="459"/>
      <c r="F1" s="459"/>
      <c r="G1" s="459"/>
      <c r="H1" s="459"/>
      <c r="I1" s="459"/>
      <c r="J1" s="459"/>
      <c r="K1" s="459"/>
      <c r="L1" s="459"/>
      <c r="M1" s="459"/>
    </row>
    <row r="2" spans="1:19" ht="5.25" customHeight="1" thickTop="1"/>
    <row r="3" spans="1:19" ht="21">
      <c r="B3" s="2046" t="str">
        <f>Dictionary!B663&amp;" "&amp;'(7b) Project List'!A16&amp;", "&amp;EXP!D16&amp;": "&amp;EXP!C16</f>
        <v xml:space="preserve">Projektliste für Eintrag 8, : </v>
      </c>
      <c r="C3" s="2046"/>
      <c r="D3" s="2046"/>
      <c r="E3" s="2046"/>
      <c r="F3" s="2046"/>
      <c r="G3" s="2046"/>
      <c r="H3" s="2046"/>
      <c r="I3" s="2046"/>
      <c r="J3" s="2046"/>
      <c r="K3" s="2046"/>
      <c r="L3" s="2046"/>
      <c r="M3" s="2046"/>
    </row>
    <row r="4" spans="1:19" ht="21">
      <c r="B4" s="488"/>
      <c r="C4" s="488"/>
      <c r="D4" s="488"/>
      <c r="E4" s="488"/>
      <c r="F4" s="488"/>
      <c r="G4" s="488"/>
      <c r="H4" s="488"/>
      <c r="I4" s="488"/>
      <c r="J4" s="488"/>
      <c r="K4" s="488"/>
      <c r="L4" s="488"/>
      <c r="M4" s="488"/>
    </row>
    <row r="5" spans="1:19" ht="21">
      <c r="B5" s="489" t="str">
        <f>EXP!B5</f>
        <v xml:space="preserve"> , Level A, Projekt Management, Erstzertifizierung</v>
      </c>
      <c r="C5" s="490"/>
      <c r="D5" s="490"/>
      <c r="E5" s="490"/>
      <c r="F5" s="490"/>
      <c r="G5" s="490"/>
      <c r="H5" s="490"/>
      <c r="I5" s="490"/>
      <c r="J5" s="490"/>
      <c r="K5" s="490"/>
      <c r="L5" s="490"/>
      <c r="M5" s="490"/>
    </row>
    <row r="6" spans="1:19" ht="15" customHeight="1">
      <c r="A6" s="1284"/>
      <c r="B6" s="554"/>
      <c r="C6" s="554"/>
      <c r="D6" s="554"/>
      <c r="E6" s="554"/>
      <c r="F6" s="554"/>
      <c r="G6" s="554"/>
      <c r="H6" s="554"/>
      <c r="I6" s="554"/>
      <c r="J6" s="554"/>
      <c r="K6" s="554"/>
      <c r="L6" s="554"/>
      <c r="M6" s="554"/>
      <c r="N6" s="554"/>
      <c r="O6" s="554"/>
      <c r="P6" s="554"/>
      <c r="Q6" s="554"/>
      <c r="R6" s="554"/>
      <c r="S6" s="554"/>
    </row>
    <row r="7" spans="1:19" ht="24">
      <c r="A7" s="1284"/>
      <c r="B7" s="2171" t="str">
        <f>Dictionary!B665</f>
        <v>Nr.</v>
      </c>
      <c r="C7" s="2166" t="str">
        <f>Dictionary!B666</f>
        <v>Projektname</v>
      </c>
      <c r="D7" s="2166" t="str">
        <f>Dictionary!B667</f>
        <v>PM Domäne</v>
      </c>
      <c r="E7" s="2166" t="s">
        <v>269</v>
      </c>
      <c r="F7" s="2166" t="str">
        <f>Dictionary!B676</f>
        <v>Projekt- / Programm Typ</v>
      </c>
      <c r="G7" s="2173" t="str">
        <f>Dictionary!B677</f>
        <v>Strategisch</v>
      </c>
      <c r="H7" s="2166" t="str">
        <f>Dictionary!B670</f>
        <v>Dauer</v>
      </c>
      <c r="I7" s="2166"/>
      <c r="J7" s="2166" t="str">
        <f>Dictionary!B671</f>
        <v>Gesamtaufwand [Personentage]:</v>
      </c>
      <c r="K7" s="2166"/>
      <c r="L7" s="2166" t="str">
        <f>Dictionary!B672</f>
        <v>Gesamtbudget [€]:</v>
      </c>
      <c r="M7" s="2175"/>
      <c r="N7" s="554"/>
      <c r="O7" s="554"/>
      <c r="P7" s="554"/>
      <c r="Q7" s="554"/>
      <c r="R7" s="554"/>
      <c r="S7" s="554"/>
    </row>
    <row r="8" spans="1:19" ht="24">
      <c r="A8" s="1284"/>
      <c r="B8" s="2172"/>
      <c r="C8" s="2167"/>
      <c r="D8" s="2167"/>
      <c r="E8" s="2167"/>
      <c r="F8" s="2167"/>
      <c r="G8" s="2174"/>
      <c r="H8" s="1305" t="str">
        <f>Dictionary!B668</f>
        <v>Startdatum</v>
      </c>
      <c r="I8" s="1305" t="str">
        <f>Dictionary!B669</f>
        <v>Endtermin</v>
      </c>
      <c r="J8" s="1305" t="str">
        <f>Dictionary!B673</f>
        <v>geplant</v>
      </c>
      <c r="K8" s="1305" t="str">
        <f>Dictionary!B674</f>
        <v>realisiert</v>
      </c>
      <c r="L8" s="1305" t="str">
        <f>Dictionary!B673</f>
        <v>geplant</v>
      </c>
      <c r="M8" s="1306" t="str">
        <f>Dictionary!B674</f>
        <v>realisiert</v>
      </c>
      <c r="N8" s="554"/>
      <c r="O8" s="554"/>
      <c r="P8" s="554"/>
      <c r="Q8" s="554"/>
      <c r="R8" s="554"/>
      <c r="S8" s="554"/>
    </row>
    <row r="9" spans="1:19" ht="24" hidden="1">
      <c r="A9" s="1284"/>
      <c r="B9" s="1304" t="s">
        <v>2826</v>
      </c>
      <c r="C9" s="1297" t="s">
        <v>2827</v>
      </c>
      <c r="D9" s="1297" t="s">
        <v>2837</v>
      </c>
      <c r="E9" s="1297" t="s">
        <v>2828</v>
      </c>
      <c r="F9" s="1297" t="s">
        <v>2829</v>
      </c>
      <c r="G9" s="1298" t="s">
        <v>2830</v>
      </c>
      <c r="H9" s="1299" t="s">
        <v>2831</v>
      </c>
      <c r="I9" s="1299" t="s">
        <v>2832</v>
      </c>
      <c r="J9" s="1300" t="s">
        <v>2833</v>
      </c>
      <c r="K9" s="1300" t="s">
        <v>2834</v>
      </c>
      <c r="L9" s="1300" t="s">
        <v>2835</v>
      </c>
      <c r="M9" s="1300" t="s">
        <v>2836</v>
      </c>
      <c r="N9" s="554"/>
      <c r="O9" s="554"/>
      <c r="P9" s="554"/>
      <c r="Q9" s="554"/>
      <c r="R9" s="554"/>
      <c r="S9" s="554"/>
    </row>
    <row r="10" spans="1:19" ht="24">
      <c r="A10" s="1284"/>
      <c r="B10" s="1292">
        <v>1</v>
      </c>
      <c r="C10" s="1291"/>
      <c r="D10" s="1291"/>
      <c r="E10" s="1291"/>
      <c r="F10" s="1291"/>
      <c r="G10" s="1296"/>
      <c r="H10" s="1307"/>
      <c r="I10" s="1308"/>
      <c r="J10" s="1321"/>
      <c r="K10" s="1321"/>
      <c r="L10" s="1293"/>
      <c r="M10" s="1293"/>
      <c r="N10" s="554"/>
      <c r="O10" s="554"/>
      <c r="P10" s="554"/>
      <c r="Q10" s="554"/>
      <c r="R10" s="554"/>
      <c r="S10" s="554"/>
    </row>
    <row r="11" spans="1:19" ht="24">
      <c r="A11" s="1284"/>
      <c r="B11" s="1292">
        <v>2</v>
      </c>
      <c r="C11" s="1291"/>
      <c r="D11" s="1291"/>
      <c r="E11" s="1291"/>
      <c r="F11" s="1291"/>
      <c r="G11" s="1296"/>
      <c r="H11" s="1309"/>
      <c r="I11" s="1310"/>
      <c r="J11" s="1321"/>
      <c r="K11" s="1321"/>
      <c r="L11" s="1293"/>
      <c r="M11" s="1293"/>
      <c r="N11" s="554"/>
      <c r="O11" s="554"/>
      <c r="P11" s="554"/>
      <c r="Q11" s="554"/>
      <c r="R11" s="554"/>
      <c r="S11" s="554"/>
    </row>
    <row r="12" spans="1:19" ht="24">
      <c r="A12" s="1284"/>
      <c r="B12" s="1292">
        <v>3</v>
      </c>
      <c r="C12" s="1291"/>
      <c r="D12" s="1291"/>
      <c r="E12" s="1291"/>
      <c r="F12" s="1291"/>
      <c r="G12" s="1296"/>
      <c r="H12" s="1309"/>
      <c r="I12" s="1310"/>
      <c r="J12" s="1321"/>
      <c r="K12" s="1321"/>
      <c r="L12" s="1293"/>
      <c r="M12" s="1293"/>
      <c r="N12" s="554"/>
      <c r="O12" s="554"/>
      <c r="P12" s="554"/>
      <c r="Q12" s="554"/>
      <c r="R12" s="554"/>
      <c r="S12" s="554"/>
    </row>
    <row r="13" spans="1:19" ht="24">
      <c r="A13" s="1284"/>
      <c r="B13" s="1292">
        <v>4</v>
      </c>
      <c r="C13" s="1291"/>
      <c r="D13" s="1291"/>
      <c r="E13" s="1291"/>
      <c r="F13" s="1291"/>
      <c r="G13" s="1296"/>
      <c r="H13" s="1309"/>
      <c r="I13" s="1310"/>
      <c r="J13" s="1321"/>
      <c r="K13" s="1321"/>
      <c r="L13" s="1293"/>
      <c r="M13" s="1293"/>
      <c r="N13" s="554"/>
      <c r="O13" s="554"/>
      <c r="P13" s="554"/>
      <c r="Q13" s="554"/>
      <c r="R13" s="554"/>
      <c r="S13" s="554"/>
    </row>
    <row r="14" spans="1:19" ht="24">
      <c r="A14" s="1284"/>
      <c r="B14" s="1292">
        <v>5</v>
      </c>
      <c r="C14" s="1291"/>
      <c r="D14" s="1291"/>
      <c r="E14" s="1291"/>
      <c r="F14" s="1291"/>
      <c r="G14" s="1296"/>
      <c r="H14" s="1309"/>
      <c r="I14" s="1310"/>
      <c r="J14" s="1321"/>
      <c r="K14" s="1321"/>
      <c r="L14" s="1293"/>
      <c r="M14" s="1293"/>
      <c r="N14" s="554"/>
      <c r="O14" s="554"/>
      <c r="P14" s="554"/>
      <c r="Q14" s="554"/>
      <c r="R14" s="554"/>
      <c r="S14" s="554"/>
    </row>
    <row r="15" spans="1:19" ht="24">
      <c r="A15" s="1284"/>
      <c r="B15" s="1292">
        <v>6</v>
      </c>
      <c r="C15" s="1291"/>
      <c r="D15" s="1291"/>
      <c r="E15" s="1291"/>
      <c r="F15" s="1291"/>
      <c r="G15" s="1296"/>
      <c r="H15" s="1309"/>
      <c r="I15" s="1310"/>
      <c r="J15" s="1321"/>
      <c r="K15" s="1321"/>
      <c r="L15" s="1293"/>
      <c r="M15" s="1293"/>
      <c r="N15" s="554"/>
      <c r="O15" s="554"/>
      <c r="P15" s="554"/>
      <c r="Q15" s="554"/>
      <c r="R15" s="554"/>
      <c r="S15" s="554"/>
    </row>
    <row r="16" spans="1:19" ht="24">
      <c r="A16" s="1284"/>
      <c r="B16" s="1292">
        <v>7</v>
      </c>
      <c r="C16" s="1291"/>
      <c r="D16" s="1291"/>
      <c r="E16" s="1291"/>
      <c r="F16" s="1291"/>
      <c r="G16" s="1296"/>
      <c r="H16" s="1309"/>
      <c r="I16" s="1310"/>
      <c r="J16" s="1321"/>
      <c r="K16" s="1321"/>
      <c r="L16" s="1293"/>
      <c r="M16" s="1293"/>
      <c r="N16" s="554"/>
      <c r="O16" s="554"/>
      <c r="P16" s="554"/>
      <c r="Q16" s="554"/>
      <c r="R16" s="554"/>
      <c r="S16" s="554"/>
    </row>
    <row r="17" spans="1:19" ht="24">
      <c r="A17" s="1284"/>
      <c r="B17" s="1292">
        <v>8</v>
      </c>
      <c r="C17" s="1291"/>
      <c r="D17" s="1291"/>
      <c r="E17" s="1291"/>
      <c r="F17" s="1291"/>
      <c r="G17" s="1296"/>
      <c r="H17" s="1309"/>
      <c r="I17" s="1310"/>
      <c r="J17" s="1321"/>
      <c r="K17" s="1321"/>
      <c r="L17" s="1293"/>
      <c r="M17" s="1293"/>
      <c r="N17" s="554"/>
      <c r="O17" s="554"/>
      <c r="P17" s="554"/>
      <c r="Q17" s="554"/>
      <c r="R17" s="554"/>
      <c r="S17" s="554"/>
    </row>
    <row r="18" spans="1:19" ht="24">
      <c r="A18" s="1284"/>
      <c r="B18" s="1292">
        <v>9</v>
      </c>
      <c r="C18" s="1291"/>
      <c r="D18" s="1291"/>
      <c r="E18" s="1291"/>
      <c r="F18" s="1291"/>
      <c r="G18" s="1296"/>
      <c r="H18" s="1309"/>
      <c r="I18" s="1310"/>
      <c r="J18" s="1321"/>
      <c r="K18" s="1321"/>
      <c r="L18" s="1293"/>
      <c r="M18" s="1293"/>
      <c r="N18" s="554"/>
      <c r="O18" s="554"/>
      <c r="P18" s="554"/>
      <c r="Q18" s="554"/>
      <c r="R18" s="554"/>
      <c r="S18" s="554"/>
    </row>
    <row r="19" spans="1:19" ht="24">
      <c r="A19" s="1284"/>
      <c r="B19" s="1292">
        <v>10</v>
      </c>
      <c r="C19" s="1291"/>
      <c r="D19" s="1291"/>
      <c r="E19" s="1291"/>
      <c r="F19" s="1291"/>
      <c r="G19" s="1296"/>
      <c r="H19" s="1309"/>
      <c r="I19" s="1310"/>
      <c r="J19" s="1321"/>
      <c r="K19" s="1321"/>
      <c r="L19" s="1293"/>
      <c r="M19" s="1293"/>
      <c r="N19" s="554"/>
      <c r="O19" s="554"/>
      <c r="P19" s="554"/>
      <c r="Q19" s="554"/>
      <c r="R19" s="554"/>
      <c r="S19" s="554"/>
    </row>
    <row r="20" spans="1:19" ht="24">
      <c r="A20" s="1284"/>
      <c r="B20" s="1292">
        <v>11</v>
      </c>
      <c r="C20" s="1291"/>
      <c r="D20" s="1291"/>
      <c r="E20" s="1291"/>
      <c r="F20" s="1291"/>
      <c r="G20" s="1296"/>
      <c r="H20" s="1309"/>
      <c r="I20" s="1310"/>
      <c r="J20" s="1321"/>
      <c r="K20" s="1321"/>
      <c r="L20" s="1293"/>
      <c r="M20" s="1293"/>
      <c r="N20" s="554"/>
      <c r="O20" s="554"/>
      <c r="P20" s="554"/>
      <c r="Q20" s="554"/>
      <c r="R20" s="554"/>
      <c r="S20" s="554"/>
    </row>
    <row r="21" spans="1:19" ht="24">
      <c r="A21" s="1284"/>
      <c r="B21" s="1292">
        <v>12</v>
      </c>
      <c r="C21" s="1291"/>
      <c r="D21" s="1291"/>
      <c r="E21" s="1291"/>
      <c r="F21" s="1291"/>
      <c r="G21" s="1296"/>
      <c r="H21" s="1309"/>
      <c r="I21" s="1310"/>
      <c r="J21" s="1321"/>
      <c r="K21" s="1321"/>
      <c r="L21" s="1293"/>
      <c r="M21" s="1293"/>
      <c r="N21" s="554"/>
      <c r="O21" s="554"/>
      <c r="P21" s="554"/>
      <c r="Q21" s="554"/>
      <c r="R21" s="554"/>
      <c r="S21" s="554"/>
    </row>
    <row r="22" spans="1:19" ht="24">
      <c r="A22" s="1284"/>
      <c r="B22" s="1292">
        <v>13</v>
      </c>
      <c r="C22" s="1291"/>
      <c r="D22" s="1291"/>
      <c r="E22" s="1291"/>
      <c r="F22" s="1291"/>
      <c r="G22" s="1296"/>
      <c r="H22" s="1309"/>
      <c r="I22" s="1310"/>
      <c r="J22" s="1321"/>
      <c r="K22" s="1321"/>
      <c r="L22" s="1293"/>
      <c r="M22" s="1293"/>
      <c r="N22" s="554"/>
      <c r="O22" s="554"/>
      <c r="P22" s="554"/>
      <c r="Q22" s="554"/>
      <c r="R22" s="554"/>
      <c r="S22" s="554"/>
    </row>
    <row r="23" spans="1:19" ht="24">
      <c r="A23" s="1284"/>
      <c r="B23" s="1292">
        <v>14</v>
      </c>
      <c r="C23" s="1291"/>
      <c r="D23" s="1291"/>
      <c r="E23" s="1291"/>
      <c r="F23" s="1291"/>
      <c r="G23" s="1296"/>
      <c r="H23" s="1309"/>
      <c r="I23" s="1310"/>
      <c r="J23" s="1321"/>
      <c r="K23" s="1321"/>
      <c r="L23" s="1293"/>
      <c r="M23" s="1293"/>
      <c r="N23" s="554"/>
      <c r="O23" s="554"/>
      <c r="P23" s="554"/>
      <c r="Q23" s="554"/>
      <c r="R23" s="554"/>
      <c r="S23" s="554"/>
    </row>
    <row r="24" spans="1:19" ht="24">
      <c r="A24" s="1284"/>
      <c r="B24" s="1292">
        <v>15</v>
      </c>
      <c r="C24" s="1291"/>
      <c r="D24" s="1291"/>
      <c r="E24" s="1291"/>
      <c r="F24" s="1291"/>
      <c r="G24" s="1296"/>
      <c r="H24" s="1309"/>
      <c r="I24" s="1310"/>
      <c r="J24" s="1321"/>
      <c r="K24" s="1321"/>
      <c r="L24" s="1293"/>
      <c r="M24" s="1293"/>
      <c r="N24" s="554"/>
      <c r="O24" s="554"/>
      <c r="P24" s="554"/>
      <c r="Q24" s="554"/>
      <c r="R24" s="554"/>
      <c r="S24" s="554"/>
    </row>
    <row r="25" spans="1:19" ht="24">
      <c r="A25" s="1284"/>
      <c r="B25" s="1292">
        <v>16</v>
      </c>
      <c r="C25" s="1291"/>
      <c r="D25" s="1291"/>
      <c r="E25" s="1291"/>
      <c r="F25" s="1291"/>
      <c r="G25" s="1296"/>
      <c r="H25" s="1309"/>
      <c r="I25" s="1310"/>
      <c r="J25" s="1321"/>
      <c r="K25" s="1321"/>
      <c r="L25" s="1293"/>
      <c r="M25" s="1293"/>
      <c r="N25" s="554"/>
      <c r="O25" s="554"/>
      <c r="P25" s="554"/>
      <c r="Q25" s="554"/>
      <c r="R25" s="554"/>
      <c r="S25" s="554"/>
    </row>
    <row r="26" spans="1:19" ht="24">
      <c r="A26" s="1284"/>
      <c r="B26" s="1292">
        <v>17</v>
      </c>
      <c r="C26" s="1291"/>
      <c r="D26" s="1291"/>
      <c r="E26" s="1291"/>
      <c r="F26" s="1291"/>
      <c r="G26" s="1296"/>
      <c r="H26" s="1309"/>
      <c r="I26" s="1310"/>
      <c r="J26" s="1321"/>
      <c r="K26" s="1321"/>
      <c r="L26" s="1293"/>
      <c r="M26" s="1293"/>
      <c r="N26" s="554"/>
      <c r="O26" s="554"/>
      <c r="P26" s="554"/>
      <c r="Q26" s="554"/>
      <c r="R26" s="554"/>
      <c r="S26" s="554"/>
    </row>
    <row r="27" spans="1:19" ht="24">
      <c r="A27" s="1284"/>
      <c r="B27" s="1292">
        <v>18</v>
      </c>
      <c r="C27" s="1291"/>
      <c r="D27" s="1291"/>
      <c r="E27" s="1291"/>
      <c r="F27" s="1291"/>
      <c r="G27" s="1296"/>
      <c r="H27" s="1309"/>
      <c r="I27" s="1310"/>
      <c r="J27" s="1321"/>
      <c r="K27" s="1321"/>
      <c r="L27" s="1293"/>
      <c r="M27" s="1293"/>
      <c r="N27" s="554"/>
      <c r="O27" s="554"/>
      <c r="P27" s="554"/>
      <c r="Q27" s="554"/>
      <c r="R27" s="554"/>
      <c r="S27" s="554"/>
    </row>
    <row r="28" spans="1:19" ht="24">
      <c r="A28" s="1284"/>
      <c r="B28" s="1292">
        <v>19</v>
      </c>
      <c r="C28" s="1291"/>
      <c r="D28" s="1291"/>
      <c r="E28" s="1291"/>
      <c r="F28" s="1291"/>
      <c r="G28" s="1296"/>
      <c r="H28" s="1309"/>
      <c r="I28" s="1310"/>
      <c r="J28" s="1321"/>
      <c r="K28" s="1321"/>
      <c r="L28" s="1293"/>
      <c r="M28" s="1293"/>
      <c r="N28" s="554"/>
      <c r="O28" s="554"/>
      <c r="P28" s="554"/>
      <c r="Q28" s="554"/>
      <c r="R28" s="554"/>
      <c r="S28" s="554"/>
    </row>
    <row r="29" spans="1:19" ht="24">
      <c r="A29" s="1284"/>
      <c r="B29" s="1292">
        <v>20</v>
      </c>
      <c r="C29" s="1291"/>
      <c r="D29" s="1291"/>
      <c r="E29" s="1291"/>
      <c r="F29" s="1291"/>
      <c r="G29" s="1296"/>
      <c r="H29" s="1309"/>
      <c r="I29" s="1310"/>
      <c r="J29" s="1321"/>
      <c r="K29" s="1321"/>
      <c r="L29" s="1293"/>
      <c r="M29" s="1293"/>
      <c r="N29" s="554"/>
      <c r="O29" s="554"/>
      <c r="P29" s="554"/>
      <c r="Q29" s="554"/>
      <c r="R29" s="554"/>
      <c r="S29" s="554"/>
    </row>
    <row r="30" spans="1:19" ht="24">
      <c r="A30" s="1284"/>
      <c r="B30" s="1292">
        <v>21</v>
      </c>
      <c r="C30" s="1291"/>
      <c r="D30" s="1291"/>
      <c r="E30" s="1291"/>
      <c r="F30" s="1291"/>
      <c r="G30" s="1296"/>
      <c r="H30" s="1309"/>
      <c r="I30" s="1310"/>
      <c r="J30" s="1321"/>
      <c r="K30" s="1321"/>
      <c r="L30" s="1293"/>
      <c r="M30" s="1293"/>
      <c r="N30" s="554"/>
      <c r="O30" s="554"/>
      <c r="P30" s="554"/>
      <c r="Q30" s="554"/>
      <c r="R30" s="554"/>
      <c r="S30" s="554"/>
    </row>
    <row r="31" spans="1:19" ht="24">
      <c r="A31" s="1284"/>
      <c r="B31" s="1292">
        <v>22</v>
      </c>
      <c r="C31" s="1291"/>
      <c r="D31" s="1291"/>
      <c r="E31" s="1291"/>
      <c r="F31" s="1291"/>
      <c r="G31" s="1296"/>
      <c r="H31" s="1309"/>
      <c r="I31" s="1310"/>
      <c r="J31" s="1321"/>
      <c r="K31" s="1321"/>
      <c r="L31" s="1293"/>
      <c r="M31" s="1293"/>
      <c r="N31" s="554"/>
      <c r="O31" s="554"/>
      <c r="P31" s="554"/>
      <c r="Q31" s="554"/>
      <c r="R31" s="554"/>
      <c r="S31" s="554"/>
    </row>
    <row r="32" spans="1:19" ht="24">
      <c r="A32" s="1284"/>
      <c r="B32" s="1292">
        <v>23</v>
      </c>
      <c r="C32" s="1291"/>
      <c r="D32" s="1291"/>
      <c r="E32" s="1291"/>
      <c r="F32" s="1291"/>
      <c r="G32" s="1296"/>
      <c r="H32" s="1309"/>
      <c r="I32" s="1310"/>
      <c r="J32" s="1321"/>
      <c r="K32" s="1321"/>
      <c r="L32" s="1293"/>
      <c r="M32" s="1293"/>
      <c r="N32" s="554"/>
      <c r="O32" s="554"/>
      <c r="P32" s="554"/>
      <c r="Q32" s="554"/>
      <c r="R32" s="554"/>
      <c r="S32" s="554"/>
    </row>
    <row r="33" spans="1:19" ht="24">
      <c r="A33" s="1284"/>
      <c r="B33" s="1292">
        <v>24</v>
      </c>
      <c r="C33" s="1291"/>
      <c r="D33" s="1291"/>
      <c r="E33" s="1291"/>
      <c r="F33" s="1291"/>
      <c r="G33" s="1296"/>
      <c r="H33" s="1309"/>
      <c r="I33" s="1310"/>
      <c r="J33" s="1321"/>
      <c r="K33" s="1321"/>
      <c r="L33" s="1293"/>
      <c r="M33" s="1293"/>
      <c r="N33" s="554"/>
      <c r="O33" s="554"/>
      <c r="P33" s="554"/>
      <c r="Q33" s="554"/>
      <c r="R33" s="554"/>
      <c r="S33" s="554"/>
    </row>
    <row r="34" spans="1:19" ht="24">
      <c r="A34" s="1284"/>
      <c r="B34" s="1292">
        <v>25</v>
      </c>
      <c r="C34" s="1291"/>
      <c r="D34" s="1291"/>
      <c r="E34" s="1291"/>
      <c r="F34" s="1291"/>
      <c r="G34" s="1296"/>
      <c r="H34" s="1309"/>
      <c r="I34" s="1310"/>
      <c r="J34" s="1321"/>
      <c r="K34" s="1321"/>
      <c r="L34" s="1293"/>
      <c r="M34" s="1293"/>
      <c r="N34" s="554"/>
      <c r="O34" s="554"/>
      <c r="P34" s="554"/>
      <c r="Q34" s="554"/>
      <c r="R34" s="554"/>
      <c r="S34" s="554"/>
    </row>
    <row r="35" spans="1:19" ht="24">
      <c r="A35" s="1284"/>
      <c r="B35" s="1292">
        <v>26</v>
      </c>
      <c r="C35" s="1291"/>
      <c r="D35" s="1291"/>
      <c r="E35" s="1291"/>
      <c r="F35" s="1291"/>
      <c r="G35" s="1296"/>
      <c r="H35" s="1309"/>
      <c r="I35" s="1310"/>
      <c r="J35" s="1321"/>
      <c r="K35" s="1321"/>
      <c r="L35" s="1293"/>
      <c r="M35" s="1293"/>
      <c r="N35" s="554"/>
      <c r="O35" s="554"/>
      <c r="P35" s="554"/>
      <c r="Q35" s="554"/>
      <c r="R35" s="554"/>
      <c r="S35" s="554"/>
    </row>
    <row r="36" spans="1:19" ht="24">
      <c r="A36" s="1284"/>
      <c r="B36" s="1292">
        <v>27</v>
      </c>
      <c r="C36" s="1291"/>
      <c r="D36" s="1291"/>
      <c r="E36" s="1291"/>
      <c r="F36" s="1291"/>
      <c r="G36" s="1296"/>
      <c r="H36" s="1309"/>
      <c r="I36" s="1310"/>
      <c r="J36" s="1321"/>
      <c r="K36" s="1321"/>
      <c r="L36" s="1293"/>
      <c r="M36" s="1293"/>
      <c r="N36" s="554"/>
      <c r="O36" s="554"/>
      <c r="P36" s="554"/>
      <c r="Q36" s="554"/>
      <c r="R36" s="554"/>
      <c r="S36" s="554"/>
    </row>
    <row r="37" spans="1:19" ht="24">
      <c r="A37" s="1284"/>
      <c r="B37" s="1292">
        <v>28</v>
      </c>
      <c r="C37" s="1291"/>
      <c r="D37" s="1291"/>
      <c r="E37" s="1291"/>
      <c r="F37" s="1291"/>
      <c r="G37" s="1296"/>
      <c r="H37" s="1309"/>
      <c r="I37" s="1310"/>
      <c r="J37" s="1321"/>
      <c r="K37" s="1321"/>
      <c r="L37" s="1293"/>
      <c r="M37" s="1293"/>
      <c r="N37" s="554"/>
      <c r="O37" s="554"/>
      <c r="P37" s="554"/>
      <c r="Q37" s="554"/>
      <c r="R37" s="554"/>
      <c r="S37" s="554"/>
    </row>
    <row r="38" spans="1:19" ht="24">
      <c r="A38" s="1284"/>
      <c r="B38" s="1292">
        <v>29</v>
      </c>
      <c r="C38" s="1291"/>
      <c r="D38" s="1291"/>
      <c r="E38" s="1291"/>
      <c r="F38" s="1291"/>
      <c r="G38" s="1296"/>
      <c r="H38" s="1309"/>
      <c r="I38" s="1310"/>
      <c r="J38" s="1321"/>
      <c r="K38" s="1321"/>
      <c r="L38" s="1293"/>
      <c r="M38" s="1293"/>
      <c r="N38" s="554"/>
      <c r="O38" s="554"/>
      <c r="P38" s="554"/>
      <c r="Q38" s="554"/>
      <c r="R38" s="554"/>
      <c r="S38" s="554"/>
    </row>
    <row r="39" spans="1:19" ht="24">
      <c r="A39" s="1284"/>
      <c r="B39" s="1292">
        <v>30</v>
      </c>
      <c r="C39" s="1311"/>
      <c r="D39" s="1311"/>
      <c r="E39" s="1311"/>
      <c r="F39" s="1311"/>
      <c r="G39" s="1312"/>
      <c r="H39" s="1313"/>
      <c r="I39" s="1314"/>
      <c r="J39" s="1322"/>
      <c r="K39" s="1322"/>
      <c r="L39" s="1315"/>
      <c r="M39" s="1315"/>
      <c r="N39" s="554"/>
      <c r="O39" s="554"/>
      <c r="P39" s="554"/>
      <c r="Q39" s="554"/>
      <c r="R39" s="554"/>
      <c r="S39" s="554"/>
    </row>
    <row r="40" spans="1:19" ht="24">
      <c r="A40" s="1284"/>
      <c r="B40" s="1301"/>
      <c r="C40" s="2168" t="str">
        <f>Dictionary!B675</f>
        <v xml:space="preserve">Programm / Portfolio Verwaltung </v>
      </c>
      <c r="D40" s="2169"/>
      <c r="E40" s="2169"/>
      <c r="F40" s="2169"/>
      <c r="G40" s="2170"/>
      <c r="H40" s="1319"/>
      <c r="I40" s="1320"/>
      <c r="J40" s="1323"/>
      <c r="K40" s="1323"/>
      <c r="L40" s="1294"/>
      <c r="M40" s="1295"/>
      <c r="N40" s="554"/>
      <c r="O40" s="554"/>
      <c r="P40" s="554"/>
      <c r="Q40" s="554"/>
      <c r="R40" s="554"/>
      <c r="S40" s="554"/>
    </row>
    <row r="41" spans="1:19" ht="24">
      <c r="A41" s="1284"/>
      <c r="B41" s="1302"/>
      <c r="C41" s="1316"/>
      <c r="D41" s="1316"/>
      <c r="E41" s="1316"/>
      <c r="F41" s="1316"/>
      <c r="G41" s="1316"/>
      <c r="H41" s="2176" t="s">
        <v>2825</v>
      </c>
      <c r="I41" s="2176"/>
      <c r="J41" s="1317">
        <f>SUM(J9:J40)</f>
        <v>0</v>
      </c>
      <c r="K41" s="1317">
        <f>SUM(K9:K40)</f>
        <v>0</v>
      </c>
      <c r="L41" s="1318">
        <f>SUM(L9:L40)</f>
        <v>0</v>
      </c>
      <c r="M41" s="1318">
        <f>SUM(M9:M40)</f>
        <v>0</v>
      </c>
      <c r="N41" s="554"/>
      <c r="O41" s="554"/>
      <c r="P41" s="554"/>
      <c r="Q41" s="554"/>
      <c r="R41" s="554"/>
      <c r="S41" s="554"/>
    </row>
    <row r="42" spans="1:19" ht="24">
      <c r="B42" s="554"/>
      <c r="C42" s="554"/>
      <c r="D42" s="554"/>
      <c r="E42" s="554"/>
      <c r="F42" s="554"/>
      <c r="G42" s="554"/>
      <c r="H42" s="554"/>
      <c r="I42" s="554"/>
      <c r="J42" s="554"/>
      <c r="K42" s="554"/>
      <c r="L42" s="554"/>
      <c r="M42" s="554"/>
    </row>
    <row r="43" spans="1:19" ht="17" thickBot="1">
      <c r="B43" s="460"/>
      <c r="C43" s="460"/>
      <c r="D43" s="460"/>
      <c r="E43" s="460"/>
      <c r="F43" s="460"/>
      <c r="G43" s="460"/>
      <c r="H43" s="460"/>
      <c r="I43" s="460"/>
      <c r="J43" s="460"/>
      <c r="K43" s="460"/>
      <c r="L43" s="460"/>
      <c r="M43" s="460"/>
    </row>
    <row r="44" spans="1:19">
      <c r="M44" s="464" t="s">
        <v>105</v>
      </c>
    </row>
    <row r="50" spans="3:6" hidden="1"/>
    <row r="51" spans="3:6" hidden="1">
      <c r="C51" s="2163" t="s">
        <v>249</v>
      </c>
      <c r="D51" s="2164"/>
      <c r="E51" s="2164"/>
      <c r="F51" s="2165"/>
    </row>
    <row r="52" spans="3:6" hidden="1">
      <c r="C52" s="240"/>
      <c r="D52" s="172"/>
      <c r="E52" s="241"/>
      <c r="F52" s="241"/>
    </row>
    <row r="53" spans="3:6" hidden="1">
      <c r="C53" s="1905" t="s">
        <v>970</v>
      </c>
      <c r="D53" s="172" t="s">
        <v>1037</v>
      </c>
      <c r="E53" s="241"/>
      <c r="F53" s="241"/>
    </row>
    <row r="54" spans="3:6" hidden="1">
      <c r="C54" s="1906" t="s">
        <v>1024</v>
      </c>
      <c r="D54" s="172"/>
      <c r="E54" s="241"/>
      <c r="F54" s="241"/>
    </row>
    <row r="55" spans="3:6" hidden="1">
      <c r="C55" s="1907" t="s">
        <v>1025</v>
      </c>
      <c r="D55" s="172"/>
      <c r="E55" s="241"/>
      <c r="F55" s="241"/>
    </row>
    <row r="56" spans="3:6" hidden="1">
      <c r="C56" s="240"/>
      <c r="D56" s="172"/>
      <c r="E56" s="241"/>
      <c r="F56" s="241"/>
    </row>
    <row r="57" spans="3:6" hidden="1">
      <c r="C57" s="240"/>
      <c r="D57" s="172"/>
      <c r="E57" s="241"/>
      <c r="F57" s="241"/>
    </row>
    <row r="58" spans="3:6" hidden="1">
      <c r="C58" s="240"/>
      <c r="D58" s="172"/>
      <c r="E58" s="241"/>
      <c r="F58" s="241"/>
    </row>
    <row r="59" spans="3:6" hidden="1">
      <c r="C59" s="242"/>
      <c r="D59" s="1303"/>
      <c r="E59" s="185"/>
      <c r="F59" s="185"/>
    </row>
    <row r="60" spans="3:6" hidden="1"/>
  </sheetData>
  <sheetProtection algorithmName="SHA-512" hashValue="LIfB2XVBpOItXE+9qZufLI+du6dqUxAIfswLthttmOb5Z5kBcYXNN+hf2WNXrDsEJ5SvCtI5yNsu1Xhwh4lw8Q==" saltValue="LcCQTiWyXSABYMwafsiD0Q==" spinCount="100000" sheet="1" objects="1" scenarios="1" selectLockedCells="1"/>
  <mergeCells count="13">
    <mergeCell ref="C40:G40"/>
    <mergeCell ref="H41:I41"/>
    <mergeCell ref="C51:F51"/>
    <mergeCell ref="B3:M3"/>
    <mergeCell ref="B7:B8"/>
    <mergeCell ref="C7:C8"/>
    <mergeCell ref="D7:D8"/>
    <mergeCell ref="E7:E8"/>
    <mergeCell ref="F7:F8"/>
    <mergeCell ref="G7:G8"/>
    <mergeCell ref="H7:I7"/>
    <mergeCell ref="J7:K7"/>
    <mergeCell ref="L7:M7"/>
  </mergeCells>
  <dataValidations count="6">
    <dataValidation type="date" operator="lessThan" allowBlank="1" showInputMessage="1" showErrorMessage="1" error="EN_x000a_End must occur after start._x000a__x000a_DE_x000a_Das Ende muss nach dem Start kommen._x000a_ " sqref="H10:H40" xr:uid="{00000000-0002-0000-2100-000000000000}">
      <formula1>I10</formula1>
    </dataValidation>
    <dataValidation type="date" operator="greaterThan" allowBlank="1" showInputMessage="1" showErrorMessage="1" error="EN_x000a_End must occur after start._x000a__x000a_DE_x000a_Das Ende muss nach dem Start kommen._x000a_ " sqref="I10:I40" xr:uid="{00000000-0002-0000-2100-000001000000}">
      <formula1>H10</formula1>
    </dataValidation>
    <dataValidation type="list" allowBlank="1" showInputMessage="1" showErrorMessage="1" sqref="G10:G39" xr:uid="{00000000-0002-0000-2100-000002000000}">
      <formula1>$D$53:$D$54</formula1>
    </dataValidation>
    <dataValidation type="list" allowBlank="1" showInputMessage="1" showErrorMessage="1" sqref="D10:D39" xr:uid="{00000000-0002-0000-2100-000003000000}">
      <formula1>$C$53:$C$55</formula1>
    </dataValidation>
    <dataValidation type="whole" operator="greaterThan" allowBlank="1" showInputMessage="1" showErrorMessage="1" error="Bitte eine ganze Zahl grösser als 0 eingeben!" sqref="J9:K40 M9:M40 L10:L40" xr:uid="{00000000-0002-0000-2100-000004000000}">
      <formula1>0</formula1>
    </dataValidation>
    <dataValidation type="whole" operator="greaterThan" allowBlank="1" showInputMessage="1" showErrorMessage="1" error="Bitte eine ganze Zahl grösser als 0 eingeben!" promptTitle="Investition" prompt="Unter Investition werden die gesamten Kosten verstanden, inkl.der personellen Aufwände." sqref="L9" xr:uid="{00000000-0002-0000-2100-000005000000}">
      <formula1>0</formula1>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100-000006000000}">
          <x14:formula1>
            <xm:f>'Control Values'!$B$23:$B$26</xm:f>
          </x14:formula1>
          <xm:sqref>F10:F39</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5F30B-6243-4F20-8D8A-4404B2ACD7DF}">
  <sheetPr codeName="Sheet36">
    <tabColor theme="9" tint="-0.24994659260841701"/>
  </sheetPr>
  <dimension ref="B1:L70"/>
  <sheetViews>
    <sheetView showGridLines="0" showZeros="0" workbookViewId="0">
      <pane xSplit="8" ySplit="9" topLeftCell="I10" activePane="bottomRight" state="frozenSplit"/>
      <selection activeCell="B109" sqref="B109"/>
      <selection pane="topRight" activeCell="B109" sqref="B109"/>
      <selection pane="bottomLeft" activeCell="B109" sqref="B109"/>
      <selection pane="bottomRight" activeCell="I11" sqref="I11"/>
    </sheetView>
  </sheetViews>
  <sheetFormatPr baseColWidth="10" defaultColWidth="10" defaultRowHeight="14"/>
  <cols>
    <col min="1" max="1" width="2.6640625" style="472" customWidth="1"/>
    <col min="2" max="2" width="5.5" style="471" customWidth="1"/>
    <col min="3" max="3" width="17.1640625" style="472" customWidth="1"/>
    <col min="4" max="4" width="46.33203125" style="472" customWidth="1"/>
    <col min="5" max="8" width="26.5" style="472" customWidth="1"/>
    <col min="9" max="10" width="11.1640625" style="471" customWidth="1"/>
    <col min="11" max="11" width="55.33203125" style="473" customWidth="1"/>
    <col min="12" max="12" width="9.6640625" style="472" customWidth="1"/>
    <col min="13" max="16384" width="10" style="472"/>
  </cols>
  <sheetData>
    <row r="1" spans="2:11" ht="20.25" customHeight="1" thickBot="1">
      <c r="B1" s="497" t="str">
        <f ca="1">COV!C20</f>
        <v>DECKBLATT BITTE VOLLSTÄNDIG AUSFÜLLEN!</v>
      </c>
      <c r="C1" s="459"/>
      <c r="D1" s="459"/>
      <c r="E1" s="459"/>
      <c r="F1" s="459"/>
      <c r="G1" s="459"/>
      <c r="H1" s="459"/>
      <c r="I1" s="459"/>
      <c r="J1" s="459"/>
      <c r="K1" s="459"/>
    </row>
    <row r="2" spans="2:11" ht="5.25" customHeight="1" thickTop="1"/>
    <row r="3" spans="2:11" ht="21">
      <c r="B3" s="2046" t="str">
        <f>Dictionary!B680&amp;'(7b) Project List'!A16&amp;IF('(7b) Project List'!B16="","",": "&amp;'(7b) Project List'!B16)</f>
        <v>Bewertung der Managementkomplexität für Erfahrung 8</v>
      </c>
      <c r="C3" s="2046"/>
      <c r="D3" s="2046"/>
      <c r="E3" s="2046"/>
      <c r="F3" s="2046"/>
      <c r="G3" s="2046"/>
      <c r="H3" s="2046"/>
      <c r="I3" s="2046"/>
      <c r="J3" s="2046"/>
      <c r="K3" s="2046"/>
    </row>
    <row r="4" spans="2:11" s="498" customFormat="1" ht="21">
      <c r="B4" s="488"/>
      <c r="C4" s="488"/>
      <c r="D4" s="488"/>
      <c r="E4" s="488"/>
      <c r="F4" s="488"/>
      <c r="G4" s="488"/>
      <c r="H4" s="488"/>
      <c r="I4" s="488"/>
      <c r="J4" s="488"/>
      <c r="K4" s="488"/>
    </row>
    <row r="5" spans="2:11" s="467" customFormat="1" ht="22.5" customHeight="1">
      <c r="B5" s="489" t="str">
        <f>EXP!B5</f>
        <v xml:space="preserve"> , Level A, Projekt Management, Erstzertifizierung</v>
      </c>
      <c r="C5" s="491"/>
      <c r="D5" s="491"/>
      <c r="E5" s="492"/>
      <c r="F5" s="491"/>
      <c r="G5" s="493"/>
      <c r="H5" s="492"/>
      <c r="I5" s="492"/>
      <c r="J5" s="492"/>
      <c r="K5" s="494"/>
    </row>
    <row r="6" spans="2:11" s="467" customFormat="1" ht="20" customHeight="1">
      <c r="B6" s="466"/>
      <c r="C6" s="468"/>
      <c r="D6" s="468"/>
      <c r="E6" s="321"/>
      <c r="F6" s="2183"/>
      <c r="G6" s="2183"/>
      <c r="H6" s="2183"/>
      <c r="I6" s="469"/>
      <c r="J6" s="470"/>
    </row>
    <row r="7" spans="2:11" ht="15" customHeight="1"/>
    <row r="8" spans="2:11" s="334" customFormat="1" ht="22.25" customHeight="1">
      <c r="B8" s="2184" t="s">
        <v>294</v>
      </c>
      <c r="C8" s="2187" t="str">
        <f>Dictionary!B681</f>
        <v>Komplexitätsindikatoren und Teilindikatoren</v>
      </c>
      <c r="D8" s="2188"/>
      <c r="E8" s="2186" t="str">
        <f>Dictionary!B682</f>
        <v>Zu bewertende Kriterien:</v>
      </c>
      <c r="F8" s="2186"/>
      <c r="G8" s="2186"/>
      <c r="H8" s="2186"/>
      <c r="I8" s="2177" t="str">
        <f>Dictionary!B683</f>
        <v>Bewertungen und Kommentare</v>
      </c>
      <c r="J8" s="2178"/>
      <c r="K8" s="2179"/>
    </row>
    <row r="9" spans="2:11" s="334" customFormat="1" ht="30" customHeight="1">
      <c r="B9" s="2185"/>
      <c r="C9" s="2189"/>
      <c r="D9" s="2190"/>
      <c r="E9" s="474" t="str">
        <f>Dictionary!B684</f>
        <v>wenig komplex   (1)</v>
      </c>
      <c r="F9" s="474" t="str">
        <f>Dictionary!B685</f>
        <v>begrenzt komplex   (2)</v>
      </c>
      <c r="G9" s="474" t="str">
        <f>Dictionary!B686</f>
        <v>komplex   (3)</v>
      </c>
      <c r="H9" s="474" t="str">
        <f>Dictionary!B687</f>
        <v>sehr komplex   (4)</v>
      </c>
      <c r="I9" s="475" t="str">
        <f>Dictionary!B689</f>
        <v>Bewerber/in</v>
      </c>
      <c r="J9" s="476" t="str">
        <f>Dictionary!B690</f>
        <v>Leitende/r Assessor/in</v>
      </c>
      <c r="K9" s="476" t="str">
        <f>Dictionary!B691</f>
        <v>Anmerkungen, Kommentare, Nachweise (fakultativ)</v>
      </c>
    </row>
    <row r="10" spans="2:11" ht="30" customHeight="1">
      <c r="B10" s="477">
        <v>1</v>
      </c>
      <c r="C10" s="2180" t="str">
        <f>Dictionary!B693</f>
        <v>Indikatoren bezogen auf die technischen Fähigkeiten</v>
      </c>
      <c r="D10" s="2181"/>
      <c r="E10" s="2181"/>
      <c r="F10" s="2181"/>
      <c r="G10" s="2181"/>
      <c r="H10" s="2182"/>
      <c r="K10" s="478"/>
    </row>
    <row r="11" spans="2:11" ht="75">
      <c r="B11" s="479">
        <f>B10+0.1</f>
        <v>1.1000000000000001</v>
      </c>
      <c r="C11" s="558" t="str">
        <f>Dictionary!B694</f>
        <v>Ziele und Ergebnisse</v>
      </c>
      <c r="D11" s="558" t="str">
        <f>Dictionary!B695</f>
        <v>Anzahl und Unterschiedlichkeit der Einzelziele unter Berücksichtigung der Ziele und Erwartungen der relevanten Stakeholder, unterschiedliche Zielkategorien: Prozessziele, Nutzungsziele (Business Case), Operationalisierbarkeit, Transparenz und Abhängigkeiten</v>
      </c>
      <c r="E11" s="557" t="str">
        <f>Dictionary!B696</f>
        <v>sehr wenige klare Ziele, alle quantitativ angegeben, operabel</v>
      </c>
      <c r="F11" s="557" t="str">
        <f>Dictionary!B697</f>
        <v>wenige Ziele, gut formuliert, wenig Zielkonflikte</v>
      </c>
      <c r="G11" s="557" t="str">
        <f>Dictionary!B698</f>
        <v>mehrere Ziele unterschiedlicher Art, teilweise unklar definiert</v>
      </c>
      <c r="H11" s="557" t="str">
        <f>Dictionary!B699</f>
        <v>viele, teilweise konkurrierende  Ziele, strategische und politische Ziele, versteckte Ziele, Nutzungsziele</v>
      </c>
      <c r="I11" s="495"/>
      <c r="J11" s="495"/>
      <c r="K11" s="496"/>
    </row>
    <row r="12" spans="2:11" ht="65">
      <c r="B12" s="479">
        <f>B11+0.1</f>
        <v>1.2000000000000002</v>
      </c>
      <c r="C12" s="558" t="str">
        <f>Dictionary!B701</f>
        <v>Aufgaben und Prozesse</v>
      </c>
      <c r="D12" s="558" t="str">
        <f>Dictionary!B702</f>
        <v>Umfang der Aufgaben, Annahmen und Randbedingungen und deren Abhängigkeiten, eingesetzte Prozesse, Tools und Methoden, eingesetzte Team- und Kommunikationsstrukturen</v>
      </c>
      <c r="E12" s="557" t="str">
        <f>Dictionary!B703</f>
        <v>bekannte Aufgabenstellung und Randbedingungen; wenige Standard-/Reportingverfahren</v>
      </c>
      <c r="F12" s="557" t="str">
        <f>Dictionary!B704</f>
        <v>mehrere Aufgaben, ergänzt durch Annahmen; Einsatz bekannter Prozesse und Tools, einige Reporting-Vorgaben</v>
      </c>
      <c r="G12" s="557" t="str">
        <f>Dictionary!B705</f>
        <v>umfangreiches System von Aufgaben und Annahmen; viele Sachfaktoren; teilweise Einsatz neuartiger Tools und Prozesse, Reporting-Vorgaben</v>
      </c>
      <c r="H12" s="557" t="str">
        <f>Dictionary!B706</f>
        <v>sehr komplexe Aufgabenstellung, umfangreiches sachliches Umfeld; erfordert den Einsatz umfangreicher Prozess- und Toolwelt, strenge Reporting-Vorgaben</v>
      </c>
      <c r="I12" s="495"/>
      <c r="J12" s="495"/>
      <c r="K12" s="496"/>
    </row>
    <row r="13" spans="2:11" ht="65">
      <c r="B13" s="479">
        <f>B12+0.1</f>
        <v>1.3000000000000003</v>
      </c>
      <c r="C13" s="558" t="str">
        <f>Dictionary!B708</f>
        <v>Ressourcen und Finanzen</v>
      </c>
      <c r="D13" s="558" t="str">
        <f>Dictionary!B709</f>
        <v>Akquisition und Bereitstellung der erforderlichen Budgets sowie deren Management; Anzahl der Geldgeber; Verfügbarkeit und Qualität der notwendigen (personellen und sonstigen) Ressourcen; Ressourcen-Management und Beschaffungsprozesse</v>
      </c>
      <c r="E13" s="557" t="str">
        <f>Dictionary!B710</f>
        <v>Budget-Ermittlung ohne Verhandlung, einfache Kostenüberwachung; Ressourcen verfügbar, geringe Ressourcenkonflikte; geringfügige Beschaffungsvorgänge</v>
      </c>
      <c r="F13" s="557" t="str">
        <f>Dictionary!B711</f>
        <v>Budget-Ermittlung und  -Verhandlung; Verhandlung der benötigten Ressourcen, teilweise externe Ressourcen-Beschaffung</v>
      </c>
      <c r="G13" s="557" t="str">
        <f>Dictionary!B712</f>
        <v>Budget- und Ressourcenbeschaffung im Wettbewerb mit anderen Projekten; wesentliche Beschaffungsvorgänge</v>
      </c>
      <c r="H13" s="557" t="str">
        <f>Dictionary!B713</f>
        <v>Beschaffung wesentlicher Finanzmittel, Finanzierung durch unterschiedliche Geldgeber intern und extern; Steuerung wesentlicher Unterauftragnehmer</v>
      </c>
      <c r="I13" s="495"/>
      <c r="J13" s="495"/>
      <c r="K13" s="496"/>
    </row>
    <row r="14" spans="2:11" ht="60">
      <c r="B14" s="479">
        <f>B13+0.1</f>
        <v>1.4000000000000004</v>
      </c>
      <c r="C14" s="558" t="str">
        <f>Dictionary!B715</f>
        <v>Chancen und Risiken</v>
      </c>
      <c r="D14" s="558" t="str">
        <f>Dictionary!B716</f>
        <v xml:space="preserve">Bewertung der Chancen und Risiken im Projekt; Ermittlung und Steuerung des Risikosystems; Ableitung von validen Maßnahmen; Ermittlung und Nutzung von Chancen; Anwendung von Tools zur Steuerung des Risiko-Budgets </v>
      </c>
      <c r="E14" s="557" t="str">
        <f>Dictionary!B717</f>
        <v>wenige Risiken in überschaubarer Höhe, kein Chancen-Management</v>
      </c>
      <c r="F14" s="557" t="str">
        <f>Dictionary!B718</f>
        <v>mehrere Risiken und Chancen; stabiles Risiko-System; Management eines Risiko-Budgets</v>
      </c>
      <c r="G14" s="557" t="str">
        <f>Dictionary!B719</f>
        <v>mehrere Risiken mit begrenzter Schadenshöhe; Möglichkeit der Chancen-Nutzung zur Entlastung des Projektes</v>
      </c>
      <c r="H14" s="557" t="str">
        <f>Dictionary!B720</f>
        <v>Umfangreiches Risiko-Potential inklusive hoher strategischer Risiken; Anwendung valider Steuerungsmöglichkeiten; Meldung nach KONTRAG</v>
      </c>
      <c r="I14" s="495"/>
      <c r="J14" s="495"/>
      <c r="K14" s="496"/>
    </row>
    <row r="15" spans="2:11" s="387" customFormat="1" ht="24" customHeight="1">
      <c r="H15" s="387" t="str">
        <f>Dictionary!B721</f>
        <v>Durchschnitt der eingegebenen Detailbewertungen:</v>
      </c>
      <c r="I15" s="480" t="str">
        <f>IF(SUM(I11:I14)=0,"",ROUNDDOWN(AVERAGE(I11:I14),1))</f>
        <v/>
      </c>
      <c r="J15" s="480" t="str">
        <f>IF(SUM(J11:J14)=0,"",ROUNDDOWN(AVERAGE(J11:J14),1))</f>
        <v/>
      </c>
      <c r="K15" s="481"/>
    </row>
    <row r="16" spans="2:11">
      <c r="C16" s="473"/>
      <c r="D16" s="473"/>
      <c r="E16" s="482"/>
      <c r="F16" s="482"/>
      <c r="G16" s="482"/>
      <c r="H16" s="482"/>
    </row>
    <row r="17" spans="2:11" ht="30" customHeight="1">
      <c r="B17" s="477">
        <v>2</v>
      </c>
      <c r="C17" s="2180" t="str">
        <f>Dictionary!B723</f>
        <v>Indikatoren bezogen auf den Kontext</v>
      </c>
      <c r="D17" s="2181"/>
      <c r="E17" s="2181"/>
      <c r="F17" s="2181"/>
      <c r="G17" s="2181"/>
      <c r="H17" s="2182"/>
    </row>
    <row r="18" spans="2:11" ht="60">
      <c r="B18" s="479">
        <f>B17+0.1</f>
        <v>2.1</v>
      </c>
      <c r="C18" s="558" t="str">
        <f>Dictionary!B724</f>
        <v xml:space="preserve">Strategie, Stakeholder </v>
      </c>
      <c r="D18" s="558" t="str">
        <f>Dictionary!B725</f>
        <v>Einfluss der Unternehmens-Strategie, Auswirkungen des Projektes auf das Unternehmen, Stakeholder-Interessen;
Gesetze und Regularien</v>
      </c>
      <c r="E18" s="559" t="str">
        <f>Dictionary!B726</f>
        <v>wenige strategische Einflüsse; Projekt ist rein operativ ausgerichtet</v>
      </c>
      <c r="F18" s="559" t="str">
        <f>Dictionary!B727</f>
        <v>Stakeholder-Interessen  beeinflussen das Projekt begrenzte Einflüsse aus der Unternehmens-Strategie</v>
      </c>
      <c r="G18" s="559" t="str">
        <f>Dictionary!B728</f>
        <v>Viele Komponenten (?) unterschiedlicher Art</v>
      </c>
      <c r="H18" s="559" t="str">
        <f>Dictionary!B729</f>
        <v>Projekt hat erheblichen Einfluss auf das Unternehmen und seinen Erfolg; starke Auswirkungen von Gesetzen und Regularien</v>
      </c>
      <c r="I18" s="495"/>
      <c r="J18" s="495"/>
      <c r="K18" s="496"/>
    </row>
    <row r="19" spans="2:11" ht="135">
      <c r="B19" s="479">
        <f>B18+0.1</f>
        <v>2.2000000000000002</v>
      </c>
      <c r="C19" s="558" t="str">
        <f>Dictionary!B731</f>
        <v>Stammorganisation</v>
      </c>
      <c r="D19" s="558" t="str">
        <f>Dictionary!B732</f>
        <v>Umfang der Vernetzung über Schnittstellen des Projektes mit den Strukturen, Berichtswesen und Entscheidungswegen der Stammorganisation</v>
      </c>
      <c r="E19" s="559" t="str">
        <f>Dictionary!B733</f>
        <v xml:space="preserve">starke Abgrenzung des Projektes von der Stammorganisation, Entscheidungen fallen wesentlich in der Stammorganisation, viele ähnliche Projekte wurden bereits im Unternehmen durchgeführt </v>
      </c>
      <c r="F19" s="559" t="str">
        <f>Dictionary!B734</f>
        <v>klare Schnittstellen zur Stammorganisation z.B. über Leitungsgremium; Berichtswesen und Entscheidungswege begrenzt und klar definiert Projekt hat geringe Auswirkungen auf Prozesse der Stammorganisation,  ähnliche Projekte wurden bereits im Unternehmen durchgeführt</v>
      </c>
      <c r="G19" s="559" t="str">
        <f>Dictionary!B735</f>
        <v>viele operative Schnittstellen wirken auf  das Projekt ein; Berichte und Entscheidungen machen erheblichen Arbeitsanteil aus, Projekt hat  Auswirkungen auf Prozesse der Stammorganisation, wenige ähnliche Projekte wurden bereits im Unternehmen durchgeführt</v>
      </c>
      <c r="H19" s="559" t="str">
        <f>Dictionary!B736</f>
        <v>Starke Einflüsse der Stammorganisation auf strategischer Ebene; Entscheidungen durch Verhandlungen mit der Stammorganisation, Projekt hat starke Auswirkungen auf Prozesse der Stammorganisation , Projekt ist neuartig für Unternehmen</v>
      </c>
      <c r="I19" s="495"/>
      <c r="J19" s="495"/>
      <c r="K19" s="496"/>
    </row>
    <row r="20" spans="2:11" ht="65">
      <c r="B20" s="479">
        <f>B19+0.1</f>
        <v>2.3000000000000003</v>
      </c>
      <c r="C20" s="558" t="str">
        <f>Dictionary!B738</f>
        <v>Sozio-Kulturelle Einflüsse</v>
      </c>
      <c r="D20" s="558" t="str">
        <f>Dictionary!B739</f>
        <v>Einfluss der sozio-kulturellen Unterschiede im Projektteam, insbesondere bei verteilten oder Firmen-übergreifenden Teams</v>
      </c>
      <c r="E20" s="557" t="str">
        <f>Dictionary!B740</f>
        <v>keine Auswirkungen zu erwarten (Projekt an einem Standort, eine Sprache, homogene Projektgruppe)</v>
      </c>
      <c r="F20" s="557" t="str">
        <f>Dictionary!B741</f>
        <v>wenig Auswirkungen zu erwarten</v>
      </c>
      <c r="G20" s="557" t="str">
        <f>Dictionary!B742</f>
        <v>Auswirkungen infolge lokal verteilter Teams, mehreren Sprachen oder heterogenen Kulturkreisen erfordern in Einzelfällen Führungsmaßnahmen</v>
      </c>
      <c r="H20" s="557" t="str">
        <f>Dictionary!B743</f>
        <v>Auswirkungen infolge lokal verteilter Teams oder großer Teams aus unterschiedlichen Unternehmen und Kulturkreisen erfordern umfangreiche Führungsmaßnahmen</v>
      </c>
      <c r="I20" s="495"/>
      <c r="J20" s="495"/>
      <c r="K20" s="496"/>
    </row>
    <row r="21" spans="2:11" s="387" customFormat="1" ht="24" customHeight="1">
      <c r="H21" s="387" t="str">
        <f>Dictionary!B744</f>
        <v>Durchschnitt der eingegebenen Detailbewertungen:</v>
      </c>
      <c r="I21" s="480" t="str">
        <f>IF(SUM(I18:I20)=0,"",ROUNDDOWN(AVERAGE(I18:I20),1))</f>
        <v/>
      </c>
      <c r="J21" s="480" t="str">
        <f>IF(SUM(J18:J20)=0,"",ROUNDDOWN(AVERAGE(J18:J20),1))</f>
        <v/>
      </c>
      <c r="K21" s="481"/>
    </row>
    <row r="22" spans="2:11">
      <c r="C22" s="473"/>
      <c r="D22" s="473"/>
      <c r="E22" s="482"/>
      <c r="F22" s="482"/>
      <c r="G22" s="482"/>
      <c r="H22" s="482"/>
    </row>
    <row r="23" spans="2:11" ht="30" customHeight="1">
      <c r="B23" s="477">
        <v>3</v>
      </c>
      <c r="C23" s="2180" t="str">
        <f>Dictionary!B746</f>
        <v>Indikatoren bezogen auf Management und Führung</v>
      </c>
      <c r="D23" s="2181"/>
      <c r="E23" s="2181"/>
      <c r="F23" s="2181"/>
      <c r="G23" s="2181"/>
      <c r="H23" s="2182"/>
    </row>
    <row r="24" spans="2:11" ht="90">
      <c r="B24" s="479">
        <f>B23+0.1</f>
        <v>3.1</v>
      </c>
      <c r="C24" s="560" t="str">
        <f>Dictionary!B747</f>
        <v xml:space="preserve">Führung und Teamwork </v>
      </c>
      <c r="D24" s="560" t="str">
        <f>Dictionary!B748</f>
        <v>Umfang der Führungs-, Teambildungs und-Steuerungsmaßnahmen</v>
      </c>
      <c r="E24" s="559" t="str">
        <f>Dictionary!B749</f>
        <v>fast alle Teammitglieder haben bereits mit PL gearbeitet, PL hat Erfahrung im Mgt von Teams über 5 J, Governance Vorgaben sind klar definiert, das Projektteam hat hohe PM Skills</v>
      </c>
      <c r="F24" s="559" t="str">
        <f>Dictionary!B750</f>
        <v>sehr viele Teammitglieder haben bereits mit PL gearbeitet, PL hat Erfahrung im Mgt von Teams über 3 J, governance Vorgaben sind teilweise definiert, das Projektteam hat  PM Skills</v>
      </c>
      <c r="G24" s="559" t="str">
        <f>Dictionary!B751</f>
        <v>viele Teammitglieder haben bereits mit PL gearbeitet, PL hat Erfahrung im Mgt von Teams über 1-2 J, einige Governance Vorgaben sind klar definiert, das Projektteam hat einige PM Skills</v>
      </c>
      <c r="H24" s="559" t="str">
        <f>Dictionary!B752</f>
        <v>wenige Teammitglieder haben bereits mit PL gearbeitet, PL hat Erfahrung im Mgt von Teams weniger 1J, wenige Governance Vorgaben sind definiert, das Projektteam hat sehr wenig PM Skills</v>
      </c>
      <c r="I24" s="495"/>
      <c r="J24" s="495"/>
      <c r="K24" s="496"/>
    </row>
    <row r="25" spans="2:11" ht="91" customHeight="1">
      <c r="B25" s="479">
        <f>B24+0.1</f>
        <v>3.2</v>
      </c>
      <c r="C25" s="558" t="str">
        <f>Dictionary!B754</f>
        <v xml:space="preserve"> Innovation</v>
      </c>
      <c r="D25" s="558" t="str">
        <f>Dictionary!B755</f>
        <v>technische Neuartigkeit des Projektes und seine Auswirkungen auf Ressourcenauswahl und Aus- und Weiterbildung während des Projektes; Umgang mit neuartigen Ansätzen und Ergebnissen</v>
      </c>
      <c r="E25" s="559" t="str">
        <f>Dictionary!B756</f>
        <v>kein Handlungsbedarf infolge geringer Neuartigkeit, z.B. Wiederholprojekte</v>
      </c>
      <c r="F25" s="559" t="str">
        <f>Dictionary!B757</f>
        <v>einige Maßnahmen erforderlich infolge der Neuartigkeit in einzelnen Bereichen</v>
      </c>
      <c r="G25" s="559" t="str">
        <f>Dictionary!B758</f>
        <v>Neuartigkeit des Projektgegenstandes und/oder von Prozessen bedingt vorbereitende Qualifizerungsmaßnahmen</v>
      </c>
      <c r="H25" s="559" t="str">
        <f>Dictionary!B759</f>
        <v xml:space="preserve">Neuartigkeit des Projektgegenstandes und/oder von Prozessen in Verbindung mit großem Projektvolumen bedingt Planung der Qualifizierung, aber auch intensives Risiko-Management </v>
      </c>
      <c r="I25" s="495"/>
      <c r="J25" s="495"/>
      <c r="K25" s="496"/>
    </row>
    <row r="26" spans="2:11" ht="60">
      <c r="B26" s="479">
        <f>B25+0.1</f>
        <v>3.3000000000000003</v>
      </c>
      <c r="C26" s="558" t="str">
        <f>Dictionary!B761</f>
        <v>Autonomie und Verantwortung</v>
      </c>
      <c r="D26" s="558" t="str">
        <f>Dictionary!B762</f>
        <v>Entscheidungs- und Verantwortungsspielraum des Projektleiters; Umfang der Delegation in das Projektteam; Vertretung des Projektes gegenüber dem gesamten sozialen Umfeld</v>
      </c>
      <c r="E26" s="559" t="str">
        <f>Dictionary!B763</f>
        <v xml:space="preserve">wenig Autonomie/Gestaltungsspielräume des PL bzgl. Entscheidungen und Vertretung des Projektes nach aussen </v>
      </c>
      <c r="F26" s="559" t="str">
        <f>Dictionary!B764</f>
        <v>Verhandlung Lasten- und Pflichtenheft; Gesaltungs-spielräume ergeben sich hauptsächlich durch Änderungsprozesse</v>
      </c>
      <c r="G26" s="559" t="str">
        <f>Dictionary!B765</f>
        <v>Projektleiter vertritt das Projekt und damit auch das Unternehmen auch gegenüber externen Stakeholdern</v>
      </c>
      <c r="H26" s="559" t="str">
        <f>Dictionary!B766</f>
        <v>umfangreiche Verantwortungs- und Entscheidungsspielräume, z.B. durch Vollmachts- oder Unterschriftenregelung</v>
      </c>
      <c r="I26" s="495"/>
      <c r="J26" s="495"/>
      <c r="K26" s="496"/>
    </row>
    <row r="27" spans="2:11" s="387" customFormat="1" ht="24" customHeight="1">
      <c r="H27" s="387" t="str">
        <f>Dictionary!B767</f>
        <v>Durchschnitt der eingegebenen Detailbewertungen:</v>
      </c>
      <c r="I27" s="480" t="str">
        <f>IF(SUM(I24:I26)=0,"",ROUNDDOWN(AVERAGE(I24:I26),1))</f>
        <v/>
      </c>
      <c r="J27" s="480" t="str">
        <f>IF(SUM(J24:J26)=0,"",ROUNDDOWN(AVERAGE(J24:J26),1))</f>
        <v/>
      </c>
      <c r="K27" s="481"/>
    </row>
    <row r="28" spans="2:11">
      <c r="C28" s="473"/>
      <c r="D28" s="473"/>
      <c r="E28" s="482"/>
      <c r="F28" s="482"/>
      <c r="G28" s="482"/>
      <c r="H28" s="482"/>
    </row>
    <row r="29" spans="2:11" ht="17" customHeight="1"/>
    <row r="30" spans="2:11" ht="17" customHeight="1">
      <c r="F30" s="334" t="str">
        <f>Dictionary!B768</f>
        <v>Zusammenfassende Bewertungen (gerundet)</v>
      </c>
    </row>
    <row r="31" spans="2:11" ht="17" customHeight="1">
      <c r="G31" s="483" t="str">
        <f>Dictionary!B769</f>
        <v>Indikator</v>
      </c>
      <c r="H31" s="471">
        <v>1</v>
      </c>
      <c r="I31" s="484" t="str">
        <f>IF(I15="","",I15)</f>
        <v/>
      </c>
      <c r="J31" s="484" t="str">
        <f>IF(J15="","",J15)</f>
        <v/>
      </c>
    </row>
    <row r="32" spans="2:11" ht="17" customHeight="1">
      <c r="G32" s="483" t="str">
        <f>Dictionary!B769</f>
        <v>Indikator</v>
      </c>
      <c r="H32" s="471">
        <f>1+H31</f>
        <v>2</v>
      </c>
      <c r="I32" s="485" t="str">
        <f>IF(I21="","",I21)</f>
        <v/>
      </c>
      <c r="J32" s="485" t="str">
        <f>IF(J21="","",J21)</f>
        <v/>
      </c>
    </row>
    <row r="33" spans="2:12" ht="17" customHeight="1">
      <c r="G33" s="483" t="str">
        <f>Dictionary!B769</f>
        <v>Indikator</v>
      </c>
      <c r="H33" s="471">
        <f>1+H32</f>
        <v>3</v>
      </c>
      <c r="I33" s="485" t="str">
        <f>IF(I27="","",I27)</f>
        <v/>
      </c>
      <c r="J33" s="485" t="str">
        <f>IF(J27="","",J27)</f>
        <v/>
      </c>
    </row>
    <row r="34" spans="2:12" s="473" customFormat="1" ht="17" customHeight="1">
      <c r="B34" s="471"/>
      <c r="C34" s="472"/>
      <c r="D34" s="472"/>
      <c r="E34" s="472"/>
      <c r="F34" s="472"/>
      <c r="G34" s="472"/>
      <c r="H34" s="387" t="str">
        <f>Dictionary!B770</f>
        <v xml:space="preserve">Gesamtbewertung   </v>
      </c>
      <c r="I34" s="485">
        <f>SUM(I11:I14)+SUM(I18:I20)+SUM(I24:I26)</f>
        <v>0</v>
      </c>
      <c r="J34" s="485">
        <f>SUM(J11:J14)+SUM(J18:J20)+SUM(J24:J26)</f>
        <v>0</v>
      </c>
      <c r="L34" s="472"/>
    </row>
    <row r="35" spans="2:12" s="473" customFormat="1" ht="17" customHeight="1">
      <c r="B35" s="471"/>
      <c r="C35" s="472"/>
      <c r="D35" s="472"/>
      <c r="E35" s="472"/>
      <c r="F35" s="472"/>
      <c r="G35" s="472"/>
      <c r="H35" s="387"/>
      <c r="I35" s="486"/>
      <c r="J35" s="486"/>
      <c r="L35" s="472"/>
    </row>
    <row r="36" spans="2:12" s="473" customFormat="1" ht="17" customHeight="1">
      <c r="B36" s="471"/>
      <c r="C36" s="487"/>
      <c r="D36" s="487"/>
      <c r="E36" s="472"/>
      <c r="F36" s="472"/>
      <c r="G36" s="472"/>
      <c r="H36" s="472"/>
      <c r="I36" s="471"/>
      <c r="J36" s="471"/>
      <c r="L36" s="472"/>
    </row>
    <row r="37" spans="2:12" s="473" customFormat="1" ht="17" customHeight="1" thickBot="1">
      <c r="B37" s="460"/>
      <c r="C37" s="460"/>
      <c r="D37" s="460"/>
      <c r="E37" s="460"/>
      <c r="F37" s="460"/>
      <c r="G37" s="460"/>
      <c r="H37" s="460"/>
      <c r="I37" s="460"/>
      <c r="J37" s="460"/>
      <c r="K37" s="460"/>
      <c r="L37" s="472"/>
    </row>
    <row r="38" spans="2:12" s="473" customFormat="1" ht="17" customHeight="1">
      <c r="B38" s="89"/>
      <c r="C38" s="89"/>
      <c r="D38" s="89"/>
      <c r="F38" s="472"/>
      <c r="G38" s="472"/>
      <c r="H38" s="472"/>
      <c r="I38" s="471"/>
      <c r="J38" s="471"/>
      <c r="K38" s="464" t="s">
        <v>105</v>
      </c>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ht="17" customHeight="1"/>
    <row r="50" ht="17" customHeight="1"/>
    <row r="51" ht="17" customHeight="1"/>
    <row r="52" ht="17" customHeight="1"/>
    <row r="53" ht="17" customHeight="1"/>
    <row r="54" ht="17" customHeight="1"/>
    <row r="55" ht="17" customHeight="1"/>
    <row r="56" ht="17" customHeight="1"/>
    <row r="57" ht="17" customHeight="1"/>
    <row r="58" ht="17" customHeight="1"/>
    <row r="59" ht="17" customHeight="1"/>
    <row r="60" ht="17" customHeight="1"/>
    <row r="61" ht="17" customHeight="1"/>
    <row r="62" ht="17" customHeight="1"/>
    <row r="63" ht="17" customHeight="1"/>
    <row r="64" ht="17" customHeight="1"/>
    <row r="65" ht="17" customHeight="1"/>
    <row r="66" ht="17" customHeight="1"/>
    <row r="67" ht="17" customHeight="1"/>
    <row r="68" ht="17" customHeight="1"/>
    <row r="69" ht="17" customHeight="1"/>
    <row r="70" ht="17" customHeight="1"/>
  </sheetData>
  <sheetProtection algorithmName="SHA-512" hashValue="/8Io2lVgQZrIBQBB3mUjqdlyG2C3fWZGern9JFK8JaC68M+4tXv2ST49VT1pKelmVykSWYGGD+8KD4nG1itnLg==" saltValue="6ivHT4NarmZQ/sBoNHsqbQ==" spinCount="100000" sheet="1" objects="1" scenarios="1" selectLockedCells="1"/>
  <mergeCells count="9">
    <mergeCell ref="C10:H10"/>
    <mergeCell ref="C17:H17"/>
    <mergeCell ref="C23:H23"/>
    <mergeCell ref="B3:K3"/>
    <mergeCell ref="F6:H6"/>
    <mergeCell ref="B8:B9"/>
    <mergeCell ref="C8:D9"/>
    <mergeCell ref="E8:H8"/>
    <mergeCell ref="I8:K8"/>
  </mergeCells>
  <conditionalFormatting sqref="I35:J35">
    <cfRule type="cellIs" dxfId="407" priority="1" operator="equal">
      <formula>"Yes"</formula>
    </cfRule>
    <cfRule type="cellIs" dxfId="406" priority="2" operator="equal">
      <formula>"No"</formula>
    </cfRule>
  </conditionalFormatting>
  <dataValidations count="1">
    <dataValidation type="whole" allowBlank="1" showInputMessage="1" showErrorMessage="1" sqref="I11:J14 I18:J20 I24:J26" xr:uid="{00000000-0002-0000-22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47236-7D65-42CC-A11D-BE818F1ACE49}">
  <sheetPr codeName="Sheet12">
    <tabColor theme="9"/>
  </sheetPr>
  <dimension ref="B1:E68"/>
  <sheetViews>
    <sheetView topLeftCell="A4" zoomScale="130" zoomScaleNormal="130" workbookViewId="0">
      <selection activeCell="B19" sqref="B19:E19"/>
    </sheetView>
  </sheetViews>
  <sheetFormatPr baseColWidth="10" defaultColWidth="11.5" defaultRowHeight="15"/>
  <cols>
    <col min="1" max="1" width="2.5" style="89" customWidth="1"/>
    <col min="2" max="2" width="45.5" style="89" customWidth="1"/>
    <col min="3" max="3" width="22.83203125" style="89" customWidth="1"/>
    <col min="4" max="4" width="32" style="89" customWidth="1"/>
    <col min="5" max="5" width="22.83203125" style="89" customWidth="1"/>
    <col min="6" max="6" width="3.1640625" style="89" customWidth="1"/>
    <col min="7" max="7" width="20" style="89" customWidth="1"/>
    <col min="8" max="9" width="11.5" style="89"/>
    <col min="10" max="10" width="8.5" style="89" customWidth="1"/>
    <col min="11" max="16384" width="11.5" style="89"/>
  </cols>
  <sheetData>
    <row r="1" spans="2:5" ht="15.75" customHeight="1" thickBot="1">
      <c r="B1" s="497" t="str">
        <f ca="1">COV!C20</f>
        <v>DECKBLATT BITTE VOLLSTÄNDIG AUSFÜLLEN!</v>
      </c>
      <c r="C1" s="459"/>
      <c r="D1" s="459"/>
      <c r="E1" s="459"/>
    </row>
    <row r="2" spans="2:5" ht="5.25" customHeight="1" thickTop="1"/>
    <row r="3" spans="2:5" ht="21">
      <c r="B3" s="2046" t="str">
        <f>Dictionary!B614&amp;'(7b) Project List'!A17</f>
        <v>Steckbrief für Management Erfahrung 9</v>
      </c>
      <c r="C3" s="2046"/>
      <c r="D3" s="2046"/>
      <c r="E3" s="2046"/>
    </row>
    <row r="4" spans="2:5" ht="21">
      <c r="B4" s="488"/>
      <c r="C4" s="488"/>
      <c r="D4" s="488"/>
      <c r="E4" s="488"/>
    </row>
    <row r="5" spans="2:5" ht="21">
      <c r="B5" s="489" t="str">
        <f>EXP!B5</f>
        <v xml:space="preserve"> , Level A, Projekt Management, Erstzertifizierung</v>
      </c>
      <c r="C5" s="490"/>
      <c r="D5" s="490"/>
      <c r="E5" s="490"/>
    </row>
    <row r="7" spans="2:5">
      <c r="B7" s="2013" t="str">
        <f>Dictionary!B618</f>
        <v>Kopfzeile</v>
      </c>
      <c r="C7" s="2013"/>
      <c r="D7" s="2013"/>
      <c r="E7" s="2013"/>
    </row>
    <row r="8" spans="2:5" ht="16.5" customHeight="1">
      <c r="B8" s="503" t="str">
        <f>EXP!D17&amp;" "&amp;Dictionary!B615</f>
        <v xml:space="preserve"> Name </v>
      </c>
      <c r="C8" s="504" t="str">
        <f>IF('(7b) Project List'!B17="","",'(7b) Project List'!B17)</f>
        <v/>
      </c>
      <c r="D8" s="508" t="str">
        <f>EXP!D17&amp;" "&amp;Dictionary!B616</f>
        <v xml:space="preserve"> Nummer </v>
      </c>
      <c r="E8" s="509"/>
    </row>
    <row r="9" spans="2:5" ht="16.5" customHeight="1">
      <c r="B9" s="510" t="str">
        <f>Dictionary!B617</f>
        <v>Kunde/AuftraggeberIn:</v>
      </c>
      <c r="C9" s="2138"/>
      <c r="D9" s="2138"/>
      <c r="E9" s="511"/>
    </row>
    <row r="10" spans="2:5" ht="16.5" customHeight="1"/>
    <row r="11" spans="2:5" ht="16.5" customHeight="1">
      <c r="B11" s="2013" t="str">
        <f>Dictionary!B620</f>
        <v>Governance &amp; eigene Rolle</v>
      </c>
      <c r="C11" s="2013"/>
      <c r="D11" s="2013"/>
      <c r="E11" s="2013"/>
    </row>
    <row r="12" spans="2:5" ht="16.5" customHeight="1">
      <c r="B12" s="503" t="str">
        <f>Dictionary!B621</f>
        <v>Eigene Rolle:</v>
      </c>
      <c r="C12" s="504" t="str">
        <f>IF('(7b) Project List'!E17="","",'(7b) Project List'!E17)</f>
        <v/>
      </c>
      <c r="D12" s="2130" t="str">
        <f>Dictionary!B622</f>
        <v>Anmerkungen:</v>
      </c>
      <c r="E12" s="2131"/>
    </row>
    <row r="13" spans="2:5" ht="16.5" customHeight="1">
      <c r="B13" s="505" t="str">
        <f>Dictionary!B623</f>
        <v>Verantwortung für den Umfang/die Ergebnisse:</v>
      </c>
      <c r="C13" s="506"/>
      <c r="D13" s="2142"/>
      <c r="E13" s="2143"/>
    </row>
    <row r="14" spans="2:5" ht="16.5" customHeight="1">
      <c r="B14" s="505" t="str">
        <f>Dictionary!B624</f>
        <v>Verantwortung für die Terminplanung:</v>
      </c>
      <c r="C14" s="506"/>
      <c r="D14" s="2142"/>
      <c r="E14" s="2143"/>
    </row>
    <row r="15" spans="2:5" ht="16.5" customHeight="1">
      <c r="B15" s="505" t="str">
        <f>Dictionary!B625</f>
        <v>Verantwortung für das Budget:</v>
      </c>
      <c r="C15" s="506"/>
      <c r="D15" s="2142"/>
      <c r="E15" s="2143"/>
    </row>
    <row r="16" spans="2:5" ht="16.5" customHeight="1">
      <c r="B16" s="561" t="str">
        <f>EXP!D17&amp;" "&amp;Dictionary!B627</f>
        <v xml:space="preserve"> Typ</v>
      </c>
      <c r="C16" s="507"/>
      <c r="D16" s="2142"/>
      <c r="E16" s="2143"/>
    </row>
    <row r="17" spans="2:5" ht="16.5" customHeight="1">
      <c r="B17" s="561" t="str">
        <f>Dictionary!B626</f>
        <v>Art der PM Organisation</v>
      </c>
      <c r="C17" s="507"/>
      <c r="D17" s="2142"/>
      <c r="E17" s="2143"/>
    </row>
    <row r="18" spans="2:5" ht="16.5" customHeight="1">
      <c r="B18" s="2139" t="str">
        <f>Dictionary!B628</f>
        <v>Kurze Beschreibung Ihrer eigenen Rolle, Verantwortung und Aktivitäten; wem sind Sie unterstellt?</v>
      </c>
      <c r="C18" s="2140"/>
      <c r="D18" s="2140"/>
      <c r="E18" s="2141"/>
    </row>
    <row r="19" spans="2:5" ht="57" customHeight="1">
      <c r="B19" s="2149"/>
      <c r="C19" s="2150"/>
      <c r="D19" s="2150"/>
      <c r="E19" s="2151"/>
    </row>
    <row r="20" spans="2:5" ht="18" customHeight="1"/>
    <row r="21" spans="2:5" ht="16.5" customHeight="1">
      <c r="B21" s="2013" t="str">
        <f>Dictionary!B630</f>
        <v>Allgemeine Informationen und Beschreibung</v>
      </c>
      <c r="C21" s="2013"/>
      <c r="D21" s="2013"/>
      <c r="E21" s="2013"/>
    </row>
    <row r="22" spans="2:5" ht="16.5" customHeight="1">
      <c r="B22" s="2157" t="str">
        <f>Dictionary!B631</f>
        <v>Kurze Beschreibung der KPI, Ergebnisse und Liefergegenstände:</v>
      </c>
      <c r="C22" s="2158"/>
      <c r="D22" s="2158"/>
      <c r="E22" s="2159"/>
    </row>
    <row r="23" spans="2:5" ht="57" customHeight="1">
      <c r="B23" s="2160"/>
      <c r="C23" s="2161"/>
      <c r="D23" s="2161"/>
      <c r="E23" s="2162"/>
    </row>
    <row r="24" spans="2:5" ht="16.5" customHeight="1">
      <c r="B24" s="2139" t="str">
        <f>Dictionary!B632</f>
        <v>Kurze Beschreibung des Umfangs und der Ziele, für die Sie verantwortlich sind:</v>
      </c>
      <c r="C24" s="2140"/>
      <c r="D24" s="2140"/>
      <c r="E24" s="2141"/>
    </row>
    <row r="25" spans="2:5" ht="57" customHeight="1">
      <c r="B25" s="2160"/>
      <c r="C25" s="2161"/>
      <c r="D25" s="2161"/>
      <c r="E25" s="2162"/>
    </row>
    <row r="26" spans="2:5" ht="16.5" customHeight="1">
      <c r="B26" s="2139" t="str">
        <f>Dictionary!B633</f>
        <v>Informationen über erhebliche Planabweichungen und/oder kritische Managementsituationen:</v>
      </c>
      <c r="C26" s="2140"/>
      <c r="D26" s="2140"/>
      <c r="E26" s="2141"/>
    </row>
    <row r="27" spans="2:5" ht="54.75" customHeight="1">
      <c r="B27" s="2146"/>
      <c r="C27" s="2152"/>
      <c r="D27" s="2152"/>
      <c r="E27" s="2153"/>
    </row>
    <row r="28" spans="2:5" ht="18" customHeight="1"/>
    <row r="29" spans="2:5" ht="18" customHeight="1">
      <c r="B29" s="2013" t="str">
        <f>EXP!D17&amp;" "&amp;Dictionary!B635</f>
        <v xml:space="preserve"> Planung</v>
      </c>
      <c r="C29" s="2013"/>
      <c r="D29" s="2013"/>
      <c r="E29" s="2013"/>
    </row>
    <row r="30" spans="2:5" ht="16.5" customHeight="1">
      <c r="B30" s="512" t="str">
        <f>Dictionary!B636</f>
        <v>Beginn des Vorhabens:</v>
      </c>
      <c r="C30" s="513" t="str">
        <f>C31</f>
        <v/>
      </c>
      <c r="D30" s="508" t="str">
        <f>Dictionary!B642</f>
        <v>Ende des Vorhabens:</v>
      </c>
      <c r="E30" s="514" t="str">
        <f>E31</f>
        <v/>
      </c>
    </row>
    <row r="31" spans="2:5" ht="16.5" customHeight="1">
      <c r="B31" s="515" t="str">
        <f>Dictionary!B637</f>
        <v>Ihr Beginn in dieser Rolle:</v>
      </c>
      <c r="C31" s="516" t="str">
        <f>IF('(7b) Project List'!F17="","",'(7b) Project List'!F17)</f>
        <v/>
      </c>
      <c r="D31" s="517" t="str">
        <f>Dictionary!B643</f>
        <v>Ende Ihrer Beteiligung:</v>
      </c>
      <c r="E31" s="518" t="str">
        <f>IF('(7b) Project List'!G17="","",'(7b) Project List'!G17)</f>
        <v/>
      </c>
    </row>
    <row r="32" spans="2:5" ht="16.5" customHeight="1">
      <c r="B32" s="2139" t="str">
        <f>IF(ISNUMBER(SEARCH("ortfolio",B29)),Dictionary!B640,Dictionary!B638)</f>
        <v>Phasen:</v>
      </c>
      <c r="C32" s="2140"/>
      <c r="D32" s="2140" t="str">
        <f>IF(ISNUMBER(SEARCH("ortfolio",B29)),Dictionary!B641,Dictionary!B639)</f>
        <v>Meilensteine:</v>
      </c>
      <c r="E32" s="2141"/>
    </row>
    <row r="33" spans="2:5">
      <c r="B33" s="2154"/>
      <c r="C33" s="2142"/>
      <c r="D33" s="2133"/>
      <c r="E33" s="2143"/>
    </row>
    <row r="34" spans="2:5">
      <c r="B34" s="2155"/>
      <c r="C34" s="2142"/>
      <c r="D34" s="2142"/>
      <c r="E34" s="2143"/>
    </row>
    <row r="35" spans="2:5">
      <c r="B35" s="2155"/>
      <c r="C35" s="2142"/>
      <c r="D35" s="2142"/>
      <c r="E35" s="2143"/>
    </row>
    <row r="36" spans="2:5">
      <c r="B36" s="2155"/>
      <c r="C36" s="2142"/>
      <c r="D36" s="2142"/>
      <c r="E36" s="2143"/>
    </row>
    <row r="37" spans="2:5">
      <c r="B37" s="2155"/>
      <c r="C37" s="2142"/>
      <c r="D37" s="2142"/>
      <c r="E37" s="2143"/>
    </row>
    <row r="38" spans="2:5">
      <c r="B38" s="2155"/>
      <c r="C38" s="2142"/>
      <c r="D38" s="2142"/>
      <c r="E38" s="2143"/>
    </row>
    <row r="39" spans="2:5">
      <c r="B39" s="2155"/>
      <c r="C39" s="2142"/>
      <c r="D39" s="2142"/>
      <c r="E39" s="2143"/>
    </row>
    <row r="40" spans="2:5">
      <c r="B40" s="2155"/>
      <c r="C40" s="2142"/>
      <c r="D40" s="2142"/>
      <c r="E40" s="2143"/>
    </row>
    <row r="41" spans="2:5">
      <c r="B41" s="2155"/>
      <c r="C41" s="2142"/>
      <c r="D41" s="2142"/>
      <c r="E41" s="2143"/>
    </row>
    <row r="42" spans="2:5">
      <c r="B42" s="2156"/>
      <c r="C42" s="2150"/>
      <c r="D42" s="2150"/>
      <c r="E42" s="2151"/>
    </row>
    <row r="44" spans="2:5" ht="18" customHeight="1">
      <c r="B44" s="2132" t="str">
        <f>IF(PMO_MODE="",Dictionary!B645,IF(ISNUMBER(FIND(EXP!C42,B8)),Dictionary!B646,Dictionary!B645))</f>
        <v>Ressourcen, für die Sie direkt verantwortlich sind</v>
      </c>
      <c r="C44" s="2132"/>
      <c r="D44" s="2132"/>
      <c r="E44" s="2132"/>
    </row>
    <row r="45" spans="2:5" ht="16.5" customHeight="1">
      <c r="B45" s="519"/>
      <c r="C45" s="524" t="str">
        <f>Dictionary!B647</f>
        <v>Wert</v>
      </c>
      <c r="D45" s="2130" t="str">
        <f>Dictionary!B648</f>
        <v>Anmerkungen</v>
      </c>
      <c r="E45" s="2131"/>
    </row>
    <row r="46" spans="2:5" ht="16">
      <c r="B46" s="520" t="str">
        <f>Dictionary!B649</f>
        <v>Anzahl der Ihnen direkt unterstellten Teammitglieder:</v>
      </c>
      <c r="C46" s="1720"/>
      <c r="D46" s="2133"/>
      <c r="E46" s="2134"/>
    </row>
    <row r="47" spans="2:5" ht="32">
      <c r="B47" s="520" t="str">
        <f>Dictionary!B650</f>
        <v>Anzahl der Mitglieder des Teams gemäß dem Organigramm (inkl. Sie selbst):</v>
      </c>
      <c r="C47" s="1720"/>
      <c r="D47" s="2133"/>
      <c r="E47" s="2134"/>
    </row>
    <row r="48" spans="2:5" ht="16.5" customHeight="1">
      <c r="B48" s="521" t="str">
        <f>Dictionary!B651</f>
        <v>Gesamtaufwand [Personentage]:</v>
      </c>
      <c r="C48" s="1720"/>
      <c r="D48" s="2133"/>
      <c r="E48" s="2134"/>
    </row>
    <row r="49" spans="2:5" ht="16.5" customHeight="1">
      <c r="B49" s="522" t="str">
        <f>Dictionary!B652</f>
        <v>Externer Arbeitsaufwand [Personentage]:</v>
      </c>
      <c r="C49" s="1720"/>
      <c r="D49" s="2133"/>
      <c r="E49" s="2134"/>
    </row>
    <row r="50" spans="2:5" ht="16.5" customHeight="1">
      <c r="B50" s="522" t="str">
        <f>Dictionary!B653</f>
        <v>Interner Arbeitsaufwand [Personentage]:</v>
      </c>
      <c r="C50" s="1720"/>
      <c r="D50" s="2133"/>
      <c r="E50" s="2134"/>
    </row>
    <row r="51" spans="2:5" ht="16.5" customHeight="1">
      <c r="B51" s="522" t="str">
        <f>Dictionary!B654</f>
        <v>Enthaltener PM-Aufwand [Personentage]:</v>
      </c>
      <c r="C51" s="1720"/>
      <c r="D51" s="2133"/>
      <c r="E51" s="2134"/>
    </row>
    <row r="52" spans="2:5" ht="16.5" customHeight="1">
      <c r="B52" s="522" t="str">
        <f>Dictionary!B655</f>
        <v>Budget (Aufwand) unter Ihrer Verantwortung [€]:</v>
      </c>
      <c r="C52" s="1721"/>
      <c r="D52" s="2133"/>
      <c r="E52" s="2134"/>
    </row>
    <row r="53" spans="2:5" ht="16.5" customHeight="1">
      <c r="B53" s="523" t="str">
        <f>Dictionary!B656</f>
        <v>Budget (Sachmittel) unter Ihrer Verantwortung [€]:</v>
      </c>
      <c r="C53" s="1722"/>
      <c r="D53" s="2144"/>
      <c r="E53" s="2145"/>
    </row>
    <row r="54" spans="2:5" ht="16.5" customHeight="1">
      <c r="B54" s="1615" t="str">
        <f>Dictionary!B657</f>
        <v>Gesamtbudget unter Ihrer Verantwortung [€]:</v>
      </c>
      <c r="C54" s="1723">
        <f>C52+C53</f>
        <v>0</v>
      </c>
      <c r="D54" s="1724"/>
      <c r="E54" s="1725"/>
    </row>
    <row r="55" spans="2:5" ht="18" customHeight="1"/>
    <row r="56" spans="2:5" ht="18" customHeight="1">
      <c r="B56" s="2013" t="str">
        <f>Dictionary!B658</f>
        <v xml:space="preserve">Anmerkungen </v>
      </c>
      <c r="C56" s="2013"/>
      <c r="D56" s="2013"/>
      <c r="E56" s="2013"/>
    </row>
    <row r="57" spans="2:5" ht="16.5" customHeight="1">
      <c r="B57" s="2157" t="str">
        <f>Dictionary!B659</f>
        <v>Anmerkungen zur Komplexität:</v>
      </c>
      <c r="C57" s="2158"/>
      <c r="D57" s="2158"/>
      <c r="E57" s="2159"/>
    </row>
    <row r="58" spans="2:5">
      <c r="B58" s="2135"/>
      <c r="C58" s="2136"/>
      <c r="D58" s="2136"/>
      <c r="E58" s="2137"/>
    </row>
    <row r="59" spans="2:5">
      <c r="B59" s="2135"/>
      <c r="C59" s="2136"/>
      <c r="D59" s="2136"/>
      <c r="E59" s="2137"/>
    </row>
    <row r="60" spans="2:5" ht="27" customHeight="1">
      <c r="B60" s="2135"/>
      <c r="C60" s="2136"/>
      <c r="D60" s="2136"/>
      <c r="E60" s="2137"/>
    </row>
    <row r="61" spans="2:5" ht="16.5" customHeight="1">
      <c r="B61" s="2139" t="str">
        <f>Dictionary!B660</f>
        <v>Allgemeine Anmerkungen:</v>
      </c>
      <c r="C61" s="2140"/>
      <c r="D61" s="2140"/>
      <c r="E61" s="2141"/>
    </row>
    <row r="62" spans="2:5" ht="15" customHeight="1">
      <c r="B62" s="2135"/>
      <c r="C62" s="2136"/>
      <c r="D62" s="2136"/>
      <c r="E62" s="2137"/>
    </row>
    <row r="63" spans="2:5">
      <c r="B63" s="2135"/>
      <c r="C63" s="2136"/>
      <c r="D63" s="2136"/>
      <c r="E63" s="2137"/>
    </row>
    <row r="64" spans="2:5">
      <c r="B64" s="2135"/>
      <c r="C64" s="2136"/>
      <c r="D64" s="2136"/>
      <c r="E64" s="2137"/>
    </row>
    <row r="65" spans="2:5" ht="41" customHeight="1">
      <c r="B65" s="2146"/>
      <c r="C65" s="2147"/>
      <c r="D65" s="2147"/>
      <c r="E65" s="2148"/>
    </row>
    <row r="67" spans="2:5" ht="17" thickBot="1">
      <c r="B67" s="460"/>
      <c r="C67" s="460"/>
      <c r="D67" s="460"/>
      <c r="E67" s="460"/>
    </row>
    <row r="68" spans="2:5">
      <c r="E68" s="464" t="s">
        <v>105</v>
      </c>
    </row>
  </sheetData>
  <sheetProtection algorithmName="SHA-512" hashValue="TzKeBWcVoE7bDSI23t1osWfuoZgh0M8zyRv5T292hGc3UqhudEJtViZAhInatd5eZGQ3hUh7J0zhaP2Boq0G3g==" saltValue="b0mHAaXHI4pMRedrKYdXGQ==" spinCount="100000" sheet="1" objects="1" scenarios="1" selectLockedCells="1"/>
  <mergeCells count="39">
    <mergeCell ref="B58:E60"/>
    <mergeCell ref="B61:E61"/>
    <mergeCell ref="B62:E65"/>
    <mergeCell ref="D50:E50"/>
    <mergeCell ref="D51:E51"/>
    <mergeCell ref="D52:E52"/>
    <mergeCell ref="D53:E53"/>
    <mergeCell ref="B56:E56"/>
    <mergeCell ref="B57:E57"/>
    <mergeCell ref="D49:E49"/>
    <mergeCell ref="B27:E27"/>
    <mergeCell ref="B29:E29"/>
    <mergeCell ref="B32:C32"/>
    <mergeCell ref="D32:E32"/>
    <mergeCell ref="B33:C42"/>
    <mergeCell ref="D33:E42"/>
    <mergeCell ref="B44:E44"/>
    <mergeCell ref="D45:E45"/>
    <mergeCell ref="D46:E46"/>
    <mergeCell ref="D47:E47"/>
    <mergeCell ref="D48:E48"/>
    <mergeCell ref="B26:E26"/>
    <mergeCell ref="D14:E14"/>
    <mergeCell ref="D15:E15"/>
    <mergeCell ref="D16:E16"/>
    <mergeCell ref="D17:E17"/>
    <mergeCell ref="B18:E18"/>
    <mergeCell ref="B19:E19"/>
    <mergeCell ref="B21:E21"/>
    <mergeCell ref="B22:E22"/>
    <mergeCell ref="B23:E23"/>
    <mergeCell ref="B24:E24"/>
    <mergeCell ref="B25:E25"/>
    <mergeCell ref="D13:E13"/>
    <mergeCell ref="B3:E3"/>
    <mergeCell ref="B7:E7"/>
    <mergeCell ref="C9:D9"/>
    <mergeCell ref="B11:E11"/>
    <mergeCell ref="D12:E12"/>
  </mergeCells>
  <conditionalFormatting sqref="C16:C17">
    <cfRule type="notContainsBlanks" dxfId="405" priority="1">
      <formula>LEN(TRIM(C16))&gt;0</formula>
    </cfRule>
  </conditionalFormatting>
  <conditionalFormatting sqref="E8 C9:D9 B19:E19 B23:E23 B25:E25 B27:E27 C30 E30 B33:E42 C46:D54 B58:E60 B62:E65">
    <cfRule type="notContainsBlanks" dxfId="404" priority="2">
      <formula>LEN(TRIM(B8))&gt;0</formula>
    </cfRule>
  </conditionalFormatting>
  <dataValidations count="7">
    <dataValidation type="whole" allowBlank="1" showInputMessage="1" showErrorMessage="1" error="EN: please enter a whole number_x000a_DE: Bitte geben Sie eine ganze Zahl ein" prompt="EN: please enter a valid number_x000a_DE: Bitte geben Sie eine plausible Zahl ein" sqref="C46" xr:uid="{00000000-0002-0000-2300-000000000000}">
      <formula1>0</formula1>
      <formula2>1000000</formula2>
    </dataValidation>
    <dataValidation allowBlank="1" showInputMessage="1" showErrorMessage="1" error="EN: please enter a number_x000a_DE: Bitte geben Sie eine Zahl ein" prompt="EN: enter a Euro value_x000a_DE Geben Sie einen Wert in Euro an" sqref="C54" xr:uid="{00000000-0002-0000-2300-000001000000}"/>
    <dataValidation allowBlank="1" error="EN: Enter a number _x000a_DE: Geben Sie eine Zahl ein" prompt="EN: Effort in person-days_x000a_DE: Aufwand in Personentagen" sqref="D46:E54" xr:uid="{00000000-0002-0000-2300-000002000000}"/>
    <dataValidation type="whole" allowBlank="1" showInputMessage="1" showErrorMessage="1" error="EN: please enter a whole number_x000a_DE: Bitte geben Sie eine ganze Zahl ein" prompt="EN: please enter a valid number_x000a_DE: Bitte geben Sie eine plausible Zahl ein" sqref="C47" xr:uid="{00000000-0002-0000-2300-000003000000}">
      <formula1>1</formula1>
      <formula2>1000000</formula2>
    </dataValidation>
    <dataValidation type="decimal" allowBlank="1" showInputMessage="1" showErrorMessage="1" error="EN: please enter a number_x000a_DE: Bitte geben Sie eine Zahl ein" prompt="EN: enter a Euro value_x000a_DE Geben Sie einen Wert in Euro an" sqref="C52:C53" xr:uid="{00000000-0002-0000-2300-000004000000}">
      <formula1>1</formula1>
      <formula2>1000000000000</formula2>
    </dataValidation>
    <dataValidation type="decimal" allowBlank="1" showInputMessage="1" showErrorMessage="1" error="EN: Enter a number _x000a_DE: Geben Sie eine Zahl ein" prompt="EN: Effort in person-days_x000a_DE: Aufwand in Personentagen" sqref="C48:C49" xr:uid="{00000000-0002-0000-2300-000005000000}">
      <formula1>1</formula1>
      <formula2>1000000000</formula2>
    </dataValidation>
    <dataValidation type="decimal" allowBlank="1" showInputMessage="1" showErrorMessage="1" error="EN: Enter a number_x000a_DE: Geben Sie eine Zahl ein" prompt="EN: Effort in person-days_x000a_DE: Aufwand in Personentagen" sqref="C49:C51" xr:uid="{00000000-0002-0000-2300-000006000000}">
      <formula1>1</formula1>
      <formula2>1000000000</formula2>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2300-000007000000}">
          <x14:formula1>
            <xm:f>'Control Values'!$B$14:$B$15</xm:f>
          </x14:formula1>
          <xm:sqref>E9</xm:sqref>
        </x14:dataValidation>
        <x14:dataValidation type="list" allowBlank="1" showInputMessage="1" showErrorMessage="1" xr:uid="{00000000-0002-0000-2300-000008000000}">
          <x14:formula1>
            <xm:f>'Control Values'!$B$29:$B$34</xm:f>
          </x14:formula1>
          <xm:sqref>C17</xm:sqref>
        </x14:dataValidation>
        <x14:dataValidation type="list" allowBlank="1" showInputMessage="1" showErrorMessage="1" xr:uid="{00000000-0002-0000-2300-000009000000}">
          <x14:formula1>
            <xm:f>'Control Values'!$B$23:$B$26</xm:f>
          </x14:formula1>
          <xm:sqref>C16</xm:sqref>
        </x14:dataValidation>
        <x14:dataValidation type="list" allowBlank="1" showInputMessage="1" showErrorMessage="1" xr:uid="{00000000-0002-0000-2300-00000A000000}">
          <x14:formula1>
            <xm:f>'Control Values'!$B$18:$B$19</xm:f>
          </x14:formula1>
          <xm:sqref>C13:C15</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5057B-E652-4D67-86C8-25F35E157B9C}">
  <sheetPr codeName="Sheet81">
    <tabColor theme="9"/>
  </sheetPr>
  <dimension ref="A1:S60"/>
  <sheetViews>
    <sheetView zoomScale="80" zoomScaleNormal="80" workbookViewId="0">
      <selection activeCell="C10" sqref="C10"/>
    </sheetView>
  </sheetViews>
  <sheetFormatPr baseColWidth="10" defaultColWidth="11.5" defaultRowHeight="15"/>
  <cols>
    <col min="1" max="1" width="8.6640625" style="89" customWidth="1"/>
    <col min="2" max="2" width="11.5" style="89" customWidth="1"/>
    <col min="3" max="3" width="44.33203125" style="89" customWidth="1"/>
    <col min="4" max="4" width="23.1640625" style="89" customWidth="1"/>
    <col min="5" max="5" width="37.5" style="89" customWidth="1"/>
    <col min="6" max="6" width="32" style="89" customWidth="1"/>
    <col min="7" max="7" width="11.6640625" style="89" customWidth="1"/>
    <col min="8" max="11" width="32" style="89" customWidth="1"/>
    <col min="12" max="13" width="32.5" style="89" customWidth="1"/>
    <col min="14" max="14" width="26.1640625" style="89" customWidth="1"/>
    <col min="15" max="15" width="20" style="89" customWidth="1"/>
    <col min="16" max="17" width="11.5" style="89"/>
    <col min="18" max="18" width="8.5" style="89" customWidth="1"/>
    <col min="19" max="16384" width="11.5" style="89"/>
  </cols>
  <sheetData>
    <row r="1" spans="1:19" ht="19.5" customHeight="1" thickBot="1">
      <c r="B1" s="497" t="str">
        <f ca="1">COV!C20</f>
        <v>DECKBLATT BITTE VOLLSTÄNDIG AUSFÜLLEN!</v>
      </c>
      <c r="C1" s="459"/>
      <c r="D1" s="459"/>
      <c r="E1" s="459"/>
      <c r="F1" s="459"/>
      <c r="G1" s="459"/>
      <c r="H1" s="459"/>
      <c r="I1" s="459"/>
      <c r="J1" s="459"/>
      <c r="K1" s="459"/>
      <c r="L1" s="459"/>
      <c r="M1" s="459"/>
    </row>
    <row r="2" spans="1:19" ht="5.25" customHeight="1" thickTop="1"/>
    <row r="3" spans="1:19" ht="21">
      <c r="B3" s="2046" t="str">
        <f>Dictionary!B663&amp;" "&amp;'(7b) Project List'!A17&amp;", "&amp;EXP!D17&amp;": "&amp;EXP!C17</f>
        <v xml:space="preserve">Projektliste für Eintrag 9, : </v>
      </c>
      <c r="C3" s="2046"/>
      <c r="D3" s="2046"/>
      <c r="E3" s="2046"/>
      <c r="F3" s="2046"/>
      <c r="G3" s="2046"/>
      <c r="H3" s="2046"/>
      <c r="I3" s="2046"/>
      <c r="J3" s="2046"/>
      <c r="K3" s="2046"/>
      <c r="L3" s="2046"/>
      <c r="M3" s="2046"/>
    </row>
    <row r="4" spans="1:19" ht="21">
      <c r="B4" s="488"/>
      <c r="C4" s="488"/>
      <c r="D4" s="488"/>
      <c r="E4" s="488"/>
      <c r="F4" s="488"/>
      <c r="G4" s="488"/>
      <c r="H4" s="488"/>
      <c r="I4" s="488"/>
      <c r="J4" s="488"/>
      <c r="K4" s="488"/>
      <c r="L4" s="488"/>
      <c r="M4" s="488"/>
    </row>
    <row r="5" spans="1:19" ht="21">
      <c r="B5" s="489" t="str">
        <f>EXP!B5</f>
        <v xml:space="preserve"> , Level A, Projekt Management, Erstzertifizierung</v>
      </c>
      <c r="C5" s="490"/>
      <c r="D5" s="490"/>
      <c r="E5" s="490"/>
      <c r="F5" s="490"/>
      <c r="G5" s="490"/>
      <c r="H5" s="490"/>
      <c r="I5" s="490"/>
      <c r="J5" s="490"/>
      <c r="K5" s="490"/>
      <c r="L5" s="490"/>
      <c r="M5" s="490"/>
    </row>
    <row r="6" spans="1:19" ht="15" customHeight="1">
      <c r="A6" s="1284"/>
      <c r="B6" s="554"/>
      <c r="C6" s="554"/>
      <c r="D6" s="554"/>
      <c r="E6" s="554"/>
      <c r="F6" s="554"/>
      <c r="G6" s="554"/>
      <c r="H6" s="554"/>
      <c r="I6" s="554"/>
      <c r="J6" s="554"/>
      <c r="K6" s="554"/>
      <c r="L6" s="554"/>
      <c r="M6" s="554"/>
      <c r="N6" s="554"/>
      <c r="O6" s="554"/>
      <c r="P6" s="554"/>
      <c r="Q6" s="554"/>
      <c r="R6" s="554"/>
      <c r="S6" s="554"/>
    </row>
    <row r="7" spans="1:19" ht="24">
      <c r="A7" s="1284"/>
      <c r="B7" s="2171" t="str">
        <f>Dictionary!B665</f>
        <v>Nr.</v>
      </c>
      <c r="C7" s="2166" t="str">
        <f>Dictionary!B666</f>
        <v>Projektname</v>
      </c>
      <c r="D7" s="2166" t="str">
        <f>Dictionary!B667</f>
        <v>PM Domäne</v>
      </c>
      <c r="E7" s="2166" t="s">
        <v>269</v>
      </c>
      <c r="F7" s="2166" t="str">
        <f>Dictionary!B676</f>
        <v>Projekt- / Programm Typ</v>
      </c>
      <c r="G7" s="2173" t="str">
        <f>Dictionary!B677</f>
        <v>Strategisch</v>
      </c>
      <c r="H7" s="2166" t="str">
        <f>Dictionary!B670</f>
        <v>Dauer</v>
      </c>
      <c r="I7" s="2166"/>
      <c r="J7" s="2166" t="str">
        <f>Dictionary!B671</f>
        <v>Gesamtaufwand [Personentage]:</v>
      </c>
      <c r="K7" s="2166"/>
      <c r="L7" s="2166" t="str">
        <f>Dictionary!B672</f>
        <v>Gesamtbudget [€]:</v>
      </c>
      <c r="M7" s="2175"/>
      <c r="N7" s="554"/>
      <c r="O7" s="554"/>
      <c r="P7" s="554"/>
      <c r="Q7" s="554"/>
      <c r="R7" s="554"/>
      <c r="S7" s="554"/>
    </row>
    <row r="8" spans="1:19" ht="24">
      <c r="A8" s="1284"/>
      <c r="B8" s="2172"/>
      <c r="C8" s="2167"/>
      <c r="D8" s="2167"/>
      <c r="E8" s="2167"/>
      <c r="F8" s="2167"/>
      <c r="G8" s="2174"/>
      <c r="H8" s="1305" t="str">
        <f>Dictionary!B668</f>
        <v>Startdatum</v>
      </c>
      <c r="I8" s="1305" t="str">
        <f>Dictionary!B669</f>
        <v>Endtermin</v>
      </c>
      <c r="J8" s="1305" t="str">
        <f>Dictionary!B673</f>
        <v>geplant</v>
      </c>
      <c r="K8" s="1305" t="str">
        <f>Dictionary!B674</f>
        <v>realisiert</v>
      </c>
      <c r="L8" s="1305" t="str">
        <f>Dictionary!B673</f>
        <v>geplant</v>
      </c>
      <c r="M8" s="1306" t="str">
        <f>Dictionary!B674</f>
        <v>realisiert</v>
      </c>
      <c r="N8" s="554"/>
      <c r="O8" s="554"/>
      <c r="P8" s="554"/>
      <c r="Q8" s="554"/>
      <c r="R8" s="554"/>
      <c r="S8" s="554"/>
    </row>
    <row r="9" spans="1:19" ht="24" hidden="1">
      <c r="A9" s="1284"/>
      <c r="B9" s="1304" t="s">
        <v>2826</v>
      </c>
      <c r="C9" s="1297" t="s">
        <v>2827</v>
      </c>
      <c r="D9" s="1297" t="s">
        <v>2837</v>
      </c>
      <c r="E9" s="1297" t="s">
        <v>2828</v>
      </c>
      <c r="F9" s="1297" t="s">
        <v>2829</v>
      </c>
      <c r="G9" s="1298" t="s">
        <v>2830</v>
      </c>
      <c r="H9" s="1299" t="s">
        <v>2831</v>
      </c>
      <c r="I9" s="1299" t="s">
        <v>2832</v>
      </c>
      <c r="J9" s="1300" t="s">
        <v>2833</v>
      </c>
      <c r="K9" s="1300" t="s">
        <v>2834</v>
      </c>
      <c r="L9" s="1300" t="s">
        <v>2835</v>
      </c>
      <c r="M9" s="1300" t="s">
        <v>2836</v>
      </c>
      <c r="N9" s="554"/>
      <c r="O9" s="554"/>
      <c r="P9" s="554"/>
      <c r="Q9" s="554"/>
      <c r="R9" s="554"/>
      <c r="S9" s="554"/>
    </row>
    <row r="10" spans="1:19" ht="24">
      <c r="A10" s="1284"/>
      <c r="B10" s="1292">
        <v>1</v>
      </c>
      <c r="C10" s="1291"/>
      <c r="D10" s="1291"/>
      <c r="E10" s="1291"/>
      <c r="F10" s="1291"/>
      <c r="G10" s="1296"/>
      <c r="H10" s="1307"/>
      <c r="I10" s="1308"/>
      <c r="J10" s="1321"/>
      <c r="K10" s="1321"/>
      <c r="L10" s="1293"/>
      <c r="M10" s="1293"/>
      <c r="N10" s="554"/>
      <c r="O10" s="554"/>
      <c r="P10" s="554"/>
      <c r="Q10" s="554"/>
      <c r="R10" s="554"/>
      <c r="S10" s="554"/>
    </row>
    <row r="11" spans="1:19" ht="24">
      <c r="A11" s="1284"/>
      <c r="B11" s="1292">
        <v>2</v>
      </c>
      <c r="C11" s="1291"/>
      <c r="D11" s="1291"/>
      <c r="E11" s="1291"/>
      <c r="F11" s="1291"/>
      <c r="G11" s="1296"/>
      <c r="H11" s="1309"/>
      <c r="I11" s="1310"/>
      <c r="J11" s="1321"/>
      <c r="K11" s="1321"/>
      <c r="L11" s="1293"/>
      <c r="M11" s="1293"/>
      <c r="N11" s="554"/>
      <c r="O11" s="554"/>
      <c r="P11" s="554"/>
      <c r="Q11" s="554"/>
      <c r="R11" s="554"/>
      <c r="S11" s="554"/>
    </row>
    <row r="12" spans="1:19" ht="24">
      <c r="A12" s="1284"/>
      <c r="B12" s="1292">
        <v>3</v>
      </c>
      <c r="C12" s="1291"/>
      <c r="D12" s="1291"/>
      <c r="E12" s="1291"/>
      <c r="F12" s="1291"/>
      <c r="G12" s="1296"/>
      <c r="H12" s="1309"/>
      <c r="I12" s="1310"/>
      <c r="J12" s="1321"/>
      <c r="K12" s="1321"/>
      <c r="L12" s="1293"/>
      <c r="M12" s="1293"/>
      <c r="N12" s="554"/>
      <c r="O12" s="554"/>
      <c r="P12" s="554"/>
      <c r="Q12" s="554"/>
      <c r="R12" s="554"/>
      <c r="S12" s="554"/>
    </row>
    <row r="13" spans="1:19" ht="24">
      <c r="A13" s="1284"/>
      <c r="B13" s="1292">
        <v>4</v>
      </c>
      <c r="C13" s="1291"/>
      <c r="D13" s="1291"/>
      <c r="E13" s="1291"/>
      <c r="F13" s="1291"/>
      <c r="G13" s="1296"/>
      <c r="H13" s="1309"/>
      <c r="I13" s="1310"/>
      <c r="J13" s="1321"/>
      <c r="K13" s="1321"/>
      <c r="L13" s="1293"/>
      <c r="M13" s="1293"/>
      <c r="N13" s="554"/>
      <c r="O13" s="554"/>
      <c r="P13" s="554"/>
      <c r="Q13" s="554"/>
      <c r="R13" s="554"/>
      <c r="S13" s="554"/>
    </row>
    <row r="14" spans="1:19" ht="24">
      <c r="A14" s="1284"/>
      <c r="B14" s="1292">
        <v>5</v>
      </c>
      <c r="C14" s="1291"/>
      <c r="D14" s="1291"/>
      <c r="E14" s="1291"/>
      <c r="F14" s="1291"/>
      <c r="G14" s="1296"/>
      <c r="H14" s="1309"/>
      <c r="I14" s="1310"/>
      <c r="J14" s="1321"/>
      <c r="K14" s="1321"/>
      <c r="L14" s="1293"/>
      <c r="M14" s="1293"/>
      <c r="N14" s="554"/>
      <c r="O14" s="554"/>
      <c r="P14" s="554"/>
      <c r="Q14" s="554"/>
      <c r="R14" s="554"/>
      <c r="S14" s="554"/>
    </row>
    <row r="15" spans="1:19" ht="24">
      <c r="A15" s="1284"/>
      <c r="B15" s="1292">
        <v>6</v>
      </c>
      <c r="C15" s="1291"/>
      <c r="D15" s="1291"/>
      <c r="E15" s="1291"/>
      <c r="F15" s="1291"/>
      <c r="G15" s="1296"/>
      <c r="H15" s="1309"/>
      <c r="I15" s="1310"/>
      <c r="J15" s="1321"/>
      <c r="K15" s="1321"/>
      <c r="L15" s="1293"/>
      <c r="M15" s="1293"/>
      <c r="N15" s="554"/>
      <c r="O15" s="554"/>
      <c r="P15" s="554"/>
      <c r="Q15" s="554"/>
      <c r="R15" s="554"/>
      <c r="S15" s="554"/>
    </row>
    <row r="16" spans="1:19" ht="24">
      <c r="A16" s="1284"/>
      <c r="B16" s="1292">
        <v>7</v>
      </c>
      <c r="C16" s="1291"/>
      <c r="D16" s="1291"/>
      <c r="E16" s="1291"/>
      <c r="F16" s="1291"/>
      <c r="G16" s="1296"/>
      <c r="H16" s="1309"/>
      <c r="I16" s="1310"/>
      <c r="J16" s="1321"/>
      <c r="K16" s="1321"/>
      <c r="L16" s="1293"/>
      <c r="M16" s="1293"/>
      <c r="N16" s="554"/>
      <c r="O16" s="554"/>
      <c r="P16" s="554"/>
      <c r="Q16" s="554"/>
      <c r="R16" s="554"/>
      <c r="S16" s="554"/>
    </row>
    <row r="17" spans="1:19" ht="24">
      <c r="A17" s="1284"/>
      <c r="B17" s="1292">
        <v>8</v>
      </c>
      <c r="C17" s="1291"/>
      <c r="D17" s="1291"/>
      <c r="E17" s="1291"/>
      <c r="F17" s="1291"/>
      <c r="G17" s="1296"/>
      <c r="H17" s="1309"/>
      <c r="I17" s="1310"/>
      <c r="J17" s="1321"/>
      <c r="K17" s="1321"/>
      <c r="L17" s="1293"/>
      <c r="M17" s="1293"/>
      <c r="N17" s="554"/>
      <c r="O17" s="554"/>
      <c r="P17" s="554"/>
      <c r="Q17" s="554"/>
      <c r="R17" s="554"/>
      <c r="S17" s="554"/>
    </row>
    <row r="18" spans="1:19" ht="24">
      <c r="A18" s="1284"/>
      <c r="B18" s="1292">
        <v>9</v>
      </c>
      <c r="C18" s="1291"/>
      <c r="D18" s="1291"/>
      <c r="E18" s="1291"/>
      <c r="F18" s="1291"/>
      <c r="G18" s="1296"/>
      <c r="H18" s="1309"/>
      <c r="I18" s="1310"/>
      <c r="J18" s="1321"/>
      <c r="K18" s="1321"/>
      <c r="L18" s="1293"/>
      <c r="M18" s="1293"/>
      <c r="N18" s="554"/>
      <c r="O18" s="554"/>
      <c r="P18" s="554"/>
      <c r="Q18" s="554"/>
      <c r="R18" s="554"/>
      <c r="S18" s="554"/>
    </row>
    <row r="19" spans="1:19" ht="24">
      <c r="A19" s="1284"/>
      <c r="B19" s="1292">
        <v>10</v>
      </c>
      <c r="C19" s="1291"/>
      <c r="D19" s="1291"/>
      <c r="E19" s="1291"/>
      <c r="F19" s="1291"/>
      <c r="G19" s="1296"/>
      <c r="H19" s="1309"/>
      <c r="I19" s="1310"/>
      <c r="J19" s="1321"/>
      <c r="K19" s="1321"/>
      <c r="L19" s="1293"/>
      <c r="M19" s="1293"/>
      <c r="N19" s="554"/>
      <c r="O19" s="554"/>
      <c r="P19" s="554"/>
      <c r="Q19" s="554"/>
      <c r="R19" s="554"/>
      <c r="S19" s="554"/>
    </row>
    <row r="20" spans="1:19" ht="24">
      <c r="A20" s="1284"/>
      <c r="B20" s="1292">
        <v>11</v>
      </c>
      <c r="C20" s="1291"/>
      <c r="D20" s="1291"/>
      <c r="E20" s="1291"/>
      <c r="F20" s="1291"/>
      <c r="G20" s="1296"/>
      <c r="H20" s="1309"/>
      <c r="I20" s="1310"/>
      <c r="J20" s="1321"/>
      <c r="K20" s="1321"/>
      <c r="L20" s="1293"/>
      <c r="M20" s="1293"/>
      <c r="N20" s="554"/>
      <c r="O20" s="554"/>
      <c r="P20" s="554"/>
      <c r="Q20" s="554"/>
      <c r="R20" s="554"/>
      <c r="S20" s="554"/>
    </row>
    <row r="21" spans="1:19" ht="24">
      <c r="A21" s="1284"/>
      <c r="B21" s="1292">
        <v>12</v>
      </c>
      <c r="C21" s="1291"/>
      <c r="D21" s="1291"/>
      <c r="E21" s="1291"/>
      <c r="F21" s="1291"/>
      <c r="G21" s="1296"/>
      <c r="H21" s="1309"/>
      <c r="I21" s="1310"/>
      <c r="J21" s="1321"/>
      <c r="K21" s="1321"/>
      <c r="L21" s="1293"/>
      <c r="M21" s="1293"/>
      <c r="N21" s="554"/>
      <c r="O21" s="554"/>
      <c r="P21" s="554"/>
      <c r="Q21" s="554"/>
      <c r="R21" s="554"/>
      <c r="S21" s="554"/>
    </row>
    <row r="22" spans="1:19" ht="24">
      <c r="A22" s="1284"/>
      <c r="B22" s="1292">
        <v>13</v>
      </c>
      <c r="C22" s="1291"/>
      <c r="D22" s="1291"/>
      <c r="E22" s="1291"/>
      <c r="F22" s="1291"/>
      <c r="G22" s="1296"/>
      <c r="H22" s="1309"/>
      <c r="I22" s="1310"/>
      <c r="J22" s="1321"/>
      <c r="K22" s="1321"/>
      <c r="L22" s="1293"/>
      <c r="M22" s="1293"/>
      <c r="N22" s="554"/>
      <c r="O22" s="554"/>
      <c r="P22" s="554"/>
      <c r="Q22" s="554"/>
      <c r="R22" s="554"/>
      <c r="S22" s="554"/>
    </row>
    <row r="23" spans="1:19" ht="24">
      <c r="A23" s="1284"/>
      <c r="B23" s="1292">
        <v>14</v>
      </c>
      <c r="C23" s="1291"/>
      <c r="D23" s="1291"/>
      <c r="E23" s="1291"/>
      <c r="F23" s="1291"/>
      <c r="G23" s="1296"/>
      <c r="H23" s="1309"/>
      <c r="I23" s="1310"/>
      <c r="J23" s="1321"/>
      <c r="K23" s="1321"/>
      <c r="L23" s="1293"/>
      <c r="M23" s="1293"/>
      <c r="N23" s="554"/>
      <c r="O23" s="554"/>
      <c r="P23" s="554"/>
      <c r="Q23" s="554"/>
      <c r="R23" s="554"/>
      <c r="S23" s="554"/>
    </row>
    <row r="24" spans="1:19" ht="24">
      <c r="A24" s="1284"/>
      <c r="B24" s="1292">
        <v>15</v>
      </c>
      <c r="C24" s="1291"/>
      <c r="D24" s="1291"/>
      <c r="E24" s="1291"/>
      <c r="F24" s="1291"/>
      <c r="G24" s="1296"/>
      <c r="H24" s="1309"/>
      <c r="I24" s="1310"/>
      <c r="J24" s="1321"/>
      <c r="K24" s="1321"/>
      <c r="L24" s="1293"/>
      <c r="M24" s="1293"/>
      <c r="N24" s="554"/>
      <c r="O24" s="554"/>
      <c r="P24" s="554"/>
      <c r="Q24" s="554"/>
      <c r="R24" s="554"/>
      <c r="S24" s="554"/>
    </row>
    <row r="25" spans="1:19" ht="24">
      <c r="A25" s="1284"/>
      <c r="B25" s="1292">
        <v>16</v>
      </c>
      <c r="C25" s="1291"/>
      <c r="D25" s="1291"/>
      <c r="E25" s="1291"/>
      <c r="F25" s="1291"/>
      <c r="G25" s="1296"/>
      <c r="H25" s="1309"/>
      <c r="I25" s="1310"/>
      <c r="J25" s="1321"/>
      <c r="K25" s="1321"/>
      <c r="L25" s="1293"/>
      <c r="M25" s="1293"/>
      <c r="N25" s="554"/>
      <c r="O25" s="554"/>
      <c r="P25" s="554"/>
      <c r="Q25" s="554"/>
      <c r="R25" s="554"/>
      <c r="S25" s="554"/>
    </row>
    <row r="26" spans="1:19" ht="24">
      <c r="A26" s="1284"/>
      <c r="B26" s="1292">
        <v>17</v>
      </c>
      <c r="C26" s="1291"/>
      <c r="D26" s="1291"/>
      <c r="E26" s="1291"/>
      <c r="F26" s="1291"/>
      <c r="G26" s="1296"/>
      <c r="H26" s="1309"/>
      <c r="I26" s="1310"/>
      <c r="J26" s="1321"/>
      <c r="K26" s="1321"/>
      <c r="L26" s="1293"/>
      <c r="M26" s="1293"/>
      <c r="N26" s="554"/>
      <c r="O26" s="554"/>
      <c r="P26" s="554"/>
      <c r="Q26" s="554"/>
      <c r="R26" s="554"/>
      <c r="S26" s="554"/>
    </row>
    <row r="27" spans="1:19" ht="24">
      <c r="A27" s="1284"/>
      <c r="B27" s="1292">
        <v>18</v>
      </c>
      <c r="C27" s="1291"/>
      <c r="D27" s="1291"/>
      <c r="E27" s="1291"/>
      <c r="F27" s="1291"/>
      <c r="G27" s="1296"/>
      <c r="H27" s="1309"/>
      <c r="I27" s="1310"/>
      <c r="J27" s="1321"/>
      <c r="K27" s="1321"/>
      <c r="L27" s="1293"/>
      <c r="M27" s="1293"/>
      <c r="N27" s="554"/>
      <c r="O27" s="554"/>
      <c r="P27" s="554"/>
      <c r="Q27" s="554"/>
      <c r="R27" s="554"/>
      <c r="S27" s="554"/>
    </row>
    <row r="28" spans="1:19" ht="24">
      <c r="A28" s="1284"/>
      <c r="B28" s="1292">
        <v>19</v>
      </c>
      <c r="C28" s="1291"/>
      <c r="D28" s="1291"/>
      <c r="E28" s="1291"/>
      <c r="F28" s="1291"/>
      <c r="G28" s="1296"/>
      <c r="H28" s="1309"/>
      <c r="I28" s="1310"/>
      <c r="J28" s="1321"/>
      <c r="K28" s="1321"/>
      <c r="L28" s="1293"/>
      <c r="M28" s="1293"/>
      <c r="N28" s="554"/>
      <c r="O28" s="554"/>
      <c r="P28" s="554"/>
      <c r="Q28" s="554"/>
      <c r="R28" s="554"/>
      <c r="S28" s="554"/>
    </row>
    <row r="29" spans="1:19" ht="24">
      <c r="A29" s="1284"/>
      <c r="B29" s="1292">
        <v>20</v>
      </c>
      <c r="C29" s="1291"/>
      <c r="D29" s="1291"/>
      <c r="E29" s="1291"/>
      <c r="F29" s="1291"/>
      <c r="G29" s="1296"/>
      <c r="H29" s="1309"/>
      <c r="I29" s="1310"/>
      <c r="J29" s="1321"/>
      <c r="K29" s="1321"/>
      <c r="L29" s="1293"/>
      <c r="M29" s="1293"/>
      <c r="N29" s="554"/>
      <c r="O29" s="554"/>
      <c r="P29" s="554"/>
      <c r="Q29" s="554"/>
      <c r="R29" s="554"/>
      <c r="S29" s="554"/>
    </row>
    <row r="30" spans="1:19" ht="24">
      <c r="A30" s="1284"/>
      <c r="B30" s="1292">
        <v>21</v>
      </c>
      <c r="C30" s="1291"/>
      <c r="D30" s="1291"/>
      <c r="E30" s="1291"/>
      <c r="F30" s="1291"/>
      <c r="G30" s="1296"/>
      <c r="H30" s="1309"/>
      <c r="I30" s="1310"/>
      <c r="J30" s="1321"/>
      <c r="K30" s="1321"/>
      <c r="L30" s="1293"/>
      <c r="M30" s="1293"/>
      <c r="N30" s="554"/>
      <c r="O30" s="554"/>
      <c r="P30" s="554"/>
      <c r="Q30" s="554"/>
      <c r="R30" s="554"/>
      <c r="S30" s="554"/>
    </row>
    <row r="31" spans="1:19" ht="24">
      <c r="A31" s="1284"/>
      <c r="B31" s="1292">
        <v>22</v>
      </c>
      <c r="C31" s="1291"/>
      <c r="D31" s="1291"/>
      <c r="E31" s="1291"/>
      <c r="F31" s="1291"/>
      <c r="G31" s="1296"/>
      <c r="H31" s="1309"/>
      <c r="I31" s="1310"/>
      <c r="J31" s="1321"/>
      <c r="K31" s="1321"/>
      <c r="L31" s="1293"/>
      <c r="M31" s="1293"/>
      <c r="N31" s="554"/>
      <c r="O31" s="554"/>
      <c r="P31" s="554"/>
      <c r="Q31" s="554"/>
      <c r="R31" s="554"/>
      <c r="S31" s="554"/>
    </row>
    <row r="32" spans="1:19" ht="24">
      <c r="A32" s="1284"/>
      <c r="B32" s="1292">
        <v>23</v>
      </c>
      <c r="C32" s="1291"/>
      <c r="D32" s="1291"/>
      <c r="E32" s="1291"/>
      <c r="F32" s="1291"/>
      <c r="G32" s="1296"/>
      <c r="H32" s="1309"/>
      <c r="I32" s="1310"/>
      <c r="J32" s="1321"/>
      <c r="K32" s="1321"/>
      <c r="L32" s="1293"/>
      <c r="M32" s="1293"/>
      <c r="N32" s="554"/>
      <c r="O32" s="554"/>
      <c r="P32" s="554"/>
      <c r="Q32" s="554"/>
      <c r="R32" s="554"/>
      <c r="S32" s="554"/>
    </row>
    <row r="33" spans="1:19" ht="24">
      <c r="A33" s="1284"/>
      <c r="B33" s="1292">
        <v>24</v>
      </c>
      <c r="C33" s="1291"/>
      <c r="D33" s="1291"/>
      <c r="E33" s="1291"/>
      <c r="F33" s="1291"/>
      <c r="G33" s="1296"/>
      <c r="H33" s="1309"/>
      <c r="I33" s="1310"/>
      <c r="J33" s="1321"/>
      <c r="K33" s="1321"/>
      <c r="L33" s="1293"/>
      <c r="M33" s="1293"/>
      <c r="N33" s="554"/>
      <c r="O33" s="554"/>
      <c r="P33" s="554"/>
      <c r="Q33" s="554"/>
      <c r="R33" s="554"/>
      <c r="S33" s="554"/>
    </row>
    <row r="34" spans="1:19" ht="24">
      <c r="A34" s="1284"/>
      <c r="B34" s="1292">
        <v>25</v>
      </c>
      <c r="C34" s="1291"/>
      <c r="D34" s="1291"/>
      <c r="E34" s="1291"/>
      <c r="F34" s="1291"/>
      <c r="G34" s="1296"/>
      <c r="H34" s="1309"/>
      <c r="I34" s="1310"/>
      <c r="J34" s="1321"/>
      <c r="K34" s="1321"/>
      <c r="L34" s="1293"/>
      <c r="M34" s="1293"/>
      <c r="N34" s="554"/>
      <c r="O34" s="554"/>
      <c r="P34" s="554"/>
      <c r="Q34" s="554"/>
      <c r="R34" s="554"/>
      <c r="S34" s="554"/>
    </row>
    <row r="35" spans="1:19" ht="24">
      <c r="A35" s="1284"/>
      <c r="B35" s="1292">
        <v>26</v>
      </c>
      <c r="C35" s="1291"/>
      <c r="D35" s="1291"/>
      <c r="E35" s="1291"/>
      <c r="F35" s="1291"/>
      <c r="G35" s="1296"/>
      <c r="H35" s="1309"/>
      <c r="I35" s="1310"/>
      <c r="J35" s="1321"/>
      <c r="K35" s="1321"/>
      <c r="L35" s="1293"/>
      <c r="M35" s="1293"/>
      <c r="N35" s="554"/>
      <c r="O35" s="554"/>
      <c r="P35" s="554"/>
      <c r="Q35" s="554"/>
      <c r="R35" s="554"/>
      <c r="S35" s="554"/>
    </row>
    <row r="36" spans="1:19" ht="24">
      <c r="A36" s="1284"/>
      <c r="B36" s="1292">
        <v>27</v>
      </c>
      <c r="C36" s="1291"/>
      <c r="D36" s="1291"/>
      <c r="E36" s="1291"/>
      <c r="F36" s="1291"/>
      <c r="G36" s="1296"/>
      <c r="H36" s="1309"/>
      <c r="I36" s="1310"/>
      <c r="J36" s="1321"/>
      <c r="K36" s="1321"/>
      <c r="L36" s="1293"/>
      <c r="M36" s="1293"/>
      <c r="N36" s="554"/>
      <c r="O36" s="554"/>
      <c r="P36" s="554"/>
      <c r="Q36" s="554"/>
      <c r="R36" s="554"/>
      <c r="S36" s="554"/>
    </row>
    <row r="37" spans="1:19" ht="24">
      <c r="A37" s="1284"/>
      <c r="B37" s="1292">
        <v>28</v>
      </c>
      <c r="C37" s="1291"/>
      <c r="D37" s="1291"/>
      <c r="E37" s="1291"/>
      <c r="F37" s="1291"/>
      <c r="G37" s="1296"/>
      <c r="H37" s="1309"/>
      <c r="I37" s="1310"/>
      <c r="J37" s="1321"/>
      <c r="K37" s="1321"/>
      <c r="L37" s="1293"/>
      <c r="M37" s="1293"/>
      <c r="N37" s="554"/>
      <c r="O37" s="554"/>
      <c r="P37" s="554"/>
      <c r="Q37" s="554"/>
      <c r="R37" s="554"/>
      <c r="S37" s="554"/>
    </row>
    <row r="38" spans="1:19" ht="24">
      <c r="A38" s="1284"/>
      <c r="B38" s="1292">
        <v>29</v>
      </c>
      <c r="C38" s="1291"/>
      <c r="D38" s="1291"/>
      <c r="E38" s="1291"/>
      <c r="F38" s="1291"/>
      <c r="G38" s="1296"/>
      <c r="H38" s="1309"/>
      <c r="I38" s="1310"/>
      <c r="J38" s="1321"/>
      <c r="K38" s="1321"/>
      <c r="L38" s="1293"/>
      <c r="M38" s="1293"/>
      <c r="N38" s="554"/>
      <c r="O38" s="554"/>
      <c r="P38" s="554"/>
      <c r="Q38" s="554"/>
      <c r="R38" s="554"/>
      <c r="S38" s="554"/>
    </row>
    <row r="39" spans="1:19" ht="24">
      <c r="A39" s="1284"/>
      <c r="B39" s="1292">
        <v>30</v>
      </c>
      <c r="C39" s="1311"/>
      <c r="D39" s="1311"/>
      <c r="E39" s="1311"/>
      <c r="F39" s="1311"/>
      <c r="G39" s="1312"/>
      <c r="H39" s="1313"/>
      <c r="I39" s="1314"/>
      <c r="J39" s="1322"/>
      <c r="K39" s="1322"/>
      <c r="L39" s="1315"/>
      <c r="M39" s="1315"/>
      <c r="N39" s="554"/>
      <c r="O39" s="554"/>
      <c r="P39" s="554"/>
      <c r="Q39" s="554"/>
      <c r="R39" s="554"/>
      <c r="S39" s="554"/>
    </row>
    <row r="40" spans="1:19" ht="24">
      <c r="A40" s="1284"/>
      <c r="B40" s="1301"/>
      <c r="C40" s="2168" t="str">
        <f>Dictionary!B675</f>
        <v xml:space="preserve">Programm / Portfolio Verwaltung </v>
      </c>
      <c r="D40" s="2169"/>
      <c r="E40" s="2169"/>
      <c r="F40" s="2169"/>
      <c r="G40" s="2170"/>
      <c r="H40" s="1319"/>
      <c r="I40" s="1320"/>
      <c r="J40" s="1323"/>
      <c r="K40" s="1323"/>
      <c r="L40" s="1294"/>
      <c r="M40" s="1295"/>
      <c r="N40" s="554"/>
      <c r="O40" s="554"/>
      <c r="P40" s="554"/>
      <c r="Q40" s="554"/>
      <c r="R40" s="554"/>
      <c r="S40" s="554"/>
    </row>
    <row r="41" spans="1:19" ht="24">
      <c r="A41" s="1284"/>
      <c r="B41" s="1302"/>
      <c r="C41" s="1316"/>
      <c r="D41" s="1316"/>
      <c r="E41" s="1316"/>
      <c r="F41" s="1316"/>
      <c r="G41" s="1316"/>
      <c r="H41" s="2176" t="s">
        <v>2825</v>
      </c>
      <c r="I41" s="2176"/>
      <c r="J41" s="1317">
        <f>SUM(J9:J40)</f>
        <v>0</v>
      </c>
      <c r="K41" s="1317">
        <f>SUM(K9:K40)</f>
        <v>0</v>
      </c>
      <c r="L41" s="1318">
        <f>SUM(L9:L40)</f>
        <v>0</v>
      </c>
      <c r="M41" s="1318">
        <f>SUM(M9:M40)</f>
        <v>0</v>
      </c>
      <c r="N41" s="554"/>
      <c r="O41" s="554"/>
      <c r="P41" s="554"/>
      <c r="Q41" s="554"/>
      <c r="R41" s="554"/>
      <c r="S41" s="554"/>
    </row>
    <row r="42" spans="1:19" ht="24">
      <c r="B42" s="554"/>
      <c r="C42" s="554"/>
      <c r="D42" s="554"/>
      <c r="E42" s="554"/>
      <c r="F42" s="554"/>
      <c r="G42" s="554"/>
      <c r="H42" s="554"/>
      <c r="I42" s="554"/>
      <c r="J42" s="554"/>
      <c r="K42" s="554"/>
      <c r="L42" s="554"/>
      <c r="M42" s="554"/>
    </row>
    <row r="43" spans="1:19" ht="17" thickBot="1">
      <c r="B43" s="460"/>
      <c r="C43" s="460"/>
      <c r="D43" s="460"/>
      <c r="E43" s="460"/>
      <c r="F43" s="460"/>
      <c r="G43" s="460"/>
      <c r="H43" s="460"/>
      <c r="I43" s="460"/>
      <c r="J43" s="460"/>
      <c r="K43" s="460"/>
      <c r="L43" s="460"/>
      <c r="M43" s="460"/>
    </row>
    <row r="44" spans="1:19">
      <c r="M44" s="464" t="s">
        <v>105</v>
      </c>
    </row>
    <row r="50" spans="3:6" hidden="1"/>
    <row r="51" spans="3:6" hidden="1">
      <c r="C51" s="2163" t="s">
        <v>249</v>
      </c>
      <c r="D51" s="2164"/>
      <c r="E51" s="2164"/>
      <c r="F51" s="2165"/>
    </row>
    <row r="52" spans="3:6" hidden="1">
      <c r="C52" s="240"/>
      <c r="D52" s="172"/>
      <c r="E52" s="241"/>
      <c r="F52" s="241"/>
    </row>
    <row r="53" spans="3:6" hidden="1">
      <c r="C53" s="1905" t="s">
        <v>970</v>
      </c>
      <c r="D53" s="172" t="s">
        <v>1037</v>
      </c>
      <c r="E53" s="241"/>
      <c r="F53" s="241"/>
    </row>
    <row r="54" spans="3:6" hidden="1">
      <c r="C54" s="1906" t="s">
        <v>1024</v>
      </c>
      <c r="D54" s="172"/>
      <c r="E54" s="241"/>
      <c r="F54" s="241"/>
    </row>
    <row r="55" spans="3:6" hidden="1">
      <c r="C55" s="1907" t="s">
        <v>1025</v>
      </c>
      <c r="D55" s="172"/>
      <c r="E55" s="241"/>
      <c r="F55" s="241"/>
    </row>
    <row r="56" spans="3:6" hidden="1">
      <c r="C56" s="240"/>
      <c r="D56" s="172"/>
      <c r="E56" s="241"/>
      <c r="F56" s="241"/>
    </row>
    <row r="57" spans="3:6" hidden="1">
      <c r="C57" s="240"/>
      <c r="D57" s="172"/>
      <c r="E57" s="241"/>
      <c r="F57" s="241"/>
    </row>
    <row r="58" spans="3:6" hidden="1">
      <c r="C58" s="240"/>
      <c r="D58" s="172"/>
      <c r="E58" s="241"/>
      <c r="F58" s="241"/>
    </row>
    <row r="59" spans="3:6" hidden="1">
      <c r="C59" s="242"/>
      <c r="D59" s="1303"/>
      <c r="E59" s="185"/>
      <c r="F59" s="185"/>
    </row>
    <row r="60" spans="3:6" hidden="1"/>
  </sheetData>
  <sheetProtection algorithmName="SHA-512" hashValue="yeXZx7ODXCgUx4xcy+B2t8Yz9y6krCqTPBzB1hYTrTNbGGawsb2BQYprSOpIfV1q2jn16sBRLhVnsgxYfgVB7Q==" saltValue="QjcnAJs1+WgoW3NFeuKUeQ==" spinCount="100000" sheet="1" objects="1" scenarios="1" selectLockedCells="1"/>
  <mergeCells count="13">
    <mergeCell ref="C40:G40"/>
    <mergeCell ref="H41:I41"/>
    <mergeCell ref="C51:F51"/>
    <mergeCell ref="B3:M3"/>
    <mergeCell ref="B7:B8"/>
    <mergeCell ref="C7:C8"/>
    <mergeCell ref="D7:D8"/>
    <mergeCell ref="E7:E8"/>
    <mergeCell ref="F7:F8"/>
    <mergeCell ref="G7:G8"/>
    <mergeCell ref="H7:I7"/>
    <mergeCell ref="J7:K7"/>
    <mergeCell ref="L7:M7"/>
  </mergeCells>
  <dataValidations count="6">
    <dataValidation type="date" operator="lessThan" allowBlank="1" showInputMessage="1" showErrorMessage="1" error="EN_x000a_End must occur after start._x000a__x000a_DE_x000a_Das Ende muss nach dem Start kommen._x000a_ " sqref="H10:H40" xr:uid="{00000000-0002-0000-2400-000000000000}">
      <formula1>I10</formula1>
    </dataValidation>
    <dataValidation type="date" operator="greaterThan" allowBlank="1" showInputMessage="1" showErrorMessage="1" error="EN_x000a_End must occur after start._x000a__x000a_DE_x000a_Das Ende muss nach dem Start kommen._x000a_ " sqref="I10:I40" xr:uid="{00000000-0002-0000-2400-000001000000}">
      <formula1>H10</formula1>
    </dataValidation>
    <dataValidation type="list" allowBlank="1" showInputMessage="1" showErrorMessage="1" sqref="G10:G39" xr:uid="{00000000-0002-0000-2400-000002000000}">
      <formula1>$D$53:$D$54</formula1>
    </dataValidation>
    <dataValidation type="list" allowBlank="1" showInputMessage="1" showErrorMessage="1" sqref="D10:D39" xr:uid="{00000000-0002-0000-2400-000003000000}">
      <formula1>$C$53:$C$55</formula1>
    </dataValidation>
    <dataValidation type="whole" operator="greaterThan" allowBlank="1" showInputMessage="1" showErrorMessage="1" error="Bitte eine ganze Zahl grösser als 0 eingeben!" sqref="J9:K40 M9:M40 L10:L40" xr:uid="{00000000-0002-0000-2400-000004000000}">
      <formula1>0</formula1>
    </dataValidation>
    <dataValidation type="whole" operator="greaterThan" allowBlank="1" showInputMessage="1" showErrorMessage="1" error="Bitte eine ganze Zahl grösser als 0 eingeben!" promptTitle="Investition" prompt="Unter Investition werden die gesamten Kosten verstanden, inkl.der personellen Aufwände." sqref="L9" xr:uid="{00000000-0002-0000-2400-000005000000}">
      <formula1>0</formula1>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400-000006000000}">
          <x14:formula1>
            <xm:f>'Control Values'!$B$23:$B$26</xm:f>
          </x14:formula1>
          <xm:sqref>F10:F39</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27E94-D49A-4F49-94A0-A9C3F4C13BFF}">
  <sheetPr codeName="Sheet37">
    <tabColor theme="9" tint="-0.24994659260841701"/>
  </sheetPr>
  <dimension ref="B1:L70"/>
  <sheetViews>
    <sheetView showGridLines="0" showZeros="0" workbookViewId="0">
      <pane xSplit="8" ySplit="9" topLeftCell="I10" activePane="bottomRight" state="frozenSplit"/>
      <selection activeCell="B109" sqref="B109"/>
      <selection pane="topRight" activeCell="B109" sqref="B109"/>
      <selection pane="bottomLeft" activeCell="B109" sqref="B109"/>
      <selection pane="bottomRight" activeCell="I11" sqref="I11"/>
    </sheetView>
  </sheetViews>
  <sheetFormatPr baseColWidth="10" defaultColWidth="10" defaultRowHeight="14"/>
  <cols>
    <col min="1" max="1" width="2.6640625" style="472" customWidth="1"/>
    <col min="2" max="2" width="5.5" style="471" customWidth="1"/>
    <col min="3" max="3" width="17.1640625" style="472" customWidth="1"/>
    <col min="4" max="4" width="46.33203125" style="472" customWidth="1"/>
    <col min="5" max="8" width="26.5" style="472" customWidth="1"/>
    <col min="9" max="10" width="11.1640625" style="471" customWidth="1"/>
    <col min="11" max="11" width="55.33203125" style="473" customWidth="1"/>
    <col min="12" max="12" width="9.6640625" style="472" customWidth="1"/>
    <col min="13" max="16384" width="10" style="472"/>
  </cols>
  <sheetData>
    <row r="1" spans="2:11" ht="20.25" customHeight="1" thickBot="1">
      <c r="B1" s="497" t="str">
        <f ca="1">COV!C20</f>
        <v>DECKBLATT BITTE VOLLSTÄNDIG AUSFÜLLEN!</v>
      </c>
      <c r="C1" s="459"/>
      <c r="D1" s="459"/>
      <c r="E1" s="459"/>
      <c r="F1" s="459"/>
      <c r="G1" s="459"/>
      <c r="H1" s="459"/>
      <c r="I1" s="459"/>
      <c r="J1" s="459"/>
      <c r="K1" s="459"/>
    </row>
    <row r="2" spans="2:11" ht="5.25" customHeight="1" thickTop="1"/>
    <row r="3" spans="2:11" ht="21">
      <c r="B3" s="2046" t="str">
        <f>Dictionary!B680&amp;'(7b) Project List'!A17&amp;IF('(7b) Project List'!B17="","",": "&amp;'(7b) Project List'!B17)</f>
        <v>Bewertung der Managementkomplexität für Erfahrung 9</v>
      </c>
      <c r="C3" s="2046"/>
      <c r="D3" s="2046"/>
      <c r="E3" s="2046"/>
      <c r="F3" s="2046"/>
      <c r="G3" s="2046"/>
      <c r="H3" s="2046"/>
      <c r="I3" s="2046"/>
      <c r="J3" s="2046"/>
      <c r="K3" s="2046"/>
    </row>
    <row r="4" spans="2:11" s="498" customFormat="1" ht="21">
      <c r="B4" s="488"/>
      <c r="C4" s="488"/>
      <c r="D4" s="488"/>
      <c r="E4" s="488"/>
      <c r="F4" s="488"/>
      <c r="G4" s="488"/>
      <c r="H4" s="488"/>
      <c r="I4" s="488"/>
      <c r="J4" s="488"/>
      <c r="K4" s="488"/>
    </row>
    <row r="5" spans="2:11" s="467" customFormat="1" ht="22.5" customHeight="1">
      <c r="B5" s="489" t="str">
        <f>EXP!B5</f>
        <v xml:space="preserve"> , Level A, Projekt Management, Erstzertifizierung</v>
      </c>
      <c r="C5" s="491"/>
      <c r="D5" s="491"/>
      <c r="E5" s="492"/>
      <c r="F5" s="491"/>
      <c r="G5" s="493"/>
      <c r="H5" s="492"/>
      <c r="I5" s="492"/>
      <c r="J5" s="492"/>
      <c r="K5" s="494"/>
    </row>
    <row r="6" spans="2:11" s="467" customFormat="1" ht="20" customHeight="1">
      <c r="B6" s="466"/>
      <c r="C6" s="468"/>
      <c r="D6" s="468"/>
      <c r="E6" s="321"/>
      <c r="F6" s="2183"/>
      <c r="G6" s="2183"/>
      <c r="H6" s="2183"/>
      <c r="I6" s="469"/>
      <c r="J6" s="470"/>
    </row>
    <row r="7" spans="2:11" ht="15" customHeight="1"/>
    <row r="8" spans="2:11" s="334" customFormat="1" ht="22.25" customHeight="1">
      <c r="B8" s="2184" t="s">
        <v>294</v>
      </c>
      <c r="C8" s="2187" t="str">
        <f>Dictionary!B681</f>
        <v>Komplexitätsindikatoren und Teilindikatoren</v>
      </c>
      <c r="D8" s="2188"/>
      <c r="E8" s="2186" t="str">
        <f>Dictionary!B682</f>
        <v>Zu bewertende Kriterien:</v>
      </c>
      <c r="F8" s="2186"/>
      <c r="G8" s="2186"/>
      <c r="H8" s="2186"/>
      <c r="I8" s="2177" t="str">
        <f>Dictionary!B683</f>
        <v>Bewertungen und Kommentare</v>
      </c>
      <c r="J8" s="2178"/>
      <c r="K8" s="2179"/>
    </row>
    <row r="9" spans="2:11" s="334" customFormat="1" ht="30" customHeight="1">
      <c r="B9" s="2185"/>
      <c r="C9" s="2189"/>
      <c r="D9" s="2190"/>
      <c r="E9" s="474" t="str">
        <f>Dictionary!B684</f>
        <v>wenig komplex   (1)</v>
      </c>
      <c r="F9" s="474" t="str">
        <f>Dictionary!B685</f>
        <v>begrenzt komplex   (2)</v>
      </c>
      <c r="G9" s="474" t="str">
        <f>Dictionary!B686</f>
        <v>komplex   (3)</v>
      </c>
      <c r="H9" s="474" t="str">
        <f>Dictionary!B687</f>
        <v>sehr komplex   (4)</v>
      </c>
      <c r="I9" s="475" t="str">
        <f>Dictionary!B689</f>
        <v>Bewerber/in</v>
      </c>
      <c r="J9" s="476" t="str">
        <f>Dictionary!B690</f>
        <v>Leitende/r Assessor/in</v>
      </c>
      <c r="K9" s="476" t="str">
        <f>Dictionary!B691</f>
        <v>Anmerkungen, Kommentare, Nachweise (fakultativ)</v>
      </c>
    </row>
    <row r="10" spans="2:11" ht="30" customHeight="1">
      <c r="B10" s="477">
        <v>1</v>
      </c>
      <c r="C10" s="2180" t="str">
        <f>Dictionary!B693</f>
        <v>Indikatoren bezogen auf die technischen Fähigkeiten</v>
      </c>
      <c r="D10" s="2181"/>
      <c r="E10" s="2181"/>
      <c r="F10" s="2181"/>
      <c r="G10" s="2181"/>
      <c r="H10" s="2182"/>
      <c r="K10" s="478"/>
    </row>
    <row r="11" spans="2:11" ht="75">
      <c r="B11" s="479">
        <f>B10+0.1</f>
        <v>1.1000000000000001</v>
      </c>
      <c r="C11" s="558" t="str">
        <f>Dictionary!B694</f>
        <v>Ziele und Ergebnisse</v>
      </c>
      <c r="D11" s="558" t="str">
        <f>Dictionary!B695</f>
        <v>Anzahl und Unterschiedlichkeit der Einzelziele unter Berücksichtigung der Ziele und Erwartungen der relevanten Stakeholder, unterschiedliche Zielkategorien: Prozessziele, Nutzungsziele (Business Case), Operationalisierbarkeit, Transparenz und Abhängigkeiten</v>
      </c>
      <c r="E11" s="557" t="str">
        <f>Dictionary!B696</f>
        <v>sehr wenige klare Ziele, alle quantitativ angegeben, operabel</v>
      </c>
      <c r="F11" s="557" t="str">
        <f>Dictionary!B697</f>
        <v>wenige Ziele, gut formuliert, wenig Zielkonflikte</v>
      </c>
      <c r="G11" s="557" t="str">
        <f>Dictionary!B698</f>
        <v>mehrere Ziele unterschiedlicher Art, teilweise unklar definiert</v>
      </c>
      <c r="H11" s="557" t="str">
        <f>Dictionary!B699</f>
        <v>viele, teilweise konkurrierende  Ziele, strategische und politische Ziele, versteckte Ziele, Nutzungsziele</v>
      </c>
      <c r="I11" s="495"/>
      <c r="J11" s="495"/>
      <c r="K11" s="496"/>
    </row>
    <row r="12" spans="2:11" ht="65">
      <c r="B12" s="479">
        <f>B11+0.1</f>
        <v>1.2000000000000002</v>
      </c>
      <c r="C12" s="558" t="str">
        <f>Dictionary!B701</f>
        <v>Aufgaben und Prozesse</v>
      </c>
      <c r="D12" s="558" t="str">
        <f>Dictionary!B702</f>
        <v>Umfang der Aufgaben, Annahmen und Randbedingungen und deren Abhängigkeiten, eingesetzte Prozesse, Tools und Methoden, eingesetzte Team- und Kommunikationsstrukturen</v>
      </c>
      <c r="E12" s="557" t="str">
        <f>Dictionary!B703</f>
        <v>bekannte Aufgabenstellung und Randbedingungen; wenige Standard-/Reportingverfahren</v>
      </c>
      <c r="F12" s="557" t="str">
        <f>Dictionary!B704</f>
        <v>mehrere Aufgaben, ergänzt durch Annahmen; Einsatz bekannter Prozesse und Tools, einige Reporting-Vorgaben</v>
      </c>
      <c r="G12" s="557" t="str">
        <f>Dictionary!B705</f>
        <v>umfangreiches System von Aufgaben und Annahmen; viele Sachfaktoren; teilweise Einsatz neuartiger Tools und Prozesse, Reporting-Vorgaben</v>
      </c>
      <c r="H12" s="557" t="str">
        <f>Dictionary!B706</f>
        <v>sehr komplexe Aufgabenstellung, umfangreiches sachliches Umfeld; erfordert den Einsatz umfangreicher Prozess- und Toolwelt, strenge Reporting-Vorgaben</v>
      </c>
      <c r="I12" s="495"/>
      <c r="J12" s="495"/>
      <c r="K12" s="496"/>
    </row>
    <row r="13" spans="2:11" ht="65">
      <c r="B13" s="479">
        <f>B12+0.1</f>
        <v>1.3000000000000003</v>
      </c>
      <c r="C13" s="558" t="str">
        <f>Dictionary!B708</f>
        <v>Ressourcen und Finanzen</v>
      </c>
      <c r="D13" s="558" t="str">
        <f>Dictionary!B709</f>
        <v>Akquisition und Bereitstellung der erforderlichen Budgets sowie deren Management; Anzahl der Geldgeber; Verfügbarkeit und Qualität der notwendigen (personellen und sonstigen) Ressourcen; Ressourcen-Management und Beschaffungsprozesse</v>
      </c>
      <c r="E13" s="557" t="str">
        <f>Dictionary!B710</f>
        <v>Budget-Ermittlung ohne Verhandlung, einfache Kostenüberwachung; Ressourcen verfügbar, geringe Ressourcenkonflikte; geringfügige Beschaffungsvorgänge</v>
      </c>
      <c r="F13" s="557" t="str">
        <f>Dictionary!B711</f>
        <v>Budget-Ermittlung und  -Verhandlung; Verhandlung der benötigten Ressourcen, teilweise externe Ressourcen-Beschaffung</v>
      </c>
      <c r="G13" s="557" t="str">
        <f>Dictionary!B712</f>
        <v>Budget- und Ressourcenbeschaffung im Wettbewerb mit anderen Projekten; wesentliche Beschaffungsvorgänge</v>
      </c>
      <c r="H13" s="557" t="str">
        <f>Dictionary!B713</f>
        <v>Beschaffung wesentlicher Finanzmittel, Finanzierung durch unterschiedliche Geldgeber intern und extern; Steuerung wesentlicher Unterauftragnehmer</v>
      </c>
      <c r="I13" s="495"/>
      <c r="J13" s="495"/>
      <c r="K13" s="496"/>
    </row>
    <row r="14" spans="2:11" ht="60">
      <c r="B14" s="479">
        <f>B13+0.1</f>
        <v>1.4000000000000004</v>
      </c>
      <c r="C14" s="558" t="str">
        <f>Dictionary!B715</f>
        <v>Chancen und Risiken</v>
      </c>
      <c r="D14" s="558" t="str">
        <f>Dictionary!B716</f>
        <v xml:space="preserve">Bewertung der Chancen und Risiken im Projekt; Ermittlung und Steuerung des Risikosystems; Ableitung von validen Maßnahmen; Ermittlung und Nutzung von Chancen; Anwendung von Tools zur Steuerung des Risiko-Budgets </v>
      </c>
      <c r="E14" s="557" t="str">
        <f>Dictionary!B717</f>
        <v>wenige Risiken in überschaubarer Höhe, kein Chancen-Management</v>
      </c>
      <c r="F14" s="557" t="str">
        <f>Dictionary!B718</f>
        <v>mehrere Risiken und Chancen; stabiles Risiko-System; Management eines Risiko-Budgets</v>
      </c>
      <c r="G14" s="557" t="str">
        <f>Dictionary!B719</f>
        <v>mehrere Risiken mit begrenzter Schadenshöhe; Möglichkeit der Chancen-Nutzung zur Entlastung des Projektes</v>
      </c>
      <c r="H14" s="557" t="str">
        <f>Dictionary!B720</f>
        <v>Umfangreiches Risiko-Potential inklusive hoher strategischer Risiken; Anwendung valider Steuerungsmöglichkeiten; Meldung nach KONTRAG</v>
      </c>
      <c r="I14" s="495"/>
      <c r="J14" s="495"/>
      <c r="K14" s="496"/>
    </row>
    <row r="15" spans="2:11" s="387" customFormat="1" ht="24" customHeight="1">
      <c r="H15" s="387" t="str">
        <f>Dictionary!B721</f>
        <v>Durchschnitt der eingegebenen Detailbewertungen:</v>
      </c>
      <c r="I15" s="480" t="str">
        <f>IF(SUM(I11:I14)=0,"",ROUNDDOWN(AVERAGE(I11:I14),1))</f>
        <v/>
      </c>
      <c r="J15" s="480" t="str">
        <f>IF(SUM(J11:J14)=0,"",ROUNDDOWN(AVERAGE(J11:J14),1))</f>
        <v/>
      </c>
      <c r="K15" s="481"/>
    </row>
    <row r="16" spans="2:11">
      <c r="C16" s="473"/>
      <c r="D16" s="473"/>
      <c r="E16" s="482"/>
      <c r="F16" s="482"/>
      <c r="G16" s="482"/>
      <c r="H16" s="482"/>
    </row>
    <row r="17" spans="2:11" ht="30" customHeight="1">
      <c r="B17" s="477">
        <v>2</v>
      </c>
      <c r="C17" s="2180" t="str">
        <f>Dictionary!B723</f>
        <v>Indikatoren bezogen auf den Kontext</v>
      </c>
      <c r="D17" s="2181"/>
      <c r="E17" s="2181"/>
      <c r="F17" s="2181"/>
      <c r="G17" s="2181"/>
      <c r="H17" s="2182"/>
    </row>
    <row r="18" spans="2:11" ht="60">
      <c r="B18" s="479">
        <f>B17+0.1</f>
        <v>2.1</v>
      </c>
      <c r="C18" s="558" t="str">
        <f>Dictionary!B724</f>
        <v xml:space="preserve">Strategie, Stakeholder </v>
      </c>
      <c r="D18" s="558" t="str">
        <f>Dictionary!B725</f>
        <v>Einfluss der Unternehmens-Strategie, Auswirkungen des Projektes auf das Unternehmen, Stakeholder-Interessen;
Gesetze und Regularien</v>
      </c>
      <c r="E18" s="559" t="str">
        <f>Dictionary!B726</f>
        <v>wenige strategische Einflüsse; Projekt ist rein operativ ausgerichtet</v>
      </c>
      <c r="F18" s="559" t="str">
        <f>Dictionary!B727</f>
        <v>Stakeholder-Interessen  beeinflussen das Projekt begrenzte Einflüsse aus der Unternehmens-Strategie</v>
      </c>
      <c r="G18" s="559" t="str">
        <f>Dictionary!B728</f>
        <v>Viele Komponenten (?) unterschiedlicher Art</v>
      </c>
      <c r="H18" s="559" t="str">
        <f>Dictionary!B729</f>
        <v>Projekt hat erheblichen Einfluss auf das Unternehmen und seinen Erfolg; starke Auswirkungen von Gesetzen und Regularien</v>
      </c>
      <c r="I18" s="495"/>
      <c r="J18" s="495"/>
      <c r="K18" s="496"/>
    </row>
    <row r="19" spans="2:11" ht="135">
      <c r="B19" s="479">
        <f>B18+0.1</f>
        <v>2.2000000000000002</v>
      </c>
      <c r="C19" s="558" t="str">
        <f>Dictionary!B731</f>
        <v>Stammorganisation</v>
      </c>
      <c r="D19" s="558" t="str">
        <f>Dictionary!B732</f>
        <v>Umfang der Vernetzung über Schnittstellen des Projektes mit den Strukturen, Berichtswesen und Entscheidungswegen der Stammorganisation</v>
      </c>
      <c r="E19" s="559" t="str">
        <f>Dictionary!B733</f>
        <v xml:space="preserve">starke Abgrenzung des Projektes von der Stammorganisation, Entscheidungen fallen wesentlich in der Stammorganisation, viele ähnliche Projekte wurden bereits im Unternehmen durchgeführt </v>
      </c>
      <c r="F19" s="559" t="str">
        <f>Dictionary!B734</f>
        <v>klare Schnittstellen zur Stammorganisation z.B. über Leitungsgremium; Berichtswesen und Entscheidungswege begrenzt und klar definiert Projekt hat geringe Auswirkungen auf Prozesse der Stammorganisation,  ähnliche Projekte wurden bereits im Unternehmen durchgeführt</v>
      </c>
      <c r="G19" s="559" t="str">
        <f>Dictionary!B735</f>
        <v>viele operative Schnittstellen wirken auf  das Projekt ein; Berichte und Entscheidungen machen erheblichen Arbeitsanteil aus, Projekt hat  Auswirkungen auf Prozesse der Stammorganisation, wenige ähnliche Projekte wurden bereits im Unternehmen durchgeführt</v>
      </c>
      <c r="H19" s="559" t="str">
        <f>Dictionary!B736</f>
        <v>Starke Einflüsse der Stammorganisation auf strategischer Ebene; Entscheidungen durch Verhandlungen mit der Stammorganisation, Projekt hat starke Auswirkungen auf Prozesse der Stammorganisation , Projekt ist neuartig für Unternehmen</v>
      </c>
      <c r="I19" s="495"/>
      <c r="J19" s="495"/>
      <c r="K19" s="496"/>
    </row>
    <row r="20" spans="2:11" ht="65">
      <c r="B20" s="479">
        <f>B19+0.1</f>
        <v>2.3000000000000003</v>
      </c>
      <c r="C20" s="558" t="str">
        <f>Dictionary!B738</f>
        <v>Sozio-Kulturelle Einflüsse</v>
      </c>
      <c r="D20" s="558" t="str">
        <f>Dictionary!B739</f>
        <v>Einfluss der sozio-kulturellen Unterschiede im Projektteam, insbesondere bei verteilten oder Firmen-übergreifenden Teams</v>
      </c>
      <c r="E20" s="557" t="str">
        <f>Dictionary!B740</f>
        <v>keine Auswirkungen zu erwarten (Projekt an einem Standort, eine Sprache, homogene Projektgruppe)</v>
      </c>
      <c r="F20" s="557" t="str">
        <f>Dictionary!B741</f>
        <v>wenig Auswirkungen zu erwarten</v>
      </c>
      <c r="G20" s="557" t="str">
        <f>Dictionary!B742</f>
        <v>Auswirkungen infolge lokal verteilter Teams, mehreren Sprachen oder heterogenen Kulturkreisen erfordern in Einzelfällen Führungsmaßnahmen</v>
      </c>
      <c r="H20" s="557" t="str">
        <f>Dictionary!B743</f>
        <v>Auswirkungen infolge lokal verteilter Teams oder großer Teams aus unterschiedlichen Unternehmen und Kulturkreisen erfordern umfangreiche Führungsmaßnahmen</v>
      </c>
      <c r="I20" s="495"/>
      <c r="J20" s="495"/>
      <c r="K20" s="496"/>
    </row>
    <row r="21" spans="2:11" s="387" customFormat="1" ht="24" customHeight="1">
      <c r="H21" s="387" t="str">
        <f>Dictionary!B744</f>
        <v>Durchschnitt der eingegebenen Detailbewertungen:</v>
      </c>
      <c r="I21" s="480" t="str">
        <f>IF(SUM(I18:I20)=0,"",ROUNDDOWN(AVERAGE(I18:I20),1))</f>
        <v/>
      </c>
      <c r="J21" s="480" t="str">
        <f>IF(SUM(J18:J20)=0,"",ROUNDDOWN(AVERAGE(J18:J20),1))</f>
        <v/>
      </c>
      <c r="K21" s="481"/>
    </row>
    <row r="22" spans="2:11">
      <c r="C22" s="473"/>
      <c r="D22" s="473"/>
      <c r="E22" s="482"/>
      <c r="F22" s="482"/>
      <c r="G22" s="482"/>
      <c r="H22" s="482"/>
    </row>
    <row r="23" spans="2:11" ht="30" customHeight="1">
      <c r="B23" s="477">
        <v>3</v>
      </c>
      <c r="C23" s="2180" t="str">
        <f>Dictionary!B746</f>
        <v>Indikatoren bezogen auf Management und Führung</v>
      </c>
      <c r="D23" s="2181"/>
      <c r="E23" s="2181"/>
      <c r="F23" s="2181"/>
      <c r="G23" s="2181"/>
      <c r="H23" s="2182"/>
    </row>
    <row r="24" spans="2:11" ht="90">
      <c r="B24" s="479">
        <f>B23+0.1</f>
        <v>3.1</v>
      </c>
      <c r="C24" s="560" t="str">
        <f>Dictionary!B747</f>
        <v xml:space="preserve">Führung und Teamwork </v>
      </c>
      <c r="D24" s="560" t="str">
        <f>Dictionary!B748</f>
        <v>Umfang der Führungs-, Teambildungs und-Steuerungsmaßnahmen</v>
      </c>
      <c r="E24" s="559" t="str">
        <f>Dictionary!B749</f>
        <v>fast alle Teammitglieder haben bereits mit PL gearbeitet, PL hat Erfahrung im Mgt von Teams über 5 J, Governance Vorgaben sind klar definiert, das Projektteam hat hohe PM Skills</v>
      </c>
      <c r="F24" s="559" t="str">
        <f>Dictionary!B750</f>
        <v>sehr viele Teammitglieder haben bereits mit PL gearbeitet, PL hat Erfahrung im Mgt von Teams über 3 J, governance Vorgaben sind teilweise definiert, das Projektteam hat  PM Skills</v>
      </c>
      <c r="G24" s="559" t="str">
        <f>Dictionary!B751</f>
        <v>viele Teammitglieder haben bereits mit PL gearbeitet, PL hat Erfahrung im Mgt von Teams über 1-2 J, einige Governance Vorgaben sind klar definiert, das Projektteam hat einige PM Skills</v>
      </c>
      <c r="H24" s="559" t="str">
        <f>Dictionary!B752</f>
        <v>wenige Teammitglieder haben bereits mit PL gearbeitet, PL hat Erfahrung im Mgt von Teams weniger 1J, wenige Governance Vorgaben sind definiert, das Projektteam hat sehr wenig PM Skills</v>
      </c>
      <c r="I24" s="495"/>
      <c r="J24" s="495"/>
      <c r="K24" s="496"/>
    </row>
    <row r="25" spans="2:11" ht="91" customHeight="1">
      <c r="B25" s="479">
        <f>B24+0.1</f>
        <v>3.2</v>
      </c>
      <c r="C25" s="558" t="str">
        <f>Dictionary!B754</f>
        <v xml:space="preserve"> Innovation</v>
      </c>
      <c r="D25" s="558" t="str">
        <f>Dictionary!B755</f>
        <v>technische Neuartigkeit des Projektes und seine Auswirkungen auf Ressourcenauswahl und Aus- und Weiterbildung während des Projektes; Umgang mit neuartigen Ansätzen und Ergebnissen</v>
      </c>
      <c r="E25" s="559" t="str">
        <f>Dictionary!B756</f>
        <v>kein Handlungsbedarf infolge geringer Neuartigkeit, z.B. Wiederholprojekte</v>
      </c>
      <c r="F25" s="559" t="str">
        <f>Dictionary!B757</f>
        <v>einige Maßnahmen erforderlich infolge der Neuartigkeit in einzelnen Bereichen</v>
      </c>
      <c r="G25" s="559" t="str">
        <f>Dictionary!B758</f>
        <v>Neuartigkeit des Projektgegenstandes und/oder von Prozessen bedingt vorbereitende Qualifizerungsmaßnahmen</v>
      </c>
      <c r="H25" s="559" t="str">
        <f>Dictionary!B759</f>
        <v xml:space="preserve">Neuartigkeit des Projektgegenstandes und/oder von Prozessen in Verbindung mit großem Projektvolumen bedingt Planung der Qualifizierung, aber auch intensives Risiko-Management </v>
      </c>
      <c r="I25" s="495"/>
      <c r="J25" s="495"/>
      <c r="K25" s="496"/>
    </row>
    <row r="26" spans="2:11" ht="60">
      <c r="B26" s="479">
        <f>B25+0.1</f>
        <v>3.3000000000000003</v>
      </c>
      <c r="C26" s="558" t="str">
        <f>Dictionary!B761</f>
        <v>Autonomie und Verantwortung</v>
      </c>
      <c r="D26" s="558" t="str">
        <f>Dictionary!B762</f>
        <v>Entscheidungs- und Verantwortungsspielraum des Projektleiters; Umfang der Delegation in das Projektteam; Vertretung des Projektes gegenüber dem gesamten sozialen Umfeld</v>
      </c>
      <c r="E26" s="559" t="str">
        <f>Dictionary!B763</f>
        <v xml:space="preserve">wenig Autonomie/Gestaltungsspielräume des PL bzgl. Entscheidungen und Vertretung des Projektes nach aussen </v>
      </c>
      <c r="F26" s="559" t="str">
        <f>Dictionary!B764</f>
        <v>Verhandlung Lasten- und Pflichtenheft; Gesaltungs-spielräume ergeben sich hauptsächlich durch Änderungsprozesse</v>
      </c>
      <c r="G26" s="559" t="str">
        <f>Dictionary!B765</f>
        <v>Projektleiter vertritt das Projekt und damit auch das Unternehmen auch gegenüber externen Stakeholdern</v>
      </c>
      <c r="H26" s="559" t="str">
        <f>Dictionary!B766</f>
        <v>umfangreiche Verantwortungs- und Entscheidungsspielräume, z.B. durch Vollmachts- oder Unterschriftenregelung</v>
      </c>
      <c r="I26" s="495"/>
      <c r="J26" s="495"/>
      <c r="K26" s="496"/>
    </row>
    <row r="27" spans="2:11" s="387" customFormat="1" ht="24" customHeight="1">
      <c r="H27" s="387" t="str">
        <f>Dictionary!B767</f>
        <v>Durchschnitt der eingegebenen Detailbewertungen:</v>
      </c>
      <c r="I27" s="480" t="str">
        <f>IF(SUM(I24:I26)=0,"",ROUNDDOWN(AVERAGE(I24:I26),1))</f>
        <v/>
      </c>
      <c r="J27" s="480" t="str">
        <f>IF(SUM(J24:J26)=0,"",ROUNDDOWN(AVERAGE(J24:J26),1))</f>
        <v/>
      </c>
      <c r="K27" s="481"/>
    </row>
    <row r="28" spans="2:11">
      <c r="C28" s="473"/>
      <c r="D28" s="473"/>
      <c r="E28" s="482"/>
      <c r="F28" s="482"/>
      <c r="G28" s="482"/>
      <c r="H28" s="482"/>
    </row>
    <row r="29" spans="2:11" ht="17" customHeight="1"/>
    <row r="30" spans="2:11" ht="17" customHeight="1">
      <c r="F30" s="334" t="str">
        <f>Dictionary!B768</f>
        <v>Zusammenfassende Bewertungen (gerundet)</v>
      </c>
    </row>
    <row r="31" spans="2:11" ht="17" customHeight="1">
      <c r="G31" s="483" t="str">
        <f>Dictionary!B769</f>
        <v>Indikator</v>
      </c>
      <c r="H31" s="471">
        <v>1</v>
      </c>
      <c r="I31" s="484" t="str">
        <f>IF(I15="","",I15)</f>
        <v/>
      </c>
      <c r="J31" s="484" t="str">
        <f>IF(J15="","",J15)</f>
        <v/>
      </c>
    </row>
    <row r="32" spans="2:11" ht="17" customHeight="1">
      <c r="G32" s="483" t="str">
        <f>Dictionary!B769</f>
        <v>Indikator</v>
      </c>
      <c r="H32" s="471">
        <f>1+H31</f>
        <v>2</v>
      </c>
      <c r="I32" s="485" t="str">
        <f>IF(I21="","",I21)</f>
        <v/>
      </c>
      <c r="J32" s="485" t="str">
        <f>IF(J21="","",J21)</f>
        <v/>
      </c>
    </row>
    <row r="33" spans="2:12" ht="17" customHeight="1">
      <c r="G33" s="483" t="str">
        <f>Dictionary!B769</f>
        <v>Indikator</v>
      </c>
      <c r="H33" s="471">
        <f>1+H32</f>
        <v>3</v>
      </c>
      <c r="I33" s="485" t="str">
        <f>IF(I27="","",I27)</f>
        <v/>
      </c>
      <c r="J33" s="485" t="str">
        <f>IF(J27="","",J27)</f>
        <v/>
      </c>
    </row>
    <row r="34" spans="2:12" s="473" customFormat="1" ht="17" customHeight="1">
      <c r="B34" s="471"/>
      <c r="C34" s="472"/>
      <c r="D34" s="472"/>
      <c r="E34" s="472"/>
      <c r="F34" s="472"/>
      <c r="G34" s="472"/>
      <c r="H34" s="387" t="str">
        <f>Dictionary!B770</f>
        <v xml:space="preserve">Gesamtbewertung   </v>
      </c>
      <c r="I34" s="485">
        <f>SUM(I11:I14)+SUM(I18:I20)+SUM(I24:I26)</f>
        <v>0</v>
      </c>
      <c r="J34" s="485">
        <f>SUM(J11:J14)+SUM(J18:J20)+SUM(J24:J26)</f>
        <v>0</v>
      </c>
      <c r="L34" s="472"/>
    </row>
    <row r="35" spans="2:12" s="473" customFormat="1" ht="17" customHeight="1">
      <c r="B35" s="471"/>
      <c r="C35" s="472"/>
      <c r="D35" s="472"/>
      <c r="E35" s="472"/>
      <c r="F35" s="472"/>
      <c r="G35" s="472"/>
      <c r="H35" s="387"/>
      <c r="I35" s="486"/>
      <c r="J35" s="486"/>
      <c r="L35" s="472"/>
    </row>
    <row r="36" spans="2:12" s="473" customFormat="1" ht="17" customHeight="1">
      <c r="B36" s="471"/>
      <c r="C36" s="487"/>
      <c r="D36" s="487"/>
      <c r="E36" s="472"/>
      <c r="F36" s="472"/>
      <c r="G36" s="472"/>
      <c r="H36" s="472"/>
      <c r="I36" s="471"/>
      <c r="J36" s="471"/>
      <c r="L36" s="472"/>
    </row>
    <row r="37" spans="2:12" s="473" customFormat="1" ht="17" customHeight="1" thickBot="1">
      <c r="B37" s="460"/>
      <c r="C37" s="460"/>
      <c r="D37" s="460"/>
      <c r="E37" s="460"/>
      <c r="F37" s="460"/>
      <c r="G37" s="460"/>
      <c r="H37" s="460"/>
      <c r="I37" s="460"/>
      <c r="J37" s="460"/>
      <c r="K37" s="460"/>
      <c r="L37" s="472"/>
    </row>
    <row r="38" spans="2:12" s="473" customFormat="1" ht="17" customHeight="1">
      <c r="B38" s="89"/>
      <c r="C38" s="89"/>
      <c r="D38" s="89"/>
      <c r="F38" s="472"/>
      <c r="G38" s="472"/>
      <c r="H38" s="472"/>
      <c r="I38" s="471"/>
      <c r="J38" s="471"/>
      <c r="K38" s="464" t="s">
        <v>105</v>
      </c>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ht="17" customHeight="1"/>
    <row r="50" ht="17" customHeight="1"/>
    <row r="51" ht="17" customHeight="1"/>
    <row r="52" ht="17" customHeight="1"/>
    <row r="53" ht="17" customHeight="1"/>
    <row r="54" ht="17" customHeight="1"/>
    <row r="55" ht="17" customHeight="1"/>
    <row r="56" ht="17" customHeight="1"/>
    <row r="57" ht="17" customHeight="1"/>
    <row r="58" ht="17" customHeight="1"/>
    <row r="59" ht="17" customHeight="1"/>
    <row r="60" ht="17" customHeight="1"/>
    <row r="61" ht="17" customHeight="1"/>
    <row r="62" ht="17" customHeight="1"/>
    <row r="63" ht="17" customHeight="1"/>
    <row r="64" ht="17" customHeight="1"/>
    <row r="65" ht="17" customHeight="1"/>
    <row r="66" ht="17" customHeight="1"/>
    <row r="67" ht="17" customHeight="1"/>
    <row r="68" ht="17" customHeight="1"/>
    <row r="69" ht="17" customHeight="1"/>
    <row r="70" ht="17" customHeight="1"/>
  </sheetData>
  <sheetProtection algorithmName="SHA-512" hashValue="uGJeLEQKUT6FEKVw2Sk6Glej5lvH6ULNy9D6PxFUdSHUeWqMNu0HCJGLr1mLVtKu/+aLc1JDYAbKlGdYiHbnQQ==" saltValue="XnAAsbr/AjChKnwqlOWvDg==" spinCount="100000" sheet="1" objects="1" scenarios="1" selectLockedCells="1"/>
  <mergeCells count="9">
    <mergeCell ref="C10:H10"/>
    <mergeCell ref="C17:H17"/>
    <mergeCell ref="C23:H23"/>
    <mergeCell ref="B3:K3"/>
    <mergeCell ref="F6:H6"/>
    <mergeCell ref="B8:B9"/>
    <mergeCell ref="C8:D9"/>
    <mergeCell ref="E8:H8"/>
    <mergeCell ref="I8:K8"/>
  </mergeCells>
  <conditionalFormatting sqref="I35:J35">
    <cfRule type="cellIs" dxfId="403" priority="1" operator="equal">
      <formula>"Yes"</formula>
    </cfRule>
    <cfRule type="cellIs" dxfId="402" priority="2" operator="equal">
      <formula>"No"</formula>
    </cfRule>
  </conditionalFormatting>
  <dataValidations count="1">
    <dataValidation type="whole" allowBlank="1" showInputMessage="1" showErrorMessage="1" sqref="I11:J14 I18:J20 I24:J26" xr:uid="{00000000-0002-0000-25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4D11E-294E-473E-ABC7-7D0F2A117DFC}">
  <sheetPr codeName="Sheet13">
    <tabColor theme="9"/>
  </sheetPr>
  <dimension ref="B1:E68"/>
  <sheetViews>
    <sheetView topLeftCell="A4" zoomScale="130" zoomScaleNormal="130" workbookViewId="0">
      <selection activeCell="B19" sqref="B19:E19"/>
    </sheetView>
  </sheetViews>
  <sheetFormatPr baseColWidth="10" defaultColWidth="11.5" defaultRowHeight="15"/>
  <cols>
    <col min="1" max="1" width="2.5" style="89" customWidth="1"/>
    <col min="2" max="2" width="45.5" style="89" customWidth="1"/>
    <col min="3" max="3" width="22.83203125" style="89" customWidth="1"/>
    <col min="4" max="4" width="32" style="89" customWidth="1"/>
    <col min="5" max="5" width="22.83203125" style="89" customWidth="1"/>
    <col min="6" max="6" width="3.1640625" style="89" customWidth="1"/>
    <col min="7" max="7" width="20" style="89" customWidth="1"/>
    <col min="8" max="9" width="11.5" style="89"/>
    <col min="10" max="10" width="8.5" style="89" customWidth="1"/>
    <col min="11" max="16384" width="11.5" style="89"/>
  </cols>
  <sheetData>
    <row r="1" spans="2:5" ht="15.75" customHeight="1" thickBot="1">
      <c r="B1" s="497" t="str">
        <f ca="1">COV!C20</f>
        <v>DECKBLATT BITTE VOLLSTÄNDIG AUSFÜLLEN!</v>
      </c>
      <c r="C1" s="459"/>
      <c r="D1" s="459"/>
      <c r="E1" s="459"/>
    </row>
    <row r="2" spans="2:5" ht="5.25" customHeight="1" thickTop="1"/>
    <row r="3" spans="2:5" ht="21">
      <c r="B3" s="2046" t="str">
        <f>Dictionary!B614&amp;'(7b) Project List'!A18</f>
        <v>Steckbrief für Management Erfahrung 10</v>
      </c>
      <c r="C3" s="2046"/>
      <c r="D3" s="2046"/>
      <c r="E3" s="2046"/>
    </row>
    <row r="4" spans="2:5" ht="21">
      <c r="B4" s="488"/>
      <c r="C4" s="488"/>
      <c r="D4" s="488"/>
      <c r="E4" s="488"/>
    </row>
    <row r="5" spans="2:5" ht="21">
      <c r="B5" s="489" t="str">
        <f>EXP!B5</f>
        <v xml:space="preserve"> , Level A, Projekt Management, Erstzertifizierung</v>
      </c>
      <c r="C5" s="490"/>
      <c r="D5" s="490"/>
      <c r="E5" s="490"/>
    </row>
    <row r="7" spans="2:5">
      <c r="B7" s="2013" t="str">
        <f>Dictionary!B618</f>
        <v>Kopfzeile</v>
      </c>
      <c r="C7" s="2013"/>
      <c r="D7" s="2013"/>
      <c r="E7" s="2013"/>
    </row>
    <row r="8" spans="2:5" ht="16.5" customHeight="1">
      <c r="B8" s="503" t="str">
        <f>EXP!D18&amp;" "&amp;Dictionary!B615</f>
        <v xml:space="preserve"> Name </v>
      </c>
      <c r="C8" s="504" t="str">
        <f>IF('(7b) Project List'!B18="","",'(7b) Project List'!B18)</f>
        <v/>
      </c>
      <c r="D8" s="508" t="str">
        <f>EXP!D18&amp;" "&amp;Dictionary!B616</f>
        <v xml:space="preserve"> Nummer </v>
      </c>
      <c r="E8" s="509"/>
    </row>
    <row r="9" spans="2:5" ht="16.5" customHeight="1">
      <c r="B9" s="510" t="str">
        <f>Dictionary!B617</f>
        <v>Kunde/AuftraggeberIn:</v>
      </c>
      <c r="C9" s="2138"/>
      <c r="D9" s="2138"/>
      <c r="E9" s="511"/>
    </row>
    <row r="10" spans="2:5" ht="16.5" customHeight="1"/>
    <row r="11" spans="2:5" ht="16.5" customHeight="1">
      <c r="B11" s="2013" t="str">
        <f>Dictionary!B620</f>
        <v>Governance &amp; eigene Rolle</v>
      </c>
      <c r="C11" s="2013"/>
      <c r="D11" s="2013"/>
      <c r="E11" s="2013"/>
    </row>
    <row r="12" spans="2:5" ht="16.5" customHeight="1">
      <c r="B12" s="503" t="str">
        <f>Dictionary!B621</f>
        <v>Eigene Rolle:</v>
      </c>
      <c r="C12" s="504" t="str">
        <f>IF('(7b) Project List'!E18="","",'(7b) Project List'!E18)</f>
        <v/>
      </c>
      <c r="D12" s="2130" t="str">
        <f>Dictionary!B622</f>
        <v>Anmerkungen:</v>
      </c>
      <c r="E12" s="2131"/>
    </row>
    <row r="13" spans="2:5" ht="16.5" customHeight="1">
      <c r="B13" s="505" t="str">
        <f>Dictionary!B623</f>
        <v>Verantwortung für den Umfang/die Ergebnisse:</v>
      </c>
      <c r="C13" s="506"/>
      <c r="D13" s="2142"/>
      <c r="E13" s="2143"/>
    </row>
    <row r="14" spans="2:5" ht="16.5" customHeight="1">
      <c r="B14" s="505" t="str">
        <f>Dictionary!B624</f>
        <v>Verantwortung für die Terminplanung:</v>
      </c>
      <c r="C14" s="506"/>
      <c r="D14" s="2142"/>
      <c r="E14" s="2143"/>
    </row>
    <row r="15" spans="2:5" ht="16.5" customHeight="1">
      <c r="B15" s="505" t="str">
        <f>Dictionary!B625</f>
        <v>Verantwortung für das Budget:</v>
      </c>
      <c r="C15" s="506"/>
      <c r="D15" s="2142"/>
      <c r="E15" s="2143"/>
    </row>
    <row r="16" spans="2:5" ht="16.5" customHeight="1">
      <c r="B16" s="561" t="str">
        <f>EXP!D18&amp;" "&amp;Dictionary!B627</f>
        <v xml:space="preserve"> Typ</v>
      </c>
      <c r="C16" s="507"/>
      <c r="D16" s="2142"/>
      <c r="E16" s="2143"/>
    </row>
    <row r="17" spans="2:5" ht="16.5" customHeight="1">
      <c r="B17" s="561" t="str">
        <f>Dictionary!B626</f>
        <v>Art der PM Organisation</v>
      </c>
      <c r="C17" s="507"/>
      <c r="D17" s="2142"/>
      <c r="E17" s="2143"/>
    </row>
    <row r="18" spans="2:5" ht="16.5" customHeight="1">
      <c r="B18" s="2139" t="str">
        <f>Dictionary!B628</f>
        <v>Kurze Beschreibung Ihrer eigenen Rolle, Verantwortung und Aktivitäten; wem sind Sie unterstellt?</v>
      </c>
      <c r="C18" s="2140"/>
      <c r="D18" s="2140"/>
      <c r="E18" s="2141"/>
    </row>
    <row r="19" spans="2:5" ht="57" customHeight="1">
      <c r="B19" s="2149"/>
      <c r="C19" s="2150"/>
      <c r="D19" s="2150"/>
      <c r="E19" s="2151"/>
    </row>
    <row r="20" spans="2:5" ht="18" customHeight="1"/>
    <row r="21" spans="2:5" ht="16.5" customHeight="1">
      <c r="B21" s="2013" t="str">
        <f>Dictionary!B630</f>
        <v>Allgemeine Informationen und Beschreibung</v>
      </c>
      <c r="C21" s="2013"/>
      <c r="D21" s="2013"/>
      <c r="E21" s="2013"/>
    </row>
    <row r="22" spans="2:5" ht="16.5" customHeight="1">
      <c r="B22" s="2157" t="str">
        <f>Dictionary!B631</f>
        <v>Kurze Beschreibung der KPI, Ergebnisse und Liefergegenstände:</v>
      </c>
      <c r="C22" s="2158"/>
      <c r="D22" s="2158"/>
      <c r="E22" s="2159"/>
    </row>
    <row r="23" spans="2:5" ht="57" customHeight="1">
      <c r="B23" s="2160"/>
      <c r="C23" s="2161"/>
      <c r="D23" s="2161"/>
      <c r="E23" s="2162"/>
    </row>
    <row r="24" spans="2:5" ht="16.5" customHeight="1">
      <c r="B24" s="2139" t="str">
        <f>Dictionary!B632</f>
        <v>Kurze Beschreibung des Umfangs und der Ziele, für die Sie verantwortlich sind:</v>
      </c>
      <c r="C24" s="2140"/>
      <c r="D24" s="2140"/>
      <c r="E24" s="2141"/>
    </row>
    <row r="25" spans="2:5" ht="57" customHeight="1">
      <c r="B25" s="2160"/>
      <c r="C25" s="2161"/>
      <c r="D25" s="2161"/>
      <c r="E25" s="2162"/>
    </row>
    <row r="26" spans="2:5" ht="16.5" customHeight="1">
      <c r="B26" s="2139" t="str">
        <f>Dictionary!B633</f>
        <v>Informationen über erhebliche Planabweichungen und/oder kritische Managementsituationen:</v>
      </c>
      <c r="C26" s="2140"/>
      <c r="D26" s="2140"/>
      <c r="E26" s="2141"/>
    </row>
    <row r="27" spans="2:5" ht="54.75" customHeight="1">
      <c r="B27" s="2146"/>
      <c r="C27" s="2152"/>
      <c r="D27" s="2152"/>
      <c r="E27" s="2153"/>
    </row>
    <row r="28" spans="2:5" ht="18" customHeight="1"/>
    <row r="29" spans="2:5" ht="18" customHeight="1">
      <c r="B29" s="2013" t="str">
        <f>EXP!D18&amp;" "&amp;Dictionary!B635</f>
        <v xml:space="preserve"> Planung</v>
      </c>
      <c r="C29" s="2013"/>
      <c r="D29" s="2013"/>
      <c r="E29" s="2013"/>
    </row>
    <row r="30" spans="2:5" ht="16.5" customHeight="1">
      <c r="B30" s="512" t="str">
        <f>Dictionary!B636</f>
        <v>Beginn des Vorhabens:</v>
      </c>
      <c r="C30" s="513" t="str">
        <f>C31</f>
        <v/>
      </c>
      <c r="D30" s="508" t="str">
        <f>Dictionary!B642</f>
        <v>Ende des Vorhabens:</v>
      </c>
      <c r="E30" s="514" t="str">
        <f>E31</f>
        <v/>
      </c>
    </row>
    <row r="31" spans="2:5" ht="16.5" customHeight="1">
      <c r="B31" s="515" t="str">
        <f>Dictionary!B637</f>
        <v>Ihr Beginn in dieser Rolle:</v>
      </c>
      <c r="C31" s="516" t="str">
        <f>IF('(7b) Project List'!F18="","",'(7b) Project List'!F18)</f>
        <v/>
      </c>
      <c r="D31" s="517" t="str">
        <f>Dictionary!B643</f>
        <v>Ende Ihrer Beteiligung:</v>
      </c>
      <c r="E31" s="518" t="str">
        <f>IF('(7b) Project List'!G18="","",'(7b) Project List'!G18)</f>
        <v/>
      </c>
    </row>
    <row r="32" spans="2:5" ht="16.5" customHeight="1">
      <c r="B32" s="2139" t="str">
        <f>IF(ISNUMBER(SEARCH("ortfolio",B29)),Dictionary!B640,Dictionary!B638)</f>
        <v>Phasen:</v>
      </c>
      <c r="C32" s="2140"/>
      <c r="D32" s="2140" t="str">
        <f>IF(ISNUMBER(SEARCH("ortfolio",B29)),Dictionary!B641,Dictionary!B639)</f>
        <v>Meilensteine:</v>
      </c>
      <c r="E32" s="2141"/>
    </row>
    <row r="33" spans="2:5">
      <c r="B33" s="2154"/>
      <c r="C33" s="2142"/>
      <c r="D33" s="2133"/>
      <c r="E33" s="2143"/>
    </row>
    <row r="34" spans="2:5">
      <c r="B34" s="2155"/>
      <c r="C34" s="2142"/>
      <c r="D34" s="2142"/>
      <c r="E34" s="2143"/>
    </row>
    <row r="35" spans="2:5">
      <c r="B35" s="2155"/>
      <c r="C35" s="2142"/>
      <c r="D35" s="2142"/>
      <c r="E35" s="2143"/>
    </row>
    <row r="36" spans="2:5">
      <c r="B36" s="2155"/>
      <c r="C36" s="2142"/>
      <c r="D36" s="2142"/>
      <c r="E36" s="2143"/>
    </row>
    <row r="37" spans="2:5">
      <c r="B37" s="2155"/>
      <c r="C37" s="2142"/>
      <c r="D37" s="2142"/>
      <c r="E37" s="2143"/>
    </row>
    <row r="38" spans="2:5">
      <c r="B38" s="2155"/>
      <c r="C38" s="2142"/>
      <c r="D38" s="2142"/>
      <c r="E38" s="2143"/>
    </row>
    <row r="39" spans="2:5">
      <c r="B39" s="2155"/>
      <c r="C39" s="2142"/>
      <c r="D39" s="2142"/>
      <c r="E39" s="2143"/>
    </row>
    <row r="40" spans="2:5">
      <c r="B40" s="2155"/>
      <c r="C40" s="2142"/>
      <c r="D40" s="2142"/>
      <c r="E40" s="2143"/>
    </row>
    <row r="41" spans="2:5">
      <c r="B41" s="2155"/>
      <c r="C41" s="2142"/>
      <c r="D41" s="2142"/>
      <c r="E41" s="2143"/>
    </row>
    <row r="42" spans="2:5">
      <c r="B42" s="2156"/>
      <c r="C42" s="2150"/>
      <c r="D42" s="2150"/>
      <c r="E42" s="2151"/>
    </row>
    <row r="44" spans="2:5" ht="18" customHeight="1">
      <c r="B44" s="2132" t="str">
        <f>IF(PMO_MODE="",Dictionary!B645,IF(ISNUMBER(FIND(EXP!C42,B8)),Dictionary!B646,Dictionary!B645))</f>
        <v>Ressourcen, für die Sie direkt verantwortlich sind</v>
      </c>
      <c r="C44" s="2132"/>
      <c r="D44" s="2132"/>
      <c r="E44" s="2132"/>
    </row>
    <row r="45" spans="2:5" ht="16.5" customHeight="1">
      <c r="B45" s="519"/>
      <c r="C45" s="524" t="str">
        <f>Dictionary!B647</f>
        <v>Wert</v>
      </c>
      <c r="D45" s="2130" t="str">
        <f>Dictionary!B648</f>
        <v>Anmerkungen</v>
      </c>
      <c r="E45" s="2131"/>
    </row>
    <row r="46" spans="2:5" ht="16">
      <c r="B46" s="520" t="str">
        <f>Dictionary!B649</f>
        <v>Anzahl der Ihnen direkt unterstellten Teammitglieder:</v>
      </c>
      <c r="C46" s="1720"/>
      <c r="D46" s="2133"/>
      <c r="E46" s="2134"/>
    </row>
    <row r="47" spans="2:5" ht="32">
      <c r="B47" s="520" t="str">
        <f>Dictionary!B650</f>
        <v>Anzahl der Mitglieder des Teams gemäß dem Organigramm (inkl. Sie selbst):</v>
      </c>
      <c r="C47" s="1720"/>
      <c r="D47" s="2133"/>
      <c r="E47" s="2134"/>
    </row>
    <row r="48" spans="2:5" ht="16.5" customHeight="1">
      <c r="B48" s="521" t="str">
        <f>Dictionary!B651</f>
        <v>Gesamtaufwand [Personentage]:</v>
      </c>
      <c r="C48" s="1720"/>
      <c r="D48" s="2133"/>
      <c r="E48" s="2134"/>
    </row>
    <row r="49" spans="2:5" ht="16.5" customHeight="1">
      <c r="B49" s="522" t="str">
        <f>Dictionary!B652</f>
        <v>Externer Arbeitsaufwand [Personentage]:</v>
      </c>
      <c r="C49" s="1720"/>
      <c r="D49" s="2133"/>
      <c r="E49" s="2134"/>
    </row>
    <row r="50" spans="2:5" ht="16.5" customHeight="1">
      <c r="B50" s="522" t="str">
        <f>Dictionary!B653</f>
        <v>Interner Arbeitsaufwand [Personentage]:</v>
      </c>
      <c r="C50" s="1720"/>
      <c r="D50" s="2133"/>
      <c r="E50" s="2134"/>
    </row>
    <row r="51" spans="2:5" ht="16.5" customHeight="1">
      <c r="B51" s="522" t="str">
        <f>Dictionary!B654</f>
        <v>Enthaltener PM-Aufwand [Personentage]:</v>
      </c>
      <c r="C51" s="1720"/>
      <c r="D51" s="2133"/>
      <c r="E51" s="2134"/>
    </row>
    <row r="52" spans="2:5" ht="16.5" customHeight="1">
      <c r="B52" s="522" t="str">
        <f>Dictionary!B655</f>
        <v>Budget (Aufwand) unter Ihrer Verantwortung [€]:</v>
      </c>
      <c r="C52" s="1721"/>
      <c r="D52" s="2133"/>
      <c r="E52" s="2134"/>
    </row>
    <row r="53" spans="2:5" ht="16.5" customHeight="1">
      <c r="B53" s="523" t="str">
        <f>Dictionary!B656</f>
        <v>Budget (Sachmittel) unter Ihrer Verantwortung [€]:</v>
      </c>
      <c r="C53" s="1722"/>
      <c r="D53" s="2144"/>
      <c r="E53" s="2145"/>
    </row>
    <row r="54" spans="2:5" ht="16.5" customHeight="1">
      <c r="B54" s="1615" t="str">
        <f>Dictionary!B657</f>
        <v>Gesamtbudget unter Ihrer Verantwortung [€]:</v>
      </c>
      <c r="C54" s="1723">
        <f>C52+C53</f>
        <v>0</v>
      </c>
      <c r="D54" s="1724"/>
      <c r="E54" s="1725"/>
    </row>
    <row r="55" spans="2:5" ht="18" customHeight="1"/>
    <row r="56" spans="2:5" ht="18" customHeight="1">
      <c r="B56" s="2013" t="str">
        <f>Dictionary!B658</f>
        <v xml:space="preserve">Anmerkungen </v>
      </c>
      <c r="C56" s="2013"/>
      <c r="D56" s="2013"/>
      <c r="E56" s="2013"/>
    </row>
    <row r="57" spans="2:5" ht="16.5" customHeight="1">
      <c r="B57" s="2157" t="str">
        <f>Dictionary!B659</f>
        <v>Anmerkungen zur Komplexität:</v>
      </c>
      <c r="C57" s="2158"/>
      <c r="D57" s="2158"/>
      <c r="E57" s="2159"/>
    </row>
    <row r="58" spans="2:5">
      <c r="B58" s="2135"/>
      <c r="C58" s="2136"/>
      <c r="D58" s="2136"/>
      <c r="E58" s="2137"/>
    </row>
    <row r="59" spans="2:5">
      <c r="B59" s="2135"/>
      <c r="C59" s="2136"/>
      <c r="D59" s="2136"/>
      <c r="E59" s="2137"/>
    </row>
    <row r="60" spans="2:5" ht="27" customHeight="1">
      <c r="B60" s="2135"/>
      <c r="C60" s="2136"/>
      <c r="D60" s="2136"/>
      <c r="E60" s="2137"/>
    </row>
    <row r="61" spans="2:5" ht="16.5" customHeight="1">
      <c r="B61" s="2139" t="str">
        <f>Dictionary!B660</f>
        <v>Allgemeine Anmerkungen:</v>
      </c>
      <c r="C61" s="2140"/>
      <c r="D61" s="2140"/>
      <c r="E61" s="2141"/>
    </row>
    <row r="62" spans="2:5" ht="15" customHeight="1">
      <c r="B62" s="2135"/>
      <c r="C62" s="2136"/>
      <c r="D62" s="2136"/>
      <c r="E62" s="2137"/>
    </row>
    <row r="63" spans="2:5">
      <c r="B63" s="2135"/>
      <c r="C63" s="2136"/>
      <c r="D63" s="2136"/>
      <c r="E63" s="2137"/>
    </row>
    <row r="64" spans="2:5">
      <c r="B64" s="2135"/>
      <c r="C64" s="2136"/>
      <c r="D64" s="2136"/>
      <c r="E64" s="2137"/>
    </row>
    <row r="65" spans="2:5" ht="41" customHeight="1">
      <c r="B65" s="2146"/>
      <c r="C65" s="2147"/>
      <c r="D65" s="2147"/>
      <c r="E65" s="2148"/>
    </row>
    <row r="67" spans="2:5" ht="17" thickBot="1">
      <c r="B67" s="460"/>
      <c r="C67" s="460"/>
      <c r="D67" s="460"/>
      <c r="E67" s="460"/>
    </row>
    <row r="68" spans="2:5">
      <c r="E68" s="464" t="s">
        <v>105</v>
      </c>
    </row>
  </sheetData>
  <sheetProtection algorithmName="SHA-512" hashValue="cKr5Aei6QhrWpH1PF/v5waIKhWEmh3ktaT4tVRbOuBERWLWP+CBRhIFKFPKVJP8cVqJXGgTMGS1TT4aH8qDXiQ==" saltValue="wdS58hcYV8PmDMlyom9Ylw==" spinCount="100000" sheet="1" objects="1" scenarios="1" selectLockedCells="1"/>
  <mergeCells count="39">
    <mergeCell ref="B58:E60"/>
    <mergeCell ref="B61:E61"/>
    <mergeCell ref="B62:E65"/>
    <mergeCell ref="D50:E50"/>
    <mergeCell ref="D51:E51"/>
    <mergeCell ref="D52:E52"/>
    <mergeCell ref="D53:E53"/>
    <mergeCell ref="B56:E56"/>
    <mergeCell ref="B57:E57"/>
    <mergeCell ref="D49:E49"/>
    <mergeCell ref="B27:E27"/>
    <mergeCell ref="B29:E29"/>
    <mergeCell ref="B32:C32"/>
    <mergeCell ref="D32:E32"/>
    <mergeCell ref="B33:C42"/>
    <mergeCell ref="D33:E42"/>
    <mergeCell ref="B44:E44"/>
    <mergeCell ref="D45:E45"/>
    <mergeCell ref="D46:E46"/>
    <mergeCell ref="D47:E47"/>
    <mergeCell ref="D48:E48"/>
    <mergeCell ref="B26:E26"/>
    <mergeCell ref="D14:E14"/>
    <mergeCell ref="D15:E15"/>
    <mergeCell ref="D16:E16"/>
    <mergeCell ref="D17:E17"/>
    <mergeCell ref="B18:E18"/>
    <mergeCell ref="B19:E19"/>
    <mergeCell ref="B21:E21"/>
    <mergeCell ref="B22:E22"/>
    <mergeCell ref="B23:E23"/>
    <mergeCell ref="B24:E24"/>
    <mergeCell ref="B25:E25"/>
    <mergeCell ref="D13:E13"/>
    <mergeCell ref="B3:E3"/>
    <mergeCell ref="B7:E7"/>
    <mergeCell ref="C9:D9"/>
    <mergeCell ref="B11:E11"/>
    <mergeCell ref="D12:E12"/>
  </mergeCells>
  <conditionalFormatting sqref="C16:C17">
    <cfRule type="notContainsBlanks" dxfId="401" priority="1">
      <formula>LEN(TRIM(C16))&gt;0</formula>
    </cfRule>
  </conditionalFormatting>
  <conditionalFormatting sqref="E8 C9:D9 B19:E19 B23:E23 B25:E25 B27:E27 C30 E30 B33:E42 C46:D54 B58:E60 B62:E65">
    <cfRule type="notContainsBlanks" dxfId="400" priority="2">
      <formula>LEN(TRIM(B8))&gt;0</formula>
    </cfRule>
  </conditionalFormatting>
  <dataValidations count="7">
    <dataValidation type="whole" allowBlank="1" showInputMessage="1" showErrorMessage="1" error="EN: please enter a whole number_x000a_DE: Bitte geben Sie eine ganze Zahl ein" prompt="EN: please enter a valid number_x000a_DE: Bitte geben Sie eine plausible Zahl ein" sqref="C46" xr:uid="{00000000-0002-0000-2600-000000000000}">
      <formula1>0</formula1>
      <formula2>1000000</formula2>
    </dataValidation>
    <dataValidation allowBlank="1" showInputMessage="1" showErrorMessage="1" error="EN: please enter a number_x000a_DE: Bitte geben Sie eine Zahl ein" prompt="EN: enter a Euro value_x000a_DE Geben Sie einen Wert in Euro an" sqref="C54" xr:uid="{00000000-0002-0000-2600-000001000000}"/>
    <dataValidation allowBlank="1" error="EN: Enter a number _x000a_DE: Geben Sie eine Zahl ein" prompt="EN: Effort in person-days_x000a_DE: Aufwand in Personentagen" sqref="D46:E54" xr:uid="{00000000-0002-0000-2600-000002000000}"/>
    <dataValidation type="whole" allowBlank="1" showInputMessage="1" showErrorMessage="1" error="EN: please enter a whole number_x000a_DE: Bitte geben Sie eine ganze Zahl ein" prompt="EN: please enter a valid number_x000a_DE: Bitte geben Sie eine plausible Zahl ein" sqref="C47" xr:uid="{00000000-0002-0000-2600-000003000000}">
      <formula1>1</formula1>
      <formula2>1000000</formula2>
    </dataValidation>
    <dataValidation type="decimal" allowBlank="1" showInputMessage="1" showErrorMessage="1" error="EN: please enter a number_x000a_DE: Bitte geben Sie eine Zahl ein" prompt="EN: enter a Euro value_x000a_DE Geben Sie einen Wert in Euro an" sqref="C52:C53" xr:uid="{00000000-0002-0000-2600-000004000000}">
      <formula1>1</formula1>
      <formula2>1000000000000</formula2>
    </dataValidation>
    <dataValidation type="decimal" allowBlank="1" showInputMessage="1" showErrorMessage="1" error="EN: Enter a number _x000a_DE: Geben Sie eine Zahl ein" prompt="EN: Effort in person-days_x000a_DE: Aufwand in Personentagen" sqref="C48:C49" xr:uid="{00000000-0002-0000-2600-000005000000}">
      <formula1>1</formula1>
      <formula2>1000000000</formula2>
    </dataValidation>
    <dataValidation type="decimal" allowBlank="1" showInputMessage="1" showErrorMessage="1" error="EN: Enter a number_x000a_DE: Geben Sie eine Zahl ein" prompt="EN: Effort in person-days_x000a_DE: Aufwand in Personentagen" sqref="C49:C51" xr:uid="{00000000-0002-0000-2600-000006000000}">
      <formula1>1</formula1>
      <formula2>1000000000</formula2>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2600-000007000000}">
          <x14:formula1>
            <xm:f>'Control Values'!$B$14:$B$15</xm:f>
          </x14:formula1>
          <xm:sqref>E9</xm:sqref>
        </x14:dataValidation>
        <x14:dataValidation type="list" allowBlank="1" showInputMessage="1" showErrorMessage="1" xr:uid="{00000000-0002-0000-2600-000008000000}">
          <x14:formula1>
            <xm:f>'Control Values'!$B$29:$B$34</xm:f>
          </x14:formula1>
          <xm:sqref>C17</xm:sqref>
        </x14:dataValidation>
        <x14:dataValidation type="list" allowBlank="1" showInputMessage="1" showErrorMessage="1" xr:uid="{00000000-0002-0000-2600-000009000000}">
          <x14:formula1>
            <xm:f>'Control Values'!$B$23:$B$26</xm:f>
          </x14:formula1>
          <xm:sqref>C16</xm:sqref>
        </x14:dataValidation>
        <x14:dataValidation type="list" allowBlank="1" showInputMessage="1" showErrorMessage="1" xr:uid="{00000000-0002-0000-2600-00000A000000}">
          <x14:formula1>
            <xm:f>'Control Values'!$B$18:$B$19</xm:f>
          </x14:formula1>
          <xm:sqref>C13:C15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A6329-D678-4A08-8919-2908089A928E}">
  <sheetPr codeName="Instructions">
    <tabColor theme="5"/>
  </sheetPr>
  <dimension ref="B1:Y89"/>
  <sheetViews>
    <sheetView tabSelected="1" zoomScale="80" zoomScaleNormal="80" workbookViewId="0">
      <selection activeCell="B500" sqref="B500"/>
    </sheetView>
  </sheetViews>
  <sheetFormatPr baseColWidth="10" defaultColWidth="12" defaultRowHeight="16"/>
  <cols>
    <col min="1" max="1" width="2" style="190" customWidth="1"/>
    <col min="2" max="2" width="8.5" style="190" customWidth="1"/>
    <col min="3" max="3" width="26.1640625" style="190" customWidth="1"/>
    <col min="4" max="4" width="19.6640625" style="190" customWidth="1"/>
    <col min="5" max="10" width="26.1640625" style="190" customWidth="1"/>
    <col min="11" max="11" width="19.33203125" style="190" customWidth="1"/>
    <col min="12" max="12" width="3.1640625" style="190" customWidth="1"/>
    <col min="13" max="25" width="0" style="190" hidden="1" customWidth="1"/>
    <col min="26" max="16384" width="12" style="190"/>
  </cols>
  <sheetData>
    <row r="1" spans="2:25" ht="21.75" customHeight="1" thickBot="1">
      <c r="B1" s="459"/>
      <c r="C1" s="459"/>
      <c r="D1" s="459"/>
      <c r="E1" s="459"/>
      <c r="F1" s="459"/>
      <c r="G1" s="459"/>
      <c r="H1" s="459"/>
      <c r="I1" s="459"/>
      <c r="J1" s="459"/>
      <c r="K1" s="459"/>
    </row>
    <row r="2" spans="2:25" ht="5.25" customHeight="1" thickTop="1"/>
    <row r="3" spans="2:25" ht="30" customHeight="1">
      <c r="B3" s="2046" t="str">
        <f>Dictionary!B56</f>
        <v>Anleitung</v>
      </c>
      <c r="C3" s="2046"/>
      <c r="D3" s="2046"/>
      <c r="E3" s="2046"/>
      <c r="F3" s="2046"/>
      <c r="G3" s="2046"/>
      <c r="H3" s="2046"/>
      <c r="I3" s="2046"/>
      <c r="J3" s="2046"/>
      <c r="K3" s="2046"/>
      <c r="M3" s="2046"/>
      <c r="N3" s="2046"/>
      <c r="O3" s="2046"/>
      <c r="P3" s="2046"/>
      <c r="Q3" s="2046"/>
      <c r="R3" s="2046"/>
      <c r="S3" s="2046"/>
      <c r="T3" s="2046"/>
      <c r="U3" s="2046"/>
      <c r="V3" s="2046"/>
      <c r="W3" s="2046"/>
      <c r="X3" s="2046"/>
      <c r="Y3" s="2046"/>
    </row>
    <row r="4" spans="2:25" ht="12.75" customHeight="1">
      <c r="B4" s="1352"/>
      <c r="C4" s="1352"/>
      <c r="D4" s="1352"/>
      <c r="E4" s="1352"/>
      <c r="F4" s="1352"/>
      <c r="G4" s="1352"/>
      <c r="H4" s="1352"/>
      <c r="I4" s="1352"/>
      <c r="J4" s="1352"/>
      <c r="K4" s="1352"/>
    </row>
    <row r="5" spans="2:25" ht="12.75" customHeight="1">
      <c r="B5" s="1352"/>
      <c r="C5" s="1352"/>
      <c r="D5" s="1352"/>
      <c r="E5" s="1352"/>
      <c r="F5" s="1352"/>
      <c r="G5" s="1352"/>
      <c r="H5" s="1352"/>
      <c r="I5" s="1352"/>
      <c r="J5" s="1352"/>
      <c r="K5" s="1352"/>
    </row>
    <row r="6" spans="2:25" ht="17.25" customHeight="1">
      <c r="B6" s="2051" t="str">
        <f>Dictionary!B57</f>
        <v>Allgemeine Hinweise</v>
      </c>
      <c r="C6" s="2051"/>
      <c r="D6" s="2051"/>
      <c r="E6" s="2051"/>
      <c r="F6" s="2051"/>
      <c r="G6" s="2051"/>
      <c r="H6" s="2051"/>
      <c r="I6" s="2051"/>
      <c r="J6" s="2051"/>
      <c r="K6" s="2051"/>
    </row>
    <row r="7" spans="2:25" s="1367" customFormat="1">
      <c r="B7" s="1377">
        <v>1</v>
      </c>
      <c r="C7" s="2067" t="str">
        <f>Dictionary!B60</f>
        <v>Die F01 ist ein Leistungsnachweis für die von der IPMA geforderte Erfahrung und Prüfungsleistung in Ihrem Zertifizierungsverfahren.</v>
      </c>
      <c r="D7" s="2067"/>
      <c r="E7" s="2067"/>
      <c r="F7" s="2067"/>
      <c r="G7" s="2067"/>
      <c r="H7" s="2067"/>
      <c r="I7" s="2067"/>
      <c r="J7" s="2067"/>
      <c r="K7" s="2067"/>
      <c r="N7" s="1927" t="s">
        <v>4202</v>
      </c>
      <c r="O7" s="1928"/>
      <c r="P7" s="1928"/>
      <c r="Q7" s="1928"/>
      <c r="R7" s="1928"/>
      <c r="S7" s="1928"/>
      <c r="T7" s="1928"/>
      <c r="U7" s="1928"/>
      <c r="V7" s="1928"/>
      <c r="W7" s="1928"/>
      <c r="X7" s="1928"/>
    </row>
    <row r="8" spans="2:25" s="1367" customFormat="1" ht="32.25" customHeight="1">
      <c r="B8" s="1370">
        <v>2</v>
      </c>
      <c r="C8" s="2056" t="str">
        <f>Dictionary!B61</f>
        <v>Da die IPMA Anforderungen an Ihre Erfahrung und Prüfungsleistungen von dem ausgewählten Level, der ausgewählten Domäne, und dem ausgewählten Zertifizierungspfad abhängen, sind diese Informationen notwendig, um die F01 richtig zu konfigurieren.</v>
      </c>
      <c r="D8" s="2056"/>
      <c r="E8" s="2056"/>
      <c r="F8" s="2056"/>
      <c r="G8" s="2056"/>
      <c r="H8" s="2056"/>
      <c r="I8" s="2056"/>
      <c r="J8" s="2056"/>
      <c r="K8" s="2056"/>
      <c r="N8" s="1929" t="s">
        <v>4203</v>
      </c>
      <c r="O8" s="1930"/>
      <c r="P8" s="1930"/>
      <c r="Q8" s="1930"/>
      <c r="R8" s="1930"/>
      <c r="S8" s="1930"/>
      <c r="T8" s="1930"/>
      <c r="U8" s="1930"/>
      <c r="V8" s="1930"/>
      <c r="W8" s="1931"/>
      <c r="X8" s="1932"/>
    </row>
    <row r="9" spans="2:25" s="1367" customFormat="1" ht="21" customHeight="1">
      <c r="B9" s="1370">
        <v>3</v>
      </c>
      <c r="C9" s="2056" t="str">
        <f>Dictionary!B63</f>
        <v>Die ausgefüllte F01 gilt nur im Zusammenhang mit Ihrem Antrag an die Zertifizierungsstelle. Sie muss im Portal entsprechend der geltenden Prozessrichtlinien hochgeladen bzw. abgegeben werden.</v>
      </c>
      <c r="D9" s="2056"/>
      <c r="E9" s="2056"/>
      <c r="F9" s="2056"/>
      <c r="G9" s="2056"/>
      <c r="H9" s="2056"/>
      <c r="I9" s="2056"/>
      <c r="J9" s="2056"/>
      <c r="K9" s="2056"/>
      <c r="N9" s="1933"/>
      <c r="O9" s="1932"/>
      <c r="P9" s="1932"/>
      <c r="Q9" s="1932"/>
      <c r="R9" s="1932"/>
      <c r="S9" s="1932"/>
      <c r="T9" s="1932"/>
      <c r="U9" s="1932"/>
      <c r="V9" s="1932"/>
      <c r="W9" s="1934"/>
      <c r="X9" s="1932"/>
    </row>
    <row r="10" spans="2:25" s="1367" customFormat="1">
      <c r="B10" s="1475"/>
      <c r="C10" s="1408"/>
      <c r="D10" s="1408"/>
      <c r="E10" s="1408"/>
      <c r="F10" s="1408"/>
      <c r="G10" s="1408"/>
      <c r="H10" s="1408"/>
      <c r="I10" s="1408"/>
      <c r="J10" s="1408"/>
      <c r="K10" s="1408"/>
      <c r="N10" s="1933"/>
      <c r="O10" s="1932"/>
      <c r="P10" s="1932"/>
      <c r="Q10" s="1932"/>
      <c r="R10" s="1932"/>
      <c r="S10" s="1932"/>
      <c r="T10" s="1932"/>
      <c r="U10" s="1932"/>
      <c r="V10" s="1932"/>
      <c r="W10" s="1934"/>
      <c r="X10" s="1932"/>
    </row>
    <row r="11" spans="2:25" s="1367" customFormat="1" ht="15.75" customHeight="1">
      <c r="B11" s="2051" t="str">
        <f>Dictionary!B66</f>
        <v>Kandidaten-Formulare in dieser Arbeitsmappe (Hinweis: nur relevante Arbeitsblätter werden angezeigt)</v>
      </c>
      <c r="C11" s="2051"/>
      <c r="D11" s="2051"/>
      <c r="E11" s="2051"/>
      <c r="F11" s="2051"/>
      <c r="G11" s="2051"/>
      <c r="H11" s="2051"/>
      <c r="I11" s="2051"/>
      <c r="J11" s="2051"/>
      <c r="K11" s="2051"/>
      <c r="N11" s="1933"/>
      <c r="O11" s="1932"/>
      <c r="P11" s="1932"/>
      <c r="Q11" s="1932"/>
      <c r="R11" s="1932"/>
      <c r="S11" s="1932"/>
      <c r="T11" s="1932"/>
      <c r="U11" s="1932"/>
      <c r="V11" s="1932"/>
      <c r="W11" s="1934"/>
      <c r="X11" s="1932"/>
    </row>
    <row r="12" spans="2:25" s="1367" customFormat="1" ht="15.75" customHeight="1">
      <c r="B12" s="1483"/>
      <c r="C12" s="1484" t="str">
        <f>Dictionary!B67</f>
        <v>Name und Farbe</v>
      </c>
      <c r="D12" s="2068" t="str">
        <f>Dictionary!B68</f>
        <v>Beschreibung</v>
      </c>
      <c r="E12" s="2068"/>
      <c r="F12" s="2068"/>
      <c r="G12" s="1483"/>
      <c r="H12" s="1483"/>
      <c r="I12" s="1483"/>
      <c r="J12" s="1483"/>
      <c r="K12" s="1483"/>
      <c r="N12" s="1933"/>
      <c r="O12" s="1932"/>
      <c r="P12" s="1932"/>
      <c r="Q12" s="1932"/>
      <c r="R12" s="1932"/>
      <c r="S12" s="1932"/>
      <c r="T12" s="1932"/>
      <c r="U12" s="1932"/>
      <c r="V12" s="1932"/>
      <c r="W12" s="1934"/>
      <c r="X12" s="1932"/>
    </row>
    <row r="13" spans="2:25" s="1367" customFormat="1" ht="17">
      <c r="B13" s="1481">
        <v>1</v>
      </c>
      <c r="C13" s="1481" t="s">
        <v>3548</v>
      </c>
      <c r="D13" s="2050" t="str">
        <f>Dictionary!B70</f>
        <v>Deckblatt</v>
      </c>
      <c r="E13" s="2050"/>
      <c r="F13" s="2050"/>
      <c r="G13" s="1482"/>
      <c r="H13" s="1482"/>
      <c r="I13" s="1482"/>
      <c r="J13" s="1482"/>
      <c r="K13" s="1482"/>
      <c r="N13" s="1933"/>
      <c r="O13" s="1932"/>
      <c r="P13" s="1932"/>
      <c r="Q13" s="1932"/>
      <c r="R13" s="1932"/>
      <c r="S13" s="1932"/>
      <c r="T13" s="1932"/>
      <c r="U13" s="1932"/>
      <c r="V13" s="1932"/>
      <c r="W13" s="1934"/>
      <c r="X13" s="1932"/>
    </row>
    <row r="14" spans="2:25" s="1367" customFormat="1" ht="15.75" customHeight="1">
      <c r="B14" s="1370">
        <v>3</v>
      </c>
      <c r="C14" s="1370" t="s">
        <v>3550</v>
      </c>
      <c r="D14" s="2049" t="str">
        <f>Dictionary!B72</f>
        <v>Vorhandene IPMA-Zertifikate und Referenzen</v>
      </c>
      <c r="E14" s="2049"/>
      <c r="F14" s="2049"/>
      <c r="G14" s="1373"/>
      <c r="H14" s="1373"/>
      <c r="I14" s="1373"/>
      <c r="J14" s="1373"/>
      <c r="K14" s="1373"/>
      <c r="N14" s="1933"/>
      <c r="O14" s="1932"/>
      <c r="P14" s="1932"/>
      <c r="Q14" s="1932"/>
      <c r="R14" s="1932"/>
      <c r="S14" s="1932"/>
      <c r="T14" s="1932"/>
      <c r="U14" s="1932"/>
      <c r="V14" s="1932"/>
      <c r="W14" s="1934"/>
      <c r="X14" s="1932"/>
    </row>
    <row r="15" spans="2:25" s="1367" customFormat="1" ht="17">
      <c r="B15" s="1370">
        <v>4</v>
      </c>
      <c r="C15" s="1370" t="s">
        <v>3551</v>
      </c>
      <c r="D15" s="2049" t="str">
        <f>Dictionary!B73</f>
        <v>Selbstbewertung</v>
      </c>
      <c r="E15" s="2049"/>
      <c r="F15" s="2049"/>
      <c r="G15" s="1373"/>
      <c r="H15" s="1373"/>
      <c r="I15" s="1373"/>
      <c r="J15" s="1373"/>
      <c r="K15" s="1373"/>
      <c r="N15" s="1933"/>
      <c r="O15" s="1932"/>
      <c r="P15" s="1932"/>
      <c r="Q15" s="1932"/>
      <c r="R15" s="1932"/>
      <c r="S15" s="1932"/>
      <c r="T15" s="1932"/>
      <c r="U15" s="1932"/>
      <c r="V15" s="1932"/>
      <c r="W15" s="1934"/>
      <c r="X15" s="1932"/>
    </row>
    <row r="16" spans="2:25" s="1367" customFormat="1" ht="17">
      <c r="B16" s="1370">
        <v>5</v>
      </c>
      <c r="C16" s="1485" t="s">
        <v>3586</v>
      </c>
      <c r="D16" s="2049" t="str">
        <f>Dictionary!B78</f>
        <v>Nur Rezertifizierung: Weiterbildung für Lern- und Studientätigkeiten</v>
      </c>
      <c r="E16" s="2049"/>
      <c r="F16" s="2049"/>
      <c r="G16" s="1373"/>
      <c r="H16" s="1373"/>
      <c r="I16" s="1373"/>
      <c r="J16" s="1373"/>
      <c r="K16" s="1373"/>
      <c r="N16" s="1933"/>
      <c r="O16" s="1932"/>
      <c r="P16" s="1932"/>
      <c r="Q16" s="1932"/>
      <c r="R16" s="1932"/>
      <c r="S16" s="1932"/>
      <c r="T16" s="1932"/>
      <c r="U16" s="1932"/>
      <c r="V16" s="1932"/>
      <c r="W16" s="1934"/>
      <c r="X16" s="1932"/>
    </row>
    <row r="17" spans="2:24" s="1367" customFormat="1" ht="17">
      <c r="B17" s="1370">
        <v>6</v>
      </c>
      <c r="C17" s="1486" t="s">
        <v>3587</v>
      </c>
      <c r="D17" s="2049" t="str">
        <f>Dictionary!B81</f>
        <v>Nur Rezertifizierung: Weiterbildung für Lehr- und Vortragstätigkeiten</v>
      </c>
      <c r="E17" s="2049"/>
      <c r="F17" s="2049"/>
      <c r="G17" s="1373"/>
      <c r="H17" s="1373"/>
      <c r="I17" s="1373"/>
      <c r="J17" s="1373"/>
      <c r="K17" s="1373"/>
      <c r="N17" s="1933"/>
      <c r="O17" s="1932"/>
      <c r="P17" s="1932"/>
      <c r="Q17" s="1932"/>
      <c r="R17" s="1932"/>
      <c r="S17" s="1932"/>
      <c r="T17" s="1932"/>
      <c r="U17" s="1932"/>
      <c r="V17" s="1932"/>
      <c r="W17" s="1934"/>
      <c r="X17" s="1932"/>
    </row>
    <row r="18" spans="2:24" s="1367" customFormat="1" ht="17">
      <c r="B18" s="1370">
        <v>7</v>
      </c>
      <c r="C18" s="1477" t="s">
        <v>3552</v>
      </c>
      <c r="D18" s="2049" t="str">
        <f>Dictionary!B74</f>
        <v>PM-Erfahrung</v>
      </c>
      <c r="E18" s="2049"/>
      <c r="F18" s="2049"/>
      <c r="G18" s="1373"/>
      <c r="H18" s="1373"/>
      <c r="I18" s="1373"/>
      <c r="J18" s="1373"/>
      <c r="K18" s="1373"/>
      <c r="N18" s="1933"/>
      <c r="O18" s="1932"/>
      <c r="P18" s="1932"/>
      <c r="Q18" s="1932"/>
      <c r="R18" s="1932"/>
      <c r="S18" s="1932"/>
      <c r="T18" s="1932"/>
      <c r="U18" s="1932"/>
      <c r="V18" s="1932"/>
      <c r="W18" s="1934"/>
      <c r="X18" s="1932"/>
    </row>
    <row r="19" spans="2:24" s="1367" customFormat="1" ht="15.75" customHeight="1">
      <c r="B19" s="1370">
        <v>8</v>
      </c>
      <c r="C19" s="1477" t="s">
        <v>3553</v>
      </c>
      <c r="D19" s="2049" t="str">
        <f>Dictionary!B75</f>
        <v>Management-Steckriefe für PM-Erfahrung</v>
      </c>
      <c r="E19" s="2049"/>
      <c r="F19" s="2049"/>
      <c r="G19" s="1476"/>
      <c r="H19" s="1476"/>
      <c r="I19" s="1476"/>
      <c r="J19" s="1476"/>
      <c r="K19" s="1476"/>
      <c r="N19" s="1933"/>
      <c r="O19" s="1932"/>
      <c r="P19" s="1932"/>
      <c r="Q19" s="1932"/>
      <c r="R19" s="1932"/>
      <c r="S19" s="1932"/>
      <c r="T19" s="1932"/>
      <c r="U19" s="1932"/>
      <c r="V19" s="1932"/>
      <c r="W19" s="1934"/>
      <c r="X19" s="1932"/>
    </row>
    <row r="20" spans="2:24" s="1367" customFormat="1" ht="15.75" customHeight="1">
      <c r="B20" s="1370">
        <v>9</v>
      </c>
      <c r="C20" s="1477" t="s">
        <v>3554</v>
      </c>
      <c r="D20" s="2049" t="str">
        <f>Dictionary!B76</f>
        <v>Projektlisten für Erfahrungen in Programmen und Portfolios</v>
      </c>
      <c r="E20" s="2049"/>
      <c r="F20" s="2049"/>
      <c r="G20" s="1476"/>
      <c r="H20" s="1476"/>
      <c r="I20" s="1476"/>
      <c r="J20" s="1476"/>
      <c r="K20" s="1476"/>
      <c r="N20" s="1933"/>
      <c r="O20" s="1932"/>
      <c r="P20" s="1932"/>
      <c r="Q20" s="1932"/>
      <c r="R20" s="1932"/>
      <c r="S20" s="1932"/>
      <c r="T20" s="1932"/>
      <c r="U20" s="1932"/>
      <c r="V20" s="1932"/>
      <c r="W20" s="1934"/>
      <c r="X20" s="1932"/>
    </row>
    <row r="21" spans="2:24" s="1367" customFormat="1" ht="15.75" customHeight="1">
      <c r="B21" s="1370">
        <v>10</v>
      </c>
      <c r="C21" s="1478" t="s">
        <v>3555</v>
      </c>
      <c r="D21" s="2049" t="str">
        <f>Dictionary!B77</f>
        <v>Komplexitätsbewertung für PM-Erfahrung</v>
      </c>
      <c r="E21" s="2049"/>
      <c r="F21" s="2049"/>
      <c r="G21" s="1476"/>
      <c r="H21" s="1476"/>
      <c r="I21" s="1476"/>
      <c r="J21" s="1476"/>
      <c r="K21" s="1476"/>
      <c r="N21" s="1933"/>
      <c r="O21" s="1932"/>
      <c r="P21" s="1932"/>
      <c r="Q21" s="1932"/>
      <c r="R21" s="1932"/>
      <c r="S21" s="1932"/>
      <c r="T21" s="1932"/>
      <c r="U21" s="1932"/>
      <c r="V21" s="1932"/>
      <c r="W21" s="1934"/>
      <c r="X21" s="1932"/>
    </row>
    <row r="22" spans="2:24" s="1367" customFormat="1" hidden="1">
      <c r="B22" s="1370">
        <v>10</v>
      </c>
      <c r="C22" s="1485"/>
      <c r="D22" s="2049"/>
      <c r="E22" s="2049"/>
      <c r="F22" s="2049"/>
      <c r="G22" s="1476"/>
      <c r="H22" s="1476"/>
      <c r="I22" s="1476"/>
      <c r="J22" s="1476"/>
      <c r="K22" s="1476"/>
      <c r="N22" s="1933"/>
      <c r="O22" s="1932"/>
      <c r="P22" s="1932"/>
      <c r="Q22" s="1932"/>
      <c r="R22" s="1932"/>
      <c r="S22" s="1932"/>
      <c r="T22" s="1932"/>
      <c r="U22" s="1932"/>
      <c r="V22" s="1932"/>
      <c r="W22" s="1934"/>
      <c r="X22" s="1932"/>
    </row>
    <row r="23" spans="2:24" s="1367" customFormat="1" hidden="1">
      <c r="B23" s="1370">
        <v>11</v>
      </c>
      <c r="C23" s="1485"/>
      <c r="D23" s="2049"/>
      <c r="E23" s="2049"/>
      <c r="F23" s="2049"/>
      <c r="G23" s="1476"/>
      <c r="H23" s="1476"/>
      <c r="I23" s="1476"/>
      <c r="J23" s="1476"/>
      <c r="K23" s="1476"/>
      <c r="N23" s="1933"/>
      <c r="O23" s="1932"/>
      <c r="P23" s="1932"/>
      <c r="Q23" s="1932"/>
      <c r="R23" s="1932"/>
      <c r="S23" s="1932"/>
      <c r="T23" s="1932"/>
      <c r="U23" s="1932"/>
      <c r="V23" s="1932"/>
      <c r="W23" s="1934"/>
      <c r="X23" s="1932"/>
    </row>
    <row r="24" spans="2:24" s="1367" customFormat="1">
      <c r="B24" s="1475"/>
      <c r="C24" s="1370"/>
      <c r="D24" s="1479"/>
      <c r="E24" s="1480"/>
      <c r="F24" s="1480"/>
      <c r="G24" s="1408"/>
      <c r="H24" s="1408"/>
      <c r="I24" s="1408"/>
      <c r="J24" s="1408"/>
      <c r="K24" s="1408"/>
      <c r="N24" s="1933"/>
      <c r="O24" s="1932"/>
      <c r="P24" s="1932"/>
      <c r="Q24" s="1932"/>
      <c r="R24" s="1932"/>
      <c r="S24" s="1932"/>
      <c r="T24" s="1932"/>
      <c r="U24" s="1932"/>
      <c r="V24" s="1932"/>
      <c r="W24" s="1934"/>
      <c r="X24" s="1932"/>
    </row>
    <row r="25" spans="2:24" ht="17.25" customHeight="1">
      <c r="B25" s="1376"/>
      <c r="C25" s="2057"/>
      <c r="D25" s="2057"/>
      <c r="E25" s="2057"/>
      <c r="F25" s="2057"/>
      <c r="G25" s="2057"/>
      <c r="H25" s="2057"/>
      <c r="I25" s="2057"/>
      <c r="J25" s="2057"/>
      <c r="K25" s="2057"/>
      <c r="N25" s="1933"/>
      <c r="O25" s="1932"/>
      <c r="P25" s="1932"/>
      <c r="Q25" s="1932"/>
      <c r="R25" s="1932"/>
      <c r="S25" s="1932"/>
      <c r="T25" s="1932"/>
      <c r="U25" s="1932"/>
      <c r="V25" s="1932"/>
      <c r="W25" s="1934"/>
      <c r="X25" s="1932"/>
    </row>
    <row r="26" spans="2:24" ht="17.25" customHeight="1">
      <c r="B26" s="2051" t="str">
        <f>Dictionary!B58</f>
        <v>Vorgehen</v>
      </c>
      <c r="C26" s="2051"/>
      <c r="D26" s="1368"/>
      <c r="E26" s="1369"/>
      <c r="F26" s="1369"/>
      <c r="G26" s="1369"/>
      <c r="H26" s="1369"/>
      <c r="I26" s="1369"/>
      <c r="J26" s="1369"/>
      <c r="K26" s="1369"/>
      <c r="N26" s="1935"/>
      <c r="O26" s="1928"/>
      <c r="P26" s="1928"/>
      <c r="Q26" s="1928"/>
      <c r="R26" s="1928"/>
      <c r="S26" s="1928"/>
      <c r="T26" s="1928"/>
      <c r="U26" s="1928"/>
      <c r="V26" s="1928"/>
      <c r="W26" s="1936"/>
      <c r="X26" s="1928"/>
    </row>
    <row r="27" spans="2:24" ht="24" customHeight="1">
      <c r="B27" s="1378" t="str">
        <f>Dictionary!B84</f>
        <v>Schritt</v>
      </c>
      <c r="C27" s="1379" t="str">
        <f>Dictionary!B85</f>
        <v>Arbeitsblatt</v>
      </c>
      <c r="D27" s="1379" t="str">
        <f>Dictionary!B86</f>
        <v>Sichtbar</v>
      </c>
      <c r="E27" s="1380" t="str">
        <f>Dictionary!B87</f>
        <v>Dokumentations-Funktion</v>
      </c>
      <c r="F27" s="1380" t="str">
        <f>Dictionary!B88</f>
        <v>Erforderlich</v>
      </c>
      <c r="G27" s="1381" t="str">
        <f>Dictionary!B89</f>
        <v>Anweisung</v>
      </c>
      <c r="H27" s="1382"/>
      <c r="I27" s="1382"/>
      <c r="J27" s="1382"/>
      <c r="K27" s="1382"/>
      <c r="N27" s="1935"/>
      <c r="O27" s="1928"/>
      <c r="P27" s="1928"/>
      <c r="Q27" s="1928"/>
      <c r="R27" s="1928"/>
      <c r="S27" s="1928"/>
      <c r="T27" s="1928"/>
      <c r="U27" s="1928"/>
      <c r="V27" s="1928"/>
      <c r="W27" s="1936"/>
      <c r="X27" s="1928"/>
    </row>
    <row r="28" spans="2:24" ht="35.25" customHeight="1">
      <c r="B28" s="1370">
        <v>1</v>
      </c>
      <c r="C28" s="1371" t="s">
        <v>3575</v>
      </c>
      <c r="D28" s="1371" t="str">
        <f>Dictionary!B137</f>
        <v>immer</v>
      </c>
      <c r="E28" s="1371" t="str">
        <f>Dictionary!B122</f>
        <v>Allgemeine Angaben</v>
      </c>
      <c r="F28" s="1371" t="str">
        <f>Dictionary!B107</f>
        <v>ja</v>
      </c>
      <c r="G28" s="2056" t="str">
        <f>Dictionary!B91</f>
        <v>Füllen Sie die Angaben auf dem Deckblatt aus.</v>
      </c>
      <c r="H28" s="2056"/>
      <c r="I28" s="2056"/>
      <c r="J28" s="2056"/>
      <c r="K28" s="2056"/>
      <c r="N28" s="1935"/>
      <c r="O28" s="1928"/>
      <c r="P28" s="1928"/>
      <c r="Q28" s="1928"/>
      <c r="R28" s="1928"/>
      <c r="S28" s="1928"/>
      <c r="T28" s="1928"/>
      <c r="U28" s="1928"/>
      <c r="V28" s="1928"/>
      <c r="W28" s="1936"/>
      <c r="X28" s="1928"/>
    </row>
    <row r="29" spans="2:24" ht="71.25" customHeight="1">
      <c r="B29" s="1370">
        <v>2</v>
      </c>
      <c r="C29" s="1371" t="s">
        <v>3575</v>
      </c>
      <c r="D29" s="1371" t="str">
        <f>Dictionary!B137</f>
        <v>immer</v>
      </c>
      <c r="E29" s="1373" t="str">
        <f>Dictionary!B33</f>
        <v>Dateinamen erzeugen und speichern</v>
      </c>
      <c r="F29" s="1371" t="str">
        <f>Dictionary!B107</f>
        <v>ja</v>
      </c>
      <c r="G29" s="2066" t="str">
        <f>Dictionary!B36</f>
        <v>Format des Dateinamens:
F01_V02R24_[I=Erstzert, R=ReZert, U=Upgrade]_[Level]_[Domäne]_[Familien-Name]_[Name]_DOB[Geburtsdatum in JJJJMMTT]-V[IHRE VERSIONSNUMMER]</v>
      </c>
      <c r="H29" s="2066"/>
      <c r="I29" s="2066"/>
      <c r="J29" s="2066"/>
      <c r="K29" s="2066"/>
      <c r="N29" s="1935"/>
      <c r="O29" s="1928"/>
      <c r="P29" s="1928"/>
      <c r="Q29" s="1928"/>
      <c r="R29" s="1928"/>
      <c r="S29" s="1928"/>
      <c r="T29" s="1928"/>
      <c r="U29" s="1928"/>
      <c r="V29" s="1928"/>
      <c r="W29" s="1936"/>
      <c r="X29" s="1928"/>
    </row>
    <row r="30" spans="2:24" ht="48.75" customHeight="1">
      <c r="B30" s="1370">
        <v>3</v>
      </c>
      <c r="C30" s="1371" t="s">
        <v>3575</v>
      </c>
      <c r="D30" s="1371" t="str">
        <f>Dictionary!B138</f>
        <v>immer</v>
      </c>
      <c r="E30" s="1371" t="str">
        <f>Dictionary!B123</f>
        <v>Rechnungsanschrift</v>
      </c>
      <c r="F30" s="1371" t="str">
        <f>Dictionary!B108</f>
        <v>optional</v>
      </c>
      <c r="G30" s="2056" t="str">
        <f>Dictionary!B93</f>
        <v>Falls Sie eine andere Rechnungsanschrift als die in der Anmeldung angegebenen Adresse wünschen, wählen Sie oben Rechts bei "Rechnungsanschrift" (Zelle L5) die Option "Abweichende Anschrift" aus.</v>
      </c>
      <c r="H30" s="2056"/>
      <c r="I30" s="2056"/>
      <c r="J30" s="2056"/>
      <c r="K30" s="2056"/>
      <c r="N30" s="1935"/>
      <c r="O30" s="2047" t="s">
        <v>4204</v>
      </c>
      <c r="P30" s="2048"/>
      <c r="Q30" s="2048"/>
      <c r="R30" s="2048"/>
      <c r="S30" s="2048"/>
      <c r="T30" s="2048"/>
      <c r="U30" s="2048"/>
      <c r="V30" s="2048"/>
      <c r="W30" s="1936"/>
      <c r="X30" s="1928"/>
    </row>
    <row r="31" spans="2:24" ht="48.75" customHeight="1">
      <c r="B31" s="1370">
        <v>5</v>
      </c>
      <c r="C31" s="1371" t="s">
        <v>3576</v>
      </c>
      <c r="D31" s="1371" t="str">
        <f>Dictionary!B140</f>
        <v>falls erforderlich</v>
      </c>
      <c r="E31" s="1371" t="str">
        <f>Dictionary!B125</f>
        <v>Referenzen</v>
      </c>
      <c r="F31" s="1371" t="str">
        <f>Dictionary!B110</f>
        <v>ja</v>
      </c>
      <c r="G31" s="2056" t="str">
        <f>Dictionary!B95</f>
        <v>Machen Sie Angaben zu Ihren Referenzpersonen. Achtung: Sie benötigen das Einverständnis Ihrer Referenzpersonen zur Weitergabe deren Kontaktdaten.</v>
      </c>
      <c r="H31" s="2056"/>
      <c r="I31" s="2056"/>
      <c r="J31" s="2056"/>
      <c r="K31" s="2056"/>
      <c r="N31" s="1935"/>
      <c r="O31" s="2048"/>
      <c r="P31" s="2048"/>
      <c r="Q31" s="2048"/>
      <c r="R31" s="2048"/>
      <c r="S31" s="2048"/>
      <c r="T31" s="2048"/>
      <c r="U31" s="2048"/>
      <c r="V31" s="2048"/>
      <c r="W31" s="1936"/>
      <c r="X31" s="1928"/>
    </row>
    <row r="32" spans="2:24" ht="48.75" customHeight="1">
      <c r="B32" s="1370">
        <v>6</v>
      </c>
      <c r="C32" s="1371" t="s">
        <v>3577</v>
      </c>
      <c r="D32" s="1371" t="str">
        <f>Dictionary!B141</f>
        <v>falls erforderlich</v>
      </c>
      <c r="E32" s="1371" t="str">
        <f>Dictionary!B126</f>
        <v>Vorhandenes Zertifikat</v>
      </c>
      <c r="F32" s="1371" t="str">
        <f>Dictionary!B111</f>
        <v>für Re-Zert und Höherzert.</v>
      </c>
      <c r="G32" s="2056" t="str">
        <f>Dictionary!B96</f>
        <v>Machen Sie ggf. Angaben zu Ihrem vorhandenen Zertifikat (falls Sie bereits eins haben).</v>
      </c>
      <c r="H32" s="2056"/>
      <c r="I32" s="2056"/>
      <c r="J32" s="2056"/>
      <c r="K32" s="2056"/>
      <c r="N32" s="1935"/>
      <c r="O32" s="2048"/>
      <c r="P32" s="2048"/>
      <c r="Q32" s="2048"/>
      <c r="R32" s="2048"/>
      <c r="S32" s="2048"/>
      <c r="T32" s="2048"/>
      <c r="U32" s="2048"/>
      <c r="V32" s="2048"/>
      <c r="W32" s="1936"/>
      <c r="X32" s="1928"/>
    </row>
    <row r="33" spans="2:24" ht="48.75" customHeight="1">
      <c r="B33" s="1370">
        <v>7</v>
      </c>
      <c r="C33" s="1373" t="s">
        <v>3578</v>
      </c>
      <c r="D33" s="1371" t="str">
        <f>Dictionary!B142</f>
        <v>immer</v>
      </c>
      <c r="E33" s="1371" t="str">
        <f>Dictionary!B127</f>
        <v>Selbsteinschätzung</v>
      </c>
      <c r="F33" s="1371" t="str">
        <f>Dictionary!B112</f>
        <v>ja</v>
      </c>
      <c r="G33" s="2056" t="str">
        <f>Dictionary!B97</f>
        <v>Machen Sie Angaben zu jedem IPMA CE, wie Sie sich selbst anhand der 3 Kompetenzstufen einschätzen.</v>
      </c>
      <c r="H33" s="2056"/>
      <c r="I33" s="2056"/>
      <c r="J33" s="2056"/>
      <c r="K33" s="2056"/>
      <c r="N33" s="1935"/>
      <c r="O33" s="2048"/>
      <c r="P33" s="2048"/>
      <c r="Q33" s="2048"/>
      <c r="R33" s="2048"/>
      <c r="S33" s="2048"/>
      <c r="T33" s="2048"/>
      <c r="U33" s="2048"/>
      <c r="V33" s="2048"/>
      <c r="W33" s="1936"/>
      <c r="X33" s="1928"/>
    </row>
    <row r="34" spans="2:24" ht="48.75" customHeight="1">
      <c r="B34" s="1370">
        <v>8</v>
      </c>
      <c r="C34" s="1373" t="s">
        <v>3588</v>
      </c>
      <c r="D34" s="1371" t="str">
        <f>Dictionary!B147</f>
        <v>nur Re-Zert</v>
      </c>
      <c r="E34" s="1371" t="str">
        <f>Dictionary!B132</f>
        <v>Erhaltene Weiterbildung</v>
      </c>
      <c r="F34" s="1371" t="str">
        <f>Dictionary!B117</f>
        <v>Re-Zert</v>
      </c>
      <c r="G34" s="2056" t="str">
        <f>Dictionary!B102</f>
        <v>Machen Sie Angeben zu allen Weiterbildungselementen, welche Sie erhalten haben. Z.B. Kurse, die Sie besucht haben, oder Bücher, die Sie gelesen haben. Stellen Sie einen Bezug her zu relevanten CE/KCI, und beachten Sie dabi die Angaben für Level D im Leitfaden IPMA® Level D Rezertifizierung und für Level CBA im Leitfaden IPMA® Level CBA Rezertifizierung.</v>
      </c>
      <c r="H34" s="2056"/>
      <c r="I34" s="2056"/>
      <c r="J34" s="2056"/>
      <c r="K34" s="2056"/>
      <c r="N34" s="1935"/>
      <c r="O34" s="2048"/>
      <c r="P34" s="2048"/>
      <c r="Q34" s="2048"/>
      <c r="R34" s="2048"/>
      <c r="S34" s="2048"/>
      <c r="T34" s="2048"/>
      <c r="U34" s="2048"/>
      <c r="V34" s="2048"/>
      <c r="W34" s="1936"/>
      <c r="X34" s="1928"/>
    </row>
    <row r="35" spans="2:24" ht="48.75" customHeight="1">
      <c r="B35" s="1370">
        <v>9</v>
      </c>
      <c r="C35" s="1373" t="s">
        <v>3589</v>
      </c>
      <c r="D35" s="1371" t="str">
        <f>Dictionary!B150</f>
        <v>nur Re-Zert</v>
      </c>
      <c r="E35" s="1371" t="str">
        <f>Dictionary!B135</f>
        <v>Gegebene Weiterbildung</v>
      </c>
      <c r="F35" s="1371" t="str">
        <f>Dictionary!B120</f>
        <v>Re-Zert</v>
      </c>
      <c r="G35" s="2056" t="str">
        <f>Dictionary!B105</f>
        <v>Machen Sie Angeben zu allen Weiterbildungselementen, welche Sie gegeben haben. Z.B. Kurse und Vorträge, die Sie gehalten haben, oder Bücher, die Sie geschrieben haben. Bitte beachten Sie dabei die Angaben für Level D im Leitfaden IPMA® Level D Rezertifizierung und für Level CBA im Leitfaden IPMA® Level CBA Rezertifizierung.</v>
      </c>
      <c r="H35" s="2056"/>
      <c r="I35" s="2056"/>
      <c r="J35" s="2056"/>
      <c r="K35" s="2056"/>
      <c r="N35" s="1935"/>
      <c r="O35" s="2048"/>
      <c r="P35" s="2048"/>
      <c r="Q35" s="2048"/>
      <c r="R35" s="2048"/>
      <c r="S35" s="2048"/>
      <c r="T35" s="2048"/>
      <c r="U35" s="2048"/>
      <c r="V35" s="2048"/>
      <c r="W35" s="1936"/>
      <c r="X35" s="1928"/>
    </row>
    <row r="36" spans="2:24" ht="48.75" customHeight="1">
      <c r="B36" s="1370">
        <v>10</v>
      </c>
      <c r="C36" s="1373" t="s">
        <v>3579</v>
      </c>
      <c r="D36" s="1371" t="str">
        <f>Dictionary!B143</f>
        <v>falls erforderlich</v>
      </c>
      <c r="E36" s="1371" t="str">
        <f>Dictionary!B128</f>
        <v>Erfahrung im Projektmanagement</v>
      </c>
      <c r="F36" s="1371" t="str">
        <f>Dictionary!B113</f>
        <v>Level C-A, Re-Zert</v>
      </c>
      <c r="G36" s="2056" t="str">
        <f>Dictionary!B98</f>
        <v>Tragen Sie jede PM-Rolle, für die Sie Management-Erfahrung angerechnet haben möchten, ein entsprechendes Teilprojekt, Projekt, Portfolio, oder Programm in die Liste ein. Start- und Enddatum bezieht sich auf die in Spalte H angegebene Rolle.</v>
      </c>
      <c r="H36" s="2056"/>
      <c r="I36" s="2056"/>
      <c r="J36" s="2056"/>
      <c r="K36" s="2056"/>
      <c r="N36" s="1935"/>
      <c r="O36" s="2048"/>
      <c r="P36" s="2048"/>
      <c r="Q36" s="2048"/>
      <c r="R36" s="2048"/>
      <c r="S36" s="2048"/>
      <c r="T36" s="2048"/>
      <c r="U36" s="2048"/>
      <c r="V36" s="2048"/>
      <c r="W36" s="1936"/>
      <c r="X36" s="1928"/>
    </row>
    <row r="37" spans="2:24" ht="48.75" customHeight="1">
      <c r="B37" s="1370">
        <v>11</v>
      </c>
      <c r="C37" s="1373" t="s">
        <v>3296</v>
      </c>
      <c r="D37" s="1371" t="str">
        <f>Dictionary!B144</f>
        <v>falls erforderlich</v>
      </c>
      <c r="E37" s="1371" t="str">
        <f>Dictionary!B129</f>
        <v>Projektsteckbrief</v>
      </c>
      <c r="F37" s="1371" t="str">
        <f>Dictionary!B114</f>
        <v>Level C-A, Re-Zert</v>
      </c>
      <c r="G37" s="2056" t="str">
        <f>Dictionary!B99</f>
        <v xml:space="preserve">Für jedes Projekt, Portfolio, oder Programm, welches Sie in die Projekteliste eingetragen haben, erscheint ein Steckbrief, welcher vollständig ausgefüllt werden muss. </v>
      </c>
      <c r="H37" s="2056"/>
      <c r="I37" s="2056"/>
      <c r="J37" s="2056"/>
      <c r="K37" s="2056"/>
      <c r="N37" s="1935"/>
      <c r="O37" s="2048"/>
      <c r="P37" s="2048"/>
      <c r="Q37" s="2048"/>
      <c r="R37" s="2048"/>
      <c r="S37" s="2048"/>
      <c r="T37" s="2048"/>
      <c r="U37" s="2048"/>
      <c r="V37" s="2048"/>
      <c r="W37" s="1936"/>
      <c r="X37" s="1928"/>
    </row>
    <row r="38" spans="2:24" ht="48.75" customHeight="1">
      <c r="B38" s="1370">
        <v>12</v>
      </c>
      <c r="C38" s="1373" t="s">
        <v>3298</v>
      </c>
      <c r="D38" s="1371" t="str">
        <f>Dictionary!B145</f>
        <v>falls erforderlich</v>
      </c>
      <c r="E38" s="1371" t="str">
        <f>Dictionary!B130</f>
        <v>Komplexitätseinschätzung</v>
      </c>
      <c r="F38" s="1371" t="str">
        <f>Dictionary!B115</f>
        <v>Level C-A, Re-Zert</v>
      </c>
      <c r="G38" s="2056" t="str">
        <f>Dictionary!B100</f>
        <v>Für jedes Teilprojekt, Projekt, Portfolio, oder Programm, welches Sie in die Projekteliste eingetragen haben, erscheint ein Arbeitsblatt zur Komplexitätseinschätzung, welches vollständig ausgefüllt werden muss.</v>
      </c>
      <c r="H38" s="2056"/>
      <c r="I38" s="2056"/>
      <c r="J38" s="2056"/>
      <c r="K38" s="2056"/>
      <c r="N38" s="1935"/>
      <c r="O38" s="2048"/>
      <c r="P38" s="2048"/>
      <c r="Q38" s="2048"/>
      <c r="R38" s="2048"/>
      <c r="S38" s="2048"/>
      <c r="T38" s="2048"/>
      <c r="U38" s="2048"/>
      <c r="V38" s="2048"/>
      <c r="W38" s="1936"/>
      <c r="X38" s="1928"/>
    </row>
    <row r="39" spans="2:24" ht="48.75" customHeight="1">
      <c r="B39" s="1370">
        <v>13</v>
      </c>
      <c r="C39" s="1373" t="s">
        <v>3321</v>
      </c>
      <c r="D39" s="1371" t="str">
        <f>Dictionary!B146</f>
        <v>falls erforderlich</v>
      </c>
      <c r="E39" s="1371" t="str">
        <f>Dictionary!B131</f>
        <v>Komplexitätseinschätzung</v>
      </c>
      <c r="F39" s="1371" t="str">
        <f>Dictionary!B116</f>
        <v>Level B-A, Re-Zert</v>
      </c>
      <c r="G39" s="2056" t="str">
        <f>Dictionary!B101</f>
        <v>Für jedes Portfolio, oder Programm, welches Sie in die Projekteliste eingetragen haben, erscheint ein Arbeitsblatt mit einer Liste von Komponentenprojekten, welches vollständig ausgefüllt werden muss.</v>
      </c>
      <c r="H39" s="2056"/>
      <c r="I39" s="2056"/>
      <c r="J39" s="2056"/>
      <c r="K39" s="2056"/>
      <c r="N39" s="1935"/>
      <c r="O39" s="2048"/>
      <c r="P39" s="2048"/>
      <c r="Q39" s="2048"/>
      <c r="R39" s="2048"/>
      <c r="S39" s="2048"/>
      <c r="T39" s="2048"/>
      <c r="U39" s="2048"/>
      <c r="V39" s="2048"/>
      <c r="W39" s="1936"/>
      <c r="X39" s="1928"/>
    </row>
    <row r="40" spans="2:24" ht="35.25" hidden="1" customHeight="1">
      <c r="B40" s="1370">
        <v>13</v>
      </c>
      <c r="C40" s="1373" t="s">
        <v>2009</v>
      </c>
      <c r="D40" s="1371" t="str">
        <f>Dictionary!B148</f>
        <v>nur Re-Zert</v>
      </c>
      <c r="E40" s="1371" t="str">
        <f>Dictionary!B133</f>
        <v>Zusammenfassung von Fernstudiums-Kursen</v>
      </c>
      <c r="F40" s="1371" t="str">
        <f>Dictionary!B118</f>
        <v>Re-Zert</v>
      </c>
      <c r="G40" s="2056" t="str">
        <f>Dictionary!B103</f>
        <v>Geben Sie Kurz-Zusammenfassungen von Kursen an, welche Sie nicht persönlich, sondern online besucht haben. Stellen Sie einen Bezug zu den relevanten CE und KCI her.</v>
      </c>
      <c r="H40" s="2056"/>
      <c r="I40" s="2056"/>
      <c r="J40" s="2056"/>
      <c r="K40" s="2056"/>
      <c r="N40" s="1935"/>
      <c r="O40" s="2048"/>
      <c r="P40" s="2048"/>
      <c r="Q40" s="2048"/>
      <c r="R40" s="2048"/>
      <c r="S40" s="2048"/>
      <c r="T40" s="2048"/>
      <c r="U40" s="2048"/>
      <c r="V40" s="2048"/>
      <c r="W40" s="1936"/>
      <c r="X40" s="1928"/>
    </row>
    <row r="41" spans="2:24" ht="35.25" hidden="1" customHeight="1">
      <c r="B41" s="1370">
        <v>14</v>
      </c>
      <c r="C41" s="1373" t="s">
        <v>2013</v>
      </c>
      <c r="D41" s="1371" t="str">
        <f>Dictionary!B149</f>
        <v>nur Re-Zert</v>
      </c>
      <c r="E41" s="1371" t="str">
        <f>Dictionary!B134</f>
        <v>Literaturkospekte</v>
      </c>
      <c r="F41" s="1371" t="str">
        <f>Dictionary!B119</f>
        <v>Re-Zert</v>
      </c>
      <c r="G41" s="2056" t="str">
        <f>Dictionary!B104</f>
        <v>Geben Sie Kurz-Zusammenfassungen von Büchern, Kapiteln, und Magazinen an, welche Sie gelesen haben. Stellen Sie einen Bezug zu den relevanten CE und KCI her.</v>
      </c>
      <c r="H41" s="2056"/>
      <c r="I41" s="2056"/>
      <c r="J41" s="2056"/>
      <c r="K41" s="2056"/>
      <c r="N41" s="1935"/>
      <c r="O41" s="2048"/>
      <c r="P41" s="2048"/>
      <c r="Q41" s="2048"/>
      <c r="R41" s="2048"/>
      <c r="S41" s="2048"/>
      <c r="T41" s="2048"/>
      <c r="U41" s="2048"/>
      <c r="V41" s="2048"/>
      <c r="W41" s="1936"/>
      <c r="X41" s="1928"/>
    </row>
    <row r="42" spans="2:24" ht="35.25" hidden="1" customHeight="1">
      <c r="B42" s="1370">
        <v>15</v>
      </c>
      <c r="C42" s="1373"/>
      <c r="D42" s="1373"/>
      <c r="E42" s="1373"/>
      <c r="F42" s="1373"/>
      <c r="G42" s="2056"/>
      <c r="H42" s="2056"/>
      <c r="I42" s="2056"/>
      <c r="J42" s="2056"/>
      <c r="K42" s="2056"/>
      <c r="N42" s="1935"/>
      <c r="O42" s="2048"/>
      <c r="P42" s="2048"/>
      <c r="Q42" s="2048"/>
      <c r="R42" s="2048"/>
      <c r="S42" s="2048"/>
      <c r="T42" s="2048"/>
      <c r="U42" s="2048"/>
      <c r="V42" s="2048"/>
      <c r="W42" s="1936"/>
      <c r="X42" s="1928"/>
    </row>
    <row r="43" spans="2:24" ht="35.25" hidden="1" customHeight="1">
      <c r="B43" s="1370">
        <v>16</v>
      </c>
      <c r="C43" s="1373"/>
      <c r="D43" s="1373"/>
      <c r="E43" s="1373"/>
      <c r="F43" s="1373"/>
      <c r="G43" s="2056"/>
      <c r="H43" s="2056"/>
      <c r="I43" s="2056"/>
      <c r="J43" s="2056"/>
      <c r="K43" s="2056"/>
      <c r="N43" s="1935"/>
      <c r="O43" s="2048"/>
      <c r="P43" s="2048"/>
      <c r="Q43" s="2048"/>
      <c r="R43" s="2048"/>
      <c r="S43" s="2048"/>
      <c r="T43" s="2048"/>
      <c r="U43" s="2048"/>
      <c r="V43" s="2048"/>
      <c r="W43" s="1936"/>
      <c r="X43" s="1928"/>
    </row>
    <row r="44" spans="2:24" ht="35.25" hidden="1" customHeight="1">
      <c r="B44" s="1370">
        <v>17</v>
      </c>
      <c r="C44" s="1373"/>
      <c r="D44" s="1373"/>
      <c r="E44" s="1373"/>
      <c r="F44" s="1373"/>
      <c r="G44" s="2056"/>
      <c r="H44" s="2056"/>
      <c r="I44" s="2056"/>
      <c r="J44" s="2056"/>
      <c r="K44" s="2056"/>
      <c r="N44" s="1935"/>
      <c r="O44" s="2048"/>
      <c r="P44" s="2048"/>
      <c r="Q44" s="2048"/>
      <c r="R44" s="2048"/>
      <c r="S44" s="2048"/>
      <c r="T44" s="2048"/>
      <c r="U44" s="2048"/>
      <c r="V44" s="2048"/>
      <c r="W44" s="1936"/>
      <c r="X44" s="1928"/>
    </row>
    <row r="45" spans="2:24" ht="35.25" hidden="1" customHeight="1">
      <c r="B45" s="1370">
        <v>18</v>
      </c>
      <c r="C45" s="1373"/>
      <c r="D45" s="1373"/>
      <c r="E45" s="1373"/>
      <c r="F45" s="1373"/>
      <c r="G45" s="2056"/>
      <c r="H45" s="2056"/>
      <c r="I45" s="2056"/>
      <c r="J45" s="2056"/>
      <c r="K45" s="2056"/>
      <c r="N45" s="1935"/>
      <c r="O45" s="2048"/>
      <c r="P45" s="2048"/>
      <c r="Q45" s="2048"/>
      <c r="R45" s="2048"/>
      <c r="S45" s="2048"/>
      <c r="T45" s="2048"/>
      <c r="U45" s="2048"/>
      <c r="V45" s="2048"/>
      <c r="W45" s="1936"/>
      <c r="X45" s="1928"/>
    </row>
    <row r="46" spans="2:24" ht="35.25" hidden="1" customHeight="1">
      <c r="B46" s="1370">
        <v>19</v>
      </c>
      <c r="C46" s="1373"/>
      <c r="D46" s="1373"/>
      <c r="E46" s="1373"/>
      <c r="F46" s="1373"/>
      <c r="G46" s="2056"/>
      <c r="H46" s="2056"/>
      <c r="I46" s="2056"/>
      <c r="J46" s="2056"/>
      <c r="K46" s="2056"/>
      <c r="N46" s="1935"/>
      <c r="O46" s="2048"/>
      <c r="P46" s="2048"/>
      <c r="Q46" s="2048"/>
      <c r="R46" s="2048"/>
      <c r="S46" s="2048"/>
      <c r="T46" s="2048"/>
      <c r="U46" s="2048"/>
      <c r="V46" s="2048"/>
      <c r="W46" s="1936"/>
      <c r="X46" s="1928"/>
    </row>
    <row r="47" spans="2:24" ht="35.25" hidden="1" customHeight="1">
      <c r="B47" s="1370">
        <v>20</v>
      </c>
      <c r="C47" s="1373"/>
      <c r="D47" s="1373"/>
      <c r="E47" s="1373"/>
      <c r="F47" s="1373"/>
      <c r="G47" s="2056"/>
      <c r="H47" s="2056"/>
      <c r="I47" s="2056"/>
      <c r="J47" s="2056"/>
      <c r="K47" s="2056"/>
      <c r="N47" s="1935"/>
      <c r="O47" s="2048"/>
      <c r="P47" s="2048"/>
      <c r="Q47" s="2048"/>
      <c r="R47" s="2048"/>
      <c r="S47" s="2048"/>
      <c r="T47" s="2048"/>
      <c r="U47" s="2048"/>
      <c r="V47" s="2048"/>
      <c r="W47" s="1936"/>
      <c r="X47" s="1928"/>
    </row>
    <row r="48" spans="2:24" ht="35.25" hidden="1" customHeight="1">
      <c r="B48" s="1372"/>
      <c r="C48" s="1373"/>
      <c r="D48" s="1373"/>
      <c r="E48" s="1373"/>
      <c r="F48" s="1373"/>
      <c r="G48" s="2056"/>
      <c r="H48" s="2056"/>
      <c r="I48" s="2056"/>
      <c r="J48" s="2056"/>
      <c r="K48" s="2056"/>
      <c r="N48" s="1935"/>
      <c r="O48" s="2048"/>
      <c r="P48" s="2048"/>
      <c r="Q48" s="2048"/>
      <c r="R48" s="2048"/>
      <c r="S48" s="2048"/>
      <c r="T48" s="2048"/>
      <c r="U48" s="2048"/>
      <c r="V48" s="2048"/>
      <c r="W48" s="1936"/>
      <c r="X48" s="1928"/>
    </row>
    <row r="49" spans="2:24" ht="35.25" hidden="1" customHeight="1">
      <c r="B49" s="1372"/>
      <c r="C49" s="1373"/>
      <c r="D49" s="1373"/>
      <c r="E49" s="1373"/>
      <c r="F49" s="1373"/>
      <c r="G49" s="2056"/>
      <c r="H49" s="2056"/>
      <c r="I49" s="2056"/>
      <c r="J49" s="2056"/>
      <c r="K49" s="2056"/>
      <c r="N49" s="1935"/>
      <c r="O49" s="2048"/>
      <c r="P49" s="2048"/>
      <c r="Q49" s="2048"/>
      <c r="R49" s="2048"/>
      <c r="S49" s="2048"/>
      <c r="T49" s="2048"/>
      <c r="U49" s="2048"/>
      <c r="V49" s="2048"/>
      <c r="W49" s="1936"/>
      <c r="X49" s="1928"/>
    </row>
    <row r="50" spans="2:24" ht="35.25" customHeight="1">
      <c r="B50" s="1374"/>
      <c r="C50" s="1375"/>
      <c r="D50" s="1375"/>
      <c r="E50" s="1376"/>
      <c r="F50" s="1376"/>
      <c r="G50" s="2057"/>
      <c r="H50" s="2057"/>
      <c r="I50" s="2057"/>
      <c r="J50" s="2057"/>
      <c r="K50" s="2057"/>
      <c r="N50" s="1935"/>
      <c r="O50" s="2048"/>
      <c r="P50" s="2048"/>
      <c r="Q50" s="2048"/>
      <c r="R50" s="2048"/>
      <c r="S50" s="2048"/>
      <c r="T50" s="2048"/>
      <c r="U50" s="2048"/>
      <c r="V50" s="2048"/>
      <c r="W50" s="1936"/>
      <c r="X50" s="1928"/>
    </row>
    <row r="51" spans="2:24" s="192" customFormat="1" ht="18.75" customHeight="1">
      <c r="B51" s="191"/>
      <c r="C51" s="191"/>
      <c r="D51" s="191"/>
      <c r="E51" s="191"/>
      <c r="F51" s="191"/>
      <c r="G51" s="191"/>
      <c r="H51" s="191"/>
      <c r="I51" s="191"/>
      <c r="J51" s="191"/>
      <c r="K51" s="191"/>
      <c r="N51" s="1935"/>
      <c r="O51" s="2048"/>
      <c r="P51" s="2048"/>
      <c r="Q51" s="2048"/>
      <c r="R51" s="2048"/>
      <c r="S51" s="2048"/>
      <c r="T51" s="2048"/>
      <c r="U51" s="2048"/>
      <c r="V51" s="2048"/>
      <c r="W51" s="1936"/>
      <c r="X51" s="1928"/>
    </row>
    <row r="52" spans="2:24">
      <c r="B52" s="2055"/>
      <c r="C52" s="2055"/>
      <c r="D52" s="2055"/>
      <c r="E52" s="2055"/>
      <c r="F52" s="2055"/>
      <c r="G52" s="2055"/>
      <c r="H52" s="2055"/>
      <c r="I52" s="2055"/>
      <c r="J52" s="2055"/>
      <c r="K52" s="2055"/>
      <c r="N52" s="1937"/>
      <c r="O52" s="2048"/>
      <c r="P52" s="2048"/>
      <c r="Q52" s="2048"/>
      <c r="R52" s="2048"/>
      <c r="S52" s="2048"/>
      <c r="T52" s="2048"/>
      <c r="U52" s="2048"/>
      <c r="V52" s="2048"/>
      <c r="W52" s="1938"/>
      <c r="X52" s="1939"/>
    </row>
    <row r="53" spans="2:24">
      <c r="N53" s="1935"/>
      <c r="O53" s="2048"/>
      <c r="P53" s="2048"/>
      <c r="Q53" s="2048"/>
      <c r="R53" s="2048"/>
      <c r="S53" s="2048"/>
      <c r="T53" s="2048"/>
      <c r="U53" s="2048"/>
      <c r="V53" s="2048"/>
      <c r="W53" s="1936"/>
      <c r="X53" s="1928"/>
    </row>
    <row r="54" spans="2:24" hidden="1">
      <c r="N54" s="1935"/>
      <c r="O54" s="2048"/>
      <c r="P54" s="2048"/>
      <c r="Q54" s="2048"/>
      <c r="R54" s="2048"/>
      <c r="S54" s="2048"/>
      <c r="T54" s="2048"/>
      <c r="U54" s="2048"/>
      <c r="V54" s="2048"/>
      <c r="W54" s="1936"/>
      <c r="X54" s="1928"/>
    </row>
    <row r="55" spans="2:24" hidden="1">
      <c r="I55" s="2059"/>
      <c r="J55" s="2059"/>
      <c r="K55" s="2059"/>
      <c r="N55" s="1935"/>
      <c r="O55" s="2048"/>
      <c r="P55" s="2048"/>
      <c r="Q55" s="2048"/>
      <c r="R55" s="2048"/>
      <c r="S55" s="2048"/>
      <c r="T55" s="2048"/>
      <c r="U55" s="2048"/>
      <c r="V55" s="2048"/>
      <c r="W55" s="1936"/>
      <c r="X55" s="1928"/>
    </row>
    <row r="56" spans="2:24" hidden="1">
      <c r="I56" s="2059"/>
      <c r="J56" s="2059"/>
      <c r="K56" s="2059"/>
      <c r="N56" s="1935"/>
      <c r="O56" s="2048"/>
      <c r="P56" s="2048"/>
      <c r="Q56" s="2048"/>
      <c r="R56" s="2048"/>
      <c r="S56" s="2048"/>
      <c r="T56" s="2048"/>
      <c r="U56" s="2048"/>
      <c r="V56" s="2048"/>
      <c r="W56" s="1936"/>
      <c r="X56" s="1928"/>
    </row>
    <row r="57" spans="2:24" hidden="1">
      <c r="B57" s="2061"/>
      <c r="C57" s="2061"/>
      <c r="D57" s="1366"/>
      <c r="G57" s="2063"/>
      <c r="I57" s="2059"/>
      <c r="J57" s="2059"/>
      <c r="K57" s="2059"/>
      <c r="N57" s="1935"/>
      <c r="O57" s="2048"/>
      <c r="P57" s="2048"/>
      <c r="Q57" s="2048"/>
      <c r="R57" s="2048"/>
      <c r="S57" s="2048"/>
      <c r="T57" s="2048"/>
      <c r="U57" s="2048"/>
      <c r="V57" s="2048"/>
      <c r="W57" s="1936"/>
      <c r="X57" s="1928"/>
    </row>
    <row r="58" spans="2:24" hidden="1">
      <c r="B58" s="2062"/>
      <c r="C58" s="2062"/>
      <c r="D58" s="1366"/>
      <c r="G58" s="2064"/>
      <c r="I58" s="2060"/>
      <c r="J58" s="2060"/>
      <c r="K58" s="2060"/>
      <c r="N58" s="1935"/>
      <c r="O58" s="2048"/>
      <c r="P58" s="2048"/>
      <c r="Q58" s="2048"/>
      <c r="R58" s="2048"/>
      <c r="S58" s="2048"/>
      <c r="T58" s="2048"/>
      <c r="U58" s="2048"/>
      <c r="V58" s="2048"/>
      <c r="W58" s="1936"/>
      <c r="X58" s="1928"/>
    </row>
    <row r="59" spans="2:24" hidden="1">
      <c r="B59" s="2065" t="str">
        <f>Dictionary!B526</f>
        <v>Ort</v>
      </c>
      <c r="C59" s="2065"/>
      <c r="D59" s="435"/>
      <c r="G59" s="196" t="str">
        <f>Dictionary!B527</f>
        <v>Datum</v>
      </c>
      <c r="I59" s="2065" t="str">
        <f>Dictionary!B528</f>
        <v>Unterschrift</v>
      </c>
      <c r="J59" s="2065"/>
      <c r="K59" s="2065"/>
      <c r="N59" s="1935"/>
      <c r="O59" s="2048"/>
      <c r="P59" s="2048"/>
      <c r="Q59" s="2048"/>
      <c r="R59" s="2048"/>
      <c r="S59" s="2048"/>
      <c r="T59" s="2048"/>
      <c r="U59" s="2048"/>
      <c r="V59" s="2048"/>
      <c r="W59" s="1936"/>
      <c r="X59" s="1928"/>
    </row>
    <row r="60" spans="2:24" hidden="1">
      <c r="J60" s="435" t="str">
        <f>COV!E6&amp;", "&amp;COV!E7</f>
        <v xml:space="preserve">, </v>
      </c>
      <c r="N60" s="1935"/>
      <c r="O60" s="2048"/>
      <c r="P60" s="2048"/>
      <c r="Q60" s="2048"/>
      <c r="R60" s="2048"/>
      <c r="S60" s="2048"/>
      <c r="T60" s="2048"/>
      <c r="U60" s="2048"/>
      <c r="V60" s="2048"/>
      <c r="W60" s="1936"/>
      <c r="X60" s="1928"/>
    </row>
    <row r="61" spans="2:24" hidden="1">
      <c r="N61" s="1935"/>
      <c r="O61" s="2048"/>
      <c r="P61" s="2048"/>
      <c r="Q61" s="2048"/>
      <c r="R61" s="2048"/>
      <c r="S61" s="2048"/>
      <c r="T61" s="2048"/>
      <c r="U61" s="2048"/>
      <c r="V61" s="2048"/>
      <c r="W61" s="1936"/>
      <c r="X61" s="1928"/>
    </row>
    <row r="62" spans="2:24">
      <c r="B62" s="190" t="str">
        <f>Dictionary!B529</f>
        <v>Anmerkungen:</v>
      </c>
      <c r="N62" s="1935"/>
      <c r="O62" s="2048"/>
      <c r="P62" s="2048"/>
      <c r="Q62" s="2048"/>
      <c r="R62" s="2048"/>
      <c r="S62" s="2048"/>
      <c r="T62" s="2048"/>
      <c r="U62" s="2048"/>
      <c r="V62" s="2048"/>
      <c r="W62" s="1936"/>
      <c r="X62" s="1928"/>
    </row>
    <row r="63" spans="2:24" ht="18" customHeight="1">
      <c r="B63" s="2052" t="str">
        <f>Dictionary!B530</f>
        <v>1. Die Zustimmung zur Weitergabe der Kontaktdaten Ihrer Referenzpersonen ist eine notwendige Bedingung für die Zulassung zur Zertifizierung.</v>
      </c>
      <c r="C63" s="2052"/>
      <c r="D63" s="2052"/>
      <c r="E63" s="2052"/>
      <c r="F63" s="2052"/>
      <c r="G63" s="2052"/>
      <c r="H63" s="2052"/>
      <c r="I63" s="2052"/>
      <c r="J63" s="2052"/>
      <c r="K63" s="2052"/>
      <c r="N63" s="1935"/>
      <c r="O63" s="2048"/>
      <c r="P63" s="2048"/>
      <c r="Q63" s="2048"/>
      <c r="R63" s="2048"/>
      <c r="S63" s="2048"/>
      <c r="T63" s="2048"/>
      <c r="U63" s="2048"/>
      <c r="V63" s="2048"/>
      <c r="W63" s="1936"/>
      <c r="X63" s="1928"/>
    </row>
    <row r="64" spans="2:24">
      <c r="B64" s="2052" t="str">
        <f>Dictionary!B531</f>
        <v>2. Ein Verstoß gegen diese Bedingung ist ein Verstoß gegen die geltende Datenschutzgrundverordnung (DSGVO) und kann zum Ausschluss vom Zertifizierungsverfahren führen.</v>
      </c>
      <c r="C64" s="2052"/>
      <c r="D64" s="2052"/>
      <c r="E64" s="2052"/>
      <c r="F64" s="2052"/>
      <c r="G64" s="2052"/>
      <c r="H64" s="2052"/>
      <c r="I64" s="2052"/>
      <c r="J64" s="2052"/>
      <c r="K64" s="2052"/>
      <c r="N64" s="1935"/>
      <c r="O64" s="2048"/>
      <c r="P64" s="2048"/>
      <c r="Q64" s="2048"/>
      <c r="R64" s="2048"/>
      <c r="S64" s="2048"/>
      <c r="T64" s="2048"/>
      <c r="U64" s="2048"/>
      <c r="V64" s="2048"/>
      <c r="W64" s="1936"/>
      <c r="X64" s="1928"/>
    </row>
    <row r="65" spans="2:24">
      <c r="B65" s="2053"/>
      <c r="C65" s="2053"/>
      <c r="D65" s="2053"/>
      <c r="E65" s="2053"/>
      <c r="F65" s="2053"/>
      <c r="G65" s="2053"/>
      <c r="H65" s="2053"/>
      <c r="I65" s="2053"/>
      <c r="J65" s="2053"/>
      <c r="N65" s="1935"/>
      <c r="O65" s="2048"/>
      <c r="P65" s="2048"/>
      <c r="Q65" s="2048"/>
      <c r="R65" s="2048"/>
      <c r="S65" s="2048"/>
      <c r="T65" s="2048"/>
      <c r="U65" s="2048"/>
      <c r="V65" s="2048"/>
      <c r="W65" s="1936"/>
      <c r="X65" s="1928"/>
    </row>
    <row r="66" spans="2:24">
      <c r="N66" s="1935"/>
      <c r="O66" s="2048"/>
      <c r="P66" s="2048"/>
      <c r="Q66" s="2048"/>
      <c r="R66" s="2048"/>
      <c r="S66" s="2048"/>
      <c r="T66" s="2048"/>
      <c r="U66" s="2048"/>
      <c r="V66" s="2048"/>
      <c r="W66" s="1936"/>
      <c r="X66" s="1928"/>
    </row>
    <row r="67" spans="2:24">
      <c r="B67" s="2054"/>
      <c r="C67" s="2054"/>
      <c r="D67" s="2054"/>
      <c r="E67" s="2054"/>
      <c r="F67" s="2054"/>
      <c r="G67" s="2054"/>
      <c r="N67" s="1935"/>
      <c r="O67" s="2048"/>
      <c r="P67" s="2048"/>
      <c r="Q67" s="2048"/>
      <c r="R67" s="2048"/>
      <c r="S67" s="2048"/>
      <c r="T67" s="2048"/>
      <c r="U67" s="2048"/>
      <c r="V67" s="2048"/>
      <c r="W67" s="1936"/>
      <c r="X67" s="1928"/>
    </row>
    <row r="68" spans="2:24" ht="17" thickBot="1">
      <c r="B68" s="460"/>
      <c r="C68" s="460"/>
      <c r="D68" s="460"/>
      <c r="E68" s="460"/>
      <c r="F68" s="460"/>
      <c r="G68" s="460"/>
      <c r="H68" s="460"/>
      <c r="I68" s="460"/>
      <c r="J68" s="460"/>
      <c r="K68" s="460"/>
      <c r="N68" s="1935"/>
      <c r="O68" s="2048"/>
      <c r="P68" s="2048"/>
      <c r="Q68" s="2048"/>
      <c r="R68" s="2048"/>
      <c r="S68" s="2048"/>
      <c r="T68" s="2048"/>
      <c r="U68" s="2048"/>
      <c r="V68" s="2048"/>
      <c r="W68" s="1936"/>
      <c r="X68" s="1928"/>
    </row>
    <row r="69" spans="2:24">
      <c r="K69" s="465" t="s">
        <v>105</v>
      </c>
      <c r="N69" s="1935"/>
      <c r="O69" s="1928"/>
      <c r="P69" s="1928"/>
      <c r="Q69" s="1928"/>
      <c r="R69" s="1928"/>
      <c r="S69" s="1928"/>
      <c r="T69" s="1928"/>
      <c r="U69" s="1928"/>
      <c r="V69" s="1928"/>
      <c r="W69" s="1936"/>
    </row>
    <row r="70" spans="2:24">
      <c r="N70" s="1940"/>
      <c r="O70" s="1941"/>
      <c r="P70" s="1941"/>
      <c r="Q70" s="1941"/>
      <c r="R70" s="1941"/>
      <c r="S70" s="1941"/>
      <c r="T70" s="1941"/>
      <c r="U70" s="1941"/>
      <c r="V70" s="1941"/>
      <c r="W70" s="1942"/>
    </row>
    <row r="80" spans="2:24" hidden="1"/>
    <row r="81" spans="2:11" hidden="1"/>
    <row r="82" spans="2:11" hidden="1">
      <c r="B82" s="2058" t="s">
        <v>3235</v>
      </c>
      <c r="C82" s="2058"/>
      <c r="D82" s="2058"/>
      <c r="E82" s="2058"/>
      <c r="F82" s="2058"/>
      <c r="G82" s="2058"/>
      <c r="H82" s="2058"/>
      <c r="I82" s="2058"/>
      <c r="J82" s="2058"/>
      <c r="K82" s="2058"/>
    </row>
    <row r="83" spans="2:11" hidden="1"/>
    <row r="84" spans="2:11" hidden="1">
      <c r="C84" s="1355" t="s">
        <v>229</v>
      </c>
      <c r="D84" s="1355"/>
      <c r="E84" s="1355" t="str">
        <f>Dictionary!B26</f>
        <v>Projekt</v>
      </c>
      <c r="H84" s="1355" t="s">
        <v>3262</v>
      </c>
      <c r="I84" s="1363" t="e">
        <f>IF(#REF!="","",IF(#REF!=APPLICATION_DOM,"","X"))</f>
        <v>#REF!</v>
      </c>
      <c r="J84" s="190" t="e">
        <f>IF(I84="","",Dictionary!B532&amp;CHAR(10))</f>
        <v>#REF!</v>
      </c>
    </row>
    <row r="85" spans="2:11" hidden="1">
      <c r="C85" s="1355" t="s">
        <v>7</v>
      </c>
      <c r="D85" s="1355"/>
      <c r="E85" s="1355" t="e">
        <f>IF(OR(#REF!=C84,#REF!=C85),Dictionary!B27,"")</f>
        <v>#REF!</v>
      </c>
      <c r="H85" s="1355" t="s">
        <v>3263</v>
      </c>
      <c r="I85" s="1363" t="e">
        <f>IF(#REF!="","",IF(UPGRADE_FLAG="",IF(APPLICATION_LVL='Instructions-Anleitung'!#REF!,"","X"),IF(OR(AND('Instructions-Anleitung'!#REF!='Instructions-Anleitung'!C85,APPLICATION_LVL=COV!V64),AND('Instructions-Anleitung'!#REF!='Instructions-Anleitung'!C86,APPLICATION_LVL=COV!V65),AND('Instructions-Anleitung'!#REF!='Instructions-Anleitung'!C87,APPLICATION_LVL=COV!V66),AND('Instructions-Anleitung'!#REF!='Instructions-Anleitung'!C88,APPLICATION_LVL=COV!V67)),"","X")))</f>
        <v>#REF!</v>
      </c>
      <c r="J85" s="190" t="e">
        <f>IF(I85="","",Dictionary!B533&amp;CHAR(10))</f>
        <v>#REF!</v>
      </c>
    </row>
    <row r="86" spans="2:11" hidden="1">
      <c r="C86" s="1355" t="s">
        <v>119</v>
      </c>
      <c r="D86" s="1355"/>
      <c r="E86" s="1355" t="e">
        <f>IF(OR(#REF!=C84,#REF!=C85),Dictionary!B28,"")</f>
        <v>#REF!</v>
      </c>
      <c r="H86" s="1355" t="s">
        <v>3266</v>
      </c>
      <c r="I86" s="1363" t="e">
        <f>IF(#REF!="","",IF(#REF!&lt;COV!E10,"X",""))</f>
        <v>#REF!</v>
      </c>
      <c r="J86" s="190" t="e">
        <f>IF(I86="","",Dictionary!B534&amp;CHAR(10))</f>
        <v>#REF!</v>
      </c>
    </row>
    <row r="87" spans="2:11" hidden="1">
      <c r="C87" s="1355" t="s">
        <v>14</v>
      </c>
      <c r="D87" s="1355"/>
      <c r="E87" s="1355"/>
      <c r="H87" s="1355" t="s">
        <v>3265</v>
      </c>
      <c r="I87" s="1363" t="e">
        <f>IF(OR(#REF!="",#REF!="",#REF!="",#REF!=""),"X","")</f>
        <v>#REF!</v>
      </c>
      <c r="J87" s="190" t="e">
        <f>IF(I87="","",Dictionary!B535)</f>
        <v>#REF!</v>
      </c>
    </row>
    <row r="88" spans="2:11" hidden="1">
      <c r="C88" s="1355" t="s">
        <v>3246</v>
      </c>
      <c r="D88" s="1355"/>
      <c r="E88" s="1355"/>
      <c r="H88" s="1355" t="s">
        <v>3264</v>
      </c>
      <c r="I88" s="1363" t="str">
        <f>IF(AND(UPGRADE_FLAG="",RE_CERT=""),"","X")</f>
        <v/>
      </c>
    </row>
    <row r="89" spans="2:11" hidden="1"/>
  </sheetData>
  <sheetProtection algorithmName="SHA-512" hashValue="zyQZkRgpVoBLUXurZx0zDmB9TQ2HB+eRWHewhdvAK59MfXU6Vp8jzg4gnyap7FG5Wya6Lj9Zy8kqQfXqN1LSeg==" saltValue="oocgoo+emTxDohaME2CBVQ==" spinCount="100000" sheet="1" objects="1" scenarios="1" selectLockedCells="1"/>
  <mergeCells count="56">
    <mergeCell ref="D22:F22"/>
    <mergeCell ref="D23:F23"/>
    <mergeCell ref="C7:K7"/>
    <mergeCell ref="C8:K8"/>
    <mergeCell ref="C25:K25"/>
    <mergeCell ref="C9:K9"/>
    <mergeCell ref="D21:F21"/>
    <mergeCell ref="D16:F16"/>
    <mergeCell ref="D12:F12"/>
    <mergeCell ref="D17:F17"/>
    <mergeCell ref="G29:K29"/>
    <mergeCell ref="B26:C26"/>
    <mergeCell ref="G30:K30"/>
    <mergeCell ref="G28:K28"/>
    <mergeCell ref="G40:K40"/>
    <mergeCell ref="G33:K33"/>
    <mergeCell ref="G32:K32"/>
    <mergeCell ref="G31:K31"/>
    <mergeCell ref="G36:K36"/>
    <mergeCell ref="G37:K37"/>
    <mergeCell ref="G38:K38"/>
    <mergeCell ref="G39:K39"/>
    <mergeCell ref="G34:K34"/>
    <mergeCell ref="B82:K82"/>
    <mergeCell ref="I55:K58"/>
    <mergeCell ref="B57:C58"/>
    <mergeCell ref="G57:G58"/>
    <mergeCell ref="B59:C59"/>
    <mergeCell ref="I59:K59"/>
    <mergeCell ref="G50:K50"/>
    <mergeCell ref="G45:K45"/>
    <mergeCell ref="G49:K49"/>
    <mergeCell ref="G46:K46"/>
    <mergeCell ref="G47:K47"/>
    <mergeCell ref="G48:K48"/>
    <mergeCell ref="G41:K41"/>
    <mergeCell ref="G35:K35"/>
    <mergeCell ref="G42:K42"/>
    <mergeCell ref="G43:K43"/>
    <mergeCell ref="G44:K44"/>
    <mergeCell ref="M3:Y3"/>
    <mergeCell ref="O30:V68"/>
    <mergeCell ref="D19:F19"/>
    <mergeCell ref="D20:F20"/>
    <mergeCell ref="D13:F13"/>
    <mergeCell ref="D14:F14"/>
    <mergeCell ref="D15:F15"/>
    <mergeCell ref="D18:F18"/>
    <mergeCell ref="B11:K11"/>
    <mergeCell ref="B6:K6"/>
    <mergeCell ref="B3:K3"/>
    <mergeCell ref="B63:K63"/>
    <mergeCell ref="B64:K64"/>
    <mergeCell ref="B65:J65"/>
    <mergeCell ref="B67:G67"/>
    <mergeCell ref="B52:K52"/>
  </mergeCells>
  <conditionalFormatting sqref="I55:K58 B57:D58 G57:G58">
    <cfRule type="notContainsBlanks" dxfId="485" priority="9">
      <formula>LEN(TRIM(B55))&gt;0</formula>
    </cfRule>
  </conditionalFormatting>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BE6460-A1BA-4BAE-AB0E-68D650E05CDA}">
  <sheetPr codeName="Sheet82">
    <tabColor theme="9"/>
  </sheetPr>
  <dimension ref="A1:S60"/>
  <sheetViews>
    <sheetView zoomScale="80" zoomScaleNormal="80" workbookViewId="0">
      <selection activeCell="C10" sqref="C10"/>
    </sheetView>
  </sheetViews>
  <sheetFormatPr baseColWidth="10" defaultColWidth="11.5" defaultRowHeight="15"/>
  <cols>
    <col min="1" max="1" width="8.6640625" style="89" customWidth="1"/>
    <col min="2" max="2" width="11.5" style="89" customWidth="1"/>
    <col min="3" max="3" width="44.33203125" style="89" customWidth="1"/>
    <col min="4" max="4" width="23.1640625" style="89" customWidth="1"/>
    <col min="5" max="5" width="37.5" style="89" customWidth="1"/>
    <col min="6" max="6" width="32" style="89" customWidth="1"/>
    <col min="7" max="7" width="11.6640625" style="89" customWidth="1"/>
    <col min="8" max="11" width="32" style="89" customWidth="1"/>
    <col min="12" max="13" width="32.5" style="89" customWidth="1"/>
    <col min="14" max="14" width="26.1640625" style="89" customWidth="1"/>
    <col min="15" max="15" width="20" style="89" customWidth="1"/>
    <col min="16" max="17" width="11.5" style="89"/>
    <col min="18" max="18" width="8.5" style="89" customWidth="1"/>
    <col min="19" max="16384" width="11.5" style="89"/>
  </cols>
  <sheetData>
    <row r="1" spans="1:19" ht="19.5" customHeight="1" thickBot="1">
      <c r="B1" s="497" t="str">
        <f ca="1">COV!C20</f>
        <v>DECKBLATT BITTE VOLLSTÄNDIG AUSFÜLLEN!</v>
      </c>
      <c r="C1" s="459"/>
      <c r="D1" s="459"/>
      <c r="E1" s="459"/>
      <c r="F1" s="459"/>
      <c r="G1" s="459"/>
      <c r="H1" s="459"/>
      <c r="I1" s="459"/>
      <c r="J1" s="459"/>
      <c r="K1" s="459"/>
      <c r="L1" s="459"/>
      <c r="M1" s="459"/>
    </row>
    <row r="2" spans="1:19" ht="5.25" customHeight="1" thickTop="1"/>
    <row r="3" spans="1:19" ht="21">
      <c r="B3" s="2046" t="str">
        <f>Dictionary!B663&amp;" "&amp;'(7b) Project List'!A18&amp;", "&amp;EXP!D18&amp;": "&amp;EXP!C18</f>
        <v xml:space="preserve">Projektliste für Eintrag 10, : </v>
      </c>
      <c r="C3" s="2046"/>
      <c r="D3" s="2046"/>
      <c r="E3" s="2046"/>
      <c r="F3" s="2046"/>
      <c r="G3" s="2046"/>
      <c r="H3" s="2046"/>
      <c r="I3" s="2046"/>
      <c r="J3" s="2046"/>
      <c r="K3" s="2046"/>
      <c r="L3" s="2046"/>
      <c r="M3" s="2046"/>
    </row>
    <row r="4" spans="1:19" ht="21">
      <c r="B4" s="488"/>
      <c r="C4" s="488"/>
      <c r="D4" s="488"/>
      <c r="E4" s="488"/>
      <c r="F4" s="488"/>
      <c r="G4" s="488"/>
      <c r="H4" s="488"/>
      <c r="I4" s="488"/>
      <c r="J4" s="488"/>
      <c r="K4" s="488"/>
      <c r="L4" s="488"/>
      <c r="M4" s="488"/>
    </row>
    <row r="5" spans="1:19" ht="21">
      <c r="B5" s="489" t="str">
        <f>EXP!B5</f>
        <v xml:space="preserve"> , Level A, Projekt Management, Erstzertifizierung</v>
      </c>
      <c r="C5" s="490"/>
      <c r="D5" s="490"/>
      <c r="E5" s="490"/>
      <c r="F5" s="490"/>
      <c r="G5" s="490"/>
      <c r="H5" s="490"/>
      <c r="I5" s="490"/>
      <c r="J5" s="490"/>
      <c r="K5" s="490"/>
      <c r="L5" s="490"/>
      <c r="M5" s="490"/>
    </row>
    <row r="6" spans="1:19" ht="15" customHeight="1">
      <c r="A6" s="1284"/>
      <c r="B6" s="554"/>
      <c r="C6" s="554"/>
      <c r="D6" s="554"/>
      <c r="E6" s="554"/>
      <c r="F6" s="554"/>
      <c r="G6" s="554"/>
      <c r="H6" s="554"/>
      <c r="I6" s="554"/>
      <c r="J6" s="554"/>
      <c r="K6" s="554"/>
      <c r="L6" s="554"/>
      <c r="M6" s="554"/>
      <c r="N6" s="554"/>
      <c r="O6" s="554"/>
      <c r="P6" s="554"/>
      <c r="Q6" s="554"/>
      <c r="R6" s="554"/>
      <c r="S6" s="554"/>
    </row>
    <row r="7" spans="1:19" ht="24">
      <c r="A7" s="1284"/>
      <c r="B7" s="2171" t="str">
        <f>Dictionary!B665</f>
        <v>Nr.</v>
      </c>
      <c r="C7" s="2166" t="str">
        <f>Dictionary!B666</f>
        <v>Projektname</v>
      </c>
      <c r="D7" s="2166" t="str">
        <f>Dictionary!B667</f>
        <v>PM Domäne</v>
      </c>
      <c r="E7" s="2166" t="s">
        <v>269</v>
      </c>
      <c r="F7" s="2166" t="str">
        <f>Dictionary!B676</f>
        <v>Projekt- / Programm Typ</v>
      </c>
      <c r="G7" s="2173" t="str">
        <f>Dictionary!B677</f>
        <v>Strategisch</v>
      </c>
      <c r="H7" s="2166" t="str">
        <f>Dictionary!B670</f>
        <v>Dauer</v>
      </c>
      <c r="I7" s="2166"/>
      <c r="J7" s="2166" t="str">
        <f>Dictionary!B671</f>
        <v>Gesamtaufwand [Personentage]:</v>
      </c>
      <c r="K7" s="2166"/>
      <c r="L7" s="2166" t="str">
        <f>Dictionary!B672</f>
        <v>Gesamtbudget [€]:</v>
      </c>
      <c r="M7" s="2175"/>
      <c r="N7" s="554"/>
      <c r="O7" s="554"/>
      <c r="P7" s="554"/>
      <c r="Q7" s="554"/>
      <c r="R7" s="554"/>
      <c r="S7" s="554"/>
    </row>
    <row r="8" spans="1:19" ht="24">
      <c r="A8" s="1284"/>
      <c r="B8" s="2172"/>
      <c r="C8" s="2167"/>
      <c r="D8" s="2167"/>
      <c r="E8" s="2167"/>
      <c r="F8" s="2167"/>
      <c r="G8" s="2174"/>
      <c r="H8" s="1305" t="str">
        <f>Dictionary!B668</f>
        <v>Startdatum</v>
      </c>
      <c r="I8" s="1305" t="str">
        <f>Dictionary!B669</f>
        <v>Endtermin</v>
      </c>
      <c r="J8" s="1305" t="str">
        <f>Dictionary!B673</f>
        <v>geplant</v>
      </c>
      <c r="K8" s="1305" t="str">
        <f>Dictionary!B674</f>
        <v>realisiert</v>
      </c>
      <c r="L8" s="1305" t="str">
        <f>Dictionary!B673</f>
        <v>geplant</v>
      </c>
      <c r="M8" s="1306" t="str">
        <f>Dictionary!B674</f>
        <v>realisiert</v>
      </c>
      <c r="N8" s="554"/>
      <c r="O8" s="554"/>
      <c r="P8" s="554"/>
      <c r="Q8" s="554"/>
      <c r="R8" s="554"/>
      <c r="S8" s="554"/>
    </row>
    <row r="9" spans="1:19" ht="24" hidden="1">
      <c r="A9" s="1284"/>
      <c r="B9" s="1304" t="s">
        <v>2826</v>
      </c>
      <c r="C9" s="1297" t="s">
        <v>2827</v>
      </c>
      <c r="D9" s="1297" t="s">
        <v>2837</v>
      </c>
      <c r="E9" s="1297" t="s">
        <v>2828</v>
      </c>
      <c r="F9" s="1297" t="s">
        <v>2829</v>
      </c>
      <c r="G9" s="1298" t="s">
        <v>2830</v>
      </c>
      <c r="H9" s="1299" t="s">
        <v>2831</v>
      </c>
      <c r="I9" s="1299" t="s">
        <v>2832</v>
      </c>
      <c r="J9" s="1300" t="s">
        <v>2833</v>
      </c>
      <c r="K9" s="1300" t="s">
        <v>2834</v>
      </c>
      <c r="L9" s="1300" t="s">
        <v>2835</v>
      </c>
      <c r="M9" s="1300" t="s">
        <v>2836</v>
      </c>
      <c r="N9" s="554"/>
      <c r="O9" s="554"/>
      <c r="P9" s="554"/>
      <c r="Q9" s="554"/>
      <c r="R9" s="554"/>
      <c r="S9" s="554"/>
    </row>
    <row r="10" spans="1:19" ht="24">
      <c r="A10" s="1284"/>
      <c r="B10" s="1292">
        <v>1</v>
      </c>
      <c r="C10" s="1291"/>
      <c r="D10" s="1291"/>
      <c r="E10" s="1291"/>
      <c r="F10" s="1291"/>
      <c r="G10" s="1296"/>
      <c r="H10" s="1307"/>
      <c r="I10" s="1308"/>
      <c r="J10" s="1321"/>
      <c r="K10" s="1321"/>
      <c r="L10" s="1293"/>
      <c r="M10" s="1293"/>
      <c r="N10" s="554"/>
      <c r="O10" s="554"/>
      <c r="P10" s="554"/>
      <c r="Q10" s="554"/>
      <c r="R10" s="554"/>
      <c r="S10" s="554"/>
    </row>
    <row r="11" spans="1:19" ht="24">
      <c r="A11" s="1284"/>
      <c r="B11" s="1292">
        <v>2</v>
      </c>
      <c r="C11" s="1291"/>
      <c r="D11" s="1291"/>
      <c r="E11" s="1291"/>
      <c r="F11" s="1291"/>
      <c r="G11" s="1296"/>
      <c r="H11" s="1309"/>
      <c r="I11" s="1310"/>
      <c r="J11" s="1321"/>
      <c r="K11" s="1321"/>
      <c r="L11" s="1293"/>
      <c r="M11" s="1293"/>
      <c r="N11" s="554"/>
      <c r="O11" s="554"/>
      <c r="P11" s="554"/>
      <c r="Q11" s="554"/>
      <c r="R11" s="554"/>
      <c r="S11" s="554"/>
    </row>
    <row r="12" spans="1:19" ht="24">
      <c r="A12" s="1284"/>
      <c r="B12" s="1292">
        <v>3</v>
      </c>
      <c r="C12" s="1291"/>
      <c r="D12" s="1291"/>
      <c r="E12" s="1291"/>
      <c r="F12" s="1291"/>
      <c r="G12" s="1296"/>
      <c r="H12" s="1309"/>
      <c r="I12" s="1310"/>
      <c r="J12" s="1321"/>
      <c r="K12" s="1321"/>
      <c r="L12" s="1293"/>
      <c r="M12" s="1293"/>
      <c r="N12" s="554"/>
      <c r="O12" s="554"/>
      <c r="P12" s="554"/>
      <c r="Q12" s="554"/>
      <c r="R12" s="554"/>
      <c r="S12" s="554"/>
    </row>
    <row r="13" spans="1:19" ht="24">
      <c r="A13" s="1284"/>
      <c r="B13" s="1292">
        <v>4</v>
      </c>
      <c r="C13" s="1291"/>
      <c r="D13" s="1291"/>
      <c r="E13" s="1291"/>
      <c r="F13" s="1291"/>
      <c r="G13" s="1296"/>
      <c r="H13" s="1309"/>
      <c r="I13" s="1310"/>
      <c r="J13" s="1321"/>
      <c r="K13" s="1321"/>
      <c r="L13" s="1293"/>
      <c r="M13" s="1293"/>
      <c r="N13" s="554"/>
      <c r="O13" s="554"/>
      <c r="P13" s="554"/>
      <c r="Q13" s="554"/>
      <c r="R13" s="554"/>
      <c r="S13" s="554"/>
    </row>
    <row r="14" spans="1:19" ht="24">
      <c r="A14" s="1284"/>
      <c r="B14" s="1292">
        <v>5</v>
      </c>
      <c r="C14" s="1291"/>
      <c r="D14" s="1291"/>
      <c r="E14" s="1291"/>
      <c r="F14" s="1291"/>
      <c r="G14" s="1296"/>
      <c r="H14" s="1309"/>
      <c r="I14" s="1310"/>
      <c r="J14" s="1321"/>
      <c r="K14" s="1321"/>
      <c r="L14" s="1293"/>
      <c r="M14" s="1293"/>
      <c r="N14" s="554"/>
      <c r="O14" s="554"/>
      <c r="P14" s="554"/>
      <c r="Q14" s="554"/>
      <c r="R14" s="554"/>
      <c r="S14" s="554"/>
    </row>
    <row r="15" spans="1:19" ht="24">
      <c r="A15" s="1284"/>
      <c r="B15" s="1292">
        <v>6</v>
      </c>
      <c r="C15" s="1291"/>
      <c r="D15" s="1291"/>
      <c r="E15" s="1291"/>
      <c r="F15" s="1291"/>
      <c r="G15" s="1296"/>
      <c r="H15" s="1309"/>
      <c r="I15" s="1310"/>
      <c r="J15" s="1321"/>
      <c r="K15" s="1321"/>
      <c r="L15" s="1293"/>
      <c r="M15" s="1293"/>
      <c r="N15" s="554"/>
      <c r="O15" s="554"/>
      <c r="P15" s="554"/>
      <c r="Q15" s="554"/>
      <c r="R15" s="554"/>
      <c r="S15" s="554"/>
    </row>
    <row r="16" spans="1:19" ht="24">
      <c r="A16" s="1284"/>
      <c r="B16" s="1292">
        <v>7</v>
      </c>
      <c r="C16" s="1291"/>
      <c r="D16" s="1291"/>
      <c r="E16" s="1291"/>
      <c r="F16" s="1291"/>
      <c r="G16" s="1296"/>
      <c r="H16" s="1309"/>
      <c r="I16" s="1310"/>
      <c r="J16" s="1321"/>
      <c r="K16" s="1321"/>
      <c r="L16" s="1293"/>
      <c r="M16" s="1293"/>
      <c r="N16" s="554"/>
      <c r="O16" s="554"/>
      <c r="P16" s="554"/>
      <c r="Q16" s="554"/>
      <c r="R16" s="554"/>
      <c r="S16" s="554"/>
    </row>
    <row r="17" spans="1:19" ht="24">
      <c r="A17" s="1284"/>
      <c r="B17" s="1292">
        <v>8</v>
      </c>
      <c r="C17" s="1291"/>
      <c r="D17" s="1291"/>
      <c r="E17" s="1291"/>
      <c r="F17" s="1291"/>
      <c r="G17" s="1296"/>
      <c r="H17" s="1309"/>
      <c r="I17" s="1310"/>
      <c r="J17" s="1321"/>
      <c r="K17" s="1321"/>
      <c r="L17" s="1293"/>
      <c r="M17" s="1293"/>
      <c r="N17" s="554"/>
      <c r="O17" s="554"/>
      <c r="P17" s="554"/>
      <c r="Q17" s="554"/>
      <c r="R17" s="554"/>
      <c r="S17" s="554"/>
    </row>
    <row r="18" spans="1:19" ht="24">
      <c r="A18" s="1284"/>
      <c r="B18" s="1292">
        <v>9</v>
      </c>
      <c r="C18" s="1291"/>
      <c r="D18" s="1291"/>
      <c r="E18" s="1291"/>
      <c r="F18" s="1291"/>
      <c r="G18" s="1296"/>
      <c r="H18" s="1309"/>
      <c r="I18" s="1310"/>
      <c r="J18" s="1321"/>
      <c r="K18" s="1321"/>
      <c r="L18" s="1293"/>
      <c r="M18" s="1293"/>
      <c r="N18" s="554"/>
      <c r="O18" s="554"/>
      <c r="P18" s="554"/>
      <c r="Q18" s="554"/>
      <c r="R18" s="554"/>
      <c r="S18" s="554"/>
    </row>
    <row r="19" spans="1:19" ht="24">
      <c r="A19" s="1284"/>
      <c r="B19" s="1292">
        <v>10</v>
      </c>
      <c r="C19" s="1291"/>
      <c r="D19" s="1291"/>
      <c r="E19" s="1291"/>
      <c r="F19" s="1291"/>
      <c r="G19" s="1296"/>
      <c r="H19" s="1309"/>
      <c r="I19" s="1310"/>
      <c r="J19" s="1321"/>
      <c r="K19" s="1321"/>
      <c r="L19" s="1293"/>
      <c r="M19" s="1293"/>
      <c r="N19" s="554"/>
      <c r="O19" s="554"/>
      <c r="P19" s="554"/>
      <c r="Q19" s="554"/>
      <c r="R19" s="554"/>
      <c r="S19" s="554"/>
    </row>
    <row r="20" spans="1:19" ht="24">
      <c r="A20" s="1284"/>
      <c r="B20" s="1292">
        <v>11</v>
      </c>
      <c r="C20" s="1291"/>
      <c r="D20" s="1291"/>
      <c r="E20" s="1291"/>
      <c r="F20" s="1291"/>
      <c r="G20" s="1296"/>
      <c r="H20" s="1309"/>
      <c r="I20" s="1310"/>
      <c r="J20" s="1321"/>
      <c r="K20" s="1321"/>
      <c r="L20" s="1293"/>
      <c r="M20" s="1293"/>
      <c r="N20" s="554"/>
      <c r="O20" s="554"/>
      <c r="P20" s="554"/>
      <c r="Q20" s="554"/>
      <c r="R20" s="554"/>
      <c r="S20" s="554"/>
    </row>
    <row r="21" spans="1:19" ht="24">
      <c r="A21" s="1284"/>
      <c r="B21" s="1292">
        <v>12</v>
      </c>
      <c r="C21" s="1291"/>
      <c r="D21" s="1291"/>
      <c r="E21" s="1291"/>
      <c r="F21" s="1291"/>
      <c r="G21" s="1296"/>
      <c r="H21" s="1309"/>
      <c r="I21" s="1310"/>
      <c r="J21" s="1321"/>
      <c r="K21" s="1321"/>
      <c r="L21" s="1293"/>
      <c r="M21" s="1293"/>
      <c r="N21" s="554"/>
      <c r="O21" s="554"/>
      <c r="P21" s="554"/>
      <c r="Q21" s="554"/>
      <c r="R21" s="554"/>
      <c r="S21" s="554"/>
    </row>
    <row r="22" spans="1:19" ht="24">
      <c r="A22" s="1284"/>
      <c r="B22" s="1292">
        <v>13</v>
      </c>
      <c r="C22" s="1291"/>
      <c r="D22" s="1291"/>
      <c r="E22" s="1291"/>
      <c r="F22" s="1291"/>
      <c r="G22" s="1296"/>
      <c r="H22" s="1309"/>
      <c r="I22" s="1310"/>
      <c r="J22" s="1321"/>
      <c r="K22" s="1321"/>
      <c r="L22" s="1293"/>
      <c r="M22" s="1293"/>
      <c r="N22" s="554"/>
      <c r="O22" s="554"/>
      <c r="P22" s="554"/>
      <c r="Q22" s="554"/>
      <c r="R22" s="554"/>
      <c r="S22" s="554"/>
    </row>
    <row r="23" spans="1:19" ht="24">
      <c r="A23" s="1284"/>
      <c r="B23" s="1292">
        <v>14</v>
      </c>
      <c r="C23" s="1291"/>
      <c r="D23" s="1291"/>
      <c r="E23" s="1291"/>
      <c r="F23" s="1291"/>
      <c r="G23" s="1296"/>
      <c r="H23" s="1309"/>
      <c r="I23" s="1310"/>
      <c r="J23" s="1321"/>
      <c r="K23" s="1321"/>
      <c r="L23" s="1293"/>
      <c r="M23" s="1293"/>
      <c r="N23" s="554"/>
      <c r="O23" s="554"/>
      <c r="P23" s="554"/>
      <c r="Q23" s="554"/>
      <c r="R23" s="554"/>
      <c r="S23" s="554"/>
    </row>
    <row r="24" spans="1:19" ht="24">
      <c r="A24" s="1284"/>
      <c r="B24" s="1292">
        <v>15</v>
      </c>
      <c r="C24" s="1291"/>
      <c r="D24" s="1291"/>
      <c r="E24" s="1291"/>
      <c r="F24" s="1291"/>
      <c r="G24" s="1296"/>
      <c r="H24" s="1309"/>
      <c r="I24" s="1310"/>
      <c r="J24" s="1321"/>
      <c r="K24" s="1321"/>
      <c r="L24" s="1293"/>
      <c r="M24" s="1293"/>
      <c r="N24" s="554"/>
      <c r="O24" s="554"/>
      <c r="P24" s="554"/>
      <c r="Q24" s="554"/>
      <c r="R24" s="554"/>
      <c r="S24" s="554"/>
    </row>
    <row r="25" spans="1:19" ht="24">
      <c r="A25" s="1284"/>
      <c r="B25" s="1292">
        <v>16</v>
      </c>
      <c r="C25" s="1291"/>
      <c r="D25" s="1291"/>
      <c r="E25" s="1291"/>
      <c r="F25" s="1291"/>
      <c r="G25" s="1296"/>
      <c r="H25" s="1309"/>
      <c r="I25" s="1310"/>
      <c r="J25" s="1321"/>
      <c r="K25" s="1321"/>
      <c r="L25" s="1293"/>
      <c r="M25" s="1293"/>
      <c r="N25" s="554"/>
      <c r="O25" s="554"/>
      <c r="P25" s="554"/>
      <c r="Q25" s="554"/>
      <c r="R25" s="554"/>
      <c r="S25" s="554"/>
    </row>
    <row r="26" spans="1:19" ht="24">
      <c r="A26" s="1284"/>
      <c r="B26" s="1292">
        <v>17</v>
      </c>
      <c r="C26" s="1291"/>
      <c r="D26" s="1291"/>
      <c r="E26" s="1291"/>
      <c r="F26" s="1291"/>
      <c r="G26" s="1296"/>
      <c r="H26" s="1309"/>
      <c r="I26" s="1310"/>
      <c r="J26" s="1321"/>
      <c r="K26" s="1321"/>
      <c r="L26" s="1293"/>
      <c r="M26" s="1293"/>
      <c r="N26" s="554"/>
      <c r="O26" s="554"/>
      <c r="P26" s="554"/>
      <c r="Q26" s="554"/>
      <c r="R26" s="554"/>
      <c r="S26" s="554"/>
    </row>
    <row r="27" spans="1:19" ht="24">
      <c r="A27" s="1284"/>
      <c r="B27" s="1292">
        <v>18</v>
      </c>
      <c r="C27" s="1291"/>
      <c r="D27" s="1291"/>
      <c r="E27" s="1291"/>
      <c r="F27" s="1291"/>
      <c r="G27" s="1296"/>
      <c r="H27" s="1309"/>
      <c r="I27" s="1310"/>
      <c r="J27" s="1321"/>
      <c r="K27" s="1321"/>
      <c r="L27" s="1293"/>
      <c r="M27" s="1293"/>
      <c r="N27" s="554"/>
      <c r="O27" s="554"/>
      <c r="P27" s="554"/>
      <c r="Q27" s="554"/>
      <c r="R27" s="554"/>
      <c r="S27" s="554"/>
    </row>
    <row r="28" spans="1:19" ht="24">
      <c r="A28" s="1284"/>
      <c r="B28" s="1292">
        <v>19</v>
      </c>
      <c r="C28" s="1291"/>
      <c r="D28" s="1291"/>
      <c r="E28" s="1291"/>
      <c r="F28" s="1291"/>
      <c r="G28" s="1296"/>
      <c r="H28" s="1309"/>
      <c r="I28" s="1310"/>
      <c r="J28" s="1321"/>
      <c r="K28" s="1321"/>
      <c r="L28" s="1293"/>
      <c r="M28" s="1293"/>
      <c r="N28" s="554"/>
      <c r="O28" s="554"/>
      <c r="P28" s="554"/>
      <c r="Q28" s="554"/>
      <c r="R28" s="554"/>
      <c r="S28" s="554"/>
    </row>
    <row r="29" spans="1:19" ht="24">
      <c r="A29" s="1284"/>
      <c r="B29" s="1292">
        <v>20</v>
      </c>
      <c r="C29" s="1291"/>
      <c r="D29" s="1291"/>
      <c r="E29" s="1291"/>
      <c r="F29" s="1291"/>
      <c r="G29" s="1296"/>
      <c r="H29" s="1309"/>
      <c r="I29" s="1310"/>
      <c r="J29" s="1321"/>
      <c r="K29" s="1321"/>
      <c r="L29" s="1293"/>
      <c r="M29" s="1293"/>
      <c r="N29" s="554"/>
      <c r="O29" s="554"/>
      <c r="P29" s="554"/>
      <c r="Q29" s="554"/>
      <c r="R29" s="554"/>
      <c r="S29" s="554"/>
    </row>
    <row r="30" spans="1:19" ht="24">
      <c r="A30" s="1284"/>
      <c r="B30" s="1292">
        <v>21</v>
      </c>
      <c r="C30" s="1291"/>
      <c r="D30" s="1291"/>
      <c r="E30" s="1291"/>
      <c r="F30" s="1291"/>
      <c r="G30" s="1296"/>
      <c r="H30" s="1309"/>
      <c r="I30" s="1310"/>
      <c r="J30" s="1321"/>
      <c r="K30" s="1321"/>
      <c r="L30" s="1293"/>
      <c r="M30" s="1293"/>
      <c r="N30" s="554"/>
      <c r="O30" s="554"/>
      <c r="P30" s="554"/>
      <c r="Q30" s="554"/>
      <c r="R30" s="554"/>
      <c r="S30" s="554"/>
    </row>
    <row r="31" spans="1:19" ht="24">
      <c r="A31" s="1284"/>
      <c r="B31" s="1292">
        <v>22</v>
      </c>
      <c r="C31" s="1291"/>
      <c r="D31" s="1291"/>
      <c r="E31" s="1291"/>
      <c r="F31" s="1291"/>
      <c r="G31" s="1296"/>
      <c r="H31" s="1309"/>
      <c r="I31" s="1310"/>
      <c r="J31" s="1321"/>
      <c r="K31" s="1321"/>
      <c r="L31" s="1293"/>
      <c r="M31" s="1293"/>
      <c r="N31" s="554"/>
      <c r="O31" s="554"/>
      <c r="P31" s="554"/>
      <c r="Q31" s="554"/>
      <c r="R31" s="554"/>
      <c r="S31" s="554"/>
    </row>
    <row r="32" spans="1:19" ht="24">
      <c r="A32" s="1284"/>
      <c r="B32" s="1292">
        <v>23</v>
      </c>
      <c r="C32" s="1291"/>
      <c r="D32" s="1291"/>
      <c r="E32" s="1291"/>
      <c r="F32" s="1291"/>
      <c r="G32" s="1296"/>
      <c r="H32" s="1309"/>
      <c r="I32" s="1310"/>
      <c r="J32" s="1321"/>
      <c r="K32" s="1321"/>
      <c r="L32" s="1293"/>
      <c r="M32" s="1293"/>
      <c r="N32" s="554"/>
      <c r="O32" s="554"/>
      <c r="P32" s="554"/>
      <c r="Q32" s="554"/>
      <c r="R32" s="554"/>
      <c r="S32" s="554"/>
    </row>
    <row r="33" spans="1:19" ht="24">
      <c r="A33" s="1284"/>
      <c r="B33" s="1292">
        <v>24</v>
      </c>
      <c r="C33" s="1291"/>
      <c r="D33" s="1291"/>
      <c r="E33" s="1291"/>
      <c r="F33" s="1291"/>
      <c r="G33" s="1296"/>
      <c r="H33" s="1309"/>
      <c r="I33" s="1310"/>
      <c r="J33" s="1321"/>
      <c r="K33" s="1321"/>
      <c r="L33" s="1293"/>
      <c r="M33" s="1293"/>
      <c r="N33" s="554"/>
      <c r="O33" s="554"/>
      <c r="P33" s="554"/>
      <c r="Q33" s="554"/>
      <c r="R33" s="554"/>
      <c r="S33" s="554"/>
    </row>
    <row r="34" spans="1:19" ht="24">
      <c r="A34" s="1284"/>
      <c r="B34" s="1292">
        <v>25</v>
      </c>
      <c r="C34" s="1291"/>
      <c r="D34" s="1291"/>
      <c r="E34" s="1291"/>
      <c r="F34" s="1291"/>
      <c r="G34" s="1296"/>
      <c r="H34" s="1309"/>
      <c r="I34" s="1310"/>
      <c r="J34" s="1321"/>
      <c r="K34" s="1321"/>
      <c r="L34" s="1293"/>
      <c r="M34" s="1293"/>
      <c r="N34" s="554"/>
      <c r="O34" s="554"/>
      <c r="P34" s="554"/>
      <c r="Q34" s="554"/>
      <c r="R34" s="554"/>
      <c r="S34" s="554"/>
    </row>
    <row r="35" spans="1:19" ht="24">
      <c r="A35" s="1284"/>
      <c r="B35" s="1292">
        <v>26</v>
      </c>
      <c r="C35" s="1291"/>
      <c r="D35" s="1291"/>
      <c r="E35" s="1291"/>
      <c r="F35" s="1291"/>
      <c r="G35" s="1296"/>
      <c r="H35" s="1309"/>
      <c r="I35" s="1310"/>
      <c r="J35" s="1321"/>
      <c r="K35" s="1321"/>
      <c r="L35" s="1293"/>
      <c r="M35" s="1293"/>
      <c r="N35" s="554"/>
      <c r="O35" s="554"/>
      <c r="P35" s="554"/>
      <c r="Q35" s="554"/>
      <c r="R35" s="554"/>
      <c r="S35" s="554"/>
    </row>
    <row r="36" spans="1:19" ht="24">
      <c r="A36" s="1284"/>
      <c r="B36" s="1292">
        <v>27</v>
      </c>
      <c r="C36" s="1291"/>
      <c r="D36" s="1291"/>
      <c r="E36" s="1291"/>
      <c r="F36" s="1291"/>
      <c r="G36" s="1296"/>
      <c r="H36" s="1309"/>
      <c r="I36" s="1310"/>
      <c r="J36" s="1321"/>
      <c r="K36" s="1321"/>
      <c r="L36" s="1293"/>
      <c r="M36" s="1293"/>
      <c r="N36" s="554"/>
      <c r="O36" s="554"/>
      <c r="P36" s="554"/>
      <c r="Q36" s="554"/>
      <c r="R36" s="554"/>
      <c r="S36" s="554"/>
    </row>
    <row r="37" spans="1:19" ht="24">
      <c r="A37" s="1284"/>
      <c r="B37" s="1292">
        <v>28</v>
      </c>
      <c r="C37" s="1291"/>
      <c r="D37" s="1291"/>
      <c r="E37" s="1291"/>
      <c r="F37" s="1291"/>
      <c r="G37" s="1296"/>
      <c r="H37" s="1309"/>
      <c r="I37" s="1310"/>
      <c r="J37" s="1321"/>
      <c r="K37" s="1321"/>
      <c r="L37" s="1293"/>
      <c r="M37" s="1293"/>
      <c r="N37" s="554"/>
      <c r="O37" s="554"/>
      <c r="P37" s="554"/>
      <c r="Q37" s="554"/>
      <c r="R37" s="554"/>
      <c r="S37" s="554"/>
    </row>
    <row r="38" spans="1:19" ht="24">
      <c r="A38" s="1284"/>
      <c r="B38" s="1292">
        <v>29</v>
      </c>
      <c r="C38" s="1291"/>
      <c r="D38" s="1291"/>
      <c r="E38" s="1291"/>
      <c r="F38" s="1291"/>
      <c r="G38" s="1296"/>
      <c r="H38" s="1309"/>
      <c r="I38" s="1310"/>
      <c r="J38" s="1321"/>
      <c r="K38" s="1321"/>
      <c r="L38" s="1293"/>
      <c r="M38" s="1293"/>
      <c r="N38" s="554"/>
      <c r="O38" s="554"/>
      <c r="P38" s="554"/>
      <c r="Q38" s="554"/>
      <c r="R38" s="554"/>
      <c r="S38" s="554"/>
    </row>
    <row r="39" spans="1:19" ht="24">
      <c r="A39" s="1284"/>
      <c r="B39" s="1292">
        <v>30</v>
      </c>
      <c r="C39" s="1311"/>
      <c r="D39" s="1311"/>
      <c r="E39" s="1311"/>
      <c r="F39" s="1311"/>
      <c r="G39" s="1312"/>
      <c r="H39" s="1313"/>
      <c r="I39" s="1314"/>
      <c r="J39" s="1322"/>
      <c r="K39" s="1322"/>
      <c r="L39" s="1315"/>
      <c r="M39" s="1315"/>
      <c r="N39" s="554"/>
      <c r="O39" s="554"/>
      <c r="P39" s="554"/>
      <c r="Q39" s="554"/>
      <c r="R39" s="554"/>
      <c r="S39" s="554"/>
    </row>
    <row r="40" spans="1:19" ht="24">
      <c r="A40" s="1284"/>
      <c r="B40" s="1301"/>
      <c r="C40" s="2168" t="str">
        <f>Dictionary!B675</f>
        <v xml:space="preserve">Programm / Portfolio Verwaltung </v>
      </c>
      <c r="D40" s="2169"/>
      <c r="E40" s="2169"/>
      <c r="F40" s="2169"/>
      <c r="G40" s="2170"/>
      <c r="H40" s="1319"/>
      <c r="I40" s="1320"/>
      <c r="J40" s="1323"/>
      <c r="K40" s="1323"/>
      <c r="L40" s="1294"/>
      <c r="M40" s="1295"/>
      <c r="N40" s="554"/>
      <c r="O40" s="554"/>
      <c r="P40" s="554"/>
      <c r="Q40" s="554"/>
      <c r="R40" s="554"/>
      <c r="S40" s="554"/>
    </row>
    <row r="41" spans="1:19" ht="24">
      <c r="A41" s="1284"/>
      <c r="B41" s="1302"/>
      <c r="C41" s="1316"/>
      <c r="D41" s="1316"/>
      <c r="E41" s="1316"/>
      <c r="F41" s="1316"/>
      <c r="G41" s="1316"/>
      <c r="H41" s="2176" t="s">
        <v>2825</v>
      </c>
      <c r="I41" s="2176"/>
      <c r="J41" s="1317">
        <f>SUM(J9:J40)</f>
        <v>0</v>
      </c>
      <c r="K41" s="1317">
        <f>SUM(K9:K40)</f>
        <v>0</v>
      </c>
      <c r="L41" s="1318">
        <f>SUM(L9:L40)</f>
        <v>0</v>
      </c>
      <c r="M41" s="1318">
        <f>SUM(M9:M40)</f>
        <v>0</v>
      </c>
      <c r="N41" s="554"/>
      <c r="O41" s="554"/>
      <c r="P41" s="554"/>
      <c r="Q41" s="554"/>
      <c r="R41" s="554"/>
      <c r="S41" s="554"/>
    </row>
    <row r="42" spans="1:19" ht="24">
      <c r="B42" s="554"/>
      <c r="C42" s="554"/>
      <c r="D42" s="554"/>
      <c r="E42" s="554"/>
      <c r="F42" s="554"/>
      <c r="G42" s="554"/>
      <c r="H42" s="554"/>
      <c r="I42" s="554"/>
      <c r="J42" s="554"/>
      <c r="K42" s="554"/>
      <c r="L42" s="554"/>
      <c r="M42" s="554"/>
    </row>
    <row r="43" spans="1:19" ht="17" thickBot="1">
      <c r="B43" s="460"/>
      <c r="C43" s="460"/>
      <c r="D43" s="460"/>
      <c r="E43" s="460"/>
      <c r="F43" s="460"/>
      <c r="G43" s="460"/>
      <c r="H43" s="460"/>
      <c r="I43" s="460"/>
      <c r="J43" s="460"/>
      <c r="K43" s="460"/>
      <c r="L43" s="460"/>
      <c r="M43" s="460"/>
    </row>
    <row r="44" spans="1:19">
      <c r="M44" s="464" t="s">
        <v>105</v>
      </c>
    </row>
    <row r="50" spans="3:6" hidden="1"/>
    <row r="51" spans="3:6" hidden="1">
      <c r="C51" s="2163" t="s">
        <v>249</v>
      </c>
      <c r="D51" s="2164"/>
      <c r="E51" s="2164"/>
      <c r="F51" s="2165"/>
    </row>
    <row r="52" spans="3:6" hidden="1">
      <c r="C52" s="240"/>
      <c r="D52" s="172"/>
      <c r="E52" s="241"/>
      <c r="F52" s="241"/>
    </row>
    <row r="53" spans="3:6" hidden="1">
      <c r="C53" s="1905" t="s">
        <v>970</v>
      </c>
      <c r="D53" s="172" t="s">
        <v>1037</v>
      </c>
      <c r="E53" s="241"/>
      <c r="F53" s="241"/>
    </row>
    <row r="54" spans="3:6" hidden="1">
      <c r="C54" s="1906" t="s">
        <v>1024</v>
      </c>
      <c r="D54" s="172"/>
      <c r="E54" s="241"/>
      <c r="F54" s="241"/>
    </row>
    <row r="55" spans="3:6" hidden="1">
      <c r="C55" s="1907" t="s">
        <v>1025</v>
      </c>
      <c r="D55" s="172"/>
      <c r="E55" s="241"/>
      <c r="F55" s="241"/>
    </row>
    <row r="56" spans="3:6" hidden="1">
      <c r="C56" s="240"/>
      <c r="D56" s="172"/>
      <c r="E56" s="241"/>
      <c r="F56" s="241"/>
    </row>
    <row r="57" spans="3:6" hidden="1">
      <c r="C57" s="240"/>
      <c r="D57" s="172"/>
      <c r="E57" s="241"/>
      <c r="F57" s="241"/>
    </row>
    <row r="58" spans="3:6" hidden="1">
      <c r="C58" s="240"/>
      <c r="D58" s="172"/>
      <c r="E58" s="241"/>
      <c r="F58" s="241"/>
    </row>
    <row r="59" spans="3:6" hidden="1">
      <c r="C59" s="242"/>
      <c r="D59" s="1303"/>
      <c r="E59" s="185"/>
      <c r="F59" s="185"/>
    </row>
    <row r="60" spans="3:6" hidden="1"/>
  </sheetData>
  <sheetProtection algorithmName="SHA-512" hashValue="C5z9N7Zwg40+440/gEEdg2jqurPmIZyYvTWvG8B14I+SIefHA6T/IGm5BoHqY3yWDUdhie8bEaThAYNo3SYPJw==" saltValue="9KWF+ssYHLD6nHkd2ZpjDA==" spinCount="100000" sheet="1" objects="1" scenarios="1" selectLockedCells="1"/>
  <mergeCells count="13">
    <mergeCell ref="C40:G40"/>
    <mergeCell ref="H41:I41"/>
    <mergeCell ref="C51:F51"/>
    <mergeCell ref="B3:M3"/>
    <mergeCell ref="B7:B8"/>
    <mergeCell ref="C7:C8"/>
    <mergeCell ref="D7:D8"/>
    <mergeCell ref="E7:E8"/>
    <mergeCell ref="F7:F8"/>
    <mergeCell ref="G7:G8"/>
    <mergeCell ref="H7:I7"/>
    <mergeCell ref="J7:K7"/>
    <mergeCell ref="L7:M7"/>
  </mergeCells>
  <dataValidations count="6">
    <dataValidation type="date" operator="lessThan" allowBlank="1" showInputMessage="1" showErrorMessage="1" error="EN_x000a_End must occur after start._x000a__x000a_DE_x000a_Das Ende muss nach dem Start kommen._x000a_ " sqref="H10:H40" xr:uid="{00000000-0002-0000-2700-000000000000}">
      <formula1>I10</formula1>
    </dataValidation>
    <dataValidation type="date" operator="greaterThan" allowBlank="1" showInputMessage="1" showErrorMessage="1" error="EN_x000a_End must occur after start._x000a__x000a_DE_x000a_Das Ende muss nach dem Start kommen._x000a_ " sqref="I10:I40" xr:uid="{00000000-0002-0000-2700-000001000000}">
      <formula1>H10</formula1>
    </dataValidation>
    <dataValidation type="list" allowBlank="1" showInputMessage="1" showErrorMessage="1" sqref="G10:G39" xr:uid="{00000000-0002-0000-2700-000002000000}">
      <formula1>$D$53:$D$54</formula1>
    </dataValidation>
    <dataValidation type="list" allowBlank="1" showInputMessage="1" showErrorMessage="1" sqref="D10:D39" xr:uid="{00000000-0002-0000-2700-000003000000}">
      <formula1>$C$53:$C$55</formula1>
    </dataValidation>
    <dataValidation type="whole" operator="greaterThan" allowBlank="1" showInputMessage="1" showErrorMessage="1" error="Bitte eine ganze Zahl grösser als 0 eingeben!" sqref="J9:K40 M9:M40 L10:L40" xr:uid="{00000000-0002-0000-2700-000004000000}">
      <formula1>0</formula1>
    </dataValidation>
    <dataValidation type="whole" operator="greaterThan" allowBlank="1" showInputMessage="1" showErrorMessage="1" error="Bitte eine ganze Zahl grösser als 0 eingeben!" promptTitle="Investition" prompt="Unter Investition werden die gesamten Kosten verstanden, inkl.der personellen Aufwände." sqref="L9" xr:uid="{00000000-0002-0000-2700-000005000000}">
      <formula1>0</formula1>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700-000006000000}">
          <x14:formula1>
            <xm:f>'Control Values'!$B$23:$B$26</xm:f>
          </x14:formula1>
          <xm:sqref>F10:F39</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BCF5C-B8B6-4EB0-B86D-BB890A773427}">
  <sheetPr codeName="Sheet38">
    <tabColor theme="9" tint="-0.24994659260841701"/>
  </sheetPr>
  <dimension ref="B1:L70"/>
  <sheetViews>
    <sheetView showGridLines="0" showZeros="0" workbookViewId="0">
      <pane xSplit="8" ySplit="9" topLeftCell="I10" activePane="bottomRight" state="frozenSplit"/>
      <selection activeCell="B109" sqref="B109"/>
      <selection pane="topRight" activeCell="B109" sqref="B109"/>
      <selection pane="bottomLeft" activeCell="B109" sqref="B109"/>
      <selection pane="bottomRight" activeCell="I11" sqref="I11"/>
    </sheetView>
  </sheetViews>
  <sheetFormatPr baseColWidth="10" defaultColWidth="10" defaultRowHeight="14"/>
  <cols>
    <col min="1" max="1" width="2.6640625" style="472" customWidth="1"/>
    <col min="2" max="2" width="5.5" style="471" customWidth="1"/>
    <col min="3" max="3" width="17.1640625" style="472" customWidth="1"/>
    <col min="4" max="4" width="46.33203125" style="472" customWidth="1"/>
    <col min="5" max="8" width="26.5" style="472" customWidth="1"/>
    <col min="9" max="10" width="11.1640625" style="471" customWidth="1"/>
    <col min="11" max="11" width="55.33203125" style="473" customWidth="1"/>
    <col min="12" max="12" width="9.6640625" style="472" customWidth="1"/>
    <col min="13" max="16384" width="10" style="472"/>
  </cols>
  <sheetData>
    <row r="1" spans="2:11" ht="20.25" customHeight="1" thickBot="1">
      <c r="B1" s="497" t="str">
        <f ca="1">COV!C20</f>
        <v>DECKBLATT BITTE VOLLSTÄNDIG AUSFÜLLEN!</v>
      </c>
      <c r="C1" s="459"/>
      <c r="D1" s="459"/>
      <c r="E1" s="459"/>
      <c r="F1" s="459"/>
      <c r="G1" s="459"/>
      <c r="H1" s="459"/>
      <c r="I1" s="459"/>
      <c r="J1" s="459"/>
      <c r="K1" s="459"/>
    </row>
    <row r="2" spans="2:11" ht="5.25" customHeight="1" thickTop="1"/>
    <row r="3" spans="2:11" ht="21">
      <c r="B3" s="2046" t="str">
        <f>Dictionary!B680&amp;'(7b) Project List'!A18&amp;IF('(7b) Project List'!B18="","",": "&amp;'(7b) Project List'!B18)</f>
        <v>Bewertung der Managementkomplexität für Erfahrung 10</v>
      </c>
      <c r="C3" s="2046"/>
      <c r="D3" s="2046"/>
      <c r="E3" s="2046"/>
      <c r="F3" s="2046"/>
      <c r="G3" s="2046"/>
      <c r="H3" s="2046"/>
      <c r="I3" s="2046"/>
      <c r="J3" s="2046"/>
      <c r="K3" s="2046"/>
    </row>
    <row r="4" spans="2:11" s="498" customFormat="1" ht="21">
      <c r="B4" s="488"/>
      <c r="C4" s="488"/>
      <c r="D4" s="488"/>
      <c r="E4" s="488"/>
      <c r="F4" s="488"/>
      <c r="G4" s="488"/>
      <c r="H4" s="488"/>
      <c r="I4" s="488"/>
      <c r="J4" s="488"/>
      <c r="K4" s="488"/>
    </row>
    <row r="5" spans="2:11" s="467" customFormat="1" ht="22.5" customHeight="1">
      <c r="B5" s="489" t="str">
        <f>EXP!B5</f>
        <v xml:space="preserve"> , Level A, Projekt Management, Erstzertifizierung</v>
      </c>
      <c r="C5" s="491"/>
      <c r="D5" s="491"/>
      <c r="E5" s="492"/>
      <c r="F5" s="491"/>
      <c r="G5" s="493"/>
      <c r="H5" s="492"/>
      <c r="I5" s="492"/>
      <c r="J5" s="492"/>
      <c r="K5" s="494"/>
    </row>
    <row r="6" spans="2:11" s="467" customFormat="1" ht="20" customHeight="1">
      <c r="B6" s="466"/>
      <c r="C6" s="468"/>
      <c r="D6" s="468"/>
      <c r="E6" s="321"/>
      <c r="F6" s="2183"/>
      <c r="G6" s="2183"/>
      <c r="H6" s="2183"/>
      <c r="I6" s="469"/>
      <c r="J6" s="470"/>
    </row>
    <row r="7" spans="2:11" ht="15" customHeight="1"/>
    <row r="8" spans="2:11" s="334" customFormat="1" ht="22.25" customHeight="1">
      <c r="B8" s="2184" t="s">
        <v>294</v>
      </c>
      <c r="C8" s="2187" t="str">
        <f>Dictionary!B681</f>
        <v>Komplexitätsindikatoren und Teilindikatoren</v>
      </c>
      <c r="D8" s="2188"/>
      <c r="E8" s="2186" t="str">
        <f>Dictionary!B682</f>
        <v>Zu bewertende Kriterien:</v>
      </c>
      <c r="F8" s="2186"/>
      <c r="G8" s="2186"/>
      <c r="H8" s="2186"/>
      <c r="I8" s="2177" t="str">
        <f>Dictionary!B683</f>
        <v>Bewertungen und Kommentare</v>
      </c>
      <c r="J8" s="2178"/>
      <c r="K8" s="2179"/>
    </row>
    <row r="9" spans="2:11" s="334" customFormat="1" ht="30" customHeight="1">
      <c r="B9" s="2185"/>
      <c r="C9" s="2189"/>
      <c r="D9" s="2190"/>
      <c r="E9" s="474" t="str">
        <f>Dictionary!B684</f>
        <v>wenig komplex   (1)</v>
      </c>
      <c r="F9" s="474" t="str">
        <f>Dictionary!B685</f>
        <v>begrenzt komplex   (2)</v>
      </c>
      <c r="G9" s="474" t="str">
        <f>Dictionary!B686</f>
        <v>komplex   (3)</v>
      </c>
      <c r="H9" s="474" t="str">
        <f>Dictionary!B687</f>
        <v>sehr komplex   (4)</v>
      </c>
      <c r="I9" s="475" t="str">
        <f>Dictionary!B689</f>
        <v>Bewerber/in</v>
      </c>
      <c r="J9" s="476" t="str">
        <f>Dictionary!B690</f>
        <v>Leitende/r Assessor/in</v>
      </c>
      <c r="K9" s="476" t="str">
        <f>Dictionary!B691</f>
        <v>Anmerkungen, Kommentare, Nachweise (fakultativ)</v>
      </c>
    </row>
    <row r="10" spans="2:11" ht="30" customHeight="1">
      <c r="B10" s="477">
        <v>1</v>
      </c>
      <c r="C10" s="2180" t="str">
        <f>Dictionary!B693</f>
        <v>Indikatoren bezogen auf die technischen Fähigkeiten</v>
      </c>
      <c r="D10" s="2181"/>
      <c r="E10" s="2181"/>
      <c r="F10" s="2181"/>
      <c r="G10" s="2181"/>
      <c r="H10" s="2182"/>
      <c r="K10" s="478"/>
    </row>
    <row r="11" spans="2:11" ht="75">
      <c r="B11" s="479">
        <f>B10+0.1</f>
        <v>1.1000000000000001</v>
      </c>
      <c r="C11" s="558" t="str">
        <f>Dictionary!B694</f>
        <v>Ziele und Ergebnisse</v>
      </c>
      <c r="D11" s="558" t="str">
        <f>Dictionary!B695</f>
        <v>Anzahl und Unterschiedlichkeit der Einzelziele unter Berücksichtigung der Ziele und Erwartungen der relevanten Stakeholder, unterschiedliche Zielkategorien: Prozessziele, Nutzungsziele (Business Case), Operationalisierbarkeit, Transparenz und Abhängigkeiten</v>
      </c>
      <c r="E11" s="557" t="str">
        <f>Dictionary!B696</f>
        <v>sehr wenige klare Ziele, alle quantitativ angegeben, operabel</v>
      </c>
      <c r="F11" s="557" t="str">
        <f>Dictionary!B697</f>
        <v>wenige Ziele, gut formuliert, wenig Zielkonflikte</v>
      </c>
      <c r="G11" s="557" t="str">
        <f>Dictionary!B698</f>
        <v>mehrere Ziele unterschiedlicher Art, teilweise unklar definiert</v>
      </c>
      <c r="H11" s="557" t="str">
        <f>Dictionary!B699</f>
        <v>viele, teilweise konkurrierende  Ziele, strategische und politische Ziele, versteckte Ziele, Nutzungsziele</v>
      </c>
      <c r="I11" s="495"/>
      <c r="J11" s="495"/>
      <c r="K11" s="496"/>
    </row>
    <row r="12" spans="2:11" ht="65">
      <c r="B12" s="479">
        <f>B11+0.1</f>
        <v>1.2000000000000002</v>
      </c>
      <c r="C12" s="558" t="str">
        <f>Dictionary!B701</f>
        <v>Aufgaben und Prozesse</v>
      </c>
      <c r="D12" s="558" t="str">
        <f>Dictionary!B702</f>
        <v>Umfang der Aufgaben, Annahmen und Randbedingungen und deren Abhängigkeiten, eingesetzte Prozesse, Tools und Methoden, eingesetzte Team- und Kommunikationsstrukturen</v>
      </c>
      <c r="E12" s="557" t="str">
        <f>Dictionary!B703</f>
        <v>bekannte Aufgabenstellung und Randbedingungen; wenige Standard-/Reportingverfahren</v>
      </c>
      <c r="F12" s="557" t="str">
        <f>Dictionary!B704</f>
        <v>mehrere Aufgaben, ergänzt durch Annahmen; Einsatz bekannter Prozesse und Tools, einige Reporting-Vorgaben</v>
      </c>
      <c r="G12" s="557" t="str">
        <f>Dictionary!B705</f>
        <v>umfangreiches System von Aufgaben und Annahmen; viele Sachfaktoren; teilweise Einsatz neuartiger Tools und Prozesse, Reporting-Vorgaben</v>
      </c>
      <c r="H12" s="557" t="str">
        <f>Dictionary!B706</f>
        <v>sehr komplexe Aufgabenstellung, umfangreiches sachliches Umfeld; erfordert den Einsatz umfangreicher Prozess- und Toolwelt, strenge Reporting-Vorgaben</v>
      </c>
      <c r="I12" s="495"/>
      <c r="J12" s="495"/>
      <c r="K12" s="496"/>
    </row>
    <row r="13" spans="2:11" ht="65">
      <c r="B13" s="479">
        <f>B12+0.1</f>
        <v>1.3000000000000003</v>
      </c>
      <c r="C13" s="558" t="str">
        <f>Dictionary!B708</f>
        <v>Ressourcen und Finanzen</v>
      </c>
      <c r="D13" s="558" t="str">
        <f>Dictionary!B709</f>
        <v>Akquisition und Bereitstellung der erforderlichen Budgets sowie deren Management; Anzahl der Geldgeber; Verfügbarkeit und Qualität der notwendigen (personellen und sonstigen) Ressourcen; Ressourcen-Management und Beschaffungsprozesse</v>
      </c>
      <c r="E13" s="557" t="str">
        <f>Dictionary!B710</f>
        <v>Budget-Ermittlung ohne Verhandlung, einfache Kostenüberwachung; Ressourcen verfügbar, geringe Ressourcenkonflikte; geringfügige Beschaffungsvorgänge</v>
      </c>
      <c r="F13" s="557" t="str">
        <f>Dictionary!B711</f>
        <v>Budget-Ermittlung und  -Verhandlung; Verhandlung der benötigten Ressourcen, teilweise externe Ressourcen-Beschaffung</v>
      </c>
      <c r="G13" s="557" t="str">
        <f>Dictionary!B712</f>
        <v>Budget- und Ressourcenbeschaffung im Wettbewerb mit anderen Projekten; wesentliche Beschaffungsvorgänge</v>
      </c>
      <c r="H13" s="557" t="str">
        <f>Dictionary!B713</f>
        <v>Beschaffung wesentlicher Finanzmittel, Finanzierung durch unterschiedliche Geldgeber intern und extern; Steuerung wesentlicher Unterauftragnehmer</v>
      </c>
      <c r="I13" s="495"/>
      <c r="J13" s="495"/>
      <c r="K13" s="496"/>
    </row>
    <row r="14" spans="2:11" ht="60">
      <c r="B14" s="479">
        <f>B13+0.1</f>
        <v>1.4000000000000004</v>
      </c>
      <c r="C14" s="558" t="str">
        <f>Dictionary!B715</f>
        <v>Chancen und Risiken</v>
      </c>
      <c r="D14" s="558" t="str">
        <f>Dictionary!B716</f>
        <v xml:space="preserve">Bewertung der Chancen und Risiken im Projekt; Ermittlung und Steuerung des Risikosystems; Ableitung von validen Maßnahmen; Ermittlung und Nutzung von Chancen; Anwendung von Tools zur Steuerung des Risiko-Budgets </v>
      </c>
      <c r="E14" s="557" t="str">
        <f>Dictionary!B717</f>
        <v>wenige Risiken in überschaubarer Höhe, kein Chancen-Management</v>
      </c>
      <c r="F14" s="557" t="str">
        <f>Dictionary!B718</f>
        <v>mehrere Risiken und Chancen; stabiles Risiko-System; Management eines Risiko-Budgets</v>
      </c>
      <c r="G14" s="557" t="str">
        <f>Dictionary!B719</f>
        <v>mehrere Risiken mit begrenzter Schadenshöhe; Möglichkeit der Chancen-Nutzung zur Entlastung des Projektes</v>
      </c>
      <c r="H14" s="557" t="str">
        <f>Dictionary!B720</f>
        <v>Umfangreiches Risiko-Potential inklusive hoher strategischer Risiken; Anwendung valider Steuerungsmöglichkeiten; Meldung nach KONTRAG</v>
      </c>
      <c r="I14" s="495"/>
      <c r="J14" s="495"/>
      <c r="K14" s="496"/>
    </row>
    <row r="15" spans="2:11" s="387" customFormat="1" ht="24" customHeight="1">
      <c r="H15" s="387" t="str">
        <f>Dictionary!B721</f>
        <v>Durchschnitt der eingegebenen Detailbewertungen:</v>
      </c>
      <c r="I15" s="480" t="str">
        <f>IF(SUM(I11:I14)=0,"",ROUNDDOWN(AVERAGE(I11:I14),1))</f>
        <v/>
      </c>
      <c r="J15" s="480" t="str">
        <f>IF(SUM(J11:J14)=0,"",ROUNDDOWN(AVERAGE(J11:J14),1))</f>
        <v/>
      </c>
      <c r="K15" s="481"/>
    </row>
    <row r="16" spans="2:11">
      <c r="C16" s="473"/>
      <c r="D16" s="473"/>
      <c r="E16" s="482"/>
      <c r="F16" s="482"/>
      <c r="G16" s="482"/>
      <c r="H16" s="482"/>
    </row>
    <row r="17" spans="2:11" ht="30" customHeight="1">
      <c r="B17" s="477">
        <v>2</v>
      </c>
      <c r="C17" s="2180" t="str">
        <f>Dictionary!B723</f>
        <v>Indikatoren bezogen auf den Kontext</v>
      </c>
      <c r="D17" s="2181"/>
      <c r="E17" s="2181"/>
      <c r="F17" s="2181"/>
      <c r="G17" s="2181"/>
      <c r="H17" s="2182"/>
    </row>
    <row r="18" spans="2:11" ht="60">
      <c r="B18" s="479">
        <f>B17+0.1</f>
        <v>2.1</v>
      </c>
      <c r="C18" s="558" t="str">
        <f>Dictionary!B724</f>
        <v xml:space="preserve">Strategie, Stakeholder </v>
      </c>
      <c r="D18" s="558" t="str">
        <f>Dictionary!B725</f>
        <v>Einfluss der Unternehmens-Strategie, Auswirkungen des Projektes auf das Unternehmen, Stakeholder-Interessen;
Gesetze und Regularien</v>
      </c>
      <c r="E18" s="559" t="str">
        <f>Dictionary!B726</f>
        <v>wenige strategische Einflüsse; Projekt ist rein operativ ausgerichtet</v>
      </c>
      <c r="F18" s="559" t="str">
        <f>Dictionary!B727</f>
        <v>Stakeholder-Interessen  beeinflussen das Projekt begrenzte Einflüsse aus der Unternehmens-Strategie</v>
      </c>
      <c r="G18" s="559" t="str">
        <f>Dictionary!B728</f>
        <v>Viele Komponenten (?) unterschiedlicher Art</v>
      </c>
      <c r="H18" s="559" t="str">
        <f>Dictionary!B729</f>
        <v>Projekt hat erheblichen Einfluss auf das Unternehmen und seinen Erfolg; starke Auswirkungen von Gesetzen und Regularien</v>
      </c>
      <c r="I18" s="495"/>
      <c r="J18" s="495"/>
      <c r="K18" s="496"/>
    </row>
    <row r="19" spans="2:11" ht="135">
      <c r="B19" s="479">
        <f>B18+0.1</f>
        <v>2.2000000000000002</v>
      </c>
      <c r="C19" s="558" t="str">
        <f>Dictionary!B731</f>
        <v>Stammorganisation</v>
      </c>
      <c r="D19" s="558" t="str">
        <f>Dictionary!B732</f>
        <v>Umfang der Vernetzung über Schnittstellen des Projektes mit den Strukturen, Berichtswesen und Entscheidungswegen der Stammorganisation</v>
      </c>
      <c r="E19" s="559" t="str">
        <f>Dictionary!B733</f>
        <v xml:space="preserve">starke Abgrenzung des Projektes von der Stammorganisation, Entscheidungen fallen wesentlich in der Stammorganisation, viele ähnliche Projekte wurden bereits im Unternehmen durchgeführt </v>
      </c>
      <c r="F19" s="559" t="str">
        <f>Dictionary!B734</f>
        <v>klare Schnittstellen zur Stammorganisation z.B. über Leitungsgremium; Berichtswesen und Entscheidungswege begrenzt und klar definiert Projekt hat geringe Auswirkungen auf Prozesse der Stammorganisation,  ähnliche Projekte wurden bereits im Unternehmen durchgeführt</v>
      </c>
      <c r="G19" s="559" t="str">
        <f>Dictionary!B735</f>
        <v>viele operative Schnittstellen wirken auf  das Projekt ein; Berichte und Entscheidungen machen erheblichen Arbeitsanteil aus, Projekt hat  Auswirkungen auf Prozesse der Stammorganisation, wenige ähnliche Projekte wurden bereits im Unternehmen durchgeführt</v>
      </c>
      <c r="H19" s="559" t="str">
        <f>Dictionary!B736</f>
        <v>Starke Einflüsse der Stammorganisation auf strategischer Ebene; Entscheidungen durch Verhandlungen mit der Stammorganisation, Projekt hat starke Auswirkungen auf Prozesse der Stammorganisation , Projekt ist neuartig für Unternehmen</v>
      </c>
      <c r="I19" s="495"/>
      <c r="J19" s="495"/>
      <c r="K19" s="496"/>
    </row>
    <row r="20" spans="2:11" ht="65">
      <c r="B20" s="479">
        <f>B19+0.1</f>
        <v>2.3000000000000003</v>
      </c>
      <c r="C20" s="558" t="str">
        <f>Dictionary!B738</f>
        <v>Sozio-Kulturelle Einflüsse</v>
      </c>
      <c r="D20" s="558" t="str">
        <f>Dictionary!B739</f>
        <v>Einfluss der sozio-kulturellen Unterschiede im Projektteam, insbesondere bei verteilten oder Firmen-übergreifenden Teams</v>
      </c>
      <c r="E20" s="557" t="str">
        <f>Dictionary!B740</f>
        <v>keine Auswirkungen zu erwarten (Projekt an einem Standort, eine Sprache, homogene Projektgruppe)</v>
      </c>
      <c r="F20" s="557" t="str">
        <f>Dictionary!B741</f>
        <v>wenig Auswirkungen zu erwarten</v>
      </c>
      <c r="G20" s="557" t="str">
        <f>Dictionary!B742</f>
        <v>Auswirkungen infolge lokal verteilter Teams, mehreren Sprachen oder heterogenen Kulturkreisen erfordern in Einzelfällen Führungsmaßnahmen</v>
      </c>
      <c r="H20" s="557" t="str">
        <f>Dictionary!B743</f>
        <v>Auswirkungen infolge lokal verteilter Teams oder großer Teams aus unterschiedlichen Unternehmen und Kulturkreisen erfordern umfangreiche Führungsmaßnahmen</v>
      </c>
      <c r="I20" s="495"/>
      <c r="J20" s="495"/>
      <c r="K20" s="496"/>
    </row>
    <row r="21" spans="2:11" s="387" customFormat="1" ht="24" customHeight="1">
      <c r="H21" s="387" t="str">
        <f>Dictionary!B744</f>
        <v>Durchschnitt der eingegebenen Detailbewertungen:</v>
      </c>
      <c r="I21" s="480" t="str">
        <f>IF(SUM(I18:I20)=0,"",ROUNDDOWN(AVERAGE(I18:I20),1))</f>
        <v/>
      </c>
      <c r="J21" s="480" t="str">
        <f>IF(SUM(J18:J20)=0,"",ROUNDDOWN(AVERAGE(J18:J20),1))</f>
        <v/>
      </c>
      <c r="K21" s="481"/>
    </row>
    <row r="22" spans="2:11">
      <c r="C22" s="473"/>
      <c r="D22" s="473"/>
      <c r="E22" s="482"/>
      <c r="F22" s="482"/>
      <c r="G22" s="482"/>
      <c r="H22" s="482"/>
    </row>
    <row r="23" spans="2:11" ht="30" customHeight="1">
      <c r="B23" s="477">
        <v>3</v>
      </c>
      <c r="C23" s="2180" t="str">
        <f>Dictionary!B746</f>
        <v>Indikatoren bezogen auf Management und Führung</v>
      </c>
      <c r="D23" s="2181"/>
      <c r="E23" s="2181"/>
      <c r="F23" s="2181"/>
      <c r="G23" s="2181"/>
      <c r="H23" s="2182"/>
    </row>
    <row r="24" spans="2:11" ht="90">
      <c r="B24" s="479">
        <f>B23+0.1</f>
        <v>3.1</v>
      </c>
      <c r="C24" s="560" t="str">
        <f>Dictionary!B747</f>
        <v xml:space="preserve">Führung und Teamwork </v>
      </c>
      <c r="D24" s="560" t="str">
        <f>Dictionary!B748</f>
        <v>Umfang der Führungs-, Teambildungs und-Steuerungsmaßnahmen</v>
      </c>
      <c r="E24" s="559" t="str">
        <f>Dictionary!B749</f>
        <v>fast alle Teammitglieder haben bereits mit PL gearbeitet, PL hat Erfahrung im Mgt von Teams über 5 J, Governance Vorgaben sind klar definiert, das Projektteam hat hohe PM Skills</v>
      </c>
      <c r="F24" s="559" t="str">
        <f>Dictionary!B750</f>
        <v>sehr viele Teammitglieder haben bereits mit PL gearbeitet, PL hat Erfahrung im Mgt von Teams über 3 J, governance Vorgaben sind teilweise definiert, das Projektteam hat  PM Skills</v>
      </c>
      <c r="G24" s="559" t="str">
        <f>Dictionary!B751</f>
        <v>viele Teammitglieder haben bereits mit PL gearbeitet, PL hat Erfahrung im Mgt von Teams über 1-2 J, einige Governance Vorgaben sind klar definiert, das Projektteam hat einige PM Skills</v>
      </c>
      <c r="H24" s="559" t="str">
        <f>Dictionary!B752</f>
        <v>wenige Teammitglieder haben bereits mit PL gearbeitet, PL hat Erfahrung im Mgt von Teams weniger 1J, wenige Governance Vorgaben sind definiert, das Projektteam hat sehr wenig PM Skills</v>
      </c>
      <c r="I24" s="495"/>
      <c r="J24" s="495"/>
      <c r="K24" s="496"/>
    </row>
    <row r="25" spans="2:11" ht="91" customHeight="1">
      <c r="B25" s="479">
        <f>B24+0.1</f>
        <v>3.2</v>
      </c>
      <c r="C25" s="558" t="str">
        <f>Dictionary!B754</f>
        <v xml:space="preserve"> Innovation</v>
      </c>
      <c r="D25" s="558" t="str">
        <f>Dictionary!B755</f>
        <v>technische Neuartigkeit des Projektes und seine Auswirkungen auf Ressourcenauswahl und Aus- und Weiterbildung während des Projektes; Umgang mit neuartigen Ansätzen und Ergebnissen</v>
      </c>
      <c r="E25" s="559" t="str">
        <f>Dictionary!B756</f>
        <v>kein Handlungsbedarf infolge geringer Neuartigkeit, z.B. Wiederholprojekte</v>
      </c>
      <c r="F25" s="559" t="str">
        <f>Dictionary!B757</f>
        <v>einige Maßnahmen erforderlich infolge der Neuartigkeit in einzelnen Bereichen</v>
      </c>
      <c r="G25" s="559" t="str">
        <f>Dictionary!B758</f>
        <v>Neuartigkeit des Projektgegenstandes und/oder von Prozessen bedingt vorbereitende Qualifizerungsmaßnahmen</v>
      </c>
      <c r="H25" s="559" t="str">
        <f>Dictionary!B759</f>
        <v xml:space="preserve">Neuartigkeit des Projektgegenstandes und/oder von Prozessen in Verbindung mit großem Projektvolumen bedingt Planung der Qualifizierung, aber auch intensives Risiko-Management </v>
      </c>
      <c r="I25" s="495"/>
      <c r="J25" s="495"/>
      <c r="K25" s="496"/>
    </row>
    <row r="26" spans="2:11" ht="60">
      <c r="B26" s="479">
        <f>B25+0.1</f>
        <v>3.3000000000000003</v>
      </c>
      <c r="C26" s="558" t="str">
        <f>Dictionary!B761</f>
        <v>Autonomie und Verantwortung</v>
      </c>
      <c r="D26" s="558" t="str">
        <f>Dictionary!B762</f>
        <v>Entscheidungs- und Verantwortungsspielraum des Projektleiters; Umfang der Delegation in das Projektteam; Vertretung des Projektes gegenüber dem gesamten sozialen Umfeld</v>
      </c>
      <c r="E26" s="559" t="str">
        <f>Dictionary!B763</f>
        <v xml:space="preserve">wenig Autonomie/Gestaltungsspielräume des PL bzgl. Entscheidungen und Vertretung des Projektes nach aussen </v>
      </c>
      <c r="F26" s="559" t="str">
        <f>Dictionary!B764</f>
        <v>Verhandlung Lasten- und Pflichtenheft; Gesaltungs-spielräume ergeben sich hauptsächlich durch Änderungsprozesse</v>
      </c>
      <c r="G26" s="559" t="str">
        <f>Dictionary!B765</f>
        <v>Projektleiter vertritt das Projekt und damit auch das Unternehmen auch gegenüber externen Stakeholdern</v>
      </c>
      <c r="H26" s="559" t="str">
        <f>Dictionary!B766</f>
        <v>umfangreiche Verantwortungs- und Entscheidungsspielräume, z.B. durch Vollmachts- oder Unterschriftenregelung</v>
      </c>
      <c r="I26" s="495"/>
      <c r="J26" s="495"/>
      <c r="K26" s="496"/>
    </row>
    <row r="27" spans="2:11" s="387" customFormat="1" ht="24" customHeight="1">
      <c r="H27" s="387" t="str">
        <f>Dictionary!B767</f>
        <v>Durchschnitt der eingegebenen Detailbewertungen:</v>
      </c>
      <c r="I27" s="480" t="str">
        <f>IF(SUM(I24:I26)=0,"",ROUNDDOWN(AVERAGE(I24:I26),1))</f>
        <v/>
      </c>
      <c r="J27" s="480" t="str">
        <f>IF(SUM(J24:J26)=0,"",ROUNDDOWN(AVERAGE(J24:J26),1))</f>
        <v/>
      </c>
      <c r="K27" s="481"/>
    </row>
    <row r="28" spans="2:11">
      <c r="C28" s="473"/>
      <c r="D28" s="473"/>
      <c r="E28" s="482"/>
      <c r="F28" s="482"/>
      <c r="G28" s="482"/>
      <c r="H28" s="482"/>
    </row>
    <row r="29" spans="2:11" ht="17" customHeight="1"/>
    <row r="30" spans="2:11" ht="17" customHeight="1">
      <c r="F30" s="334" t="str">
        <f>Dictionary!B768</f>
        <v>Zusammenfassende Bewertungen (gerundet)</v>
      </c>
    </row>
    <row r="31" spans="2:11" ht="17" customHeight="1">
      <c r="G31" s="483" t="str">
        <f>Dictionary!B769</f>
        <v>Indikator</v>
      </c>
      <c r="H31" s="471">
        <v>1</v>
      </c>
      <c r="I31" s="484" t="str">
        <f>IF(I15="","",I15)</f>
        <v/>
      </c>
      <c r="J31" s="484" t="str">
        <f>IF(J15="","",J15)</f>
        <v/>
      </c>
    </row>
    <row r="32" spans="2:11" ht="17" customHeight="1">
      <c r="G32" s="483" t="str">
        <f>Dictionary!B769</f>
        <v>Indikator</v>
      </c>
      <c r="H32" s="471">
        <f>1+H31</f>
        <v>2</v>
      </c>
      <c r="I32" s="485" t="str">
        <f>IF(I21="","",I21)</f>
        <v/>
      </c>
      <c r="J32" s="485" t="str">
        <f>IF(J21="","",J21)</f>
        <v/>
      </c>
    </row>
    <row r="33" spans="2:12" ht="17" customHeight="1">
      <c r="G33" s="483" t="str">
        <f>Dictionary!B769</f>
        <v>Indikator</v>
      </c>
      <c r="H33" s="471">
        <f>1+H32</f>
        <v>3</v>
      </c>
      <c r="I33" s="485" t="str">
        <f>IF(I27="","",I27)</f>
        <v/>
      </c>
      <c r="J33" s="485" t="str">
        <f>IF(J27="","",J27)</f>
        <v/>
      </c>
    </row>
    <row r="34" spans="2:12" s="473" customFormat="1" ht="17" customHeight="1">
      <c r="B34" s="471"/>
      <c r="C34" s="472"/>
      <c r="D34" s="472"/>
      <c r="E34" s="472"/>
      <c r="F34" s="472"/>
      <c r="G34" s="472"/>
      <c r="H34" s="387" t="str">
        <f>Dictionary!B770</f>
        <v xml:space="preserve">Gesamtbewertung   </v>
      </c>
      <c r="I34" s="485">
        <f>SUM(I11:I14)+SUM(I18:I20)+SUM(I24:I26)</f>
        <v>0</v>
      </c>
      <c r="J34" s="485">
        <f>SUM(J11:J14)+SUM(J18:J20)+SUM(J24:J26)</f>
        <v>0</v>
      </c>
      <c r="L34" s="472"/>
    </row>
    <row r="35" spans="2:12" s="473" customFormat="1" ht="17" customHeight="1">
      <c r="B35" s="471"/>
      <c r="C35" s="472"/>
      <c r="D35" s="472"/>
      <c r="E35" s="472"/>
      <c r="F35" s="472"/>
      <c r="G35" s="472"/>
      <c r="H35" s="387"/>
      <c r="I35" s="486"/>
      <c r="J35" s="486"/>
      <c r="L35" s="472"/>
    </row>
    <row r="36" spans="2:12" s="473" customFormat="1" ht="17" customHeight="1">
      <c r="B36" s="471"/>
      <c r="C36" s="487"/>
      <c r="D36" s="487"/>
      <c r="E36" s="472"/>
      <c r="F36" s="472"/>
      <c r="G36" s="472"/>
      <c r="H36" s="472"/>
      <c r="I36" s="471"/>
      <c r="J36" s="471"/>
      <c r="L36" s="472"/>
    </row>
    <row r="37" spans="2:12" s="473" customFormat="1" ht="17" customHeight="1" thickBot="1">
      <c r="B37" s="460"/>
      <c r="C37" s="460"/>
      <c r="D37" s="460"/>
      <c r="E37" s="460"/>
      <c r="F37" s="460"/>
      <c r="G37" s="460"/>
      <c r="H37" s="460"/>
      <c r="I37" s="460"/>
      <c r="J37" s="460"/>
      <c r="K37" s="460"/>
      <c r="L37" s="472"/>
    </row>
    <row r="38" spans="2:12" s="473" customFormat="1" ht="17" customHeight="1">
      <c r="B38" s="89"/>
      <c r="C38" s="89"/>
      <c r="D38" s="89"/>
      <c r="F38" s="472"/>
      <c r="G38" s="472"/>
      <c r="H38" s="472"/>
      <c r="I38" s="471"/>
      <c r="J38" s="471"/>
      <c r="K38" s="464" t="s">
        <v>105</v>
      </c>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ht="17" customHeight="1"/>
    <row r="50" ht="17" customHeight="1"/>
    <row r="51" ht="17" customHeight="1"/>
    <row r="52" ht="17" customHeight="1"/>
    <row r="53" ht="17" customHeight="1"/>
    <row r="54" ht="17" customHeight="1"/>
    <row r="55" ht="17" customHeight="1"/>
    <row r="56" ht="17" customHeight="1"/>
    <row r="57" ht="17" customHeight="1"/>
    <row r="58" ht="17" customHeight="1"/>
    <row r="59" ht="17" customHeight="1"/>
    <row r="60" ht="17" customHeight="1"/>
    <row r="61" ht="17" customHeight="1"/>
    <row r="62" ht="17" customHeight="1"/>
    <row r="63" ht="17" customHeight="1"/>
    <row r="64" ht="17" customHeight="1"/>
    <row r="65" ht="17" customHeight="1"/>
    <row r="66" ht="17" customHeight="1"/>
    <row r="67" ht="17" customHeight="1"/>
    <row r="68" ht="17" customHeight="1"/>
    <row r="69" ht="17" customHeight="1"/>
    <row r="70" ht="17" customHeight="1"/>
  </sheetData>
  <sheetProtection algorithmName="SHA-512" hashValue="nOrX8pzXXV1qw6A5elsvD7PFCGbUvD8eaj35m4iUd4YD0rAfBMtxE47EN7RN3aFZfLAfI+bKAkXcZPiSa+rsQw==" saltValue="y/yfmSnIAr2YjsLVSAdA/w==" spinCount="100000" sheet="1" objects="1" scenarios="1" selectLockedCells="1"/>
  <mergeCells count="9">
    <mergeCell ref="C10:H10"/>
    <mergeCell ref="C17:H17"/>
    <mergeCell ref="C23:H23"/>
    <mergeCell ref="B3:K3"/>
    <mergeCell ref="F6:H6"/>
    <mergeCell ref="B8:B9"/>
    <mergeCell ref="C8:D9"/>
    <mergeCell ref="E8:H8"/>
    <mergeCell ref="I8:K8"/>
  </mergeCells>
  <conditionalFormatting sqref="I35:J35">
    <cfRule type="cellIs" dxfId="399" priority="1" operator="equal">
      <formula>"Yes"</formula>
    </cfRule>
    <cfRule type="cellIs" dxfId="398" priority="2" operator="equal">
      <formula>"No"</formula>
    </cfRule>
  </conditionalFormatting>
  <dataValidations count="1">
    <dataValidation type="whole" allowBlank="1" showInputMessage="1" showErrorMessage="1" sqref="I11:J14 I18:J20 I24:J26" xr:uid="{00000000-0002-0000-28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DAD82-82D1-4E8D-A31D-B5E8CEAA6C63}">
  <sheetPr codeName="Sheet14">
    <tabColor theme="9"/>
  </sheetPr>
  <dimension ref="B1:E68"/>
  <sheetViews>
    <sheetView topLeftCell="A4" zoomScale="130" zoomScaleNormal="130" workbookViewId="0">
      <selection activeCell="B19" sqref="B19:E19"/>
    </sheetView>
  </sheetViews>
  <sheetFormatPr baseColWidth="10" defaultColWidth="11.5" defaultRowHeight="15"/>
  <cols>
    <col min="1" max="1" width="2.5" style="89" customWidth="1"/>
    <col min="2" max="2" width="45.5" style="89" customWidth="1"/>
    <col min="3" max="3" width="22.83203125" style="89" customWidth="1"/>
    <col min="4" max="4" width="32" style="89" customWidth="1"/>
    <col min="5" max="5" width="22.83203125" style="89" customWidth="1"/>
    <col min="6" max="6" width="3.1640625" style="89" customWidth="1"/>
    <col min="7" max="7" width="20" style="89" customWidth="1"/>
    <col min="8" max="9" width="11.5" style="89"/>
    <col min="10" max="10" width="8.5" style="89" customWidth="1"/>
    <col min="11" max="16384" width="11.5" style="89"/>
  </cols>
  <sheetData>
    <row r="1" spans="2:5" ht="15.75" customHeight="1" thickBot="1">
      <c r="B1" s="497" t="str">
        <f ca="1">COV!C20</f>
        <v>DECKBLATT BITTE VOLLSTÄNDIG AUSFÜLLEN!</v>
      </c>
      <c r="C1" s="459"/>
      <c r="D1" s="459"/>
      <c r="E1" s="459"/>
    </row>
    <row r="2" spans="2:5" ht="5.25" customHeight="1" thickTop="1"/>
    <row r="3" spans="2:5" ht="21">
      <c r="B3" s="2046" t="str">
        <f>Dictionary!B614&amp;'(7b) Project List'!A19</f>
        <v>Steckbrief für Management Erfahrung 11</v>
      </c>
      <c r="C3" s="2046"/>
      <c r="D3" s="2046"/>
      <c r="E3" s="2046"/>
    </row>
    <row r="4" spans="2:5" ht="21">
      <c r="B4" s="488"/>
      <c r="C4" s="488"/>
      <c r="D4" s="488"/>
      <c r="E4" s="488"/>
    </row>
    <row r="5" spans="2:5" ht="21">
      <c r="B5" s="489" t="str">
        <f>EXP!B5</f>
        <v xml:space="preserve"> , Level A, Projekt Management, Erstzertifizierung</v>
      </c>
      <c r="C5" s="490"/>
      <c r="D5" s="490"/>
      <c r="E5" s="490"/>
    </row>
    <row r="7" spans="2:5">
      <c r="B7" s="2013" t="str">
        <f>Dictionary!B618</f>
        <v>Kopfzeile</v>
      </c>
      <c r="C7" s="2013"/>
      <c r="D7" s="2013"/>
      <c r="E7" s="2013"/>
    </row>
    <row r="8" spans="2:5" ht="16.5" customHeight="1">
      <c r="B8" s="503" t="str">
        <f>EXP!D19&amp;" "&amp;Dictionary!B615</f>
        <v xml:space="preserve"> Name </v>
      </c>
      <c r="C8" s="504" t="str">
        <f>IF('(7b) Project List'!B19="","",'(7b) Project List'!B19)</f>
        <v/>
      </c>
      <c r="D8" s="508" t="str">
        <f>EXP!D19&amp;" "&amp;Dictionary!B616</f>
        <v xml:space="preserve"> Nummer </v>
      </c>
      <c r="E8" s="509"/>
    </row>
    <row r="9" spans="2:5" ht="16.5" customHeight="1">
      <c r="B9" s="510" t="str">
        <f>Dictionary!B617</f>
        <v>Kunde/AuftraggeberIn:</v>
      </c>
      <c r="C9" s="2138"/>
      <c r="D9" s="2138"/>
      <c r="E9" s="511"/>
    </row>
    <row r="10" spans="2:5" ht="16.5" customHeight="1"/>
    <row r="11" spans="2:5" ht="16.5" customHeight="1">
      <c r="B11" s="2013" t="str">
        <f>Dictionary!B620</f>
        <v>Governance &amp; eigene Rolle</v>
      </c>
      <c r="C11" s="2013"/>
      <c r="D11" s="2013"/>
      <c r="E11" s="2013"/>
    </row>
    <row r="12" spans="2:5" ht="16.5" customHeight="1">
      <c r="B12" s="503" t="str">
        <f>Dictionary!B621</f>
        <v>Eigene Rolle:</v>
      </c>
      <c r="C12" s="504" t="str">
        <f>IF('(7b) Project List'!E19="","",'(7b) Project List'!E19)</f>
        <v/>
      </c>
      <c r="D12" s="2130" t="str">
        <f>Dictionary!B622</f>
        <v>Anmerkungen:</v>
      </c>
      <c r="E12" s="2131"/>
    </row>
    <row r="13" spans="2:5" ht="16.5" customHeight="1">
      <c r="B13" s="505" t="str">
        <f>Dictionary!B623</f>
        <v>Verantwortung für den Umfang/die Ergebnisse:</v>
      </c>
      <c r="C13" s="506"/>
      <c r="D13" s="2142"/>
      <c r="E13" s="2143"/>
    </row>
    <row r="14" spans="2:5" ht="16.5" customHeight="1">
      <c r="B14" s="505" t="str">
        <f>Dictionary!B624</f>
        <v>Verantwortung für die Terminplanung:</v>
      </c>
      <c r="C14" s="506"/>
      <c r="D14" s="2142"/>
      <c r="E14" s="2143"/>
    </row>
    <row r="15" spans="2:5" ht="16.5" customHeight="1">
      <c r="B15" s="505" t="str">
        <f>Dictionary!B625</f>
        <v>Verantwortung für das Budget:</v>
      </c>
      <c r="C15" s="506"/>
      <c r="D15" s="2142"/>
      <c r="E15" s="2143"/>
    </row>
    <row r="16" spans="2:5" ht="16.5" customHeight="1">
      <c r="B16" s="561" t="str">
        <f>EXP!D19&amp;" "&amp;Dictionary!B627</f>
        <v xml:space="preserve"> Typ</v>
      </c>
      <c r="C16" s="507"/>
      <c r="D16" s="2142"/>
      <c r="E16" s="2143"/>
    </row>
    <row r="17" spans="2:5" ht="16.5" customHeight="1">
      <c r="B17" s="561" t="str">
        <f>Dictionary!B626</f>
        <v>Art der PM Organisation</v>
      </c>
      <c r="C17" s="507"/>
      <c r="D17" s="2142"/>
      <c r="E17" s="2143"/>
    </row>
    <row r="18" spans="2:5" ht="16.5" customHeight="1">
      <c r="B18" s="2139" t="str">
        <f>Dictionary!B628</f>
        <v>Kurze Beschreibung Ihrer eigenen Rolle, Verantwortung und Aktivitäten; wem sind Sie unterstellt?</v>
      </c>
      <c r="C18" s="2140"/>
      <c r="D18" s="2140"/>
      <c r="E18" s="2141"/>
    </row>
    <row r="19" spans="2:5" ht="57" customHeight="1">
      <c r="B19" s="2149"/>
      <c r="C19" s="2150"/>
      <c r="D19" s="2150"/>
      <c r="E19" s="2151"/>
    </row>
    <row r="20" spans="2:5" ht="18" customHeight="1"/>
    <row r="21" spans="2:5" ht="16.5" customHeight="1">
      <c r="B21" s="2013" t="str">
        <f>Dictionary!B630</f>
        <v>Allgemeine Informationen und Beschreibung</v>
      </c>
      <c r="C21" s="2013"/>
      <c r="D21" s="2013"/>
      <c r="E21" s="2013"/>
    </row>
    <row r="22" spans="2:5" ht="16.5" customHeight="1">
      <c r="B22" s="2157" t="str">
        <f>Dictionary!B631</f>
        <v>Kurze Beschreibung der KPI, Ergebnisse und Liefergegenstände:</v>
      </c>
      <c r="C22" s="2158"/>
      <c r="D22" s="2158"/>
      <c r="E22" s="2159"/>
    </row>
    <row r="23" spans="2:5" ht="57" customHeight="1">
      <c r="B23" s="2160"/>
      <c r="C23" s="2161"/>
      <c r="D23" s="2161"/>
      <c r="E23" s="2162"/>
    </row>
    <row r="24" spans="2:5" ht="16.5" customHeight="1">
      <c r="B24" s="2139" t="str">
        <f>Dictionary!B632</f>
        <v>Kurze Beschreibung des Umfangs und der Ziele, für die Sie verantwortlich sind:</v>
      </c>
      <c r="C24" s="2140"/>
      <c r="D24" s="2140"/>
      <c r="E24" s="2141"/>
    </row>
    <row r="25" spans="2:5" ht="57" customHeight="1">
      <c r="B25" s="2160"/>
      <c r="C25" s="2161"/>
      <c r="D25" s="2161"/>
      <c r="E25" s="2162"/>
    </row>
    <row r="26" spans="2:5" ht="16.5" customHeight="1">
      <c r="B26" s="2139" t="str">
        <f>Dictionary!B633</f>
        <v>Informationen über erhebliche Planabweichungen und/oder kritische Managementsituationen:</v>
      </c>
      <c r="C26" s="2140"/>
      <c r="D26" s="2140"/>
      <c r="E26" s="2141"/>
    </row>
    <row r="27" spans="2:5" ht="54.75" customHeight="1">
      <c r="B27" s="2146"/>
      <c r="C27" s="2152"/>
      <c r="D27" s="2152"/>
      <c r="E27" s="2153"/>
    </row>
    <row r="28" spans="2:5" ht="18" customHeight="1"/>
    <row r="29" spans="2:5" ht="18" customHeight="1">
      <c r="B29" s="2013" t="str">
        <f>EXP!D19&amp;" "&amp;Dictionary!B635</f>
        <v xml:space="preserve"> Planung</v>
      </c>
      <c r="C29" s="2013"/>
      <c r="D29" s="2013"/>
      <c r="E29" s="2013"/>
    </row>
    <row r="30" spans="2:5" ht="16.5" customHeight="1">
      <c r="B30" s="512" t="str">
        <f>Dictionary!B636</f>
        <v>Beginn des Vorhabens:</v>
      </c>
      <c r="C30" s="513" t="str">
        <f>C31</f>
        <v/>
      </c>
      <c r="D30" s="508" t="str">
        <f>Dictionary!B642</f>
        <v>Ende des Vorhabens:</v>
      </c>
      <c r="E30" s="514" t="str">
        <f>E31</f>
        <v/>
      </c>
    </row>
    <row r="31" spans="2:5" ht="16.5" customHeight="1">
      <c r="B31" s="515" t="str">
        <f>Dictionary!B637</f>
        <v>Ihr Beginn in dieser Rolle:</v>
      </c>
      <c r="C31" s="516" t="str">
        <f>IF('(7b) Project List'!F19="","",'(7b) Project List'!F19)</f>
        <v/>
      </c>
      <c r="D31" s="517" t="str">
        <f>Dictionary!B643</f>
        <v>Ende Ihrer Beteiligung:</v>
      </c>
      <c r="E31" s="518" t="str">
        <f>IF('(7b) Project List'!G19="","",'(7b) Project List'!G19)</f>
        <v/>
      </c>
    </row>
    <row r="32" spans="2:5" ht="16.5" customHeight="1">
      <c r="B32" s="2139" t="str">
        <f>IF(ISNUMBER(SEARCH("ortfolio",B29)),Dictionary!B640,Dictionary!B638)</f>
        <v>Phasen:</v>
      </c>
      <c r="C32" s="2140"/>
      <c r="D32" s="2140" t="str">
        <f>IF(ISNUMBER(SEARCH("ortfolio",B29)),Dictionary!B641,Dictionary!B639)</f>
        <v>Meilensteine:</v>
      </c>
      <c r="E32" s="2141"/>
    </row>
    <row r="33" spans="2:5">
      <c r="B33" s="2154"/>
      <c r="C33" s="2142"/>
      <c r="D33" s="2133"/>
      <c r="E33" s="2143"/>
    </row>
    <row r="34" spans="2:5">
      <c r="B34" s="2155"/>
      <c r="C34" s="2142"/>
      <c r="D34" s="2142"/>
      <c r="E34" s="2143"/>
    </row>
    <row r="35" spans="2:5">
      <c r="B35" s="2155"/>
      <c r="C35" s="2142"/>
      <c r="D35" s="2142"/>
      <c r="E35" s="2143"/>
    </row>
    <row r="36" spans="2:5">
      <c r="B36" s="2155"/>
      <c r="C36" s="2142"/>
      <c r="D36" s="2142"/>
      <c r="E36" s="2143"/>
    </row>
    <row r="37" spans="2:5">
      <c r="B37" s="2155"/>
      <c r="C37" s="2142"/>
      <c r="D37" s="2142"/>
      <c r="E37" s="2143"/>
    </row>
    <row r="38" spans="2:5">
      <c r="B38" s="2155"/>
      <c r="C38" s="2142"/>
      <c r="D38" s="2142"/>
      <c r="E38" s="2143"/>
    </row>
    <row r="39" spans="2:5">
      <c r="B39" s="2155"/>
      <c r="C39" s="2142"/>
      <c r="D39" s="2142"/>
      <c r="E39" s="2143"/>
    </row>
    <row r="40" spans="2:5">
      <c r="B40" s="2155"/>
      <c r="C40" s="2142"/>
      <c r="D40" s="2142"/>
      <c r="E40" s="2143"/>
    </row>
    <row r="41" spans="2:5">
      <c r="B41" s="2155"/>
      <c r="C41" s="2142"/>
      <c r="D41" s="2142"/>
      <c r="E41" s="2143"/>
    </row>
    <row r="42" spans="2:5">
      <c r="B42" s="2156"/>
      <c r="C42" s="2150"/>
      <c r="D42" s="2150"/>
      <c r="E42" s="2151"/>
    </row>
    <row r="44" spans="2:5" ht="18" customHeight="1">
      <c r="B44" s="2132" t="str">
        <f>IF(PMO_MODE="",Dictionary!B645,IF(ISNUMBER(FIND(EXP!C42,B8)),Dictionary!B646,Dictionary!B645))</f>
        <v>Ressourcen, für die Sie direkt verantwortlich sind</v>
      </c>
      <c r="C44" s="2132"/>
      <c r="D44" s="2132"/>
      <c r="E44" s="2132"/>
    </row>
    <row r="45" spans="2:5" ht="16.5" customHeight="1">
      <c r="B45" s="519"/>
      <c r="C45" s="524" t="str">
        <f>Dictionary!B647</f>
        <v>Wert</v>
      </c>
      <c r="D45" s="2130" t="str">
        <f>Dictionary!B648</f>
        <v>Anmerkungen</v>
      </c>
      <c r="E45" s="2131"/>
    </row>
    <row r="46" spans="2:5" ht="16">
      <c r="B46" s="520" t="str">
        <f>Dictionary!B649</f>
        <v>Anzahl der Ihnen direkt unterstellten Teammitglieder:</v>
      </c>
      <c r="C46" s="1720"/>
      <c r="D46" s="2133"/>
      <c r="E46" s="2134"/>
    </row>
    <row r="47" spans="2:5" ht="32">
      <c r="B47" s="520" t="str">
        <f>Dictionary!B650</f>
        <v>Anzahl der Mitglieder des Teams gemäß dem Organigramm (inkl. Sie selbst):</v>
      </c>
      <c r="C47" s="1720"/>
      <c r="D47" s="2133"/>
      <c r="E47" s="2134"/>
    </row>
    <row r="48" spans="2:5" ht="16.5" customHeight="1">
      <c r="B48" s="521" t="str">
        <f>Dictionary!B651</f>
        <v>Gesamtaufwand [Personentage]:</v>
      </c>
      <c r="C48" s="1720"/>
      <c r="D48" s="2133"/>
      <c r="E48" s="2134"/>
    </row>
    <row r="49" spans="2:5" ht="16.5" customHeight="1">
      <c r="B49" s="522" t="str">
        <f>Dictionary!B652</f>
        <v>Externer Arbeitsaufwand [Personentage]:</v>
      </c>
      <c r="C49" s="1720"/>
      <c r="D49" s="2133"/>
      <c r="E49" s="2134"/>
    </row>
    <row r="50" spans="2:5" ht="16.5" customHeight="1">
      <c r="B50" s="522" t="str">
        <f>Dictionary!B653</f>
        <v>Interner Arbeitsaufwand [Personentage]:</v>
      </c>
      <c r="C50" s="1720"/>
      <c r="D50" s="2133"/>
      <c r="E50" s="2134"/>
    </row>
    <row r="51" spans="2:5" ht="16.5" customHeight="1">
      <c r="B51" s="522" t="str">
        <f>Dictionary!B654</f>
        <v>Enthaltener PM-Aufwand [Personentage]:</v>
      </c>
      <c r="C51" s="1720"/>
      <c r="D51" s="2133"/>
      <c r="E51" s="2134"/>
    </row>
    <row r="52" spans="2:5" ht="16.5" customHeight="1">
      <c r="B52" s="522" t="str">
        <f>Dictionary!B655</f>
        <v>Budget (Aufwand) unter Ihrer Verantwortung [€]:</v>
      </c>
      <c r="C52" s="1721"/>
      <c r="D52" s="2133"/>
      <c r="E52" s="2134"/>
    </row>
    <row r="53" spans="2:5" ht="16.5" customHeight="1">
      <c r="B53" s="523" t="str">
        <f>Dictionary!B656</f>
        <v>Budget (Sachmittel) unter Ihrer Verantwortung [€]:</v>
      </c>
      <c r="C53" s="1722"/>
      <c r="D53" s="2144"/>
      <c r="E53" s="2145"/>
    </row>
    <row r="54" spans="2:5" ht="16.5" customHeight="1">
      <c r="B54" s="1615" t="str">
        <f>Dictionary!B657</f>
        <v>Gesamtbudget unter Ihrer Verantwortung [€]:</v>
      </c>
      <c r="C54" s="1723">
        <f>C52+C53</f>
        <v>0</v>
      </c>
      <c r="D54" s="1724"/>
      <c r="E54" s="1725"/>
    </row>
    <row r="55" spans="2:5" ht="18" customHeight="1"/>
    <row r="56" spans="2:5" ht="18" customHeight="1">
      <c r="B56" s="2013" t="str">
        <f>Dictionary!B658</f>
        <v xml:space="preserve">Anmerkungen </v>
      </c>
      <c r="C56" s="2013"/>
      <c r="D56" s="2013"/>
      <c r="E56" s="2013"/>
    </row>
    <row r="57" spans="2:5" ht="16.5" customHeight="1">
      <c r="B57" s="2157" t="str">
        <f>Dictionary!B659</f>
        <v>Anmerkungen zur Komplexität:</v>
      </c>
      <c r="C57" s="2158"/>
      <c r="D57" s="2158"/>
      <c r="E57" s="2159"/>
    </row>
    <row r="58" spans="2:5">
      <c r="B58" s="2135"/>
      <c r="C58" s="2136"/>
      <c r="D58" s="2136"/>
      <c r="E58" s="2137"/>
    </row>
    <row r="59" spans="2:5">
      <c r="B59" s="2135"/>
      <c r="C59" s="2136"/>
      <c r="D59" s="2136"/>
      <c r="E59" s="2137"/>
    </row>
    <row r="60" spans="2:5" ht="27" customHeight="1">
      <c r="B60" s="2135"/>
      <c r="C60" s="2136"/>
      <c r="D60" s="2136"/>
      <c r="E60" s="2137"/>
    </row>
    <row r="61" spans="2:5" ht="16.5" customHeight="1">
      <c r="B61" s="2139" t="str">
        <f>Dictionary!B660</f>
        <v>Allgemeine Anmerkungen:</v>
      </c>
      <c r="C61" s="2140"/>
      <c r="D61" s="2140"/>
      <c r="E61" s="2141"/>
    </row>
    <row r="62" spans="2:5" ht="15" customHeight="1">
      <c r="B62" s="2135"/>
      <c r="C62" s="2136"/>
      <c r="D62" s="2136"/>
      <c r="E62" s="2137"/>
    </row>
    <row r="63" spans="2:5">
      <c r="B63" s="2135"/>
      <c r="C63" s="2136"/>
      <c r="D63" s="2136"/>
      <c r="E63" s="2137"/>
    </row>
    <row r="64" spans="2:5">
      <c r="B64" s="2135"/>
      <c r="C64" s="2136"/>
      <c r="D64" s="2136"/>
      <c r="E64" s="2137"/>
    </row>
    <row r="65" spans="2:5" ht="41" customHeight="1">
      <c r="B65" s="2146"/>
      <c r="C65" s="2147"/>
      <c r="D65" s="2147"/>
      <c r="E65" s="2148"/>
    </row>
    <row r="67" spans="2:5" ht="17" thickBot="1">
      <c r="B67" s="460"/>
      <c r="C67" s="460"/>
      <c r="D67" s="460"/>
      <c r="E67" s="460"/>
    </row>
    <row r="68" spans="2:5">
      <c r="E68" s="464" t="s">
        <v>105</v>
      </c>
    </row>
  </sheetData>
  <sheetProtection algorithmName="SHA-512" hashValue="taMhZu8x6zz1HU7Xd4EeFUP1DbKiYKAUJvs/3rDfmCdBv72s7YWqj1lmD/1iZrQmN2nTHVFhjC69cx0jE5e92g==" saltValue="1C1xKtH5JTAAzqdZ/kK0Bg==" spinCount="100000" sheet="1" objects="1" scenarios="1" selectLockedCells="1"/>
  <mergeCells count="39">
    <mergeCell ref="B58:E60"/>
    <mergeCell ref="B61:E61"/>
    <mergeCell ref="B62:E65"/>
    <mergeCell ref="D50:E50"/>
    <mergeCell ref="D51:E51"/>
    <mergeCell ref="D52:E52"/>
    <mergeCell ref="D53:E53"/>
    <mergeCell ref="B56:E56"/>
    <mergeCell ref="B57:E57"/>
    <mergeCell ref="D49:E49"/>
    <mergeCell ref="B27:E27"/>
    <mergeCell ref="B29:E29"/>
    <mergeCell ref="B32:C32"/>
    <mergeCell ref="D32:E32"/>
    <mergeCell ref="B33:C42"/>
    <mergeCell ref="D33:E42"/>
    <mergeCell ref="B44:E44"/>
    <mergeCell ref="D45:E45"/>
    <mergeCell ref="D46:E46"/>
    <mergeCell ref="D47:E47"/>
    <mergeCell ref="D48:E48"/>
    <mergeCell ref="B26:E26"/>
    <mergeCell ref="D14:E14"/>
    <mergeCell ref="D15:E15"/>
    <mergeCell ref="D16:E16"/>
    <mergeCell ref="D17:E17"/>
    <mergeCell ref="B18:E18"/>
    <mergeCell ref="B19:E19"/>
    <mergeCell ref="B21:E21"/>
    <mergeCell ref="B22:E22"/>
    <mergeCell ref="B23:E23"/>
    <mergeCell ref="B24:E24"/>
    <mergeCell ref="B25:E25"/>
    <mergeCell ref="D13:E13"/>
    <mergeCell ref="B3:E3"/>
    <mergeCell ref="B7:E7"/>
    <mergeCell ref="C9:D9"/>
    <mergeCell ref="B11:E11"/>
    <mergeCell ref="D12:E12"/>
  </mergeCells>
  <conditionalFormatting sqref="C16:C17">
    <cfRule type="notContainsBlanks" dxfId="397" priority="1">
      <formula>LEN(TRIM(C16))&gt;0</formula>
    </cfRule>
  </conditionalFormatting>
  <conditionalFormatting sqref="E8 C9:D9 B19:E19 B23:E23 B25:E25 B27:E27 C30 E30 B33:E42 C46:D54 B58:E60 B62:E65">
    <cfRule type="notContainsBlanks" dxfId="396" priority="2">
      <formula>LEN(TRIM(B8))&gt;0</formula>
    </cfRule>
  </conditionalFormatting>
  <dataValidations count="7">
    <dataValidation type="whole" allowBlank="1" showInputMessage="1" showErrorMessage="1" error="EN: please enter a whole number_x000a_DE: Bitte geben Sie eine ganze Zahl ein" prompt="EN: please enter a valid number_x000a_DE: Bitte geben Sie eine plausible Zahl ein" sqref="C46" xr:uid="{00000000-0002-0000-2900-000000000000}">
      <formula1>0</formula1>
      <formula2>1000000</formula2>
    </dataValidation>
    <dataValidation allowBlank="1" showInputMessage="1" showErrorMessage="1" error="EN: please enter a number_x000a_DE: Bitte geben Sie eine Zahl ein" prompt="EN: enter a Euro value_x000a_DE Geben Sie einen Wert in Euro an" sqref="C54" xr:uid="{00000000-0002-0000-2900-000001000000}"/>
    <dataValidation allowBlank="1" error="EN: Enter a number _x000a_DE: Geben Sie eine Zahl ein" prompt="EN: Effort in person-days_x000a_DE: Aufwand in Personentagen" sqref="D46:E54" xr:uid="{00000000-0002-0000-2900-000002000000}"/>
    <dataValidation type="whole" allowBlank="1" showInputMessage="1" showErrorMessage="1" error="EN: please enter a whole number_x000a_DE: Bitte geben Sie eine ganze Zahl ein" prompt="EN: please enter a valid number_x000a_DE: Bitte geben Sie eine plausible Zahl ein" sqref="C47" xr:uid="{00000000-0002-0000-2900-000003000000}">
      <formula1>1</formula1>
      <formula2>1000000</formula2>
    </dataValidation>
    <dataValidation type="decimal" allowBlank="1" showInputMessage="1" showErrorMessage="1" error="EN: please enter a number_x000a_DE: Bitte geben Sie eine Zahl ein" prompt="EN: enter a Euro value_x000a_DE Geben Sie einen Wert in Euro an" sqref="C52:C53" xr:uid="{00000000-0002-0000-2900-000004000000}">
      <formula1>1</formula1>
      <formula2>1000000000000</formula2>
    </dataValidation>
    <dataValidation type="decimal" allowBlank="1" showInputMessage="1" showErrorMessage="1" error="EN: Enter a number _x000a_DE: Geben Sie eine Zahl ein" prompt="EN: Effort in person-days_x000a_DE: Aufwand in Personentagen" sqref="C48:C49" xr:uid="{00000000-0002-0000-2900-000005000000}">
      <formula1>1</formula1>
      <formula2>1000000000</formula2>
    </dataValidation>
    <dataValidation type="decimal" allowBlank="1" showInputMessage="1" showErrorMessage="1" error="EN: Enter a number_x000a_DE: Geben Sie eine Zahl ein" prompt="EN: Effort in person-days_x000a_DE: Aufwand in Personentagen" sqref="C49:C51" xr:uid="{00000000-0002-0000-2900-000006000000}">
      <formula1>1</formula1>
      <formula2>1000000000</formula2>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2900-000007000000}">
          <x14:formula1>
            <xm:f>'Control Values'!$B$14:$B$15</xm:f>
          </x14:formula1>
          <xm:sqref>E9</xm:sqref>
        </x14:dataValidation>
        <x14:dataValidation type="list" allowBlank="1" showInputMessage="1" showErrorMessage="1" xr:uid="{00000000-0002-0000-2900-000008000000}">
          <x14:formula1>
            <xm:f>'Control Values'!$B$29:$B$34</xm:f>
          </x14:formula1>
          <xm:sqref>C17</xm:sqref>
        </x14:dataValidation>
        <x14:dataValidation type="list" allowBlank="1" showInputMessage="1" showErrorMessage="1" xr:uid="{00000000-0002-0000-2900-000009000000}">
          <x14:formula1>
            <xm:f>'Control Values'!$B$23:$B$26</xm:f>
          </x14:formula1>
          <xm:sqref>C16</xm:sqref>
        </x14:dataValidation>
        <x14:dataValidation type="list" allowBlank="1" showInputMessage="1" showErrorMessage="1" xr:uid="{00000000-0002-0000-2900-00000A000000}">
          <x14:formula1>
            <xm:f>'Control Values'!$B$18:$B$19</xm:f>
          </x14:formula1>
          <xm:sqref>C13:C15</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9B53B-FBD9-4B34-AFF2-1C685FBF3844}">
  <sheetPr codeName="Sheet83">
    <tabColor theme="9"/>
  </sheetPr>
  <dimension ref="A1:S60"/>
  <sheetViews>
    <sheetView zoomScale="80" zoomScaleNormal="80" workbookViewId="0">
      <selection activeCell="C10" sqref="C10"/>
    </sheetView>
  </sheetViews>
  <sheetFormatPr baseColWidth="10" defaultColWidth="11.5" defaultRowHeight="15"/>
  <cols>
    <col min="1" max="1" width="8.6640625" style="89" customWidth="1"/>
    <col min="2" max="2" width="11.5" style="89" customWidth="1"/>
    <col min="3" max="3" width="44.33203125" style="89" customWidth="1"/>
    <col min="4" max="4" width="23.1640625" style="89" customWidth="1"/>
    <col min="5" max="5" width="37.5" style="89" customWidth="1"/>
    <col min="6" max="6" width="32" style="89" customWidth="1"/>
    <col min="7" max="7" width="11.6640625" style="89" customWidth="1"/>
    <col min="8" max="11" width="32" style="89" customWidth="1"/>
    <col min="12" max="13" width="32.5" style="89" customWidth="1"/>
    <col min="14" max="14" width="26.1640625" style="89" customWidth="1"/>
    <col min="15" max="15" width="20" style="89" customWidth="1"/>
    <col min="16" max="17" width="11.5" style="89"/>
    <col min="18" max="18" width="8.5" style="89" customWidth="1"/>
    <col min="19" max="16384" width="11.5" style="89"/>
  </cols>
  <sheetData>
    <row r="1" spans="1:19" ht="19.5" customHeight="1" thickBot="1">
      <c r="B1" s="497" t="str">
        <f ca="1">COV!C20</f>
        <v>DECKBLATT BITTE VOLLSTÄNDIG AUSFÜLLEN!</v>
      </c>
      <c r="C1" s="459"/>
      <c r="D1" s="459"/>
      <c r="E1" s="459"/>
      <c r="F1" s="459"/>
      <c r="G1" s="459"/>
      <c r="H1" s="459"/>
      <c r="I1" s="459"/>
      <c r="J1" s="459"/>
      <c r="K1" s="459"/>
      <c r="L1" s="459"/>
      <c r="M1" s="459"/>
    </row>
    <row r="2" spans="1:19" ht="5.25" customHeight="1" thickTop="1"/>
    <row r="3" spans="1:19" ht="21">
      <c r="B3" s="2046" t="str">
        <f>Dictionary!B663&amp;" "&amp;'(7b) Project List'!A19&amp;", "&amp;EXP!D19&amp;": "&amp;EXP!C19</f>
        <v xml:space="preserve">Projektliste für Eintrag 11, : </v>
      </c>
      <c r="C3" s="2046"/>
      <c r="D3" s="2046"/>
      <c r="E3" s="2046"/>
      <c r="F3" s="2046"/>
      <c r="G3" s="2046"/>
      <c r="H3" s="2046"/>
      <c r="I3" s="2046"/>
      <c r="J3" s="2046"/>
      <c r="K3" s="2046"/>
      <c r="L3" s="2046"/>
      <c r="M3" s="2046"/>
    </row>
    <row r="4" spans="1:19" ht="21">
      <c r="B4" s="488"/>
      <c r="C4" s="488"/>
      <c r="D4" s="488"/>
      <c r="E4" s="488"/>
      <c r="F4" s="488"/>
      <c r="G4" s="488"/>
      <c r="H4" s="488"/>
      <c r="I4" s="488"/>
      <c r="J4" s="488"/>
      <c r="K4" s="488"/>
      <c r="L4" s="488"/>
      <c r="M4" s="488"/>
    </row>
    <row r="5" spans="1:19" ht="21">
      <c r="B5" s="489" t="str">
        <f>EXP!B5</f>
        <v xml:space="preserve"> , Level A, Projekt Management, Erstzertifizierung</v>
      </c>
      <c r="C5" s="490"/>
      <c r="D5" s="490"/>
      <c r="E5" s="490"/>
      <c r="F5" s="490"/>
      <c r="G5" s="490"/>
      <c r="H5" s="490"/>
      <c r="I5" s="490"/>
      <c r="J5" s="490"/>
      <c r="K5" s="490"/>
      <c r="L5" s="490"/>
      <c r="M5" s="490"/>
    </row>
    <row r="6" spans="1:19" ht="15" customHeight="1">
      <c r="A6" s="1284"/>
      <c r="B6" s="554"/>
      <c r="C6" s="554"/>
      <c r="D6" s="554"/>
      <c r="E6" s="554"/>
      <c r="F6" s="554"/>
      <c r="G6" s="554"/>
      <c r="H6" s="554"/>
      <c r="I6" s="554"/>
      <c r="J6" s="554"/>
      <c r="K6" s="554"/>
      <c r="L6" s="554"/>
      <c r="M6" s="554"/>
      <c r="N6" s="554"/>
      <c r="O6" s="554"/>
      <c r="P6" s="554"/>
      <c r="Q6" s="554"/>
      <c r="R6" s="554"/>
      <c r="S6" s="554"/>
    </row>
    <row r="7" spans="1:19" ht="24">
      <c r="A7" s="1284"/>
      <c r="B7" s="2171" t="str">
        <f>Dictionary!B665</f>
        <v>Nr.</v>
      </c>
      <c r="C7" s="2166" t="str">
        <f>Dictionary!B666</f>
        <v>Projektname</v>
      </c>
      <c r="D7" s="2166" t="str">
        <f>Dictionary!B667</f>
        <v>PM Domäne</v>
      </c>
      <c r="E7" s="2166" t="s">
        <v>269</v>
      </c>
      <c r="F7" s="2166" t="str">
        <f>Dictionary!B676</f>
        <v>Projekt- / Programm Typ</v>
      </c>
      <c r="G7" s="2173" t="str">
        <f>Dictionary!B677</f>
        <v>Strategisch</v>
      </c>
      <c r="H7" s="2166" t="str">
        <f>Dictionary!B670</f>
        <v>Dauer</v>
      </c>
      <c r="I7" s="2166"/>
      <c r="J7" s="2166" t="str">
        <f>Dictionary!B671</f>
        <v>Gesamtaufwand [Personentage]:</v>
      </c>
      <c r="K7" s="2166"/>
      <c r="L7" s="2166" t="str">
        <f>Dictionary!B672</f>
        <v>Gesamtbudget [€]:</v>
      </c>
      <c r="M7" s="2175"/>
      <c r="N7" s="554"/>
      <c r="O7" s="554"/>
      <c r="P7" s="554"/>
      <c r="Q7" s="554"/>
      <c r="R7" s="554"/>
      <c r="S7" s="554"/>
    </row>
    <row r="8" spans="1:19" ht="24">
      <c r="A8" s="1284"/>
      <c r="B8" s="2172"/>
      <c r="C8" s="2167"/>
      <c r="D8" s="2167"/>
      <c r="E8" s="2167"/>
      <c r="F8" s="2167"/>
      <c r="G8" s="2174"/>
      <c r="H8" s="1305" t="str">
        <f>Dictionary!B668</f>
        <v>Startdatum</v>
      </c>
      <c r="I8" s="1305" t="str">
        <f>Dictionary!B669</f>
        <v>Endtermin</v>
      </c>
      <c r="J8" s="1305" t="str">
        <f>Dictionary!B673</f>
        <v>geplant</v>
      </c>
      <c r="K8" s="1305" t="str">
        <f>Dictionary!B674</f>
        <v>realisiert</v>
      </c>
      <c r="L8" s="1305" t="str">
        <f>Dictionary!B673</f>
        <v>geplant</v>
      </c>
      <c r="M8" s="1306" t="str">
        <f>Dictionary!B674</f>
        <v>realisiert</v>
      </c>
      <c r="N8" s="554"/>
      <c r="O8" s="554"/>
      <c r="P8" s="554"/>
      <c r="Q8" s="554"/>
      <c r="R8" s="554"/>
      <c r="S8" s="554"/>
    </row>
    <row r="9" spans="1:19" ht="24" hidden="1">
      <c r="A9" s="1284"/>
      <c r="B9" s="1304" t="s">
        <v>2826</v>
      </c>
      <c r="C9" s="1297" t="s">
        <v>2827</v>
      </c>
      <c r="D9" s="1297" t="s">
        <v>2837</v>
      </c>
      <c r="E9" s="1297" t="s">
        <v>2828</v>
      </c>
      <c r="F9" s="1297" t="s">
        <v>2829</v>
      </c>
      <c r="G9" s="1298" t="s">
        <v>2830</v>
      </c>
      <c r="H9" s="1299" t="s">
        <v>2831</v>
      </c>
      <c r="I9" s="1299" t="s">
        <v>2832</v>
      </c>
      <c r="J9" s="1300" t="s">
        <v>2833</v>
      </c>
      <c r="K9" s="1300" t="s">
        <v>2834</v>
      </c>
      <c r="L9" s="1300" t="s">
        <v>2835</v>
      </c>
      <c r="M9" s="1300" t="s">
        <v>2836</v>
      </c>
      <c r="N9" s="554"/>
      <c r="O9" s="554"/>
      <c r="P9" s="554"/>
      <c r="Q9" s="554"/>
      <c r="R9" s="554"/>
      <c r="S9" s="554"/>
    </row>
    <row r="10" spans="1:19" ht="24">
      <c r="A10" s="1284"/>
      <c r="B10" s="1292">
        <v>1</v>
      </c>
      <c r="C10" s="1291"/>
      <c r="D10" s="1291"/>
      <c r="E10" s="1291"/>
      <c r="F10" s="1291"/>
      <c r="G10" s="1296"/>
      <c r="H10" s="1307"/>
      <c r="I10" s="1308"/>
      <c r="J10" s="1321"/>
      <c r="K10" s="1321"/>
      <c r="L10" s="1293"/>
      <c r="M10" s="1293"/>
      <c r="N10" s="554"/>
      <c r="O10" s="554"/>
      <c r="P10" s="554"/>
      <c r="Q10" s="554"/>
      <c r="R10" s="554"/>
      <c r="S10" s="554"/>
    </row>
    <row r="11" spans="1:19" ht="24">
      <c r="A11" s="1284"/>
      <c r="B11" s="1292">
        <v>2</v>
      </c>
      <c r="C11" s="1291"/>
      <c r="D11" s="1291"/>
      <c r="E11" s="1291"/>
      <c r="F11" s="1291"/>
      <c r="G11" s="1296"/>
      <c r="H11" s="1309"/>
      <c r="I11" s="1310"/>
      <c r="J11" s="1321"/>
      <c r="K11" s="1321"/>
      <c r="L11" s="1293"/>
      <c r="M11" s="1293"/>
      <c r="N11" s="554"/>
      <c r="O11" s="554"/>
      <c r="P11" s="554"/>
      <c r="Q11" s="554"/>
      <c r="R11" s="554"/>
      <c r="S11" s="554"/>
    </row>
    <row r="12" spans="1:19" ht="24">
      <c r="A12" s="1284"/>
      <c r="B12" s="1292">
        <v>3</v>
      </c>
      <c r="C12" s="1291"/>
      <c r="D12" s="1291"/>
      <c r="E12" s="1291"/>
      <c r="F12" s="1291"/>
      <c r="G12" s="1296"/>
      <c r="H12" s="1309"/>
      <c r="I12" s="1310"/>
      <c r="J12" s="1321"/>
      <c r="K12" s="1321"/>
      <c r="L12" s="1293"/>
      <c r="M12" s="1293"/>
      <c r="N12" s="554"/>
      <c r="O12" s="554"/>
      <c r="P12" s="554"/>
      <c r="Q12" s="554"/>
      <c r="R12" s="554"/>
      <c r="S12" s="554"/>
    </row>
    <row r="13" spans="1:19" ht="24">
      <c r="A13" s="1284"/>
      <c r="B13" s="1292">
        <v>4</v>
      </c>
      <c r="C13" s="1291"/>
      <c r="D13" s="1291"/>
      <c r="E13" s="1291"/>
      <c r="F13" s="1291"/>
      <c r="G13" s="1296"/>
      <c r="H13" s="1309"/>
      <c r="I13" s="1310"/>
      <c r="J13" s="1321"/>
      <c r="K13" s="1321"/>
      <c r="L13" s="1293"/>
      <c r="M13" s="1293"/>
      <c r="N13" s="554"/>
      <c r="O13" s="554"/>
      <c r="P13" s="554"/>
      <c r="Q13" s="554"/>
      <c r="R13" s="554"/>
      <c r="S13" s="554"/>
    </row>
    <row r="14" spans="1:19" ht="24">
      <c r="A14" s="1284"/>
      <c r="B14" s="1292">
        <v>5</v>
      </c>
      <c r="C14" s="1291"/>
      <c r="D14" s="1291"/>
      <c r="E14" s="1291"/>
      <c r="F14" s="1291"/>
      <c r="G14" s="1296"/>
      <c r="H14" s="1309"/>
      <c r="I14" s="1310"/>
      <c r="J14" s="1321"/>
      <c r="K14" s="1321"/>
      <c r="L14" s="1293"/>
      <c r="M14" s="1293"/>
      <c r="N14" s="554"/>
      <c r="O14" s="554"/>
      <c r="P14" s="554"/>
      <c r="Q14" s="554"/>
      <c r="R14" s="554"/>
      <c r="S14" s="554"/>
    </row>
    <row r="15" spans="1:19" ht="24">
      <c r="A15" s="1284"/>
      <c r="B15" s="1292">
        <v>6</v>
      </c>
      <c r="C15" s="1291"/>
      <c r="D15" s="1291"/>
      <c r="E15" s="1291"/>
      <c r="F15" s="1291"/>
      <c r="G15" s="1296"/>
      <c r="H15" s="1309"/>
      <c r="I15" s="1310"/>
      <c r="J15" s="1321"/>
      <c r="K15" s="1321"/>
      <c r="L15" s="1293"/>
      <c r="M15" s="1293"/>
      <c r="N15" s="554"/>
      <c r="O15" s="554"/>
      <c r="P15" s="554"/>
      <c r="Q15" s="554"/>
      <c r="R15" s="554"/>
      <c r="S15" s="554"/>
    </row>
    <row r="16" spans="1:19" ht="24">
      <c r="A16" s="1284"/>
      <c r="B16" s="1292">
        <v>7</v>
      </c>
      <c r="C16" s="1291"/>
      <c r="D16" s="1291"/>
      <c r="E16" s="1291"/>
      <c r="F16" s="1291"/>
      <c r="G16" s="1296"/>
      <c r="H16" s="1309"/>
      <c r="I16" s="1310"/>
      <c r="J16" s="1321"/>
      <c r="K16" s="1321"/>
      <c r="L16" s="1293"/>
      <c r="M16" s="1293"/>
      <c r="N16" s="554"/>
      <c r="O16" s="554"/>
      <c r="P16" s="554"/>
      <c r="Q16" s="554"/>
      <c r="R16" s="554"/>
      <c r="S16" s="554"/>
    </row>
    <row r="17" spans="1:19" ht="24">
      <c r="A17" s="1284"/>
      <c r="B17" s="1292">
        <v>8</v>
      </c>
      <c r="C17" s="1291"/>
      <c r="D17" s="1291"/>
      <c r="E17" s="1291"/>
      <c r="F17" s="1291"/>
      <c r="G17" s="1296"/>
      <c r="H17" s="1309"/>
      <c r="I17" s="1310"/>
      <c r="J17" s="1321"/>
      <c r="K17" s="1321"/>
      <c r="L17" s="1293"/>
      <c r="M17" s="1293"/>
      <c r="N17" s="554"/>
      <c r="O17" s="554"/>
      <c r="P17" s="554"/>
      <c r="Q17" s="554"/>
      <c r="R17" s="554"/>
      <c r="S17" s="554"/>
    </row>
    <row r="18" spans="1:19" ht="24">
      <c r="A18" s="1284"/>
      <c r="B18" s="1292">
        <v>9</v>
      </c>
      <c r="C18" s="1291"/>
      <c r="D18" s="1291"/>
      <c r="E18" s="1291"/>
      <c r="F18" s="1291"/>
      <c r="G18" s="1296"/>
      <c r="H18" s="1309"/>
      <c r="I18" s="1310"/>
      <c r="J18" s="1321"/>
      <c r="K18" s="1321"/>
      <c r="L18" s="1293"/>
      <c r="M18" s="1293"/>
      <c r="N18" s="554"/>
      <c r="O18" s="554"/>
      <c r="P18" s="554"/>
      <c r="Q18" s="554"/>
      <c r="R18" s="554"/>
      <c r="S18" s="554"/>
    </row>
    <row r="19" spans="1:19" ht="24">
      <c r="A19" s="1284"/>
      <c r="B19" s="1292">
        <v>10</v>
      </c>
      <c r="C19" s="1291"/>
      <c r="D19" s="1291"/>
      <c r="E19" s="1291"/>
      <c r="F19" s="1291"/>
      <c r="G19" s="1296"/>
      <c r="H19" s="1309"/>
      <c r="I19" s="1310"/>
      <c r="J19" s="1321"/>
      <c r="K19" s="1321"/>
      <c r="L19" s="1293"/>
      <c r="M19" s="1293"/>
      <c r="N19" s="554"/>
      <c r="O19" s="554"/>
      <c r="P19" s="554"/>
      <c r="Q19" s="554"/>
      <c r="R19" s="554"/>
      <c r="S19" s="554"/>
    </row>
    <row r="20" spans="1:19" ht="24">
      <c r="A20" s="1284"/>
      <c r="B20" s="1292">
        <v>11</v>
      </c>
      <c r="C20" s="1291"/>
      <c r="D20" s="1291"/>
      <c r="E20" s="1291"/>
      <c r="F20" s="1291"/>
      <c r="G20" s="1296"/>
      <c r="H20" s="1309"/>
      <c r="I20" s="1310"/>
      <c r="J20" s="1321"/>
      <c r="K20" s="1321"/>
      <c r="L20" s="1293"/>
      <c r="M20" s="1293"/>
      <c r="N20" s="554"/>
      <c r="O20" s="554"/>
      <c r="P20" s="554"/>
      <c r="Q20" s="554"/>
      <c r="R20" s="554"/>
      <c r="S20" s="554"/>
    </row>
    <row r="21" spans="1:19" ht="24">
      <c r="A21" s="1284"/>
      <c r="B21" s="1292">
        <v>12</v>
      </c>
      <c r="C21" s="1291"/>
      <c r="D21" s="1291"/>
      <c r="E21" s="1291"/>
      <c r="F21" s="1291"/>
      <c r="G21" s="1296"/>
      <c r="H21" s="1309"/>
      <c r="I21" s="1310"/>
      <c r="J21" s="1321"/>
      <c r="K21" s="1321"/>
      <c r="L21" s="1293"/>
      <c r="M21" s="1293"/>
      <c r="N21" s="554"/>
      <c r="O21" s="554"/>
      <c r="P21" s="554"/>
      <c r="Q21" s="554"/>
      <c r="R21" s="554"/>
      <c r="S21" s="554"/>
    </row>
    <row r="22" spans="1:19" ht="24">
      <c r="A22" s="1284"/>
      <c r="B22" s="1292">
        <v>13</v>
      </c>
      <c r="C22" s="1291"/>
      <c r="D22" s="1291"/>
      <c r="E22" s="1291"/>
      <c r="F22" s="1291"/>
      <c r="G22" s="1296"/>
      <c r="H22" s="1309"/>
      <c r="I22" s="1310"/>
      <c r="J22" s="1321"/>
      <c r="K22" s="1321"/>
      <c r="L22" s="1293"/>
      <c r="M22" s="1293"/>
      <c r="N22" s="554"/>
      <c r="O22" s="554"/>
      <c r="P22" s="554"/>
      <c r="Q22" s="554"/>
      <c r="R22" s="554"/>
      <c r="S22" s="554"/>
    </row>
    <row r="23" spans="1:19" ht="24">
      <c r="A23" s="1284"/>
      <c r="B23" s="1292">
        <v>14</v>
      </c>
      <c r="C23" s="1291"/>
      <c r="D23" s="1291"/>
      <c r="E23" s="1291"/>
      <c r="F23" s="1291"/>
      <c r="G23" s="1296"/>
      <c r="H23" s="1309"/>
      <c r="I23" s="1310"/>
      <c r="J23" s="1321"/>
      <c r="K23" s="1321"/>
      <c r="L23" s="1293"/>
      <c r="M23" s="1293"/>
      <c r="N23" s="554"/>
      <c r="O23" s="554"/>
      <c r="P23" s="554"/>
      <c r="Q23" s="554"/>
      <c r="R23" s="554"/>
      <c r="S23" s="554"/>
    </row>
    <row r="24" spans="1:19" ht="24">
      <c r="A24" s="1284"/>
      <c r="B24" s="1292">
        <v>15</v>
      </c>
      <c r="C24" s="1291"/>
      <c r="D24" s="1291"/>
      <c r="E24" s="1291"/>
      <c r="F24" s="1291"/>
      <c r="G24" s="1296"/>
      <c r="H24" s="1309"/>
      <c r="I24" s="1310"/>
      <c r="J24" s="1321"/>
      <c r="K24" s="1321"/>
      <c r="L24" s="1293"/>
      <c r="M24" s="1293"/>
      <c r="N24" s="554"/>
      <c r="O24" s="554"/>
      <c r="P24" s="554"/>
      <c r="Q24" s="554"/>
      <c r="R24" s="554"/>
      <c r="S24" s="554"/>
    </row>
    <row r="25" spans="1:19" ht="24">
      <c r="A25" s="1284"/>
      <c r="B25" s="1292">
        <v>16</v>
      </c>
      <c r="C25" s="1291"/>
      <c r="D25" s="1291"/>
      <c r="E25" s="1291"/>
      <c r="F25" s="1291"/>
      <c r="G25" s="1296"/>
      <c r="H25" s="1309"/>
      <c r="I25" s="1310"/>
      <c r="J25" s="1321"/>
      <c r="K25" s="1321"/>
      <c r="L25" s="1293"/>
      <c r="M25" s="1293"/>
      <c r="N25" s="554"/>
      <c r="O25" s="554"/>
      <c r="P25" s="554"/>
      <c r="Q25" s="554"/>
      <c r="R25" s="554"/>
      <c r="S25" s="554"/>
    </row>
    <row r="26" spans="1:19" ht="24">
      <c r="A26" s="1284"/>
      <c r="B26" s="1292">
        <v>17</v>
      </c>
      <c r="C26" s="1291"/>
      <c r="D26" s="1291"/>
      <c r="E26" s="1291"/>
      <c r="F26" s="1291"/>
      <c r="G26" s="1296"/>
      <c r="H26" s="1309"/>
      <c r="I26" s="1310"/>
      <c r="J26" s="1321"/>
      <c r="K26" s="1321"/>
      <c r="L26" s="1293"/>
      <c r="M26" s="1293"/>
      <c r="N26" s="554"/>
      <c r="O26" s="554"/>
      <c r="P26" s="554"/>
      <c r="Q26" s="554"/>
      <c r="R26" s="554"/>
      <c r="S26" s="554"/>
    </row>
    <row r="27" spans="1:19" ht="24">
      <c r="A27" s="1284"/>
      <c r="B27" s="1292">
        <v>18</v>
      </c>
      <c r="C27" s="1291"/>
      <c r="D27" s="1291"/>
      <c r="E27" s="1291"/>
      <c r="F27" s="1291"/>
      <c r="G27" s="1296"/>
      <c r="H27" s="1309"/>
      <c r="I27" s="1310"/>
      <c r="J27" s="1321"/>
      <c r="K27" s="1321"/>
      <c r="L27" s="1293"/>
      <c r="M27" s="1293"/>
      <c r="N27" s="554"/>
      <c r="O27" s="554"/>
      <c r="P27" s="554"/>
      <c r="Q27" s="554"/>
      <c r="R27" s="554"/>
      <c r="S27" s="554"/>
    </row>
    <row r="28" spans="1:19" ht="24">
      <c r="A28" s="1284"/>
      <c r="B28" s="1292">
        <v>19</v>
      </c>
      <c r="C28" s="1291"/>
      <c r="D28" s="1291"/>
      <c r="E28" s="1291"/>
      <c r="F28" s="1291"/>
      <c r="G28" s="1296"/>
      <c r="H28" s="1309"/>
      <c r="I28" s="1310"/>
      <c r="J28" s="1321"/>
      <c r="K28" s="1321"/>
      <c r="L28" s="1293"/>
      <c r="M28" s="1293"/>
      <c r="N28" s="554"/>
      <c r="O28" s="554"/>
      <c r="P28" s="554"/>
      <c r="Q28" s="554"/>
      <c r="R28" s="554"/>
      <c r="S28" s="554"/>
    </row>
    <row r="29" spans="1:19" ht="24">
      <c r="A29" s="1284"/>
      <c r="B29" s="1292">
        <v>20</v>
      </c>
      <c r="C29" s="1291"/>
      <c r="D29" s="1291"/>
      <c r="E29" s="1291"/>
      <c r="F29" s="1291"/>
      <c r="G29" s="1296"/>
      <c r="H29" s="1309"/>
      <c r="I29" s="1310"/>
      <c r="J29" s="1321"/>
      <c r="K29" s="1321"/>
      <c r="L29" s="1293"/>
      <c r="M29" s="1293"/>
      <c r="N29" s="554"/>
      <c r="O29" s="554"/>
      <c r="P29" s="554"/>
      <c r="Q29" s="554"/>
      <c r="R29" s="554"/>
      <c r="S29" s="554"/>
    </row>
    <row r="30" spans="1:19" ht="24">
      <c r="A30" s="1284"/>
      <c r="B30" s="1292">
        <v>21</v>
      </c>
      <c r="C30" s="1291"/>
      <c r="D30" s="1291"/>
      <c r="E30" s="1291"/>
      <c r="F30" s="1291"/>
      <c r="G30" s="1296"/>
      <c r="H30" s="1309"/>
      <c r="I30" s="1310"/>
      <c r="J30" s="1321"/>
      <c r="K30" s="1321"/>
      <c r="L30" s="1293"/>
      <c r="M30" s="1293"/>
      <c r="N30" s="554"/>
      <c r="O30" s="554"/>
      <c r="P30" s="554"/>
      <c r="Q30" s="554"/>
      <c r="R30" s="554"/>
      <c r="S30" s="554"/>
    </row>
    <row r="31" spans="1:19" ht="24">
      <c r="A31" s="1284"/>
      <c r="B31" s="1292">
        <v>22</v>
      </c>
      <c r="C31" s="1291"/>
      <c r="D31" s="1291"/>
      <c r="E31" s="1291"/>
      <c r="F31" s="1291"/>
      <c r="G31" s="1296"/>
      <c r="H31" s="1309"/>
      <c r="I31" s="1310"/>
      <c r="J31" s="1321"/>
      <c r="K31" s="1321"/>
      <c r="L31" s="1293"/>
      <c r="M31" s="1293"/>
      <c r="N31" s="554"/>
      <c r="O31" s="554"/>
      <c r="P31" s="554"/>
      <c r="Q31" s="554"/>
      <c r="R31" s="554"/>
      <c r="S31" s="554"/>
    </row>
    <row r="32" spans="1:19" ht="24">
      <c r="A32" s="1284"/>
      <c r="B32" s="1292">
        <v>23</v>
      </c>
      <c r="C32" s="1291"/>
      <c r="D32" s="1291"/>
      <c r="E32" s="1291"/>
      <c r="F32" s="1291"/>
      <c r="G32" s="1296"/>
      <c r="H32" s="1309"/>
      <c r="I32" s="1310"/>
      <c r="J32" s="1321"/>
      <c r="K32" s="1321"/>
      <c r="L32" s="1293"/>
      <c r="M32" s="1293"/>
      <c r="N32" s="554"/>
      <c r="O32" s="554"/>
      <c r="P32" s="554"/>
      <c r="Q32" s="554"/>
      <c r="R32" s="554"/>
      <c r="S32" s="554"/>
    </row>
    <row r="33" spans="1:19" ht="24">
      <c r="A33" s="1284"/>
      <c r="B33" s="1292">
        <v>24</v>
      </c>
      <c r="C33" s="1291"/>
      <c r="D33" s="1291"/>
      <c r="E33" s="1291"/>
      <c r="F33" s="1291"/>
      <c r="G33" s="1296"/>
      <c r="H33" s="1309"/>
      <c r="I33" s="1310"/>
      <c r="J33" s="1321"/>
      <c r="K33" s="1321"/>
      <c r="L33" s="1293"/>
      <c r="M33" s="1293"/>
      <c r="N33" s="554"/>
      <c r="O33" s="554"/>
      <c r="P33" s="554"/>
      <c r="Q33" s="554"/>
      <c r="R33" s="554"/>
      <c r="S33" s="554"/>
    </row>
    <row r="34" spans="1:19" ht="24">
      <c r="A34" s="1284"/>
      <c r="B34" s="1292">
        <v>25</v>
      </c>
      <c r="C34" s="1291"/>
      <c r="D34" s="1291"/>
      <c r="E34" s="1291"/>
      <c r="F34" s="1291"/>
      <c r="G34" s="1296"/>
      <c r="H34" s="1309"/>
      <c r="I34" s="1310"/>
      <c r="J34" s="1321"/>
      <c r="K34" s="1321"/>
      <c r="L34" s="1293"/>
      <c r="M34" s="1293"/>
      <c r="N34" s="554"/>
      <c r="O34" s="554"/>
      <c r="P34" s="554"/>
      <c r="Q34" s="554"/>
      <c r="R34" s="554"/>
      <c r="S34" s="554"/>
    </row>
    <row r="35" spans="1:19" ht="24">
      <c r="A35" s="1284"/>
      <c r="B35" s="1292">
        <v>26</v>
      </c>
      <c r="C35" s="1291"/>
      <c r="D35" s="1291"/>
      <c r="E35" s="1291"/>
      <c r="F35" s="1291"/>
      <c r="G35" s="1296"/>
      <c r="H35" s="1309"/>
      <c r="I35" s="1310"/>
      <c r="J35" s="1321"/>
      <c r="K35" s="1321"/>
      <c r="L35" s="1293"/>
      <c r="M35" s="1293"/>
      <c r="N35" s="554"/>
      <c r="O35" s="554"/>
      <c r="P35" s="554"/>
      <c r="Q35" s="554"/>
      <c r="R35" s="554"/>
      <c r="S35" s="554"/>
    </row>
    <row r="36" spans="1:19" ht="24">
      <c r="A36" s="1284"/>
      <c r="B36" s="1292">
        <v>27</v>
      </c>
      <c r="C36" s="1291"/>
      <c r="D36" s="1291"/>
      <c r="E36" s="1291"/>
      <c r="F36" s="1291"/>
      <c r="G36" s="1296"/>
      <c r="H36" s="1309"/>
      <c r="I36" s="1310"/>
      <c r="J36" s="1321"/>
      <c r="K36" s="1321"/>
      <c r="L36" s="1293"/>
      <c r="M36" s="1293"/>
      <c r="N36" s="554"/>
      <c r="O36" s="554"/>
      <c r="P36" s="554"/>
      <c r="Q36" s="554"/>
      <c r="R36" s="554"/>
      <c r="S36" s="554"/>
    </row>
    <row r="37" spans="1:19" ht="24">
      <c r="A37" s="1284"/>
      <c r="B37" s="1292">
        <v>28</v>
      </c>
      <c r="C37" s="1291"/>
      <c r="D37" s="1291"/>
      <c r="E37" s="1291"/>
      <c r="F37" s="1291"/>
      <c r="G37" s="1296"/>
      <c r="H37" s="1309"/>
      <c r="I37" s="1310"/>
      <c r="J37" s="1321"/>
      <c r="K37" s="1321"/>
      <c r="L37" s="1293"/>
      <c r="M37" s="1293"/>
      <c r="N37" s="554"/>
      <c r="O37" s="554"/>
      <c r="P37" s="554"/>
      <c r="Q37" s="554"/>
      <c r="R37" s="554"/>
      <c r="S37" s="554"/>
    </row>
    <row r="38" spans="1:19" ht="24">
      <c r="A38" s="1284"/>
      <c r="B38" s="1292">
        <v>29</v>
      </c>
      <c r="C38" s="1291"/>
      <c r="D38" s="1291"/>
      <c r="E38" s="1291"/>
      <c r="F38" s="1291"/>
      <c r="G38" s="1296"/>
      <c r="H38" s="1309"/>
      <c r="I38" s="1310"/>
      <c r="J38" s="1321"/>
      <c r="K38" s="1321"/>
      <c r="L38" s="1293"/>
      <c r="M38" s="1293"/>
      <c r="N38" s="554"/>
      <c r="O38" s="554"/>
      <c r="P38" s="554"/>
      <c r="Q38" s="554"/>
      <c r="R38" s="554"/>
      <c r="S38" s="554"/>
    </row>
    <row r="39" spans="1:19" ht="24">
      <c r="A39" s="1284"/>
      <c r="B39" s="1292">
        <v>30</v>
      </c>
      <c r="C39" s="1311"/>
      <c r="D39" s="1311"/>
      <c r="E39" s="1311"/>
      <c r="F39" s="1311"/>
      <c r="G39" s="1312"/>
      <c r="H39" s="1313"/>
      <c r="I39" s="1314"/>
      <c r="J39" s="1322"/>
      <c r="K39" s="1322"/>
      <c r="L39" s="1315"/>
      <c r="M39" s="1315"/>
      <c r="N39" s="554"/>
      <c r="O39" s="554"/>
      <c r="P39" s="554"/>
      <c r="Q39" s="554"/>
      <c r="R39" s="554"/>
      <c r="S39" s="554"/>
    </row>
    <row r="40" spans="1:19" ht="24">
      <c r="A40" s="1284"/>
      <c r="B40" s="1301"/>
      <c r="C40" s="2168" t="str">
        <f>Dictionary!B675</f>
        <v xml:space="preserve">Programm / Portfolio Verwaltung </v>
      </c>
      <c r="D40" s="2169"/>
      <c r="E40" s="2169"/>
      <c r="F40" s="2169"/>
      <c r="G40" s="2170"/>
      <c r="H40" s="1319"/>
      <c r="I40" s="1320"/>
      <c r="J40" s="1323"/>
      <c r="K40" s="1323"/>
      <c r="L40" s="1294"/>
      <c r="M40" s="1295"/>
      <c r="N40" s="554"/>
      <c r="O40" s="554"/>
      <c r="P40" s="554"/>
      <c r="Q40" s="554"/>
      <c r="R40" s="554"/>
      <c r="S40" s="554"/>
    </row>
    <row r="41" spans="1:19" ht="24">
      <c r="A41" s="1284"/>
      <c r="B41" s="1302"/>
      <c r="C41" s="1316"/>
      <c r="D41" s="1316"/>
      <c r="E41" s="1316"/>
      <c r="F41" s="1316"/>
      <c r="G41" s="1316"/>
      <c r="H41" s="2176" t="s">
        <v>2825</v>
      </c>
      <c r="I41" s="2176"/>
      <c r="J41" s="1317">
        <f>SUM(J9:J40)</f>
        <v>0</v>
      </c>
      <c r="K41" s="1317">
        <f>SUM(K9:K40)</f>
        <v>0</v>
      </c>
      <c r="L41" s="1318">
        <f>SUM(L9:L40)</f>
        <v>0</v>
      </c>
      <c r="M41" s="1318">
        <f>SUM(M9:M40)</f>
        <v>0</v>
      </c>
      <c r="N41" s="554"/>
      <c r="O41" s="554"/>
      <c r="P41" s="554"/>
      <c r="Q41" s="554"/>
      <c r="R41" s="554"/>
      <c r="S41" s="554"/>
    </row>
    <row r="42" spans="1:19" ht="24">
      <c r="B42" s="554"/>
      <c r="C42" s="554"/>
      <c r="D42" s="554"/>
      <c r="E42" s="554"/>
      <c r="F42" s="554"/>
      <c r="G42" s="554"/>
      <c r="H42" s="554"/>
      <c r="I42" s="554"/>
      <c r="J42" s="554"/>
      <c r="K42" s="554"/>
      <c r="L42" s="554"/>
      <c r="M42" s="554"/>
    </row>
    <row r="43" spans="1:19" ht="17" thickBot="1">
      <c r="B43" s="460"/>
      <c r="C43" s="460"/>
      <c r="D43" s="460"/>
      <c r="E43" s="460"/>
      <c r="F43" s="460"/>
      <c r="G43" s="460"/>
      <c r="H43" s="460"/>
      <c r="I43" s="460"/>
      <c r="J43" s="460"/>
      <c r="K43" s="460"/>
      <c r="L43" s="460"/>
      <c r="M43" s="460"/>
    </row>
    <row r="44" spans="1:19">
      <c r="M44" s="464" t="s">
        <v>105</v>
      </c>
    </row>
    <row r="50" spans="3:6" hidden="1"/>
    <row r="51" spans="3:6" hidden="1">
      <c r="C51" s="2163" t="s">
        <v>249</v>
      </c>
      <c r="D51" s="2164"/>
      <c r="E51" s="2164"/>
      <c r="F51" s="2165"/>
    </row>
    <row r="52" spans="3:6" hidden="1">
      <c r="C52" s="240"/>
      <c r="D52" s="172"/>
      <c r="E52" s="241"/>
      <c r="F52" s="241"/>
    </row>
    <row r="53" spans="3:6" hidden="1">
      <c r="C53" s="1905" t="s">
        <v>970</v>
      </c>
      <c r="D53" s="172" t="s">
        <v>1037</v>
      </c>
      <c r="E53" s="241"/>
      <c r="F53" s="241"/>
    </row>
    <row r="54" spans="3:6" hidden="1">
      <c r="C54" s="1906" t="s">
        <v>1024</v>
      </c>
      <c r="D54" s="172"/>
      <c r="E54" s="241"/>
      <c r="F54" s="241"/>
    </row>
    <row r="55" spans="3:6" hidden="1">
      <c r="C55" s="1907" t="s">
        <v>1025</v>
      </c>
      <c r="D55" s="172"/>
      <c r="E55" s="241"/>
      <c r="F55" s="241"/>
    </row>
    <row r="56" spans="3:6" hidden="1">
      <c r="C56" s="240"/>
      <c r="D56" s="172"/>
      <c r="E56" s="241"/>
      <c r="F56" s="241"/>
    </row>
    <row r="57" spans="3:6" hidden="1">
      <c r="C57" s="240"/>
      <c r="D57" s="172"/>
      <c r="E57" s="241"/>
      <c r="F57" s="241"/>
    </row>
    <row r="58" spans="3:6" hidden="1">
      <c r="C58" s="240"/>
      <c r="D58" s="172"/>
      <c r="E58" s="241"/>
      <c r="F58" s="241"/>
    </row>
    <row r="59" spans="3:6" hidden="1">
      <c r="C59" s="242"/>
      <c r="D59" s="1303"/>
      <c r="E59" s="185"/>
      <c r="F59" s="185"/>
    </row>
    <row r="60" spans="3:6" hidden="1"/>
  </sheetData>
  <sheetProtection algorithmName="SHA-512" hashValue="G5OXu1sRbmviqb3qfIcCHSWbAFEdHMg3Fm4j1NdqkPWz0FlH+bwLYnqXFgTvkADGJE0aFxOxMbBvaTBa1UGihA==" saltValue="EpVh8ot3AGQJ6puLyt29AA==" spinCount="100000" sheet="1" objects="1" scenarios="1" selectLockedCells="1"/>
  <mergeCells count="13">
    <mergeCell ref="C40:G40"/>
    <mergeCell ref="H41:I41"/>
    <mergeCell ref="C51:F51"/>
    <mergeCell ref="B3:M3"/>
    <mergeCell ref="B7:B8"/>
    <mergeCell ref="C7:C8"/>
    <mergeCell ref="D7:D8"/>
    <mergeCell ref="E7:E8"/>
    <mergeCell ref="F7:F8"/>
    <mergeCell ref="G7:G8"/>
    <mergeCell ref="H7:I7"/>
    <mergeCell ref="J7:K7"/>
    <mergeCell ref="L7:M7"/>
  </mergeCells>
  <dataValidations count="6">
    <dataValidation type="date" operator="lessThan" allowBlank="1" showInputMessage="1" showErrorMessage="1" error="EN_x000a_End must occur after start._x000a__x000a_DE_x000a_Das Ende muss nach dem Start kommen._x000a_ " sqref="H10:H40" xr:uid="{00000000-0002-0000-2A00-000000000000}">
      <formula1>I10</formula1>
    </dataValidation>
    <dataValidation type="date" operator="greaterThan" allowBlank="1" showInputMessage="1" showErrorMessage="1" error="EN_x000a_End must occur after start._x000a__x000a_DE_x000a_Das Ende muss nach dem Start kommen._x000a_ " sqref="I10:I40" xr:uid="{00000000-0002-0000-2A00-000001000000}">
      <formula1>H10</formula1>
    </dataValidation>
    <dataValidation type="list" allowBlank="1" showInputMessage="1" showErrorMessage="1" sqref="G10:G39" xr:uid="{00000000-0002-0000-2A00-000002000000}">
      <formula1>$D$53:$D$54</formula1>
    </dataValidation>
    <dataValidation type="list" allowBlank="1" showInputMessage="1" showErrorMessage="1" sqref="D10:D39" xr:uid="{00000000-0002-0000-2A00-000003000000}">
      <formula1>$C$53:$C$55</formula1>
    </dataValidation>
    <dataValidation type="whole" operator="greaterThan" allowBlank="1" showInputMessage="1" showErrorMessage="1" error="Bitte eine ganze Zahl grösser als 0 eingeben!" sqref="J9:K40 M9:M40 L10:L40" xr:uid="{00000000-0002-0000-2A00-000004000000}">
      <formula1>0</formula1>
    </dataValidation>
    <dataValidation type="whole" operator="greaterThan" allowBlank="1" showInputMessage="1" showErrorMessage="1" error="Bitte eine ganze Zahl grösser als 0 eingeben!" promptTitle="Investition" prompt="Unter Investition werden die gesamten Kosten verstanden, inkl.der personellen Aufwände." sqref="L9" xr:uid="{00000000-0002-0000-2A00-000005000000}">
      <formula1>0</formula1>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A00-000006000000}">
          <x14:formula1>
            <xm:f>'Control Values'!$B$23:$B$26</xm:f>
          </x14:formula1>
          <xm:sqref>F10:F39</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3AD9C-B53F-4A1A-B07D-9882B196C7C3}">
  <sheetPr codeName="Sheet39">
    <tabColor theme="9" tint="-0.24994659260841701"/>
  </sheetPr>
  <dimension ref="B1:L70"/>
  <sheetViews>
    <sheetView showGridLines="0" showZeros="0" workbookViewId="0">
      <pane xSplit="8" ySplit="9" topLeftCell="I10" activePane="bottomRight" state="frozenSplit"/>
      <selection activeCell="B109" sqref="B109"/>
      <selection pane="topRight" activeCell="B109" sqref="B109"/>
      <selection pane="bottomLeft" activeCell="B109" sqref="B109"/>
      <selection pane="bottomRight" activeCell="I11" sqref="I11"/>
    </sheetView>
  </sheetViews>
  <sheetFormatPr baseColWidth="10" defaultColWidth="10" defaultRowHeight="14"/>
  <cols>
    <col min="1" max="1" width="2.6640625" style="472" customWidth="1"/>
    <col min="2" max="2" width="5.5" style="471" customWidth="1"/>
    <col min="3" max="3" width="17.1640625" style="472" customWidth="1"/>
    <col min="4" max="4" width="46.33203125" style="472" customWidth="1"/>
    <col min="5" max="8" width="26.5" style="472" customWidth="1"/>
    <col min="9" max="10" width="11.1640625" style="471" customWidth="1"/>
    <col min="11" max="11" width="55.33203125" style="473" customWidth="1"/>
    <col min="12" max="12" width="9.6640625" style="472" customWidth="1"/>
    <col min="13" max="16384" width="10" style="472"/>
  </cols>
  <sheetData>
    <row r="1" spans="2:11" ht="20.25" customHeight="1" thickBot="1">
      <c r="B1" s="497" t="str">
        <f ca="1">COV!C20</f>
        <v>DECKBLATT BITTE VOLLSTÄNDIG AUSFÜLLEN!</v>
      </c>
      <c r="C1" s="459"/>
      <c r="D1" s="459"/>
      <c r="E1" s="459"/>
      <c r="F1" s="459"/>
      <c r="G1" s="459"/>
      <c r="H1" s="459"/>
      <c r="I1" s="459"/>
      <c r="J1" s="459"/>
      <c r="K1" s="459"/>
    </row>
    <row r="2" spans="2:11" ht="5.25" customHeight="1" thickTop="1"/>
    <row r="3" spans="2:11" ht="21">
      <c r="B3" s="2046" t="str">
        <f>Dictionary!B680&amp;'(7b) Project List'!A19&amp;IF('(7b) Project List'!B19="","",": "&amp;'(7b) Project List'!B19)</f>
        <v>Bewertung der Managementkomplexität für Erfahrung 11</v>
      </c>
      <c r="C3" s="2046"/>
      <c r="D3" s="2046"/>
      <c r="E3" s="2046"/>
      <c r="F3" s="2046"/>
      <c r="G3" s="2046"/>
      <c r="H3" s="2046"/>
      <c r="I3" s="2046"/>
      <c r="J3" s="2046"/>
      <c r="K3" s="2046"/>
    </row>
    <row r="4" spans="2:11" s="498" customFormat="1" ht="21">
      <c r="B4" s="488"/>
      <c r="C4" s="488"/>
      <c r="D4" s="488"/>
      <c r="E4" s="488"/>
      <c r="F4" s="488"/>
      <c r="G4" s="488"/>
      <c r="H4" s="488"/>
      <c r="I4" s="488"/>
      <c r="J4" s="488"/>
      <c r="K4" s="488"/>
    </row>
    <row r="5" spans="2:11" s="467" customFormat="1" ht="22.5" customHeight="1">
      <c r="B5" s="489" t="str">
        <f>EXP!B5</f>
        <v xml:space="preserve"> , Level A, Projekt Management, Erstzertifizierung</v>
      </c>
      <c r="C5" s="491"/>
      <c r="D5" s="491"/>
      <c r="E5" s="492"/>
      <c r="F5" s="491"/>
      <c r="G5" s="493"/>
      <c r="H5" s="492"/>
      <c r="I5" s="492"/>
      <c r="J5" s="492"/>
      <c r="K5" s="494"/>
    </row>
    <row r="6" spans="2:11" s="467" customFormat="1" ht="20" customHeight="1">
      <c r="B6" s="466"/>
      <c r="C6" s="468"/>
      <c r="D6" s="468"/>
      <c r="E6" s="321"/>
      <c r="F6" s="2183"/>
      <c r="G6" s="2183"/>
      <c r="H6" s="2183"/>
      <c r="I6" s="469"/>
      <c r="J6" s="470"/>
    </row>
    <row r="7" spans="2:11" ht="15" customHeight="1"/>
    <row r="8" spans="2:11" s="334" customFormat="1" ht="22.25" customHeight="1">
      <c r="B8" s="2184" t="s">
        <v>294</v>
      </c>
      <c r="C8" s="2187" t="str">
        <f>Dictionary!B681</f>
        <v>Komplexitätsindikatoren und Teilindikatoren</v>
      </c>
      <c r="D8" s="2188"/>
      <c r="E8" s="2186" t="str">
        <f>Dictionary!B682</f>
        <v>Zu bewertende Kriterien:</v>
      </c>
      <c r="F8" s="2186"/>
      <c r="G8" s="2186"/>
      <c r="H8" s="2186"/>
      <c r="I8" s="2177" t="str">
        <f>Dictionary!B683</f>
        <v>Bewertungen und Kommentare</v>
      </c>
      <c r="J8" s="2178"/>
      <c r="K8" s="2179"/>
    </row>
    <row r="9" spans="2:11" s="334" customFormat="1" ht="30" customHeight="1">
      <c r="B9" s="2185"/>
      <c r="C9" s="2189"/>
      <c r="D9" s="2190"/>
      <c r="E9" s="474" t="str">
        <f>Dictionary!B684</f>
        <v>wenig komplex   (1)</v>
      </c>
      <c r="F9" s="474" t="str">
        <f>Dictionary!B685</f>
        <v>begrenzt komplex   (2)</v>
      </c>
      <c r="G9" s="474" t="str">
        <f>Dictionary!B686</f>
        <v>komplex   (3)</v>
      </c>
      <c r="H9" s="474" t="str">
        <f>Dictionary!B687</f>
        <v>sehr komplex   (4)</v>
      </c>
      <c r="I9" s="475" t="str">
        <f>Dictionary!B689</f>
        <v>Bewerber/in</v>
      </c>
      <c r="J9" s="476" t="str">
        <f>Dictionary!B690</f>
        <v>Leitende/r Assessor/in</v>
      </c>
      <c r="K9" s="476" t="str">
        <f>Dictionary!B691</f>
        <v>Anmerkungen, Kommentare, Nachweise (fakultativ)</v>
      </c>
    </row>
    <row r="10" spans="2:11" ht="30" customHeight="1">
      <c r="B10" s="477">
        <v>1</v>
      </c>
      <c r="C10" s="2180" t="str">
        <f>Dictionary!B693</f>
        <v>Indikatoren bezogen auf die technischen Fähigkeiten</v>
      </c>
      <c r="D10" s="2181"/>
      <c r="E10" s="2181"/>
      <c r="F10" s="2181"/>
      <c r="G10" s="2181"/>
      <c r="H10" s="2182"/>
      <c r="K10" s="478"/>
    </row>
    <row r="11" spans="2:11" ht="75">
      <c r="B11" s="479">
        <f>B10+0.1</f>
        <v>1.1000000000000001</v>
      </c>
      <c r="C11" s="558" t="str">
        <f>Dictionary!B694</f>
        <v>Ziele und Ergebnisse</v>
      </c>
      <c r="D11" s="558" t="str">
        <f>Dictionary!B695</f>
        <v>Anzahl und Unterschiedlichkeit der Einzelziele unter Berücksichtigung der Ziele und Erwartungen der relevanten Stakeholder, unterschiedliche Zielkategorien: Prozessziele, Nutzungsziele (Business Case), Operationalisierbarkeit, Transparenz und Abhängigkeiten</v>
      </c>
      <c r="E11" s="557" t="str">
        <f>Dictionary!B696</f>
        <v>sehr wenige klare Ziele, alle quantitativ angegeben, operabel</v>
      </c>
      <c r="F11" s="557" t="str">
        <f>Dictionary!B697</f>
        <v>wenige Ziele, gut formuliert, wenig Zielkonflikte</v>
      </c>
      <c r="G11" s="557" t="str">
        <f>Dictionary!B698</f>
        <v>mehrere Ziele unterschiedlicher Art, teilweise unklar definiert</v>
      </c>
      <c r="H11" s="557" t="str">
        <f>Dictionary!B699</f>
        <v>viele, teilweise konkurrierende  Ziele, strategische und politische Ziele, versteckte Ziele, Nutzungsziele</v>
      </c>
      <c r="I11" s="495"/>
      <c r="J11" s="495"/>
      <c r="K11" s="496"/>
    </row>
    <row r="12" spans="2:11" ht="65">
      <c r="B12" s="479">
        <f>B11+0.1</f>
        <v>1.2000000000000002</v>
      </c>
      <c r="C12" s="558" t="str">
        <f>Dictionary!B701</f>
        <v>Aufgaben und Prozesse</v>
      </c>
      <c r="D12" s="558" t="str">
        <f>Dictionary!B702</f>
        <v>Umfang der Aufgaben, Annahmen und Randbedingungen und deren Abhängigkeiten, eingesetzte Prozesse, Tools und Methoden, eingesetzte Team- und Kommunikationsstrukturen</v>
      </c>
      <c r="E12" s="557" t="str">
        <f>Dictionary!B703</f>
        <v>bekannte Aufgabenstellung und Randbedingungen; wenige Standard-/Reportingverfahren</v>
      </c>
      <c r="F12" s="557" t="str">
        <f>Dictionary!B704</f>
        <v>mehrere Aufgaben, ergänzt durch Annahmen; Einsatz bekannter Prozesse und Tools, einige Reporting-Vorgaben</v>
      </c>
      <c r="G12" s="557" t="str">
        <f>Dictionary!B705</f>
        <v>umfangreiches System von Aufgaben und Annahmen; viele Sachfaktoren; teilweise Einsatz neuartiger Tools und Prozesse, Reporting-Vorgaben</v>
      </c>
      <c r="H12" s="557" t="str">
        <f>Dictionary!B706</f>
        <v>sehr komplexe Aufgabenstellung, umfangreiches sachliches Umfeld; erfordert den Einsatz umfangreicher Prozess- und Toolwelt, strenge Reporting-Vorgaben</v>
      </c>
      <c r="I12" s="495"/>
      <c r="J12" s="495"/>
      <c r="K12" s="496"/>
    </row>
    <row r="13" spans="2:11" ht="65">
      <c r="B13" s="479">
        <f>B12+0.1</f>
        <v>1.3000000000000003</v>
      </c>
      <c r="C13" s="558" t="str">
        <f>Dictionary!B708</f>
        <v>Ressourcen und Finanzen</v>
      </c>
      <c r="D13" s="558" t="str">
        <f>Dictionary!B709</f>
        <v>Akquisition und Bereitstellung der erforderlichen Budgets sowie deren Management; Anzahl der Geldgeber; Verfügbarkeit und Qualität der notwendigen (personellen und sonstigen) Ressourcen; Ressourcen-Management und Beschaffungsprozesse</v>
      </c>
      <c r="E13" s="557" t="str">
        <f>Dictionary!B710</f>
        <v>Budget-Ermittlung ohne Verhandlung, einfache Kostenüberwachung; Ressourcen verfügbar, geringe Ressourcenkonflikte; geringfügige Beschaffungsvorgänge</v>
      </c>
      <c r="F13" s="557" t="str">
        <f>Dictionary!B711</f>
        <v>Budget-Ermittlung und  -Verhandlung; Verhandlung der benötigten Ressourcen, teilweise externe Ressourcen-Beschaffung</v>
      </c>
      <c r="G13" s="557" t="str">
        <f>Dictionary!B712</f>
        <v>Budget- und Ressourcenbeschaffung im Wettbewerb mit anderen Projekten; wesentliche Beschaffungsvorgänge</v>
      </c>
      <c r="H13" s="557" t="str">
        <f>Dictionary!B713</f>
        <v>Beschaffung wesentlicher Finanzmittel, Finanzierung durch unterschiedliche Geldgeber intern und extern; Steuerung wesentlicher Unterauftragnehmer</v>
      </c>
      <c r="I13" s="495"/>
      <c r="J13" s="495"/>
      <c r="K13" s="496"/>
    </row>
    <row r="14" spans="2:11" ht="60">
      <c r="B14" s="479">
        <f>B13+0.1</f>
        <v>1.4000000000000004</v>
      </c>
      <c r="C14" s="558" t="str">
        <f>Dictionary!B715</f>
        <v>Chancen und Risiken</v>
      </c>
      <c r="D14" s="558" t="str">
        <f>Dictionary!B716</f>
        <v xml:space="preserve">Bewertung der Chancen und Risiken im Projekt; Ermittlung und Steuerung des Risikosystems; Ableitung von validen Maßnahmen; Ermittlung und Nutzung von Chancen; Anwendung von Tools zur Steuerung des Risiko-Budgets </v>
      </c>
      <c r="E14" s="557" t="str">
        <f>Dictionary!B717</f>
        <v>wenige Risiken in überschaubarer Höhe, kein Chancen-Management</v>
      </c>
      <c r="F14" s="557" t="str">
        <f>Dictionary!B718</f>
        <v>mehrere Risiken und Chancen; stabiles Risiko-System; Management eines Risiko-Budgets</v>
      </c>
      <c r="G14" s="557" t="str">
        <f>Dictionary!B719</f>
        <v>mehrere Risiken mit begrenzter Schadenshöhe; Möglichkeit der Chancen-Nutzung zur Entlastung des Projektes</v>
      </c>
      <c r="H14" s="557" t="str">
        <f>Dictionary!B720</f>
        <v>Umfangreiches Risiko-Potential inklusive hoher strategischer Risiken; Anwendung valider Steuerungsmöglichkeiten; Meldung nach KONTRAG</v>
      </c>
      <c r="I14" s="495"/>
      <c r="J14" s="495"/>
      <c r="K14" s="496"/>
    </row>
    <row r="15" spans="2:11" s="387" customFormat="1" ht="24" customHeight="1">
      <c r="H15" s="387" t="str">
        <f>Dictionary!B721</f>
        <v>Durchschnitt der eingegebenen Detailbewertungen:</v>
      </c>
      <c r="I15" s="480" t="str">
        <f>IF(SUM(I11:I14)=0,"",ROUNDDOWN(AVERAGE(I11:I14),1))</f>
        <v/>
      </c>
      <c r="J15" s="480" t="str">
        <f>IF(SUM(J11:J14)=0,"",ROUNDDOWN(AVERAGE(J11:J14),1))</f>
        <v/>
      </c>
      <c r="K15" s="481"/>
    </row>
    <row r="16" spans="2:11">
      <c r="C16" s="473"/>
      <c r="D16" s="473"/>
      <c r="E16" s="482"/>
      <c r="F16" s="482"/>
      <c r="G16" s="482"/>
      <c r="H16" s="482"/>
    </row>
    <row r="17" spans="2:11" ht="30" customHeight="1">
      <c r="B17" s="477">
        <v>2</v>
      </c>
      <c r="C17" s="2180" t="str">
        <f>Dictionary!B723</f>
        <v>Indikatoren bezogen auf den Kontext</v>
      </c>
      <c r="D17" s="2181"/>
      <c r="E17" s="2181"/>
      <c r="F17" s="2181"/>
      <c r="G17" s="2181"/>
      <c r="H17" s="2182"/>
    </row>
    <row r="18" spans="2:11" ht="60">
      <c r="B18" s="479">
        <f>B17+0.1</f>
        <v>2.1</v>
      </c>
      <c r="C18" s="558" t="str">
        <f>Dictionary!B724</f>
        <v xml:space="preserve">Strategie, Stakeholder </v>
      </c>
      <c r="D18" s="558" t="str">
        <f>Dictionary!B725</f>
        <v>Einfluss der Unternehmens-Strategie, Auswirkungen des Projektes auf das Unternehmen, Stakeholder-Interessen;
Gesetze und Regularien</v>
      </c>
      <c r="E18" s="559" t="str">
        <f>Dictionary!B726</f>
        <v>wenige strategische Einflüsse; Projekt ist rein operativ ausgerichtet</v>
      </c>
      <c r="F18" s="559" t="str">
        <f>Dictionary!B727</f>
        <v>Stakeholder-Interessen  beeinflussen das Projekt begrenzte Einflüsse aus der Unternehmens-Strategie</v>
      </c>
      <c r="G18" s="559" t="str">
        <f>Dictionary!B728</f>
        <v>Viele Komponenten (?) unterschiedlicher Art</v>
      </c>
      <c r="H18" s="559" t="str">
        <f>Dictionary!B729</f>
        <v>Projekt hat erheblichen Einfluss auf das Unternehmen und seinen Erfolg; starke Auswirkungen von Gesetzen und Regularien</v>
      </c>
      <c r="I18" s="495"/>
      <c r="J18" s="495"/>
      <c r="K18" s="496"/>
    </row>
    <row r="19" spans="2:11" ht="135">
      <c r="B19" s="479">
        <f>B18+0.1</f>
        <v>2.2000000000000002</v>
      </c>
      <c r="C19" s="558" t="str">
        <f>Dictionary!B731</f>
        <v>Stammorganisation</v>
      </c>
      <c r="D19" s="558" t="str">
        <f>Dictionary!B732</f>
        <v>Umfang der Vernetzung über Schnittstellen des Projektes mit den Strukturen, Berichtswesen und Entscheidungswegen der Stammorganisation</v>
      </c>
      <c r="E19" s="559" t="str">
        <f>Dictionary!B733</f>
        <v xml:space="preserve">starke Abgrenzung des Projektes von der Stammorganisation, Entscheidungen fallen wesentlich in der Stammorganisation, viele ähnliche Projekte wurden bereits im Unternehmen durchgeführt </v>
      </c>
      <c r="F19" s="559" t="str">
        <f>Dictionary!B734</f>
        <v>klare Schnittstellen zur Stammorganisation z.B. über Leitungsgremium; Berichtswesen und Entscheidungswege begrenzt und klar definiert Projekt hat geringe Auswirkungen auf Prozesse der Stammorganisation,  ähnliche Projekte wurden bereits im Unternehmen durchgeführt</v>
      </c>
      <c r="G19" s="559" t="str">
        <f>Dictionary!B735</f>
        <v>viele operative Schnittstellen wirken auf  das Projekt ein; Berichte und Entscheidungen machen erheblichen Arbeitsanteil aus, Projekt hat  Auswirkungen auf Prozesse der Stammorganisation, wenige ähnliche Projekte wurden bereits im Unternehmen durchgeführt</v>
      </c>
      <c r="H19" s="559" t="str">
        <f>Dictionary!B736</f>
        <v>Starke Einflüsse der Stammorganisation auf strategischer Ebene; Entscheidungen durch Verhandlungen mit der Stammorganisation, Projekt hat starke Auswirkungen auf Prozesse der Stammorganisation , Projekt ist neuartig für Unternehmen</v>
      </c>
      <c r="I19" s="495"/>
      <c r="J19" s="495"/>
      <c r="K19" s="496"/>
    </row>
    <row r="20" spans="2:11" ht="65">
      <c r="B20" s="479">
        <f>B19+0.1</f>
        <v>2.3000000000000003</v>
      </c>
      <c r="C20" s="558" t="str">
        <f>Dictionary!B738</f>
        <v>Sozio-Kulturelle Einflüsse</v>
      </c>
      <c r="D20" s="558" t="str">
        <f>Dictionary!B739</f>
        <v>Einfluss der sozio-kulturellen Unterschiede im Projektteam, insbesondere bei verteilten oder Firmen-übergreifenden Teams</v>
      </c>
      <c r="E20" s="557" t="str">
        <f>Dictionary!B740</f>
        <v>keine Auswirkungen zu erwarten (Projekt an einem Standort, eine Sprache, homogene Projektgruppe)</v>
      </c>
      <c r="F20" s="557" t="str">
        <f>Dictionary!B741</f>
        <v>wenig Auswirkungen zu erwarten</v>
      </c>
      <c r="G20" s="557" t="str">
        <f>Dictionary!B742</f>
        <v>Auswirkungen infolge lokal verteilter Teams, mehreren Sprachen oder heterogenen Kulturkreisen erfordern in Einzelfällen Führungsmaßnahmen</v>
      </c>
      <c r="H20" s="557" t="str">
        <f>Dictionary!B743</f>
        <v>Auswirkungen infolge lokal verteilter Teams oder großer Teams aus unterschiedlichen Unternehmen und Kulturkreisen erfordern umfangreiche Führungsmaßnahmen</v>
      </c>
      <c r="I20" s="495"/>
      <c r="J20" s="495"/>
      <c r="K20" s="496"/>
    </row>
    <row r="21" spans="2:11" s="387" customFormat="1" ht="24" customHeight="1">
      <c r="H21" s="387" t="str">
        <f>Dictionary!B744</f>
        <v>Durchschnitt der eingegebenen Detailbewertungen:</v>
      </c>
      <c r="I21" s="480" t="str">
        <f>IF(SUM(I18:I20)=0,"",ROUNDDOWN(AVERAGE(I18:I20),1))</f>
        <v/>
      </c>
      <c r="J21" s="480" t="str">
        <f>IF(SUM(J18:J20)=0,"",ROUNDDOWN(AVERAGE(J18:J20),1))</f>
        <v/>
      </c>
      <c r="K21" s="481"/>
    </row>
    <row r="22" spans="2:11">
      <c r="C22" s="473"/>
      <c r="D22" s="473"/>
      <c r="E22" s="482"/>
      <c r="F22" s="482"/>
      <c r="G22" s="482"/>
      <c r="H22" s="482"/>
    </row>
    <row r="23" spans="2:11" ht="30" customHeight="1">
      <c r="B23" s="477">
        <v>3</v>
      </c>
      <c r="C23" s="2180" t="str">
        <f>Dictionary!B746</f>
        <v>Indikatoren bezogen auf Management und Führung</v>
      </c>
      <c r="D23" s="2181"/>
      <c r="E23" s="2181"/>
      <c r="F23" s="2181"/>
      <c r="G23" s="2181"/>
      <c r="H23" s="2182"/>
    </row>
    <row r="24" spans="2:11" ht="90">
      <c r="B24" s="479">
        <f>B23+0.1</f>
        <v>3.1</v>
      </c>
      <c r="C24" s="560" t="str">
        <f>Dictionary!B747</f>
        <v xml:space="preserve">Führung und Teamwork </v>
      </c>
      <c r="D24" s="560" t="str">
        <f>Dictionary!B748</f>
        <v>Umfang der Führungs-, Teambildungs und-Steuerungsmaßnahmen</v>
      </c>
      <c r="E24" s="559" t="str">
        <f>Dictionary!B749</f>
        <v>fast alle Teammitglieder haben bereits mit PL gearbeitet, PL hat Erfahrung im Mgt von Teams über 5 J, Governance Vorgaben sind klar definiert, das Projektteam hat hohe PM Skills</v>
      </c>
      <c r="F24" s="559" t="str">
        <f>Dictionary!B750</f>
        <v>sehr viele Teammitglieder haben bereits mit PL gearbeitet, PL hat Erfahrung im Mgt von Teams über 3 J, governance Vorgaben sind teilweise definiert, das Projektteam hat  PM Skills</v>
      </c>
      <c r="G24" s="559" t="str">
        <f>Dictionary!B751</f>
        <v>viele Teammitglieder haben bereits mit PL gearbeitet, PL hat Erfahrung im Mgt von Teams über 1-2 J, einige Governance Vorgaben sind klar definiert, das Projektteam hat einige PM Skills</v>
      </c>
      <c r="H24" s="559" t="str">
        <f>Dictionary!B752</f>
        <v>wenige Teammitglieder haben bereits mit PL gearbeitet, PL hat Erfahrung im Mgt von Teams weniger 1J, wenige Governance Vorgaben sind definiert, das Projektteam hat sehr wenig PM Skills</v>
      </c>
      <c r="I24" s="495"/>
      <c r="J24" s="495"/>
      <c r="K24" s="496"/>
    </row>
    <row r="25" spans="2:11" ht="91" customHeight="1">
      <c r="B25" s="479">
        <f>B24+0.1</f>
        <v>3.2</v>
      </c>
      <c r="C25" s="558" t="str">
        <f>Dictionary!B754</f>
        <v xml:space="preserve"> Innovation</v>
      </c>
      <c r="D25" s="558" t="str">
        <f>Dictionary!B755</f>
        <v>technische Neuartigkeit des Projektes und seine Auswirkungen auf Ressourcenauswahl und Aus- und Weiterbildung während des Projektes; Umgang mit neuartigen Ansätzen und Ergebnissen</v>
      </c>
      <c r="E25" s="559" t="str">
        <f>Dictionary!B756</f>
        <v>kein Handlungsbedarf infolge geringer Neuartigkeit, z.B. Wiederholprojekte</v>
      </c>
      <c r="F25" s="559" t="str">
        <f>Dictionary!B757</f>
        <v>einige Maßnahmen erforderlich infolge der Neuartigkeit in einzelnen Bereichen</v>
      </c>
      <c r="G25" s="559" t="str">
        <f>Dictionary!B758</f>
        <v>Neuartigkeit des Projektgegenstandes und/oder von Prozessen bedingt vorbereitende Qualifizerungsmaßnahmen</v>
      </c>
      <c r="H25" s="559" t="str">
        <f>Dictionary!B759</f>
        <v xml:space="preserve">Neuartigkeit des Projektgegenstandes und/oder von Prozessen in Verbindung mit großem Projektvolumen bedingt Planung der Qualifizierung, aber auch intensives Risiko-Management </v>
      </c>
      <c r="I25" s="495"/>
      <c r="J25" s="495"/>
      <c r="K25" s="496"/>
    </row>
    <row r="26" spans="2:11" ht="60">
      <c r="B26" s="479">
        <f>B25+0.1</f>
        <v>3.3000000000000003</v>
      </c>
      <c r="C26" s="558" t="str">
        <f>Dictionary!B761</f>
        <v>Autonomie und Verantwortung</v>
      </c>
      <c r="D26" s="558" t="str">
        <f>Dictionary!B762</f>
        <v>Entscheidungs- und Verantwortungsspielraum des Projektleiters; Umfang der Delegation in das Projektteam; Vertretung des Projektes gegenüber dem gesamten sozialen Umfeld</v>
      </c>
      <c r="E26" s="559" t="str">
        <f>Dictionary!B763</f>
        <v xml:space="preserve">wenig Autonomie/Gestaltungsspielräume des PL bzgl. Entscheidungen und Vertretung des Projektes nach aussen </v>
      </c>
      <c r="F26" s="559" t="str">
        <f>Dictionary!B764</f>
        <v>Verhandlung Lasten- und Pflichtenheft; Gesaltungs-spielräume ergeben sich hauptsächlich durch Änderungsprozesse</v>
      </c>
      <c r="G26" s="559" t="str">
        <f>Dictionary!B765</f>
        <v>Projektleiter vertritt das Projekt und damit auch das Unternehmen auch gegenüber externen Stakeholdern</v>
      </c>
      <c r="H26" s="559" t="str">
        <f>Dictionary!B766</f>
        <v>umfangreiche Verantwortungs- und Entscheidungsspielräume, z.B. durch Vollmachts- oder Unterschriftenregelung</v>
      </c>
      <c r="I26" s="495"/>
      <c r="J26" s="495"/>
      <c r="K26" s="496"/>
    </row>
    <row r="27" spans="2:11" s="387" customFormat="1" ht="24" customHeight="1">
      <c r="H27" s="387" t="str">
        <f>Dictionary!B767</f>
        <v>Durchschnitt der eingegebenen Detailbewertungen:</v>
      </c>
      <c r="I27" s="480" t="str">
        <f>IF(SUM(I24:I26)=0,"",ROUNDDOWN(AVERAGE(I24:I26),1))</f>
        <v/>
      </c>
      <c r="J27" s="480" t="str">
        <f>IF(SUM(J24:J26)=0,"",ROUNDDOWN(AVERAGE(J24:J26),1))</f>
        <v/>
      </c>
      <c r="K27" s="481"/>
    </row>
    <row r="28" spans="2:11">
      <c r="C28" s="473"/>
      <c r="D28" s="473"/>
      <c r="E28" s="482"/>
      <c r="F28" s="482"/>
      <c r="G28" s="482"/>
      <c r="H28" s="482"/>
    </row>
    <row r="29" spans="2:11" ht="17" customHeight="1"/>
    <row r="30" spans="2:11" ht="17" customHeight="1">
      <c r="F30" s="334" t="str">
        <f>Dictionary!B768</f>
        <v>Zusammenfassende Bewertungen (gerundet)</v>
      </c>
    </row>
    <row r="31" spans="2:11" ht="17" customHeight="1">
      <c r="G31" s="483" t="str">
        <f>Dictionary!B769</f>
        <v>Indikator</v>
      </c>
      <c r="H31" s="471">
        <v>1</v>
      </c>
      <c r="I31" s="484" t="str">
        <f>IF(I15="","",I15)</f>
        <v/>
      </c>
      <c r="J31" s="484" t="str">
        <f>IF(J15="","",J15)</f>
        <v/>
      </c>
    </row>
    <row r="32" spans="2:11" ht="17" customHeight="1">
      <c r="G32" s="483" t="str">
        <f>Dictionary!B769</f>
        <v>Indikator</v>
      </c>
      <c r="H32" s="471">
        <f>1+H31</f>
        <v>2</v>
      </c>
      <c r="I32" s="485" t="str">
        <f>IF(I21="","",I21)</f>
        <v/>
      </c>
      <c r="J32" s="485" t="str">
        <f>IF(J21="","",J21)</f>
        <v/>
      </c>
    </row>
    <row r="33" spans="2:12" ht="17" customHeight="1">
      <c r="G33" s="483" t="str">
        <f>Dictionary!B769</f>
        <v>Indikator</v>
      </c>
      <c r="H33" s="471">
        <f>1+H32</f>
        <v>3</v>
      </c>
      <c r="I33" s="485" t="str">
        <f>IF(I27="","",I27)</f>
        <v/>
      </c>
      <c r="J33" s="485" t="str">
        <f>IF(J27="","",J27)</f>
        <v/>
      </c>
    </row>
    <row r="34" spans="2:12" s="473" customFormat="1" ht="17" customHeight="1">
      <c r="B34" s="471"/>
      <c r="C34" s="472"/>
      <c r="D34" s="472"/>
      <c r="E34" s="472"/>
      <c r="F34" s="472"/>
      <c r="G34" s="472"/>
      <c r="H34" s="387" t="str">
        <f>Dictionary!B770</f>
        <v xml:space="preserve">Gesamtbewertung   </v>
      </c>
      <c r="I34" s="485">
        <f>SUM(I11:I14)+SUM(I18:I20)+SUM(I24:I26)</f>
        <v>0</v>
      </c>
      <c r="J34" s="485">
        <f>SUM(J11:J14)+SUM(J18:J20)+SUM(J24:J26)</f>
        <v>0</v>
      </c>
      <c r="L34" s="472"/>
    </row>
    <row r="35" spans="2:12" s="473" customFormat="1" ht="17" customHeight="1">
      <c r="B35" s="471"/>
      <c r="C35" s="472"/>
      <c r="D35" s="472"/>
      <c r="E35" s="472"/>
      <c r="F35" s="472"/>
      <c r="G35" s="472"/>
      <c r="H35" s="387"/>
      <c r="I35" s="486"/>
      <c r="J35" s="486"/>
      <c r="L35" s="472"/>
    </row>
    <row r="36" spans="2:12" s="473" customFormat="1" ht="17" customHeight="1">
      <c r="B36" s="471"/>
      <c r="C36" s="487"/>
      <c r="D36" s="487"/>
      <c r="E36" s="472"/>
      <c r="F36" s="472"/>
      <c r="G36" s="472"/>
      <c r="H36" s="472"/>
      <c r="I36" s="471"/>
      <c r="J36" s="471"/>
      <c r="L36" s="472"/>
    </row>
    <row r="37" spans="2:12" s="473" customFormat="1" ht="17" customHeight="1" thickBot="1">
      <c r="B37" s="460"/>
      <c r="C37" s="460"/>
      <c r="D37" s="460"/>
      <c r="E37" s="460"/>
      <c r="F37" s="460"/>
      <c r="G37" s="460"/>
      <c r="H37" s="460"/>
      <c r="I37" s="460"/>
      <c r="J37" s="460"/>
      <c r="K37" s="460"/>
      <c r="L37" s="472"/>
    </row>
    <row r="38" spans="2:12" s="473" customFormat="1" ht="17" customHeight="1">
      <c r="B38" s="89"/>
      <c r="C38" s="89"/>
      <c r="D38" s="89"/>
      <c r="F38" s="472"/>
      <c r="G38" s="472"/>
      <c r="H38" s="472"/>
      <c r="I38" s="471"/>
      <c r="J38" s="471"/>
      <c r="K38" s="464" t="s">
        <v>105</v>
      </c>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ht="17" customHeight="1"/>
    <row r="50" ht="17" customHeight="1"/>
    <row r="51" ht="17" customHeight="1"/>
    <row r="52" ht="17" customHeight="1"/>
    <row r="53" ht="17" customHeight="1"/>
    <row r="54" ht="17" customHeight="1"/>
    <row r="55" ht="17" customHeight="1"/>
    <row r="56" ht="17" customHeight="1"/>
    <row r="57" ht="17" customHeight="1"/>
    <row r="58" ht="17" customHeight="1"/>
    <row r="59" ht="17" customHeight="1"/>
    <row r="60" ht="17" customHeight="1"/>
    <row r="61" ht="17" customHeight="1"/>
    <row r="62" ht="17" customHeight="1"/>
    <row r="63" ht="17" customHeight="1"/>
    <row r="64" ht="17" customHeight="1"/>
    <row r="65" ht="17" customHeight="1"/>
    <row r="66" ht="17" customHeight="1"/>
    <row r="67" ht="17" customHeight="1"/>
    <row r="68" ht="17" customHeight="1"/>
    <row r="69" ht="17" customHeight="1"/>
    <row r="70" ht="17" customHeight="1"/>
  </sheetData>
  <sheetProtection algorithmName="SHA-512" hashValue="j4ah3Xpueqg+qnCb2y7EGI55LwYB2mfN9ihbIB5WRtw5+tHHvky8lC49mXv3sIPE9+3pv/e6NCRsckdaXcK5nQ==" saltValue="oMPQwyryUWFkxxtsVN66sg==" spinCount="100000" sheet="1" objects="1" scenarios="1" selectLockedCells="1"/>
  <mergeCells count="9">
    <mergeCell ref="C10:H10"/>
    <mergeCell ref="C17:H17"/>
    <mergeCell ref="C23:H23"/>
    <mergeCell ref="B3:K3"/>
    <mergeCell ref="F6:H6"/>
    <mergeCell ref="B8:B9"/>
    <mergeCell ref="C8:D9"/>
    <mergeCell ref="E8:H8"/>
    <mergeCell ref="I8:K8"/>
  </mergeCells>
  <conditionalFormatting sqref="I35:J35">
    <cfRule type="cellIs" dxfId="395" priority="1" operator="equal">
      <formula>"Yes"</formula>
    </cfRule>
    <cfRule type="cellIs" dxfId="394" priority="2" operator="equal">
      <formula>"No"</formula>
    </cfRule>
  </conditionalFormatting>
  <dataValidations count="1">
    <dataValidation type="whole" allowBlank="1" showInputMessage="1" showErrorMessage="1" sqref="I11:J14 I18:J20 I24:J26" xr:uid="{00000000-0002-0000-2B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099BF-EF2D-487C-BAAE-E63093853575}">
  <sheetPr codeName="Sheet15">
    <tabColor theme="9"/>
  </sheetPr>
  <dimension ref="B1:E68"/>
  <sheetViews>
    <sheetView topLeftCell="A4" zoomScale="130" zoomScaleNormal="130" workbookViewId="0">
      <selection activeCell="B19" sqref="B19:E19"/>
    </sheetView>
  </sheetViews>
  <sheetFormatPr baseColWidth="10" defaultColWidth="11.5" defaultRowHeight="15"/>
  <cols>
    <col min="1" max="1" width="2.5" style="89" customWidth="1"/>
    <col min="2" max="2" width="45.5" style="89" customWidth="1"/>
    <col min="3" max="3" width="22.83203125" style="89" customWidth="1"/>
    <col min="4" max="4" width="32" style="89" customWidth="1"/>
    <col min="5" max="5" width="22.83203125" style="89" customWidth="1"/>
    <col min="6" max="6" width="3.1640625" style="89" customWidth="1"/>
    <col min="7" max="7" width="20" style="89" customWidth="1"/>
    <col min="8" max="9" width="11.5" style="89"/>
    <col min="10" max="10" width="8.5" style="89" customWidth="1"/>
    <col min="11" max="16384" width="11.5" style="89"/>
  </cols>
  <sheetData>
    <row r="1" spans="2:5" ht="15.75" customHeight="1" thickBot="1">
      <c r="B1" s="497" t="str">
        <f ca="1">COV!C20</f>
        <v>DECKBLATT BITTE VOLLSTÄNDIG AUSFÜLLEN!</v>
      </c>
      <c r="C1" s="459"/>
      <c r="D1" s="459"/>
      <c r="E1" s="459"/>
    </row>
    <row r="2" spans="2:5" ht="5.25" customHeight="1" thickTop="1"/>
    <row r="3" spans="2:5" ht="21">
      <c r="B3" s="2046" t="str">
        <f>Dictionary!B614&amp;'(7b) Project List'!A20</f>
        <v>Steckbrief für Management Erfahrung 12</v>
      </c>
      <c r="C3" s="2046"/>
      <c r="D3" s="2046"/>
      <c r="E3" s="2046"/>
    </row>
    <row r="4" spans="2:5" ht="21">
      <c r="B4" s="488"/>
      <c r="C4" s="488"/>
      <c r="D4" s="488"/>
      <c r="E4" s="488"/>
    </row>
    <row r="5" spans="2:5" ht="21">
      <c r="B5" s="489" t="str">
        <f>EXP!B5</f>
        <v xml:space="preserve"> , Level A, Projekt Management, Erstzertifizierung</v>
      </c>
      <c r="C5" s="490"/>
      <c r="D5" s="490"/>
      <c r="E5" s="490"/>
    </row>
    <row r="7" spans="2:5">
      <c r="B7" s="2013" t="str">
        <f>Dictionary!B618</f>
        <v>Kopfzeile</v>
      </c>
      <c r="C7" s="2013"/>
      <c r="D7" s="2013"/>
      <c r="E7" s="2013"/>
    </row>
    <row r="8" spans="2:5" ht="16.5" customHeight="1">
      <c r="B8" s="503" t="str">
        <f>EXP!D20&amp;" "&amp;Dictionary!B615</f>
        <v xml:space="preserve"> Name </v>
      </c>
      <c r="C8" s="504" t="str">
        <f>IF('(7b) Project List'!B20="","",'(7b) Project List'!B20)</f>
        <v/>
      </c>
      <c r="D8" s="508" t="str">
        <f>EXP!D20&amp;" "&amp;Dictionary!B616</f>
        <v xml:space="preserve"> Nummer </v>
      </c>
      <c r="E8" s="509"/>
    </row>
    <row r="9" spans="2:5" ht="16.5" customHeight="1">
      <c r="B9" s="510" t="str">
        <f>Dictionary!B617</f>
        <v>Kunde/AuftraggeberIn:</v>
      </c>
      <c r="C9" s="2138"/>
      <c r="D9" s="2138"/>
      <c r="E9" s="511"/>
    </row>
    <row r="10" spans="2:5" ht="16.5" customHeight="1"/>
    <row r="11" spans="2:5" ht="16.5" customHeight="1">
      <c r="B11" s="2013" t="str">
        <f>Dictionary!B620</f>
        <v>Governance &amp; eigene Rolle</v>
      </c>
      <c r="C11" s="2013"/>
      <c r="D11" s="2013"/>
      <c r="E11" s="2013"/>
    </row>
    <row r="12" spans="2:5" ht="16.5" customHeight="1">
      <c r="B12" s="503" t="str">
        <f>Dictionary!B621</f>
        <v>Eigene Rolle:</v>
      </c>
      <c r="C12" s="504" t="str">
        <f>IF('(7b) Project List'!E20="","",'(7b) Project List'!E20)</f>
        <v/>
      </c>
      <c r="D12" s="2130" t="str">
        <f>Dictionary!B622</f>
        <v>Anmerkungen:</v>
      </c>
      <c r="E12" s="2131"/>
    </row>
    <row r="13" spans="2:5" ht="16.5" customHeight="1">
      <c r="B13" s="505" t="str">
        <f>Dictionary!B623</f>
        <v>Verantwortung für den Umfang/die Ergebnisse:</v>
      </c>
      <c r="C13" s="506"/>
      <c r="D13" s="2142"/>
      <c r="E13" s="2143"/>
    </row>
    <row r="14" spans="2:5" ht="16.5" customHeight="1">
      <c r="B14" s="505" t="str">
        <f>Dictionary!B624</f>
        <v>Verantwortung für die Terminplanung:</v>
      </c>
      <c r="C14" s="506"/>
      <c r="D14" s="2142"/>
      <c r="E14" s="2143"/>
    </row>
    <row r="15" spans="2:5" ht="16.5" customHeight="1">
      <c r="B15" s="505" t="str">
        <f>Dictionary!B625</f>
        <v>Verantwortung für das Budget:</v>
      </c>
      <c r="C15" s="506"/>
      <c r="D15" s="2142"/>
      <c r="E15" s="2143"/>
    </row>
    <row r="16" spans="2:5" ht="16.5" customHeight="1">
      <c r="B16" s="561" t="str">
        <f>EXP!D20&amp;" "&amp;Dictionary!B627</f>
        <v xml:space="preserve"> Typ</v>
      </c>
      <c r="C16" s="507"/>
      <c r="D16" s="2142"/>
      <c r="E16" s="2143"/>
    </row>
    <row r="17" spans="2:5" ht="16.5" customHeight="1">
      <c r="B17" s="561" t="str">
        <f>Dictionary!B626</f>
        <v>Art der PM Organisation</v>
      </c>
      <c r="C17" s="507"/>
      <c r="D17" s="2142"/>
      <c r="E17" s="2143"/>
    </row>
    <row r="18" spans="2:5" ht="16.5" customHeight="1">
      <c r="B18" s="2139" t="str">
        <f>Dictionary!B628</f>
        <v>Kurze Beschreibung Ihrer eigenen Rolle, Verantwortung und Aktivitäten; wem sind Sie unterstellt?</v>
      </c>
      <c r="C18" s="2140"/>
      <c r="D18" s="2140"/>
      <c r="E18" s="2141"/>
    </row>
    <row r="19" spans="2:5" ht="57" customHeight="1">
      <c r="B19" s="2149"/>
      <c r="C19" s="2150"/>
      <c r="D19" s="2150"/>
      <c r="E19" s="2151"/>
    </row>
    <row r="20" spans="2:5" ht="18" customHeight="1"/>
    <row r="21" spans="2:5" ht="16.5" customHeight="1">
      <c r="B21" s="2013" t="str">
        <f>Dictionary!B630</f>
        <v>Allgemeine Informationen und Beschreibung</v>
      </c>
      <c r="C21" s="2013"/>
      <c r="D21" s="2013"/>
      <c r="E21" s="2013"/>
    </row>
    <row r="22" spans="2:5" ht="16.5" customHeight="1">
      <c r="B22" s="2157" t="str">
        <f>Dictionary!B631</f>
        <v>Kurze Beschreibung der KPI, Ergebnisse und Liefergegenstände:</v>
      </c>
      <c r="C22" s="2158"/>
      <c r="D22" s="2158"/>
      <c r="E22" s="2159"/>
    </row>
    <row r="23" spans="2:5" ht="57" customHeight="1">
      <c r="B23" s="2160"/>
      <c r="C23" s="2161"/>
      <c r="D23" s="2161"/>
      <c r="E23" s="2162"/>
    </row>
    <row r="24" spans="2:5" ht="16.5" customHeight="1">
      <c r="B24" s="2139" t="str">
        <f>Dictionary!B632</f>
        <v>Kurze Beschreibung des Umfangs und der Ziele, für die Sie verantwortlich sind:</v>
      </c>
      <c r="C24" s="2140"/>
      <c r="D24" s="2140"/>
      <c r="E24" s="2141"/>
    </row>
    <row r="25" spans="2:5" ht="57" customHeight="1">
      <c r="B25" s="2160"/>
      <c r="C25" s="2161"/>
      <c r="D25" s="2161"/>
      <c r="E25" s="2162"/>
    </row>
    <row r="26" spans="2:5" ht="16.5" customHeight="1">
      <c r="B26" s="2139" t="str">
        <f>Dictionary!B633</f>
        <v>Informationen über erhebliche Planabweichungen und/oder kritische Managementsituationen:</v>
      </c>
      <c r="C26" s="2140"/>
      <c r="D26" s="2140"/>
      <c r="E26" s="2141"/>
    </row>
    <row r="27" spans="2:5" ht="54.75" customHeight="1">
      <c r="B27" s="2146"/>
      <c r="C27" s="2152"/>
      <c r="D27" s="2152"/>
      <c r="E27" s="2153"/>
    </row>
    <row r="28" spans="2:5" ht="18" customHeight="1"/>
    <row r="29" spans="2:5" ht="18" customHeight="1">
      <c r="B29" s="2013" t="str">
        <f>EXP!D20&amp;" "&amp;Dictionary!B635</f>
        <v xml:space="preserve"> Planung</v>
      </c>
      <c r="C29" s="2013"/>
      <c r="D29" s="2013"/>
      <c r="E29" s="2013"/>
    </row>
    <row r="30" spans="2:5" ht="16.5" customHeight="1">
      <c r="B30" s="512" t="str">
        <f>Dictionary!B636</f>
        <v>Beginn des Vorhabens:</v>
      </c>
      <c r="C30" s="513" t="str">
        <f>C31</f>
        <v/>
      </c>
      <c r="D30" s="508" t="str">
        <f>Dictionary!B642</f>
        <v>Ende des Vorhabens:</v>
      </c>
      <c r="E30" s="514" t="str">
        <f>E31</f>
        <v/>
      </c>
    </row>
    <row r="31" spans="2:5" ht="16.5" customHeight="1">
      <c r="B31" s="515" t="str">
        <f>Dictionary!B637</f>
        <v>Ihr Beginn in dieser Rolle:</v>
      </c>
      <c r="C31" s="516" t="str">
        <f>IF('(7b) Project List'!F20="","",'(7b) Project List'!F20)</f>
        <v/>
      </c>
      <c r="D31" s="517" t="str">
        <f>Dictionary!B643</f>
        <v>Ende Ihrer Beteiligung:</v>
      </c>
      <c r="E31" s="518" t="str">
        <f>IF('(7b) Project List'!G20="","",'(7b) Project List'!G20)</f>
        <v/>
      </c>
    </row>
    <row r="32" spans="2:5" ht="16.5" customHeight="1">
      <c r="B32" s="2139" t="str">
        <f>IF(ISNUMBER(SEARCH("ortfolio",B29)),Dictionary!B640,Dictionary!B638)</f>
        <v>Phasen:</v>
      </c>
      <c r="C32" s="2140"/>
      <c r="D32" s="2140" t="str">
        <f>IF(ISNUMBER(SEARCH("ortfolio",B29)),Dictionary!B641,Dictionary!B639)</f>
        <v>Meilensteine:</v>
      </c>
      <c r="E32" s="2141"/>
    </row>
    <row r="33" spans="2:5">
      <c r="B33" s="2154"/>
      <c r="C33" s="2142"/>
      <c r="D33" s="2133"/>
      <c r="E33" s="2143"/>
    </row>
    <row r="34" spans="2:5">
      <c r="B34" s="2155"/>
      <c r="C34" s="2142"/>
      <c r="D34" s="2142"/>
      <c r="E34" s="2143"/>
    </row>
    <row r="35" spans="2:5">
      <c r="B35" s="2155"/>
      <c r="C35" s="2142"/>
      <c r="D35" s="2142"/>
      <c r="E35" s="2143"/>
    </row>
    <row r="36" spans="2:5">
      <c r="B36" s="2155"/>
      <c r="C36" s="2142"/>
      <c r="D36" s="2142"/>
      <c r="E36" s="2143"/>
    </row>
    <row r="37" spans="2:5">
      <c r="B37" s="2155"/>
      <c r="C37" s="2142"/>
      <c r="D37" s="2142"/>
      <c r="E37" s="2143"/>
    </row>
    <row r="38" spans="2:5">
      <c r="B38" s="2155"/>
      <c r="C38" s="2142"/>
      <c r="D38" s="2142"/>
      <c r="E38" s="2143"/>
    </row>
    <row r="39" spans="2:5">
      <c r="B39" s="2155"/>
      <c r="C39" s="2142"/>
      <c r="D39" s="2142"/>
      <c r="E39" s="2143"/>
    </row>
    <row r="40" spans="2:5">
      <c r="B40" s="2155"/>
      <c r="C40" s="2142"/>
      <c r="D40" s="2142"/>
      <c r="E40" s="2143"/>
    </row>
    <row r="41" spans="2:5">
      <c r="B41" s="2155"/>
      <c r="C41" s="2142"/>
      <c r="D41" s="2142"/>
      <c r="E41" s="2143"/>
    </row>
    <row r="42" spans="2:5">
      <c r="B42" s="2156"/>
      <c r="C42" s="2150"/>
      <c r="D42" s="2150"/>
      <c r="E42" s="2151"/>
    </row>
    <row r="44" spans="2:5" ht="18" customHeight="1">
      <c r="B44" s="2132" t="str">
        <f>IF(PMO_MODE="",Dictionary!B645,IF(ISNUMBER(FIND(EXP!C42,B8)),Dictionary!B646,Dictionary!B645))</f>
        <v>Ressourcen, für die Sie direkt verantwortlich sind</v>
      </c>
      <c r="C44" s="2132"/>
      <c r="D44" s="2132"/>
      <c r="E44" s="2132"/>
    </row>
    <row r="45" spans="2:5" ht="16.5" customHeight="1">
      <c r="B45" s="519"/>
      <c r="C45" s="524" t="str">
        <f>Dictionary!B647</f>
        <v>Wert</v>
      </c>
      <c r="D45" s="2130" t="str">
        <f>Dictionary!B648</f>
        <v>Anmerkungen</v>
      </c>
      <c r="E45" s="2131"/>
    </row>
    <row r="46" spans="2:5" ht="16">
      <c r="B46" s="520" t="str">
        <f>Dictionary!B649</f>
        <v>Anzahl der Ihnen direkt unterstellten Teammitglieder:</v>
      </c>
      <c r="C46" s="1720"/>
      <c r="D46" s="2133"/>
      <c r="E46" s="2134"/>
    </row>
    <row r="47" spans="2:5" ht="32">
      <c r="B47" s="520" t="str">
        <f>Dictionary!B650</f>
        <v>Anzahl der Mitglieder des Teams gemäß dem Organigramm (inkl. Sie selbst):</v>
      </c>
      <c r="C47" s="1720"/>
      <c r="D47" s="2133"/>
      <c r="E47" s="2134"/>
    </row>
    <row r="48" spans="2:5" ht="16.5" customHeight="1">
      <c r="B48" s="521" t="str">
        <f>Dictionary!B651</f>
        <v>Gesamtaufwand [Personentage]:</v>
      </c>
      <c r="C48" s="1720"/>
      <c r="D48" s="2133"/>
      <c r="E48" s="2134"/>
    </row>
    <row r="49" spans="2:5" ht="16.5" customHeight="1">
      <c r="B49" s="522" t="str">
        <f>Dictionary!B652</f>
        <v>Externer Arbeitsaufwand [Personentage]:</v>
      </c>
      <c r="C49" s="1720"/>
      <c r="D49" s="2133"/>
      <c r="E49" s="2134"/>
    </row>
    <row r="50" spans="2:5" ht="16.5" customHeight="1">
      <c r="B50" s="522" t="str">
        <f>Dictionary!B653</f>
        <v>Interner Arbeitsaufwand [Personentage]:</v>
      </c>
      <c r="C50" s="1720"/>
      <c r="D50" s="2133"/>
      <c r="E50" s="2134"/>
    </row>
    <row r="51" spans="2:5" ht="16.5" customHeight="1">
      <c r="B51" s="522" t="str">
        <f>Dictionary!B654</f>
        <v>Enthaltener PM-Aufwand [Personentage]:</v>
      </c>
      <c r="C51" s="1720"/>
      <c r="D51" s="2133"/>
      <c r="E51" s="2134"/>
    </row>
    <row r="52" spans="2:5" ht="16.5" customHeight="1">
      <c r="B52" s="522" t="str">
        <f>Dictionary!B655</f>
        <v>Budget (Aufwand) unter Ihrer Verantwortung [€]:</v>
      </c>
      <c r="C52" s="1721"/>
      <c r="D52" s="2133"/>
      <c r="E52" s="2134"/>
    </row>
    <row r="53" spans="2:5" ht="16.5" customHeight="1">
      <c r="B53" s="523" t="str">
        <f>Dictionary!B656</f>
        <v>Budget (Sachmittel) unter Ihrer Verantwortung [€]:</v>
      </c>
      <c r="C53" s="1722"/>
      <c r="D53" s="2144"/>
      <c r="E53" s="2145"/>
    </row>
    <row r="54" spans="2:5" ht="16.5" customHeight="1">
      <c r="B54" s="1615" t="str">
        <f>Dictionary!B657</f>
        <v>Gesamtbudget unter Ihrer Verantwortung [€]:</v>
      </c>
      <c r="C54" s="1723">
        <f>C52+C53</f>
        <v>0</v>
      </c>
      <c r="D54" s="1724"/>
      <c r="E54" s="1725"/>
    </row>
    <row r="55" spans="2:5" ht="18" customHeight="1"/>
    <row r="56" spans="2:5" ht="18" customHeight="1">
      <c r="B56" s="2013" t="str">
        <f>Dictionary!B658</f>
        <v xml:space="preserve">Anmerkungen </v>
      </c>
      <c r="C56" s="2013"/>
      <c r="D56" s="2013"/>
      <c r="E56" s="2013"/>
    </row>
    <row r="57" spans="2:5" ht="16.5" customHeight="1">
      <c r="B57" s="2157" t="str">
        <f>Dictionary!B659</f>
        <v>Anmerkungen zur Komplexität:</v>
      </c>
      <c r="C57" s="2158"/>
      <c r="D57" s="2158"/>
      <c r="E57" s="2159"/>
    </row>
    <row r="58" spans="2:5">
      <c r="B58" s="2135"/>
      <c r="C58" s="2136"/>
      <c r="D58" s="2136"/>
      <c r="E58" s="2137"/>
    </row>
    <row r="59" spans="2:5">
      <c r="B59" s="2135"/>
      <c r="C59" s="2136"/>
      <c r="D59" s="2136"/>
      <c r="E59" s="2137"/>
    </row>
    <row r="60" spans="2:5" ht="27" customHeight="1">
      <c r="B60" s="2135"/>
      <c r="C60" s="2136"/>
      <c r="D60" s="2136"/>
      <c r="E60" s="2137"/>
    </row>
    <row r="61" spans="2:5" ht="16.5" customHeight="1">
      <c r="B61" s="2139" t="str">
        <f>Dictionary!B660</f>
        <v>Allgemeine Anmerkungen:</v>
      </c>
      <c r="C61" s="2140"/>
      <c r="D61" s="2140"/>
      <c r="E61" s="2141"/>
    </row>
    <row r="62" spans="2:5" ht="15" customHeight="1">
      <c r="B62" s="2135"/>
      <c r="C62" s="2136"/>
      <c r="D62" s="2136"/>
      <c r="E62" s="2137"/>
    </row>
    <row r="63" spans="2:5">
      <c r="B63" s="2135"/>
      <c r="C63" s="2136"/>
      <c r="D63" s="2136"/>
      <c r="E63" s="2137"/>
    </row>
    <row r="64" spans="2:5">
      <c r="B64" s="2135"/>
      <c r="C64" s="2136"/>
      <c r="D64" s="2136"/>
      <c r="E64" s="2137"/>
    </row>
    <row r="65" spans="2:5" ht="41" customHeight="1">
      <c r="B65" s="2146"/>
      <c r="C65" s="2147"/>
      <c r="D65" s="2147"/>
      <c r="E65" s="2148"/>
    </row>
    <row r="67" spans="2:5" ht="17" thickBot="1">
      <c r="B67" s="460"/>
      <c r="C67" s="460"/>
      <c r="D67" s="460"/>
      <c r="E67" s="460"/>
    </row>
    <row r="68" spans="2:5">
      <c r="E68" s="464" t="s">
        <v>105</v>
      </c>
    </row>
  </sheetData>
  <sheetProtection algorithmName="SHA-512" hashValue="ndlqD8HTxTxBLROemxIwv8C18vC3QYswgIilIdVvAM5JGe7oL1A4sJEKGspXv8iZ6ln/S71K8Pt43I3WvZwqHA==" saltValue="2hUtjOVU6cr8Zt41TyynrQ==" spinCount="100000" sheet="1" objects="1" scenarios="1" selectLockedCells="1"/>
  <mergeCells count="39">
    <mergeCell ref="B58:E60"/>
    <mergeCell ref="B61:E61"/>
    <mergeCell ref="B62:E65"/>
    <mergeCell ref="D50:E50"/>
    <mergeCell ref="D51:E51"/>
    <mergeCell ref="D52:E52"/>
    <mergeCell ref="D53:E53"/>
    <mergeCell ref="B56:E56"/>
    <mergeCell ref="B57:E57"/>
    <mergeCell ref="D49:E49"/>
    <mergeCell ref="B27:E27"/>
    <mergeCell ref="B29:E29"/>
    <mergeCell ref="B32:C32"/>
    <mergeCell ref="D32:E32"/>
    <mergeCell ref="B33:C42"/>
    <mergeCell ref="D33:E42"/>
    <mergeCell ref="B44:E44"/>
    <mergeCell ref="D45:E45"/>
    <mergeCell ref="D46:E46"/>
    <mergeCell ref="D47:E47"/>
    <mergeCell ref="D48:E48"/>
    <mergeCell ref="B26:E26"/>
    <mergeCell ref="D14:E14"/>
    <mergeCell ref="D15:E15"/>
    <mergeCell ref="D16:E16"/>
    <mergeCell ref="D17:E17"/>
    <mergeCell ref="B18:E18"/>
    <mergeCell ref="B19:E19"/>
    <mergeCell ref="B21:E21"/>
    <mergeCell ref="B22:E22"/>
    <mergeCell ref="B23:E23"/>
    <mergeCell ref="B24:E24"/>
    <mergeCell ref="B25:E25"/>
    <mergeCell ref="D13:E13"/>
    <mergeCell ref="B3:E3"/>
    <mergeCell ref="B7:E7"/>
    <mergeCell ref="C9:D9"/>
    <mergeCell ref="B11:E11"/>
    <mergeCell ref="D12:E12"/>
  </mergeCells>
  <conditionalFormatting sqref="C16:C17">
    <cfRule type="notContainsBlanks" dxfId="393" priority="1">
      <formula>LEN(TRIM(C16))&gt;0</formula>
    </cfRule>
  </conditionalFormatting>
  <conditionalFormatting sqref="E8 C9:D9 B19:E19 B23:E23 B25:E25 B27:E27 C30 E30 B33:E42 C46:D54 B58:E60 B62:E65">
    <cfRule type="notContainsBlanks" dxfId="392" priority="2">
      <formula>LEN(TRIM(B8))&gt;0</formula>
    </cfRule>
  </conditionalFormatting>
  <dataValidations count="7">
    <dataValidation type="whole" allowBlank="1" showInputMessage="1" showErrorMessage="1" error="EN: please enter a whole number_x000a_DE: Bitte geben Sie eine ganze Zahl ein" prompt="EN: please enter a valid number_x000a_DE: Bitte geben Sie eine plausible Zahl ein" sqref="C46" xr:uid="{00000000-0002-0000-2C00-000000000000}">
      <formula1>0</formula1>
      <formula2>1000000</formula2>
    </dataValidation>
    <dataValidation allowBlank="1" showInputMessage="1" showErrorMessage="1" error="EN: please enter a number_x000a_DE: Bitte geben Sie eine Zahl ein" prompt="EN: enter a Euro value_x000a_DE Geben Sie einen Wert in Euro an" sqref="C54" xr:uid="{00000000-0002-0000-2C00-000001000000}"/>
    <dataValidation allowBlank="1" error="EN: Enter a number _x000a_DE: Geben Sie eine Zahl ein" prompt="EN: Effort in person-days_x000a_DE: Aufwand in Personentagen" sqref="D46:E54" xr:uid="{00000000-0002-0000-2C00-000002000000}"/>
    <dataValidation type="whole" allowBlank="1" showInputMessage="1" showErrorMessage="1" error="EN: please enter a whole number_x000a_DE: Bitte geben Sie eine ganze Zahl ein" prompt="EN: please enter a valid number_x000a_DE: Bitte geben Sie eine plausible Zahl ein" sqref="C47" xr:uid="{00000000-0002-0000-2C00-000003000000}">
      <formula1>1</formula1>
      <formula2>1000000</formula2>
    </dataValidation>
    <dataValidation type="decimal" allowBlank="1" showInputMessage="1" showErrorMessage="1" error="EN: please enter a number_x000a_DE: Bitte geben Sie eine Zahl ein" prompt="EN: enter a Euro value_x000a_DE Geben Sie einen Wert in Euro an" sqref="C52:C53" xr:uid="{00000000-0002-0000-2C00-000004000000}">
      <formula1>1</formula1>
      <formula2>1000000000000</formula2>
    </dataValidation>
    <dataValidation type="decimal" allowBlank="1" showInputMessage="1" showErrorMessage="1" error="EN: Enter a number _x000a_DE: Geben Sie eine Zahl ein" prompt="EN: Effort in person-days_x000a_DE: Aufwand in Personentagen" sqref="C48:C49" xr:uid="{00000000-0002-0000-2C00-000005000000}">
      <formula1>1</formula1>
      <formula2>1000000000</formula2>
    </dataValidation>
    <dataValidation type="decimal" allowBlank="1" showInputMessage="1" showErrorMessage="1" error="EN: Enter a number_x000a_DE: Geben Sie eine Zahl ein" prompt="EN: Effort in person-days_x000a_DE: Aufwand in Personentagen" sqref="C49:C51" xr:uid="{00000000-0002-0000-2C00-000006000000}">
      <formula1>1</formula1>
      <formula2>1000000000</formula2>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2C00-000007000000}">
          <x14:formula1>
            <xm:f>'Control Values'!$B$14:$B$15</xm:f>
          </x14:formula1>
          <xm:sqref>E9</xm:sqref>
        </x14:dataValidation>
        <x14:dataValidation type="list" allowBlank="1" showInputMessage="1" showErrorMessage="1" xr:uid="{00000000-0002-0000-2C00-000008000000}">
          <x14:formula1>
            <xm:f>'Control Values'!$B$29:$B$34</xm:f>
          </x14:formula1>
          <xm:sqref>C17</xm:sqref>
        </x14:dataValidation>
        <x14:dataValidation type="list" allowBlank="1" showInputMessage="1" showErrorMessage="1" xr:uid="{00000000-0002-0000-2C00-000009000000}">
          <x14:formula1>
            <xm:f>'Control Values'!$B$23:$B$26</xm:f>
          </x14:formula1>
          <xm:sqref>C16</xm:sqref>
        </x14:dataValidation>
        <x14:dataValidation type="list" allowBlank="1" showInputMessage="1" showErrorMessage="1" xr:uid="{00000000-0002-0000-2C00-00000A000000}">
          <x14:formula1>
            <xm:f>'Control Values'!$B$18:$B$19</xm:f>
          </x14:formula1>
          <xm:sqref>C13:C15</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9DFC1-F34F-4FCE-BB10-0C848F5D4D18}">
  <sheetPr codeName="Sheet84">
    <tabColor theme="9"/>
  </sheetPr>
  <dimension ref="A1:S60"/>
  <sheetViews>
    <sheetView zoomScale="80" zoomScaleNormal="80" workbookViewId="0">
      <selection activeCell="C10" sqref="C10"/>
    </sheetView>
  </sheetViews>
  <sheetFormatPr baseColWidth="10" defaultColWidth="11.5" defaultRowHeight="15"/>
  <cols>
    <col min="1" max="1" width="8.6640625" style="89" customWidth="1"/>
    <col min="2" max="2" width="11.5" style="89" customWidth="1"/>
    <col min="3" max="3" width="44.33203125" style="89" customWidth="1"/>
    <col min="4" max="4" width="23.1640625" style="89" customWidth="1"/>
    <col min="5" max="5" width="37.5" style="89" customWidth="1"/>
    <col min="6" max="6" width="32" style="89" customWidth="1"/>
    <col min="7" max="7" width="11.6640625" style="89" customWidth="1"/>
    <col min="8" max="11" width="32" style="89" customWidth="1"/>
    <col min="12" max="13" width="32.5" style="89" customWidth="1"/>
    <col min="14" max="14" width="26.1640625" style="89" customWidth="1"/>
    <col min="15" max="15" width="20" style="89" customWidth="1"/>
    <col min="16" max="17" width="11.5" style="89"/>
    <col min="18" max="18" width="8.5" style="89" customWidth="1"/>
    <col min="19" max="16384" width="11.5" style="89"/>
  </cols>
  <sheetData>
    <row r="1" spans="1:19" ht="19.5" customHeight="1" thickBot="1">
      <c r="B1" s="497" t="str">
        <f ca="1">COV!C20</f>
        <v>DECKBLATT BITTE VOLLSTÄNDIG AUSFÜLLEN!</v>
      </c>
      <c r="C1" s="459"/>
      <c r="D1" s="459"/>
      <c r="E1" s="459"/>
      <c r="F1" s="459"/>
      <c r="G1" s="459"/>
      <c r="H1" s="459"/>
      <c r="I1" s="459"/>
      <c r="J1" s="459"/>
      <c r="K1" s="459"/>
      <c r="L1" s="459"/>
      <c r="M1" s="459"/>
    </row>
    <row r="2" spans="1:19" ht="5.25" customHeight="1" thickTop="1"/>
    <row r="3" spans="1:19" ht="21">
      <c r="B3" s="2046" t="str">
        <f>Dictionary!B663&amp;" "&amp;'(7b) Project List'!A20&amp;", "&amp;EXP!D20&amp;": "&amp;EXP!C20</f>
        <v xml:space="preserve">Projektliste für Eintrag 12, : </v>
      </c>
      <c r="C3" s="2046"/>
      <c r="D3" s="2046"/>
      <c r="E3" s="2046"/>
      <c r="F3" s="2046"/>
      <c r="G3" s="2046"/>
      <c r="H3" s="2046"/>
      <c r="I3" s="2046"/>
      <c r="J3" s="2046"/>
      <c r="K3" s="2046"/>
      <c r="L3" s="2046"/>
      <c r="M3" s="2046"/>
    </row>
    <row r="4" spans="1:19" ht="21">
      <c r="B4" s="488"/>
      <c r="C4" s="488"/>
      <c r="D4" s="488"/>
      <c r="E4" s="488"/>
      <c r="F4" s="488"/>
      <c r="G4" s="488"/>
      <c r="H4" s="488"/>
      <c r="I4" s="488"/>
      <c r="J4" s="488"/>
      <c r="K4" s="488"/>
      <c r="L4" s="488"/>
      <c r="M4" s="488"/>
    </row>
    <row r="5" spans="1:19" ht="21">
      <c r="B5" s="489" t="str">
        <f>EXP!B5</f>
        <v xml:space="preserve"> , Level A, Projekt Management, Erstzertifizierung</v>
      </c>
      <c r="C5" s="490"/>
      <c r="D5" s="490"/>
      <c r="E5" s="490"/>
      <c r="F5" s="490"/>
      <c r="G5" s="490"/>
      <c r="H5" s="490"/>
      <c r="I5" s="490"/>
      <c r="J5" s="490"/>
      <c r="K5" s="490"/>
      <c r="L5" s="490"/>
      <c r="M5" s="490"/>
    </row>
    <row r="6" spans="1:19" ht="15" customHeight="1">
      <c r="A6" s="1284"/>
      <c r="B6" s="554"/>
      <c r="C6" s="554"/>
      <c r="D6" s="554"/>
      <c r="E6" s="554"/>
      <c r="F6" s="554"/>
      <c r="G6" s="554"/>
      <c r="H6" s="554"/>
      <c r="I6" s="554"/>
      <c r="J6" s="554"/>
      <c r="K6" s="554"/>
      <c r="L6" s="554"/>
      <c r="M6" s="554"/>
      <c r="N6" s="554"/>
      <c r="O6" s="554"/>
      <c r="P6" s="554"/>
      <c r="Q6" s="554"/>
      <c r="R6" s="554"/>
      <c r="S6" s="554"/>
    </row>
    <row r="7" spans="1:19" ht="24">
      <c r="A7" s="1284"/>
      <c r="B7" s="2171" t="str">
        <f>Dictionary!B665</f>
        <v>Nr.</v>
      </c>
      <c r="C7" s="2166" t="str">
        <f>Dictionary!B666</f>
        <v>Projektname</v>
      </c>
      <c r="D7" s="2166" t="str">
        <f>Dictionary!B667</f>
        <v>PM Domäne</v>
      </c>
      <c r="E7" s="2166" t="s">
        <v>269</v>
      </c>
      <c r="F7" s="2166" t="str">
        <f>Dictionary!B676</f>
        <v>Projekt- / Programm Typ</v>
      </c>
      <c r="G7" s="2173" t="str">
        <f>Dictionary!B677</f>
        <v>Strategisch</v>
      </c>
      <c r="H7" s="2166" t="str">
        <f>Dictionary!B670</f>
        <v>Dauer</v>
      </c>
      <c r="I7" s="2166"/>
      <c r="J7" s="2166" t="str">
        <f>Dictionary!B671</f>
        <v>Gesamtaufwand [Personentage]:</v>
      </c>
      <c r="K7" s="2166"/>
      <c r="L7" s="2166" t="str">
        <f>Dictionary!B672</f>
        <v>Gesamtbudget [€]:</v>
      </c>
      <c r="M7" s="2175"/>
      <c r="N7" s="554"/>
      <c r="O7" s="554"/>
      <c r="P7" s="554"/>
      <c r="Q7" s="554"/>
      <c r="R7" s="554"/>
      <c r="S7" s="554"/>
    </row>
    <row r="8" spans="1:19" ht="24">
      <c r="A8" s="1284"/>
      <c r="B8" s="2172"/>
      <c r="C8" s="2167"/>
      <c r="D8" s="2167"/>
      <c r="E8" s="2167"/>
      <c r="F8" s="2167"/>
      <c r="G8" s="2174"/>
      <c r="H8" s="1305" t="str">
        <f>Dictionary!B668</f>
        <v>Startdatum</v>
      </c>
      <c r="I8" s="1305" t="str">
        <f>Dictionary!B669</f>
        <v>Endtermin</v>
      </c>
      <c r="J8" s="1305" t="str">
        <f>Dictionary!B673</f>
        <v>geplant</v>
      </c>
      <c r="K8" s="1305" t="str">
        <f>Dictionary!B674</f>
        <v>realisiert</v>
      </c>
      <c r="L8" s="1305" t="str">
        <f>Dictionary!B673</f>
        <v>geplant</v>
      </c>
      <c r="M8" s="1306" t="str">
        <f>Dictionary!B674</f>
        <v>realisiert</v>
      </c>
      <c r="N8" s="554"/>
      <c r="O8" s="554"/>
      <c r="P8" s="554"/>
      <c r="Q8" s="554"/>
      <c r="R8" s="554"/>
      <c r="S8" s="554"/>
    </row>
    <row r="9" spans="1:19" ht="24" hidden="1">
      <c r="A9" s="1284"/>
      <c r="B9" s="1304" t="s">
        <v>2826</v>
      </c>
      <c r="C9" s="1297" t="s">
        <v>2827</v>
      </c>
      <c r="D9" s="1297" t="s">
        <v>2837</v>
      </c>
      <c r="E9" s="1297" t="s">
        <v>2828</v>
      </c>
      <c r="F9" s="1297" t="s">
        <v>2829</v>
      </c>
      <c r="G9" s="1298" t="s">
        <v>2830</v>
      </c>
      <c r="H9" s="1299" t="s">
        <v>2831</v>
      </c>
      <c r="I9" s="1299" t="s">
        <v>2832</v>
      </c>
      <c r="J9" s="1300" t="s">
        <v>2833</v>
      </c>
      <c r="K9" s="1300" t="s">
        <v>2834</v>
      </c>
      <c r="L9" s="1300" t="s">
        <v>2835</v>
      </c>
      <c r="M9" s="1300" t="s">
        <v>2836</v>
      </c>
      <c r="N9" s="554"/>
      <c r="O9" s="554"/>
      <c r="P9" s="554"/>
      <c r="Q9" s="554"/>
      <c r="R9" s="554"/>
      <c r="S9" s="554"/>
    </row>
    <row r="10" spans="1:19" ht="24">
      <c r="A10" s="1284"/>
      <c r="B10" s="1292">
        <v>1</v>
      </c>
      <c r="C10" s="1291"/>
      <c r="D10" s="1291"/>
      <c r="E10" s="1291"/>
      <c r="F10" s="1291"/>
      <c r="G10" s="1296"/>
      <c r="H10" s="1307"/>
      <c r="I10" s="1308"/>
      <c r="J10" s="1321"/>
      <c r="K10" s="1321"/>
      <c r="L10" s="1293"/>
      <c r="M10" s="1293"/>
      <c r="N10" s="554"/>
      <c r="O10" s="554"/>
      <c r="P10" s="554"/>
      <c r="Q10" s="554"/>
      <c r="R10" s="554"/>
      <c r="S10" s="554"/>
    </row>
    <row r="11" spans="1:19" ht="24">
      <c r="A11" s="1284"/>
      <c r="B11" s="1292">
        <v>2</v>
      </c>
      <c r="C11" s="1291"/>
      <c r="D11" s="1291"/>
      <c r="E11" s="1291"/>
      <c r="F11" s="1291"/>
      <c r="G11" s="1296"/>
      <c r="H11" s="1309"/>
      <c r="I11" s="1310"/>
      <c r="J11" s="1321"/>
      <c r="K11" s="1321"/>
      <c r="L11" s="1293"/>
      <c r="M11" s="1293"/>
      <c r="N11" s="554"/>
      <c r="O11" s="554"/>
      <c r="P11" s="554"/>
      <c r="Q11" s="554"/>
      <c r="R11" s="554"/>
      <c r="S11" s="554"/>
    </row>
    <row r="12" spans="1:19" ht="24">
      <c r="A12" s="1284"/>
      <c r="B12" s="1292">
        <v>3</v>
      </c>
      <c r="C12" s="1291"/>
      <c r="D12" s="1291"/>
      <c r="E12" s="1291"/>
      <c r="F12" s="1291"/>
      <c r="G12" s="1296"/>
      <c r="H12" s="1309"/>
      <c r="I12" s="1310"/>
      <c r="J12" s="1321"/>
      <c r="K12" s="1321"/>
      <c r="L12" s="1293"/>
      <c r="M12" s="1293"/>
      <c r="N12" s="554"/>
      <c r="O12" s="554"/>
      <c r="P12" s="554"/>
      <c r="Q12" s="554"/>
      <c r="R12" s="554"/>
      <c r="S12" s="554"/>
    </row>
    <row r="13" spans="1:19" ht="24">
      <c r="A13" s="1284"/>
      <c r="B13" s="1292">
        <v>4</v>
      </c>
      <c r="C13" s="1291"/>
      <c r="D13" s="1291"/>
      <c r="E13" s="1291"/>
      <c r="F13" s="1291"/>
      <c r="G13" s="1296"/>
      <c r="H13" s="1309"/>
      <c r="I13" s="1310"/>
      <c r="J13" s="1321"/>
      <c r="K13" s="1321"/>
      <c r="L13" s="1293"/>
      <c r="M13" s="1293"/>
      <c r="N13" s="554"/>
      <c r="O13" s="554"/>
      <c r="P13" s="554"/>
      <c r="Q13" s="554"/>
      <c r="R13" s="554"/>
      <c r="S13" s="554"/>
    </row>
    <row r="14" spans="1:19" ht="24">
      <c r="A14" s="1284"/>
      <c r="B14" s="1292">
        <v>5</v>
      </c>
      <c r="C14" s="1291"/>
      <c r="D14" s="1291"/>
      <c r="E14" s="1291"/>
      <c r="F14" s="1291"/>
      <c r="G14" s="1296"/>
      <c r="H14" s="1309"/>
      <c r="I14" s="1310"/>
      <c r="J14" s="1321"/>
      <c r="K14" s="1321"/>
      <c r="L14" s="1293"/>
      <c r="M14" s="1293"/>
      <c r="N14" s="554"/>
      <c r="O14" s="554"/>
      <c r="P14" s="554"/>
      <c r="Q14" s="554"/>
      <c r="R14" s="554"/>
      <c r="S14" s="554"/>
    </row>
    <row r="15" spans="1:19" ht="24">
      <c r="A15" s="1284"/>
      <c r="B15" s="1292">
        <v>6</v>
      </c>
      <c r="C15" s="1291"/>
      <c r="D15" s="1291"/>
      <c r="E15" s="1291"/>
      <c r="F15" s="1291"/>
      <c r="G15" s="1296"/>
      <c r="H15" s="1309"/>
      <c r="I15" s="1310"/>
      <c r="J15" s="1321"/>
      <c r="K15" s="1321"/>
      <c r="L15" s="1293"/>
      <c r="M15" s="1293"/>
      <c r="N15" s="554"/>
      <c r="O15" s="554"/>
      <c r="P15" s="554"/>
      <c r="Q15" s="554"/>
      <c r="R15" s="554"/>
      <c r="S15" s="554"/>
    </row>
    <row r="16" spans="1:19" ht="24">
      <c r="A16" s="1284"/>
      <c r="B16" s="1292">
        <v>7</v>
      </c>
      <c r="C16" s="1291"/>
      <c r="D16" s="1291"/>
      <c r="E16" s="1291"/>
      <c r="F16" s="1291"/>
      <c r="G16" s="1296"/>
      <c r="H16" s="1309"/>
      <c r="I16" s="1310"/>
      <c r="J16" s="1321"/>
      <c r="K16" s="1321"/>
      <c r="L16" s="1293"/>
      <c r="M16" s="1293"/>
      <c r="N16" s="554"/>
      <c r="O16" s="554"/>
      <c r="P16" s="554"/>
      <c r="Q16" s="554"/>
      <c r="R16" s="554"/>
      <c r="S16" s="554"/>
    </row>
    <row r="17" spans="1:19" ht="24">
      <c r="A17" s="1284"/>
      <c r="B17" s="1292">
        <v>8</v>
      </c>
      <c r="C17" s="1291"/>
      <c r="D17" s="1291"/>
      <c r="E17" s="1291"/>
      <c r="F17" s="1291"/>
      <c r="G17" s="1296"/>
      <c r="H17" s="1309"/>
      <c r="I17" s="1310"/>
      <c r="J17" s="1321"/>
      <c r="K17" s="1321"/>
      <c r="L17" s="1293"/>
      <c r="M17" s="1293"/>
      <c r="N17" s="554"/>
      <c r="O17" s="554"/>
      <c r="P17" s="554"/>
      <c r="Q17" s="554"/>
      <c r="R17" s="554"/>
      <c r="S17" s="554"/>
    </row>
    <row r="18" spans="1:19" ht="24">
      <c r="A18" s="1284"/>
      <c r="B18" s="1292">
        <v>9</v>
      </c>
      <c r="C18" s="1291"/>
      <c r="D18" s="1291"/>
      <c r="E18" s="1291"/>
      <c r="F18" s="1291"/>
      <c r="G18" s="1296"/>
      <c r="H18" s="1309"/>
      <c r="I18" s="1310"/>
      <c r="J18" s="1321"/>
      <c r="K18" s="1321"/>
      <c r="L18" s="1293"/>
      <c r="M18" s="1293"/>
      <c r="N18" s="554"/>
      <c r="O18" s="554"/>
      <c r="P18" s="554"/>
      <c r="Q18" s="554"/>
      <c r="R18" s="554"/>
      <c r="S18" s="554"/>
    </row>
    <row r="19" spans="1:19" ht="24">
      <c r="A19" s="1284"/>
      <c r="B19" s="1292">
        <v>10</v>
      </c>
      <c r="C19" s="1291"/>
      <c r="D19" s="1291"/>
      <c r="E19" s="1291"/>
      <c r="F19" s="1291"/>
      <c r="G19" s="1296"/>
      <c r="H19" s="1309"/>
      <c r="I19" s="1310"/>
      <c r="J19" s="1321"/>
      <c r="K19" s="1321"/>
      <c r="L19" s="1293"/>
      <c r="M19" s="1293"/>
      <c r="N19" s="554"/>
      <c r="O19" s="554"/>
      <c r="P19" s="554"/>
      <c r="Q19" s="554"/>
      <c r="R19" s="554"/>
      <c r="S19" s="554"/>
    </row>
    <row r="20" spans="1:19" ht="24">
      <c r="A20" s="1284"/>
      <c r="B20" s="1292">
        <v>11</v>
      </c>
      <c r="C20" s="1291"/>
      <c r="D20" s="1291"/>
      <c r="E20" s="1291"/>
      <c r="F20" s="1291"/>
      <c r="G20" s="1296"/>
      <c r="H20" s="1309"/>
      <c r="I20" s="1310"/>
      <c r="J20" s="1321"/>
      <c r="K20" s="1321"/>
      <c r="L20" s="1293"/>
      <c r="M20" s="1293"/>
      <c r="N20" s="554"/>
      <c r="O20" s="554"/>
      <c r="P20" s="554"/>
      <c r="Q20" s="554"/>
      <c r="R20" s="554"/>
      <c r="S20" s="554"/>
    </row>
    <row r="21" spans="1:19" ht="24">
      <c r="A21" s="1284"/>
      <c r="B21" s="1292">
        <v>12</v>
      </c>
      <c r="C21" s="1291"/>
      <c r="D21" s="1291"/>
      <c r="E21" s="1291"/>
      <c r="F21" s="1291"/>
      <c r="G21" s="1296"/>
      <c r="H21" s="1309"/>
      <c r="I21" s="1310"/>
      <c r="J21" s="1321"/>
      <c r="K21" s="1321"/>
      <c r="L21" s="1293"/>
      <c r="M21" s="1293"/>
      <c r="N21" s="554"/>
      <c r="O21" s="554"/>
      <c r="P21" s="554"/>
      <c r="Q21" s="554"/>
      <c r="R21" s="554"/>
      <c r="S21" s="554"/>
    </row>
    <row r="22" spans="1:19" ht="24">
      <c r="A22" s="1284"/>
      <c r="B22" s="1292">
        <v>13</v>
      </c>
      <c r="C22" s="1291"/>
      <c r="D22" s="1291"/>
      <c r="E22" s="1291"/>
      <c r="F22" s="1291"/>
      <c r="G22" s="1296"/>
      <c r="H22" s="1309"/>
      <c r="I22" s="1310"/>
      <c r="J22" s="1321"/>
      <c r="K22" s="1321"/>
      <c r="L22" s="1293"/>
      <c r="M22" s="1293"/>
      <c r="N22" s="554"/>
      <c r="O22" s="554"/>
      <c r="P22" s="554"/>
      <c r="Q22" s="554"/>
      <c r="R22" s="554"/>
      <c r="S22" s="554"/>
    </row>
    <row r="23" spans="1:19" ht="24">
      <c r="A23" s="1284"/>
      <c r="B23" s="1292">
        <v>14</v>
      </c>
      <c r="C23" s="1291"/>
      <c r="D23" s="1291"/>
      <c r="E23" s="1291"/>
      <c r="F23" s="1291"/>
      <c r="G23" s="1296"/>
      <c r="H23" s="1309"/>
      <c r="I23" s="1310"/>
      <c r="J23" s="1321"/>
      <c r="K23" s="1321"/>
      <c r="L23" s="1293"/>
      <c r="M23" s="1293"/>
      <c r="N23" s="554"/>
      <c r="O23" s="554"/>
      <c r="P23" s="554"/>
      <c r="Q23" s="554"/>
      <c r="R23" s="554"/>
      <c r="S23" s="554"/>
    </row>
    <row r="24" spans="1:19" ht="24">
      <c r="A24" s="1284"/>
      <c r="B24" s="1292">
        <v>15</v>
      </c>
      <c r="C24" s="1291"/>
      <c r="D24" s="1291"/>
      <c r="E24" s="1291"/>
      <c r="F24" s="1291"/>
      <c r="G24" s="1296"/>
      <c r="H24" s="1309"/>
      <c r="I24" s="1310"/>
      <c r="J24" s="1321"/>
      <c r="K24" s="1321"/>
      <c r="L24" s="1293"/>
      <c r="M24" s="1293"/>
      <c r="N24" s="554"/>
      <c r="O24" s="554"/>
      <c r="P24" s="554"/>
      <c r="Q24" s="554"/>
      <c r="R24" s="554"/>
      <c r="S24" s="554"/>
    </row>
    <row r="25" spans="1:19" ht="24">
      <c r="A25" s="1284"/>
      <c r="B25" s="1292">
        <v>16</v>
      </c>
      <c r="C25" s="1291"/>
      <c r="D25" s="1291"/>
      <c r="E25" s="1291"/>
      <c r="F25" s="1291"/>
      <c r="G25" s="1296"/>
      <c r="H25" s="1309"/>
      <c r="I25" s="1310"/>
      <c r="J25" s="1321"/>
      <c r="K25" s="1321"/>
      <c r="L25" s="1293"/>
      <c r="M25" s="1293"/>
      <c r="N25" s="554"/>
      <c r="O25" s="554"/>
      <c r="P25" s="554"/>
      <c r="Q25" s="554"/>
      <c r="R25" s="554"/>
      <c r="S25" s="554"/>
    </row>
    <row r="26" spans="1:19" ht="24">
      <c r="A26" s="1284"/>
      <c r="B26" s="1292">
        <v>17</v>
      </c>
      <c r="C26" s="1291"/>
      <c r="D26" s="1291"/>
      <c r="E26" s="1291"/>
      <c r="F26" s="1291"/>
      <c r="G26" s="1296"/>
      <c r="H26" s="1309"/>
      <c r="I26" s="1310"/>
      <c r="J26" s="1321"/>
      <c r="K26" s="1321"/>
      <c r="L26" s="1293"/>
      <c r="M26" s="1293"/>
      <c r="N26" s="554"/>
      <c r="O26" s="554"/>
      <c r="P26" s="554"/>
      <c r="Q26" s="554"/>
      <c r="R26" s="554"/>
      <c r="S26" s="554"/>
    </row>
    <row r="27" spans="1:19" ht="24">
      <c r="A27" s="1284"/>
      <c r="B27" s="1292">
        <v>18</v>
      </c>
      <c r="C27" s="1291"/>
      <c r="D27" s="1291"/>
      <c r="E27" s="1291"/>
      <c r="F27" s="1291"/>
      <c r="G27" s="1296"/>
      <c r="H27" s="1309"/>
      <c r="I27" s="1310"/>
      <c r="J27" s="1321"/>
      <c r="K27" s="1321"/>
      <c r="L27" s="1293"/>
      <c r="M27" s="1293"/>
      <c r="N27" s="554"/>
      <c r="O27" s="554"/>
      <c r="P27" s="554"/>
      <c r="Q27" s="554"/>
      <c r="R27" s="554"/>
      <c r="S27" s="554"/>
    </row>
    <row r="28" spans="1:19" ht="24">
      <c r="A28" s="1284"/>
      <c r="B28" s="1292">
        <v>19</v>
      </c>
      <c r="C28" s="1291"/>
      <c r="D28" s="1291"/>
      <c r="E28" s="1291"/>
      <c r="F28" s="1291"/>
      <c r="G28" s="1296"/>
      <c r="H28" s="1309"/>
      <c r="I28" s="1310"/>
      <c r="J28" s="1321"/>
      <c r="K28" s="1321"/>
      <c r="L28" s="1293"/>
      <c r="M28" s="1293"/>
      <c r="N28" s="554"/>
      <c r="O28" s="554"/>
      <c r="P28" s="554"/>
      <c r="Q28" s="554"/>
      <c r="R28" s="554"/>
      <c r="S28" s="554"/>
    </row>
    <row r="29" spans="1:19" ht="24">
      <c r="A29" s="1284"/>
      <c r="B29" s="1292">
        <v>20</v>
      </c>
      <c r="C29" s="1291"/>
      <c r="D29" s="1291"/>
      <c r="E29" s="1291"/>
      <c r="F29" s="1291"/>
      <c r="G29" s="1296"/>
      <c r="H29" s="1309"/>
      <c r="I29" s="1310"/>
      <c r="J29" s="1321"/>
      <c r="K29" s="1321"/>
      <c r="L29" s="1293"/>
      <c r="M29" s="1293"/>
      <c r="N29" s="554"/>
      <c r="O29" s="554"/>
      <c r="P29" s="554"/>
      <c r="Q29" s="554"/>
      <c r="R29" s="554"/>
      <c r="S29" s="554"/>
    </row>
    <row r="30" spans="1:19" ht="24">
      <c r="A30" s="1284"/>
      <c r="B30" s="1292">
        <v>21</v>
      </c>
      <c r="C30" s="1291"/>
      <c r="D30" s="1291"/>
      <c r="E30" s="1291"/>
      <c r="F30" s="1291"/>
      <c r="G30" s="1296"/>
      <c r="H30" s="1309"/>
      <c r="I30" s="1310"/>
      <c r="J30" s="1321"/>
      <c r="K30" s="1321"/>
      <c r="L30" s="1293"/>
      <c r="M30" s="1293"/>
      <c r="N30" s="554"/>
      <c r="O30" s="554"/>
      <c r="P30" s="554"/>
      <c r="Q30" s="554"/>
      <c r="R30" s="554"/>
      <c r="S30" s="554"/>
    </row>
    <row r="31" spans="1:19" ht="24">
      <c r="A31" s="1284"/>
      <c r="B31" s="1292">
        <v>22</v>
      </c>
      <c r="C31" s="1291"/>
      <c r="D31" s="1291"/>
      <c r="E31" s="1291"/>
      <c r="F31" s="1291"/>
      <c r="G31" s="1296"/>
      <c r="H31" s="1309"/>
      <c r="I31" s="1310"/>
      <c r="J31" s="1321"/>
      <c r="K31" s="1321"/>
      <c r="L31" s="1293"/>
      <c r="M31" s="1293"/>
      <c r="N31" s="554"/>
      <c r="O31" s="554"/>
      <c r="P31" s="554"/>
      <c r="Q31" s="554"/>
      <c r="R31" s="554"/>
      <c r="S31" s="554"/>
    </row>
    <row r="32" spans="1:19" ht="24">
      <c r="A32" s="1284"/>
      <c r="B32" s="1292">
        <v>23</v>
      </c>
      <c r="C32" s="1291"/>
      <c r="D32" s="1291"/>
      <c r="E32" s="1291"/>
      <c r="F32" s="1291"/>
      <c r="G32" s="1296"/>
      <c r="H32" s="1309"/>
      <c r="I32" s="1310"/>
      <c r="J32" s="1321"/>
      <c r="K32" s="1321"/>
      <c r="L32" s="1293"/>
      <c r="M32" s="1293"/>
      <c r="N32" s="554"/>
      <c r="O32" s="554"/>
      <c r="P32" s="554"/>
      <c r="Q32" s="554"/>
      <c r="R32" s="554"/>
      <c r="S32" s="554"/>
    </row>
    <row r="33" spans="1:19" ht="24">
      <c r="A33" s="1284"/>
      <c r="B33" s="1292">
        <v>24</v>
      </c>
      <c r="C33" s="1291"/>
      <c r="D33" s="1291"/>
      <c r="E33" s="1291"/>
      <c r="F33" s="1291"/>
      <c r="G33" s="1296"/>
      <c r="H33" s="1309"/>
      <c r="I33" s="1310"/>
      <c r="J33" s="1321"/>
      <c r="K33" s="1321"/>
      <c r="L33" s="1293"/>
      <c r="M33" s="1293"/>
      <c r="N33" s="554"/>
      <c r="O33" s="554"/>
      <c r="P33" s="554"/>
      <c r="Q33" s="554"/>
      <c r="R33" s="554"/>
      <c r="S33" s="554"/>
    </row>
    <row r="34" spans="1:19" ht="24">
      <c r="A34" s="1284"/>
      <c r="B34" s="1292">
        <v>25</v>
      </c>
      <c r="C34" s="1291"/>
      <c r="D34" s="1291"/>
      <c r="E34" s="1291"/>
      <c r="F34" s="1291"/>
      <c r="G34" s="1296"/>
      <c r="H34" s="1309"/>
      <c r="I34" s="1310"/>
      <c r="J34" s="1321"/>
      <c r="K34" s="1321"/>
      <c r="L34" s="1293"/>
      <c r="M34" s="1293"/>
      <c r="N34" s="554"/>
      <c r="O34" s="554"/>
      <c r="P34" s="554"/>
      <c r="Q34" s="554"/>
      <c r="R34" s="554"/>
      <c r="S34" s="554"/>
    </row>
    <row r="35" spans="1:19" ht="24">
      <c r="A35" s="1284"/>
      <c r="B35" s="1292">
        <v>26</v>
      </c>
      <c r="C35" s="1291"/>
      <c r="D35" s="1291"/>
      <c r="E35" s="1291"/>
      <c r="F35" s="1291"/>
      <c r="G35" s="1296"/>
      <c r="H35" s="1309"/>
      <c r="I35" s="1310"/>
      <c r="J35" s="1321"/>
      <c r="K35" s="1321"/>
      <c r="L35" s="1293"/>
      <c r="M35" s="1293"/>
      <c r="N35" s="554"/>
      <c r="O35" s="554"/>
      <c r="P35" s="554"/>
      <c r="Q35" s="554"/>
      <c r="R35" s="554"/>
      <c r="S35" s="554"/>
    </row>
    <row r="36" spans="1:19" ht="24">
      <c r="A36" s="1284"/>
      <c r="B36" s="1292">
        <v>27</v>
      </c>
      <c r="C36" s="1291"/>
      <c r="D36" s="1291"/>
      <c r="E36" s="1291"/>
      <c r="F36" s="1291"/>
      <c r="G36" s="1296"/>
      <c r="H36" s="1309"/>
      <c r="I36" s="1310"/>
      <c r="J36" s="1321"/>
      <c r="K36" s="1321"/>
      <c r="L36" s="1293"/>
      <c r="M36" s="1293"/>
      <c r="N36" s="554"/>
      <c r="O36" s="554"/>
      <c r="P36" s="554"/>
      <c r="Q36" s="554"/>
      <c r="R36" s="554"/>
      <c r="S36" s="554"/>
    </row>
    <row r="37" spans="1:19" ht="24">
      <c r="A37" s="1284"/>
      <c r="B37" s="1292">
        <v>28</v>
      </c>
      <c r="C37" s="1291"/>
      <c r="D37" s="1291"/>
      <c r="E37" s="1291"/>
      <c r="F37" s="1291"/>
      <c r="G37" s="1296"/>
      <c r="H37" s="1309"/>
      <c r="I37" s="1310"/>
      <c r="J37" s="1321"/>
      <c r="K37" s="1321"/>
      <c r="L37" s="1293"/>
      <c r="M37" s="1293"/>
      <c r="N37" s="554"/>
      <c r="O37" s="554"/>
      <c r="P37" s="554"/>
      <c r="Q37" s="554"/>
      <c r="R37" s="554"/>
      <c r="S37" s="554"/>
    </row>
    <row r="38" spans="1:19" ht="24">
      <c r="A38" s="1284"/>
      <c r="B38" s="1292">
        <v>29</v>
      </c>
      <c r="C38" s="1291"/>
      <c r="D38" s="1291"/>
      <c r="E38" s="1291"/>
      <c r="F38" s="1291"/>
      <c r="G38" s="1296"/>
      <c r="H38" s="1309"/>
      <c r="I38" s="1310"/>
      <c r="J38" s="1321"/>
      <c r="K38" s="1321"/>
      <c r="L38" s="1293"/>
      <c r="M38" s="1293"/>
      <c r="N38" s="554"/>
      <c r="O38" s="554"/>
      <c r="P38" s="554"/>
      <c r="Q38" s="554"/>
      <c r="R38" s="554"/>
      <c r="S38" s="554"/>
    </row>
    <row r="39" spans="1:19" ht="24">
      <c r="A39" s="1284"/>
      <c r="B39" s="1292">
        <v>30</v>
      </c>
      <c r="C39" s="1311"/>
      <c r="D39" s="1311"/>
      <c r="E39" s="1311"/>
      <c r="F39" s="1311"/>
      <c r="G39" s="1312"/>
      <c r="H39" s="1313"/>
      <c r="I39" s="1314"/>
      <c r="J39" s="1322"/>
      <c r="K39" s="1322"/>
      <c r="L39" s="1315"/>
      <c r="M39" s="1315"/>
      <c r="N39" s="554"/>
      <c r="O39" s="554"/>
      <c r="P39" s="554"/>
      <c r="Q39" s="554"/>
      <c r="R39" s="554"/>
      <c r="S39" s="554"/>
    </row>
    <row r="40" spans="1:19" ht="24">
      <c r="A40" s="1284"/>
      <c r="B40" s="1301"/>
      <c r="C40" s="2168" t="str">
        <f>Dictionary!B675</f>
        <v xml:space="preserve">Programm / Portfolio Verwaltung </v>
      </c>
      <c r="D40" s="2169"/>
      <c r="E40" s="2169"/>
      <c r="F40" s="2169"/>
      <c r="G40" s="2170"/>
      <c r="H40" s="1319"/>
      <c r="I40" s="1320"/>
      <c r="J40" s="1323"/>
      <c r="K40" s="1323"/>
      <c r="L40" s="1294"/>
      <c r="M40" s="1295"/>
      <c r="N40" s="554"/>
      <c r="O40" s="554"/>
      <c r="P40" s="554"/>
      <c r="Q40" s="554"/>
      <c r="R40" s="554"/>
      <c r="S40" s="554"/>
    </row>
    <row r="41" spans="1:19" ht="24">
      <c r="A41" s="1284"/>
      <c r="B41" s="1302"/>
      <c r="C41" s="1316"/>
      <c r="D41" s="1316"/>
      <c r="E41" s="1316"/>
      <c r="F41" s="1316"/>
      <c r="G41" s="1316"/>
      <c r="H41" s="2176" t="s">
        <v>2825</v>
      </c>
      <c r="I41" s="2176"/>
      <c r="J41" s="1317">
        <f>SUM(J9:J40)</f>
        <v>0</v>
      </c>
      <c r="K41" s="1317">
        <f>SUM(K9:K40)</f>
        <v>0</v>
      </c>
      <c r="L41" s="1318">
        <f>SUM(L9:L40)</f>
        <v>0</v>
      </c>
      <c r="M41" s="1318">
        <f>SUM(M9:M40)</f>
        <v>0</v>
      </c>
      <c r="N41" s="554"/>
      <c r="O41" s="554"/>
      <c r="P41" s="554"/>
      <c r="Q41" s="554"/>
      <c r="R41" s="554"/>
      <c r="S41" s="554"/>
    </row>
    <row r="42" spans="1:19" ht="24">
      <c r="B42" s="554"/>
      <c r="C42" s="554"/>
      <c r="D42" s="554"/>
      <c r="E42" s="554"/>
      <c r="F42" s="554"/>
      <c r="G42" s="554"/>
      <c r="H42" s="554"/>
      <c r="I42" s="554"/>
      <c r="J42" s="554"/>
      <c r="K42" s="554"/>
      <c r="L42" s="554"/>
      <c r="M42" s="554"/>
    </row>
    <row r="43" spans="1:19" ht="17" thickBot="1">
      <c r="B43" s="460"/>
      <c r="C43" s="460"/>
      <c r="D43" s="460"/>
      <c r="E43" s="460"/>
      <c r="F43" s="460"/>
      <c r="G43" s="460"/>
      <c r="H43" s="460"/>
      <c r="I43" s="460"/>
      <c r="J43" s="460"/>
      <c r="K43" s="460"/>
      <c r="L43" s="460"/>
      <c r="M43" s="460"/>
    </row>
    <row r="44" spans="1:19">
      <c r="M44" s="464" t="s">
        <v>105</v>
      </c>
    </row>
    <row r="50" spans="3:6" hidden="1"/>
    <row r="51" spans="3:6" hidden="1">
      <c r="C51" s="2163" t="s">
        <v>249</v>
      </c>
      <c r="D51" s="2164"/>
      <c r="E51" s="2164"/>
      <c r="F51" s="2165"/>
    </row>
    <row r="52" spans="3:6" hidden="1">
      <c r="C52" s="240"/>
      <c r="D52" s="172"/>
      <c r="E52" s="241"/>
      <c r="F52" s="241"/>
    </row>
    <row r="53" spans="3:6" hidden="1">
      <c r="C53" s="1905" t="s">
        <v>970</v>
      </c>
      <c r="D53" s="172" t="s">
        <v>1037</v>
      </c>
      <c r="E53" s="241"/>
      <c r="F53" s="241"/>
    </row>
    <row r="54" spans="3:6" hidden="1">
      <c r="C54" s="1906" t="s">
        <v>1024</v>
      </c>
      <c r="D54" s="172"/>
      <c r="E54" s="241"/>
      <c r="F54" s="241"/>
    </row>
    <row r="55" spans="3:6" hidden="1">
      <c r="C55" s="1907" t="s">
        <v>1025</v>
      </c>
      <c r="D55" s="172"/>
      <c r="E55" s="241"/>
      <c r="F55" s="241"/>
    </row>
    <row r="56" spans="3:6" hidden="1">
      <c r="C56" s="240"/>
      <c r="D56" s="172"/>
      <c r="E56" s="241"/>
      <c r="F56" s="241"/>
    </row>
    <row r="57" spans="3:6" hidden="1">
      <c r="C57" s="240"/>
      <c r="D57" s="172"/>
      <c r="E57" s="241"/>
      <c r="F57" s="241"/>
    </row>
    <row r="58" spans="3:6" hidden="1">
      <c r="C58" s="240"/>
      <c r="D58" s="172"/>
      <c r="E58" s="241"/>
      <c r="F58" s="241"/>
    </row>
    <row r="59" spans="3:6" hidden="1">
      <c r="C59" s="242"/>
      <c r="D59" s="1303"/>
      <c r="E59" s="185"/>
      <c r="F59" s="185"/>
    </row>
    <row r="60" spans="3:6" hidden="1"/>
  </sheetData>
  <sheetProtection algorithmName="SHA-512" hashValue="abzpQUCPVYEljNlXq25b+KuKxabPyQ3HAUu5iuMGKHDW/BgnVtPAa2aaEp2Ey0yvmd8YzCkeAmdCi3tn5uIcPg==" saltValue="kAVh/cmjLXMGpmCi2HH9oQ==" spinCount="100000" sheet="1" objects="1" scenarios="1" selectLockedCells="1"/>
  <mergeCells count="13">
    <mergeCell ref="C40:G40"/>
    <mergeCell ref="H41:I41"/>
    <mergeCell ref="C51:F51"/>
    <mergeCell ref="B3:M3"/>
    <mergeCell ref="B7:B8"/>
    <mergeCell ref="C7:C8"/>
    <mergeCell ref="D7:D8"/>
    <mergeCell ref="E7:E8"/>
    <mergeCell ref="F7:F8"/>
    <mergeCell ref="G7:G8"/>
    <mergeCell ref="H7:I7"/>
    <mergeCell ref="J7:K7"/>
    <mergeCell ref="L7:M7"/>
  </mergeCells>
  <dataValidations count="6">
    <dataValidation type="date" operator="lessThan" allowBlank="1" showInputMessage="1" showErrorMessage="1" error="EN_x000a_End must occur after start._x000a__x000a_DE_x000a_Das Ende muss nach dem Start kommen._x000a_ " sqref="H10:H40" xr:uid="{00000000-0002-0000-2D00-000000000000}">
      <formula1>I10</formula1>
    </dataValidation>
    <dataValidation type="date" operator="greaterThan" allowBlank="1" showInputMessage="1" showErrorMessage="1" error="EN_x000a_End must occur after start._x000a__x000a_DE_x000a_Das Ende muss nach dem Start kommen._x000a_ " sqref="I10:I40" xr:uid="{00000000-0002-0000-2D00-000001000000}">
      <formula1>H10</formula1>
    </dataValidation>
    <dataValidation type="list" allowBlank="1" showInputMessage="1" showErrorMessage="1" sqref="G10:G39" xr:uid="{00000000-0002-0000-2D00-000002000000}">
      <formula1>$D$53:$D$54</formula1>
    </dataValidation>
    <dataValidation type="list" allowBlank="1" showInputMessage="1" showErrorMessage="1" sqref="D10:D39" xr:uid="{00000000-0002-0000-2D00-000003000000}">
      <formula1>$C$53:$C$55</formula1>
    </dataValidation>
    <dataValidation type="whole" operator="greaterThan" allowBlank="1" showInputMessage="1" showErrorMessage="1" error="Bitte eine ganze Zahl grösser als 0 eingeben!" sqref="J9:K40 M9:M40 L10:L40" xr:uid="{00000000-0002-0000-2D00-000004000000}">
      <formula1>0</formula1>
    </dataValidation>
    <dataValidation type="whole" operator="greaterThan" allowBlank="1" showInputMessage="1" showErrorMessage="1" error="Bitte eine ganze Zahl grösser als 0 eingeben!" promptTitle="Investition" prompt="Unter Investition werden die gesamten Kosten verstanden, inkl.der personellen Aufwände." sqref="L9" xr:uid="{00000000-0002-0000-2D00-000005000000}">
      <formula1>0</formula1>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D00-000006000000}">
          <x14:formula1>
            <xm:f>'Control Values'!$B$23:$B$26</xm:f>
          </x14:formula1>
          <xm:sqref>F10:F39</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3F780-8369-4F21-AC49-FBA502D26A21}">
  <sheetPr codeName="Sheet40">
    <tabColor theme="9" tint="-0.24994659260841701"/>
  </sheetPr>
  <dimension ref="B1:L70"/>
  <sheetViews>
    <sheetView showGridLines="0" showZeros="0" workbookViewId="0">
      <pane xSplit="8" ySplit="9" topLeftCell="I10" activePane="bottomRight" state="frozenSplit"/>
      <selection activeCell="B109" sqref="B109"/>
      <selection pane="topRight" activeCell="B109" sqref="B109"/>
      <selection pane="bottomLeft" activeCell="B109" sqref="B109"/>
      <selection pane="bottomRight" activeCell="I11" sqref="I11"/>
    </sheetView>
  </sheetViews>
  <sheetFormatPr baseColWidth="10" defaultColWidth="10" defaultRowHeight="14"/>
  <cols>
    <col min="1" max="1" width="2.6640625" style="472" customWidth="1"/>
    <col min="2" max="2" width="5.5" style="471" customWidth="1"/>
    <col min="3" max="3" width="17.1640625" style="472" customWidth="1"/>
    <col min="4" max="4" width="46.33203125" style="472" customWidth="1"/>
    <col min="5" max="8" width="26.5" style="472" customWidth="1"/>
    <col min="9" max="10" width="11.1640625" style="471" customWidth="1"/>
    <col min="11" max="11" width="55.33203125" style="473" customWidth="1"/>
    <col min="12" max="12" width="9.6640625" style="472" customWidth="1"/>
    <col min="13" max="16384" width="10" style="472"/>
  </cols>
  <sheetData>
    <row r="1" spans="2:11" ht="20.25" customHeight="1" thickBot="1">
      <c r="B1" s="497" t="str">
        <f ca="1">COV!C20</f>
        <v>DECKBLATT BITTE VOLLSTÄNDIG AUSFÜLLEN!</v>
      </c>
      <c r="C1" s="459"/>
      <c r="D1" s="459"/>
      <c r="E1" s="459"/>
      <c r="F1" s="459"/>
      <c r="G1" s="459"/>
      <c r="H1" s="459"/>
      <c r="I1" s="459"/>
      <c r="J1" s="459"/>
      <c r="K1" s="459"/>
    </row>
    <row r="2" spans="2:11" ht="5.25" customHeight="1" thickTop="1"/>
    <row r="3" spans="2:11" ht="21">
      <c r="B3" s="2046" t="str">
        <f>Dictionary!B680&amp;'(7b) Project List'!A20&amp;IF('(7b) Project List'!B20="","",": "&amp;'(7b) Project List'!B20)</f>
        <v>Bewertung der Managementkomplexität für Erfahrung 12</v>
      </c>
      <c r="C3" s="2046"/>
      <c r="D3" s="2046"/>
      <c r="E3" s="2046"/>
      <c r="F3" s="2046"/>
      <c r="G3" s="2046"/>
      <c r="H3" s="2046"/>
      <c r="I3" s="2046"/>
      <c r="J3" s="2046"/>
      <c r="K3" s="2046"/>
    </row>
    <row r="4" spans="2:11" s="498" customFormat="1" ht="21">
      <c r="B4" s="488"/>
      <c r="C4" s="488"/>
      <c r="D4" s="488"/>
      <c r="E4" s="488"/>
      <c r="F4" s="488"/>
      <c r="G4" s="488"/>
      <c r="H4" s="488"/>
      <c r="I4" s="488"/>
      <c r="J4" s="488"/>
      <c r="K4" s="488"/>
    </row>
    <row r="5" spans="2:11" s="467" customFormat="1" ht="22.5" customHeight="1">
      <c r="B5" s="489" t="str">
        <f>EXP!B5</f>
        <v xml:space="preserve"> , Level A, Projekt Management, Erstzertifizierung</v>
      </c>
      <c r="C5" s="491"/>
      <c r="D5" s="491"/>
      <c r="E5" s="492"/>
      <c r="F5" s="491"/>
      <c r="G5" s="493"/>
      <c r="H5" s="492"/>
      <c r="I5" s="492"/>
      <c r="J5" s="492"/>
      <c r="K5" s="494"/>
    </row>
    <row r="6" spans="2:11" s="467" customFormat="1" ht="20" customHeight="1">
      <c r="B6" s="466"/>
      <c r="C6" s="468"/>
      <c r="D6" s="468"/>
      <c r="E6" s="321"/>
      <c r="F6" s="2183"/>
      <c r="G6" s="2183"/>
      <c r="H6" s="2183"/>
      <c r="I6" s="469"/>
      <c r="J6" s="470"/>
    </row>
    <row r="7" spans="2:11" ht="15" customHeight="1"/>
    <row r="8" spans="2:11" s="334" customFormat="1" ht="22.25" customHeight="1">
      <c r="B8" s="2184" t="s">
        <v>294</v>
      </c>
      <c r="C8" s="2187" t="str">
        <f>Dictionary!B681</f>
        <v>Komplexitätsindikatoren und Teilindikatoren</v>
      </c>
      <c r="D8" s="2188"/>
      <c r="E8" s="2186" t="str">
        <f>Dictionary!B682</f>
        <v>Zu bewertende Kriterien:</v>
      </c>
      <c r="F8" s="2186"/>
      <c r="G8" s="2186"/>
      <c r="H8" s="2186"/>
      <c r="I8" s="2177" t="str">
        <f>Dictionary!B683</f>
        <v>Bewertungen und Kommentare</v>
      </c>
      <c r="J8" s="2178"/>
      <c r="K8" s="2179"/>
    </row>
    <row r="9" spans="2:11" s="334" customFormat="1" ht="30" customHeight="1">
      <c r="B9" s="2185"/>
      <c r="C9" s="2189"/>
      <c r="D9" s="2190"/>
      <c r="E9" s="474" t="str">
        <f>Dictionary!B684</f>
        <v>wenig komplex   (1)</v>
      </c>
      <c r="F9" s="474" t="str">
        <f>Dictionary!B685</f>
        <v>begrenzt komplex   (2)</v>
      </c>
      <c r="G9" s="474" t="str">
        <f>Dictionary!B686</f>
        <v>komplex   (3)</v>
      </c>
      <c r="H9" s="474" t="str">
        <f>Dictionary!B687</f>
        <v>sehr komplex   (4)</v>
      </c>
      <c r="I9" s="475" t="str">
        <f>Dictionary!B689</f>
        <v>Bewerber/in</v>
      </c>
      <c r="J9" s="476" t="str">
        <f>Dictionary!B690</f>
        <v>Leitende/r Assessor/in</v>
      </c>
      <c r="K9" s="476" t="str">
        <f>Dictionary!B691</f>
        <v>Anmerkungen, Kommentare, Nachweise (fakultativ)</v>
      </c>
    </row>
    <row r="10" spans="2:11" ht="30" customHeight="1">
      <c r="B10" s="477">
        <v>1</v>
      </c>
      <c r="C10" s="2180" t="str">
        <f>Dictionary!B693</f>
        <v>Indikatoren bezogen auf die technischen Fähigkeiten</v>
      </c>
      <c r="D10" s="2181"/>
      <c r="E10" s="2181"/>
      <c r="F10" s="2181"/>
      <c r="G10" s="2181"/>
      <c r="H10" s="2182"/>
      <c r="K10" s="478"/>
    </row>
    <row r="11" spans="2:11" ht="75">
      <c r="B11" s="479">
        <f>B10+0.1</f>
        <v>1.1000000000000001</v>
      </c>
      <c r="C11" s="558" t="str">
        <f>Dictionary!B694</f>
        <v>Ziele und Ergebnisse</v>
      </c>
      <c r="D11" s="558" t="str">
        <f>Dictionary!B695</f>
        <v>Anzahl und Unterschiedlichkeit der Einzelziele unter Berücksichtigung der Ziele und Erwartungen der relevanten Stakeholder, unterschiedliche Zielkategorien: Prozessziele, Nutzungsziele (Business Case), Operationalisierbarkeit, Transparenz und Abhängigkeiten</v>
      </c>
      <c r="E11" s="557" t="str">
        <f>Dictionary!B696</f>
        <v>sehr wenige klare Ziele, alle quantitativ angegeben, operabel</v>
      </c>
      <c r="F11" s="557" t="str">
        <f>Dictionary!B697</f>
        <v>wenige Ziele, gut formuliert, wenig Zielkonflikte</v>
      </c>
      <c r="G11" s="557" t="str">
        <f>Dictionary!B698</f>
        <v>mehrere Ziele unterschiedlicher Art, teilweise unklar definiert</v>
      </c>
      <c r="H11" s="557" t="str">
        <f>Dictionary!B699</f>
        <v>viele, teilweise konkurrierende  Ziele, strategische und politische Ziele, versteckte Ziele, Nutzungsziele</v>
      </c>
      <c r="I11" s="495"/>
      <c r="J11" s="495"/>
      <c r="K11" s="496"/>
    </row>
    <row r="12" spans="2:11" ht="65">
      <c r="B12" s="479">
        <f>B11+0.1</f>
        <v>1.2000000000000002</v>
      </c>
      <c r="C12" s="558" t="str">
        <f>Dictionary!B701</f>
        <v>Aufgaben und Prozesse</v>
      </c>
      <c r="D12" s="558" t="str">
        <f>Dictionary!B702</f>
        <v>Umfang der Aufgaben, Annahmen und Randbedingungen und deren Abhängigkeiten, eingesetzte Prozesse, Tools und Methoden, eingesetzte Team- und Kommunikationsstrukturen</v>
      </c>
      <c r="E12" s="557" t="str">
        <f>Dictionary!B703</f>
        <v>bekannte Aufgabenstellung und Randbedingungen; wenige Standard-/Reportingverfahren</v>
      </c>
      <c r="F12" s="557" t="str">
        <f>Dictionary!B704</f>
        <v>mehrere Aufgaben, ergänzt durch Annahmen; Einsatz bekannter Prozesse und Tools, einige Reporting-Vorgaben</v>
      </c>
      <c r="G12" s="557" t="str">
        <f>Dictionary!B705</f>
        <v>umfangreiches System von Aufgaben und Annahmen; viele Sachfaktoren; teilweise Einsatz neuartiger Tools und Prozesse, Reporting-Vorgaben</v>
      </c>
      <c r="H12" s="557" t="str">
        <f>Dictionary!B706</f>
        <v>sehr komplexe Aufgabenstellung, umfangreiches sachliches Umfeld; erfordert den Einsatz umfangreicher Prozess- und Toolwelt, strenge Reporting-Vorgaben</v>
      </c>
      <c r="I12" s="495"/>
      <c r="J12" s="495"/>
      <c r="K12" s="496"/>
    </row>
    <row r="13" spans="2:11" ht="65">
      <c r="B13" s="479">
        <f>B12+0.1</f>
        <v>1.3000000000000003</v>
      </c>
      <c r="C13" s="558" t="str">
        <f>Dictionary!B708</f>
        <v>Ressourcen und Finanzen</v>
      </c>
      <c r="D13" s="558" t="str">
        <f>Dictionary!B709</f>
        <v>Akquisition und Bereitstellung der erforderlichen Budgets sowie deren Management; Anzahl der Geldgeber; Verfügbarkeit und Qualität der notwendigen (personellen und sonstigen) Ressourcen; Ressourcen-Management und Beschaffungsprozesse</v>
      </c>
      <c r="E13" s="557" t="str">
        <f>Dictionary!B710</f>
        <v>Budget-Ermittlung ohne Verhandlung, einfache Kostenüberwachung; Ressourcen verfügbar, geringe Ressourcenkonflikte; geringfügige Beschaffungsvorgänge</v>
      </c>
      <c r="F13" s="557" t="str">
        <f>Dictionary!B711</f>
        <v>Budget-Ermittlung und  -Verhandlung; Verhandlung der benötigten Ressourcen, teilweise externe Ressourcen-Beschaffung</v>
      </c>
      <c r="G13" s="557" t="str">
        <f>Dictionary!B712</f>
        <v>Budget- und Ressourcenbeschaffung im Wettbewerb mit anderen Projekten; wesentliche Beschaffungsvorgänge</v>
      </c>
      <c r="H13" s="557" t="str">
        <f>Dictionary!B713</f>
        <v>Beschaffung wesentlicher Finanzmittel, Finanzierung durch unterschiedliche Geldgeber intern und extern; Steuerung wesentlicher Unterauftragnehmer</v>
      </c>
      <c r="I13" s="495"/>
      <c r="J13" s="495"/>
      <c r="K13" s="496"/>
    </row>
    <row r="14" spans="2:11" ht="60">
      <c r="B14" s="479">
        <f>B13+0.1</f>
        <v>1.4000000000000004</v>
      </c>
      <c r="C14" s="558" t="str">
        <f>Dictionary!B715</f>
        <v>Chancen und Risiken</v>
      </c>
      <c r="D14" s="558" t="str">
        <f>Dictionary!B716</f>
        <v xml:space="preserve">Bewertung der Chancen und Risiken im Projekt; Ermittlung und Steuerung des Risikosystems; Ableitung von validen Maßnahmen; Ermittlung und Nutzung von Chancen; Anwendung von Tools zur Steuerung des Risiko-Budgets </v>
      </c>
      <c r="E14" s="557" t="str">
        <f>Dictionary!B717</f>
        <v>wenige Risiken in überschaubarer Höhe, kein Chancen-Management</v>
      </c>
      <c r="F14" s="557" t="str">
        <f>Dictionary!B718</f>
        <v>mehrere Risiken und Chancen; stabiles Risiko-System; Management eines Risiko-Budgets</v>
      </c>
      <c r="G14" s="557" t="str">
        <f>Dictionary!B719</f>
        <v>mehrere Risiken mit begrenzter Schadenshöhe; Möglichkeit der Chancen-Nutzung zur Entlastung des Projektes</v>
      </c>
      <c r="H14" s="557" t="str">
        <f>Dictionary!B720</f>
        <v>Umfangreiches Risiko-Potential inklusive hoher strategischer Risiken; Anwendung valider Steuerungsmöglichkeiten; Meldung nach KONTRAG</v>
      </c>
      <c r="I14" s="495"/>
      <c r="J14" s="495"/>
      <c r="K14" s="496"/>
    </row>
    <row r="15" spans="2:11" s="387" customFormat="1" ht="24" customHeight="1">
      <c r="H15" s="387" t="str">
        <f>Dictionary!B721</f>
        <v>Durchschnitt der eingegebenen Detailbewertungen:</v>
      </c>
      <c r="I15" s="480" t="str">
        <f>IF(SUM(I11:I14)=0,"",ROUNDDOWN(AVERAGE(I11:I14),1))</f>
        <v/>
      </c>
      <c r="J15" s="480" t="str">
        <f>IF(SUM(J11:J14)=0,"",ROUNDDOWN(AVERAGE(J11:J14),1))</f>
        <v/>
      </c>
      <c r="K15" s="481"/>
    </row>
    <row r="16" spans="2:11">
      <c r="C16" s="473"/>
      <c r="D16" s="473"/>
      <c r="E16" s="482"/>
      <c r="F16" s="482"/>
      <c r="G16" s="482"/>
      <c r="H16" s="482"/>
    </row>
    <row r="17" spans="2:11" ht="30" customHeight="1">
      <c r="B17" s="477">
        <v>2</v>
      </c>
      <c r="C17" s="2180" t="str">
        <f>Dictionary!B723</f>
        <v>Indikatoren bezogen auf den Kontext</v>
      </c>
      <c r="D17" s="2181"/>
      <c r="E17" s="2181"/>
      <c r="F17" s="2181"/>
      <c r="G17" s="2181"/>
      <c r="H17" s="2182"/>
    </row>
    <row r="18" spans="2:11" ht="60">
      <c r="B18" s="479">
        <f>B17+0.1</f>
        <v>2.1</v>
      </c>
      <c r="C18" s="558" t="str">
        <f>Dictionary!B724</f>
        <v xml:space="preserve">Strategie, Stakeholder </v>
      </c>
      <c r="D18" s="558" t="str">
        <f>Dictionary!B725</f>
        <v>Einfluss der Unternehmens-Strategie, Auswirkungen des Projektes auf das Unternehmen, Stakeholder-Interessen;
Gesetze und Regularien</v>
      </c>
      <c r="E18" s="559" t="str">
        <f>Dictionary!B726</f>
        <v>wenige strategische Einflüsse; Projekt ist rein operativ ausgerichtet</v>
      </c>
      <c r="F18" s="559" t="str">
        <f>Dictionary!B727</f>
        <v>Stakeholder-Interessen  beeinflussen das Projekt begrenzte Einflüsse aus der Unternehmens-Strategie</v>
      </c>
      <c r="G18" s="559" t="str">
        <f>Dictionary!B728</f>
        <v>Viele Komponenten (?) unterschiedlicher Art</v>
      </c>
      <c r="H18" s="559" t="str">
        <f>Dictionary!B729</f>
        <v>Projekt hat erheblichen Einfluss auf das Unternehmen und seinen Erfolg; starke Auswirkungen von Gesetzen und Regularien</v>
      </c>
      <c r="I18" s="495"/>
      <c r="J18" s="495"/>
      <c r="K18" s="496"/>
    </row>
    <row r="19" spans="2:11" ht="135">
      <c r="B19" s="479">
        <f>B18+0.1</f>
        <v>2.2000000000000002</v>
      </c>
      <c r="C19" s="558" t="str">
        <f>Dictionary!B731</f>
        <v>Stammorganisation</v>
      </c>
      <c r="D19" s="558" t="str">
        <f>Dictionary!B732</f>
        <v>Umfang der Vernetzung über Schnittstellen des Projektes mit den Strukturen, Berichtswesen und Entscheidungswegen der Stammorganisation</v>
      </c>
      <c r="E19" s="559" t="str">
        <f>Dictionary!B733</f>
        <v xml:space="preserve">starke Abgrenzung des Projektes von der Stammorganisation, Entscheidungen fallen wesentlich in der Stammorganisation, viele ähnliche Projekte wurden bereits im Unternehmen durchgeführt </v>
      </c>
      <c r="F19" s="559" t="str">
        <f>Dictionary!B734</f>
        <v>klare Schnittstellen zur Stammorganisation z.B. über Leitungsgremium; Berichtswesen und Entscheidungswege begrenzt und klar definiert Projekt hat geringe Auswirkungen auf Prozesse der Stammorganisation,  ähnliche Projekte wurden bereits im Unternehmen durchgeführt</v>
      </c>
      <c r="G19" s="559" t="str">
        <f>Dictionary!B735</f>
        <v>viele operative Schnittstellen wirken auf  das Projekt ein; Berichte und Entscheidungen machen erheblichen Arbeitsanteil aus, Projekt hat  Auswirkungen auf Prozesse der Stammorganisation, wenige ähnliche Projekte wurden bereits im Unternehmen durchgeführt</v>
      </c>
      <c r="H19" s="559" t="str">
        <f>Dictionary!B736</f>
        <v>Starke Einflüsse der Stammorganisation auf strategischer Ebene; Entscheidungen durch Verhandlungen mit der Stammorganisation, Projekt hat starke Auswirkungen auf Prozesse der Stammorganisation , Projekt ist neuartig für Unternehmen</v>
      </c>
      <c r="I19" s="495"/>
      <c r="J19" s="495"/>
      <c r="K19" s="496"/>
    </row>
    <row r="20" spans="2:11" ht="65">
      <c r="B20" s="479">
        <f>B19+0.1</f>
        <v>2.3000000000000003</v>
      </c>
      <c r="C20" s="558" t="str">
        <f>Dictionary!B738</f>
        <v>Sozio-Kulturelle Einflüsse</v>
      </c>
      <c r="D20" s="558" t="str">
        <f>Dictionary!B739</f>
        <v>Einfluss der sozio-kulturellen Unterschiede im Projektteam, insbesondere bei verteilten oder Firmen-übergreifenden Teams</v>
      </c>
      <c r="E20" s="557" t="str">
        <f>Dictionary!B740</f>
        <v>keine Auswirkungen zu erwarten (Projekt an einem Standort, eine Sprache, homogene Projektgruppe)</v>
      </c>
      <c r="F20" s="557" t="str">
        <f>Dictionary!B741</f>
        <v>wenig Auswirkungen zu erwarten</v>
      </c>
      <c r="G20" s="557" t="str">
        <f>Dictionary!B742</f>
        <v>Auswirkungen infolge lokal verteilter Teams, mehreren Sprachen oder heterogenen Kulturkreisen erfordern in Einzelfällen Führungsmaßnahmen</v>
      </c>
      <c r="H20" s="557" t="str">
        <f>Dictionary!B743</f>
        <v>Auswirkungen infolge lokal verteilter Teams oder großer Teams aus unterschiedlichen Unternehmen und Kulturkreisen erfordern umfangreiche Führungsmaßnahmen</v>
      </c>
      <c r="I20" s="495"/>
      <c r="J20" s="495"/>
      <c r="K20" s="496"/>
    </row>
    <row r="21" spans="2:11" s="387" customFormat="1" ht="24" customHeight="1">
      <c r="H21" s="387" t="str">
        <f>Dictionary!B744</f>
        <v>Durchschnitt der eingegebenen Detailbewertungen:</v>
      </c>
      <c r="I21" s="480" t="str">
        <f>IF(SUM(I18:I20)=0,"",ROUNDDOWN(AVERAGE(I18:I20),1))</f>
        <v/>
      </c>
      <c r="J21" s="480" t="str">
        <f>IF(SUM(J18:J20)=0,"",ROUNDDOWN(AVERAGE(J18:J20),1))</f>
        <v/>
      </c>
      <c r="K21" s="481"/>
    </row>
    <row r="22" spans="2:11">
      <c r="C22" s="473"/>
      <c r="D22" s="473"/>
      <c r="E22" s="482"/>
      <c r="F22" s="482"/>
      <c r="G22" s="482"/>
      <c r="H22" s="482"/>
    </row>
    <row r="23" spans="2:11" ht="30" customHeight="1">
      <c r="B23" s="477">
        <v>3</v>
      </c>
      <c r="C23" s="2180" t="str">
        <f>Dictionary!B746</f>
        <v>Indikatoren bezogen auf Management und Führung</v>
      </c>
      <c r="D23" s="2181"/>
      <c r="E23" s="2181"/>
      <c r="F23" s="2181"/>
      <c r="G23" s="2181"/>
      <c r="H23" s="2182"/>
    </row>
    <row r="24" spans="2:11" ht="90">
      <c r="B24" s="479">
        <f>B23+0.1</f>
        <v>3.1</v>
      </c>
      <c r="C24" s="560" t="str">
        <f>Dictionary!B747</f>
        <v xml:space="preserve">Führung und Teamwork </v>
      </c>
      <c r="D24" s="560" t="str">
        <f>Dictionary!B748</f>
        <v>Umfang der Führungs-, Teambildungs und-Steuerungsmaßnahmen</v>
      </c>
      <c r="E24" s="559" t="str">
        <f>Dictionary!B749</f>
        <v>fast alle Teammitglieder haben bereits mit PL gearbeitet, PL hat Erfahrung im Mgt von Teams über 5 J, Governance Vorgaben sind klar definiert, das Projektteam hat hohe PM Skills</v>
      </c>
      <c r="F24" s="559" t="str">
        <f>Dictionary!B750</f>
        <v>sehr viele Teammitglieder haben bereits mit PL gearbeitet, PL hat Erfahrung im Mgt von Teams über 3 J, governance Vorgaben sind teilweise definiert, das Projektteam hat  PM Skills</v>
      </c>
      <c r="G24" s="559" t="str">
        <f>Dictionary!B751</f>
        <v>viele Teammitglieder haben bereits mit PL gearbeitet, PL hat Erfahrung im Mgt von Teams über 1-2 J, einige Governance Vorgaben sind klar definiert, das Projektteam hat einige PM Skills</v>
      </c>
      <c r="H24" s="559" t="str">
        <f>Dictionary!B752</f>
        <v>wenige Teammitglieder haben bereits mit PL gearbeitet, PL hat Erfahrung im Mgt von Teams weniger 1J, wenige Governance Vorgaben sind definiert, das Projektteam hat sehr wenig PM Skills</v>
      </c>
      <c r="I24" s="495"/>
      <c r="J24" s="495"/>
      <c r="K24" s="496"/>
    </row>
    <row r="25" spans="2:11" ht="91" customHeight="1">
      <c r="B25" s="479">
        <f>B24+0.1</f>
        <v>3.2</v>
      </c>
      <c r="C25" s="558" t="str">
        <f>Dictionary!B754</f>
        <v xml:space="preserve"> Innovation</v>
      </c>
      <c r="D25" s="558" t="str">
        <f>Dictionary!B755</f>
        <v>technische Neuartigkeit des Projektes und seine Auswirkungen auf Ressourcenauswahl und Aus- und Weiterbildung während des Projektes; Umgang mit neuartigen Ansätzen und Ergebnissen</v>
      </c>
      <c r="E25" s="559" t="str">
        <f>Dictionary!B756</f>
        <v>kein Handlungsbedarf infolge geringer Neuartigkeit, z.B. Wiederholprojekte</v>
      </c>
      <c r="F25" s="559" t="str">
        <f>Dictionary!B757</f>
        <v>einige Maßnahmen erforderlich infolge der Neuartigkeit in einzelnen Bereichen</v>
      </c>
      <c r="G25" s="559" t="str">
        <f>Dictionary!B758</f>
        <v>Neuartigkeit des Projektgegenstandes und/oder von Prozessen bedingt vorbereitende Qualifizerungsmaßnahmen</v>
      </c>
      <c r="H25" s="559" t="str">
        <f>Dictionary!B759</f>
        <v xml:space="preserve">Neuartigkeit des Projektgegenstandes und/oder von Prozessen in Verbindung mit großem Projektvolumen bedingt Planung der Qualifizierung, aber auch intensives Risiko-Management </v>
      </c>
      <c r="I25" s="495"/>
      <c r="J25" s="495"/>
      <c r="K25" s="496"/>
    </row>
    <row r="26" spans="2:11" ht="60">
      <c r="B26" s="479">
        <f>B25+0.1</f>
        <v>3.3000000000000003</v>
      </c>
      <c r="C26" s="558" t="str">
        <f>Dictionary!B761</f>
        <v>Autonomie und Verantwortung</v>
      </c>
      <c r="D26" s="558" t="str">
        <f>Dictionary!B762</f>
        <v>Entscheidungs- und Verantwortungsspielraum des Projektleiters; Umfang der Delegation in das Projektteam; Vertretung des Projektes gegenüber dem gesamten sozialen Umfeld</v>
      </c>
      <c r="E26" s="559" t="str">
        <f>Dictionary!B763</f>
        <v xml:space="preserve">wenig Autonomie/Gestaltungsspielräume des PL bzgl. Entscheidungen und Vertretung des Projektes nach aussen </v>
      </c>
      <c r="F26" s="559" t="str">
        <f>Dictionary!B764</f>
        <v>Verhandlung Lasten- und Pflichtenheft; Gesaltungs-spielräume ergeben sich hauptsächlich durch Änderungsprozesse</v>
      </c>
      <c r="G26" s="559" t="str">
        <f>Dictionary!B765</f>
        <v>Projektleiter vertritt das Projekt und damit auch das Unternehmen auch gegenüber externen Stakeholdern</v>
      </c>
      <c r="H26" s="559" t="str">
        <f>Dictionary!B766</f>
        <v>umfangreiche Verantwortungs- und Entscheidungsspielräume, z.B. durch Vollmachts- oder Unterschriftenregelung</v>
      </c>
      <c r="I26" s="495"/>
      <c r="J26" s="495"/>
      <c r="K26" s="496"/>
    </row>
    <row r="27" spans="2:11" s="387" customFormat="1" ht="24" customHeight="1">
      <c r="H27" s="387" t="str">
        <f>Dictionary!B767</f>
        <v>Durchschnitt der eingegebenen Detailbewertungen:</v>
      </c>
      <c r="I27" s="480" t="str">
        <f>IF(SUM(I24:I26)=0,"",ROUNDDOWN(AVERAGE(I24:I26),1))</f>
        <v/>
      </c>
      <c r="J27" s="480" t="str">
        <f>IF(SUM(J24:J26)=0,"",ROUNDDOWN(AVERAGE(J24:J26),1))</f>
        <v/>
      </c>
      <c r="K27" s="481"/>
    </row>
    <row r="28" spans="2:11">
      <c r="C28" s="473"/>
      <c r="D28" s="473"/>
      <c r="E28" s="482"/>
      <c r="F28" s="482"/>
      <c r="G28" s="482"/>
      <c r="H28" s="482"/>
    </row>
    <row r="29" spans="2:11" ht="17" customHeight="1"/>
    <row r="30" spans="2:11" ht="17" customHeight="1">
      <c r="F30" s="334" t="str">
        <f>Dictionary!B768</f>
        <v>Zusammenfassende Bewertungen (gerundet)</v>
      </c>
    </row>
    <row r="31" spans="2:11" ht="17" customHeight="1">
      <c r="G31" s="483" t="str">
        <f>Dictionary!B769</f>
        <v>Indikator</v>
      </c>
      <c r="H31" s="471">
        <v>1</v>
      </c>
      <c r="I31" s="484" t="str">
        <f>IF(I15="","",I15)</f>
        <v/>
      </c>
      <c r="J31" s="484" t="str">
        <f>IF(J15="","",J15)</f>
        <v/>
      </c>
    </row>
    <row r="32" spans="2:11" ht="17" customHeight="1">
      <c r="G32" s="483" t="str">
        <f>Dictionary!B769</f>
        <v>Indikator</v>
      </c>
      <c r="H32" s="471">
        <f>1+H31</f>
        <v>2</v>
      </c>
      <c r="I32" s="485" t="str">
        <f>IF(I21="","",I21)</f>
        <v/>
      </c>
      <c r="J32" s="485" t="str">
        <f>IF(J21="","",J21)</f>
        <v/>
      </c>
    </row>
    <row r="33" spans="2:12" ht="17" customHeight="1">
      <c r="G33" s="483" t="str">
        <f>Dictionary!B769</f>
        <v>Indikator</v>
      </c>
      <c r="H33" s="471">
        <f>1+H32</f>
        <v>3</v>
      </c>
      <c r="I33" s="485" t="str">
        <f>IF(I27="","",I27)</f>
        <v/>
      </c>
      <c r="J33" s="485" t="str">
        <f>IF(J27="","",J27)</f>
        <v/>
      </c>
    </row>
    <row r="34" spans="2:12" s="473" customFormat="1" ht="17" customHeight="1">
      <c r="B34" s="471"/>
      <c r="C34" s="472"/>
      <c r="D34" s="472"/>
      <c r="E34" s="472"/>
      <c r="F34" s="472"/>
      <c r="G34" s="472"/>
      <c r="H34" s="387" t="str">
        <f>Dictionary!B770</f>
        <v xml:space="preserve">Gesamtbewertung   </v>
      </c>
      <c r="I34" s="485">
        <f>SUM(I11:I14)+SUM(I18:I20)+SUM(I24:I26)</f>
        <v>0</v>
      </c>
      <c r="J34" s="485">
        <f>SUM(J11:J14)+SUM(J18:J20)+SUM(J24:J26)</f>
        <v>0</v>
      </c>
      <c r="L34" s="472"/>
    </row>
    <row r="35" spans="2:12" s="473" customFormat="1" ht="17" customHeight="1">
      <c r="B35" s="471"/>
      <c r="C35" s="472"/>
      <c r="D35" s="472"/>
      <c r="E35" s="472"/>
      <c r="F35" s="472"/>
      <c r="G35" s="472"/>
      <c r="H35" s="387"/>
      <c r="I35" s="486"/>
      <c r="J35" s="486"/>
      <c r="L35" s="472"/>
    </row>
    <row r="36" spans="2:12" s="473" customFormat="1" ht="17" customHeight="1">
      <c r="B36" s="471"/>
      <c r="C36" s="487"/>
      <c r="D36" s="487"/>
      <c r="E36" s="472"/>
      <c r="F36" s="472"/>
      <c r="G36" s="472"/>
      <c r="H36" s="472"/>
      <c r="I36" s="471"/>
      <c r="J36" s="471"/>
      <c r="L36" s="472"/>
    </row>
    <row r="37" spans="2:12" s="473" customFormat="1" ht="17" customHeight="1" thickBot="1">
      <c r="B37" s="460"/>
      <c r="C37" s="460"/>
      <c r="D37" s="460"/>
      <c r="E37" s="460"/>
      <c r="F37" s="460"/>
      <c r="G37" s="460"/>
      <c r="H37" s="460"/>
      <c r="I37" s="460"/>
      <c r="J37" s="460"/>
      <c r="K37" s="460"/>
      <c r="L37" s="472"/>
    </row>
    <row r="38" spans="2:12" s="473" customFormat="1" ht="17" customHeight="1">
      <c r="B38" s="89"/>
      <c r="C38" s="89"/>
      <c r="D38" s="89"/>
      <c r="F38" s="472"/>
      <c r="G38" s="472"/>
      <c r="H38" s="472"/>
      <c r="I38" s="471"/>
      <c r="J38" s="471"/>
      <c r="K38" s="464" t="s">
        <v>105</v>
      </c>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ht="17" customHeight="1"/>
    <row r="50" ht="17" customHeight="1"/>
    <row r="51" ht="17" customHeight="1"/>
    <row r="52" ht="17" customHeight="1"/>
    <row r="53" ht="17" customHeight="1"/>
    <row r="54" ht="17" customHeight="1"/>
    <row r="55" ht="17" customHeight="1"/>
    <row r="56" ht="17" customHeight="1"/>
    <row r="57" ht="17" customHeight="1"/>
    <row r="58" ht="17" customHeight="1"/>
    <row r="59" ht="17" customHeight="1"/>
    <row r="60" ht="17" customHeight="1"/>
    <row r="61" ht="17" customHeight="1"/>
    <row r="62" ht="17" customHeight="1"/>
    <row r="63" ht="17" customHeight="1"/>
    <row r="64" ht="17" customHeight="1"/>
    <row r="65" ht="17" customHeight="1"/>
    <row r="66" ht="17" customHeight="1"/>
    <row r="67" ht="17" customHeight="1"/>
    <row r="68" ht="17" customHeight="1"/>
    <row r="69" ht="17" customHeight="1"/>
    <row r="70" ht="17" customHeight="1"/>
  </sheetData>
  <sheetProtection algorithmName="SHA-512" hashValue="iTW49ZEb6Q7uxIfpzh0X5dP/MRrQ4N+8iOnMj+UsxlZLShRP8j536JlEmc0gcoh/HPUxu1HAKMhreL4EZkTScQ==" saltValue="+rmdlpg35WlKBzex0BGZcA==" spinCount="100000" sheet="1" objects="1" scenarios="1" selectLockedCells="1"/>
  <mergeCells count="9">
    <mergeCell ref="C10:H10"/>
    <mergeCell ref="C17:H17"/>
    <mergeCell ref="C23:H23"/>
    <mergeCell ref="B3:K3"/>
    <mergeCell ref="F6:H6"/>
    <mergeCell ref="B8:B9"/>
    <mergeCell ref="C8:D9"/>
    <mergeCell ref="E8:H8"/>
    <mergeCell ref="I8:K8"/>
  </mergeCells>
  <conditionalFormatting sqref="I35:J35">
    <cfRule type="cellIs" dxfId="391" priority="1" operator="equal">
      <formula>"Yes"</formula>
    </cfRule>
    <cfRule type="cellIs" dxfId="390" priority="2" operator="equal">
      <formula>"No"</formula>
    </cfRule>
  </conditionalFormatting>
  <dataValidations count="1">
    <dataValidation type="whole" allowBlank="1" showInputMessage="1" showErrorMessage="1" sqref="I11:J14 I18:J20 I24:J26" xr:uid="{00000000-0002-0000-2E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615EB-7A2F-4B93-89EF-617CB54A3458}">
  <sheetPr codeName="Sheet16">
    <tabColor theme="9"/>
  </sheetPr>
  <dimension ref="B1:E68"/>
  <sheetViews>
    <sheetView topLeftCell="A4" zoomScale="130" zoomScaleNormal="130" workbookViewId="0">
      <selection activeCell="B19" sqref="B19:E19"/>
    </sheetView>
  </sheetViews>
  <sheetFormatPr baseColWidth="10" defaultColWidth="11.5" defaultRowHeight="15"/>
  <cols>
    <col min="1" max="1" width="2.5" style="89" customWidth="1"/>
    <col min="2" max="2" width="45.5" style="89" customWidth="1"/>
    <col min="3" max="3" width="22.83203125" style="89" customWidth="1"/>
    <col min="4" max="4" width="32" style="89" customWidth="1"/>
    <col min="5" max="5" width="22.83203125" style="89" customWidth="1"/>
    <col min="6" max="6" width="3.1640625" style="89" customWidth="1"/>
    <col min="7" max="7" width="20" style="89" customWidth="1"/>
    <col min="8" max="9" width="11.5" style="89"/>
    <col min="10" max="10" width="8.5" style="89" customWidth="1"/>
    <col min="11" max="16384" width="11.5" style="89"/>
  </cols>
  <sheetData>
    <row r="1" spans="2:5" ht="15.75" customHeight="1" thickBot="1">
      <c r="B1" s="497" t="str">
        <f ca="1">COV!C20</f>
        <v>DECKBLATT BITTE VOLLSTÄNDIG AUSFÜLLEN!</v>
      </c>
      <c r="C1" s="459"/>
      <c r="D1" s="459"/>
      <c r="E1" s="459"/>
    </row>
    <row r="2" spans="2:5" ht="5.25" customHeight="1" thickTop="1"/>
    <row r="3" spans="2:5" ht="21">
      <c r="B3" s="2046" t="str">
        <f>Dictionary!B614&amp;'(7b) Project List'!A21</f>
        <v>Steckbrief für Management Erfahrung 13</v>
      </c>
      <c r="C3" s="2046"/>
      <c r="D3" s="2046"/>
      <c r="E3" s="2046"/>
    </row>
    <row r="4" spans="2:5" ht="21">
      <c r="B4" s="488"/>
      <c r="C4" s="488"/>
      <c r="D4" s="488"/>
      <c r="E4" s="488"/>
    </row>
    <row r="5" spans="2:5" ht="21">
      <c r="B5" s="489" t="str">
        <f>EXP!B5</f>
        <v xml:space="preserve"> , Level A, Projekt Management, Erstzertifizierung</v>
      </c>
      <c r="C5" s="490"/>
      <c r="D5" s="490"/>
      <c r="E5" s="490"/>
    </row>
    <row r="7" spans="2:5">
      <c r="B7" s="2013" t="str">
        <f>Dictionary!B618</f>
        <v>Kopfzeile</v>
      </c>
      <c r="C7" s="2013"/>
      <c r="D7" s="2013"/>
      <c r="E7" s="2013"/>
    </row>
    <row r="8" spans="2:5" ht="16.5" customHeight="1">
      <c r="B8" s="503" t="str">
        <f>EXP!D21&amp;" "&amp;Dictionary!B615</f>
        <v xml:space="preserve"> Name </v>
      </c>
      <c r="C8" s="504" t="str">
        <f>IF('(7b) Project List'!B21="","",'(7b) Project List'!B21)</f>
        <v/>
      </c>
      <c r="D8" s="508" t="str">
        <f>EXP!D21&amp;" "&amp;Dictionary!B616</f>
        <v xml:space="preserve"> Nummer </v>
      </c>
      <c r="E8" s="509"/>
    </row>
    <row r="9" spans="2:5" ht="16.5" customHeight="1">
      <c r="B9" s="510" t="str">
        <f>Dictionary!B617</f>
        <v>Kunde/AuftraggeberIn:</v>
      </c>
      <c r="C9" s="2138"/>
      <c r="D9" s="2138"/>
      <c r="E9" s="511"/>
    </row>
    <row r="10" spans="2:5" ht="16.5" customHeight="1"/>
    <row r="11" spans="2:5" ht="16.5" customHeight="1">
      <c r="B11" s="2013" t="str">
        <f>Dictionary!B620</f>
        <v>Governance &amp; eigene Rolle</v>
      </c>
      <c r="C11" s="2013"/>
      <c r="D11" s="2013"/>
      <c r="E11" s="2013"/>
    </row>
    <row r="12" spans="2:5" ht="16.5" customHeight="1">
      <c r="B12" s="503" t="str">
        <f>Dictionary!B621</f>
        <v>Eigene Rolle:</v>
      </c>
      <c r="C12" s="504" t="str">
        <f>IF('(7b) Project List'!E21="","",'(7b) Project List'!E21)</f>
        <v/>
      </c>
      <c r="D12" s="2130" t="str">
        <f>Dictionary!B622</f>
        <v>Anmerkungen:</v>
      </c>
      <c r="E12" s="2131"/>
    </row>
    <row r="13" spans="2:5" ht="16.5" customHeight="1">
      <c r="B13" s="505" t="str">
        <f>Dictionary!B623</f>
        <v>Verantwortung für den Umfang/die Ergebnisse:</v>
      </c>
      <c r="C13" s="506"/>
      <c r="D13" s="2142"/>
      <c r="E13" s="2143"/>
    </row>
    <row r="14" spans="2:5" ht="16.5" customHeight="1">
      <c r="B14" s="505" t="str">
        <f>Dictionary!B624</f>
        <v>Verantwortung für die Terminplanung:</v>
      </c>
      <c r="C14" s="506"/>
      <c r="D14" s="2142"/>
      <c r="E14" s="2143"/>
    </row>
    <row r="15" spans="2:5" ht="16.5" customHeight="1">
      <c r="B15" s="505" t="str">
        <f>Dictionary!B625</f>
        <v>Verantwortung für das Budget:</v>
      </c>
      <c r="C15" s="506"/>
      <c r="D15" s="2142"/>
      <c r="E15" s="2143"/>
    </row>
    <row r="16" spans="2:5" ht="16.5" customHeight="1">
      <c r="B16" s="561" t="str">
        <f>EXP!D21&amp;" "&amp;Dictionary!B627</f>
        <v xml:space="preserve"> Typ</v>
      </c>
      <c r="C16" s="507"/>
      <c r="D16" s="2142"/>
      <c r="E16" s="2143"/>
    </row>
    <row r="17" spans="2:5" ht="16.5" customHeight="1">
      <c r="B17" s="561" t="str">
        <f>Dictionary!B626</f>
        <v>Art der PM Organisation</v>
      </c>
      <c r="C17" s="507"/>
      <c r="D17" s="2142"/>
      <c r="E17" s="2143"/>
    </row>
    <row r="18" spans="2:5" ht="16.5" customHeight="1">
      <c r="B18" s="2139" t="str">
        <f>Dictionary!B628</f>
        <v>Kurze Beschreibung Ihrer eigenen Rolle, Verantwortung und Aktivitäten; wem sind Sie unterstellt?</v>
      </c>
      <c r="C18" s="2140"/>
      <c r="D18" s="2140"/>
      <c r="E18" s="2141"/>
    </row>
    <row r="19" spans="2:5" ht="57" customHeight="1">
      <c r="B19" s="2149"/>
      <c r="C19" s="2150"/>
      <c r="D19" s="2150"/>
      <c r="E19" s="2151"/>
    </row>
    <row r="20" spans="2:5" ht="18" customHeight="1"/>
    <row r="21" spans="2:5" ht="16.5" customHeight="1">
      <c r="B21" s="2013" t="str">
        <f>Dictionary!B630</f>
        <v>Allgemeine Informationen und Beschreibung</v>
      </c>
      <c r="C21" s="2013"/>
      <c r="D21" s="2013"/>
      <c r="E21" s="2013"/>
    </row>
    <row r="22" spans="2:5" ht="16.5" customHeight="1">
      <c r="B22" s="2157" t="str">
        <f>Dictionary!B631</f>
        <v>Kurze Beschreibung der KPI, Ergebnisse und Liefergegenstände:</v>
      </c>
      <c r="C22" s="2158"/>
      <c r="D22" s="2158"/>
      <c r="E22" s="2159"/>
    </row>
    <row r="23" spans="2:5" ht="57" customHeight="1">
      <c r="B23" s="2160"/>
      <c r="C23" s="2161"/>
      <c r="D23" s="2161"/>
      <c r="E23" s="2162"/>
    </row>
    <row r="24" spans="2:5" ht="16.5" customHeight="1">
      <c r="B24" s="2139" t="str">
        <f>Dictionary!B632</f>
        <v>Kurze Beschreibung des Umfangs und der Ziele, für die Sie verantwortlich sind:</v>
      </c>
      <c r="C24" s="2140"/>
      <c r="D24" s="2140"/>
      <c r="E24" s="2141"/>
    </row>
    <row r="25" spans="2:5" ht="57" customHeight="1">
      <c r="B25" s="2160"/>
      <c r="C25" s="2161"/>
      <c r="D25" s="2161"/>
      <c r="E25" s="2162"/>
    </row>
    <row r="26" spans="2:5" ht="16.5" customHeight="1">
      <c r="B26" s="2139" t="str">
        <f>Dictionary!B633</f>
        <v>Informationen über erhebliche Planabweichungen und/oder kritische Managementsituationen:</v>
      </c>
      <c r="C26" s="2140"/>
      <c r="D26" s="2140"/>
      <c r="E26" s="2141"/>
    </row>
    <row r="27" spans="2:5" ht="54.75" customHeight="1">
      <c r="B27" s="2146"/>
      <c r="C27" s="2152"/>
      <c r="D27" s="2152"/>
      <c r="E27" s="2153"/>
    </row>
    <row r="28" spans="2:5" ht="18" customHeight="1"/>
    <row r="29" spans="2:5" ht="18" customHeight="1">
      <c r="B29" s="2013" t="str">
        <f>EXP!D21&amp;" "&amp;Dictionary!B635</f>
        <v xml:space="preserve"> Planung</v>
      </c>
      <c r="C29" s="2013"/>
      <c r="D29" s="2013"/>
      <c r="E29" s="2013"/>
    </row>
    <row r="30" spans="2:5" ht="16.5" customHeight="1">
      <c r="B30" s="512" t="str">
        <f>Dictionary!B636</f>
        <v>Beginn des Vorhabens:</v>
      </c>
      <c r="C30" s="513" t="str">
        <f>C31</f>
        <v/>
      </c>
      <c r="D30" s="508" t="str">
        <f>Dictionary!B642</f>
        <v>Ende des Vorhabens:</v>
      </c>
      <c r="E30" s="514" t="str">
        <f>E31</f>
        <v/>
      </c>
    </row>
    <row r="31" spans="2:5" ht="16.5" customHeight="1">
      <c r="B31" s="515" t="str">
        <f>Dictionary!B637</f>
        <v>Ihr Beginn in dieser Rolle:</v>
      </c>
      <c r="C31" s="516" t="str">
        <f>IF('(7b) Project List'!F21="","",'(7b) Project List'!F21)</f>
        <v/>
      </c>
      <c r="D31" s="517" t="str">
        <f>Dictionary!B643</f>
        <v>Ende Ihrer Beteiligung:</v>
      </c>
      <c r="E31" s="518" t="str">
        <f>IF('(7b) Project List'!G21="","",'(7b) Project List'!G21)</f>
        <v/>
      </c>
    </row>
    <row r="32" spans="2:5" ht="16.5" customHeight="1">
      <c r="B32" s="2139" t="str">
        <f>IF(ISNUMBER(SEARCH("ortfolio",B29)),Dictionary!B640,Dictionary!B638)</f>
        <v>Phasen:</v>
      </c>
      <c r="C32" s="2140"/>
      <c r="D32" s="2140" t="str">
        <f>IF(ISNUMBER(SEARCH("ortfolio",B29)),Dictionary!B641,Dictionary!B639)</f>
        <v>Meilensteine:</v>
      </c>
      <c r="E32" s="2141"/>
    </row>
    <row r="33" spans="2:5">
      <c r="B33" s="2154"/>
      <c r="C33" s="2142"/>
      <c r="D33" s="2133"/>
      <c r="E33" s="2143"/>
    </row>
    <row r="34" spans="2:5">
      <c r="B34" s="2155"/>
      <c r="C34" s="2142"/>
      <c r="D34" s="2142"/>
      <c r="E34" s="2143"/>
    </row>
    <row r="35" spans="2:5">
      <c r="B35" s="2155"/>
      <c r="C35" s="2142"/>
      <c r="D35" s="2142"/>
      <c r="E35" s="2143"/>
    </row>
    <row r="36" spans="2:5">
      <c r="B36" s="2155"/>
      <c r="C36" s="2142"/>
      <c r="D36" s="2142"/>
      <c r="E36" s="2143"/>
    </row>
    <row r="37" spans="2:5">
      <c r="B37" s="2155"/>
      <c r="C37" s="2142"/>
      <c r="D37" s="2142"/>
      <c r="E37" s="2143"/>
    </row>
    <row r="38" spans="2:5">
      <c r="B38" s="2155"/>
      <c r="C38" s="2142"/>
      <c r="D38" s="2142"/>
      <c r="E38" s="2143"/>
    </row>
    <row r="39" spans="2:5">
      <c r="B39" s="2155"/>
      <c r="C39" s="2142"/>
      <c r="D39" s="2142"/>
      <c r="E39" s="2143"/>
    </row>
    <row r="40" spans="2:5">
      <c r="B40" s="2155"/>
      <c r="C40" s="2142"/>
      <c r="D40" s="2142"/>
      <c r="E40" s="2143"/>
    </row>
    <row r="41" spans="2:5">
      <c r="B41" s="2155"/>
      <c r="C41" s="2142"/>
      <c r="D41" s="2142"/>
      <c r="E41" s="2143"/>
    </row>
    <row r="42" spans="2:5">
      <c r="B42" s="2156"/>
      <c r="C42" s="2150"/>
      <c r="D42" s="2150"/>
      <c r="E42" s="2151"/>
    </row>
    <row r="44" spans="2:5" ht="18" customHeight="1">
      <c r="B44" s="2132" t="str">
        <f>IF(PMO_MODE="",Dictionary!B645,IF(ISNUMBER(FIND(EXP!C42,B8)),Dictionary!B646,Dictionary!B645))</f>
        <v>Ressourcen, für die Sie direkt verantwortlich sind</v>
      </c>
      <c r="C44" s="2132"/>
      <c r="D44" s="2132"/>
      <c r="E44" s="2132"/>
    </row>
    <row r="45" spans="2:5" ht="16.5" customHeight="1">
      <c r="B45" s="519"/>
      <c r="C45" s="524" t="str">
        <f>Dictionary!B647</f>
        <v>Wert</v>
      </c>
      <c r="D45" s="2130" t="str">
        <f>Dictionary!B648</f>
        <v>Anmerkungen</v>
      </c>
      <c r="E45" s="2131"/>
    </row>
    <row r="46" spans="2:5" ht="16">
      <c r="B46" s="520" t="str">
        <f>Dictionary!B649</f>
        <v>Anzahl der Ihnen direkt unterstellten Teammitglieder:</v>
      </c>
      <c r="C46" s="1720"/>
      <c r="D46" s="2133"/>
      <c r="E46" s="2134"/>
    </row>
    <row r="47" spans="2:5" ht="32">
      <c r="B47" s="520" t="str">
        <f>Dictionary!B650</f>
        <v>Anzahl der Mitglieder des Teams gemäß dem Organigramm (inkl. Sie selbst):</v>
      </c>
      <c r="C47" s="1720"/>
      <c r="D47" s="2133"/>
      <c r="E47" s="2134"/>
    </row>
    <row r="48" spans="2:5" ht="16.5" customHeight="1">
      <c r="B48" s="521" t="str">
        <f>Dictionary!B651</f>
        <v>Gesamtaufwand [Personentage]:</v>
      </c>
      <c r="C48" s="1720"/>
      <c r="D48" s="2133"/>
      <c r="E48" s="2134"/>
    </row>
    <row r="49" spans="2:5" ht="16.5" customHeight="1">
      <c r="B49" s="522" t="str">
        <f>Dictionary!B652</f>
        <v>Externer Arbeitsaufwand [Personentage]:</v>
      </c>
      <c r="C49" s="1720"/>
      <c r="D49" s="2133"/>
      <c r="E49" s="2134"/>
    </row>
    <row r="50" spans="2:5" ht="16.5" customHeight="1">
      <c r="B50" s="522" t="str">
        <f>Dictionary!B653</f>
        <v>Interner Arbeitsaufwand [Personentage]:</v>
      </c>
      <c r="C50" s="1720"/>
      <c r="D50" s="2133"/>
      <c r="E50" s="2134"/>
    </row>
    <row r="51" spans="2:5" ht="16.5" customHeight="1">
      <c r="B51" s="522" t="str">
        <f>Dictionary!B654</f>
        <v>Enthaltener PM-Aufwand [Personentage]:</v>
      </c>
      <c r="C51" s="1720"/>
      <c r="D51" s="2133"/>
      <c r="E51" s="2134"/>
    </row>
    <row r="52" spans="2:5" ht="16.5" customHeight="1">
      <c r="B52" s="522" t="str">
        <f>Dictionary!B655</f>
        <v>Budget (Aufwand) unter Ihrer Verantwortung [€]:</v>
      </c>
      <c r="C52" s="1721"/>
      <c r="D52" s="2133"/>
      <c r="E52" s="2134"/>
    </row>
    <row r="53" spans="2:5" ht="16.5" customHeight="1">
      <c r="B53" s="523" t="str">
        <f>Dictionary!B656</f>
        <v>Budget (Sachmittel) unter Ihrer Verantwortung [€]:</v>
      </c>
      <c r="C53" s="1722"/>
      <c r="D53" s="2144"/>
      <c r="E53" s="2145"/>
    </row>
    <row r="54" spans="2:5" ht="16.5" customHeight="1">
      <c r="B54" s="1615" t="str">
        <f>Dictionary!B657</f>
        <v>Gesamtbudget unter Ihrer Verantwortung [€]:</v>
      </c>
      <c r="C54" s="1723">
        <f>C52+C53</f>
        <v>0</v>
      </c>
      <c r="D54" s="1724"/>
      <c r="E54" s="1725"/>
    </row>
    <row r="55" spans="2:5" ht="18" customHeight="1"/>
    <row r="56" spans="2:5" ht="18" customHeight="1">
      <c r="B56" s="2013" t="str">
        <f>Dictionary!B658</f>
        <v xml:space="preserve">Anmerkungen </v>
      </c>
      <c r="C56" s="2013"/>
      <c r="D56" s="2013"/>
      <c r="E56" s="2013"/>
    </row>
    <row r="57" spans="2:5" ht="16.5" customHeight="1">
      <c r="B57" s="2157" t="str">
        <f>Dictionary!B659</f>
        <v>Anmerkungen zur Komplexität:</v>
      </c>
      <c r="C57" s="2158"/>
      <c r="D57" s="2158"/>
      <c r="E57" s="2159"/>
    </row>
    <row r="58" spans="2:5">
      <c r="B58" s="2135"/>
      <c r="C58" s="2136"/>
      <c r="D58" s="2136"/>
      <c r="E58" s="2137"/>
    </row>
    <row r="59" spans="2:5">
      <c r="B59" s="2135"/>
      <c r="C59" s="2136"/>
      <c r="D59" s="2136"/>
      <c r="E59" s="2137"/>
    </row>
    <row r="60" spans="2:5" ht="27" customHeight="1">
      <c r="B60" s="2135"/>
      <c r="C60" s="2136"/>
      <c r="D60" s="2136"/>
      <c r="E60" s="2137"/>
    </row>
    <row r="61" spans="2:5" ht="16.5" customHeight="1">
      <c r="B61" s="2139" t="str">
        <f>Dictionary!B660</f>
        <v>Allgemeine Anmerkungen:</v>
      </c>
      <c r="C61" s="2140"/>
      <c r="D61" s="2140"/>
      <c r="E61" s="2141"/>
    </row>
    <row r="62" spans="2:5" ht="15" customHeight="1">
      <c r="B62" s="2135"/>
      <c r="C62" s="2136"/>
      <c r="D62" s="2136"/>
      <c r="E62" s="2137"/>
    </row>
    <row r="63" spans="2:5">
      <c r="B63" s="2135"/>
      <c r="C63" s="2136"/>
      <c r="D63" s="2136"/>
      <c r="E63" s="2137"/>
    </row>
    <row r="64" spans="2:5">
      <c r="B64" s="2135"/>
      <c r="C64" s="2136"/>
      <c r="D64" s="2136"/>
      <c r="E64" s="2137"/>
    </row>
    <row r="65" spans="2:5" ht="41" customHeight="1">
      <c r="B65" s="2146"/>
      <c r="C65" s="2147"/>
      <c r="D65" s="2147"/>
      <c r="E65" s="2148"/>
    </row>
    <row r="67" spans="2:5" ht="17" thickBot="1">
      <c r="B67" s="460"/>
      <c r="C67" s="460"/>
      <c r="D67" s="460"/>
      <c r="E67" s="460"/>
    </row>
    <row r="68" spans="2:5">
      <c r="E68" s="464" t="s">
        <v>105</v>
      </c>
    </row>
  </sheetData>
  <sheetProtection algorithmName="SHA-512" hashValue="ZzlnzekpMYmYP+PC8VvDelqNQnJYLH7pfJvGZqQuLM5zTaoFSVi1B26cNEjdztJp4xXeIizfWdFltqfHZDzCZQ==" saltValue="oZ8o1hllrcr5uJgIOBU2AA==" spinCount="100000" sheet="1" objects="1" scenarios="1" selectLockedCells="1"/>
  <mergeCells count="39">
    <mergeCell ref="B58:E60"/>
    <mergeCell ref="B61:E61"/>
    <mergeCell ref="B62:E65"/>
    <mergeCell ref="D50:E50"/>
    <mergeCell ref="D51:E51"/>
    <mergeCell ref="D52:E52"/>
    <mergeCell ref="D53:E53"/>
    <mergeCell ref="B56:E56"/>
    <mergeCell ref="B57:E57"/>
    <mergeCell ref="D49:E49"/>
    <mergeCell ref="B27:E27"/>
    <mergeCell ref="B29:E29"/>
    <mergeCell ref="B32:C32"/>
    <mergeCell ref="D32:E32"/>
    <mergeCell ref="B33:C42"/>
    <mergeCell ref="D33:E42"/>
    <mergeCell ref="B44:E44"/>
    <mergeCell ref="D45:E45"/>
    <mergeCell ref="D46:E46"/>
    <mergeCell ref="D47:E47"/>
    <mergeCell ref="D48:E48"/>
    <mergeCell ref="B26:E26"/>
    <mergeCell ref="D14:E14"/>
    <mergeCell ref="D15:E15"/>
    <mergeCell ref="D16:E16"/>
    <mergeCell ref="D17:E17"/>
    <mergeCell ref="B18:E18"/>
    <mergeCell ref="B19:E19"/>
    <mergeCell ref="B21:E21"/>
    <mergeCell ref="B22:E22"/>
    <mergeCell ref="B23:E23"/>
    <mergeCell ref="B24:E24"/>
    <mergeCell ref="B25:E25"/>
    <mergeCell ref="D13:E13"/>
    <mergeCell ref="B3:E3"/>
    <mergeCell ref="B7:E7"/>
    <mergeCell ref="C9:D9"/>
    <mergeCell ref="B11:E11"/>
    <mergeCell ref="D12:E12"/>
  </mergeCells>
  <conditionalFormatting sqref="C16:C17">
    <cfRule type="notContainsBlanks" dxfId="389" priority="1">
      <formula>LEN(TRIM(C16))&gt;0</formula>
    </cfRule>
  </conditionalFormatting>
  <conditionalFormatting sqref="E8 C9:D9 B19:E19 B23:E23 B25:E25 B27:E27 C30 E30 B33:E42 C46:D54 B58:E60 B62:E65">
    <cfRule type="notContainsBlanks" dxfId="388" priority="2">
      <formula>LEN(TRIM(B8))&gt;0</formula>
    </cfRule>
  </conditionalFormatting>
  <dataValidations count="7">
    <dataValidation type="whole" allowBlank="1" showInputMessage="1" showErrorMessage="1" error="EN: please enter a whole number_x000a_DE: Bitte geben Sie eine ganze Zahl ein" prompt="EN: please enter a valid number_x000a_DE: Bitte geben Sie eine plausible Zahl ein" sqref="C46" xr:uid="{00000000-0002-0000-2F00-000000000000}">
      <formula1>0</formula1>
      <formula2>1000000</formula2>
    </dataValidation>
    <dataValidation allowBlank="1" showInputMessage="1" showErrorMessage="1" error="EN: please enter a number_x000a_DE: Bitte geben Sie eine Zahl ein" prompt="EN: enter a Euro value_x000a_DE Geben Sie einen Wert in Euro an" sqref="C54" xr:uid="{00000000-0002-0000-2F00-000001000000}"/>
    <dataValidation allowBlank="1" error="EN: Enter a number _x000a_DE: Geben Sie eine Zahl ein" prompt="EN: Effort in person-days_x000a_DE: Aufwand in Personentagen" sqref="D46:E54" xr:uid="{00000000-0002-0000-2F00-000002000000}"/>
    <dataValidation type="whole" allowBlank="1" showInputMessage="1" showErrorMessage="1" error="EN: please enter a whole number_x000a_DE: Bitte geben Sie eine ganze Zahl ein" prompt="EN: please enter a valid number_x000a_DE: Bitte geben Sie eine plausible Zahl ein" sqref="C47" xr:uid="{00000000-0002-0000-2F00-000003000000}">
      <formula1>1</formula1>
      <formula2>1000000</formula2>
    </dataValidation>
    <dataValidation type="decimal" allowBlank="1" showInputMessage="1" showErrorMessage="1" error="EN: please enter a number_x000a_DE: Bitte geben Sie eine Zahl ein" prompt="EN: enter a Euro value_x000a_DE Geben Sie einen Wert in Euro an" sqref="C52:C53" xr:uid="{00000000-0002-0000-2F00-000004000000}">
      <formula1>1</formula1>
      <formula2>1000000000000</formula2>
    </dataValidation>
    <dataValidation type="decimal" allowBlank="1" showInputMessage="1" showErrorMessage="1" error="EN: Enter a number _x000a_DE: Geben Sie eine Zahl ein" prompt="EN: Effort in person-days_x000a_DE: Aufwand in Personentagen" sqref="C48:C49" xr:uid="{00000000-0002-0000-2F00-000005000000}">
      <formula1>1</formula1>
      <formula2>1000000000</formula2>
    </dataValidation>
    <dataValidation type="decimal" allowBlank="1" showInputMessage="1" showErrorMessage="1" error="EN: Enter a number_x000a_DE: Geben Sie eine Zahl ein" prompt="EN: Effort in person-days_x000a_DE: Aufwand in Personentagen" sqref="C49:C51" xr:uid="{00000000-0002-0000-2F00-000006000000}">
      <formula1>1</formula1>
      <formula2>1000000000</formula2>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2F00-000007000000}">
          <x14:formula1>
            <xm:f>'Control Values'!$B$14:$B$15</xm:f>
          </x14:formula1>
          <xm:sqref>E9</xm:sqref>
        </x14:dataValidation>
        <x14:dataValidation type="list" allowBlank="1" showInputMessage="1" showErrorMessage="1" xr:uid="{00000000-0002-0000-2F00-000008000000}">
          <x14:formula1>
            <xm:f>'Control Values'!$B$29:$B$34</xm:f>
          </x14:formula1>
          <xm:sqref>C17</xm:sqref>
        </x14:dataValidation>
        <x14:dataValidation type="list" allowBlank="1" showInputMessage="1" showErrorMessage="1" xr:uid="{00000000-0002-0000-2F00-000009000000}">
          <x14:formula1>
            <xm:f>'Control Values'!$B$23:$B$26</xm:f>
          </x14:formula1>
          <xm:sqref>C16</xm:sqref>
        </x14:dataValidation>
        <x14:dataValidation type="list" allowBlank="1" showInputMessage="1" showErrorMessage="1" xr:uid="{00000000-0002-0000-2F00-00000A000000}">
          <x14:formula1>
            <xm:f>'Control Values'!$B$18:$B$19</xm:f>
          </x14:formula1>
          <xm:sqref>C13:C15</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19C96-4D76-4D64-9B76-5EB69C26E84D}">
  <sheetPr codeName="Sheet85">
    <tabColor theme="9"/>
  </sheetPr>
  <dimension ref="A1:S60"/>
  <sheetViews>
    <sheetView zoomScale="80" zoomScaleNormal="80" workbookViewId="0">
      <selection activeCell="C10" sqref="C10"/>
    </sheetView>
  </sheetViews>
  <sheetFormatPr baseColWidth="10" defaultColWidth="11.5" defaultRowHeight="15"/>
  <cols>
    <col min="1" max="1" width="8.6640625" style="89" customWidth="1"/>
    <col min="2" max="2" width="11.5" style="89" customWidth="1"/>
    <col min="3" max="3" width="44.33203125" style="89" customWidth="1"/>
    <col min="4" max="4" width="23.1640625" style="89" customWidth="1"/>
    <col min="5" max="5" width="37.5" style="89" customWidth="1"/>
    <col min="6" max="6" width="32" style="89" customWidth="1"/>
    <col min="7" max="7" width="11.6640625" style="89" customWidth="1"/>
    <col min="8" max="11" width="32" style="89" customWidth="1"/>
    <col min="12" max="13" width="32.5" style="89" customWidth="1"/>
    <col min="14" max="14" width="26.1640625" style="89" customWidth="1"/>
    <col min="15" max="15" width="20" style="89" customWidth="1"/>
    <col min="16" max="17" width="11.5" style="89"/>
    <col min="18" max="18" width="8.5" style="89" customWidth="1"/>
    <col min="19" max="16384" width="11.5" style="89"/>
  </cols>
  <sheetData>
    <row r="1" spans="1:19" ht="19.5" customHeight="1" thickBot="1">
      <c r="B1" s="497" t="str">
        <f ca="1">COV!C20</f>
        <v>DECKBLATT BITTE VOLLSTÄNDIG AUSFÜLLEN!</v>
      </c>
      <c r="C1" s="459"/>
      <c r="D1" s="459"/>
      <c r="E1" s="459"/>
      <c r="F1" s="459"/>
      <c r="G1" s="459"/>
      <c r="H1" s="459"/>
      <c r="I1" s="459"/>
      <c r="J1" s="459"/>
      <c r="K1" s="459"/>
      <c r="L1" s="459"/>
      <c r="M1" s="459"/>
    </row>
    <row r="2" spans="1:19" ht="5.25" customHeight="1" thickTop="1"/>
    <row r="3" spans="1:19" ht="21">
      <c r="B3" s="2046" t="str">
        <f>Dictionary!B663&amp;" "&amp;'(7b) Project List'!A21&amp;", "&amp;EXP!D21&amp;": "&amp;EXP!C21</f>
        <v xml:space="preserve">Projektliste für Eintrag 13, : </v>
      </c>
      <c r="C3" s="2046"/>
      <c r="D3" s="2046"/>
      <c r="E3" s="2046"/>
      <c r="F3" s="2046"/>
      <c r="G3" s="2046"/>
      <c r="H3" s="2046"/>
      <c r="I3" s="2046"/>
      <c r="J3" s="2046"/>
      <c r="K3" s="2046"/>
      <c r="L3" s="2046"/>
      <c r="M3" s="2046"/>
    </row>
    <row r="4" spans="1:19" ht="21">
      <c r="B4" s="488"/>
      <c r="C4" s="488"/>
      <c r="D4" s="488"/>
      <c r="E4" s="488"/>
      <c r="F4" s="488"/>
      <c r="G4" s="488"/>
      <c r="H4" s="488"/>
      <c r="I4" s="488"/>
      <c r="J4" s="488"/>
      <c r="K4" s="488"/>
      <c r="L4" s="488"/>
      <c r="M4" s="488"/>
    </row>
    <row r="5" spans="1:19" ht="21">
      <c r="B5" s="489" t="str">
        <f>EXP!B5</f>
        <v xml:space="preserve"> , Level A, Projekt Management, Erstzertifizierung</v>
      </c>
      <c r="C5" s="490"/>
      <c r="D5" s="490"/>
      <c r="E5" s="490"/>
      <c r="F5" s="490"/>
      <c r="G5" s="490"/>
      <c r="H5" s="490"/>
      <c r="I5" s="490"/>
      <c r="J5" s="490"/>
      <c r="K5" s="490"/>
      <c r="L5" s="490"/>
      <c r="M5" s="490"/>
    </row>
    <row r="6" spans="1:19" ht="15" customHeight="1">
      <c r="A6" s="1284"/>
      <c r="B6" s="554"/>
      <c r="C6" s="554"/>
      <c r="D6" s="554"/>
      <c r="E6" s="554"/>
      <c r="F6" s="554"/>
      <c r="G6" s="554"/>
      <c r="H6" s="554"/>
      <c r="I6" s="554"/>
      <c r="J6" s="554"/>
      <c r="K6" s="554"/>
      <c r="L6" s="554"/>
      <c r="M6" s="554"/>
      <c r="N6" s="554"/>
      <c r="O6" s="554"/>
      <c r="P6" s="554"/>
      <c r="Q6" s="554"/>
      <c r="R6" s="554"/>
      <c r="S6" s="554"/>
    </row>
    <row r="7" spans="1:19" ht="24">
      <c r="A7" s="1284"/>
      <c r="B7" s="2171" t="str">
        <f>Dictionary!B665</f>
        <v>Nr.</v>
      </c>
      <c r="C7" s="2166" t="str">
        <f>Dictionary!B666</f>
        <v>Projektname</v>
      </c>
      <c r="D7" s="2166" t="str">
        <f>Dictionary!B667</f>
        <v>PM Domäne</v>
      </c>
      <c r="E7" s="2166" t="s">
        <v>269</v>
      </c>
      <c r="F7" s="2166" t="str">
        <f>Dictionary!B676</f>
        <v>Projekt- / Programm Typ</v>
      </c>
      <c r="G7" s="2173" t="str">
        <f>Dictionary!B677</f>
        <v>Strategisch</v>
      </c>
      <c r="H7" s="2166" t="str">
        <f>Dictionary!B670</f>
        <v>Dauer</v>
      </c>
      <c r="I7" s="2166"/>
      <c r="J7" s="2166" t="str">
        <f>Dictionary!B671</f>
        <v>Gesamtaufwand [Personentage]:</v>
      </c>
      <c r="K7" s="2166"/>
      <c r="L7" s="2166" t="str">
        <f>Dictionary!B672</f>
        <v>Gesamtbudget [€]:</v>
      </c>
      <c r="M7" s="2175"/>
      <c r="N7" s="554"/>
      <c r="O7" s="554"/>
      <c r="P7" s="554"/>
      <c r="Q7" s="554"/>
      <c r="R7" s="554"/>
      <c r="S7" s="554"/>
    </row>
    <row r="8" spans="1:19" ht="24">
      <c r="A8" s="1284"/>
      <c r="B8" s="2172"/>
      <c r="C8" s="2167"/>
      <c r="D8" s="2167"/>
      <c r="E8" s="2167"/>
      <c r="F8" s="2167"/>
      <c r="G8" s="2174"/>
      <c r="H8" s="1305" t="str">
        <f>Dictionary!B668</f>
        <v>Startdatum</v>
      </c>
      <c r="I8" s="1305" t="str">
        <f>Dictionary!B669</f>
        <v>Endtermin</v>
      </c>
      <c r="J8" s="1305" t="str">
        <f>Dictionary!B673</f>
        <v>geplant</v>
      </c>
      <c r="K8" s="1305" t="str">
        <f>Dictionary!B674</f>
        <v>realisiert</v>
      </c>
      <c r="L8" s="1305" t="str">
        <f>Dictionary!B673</f>
        <v>geplant</v>
      </c>
      <c r="M8" s="1306" t="str">
        <f>Dictionary!B674</f>
        <v>realisiert</v>
      </c>
      <c r="N8" s="554"/>
      <c r="O8" s="554"/>
      <c r="P8" s="554"/>
      <c r="Q8" s="554"/>
      <c r="R8" s="554"/>
      <c r="S8" s="554"/>
    </row>
    <row r="9" spans="1:19" ht="24" hidden="1">
      <c r="A9" s="1284"/>
      <c r="B9" s="1304" t="s">
        <v>2826</v>
      </c>
      <c r="C9" s="1297" t="s">
        <v>2827</v>
      </c>
      <c r="D9" s="1297" t="s">
        <v>2837</v>
      </c>
      <c r="E9" s="1297" t="s">
        <v>2828</v>
      </c>
      <c r="F9" s="1297" t="s">
        <v>2829</v>
      </c>
      <c r="G9" s="1298" t="s">
        <v>2830</v>
      </c>
      <c r="H9" s="1299" t="s">
        <v>2831</v>
      </c>
      <c r="I9" s="1299" t="s">
        <v>2832</v>
      </c>
      <c r="J9" s="1300" t="s">
        <v>2833</v>
      </c>
      <c r="K9" s="1300" t="s">
        <v>2834</v>
      </c>
      <c r="L9" s="1300" t="s">
        <v>2835</v>
      </c>
      <c r="M9" s="1300" t="s">
        <v>2836</v>
      </c>
      <c r="N9" s="554"/>
      <c r="O9" s="554"/>
      <c r="P9" s="554"/>
      <c r="Q9" s="554"/>
      <c r="R9" s="554"/>
      <c r="S9" s="554"/>
    </row>
    <row r="10" spans="1:19" ht="24">
      <c r="A10" s="1284"/>
      <c r="B10" s="1292">
        <v>1</v>
      </c>
      <c r="C10" s="1291"/>
      <c r="D10" s="1291"/>
      <c r="E10" s="1291"/>
      <c r="F10" s="1291"/>
      <c r="G10" s="1296"/>
      <c r="H10" s="1307"/>
      <c r="I10" s="1308"/>
      <c r="J10" s="1321"/>
      <c r="K10" s="1321"/>
      <c r="L10" s="1293"/>
      <c r="M10" s="1293"/>
      <c r="N10" s="554"/>
      <c r="O10" s="554"/>
      <c r="P10" s="554"/>
      <c r="Q10" s="554"/>
      <c r="R10" s="554"/>
      <c r="S10" s="554"/>
    </row>
    <row r="11" spans="1:19" ht="24">
      <c r="A11" s="1284"/>
      <c r="B11" s="1292">
        <v>2</v>
      </c>
      <c r="C11" s="1291"/>
      <c r="D11" s="1291"/>
      <c r="E11" s="1291"/>
      <c r="F11" s="1291"/>
      <c r="G11" s="1296"/>
      <c r="H11" s="1309"/>
      <c r="I11" s="1310"/>
      <c r="J11" s="1321"/>
      <c r="K11" s="1321"/>
      <c r="L11" s="1293"/>
      <c r="M11" s="1293"/>
      <c r="N11" s="554"/>
      <c r="O11" s="554"/>
      <c r="P11" s="554"/>
      <c r="Q11" s="554"/>
      <c r="R11" s="554"/>
      <c r="S11" s="554"/>
    </row>
    <row r="12" spans="1:19" ht="24">
      <c r="A12" s="1284"/>
      <c r="B12" s="1292">
        <v>3</v>
      </c>
      <c r="C12" s="1291"/>
      <c r="D12" s="1291"/>
      <c r="E12" s="1291"/>
      <c r="F12" s="1291"/>
      <c r="G12" s="1296"/>
      <c r="H12" s="1309"/>
      <c r="I12" s="1310"/>
      <c r="J12" s="1321"/>
      <c r="K12" s="1321"/>
      <c r="L12" s="1293"/>
      <c r="M12" s="1293"/>
      <c r="N12" s="554"/>
      <c r="O12" s="554"/>
      <c r="P12" s="554"/>
      <c r="Q12" s="554"/>
      <c r="R12" s="554"/>
      <c r="S12" s="554"/>
    </row>
    <row r="13" spans="1:19" ht="24">
      <c r="A13" s="1284"/>
      <c r="B13" s="1292">
        <v>4</v>
      </c>
      <c r="C13" s="1291"/>
      <c r="D13" s="1291"/>
      <c r="E13" s="1291"/>
      <c r="F13" s="1291"/>
      <c r="G13" s="1296"/>
      <c r="H13" s="1309"/>
      <c r="I13" s="1310"/>
      <c r="J13" s="1321"/>
      <c r="K13" s="1321"/>
      <c r="L13" s="1293"/>
      <c r="M13" s="1293"/>
      <c r="N13" s="554"/>
      <c r="O13" s="554"/>
      <c r="P13" s="554"/>
      <c r="Q13" s="554"/>
      <c r="R13" s="554"/>
      <c r="S13" s="554"/>
    </row>
    <row r="14" spans="1:19" ht="24">
      <c r="A14" s="1284"/>
      <c r="B14" s="1292">
        <v>5</v>
      </c>
      <c r="C14" s="1291"/>
      <c r="D14" s="1291"/>
      <c r="E14" s="1291"/>
      <c r="F14" s="1291"/>
      <c r="G14" s="1296"/>
      <c r="H14" s="1309"/>
      <c r="I14" s="1310"/>
      <c r="J14" s="1321"/>
      <c r="K14" s="1321"/>
      <c r="L14" s="1293"/>
      <c r="M14" s="1293"/>
      <c r="N14" s="554"/>
      <c r="O14" s="554"/>
      <c r="P14" s="554"/>
      <c r="Q14" s="554"/>
      <c r="R14" s="554"/>
      <c r="S14" s="554"/>
    </row>
    <row r="15" spans="1:19" ht="24">
      <c r="A15" s="1284"/>
      <c r="B15" s="1292">
        <v>6</v>
      </c>
      <c r="C15" s="1291"/>
      <c r="D15" s="1291"/>
      <c r="E15" s="1291"/>
      <c r="F15" s="1291"/>
      <c r="G15" s="1296"/>
      <c r="H15" s="1309"/>
      <c r="I15" s="1310"/>
      <c r="J15" s="1321"/>
      <c r="K15" s="1321"/>
      <c r="L15" s="1293"/>
      <c r="M15" s="1293"/>
      <c r="N15" s="554"/>
      <c r="O15" s="554"/>
      <c r="P15" s="554"/>
      <c r="Q15" s="554"/>
      <c r="R15" s="554"/>
      <c r="S15" s="554"/>
    </row>
    <row r="16" spans="1:19" ht="24">
      <c r="A16" s="1284"/>
      <c r="B16" s="1292">
        <v>7</v>
      </c>
      <c r="C16" s="1291"/>
      <c r="D16" s="1291"/>
      <c r="E16" s="1291"/>
      <c r="F16" s="1291"/>
      <c r="G16" s="1296"/>
      <c r="H16" s="1309"/>
      <c r="I16" s="1310"/>
      <c r="J16" s="1321"/>
      <c r="K16" s="1321"/>
      <c r="L16" s="1293"/>
      <c r="M16" s="1293"/>
      <c r="N16" s="554"/>
      <c r="O16" s="554"/>
      <c r="P16" s="554"/>
      <c r="Q16" s="554"/>
      <c r="R16" s="554"/>
      <c r="S16" s="554"/>
    </row>
    <row r="17" spans="1:19" ht="24">
      <c r="A17" s="1284"/>
      <c r="B17" s="1292">
        <v>8</v>
      </c>
      <c r="C17" s="1291"/>
      <c r="D17" s="1291"/>
      <c r="E17" s="1291"/>
      <c r="F17" s="1291"/>
      <c r="G17" s="1296"/>
      <c r="H17" s="1309"/>
      <c r="I17" s="1310"/>
      <c r="J17" s="1321"/>
      <c r="K17" s="1321"/>
      <c r="L17" s="1293"/>
      <c r="M17" s="1293"/>
      <c r="N17" s="554"/>
      <c r="O17" s="554"/>
      <c r="P17" s="554"/>
      <c r="Q17" s="554"/>
      <c r="R17" s="554"/>
      <c r="S17" s="554"/>
    </row>
    <row r="18" spans="1:19" ht="24">
      <c r="A18" s="1284"/>
      <c r="B18" s="1292">
        <v>9</v>
      </c>
      <c r="C18" s="1291"/>
      <c r="D18" s="1291"/>
      <c r="E18" s="1291"/>
      <c r="F18" s="1291"/>
      <c r="G18" s="1296"/>
      <c r="H18" s="1309"/>
      <c r="I18" s="1310"/>
      <c r="J18" s="1321"/>
      <c r="K18" s="1321"/>
      <c r="L18" s="1293"/>
      <c r="M18" s="1293"/>
      <c r="N18" s="554"/>
      <c r="O18" s="554"/>
      <c r="P18" s="554"/>
      <c r="Q18" s="554"/>
      <c r="R18" s="554"/>
      <c r="S18" s="554"/>
    </row>
    <row r="19" spans="1:19" ht="24">
      <c r="A19" s="1284"/>
      <c r="B19" s="1292">
        <v>10</v>
      </c>
      <c r="C19" s="1291"/>
      <c r="D19" s="1291"/>
      <c r="E19" s="1291"/>
      <c r="F19" s="1291"/>
      <c r="G19" s="1296"/>
      <c r="H19" s="1309"/>
      <c r="I19" s="1310"/>
      <c r="J19" s="1321"/>
      <c r="K19" s="1321"/>
      <c r="L19" s="1293"/>
      <c r="M19" s="1293"/>
      <c r="N19" s="554"/>
      <c r="O19" s="554"/>
      <c r="P19" s="554"/>
      <c r="Q19" s="554"/>
      <c r="R19" s="554"/>
      <c r="S19" s="554"/>
    </row>
    <row r="20" spans="1:19" ht="24">
      <c r="A20" s="1284"/>
      <c r="B20" s="1292">
        <v>11</v>
      </c>
      <c r="C20" s="1291"/>
      <c r="D20" s="1291"/>
      <c r="E20" s="1291"/>
      <c r="F20" s="1291"/>
      <c r="G20" s="1296"/>
      <c r="H20" s="1309"/>
      <c r="I20" s="1310"/>
      <c r="J20" s="1321"/>
      <c r="K20" s="1321"/>
      <c r="L20" s="1293"/>
      <c r="M20" s="1293"/>
      <c r="N20" s="554"/>
      <c r="O20" s="554"/>
      <c r="P20" s="554"/>
      <c r="Q20" s="554"/>
      <c r="R20" s="554"/>
      <c r="S20" s="554"/>
    </row>
    <row r="21" spans="1:19" ht="24">
      <c r="A21" s="1284"/>
      <c r="B21" s="1292">
        <v>12</v>
      </c>
      <c r="C21" s="1291"/>
      <c r="D21" s="1291"/>
      <c r="E21" s="1291"/>
      <c r="F21" s="1291"/>
      <c r="G21" s="1296"/>
      <c r="H21" s="1309"/>
      <c r="I21" s="1310"/>
      <c r="J21" s="1321"/>
      <c r="K21" s="1321"/>
      <c r="L21" s="1293"/>
      <c r="M21" s="1293"/>
      <c r="N21" s="554"/>
      <c r="O21" s="554"/>
      <c r="P21" s="554"/>
      <c r="Q21" s="554"/>
      <c r="R21" s="554"/>
      <c r="S21" s="554"/>
    </row>
    <row r="22" spans="1:19" ht="24">
      <c r="A22" s="1284"/>
      <c r="B22" s="1292">
        <v>13</v>
      </c>
      <c r="C22" s="1291"/>
      <c r="D22" s="1291"/>
      <c r="E22" s="1291"/>
      <c r="F22" s="1291"/>
      <c r="G22" s="1296"/>
      <c r="H22" s="1309"/>
      <c r="I22" s="1310"/>
      <c r="J22" s="1321"/>
      <c r="K22" s="1321"/>
      <c r="L22" s="1293"/>
      <c r="M22" s="1293"/>
      <c r="N22" s="554"/>
      <c r="O22" s="554"/>
      <c r="P22" s="554"/>
      <c r="Q22" s="554"/>
      <c r="R22" s="554"/>
      <c r="S22" s="554"/>
    </row>
    <row r="23" spans="1:19" ht="24">
      <c r="A23" s="1284"/>
      <c r="B23" s="1292">
        <v>14</v>
      </c>
      <c r="C23" s="1291"/>
      <c r="D23" s="1291"/>
      <c r="E23" s="1291"/>
      <c r="F23" s="1291"/>
      <c r="G23" s="1296"/>
      <c r="H23" s="1309"/>
      <c r="I23" s="1310"/>
      <c r="J23" s="1321"/>
      <c r="K23" s="1321"/>
      <c r="L23" s="1293"/>
      <c r="M23" s="1293"/>
      <c r="N23" s="554"/>
      <c r="O23" s="554"/>
      <c r="P23" s="554"/>
      <c r="Q23" s="554"/>
      <c r="R23" s="554"/>
      <c r="S23" s="554"/>
    </row>
    <row r="24" spans="1:19" ht="24">
      <c r="A24" s="1284"/>
      <c r="B24" s="1292">
        <v>15</v>
      </c>
      <c r="C24" s="1291"/>
      <c r="D24" s="1291"/>
      <c r="E24" s="1291"/>
      <c r="F24" s="1291"/>
      <c r="G24" s="1296"/>
      <c r="H24" s="1309"/>
      <c r="I24" s="1310"/>
      <c r="J24" s="1321"/>
      <c r="K24" s="1321"/>
      <c r="L24" s="1293"/>
      <c r="M24" s="1293"/>
      <c r="N24" s="554"/>
      <c r="O24" s="554"/>
      <c r="P24" s="554"/>
      <c r="Q24" s="554"/>
      <c r="R24" s="554"/>
      <c r="S24" s="554"/>
    </row>
    <row r="25" spans="1:19" ht="24">
      <c r="A25" s="1284"/>
      <c r="B25" s="1292">
        <v>16</v>
      </c>
      <c r="C25" s="1291"/>
      <c r="D25" s="1291"/>
      <c r="E25" s="1291"/>
      <c r="F25" s="1291"/>
      <c r="G25" s="1296"/>
      <c r="H25" s="1309"/>
      <c r="I25" s="1310"/>
      <c r="J25" s="1321"/>
      <c r="K25" s="1321"/>
      <c r="L25" s="1293"/>
      <c r="M25" s="1293"/>
      <c r="N25" s="554"/>
      <c r="O25" s="554"/>
      <c r="P25" s="554"/>
      <c r="Q25" s="554"/>
      <c r="R25" s="554"/>
      <c r="S25" s="554"/>
    </row>
    <row r="26" spans="1:19" ht="24">
      <c r="A26" s="1284"/>
      <c r="B26" s="1292">
        <v>17</v>
      </c>
      <c r="C26" s="1291"/>
      <c r="D26" s="1291"/>
      <c r="E26" s="1291"/>
      <c r="F26" s="1291"/>
      <c r="G26" s="1296"/>
      <c r="H26" s="1309"/>
      <c r="I26" s="1310"/>
      <c r="J26" s="1321"/>
      <c r="K26" s="1321"/>
      <c r="L26" s="1293"/>
      <c r="M26" s="1293"/>
      <c r="N26" s="554"/>
      <c r="O26" s="554"/>
      <c r="P26" s="554"/>
      <c r="Q26" s="554"/>
      <c r="R26" s="554"/>
      <c r="S26" s="554"/>
    </row>
    <row r="27" spans="1:19" ht="24">
      <c r="A27" s="1284"/>
      <c r="B27" s="1292">
        <v>18</v>
      </c>
      <c r="C27" s="1291"/>
      <c r="D27" s="1291"/>
      <c r="E27" s="1291"/>
      <c r="F27" s="1291"/>
      <c r="G27" s="1296"/>
      <c r="H27" s="1309"/>
      <c r="I27" s="1310"/>
      <c r="J27" s="1321"/>
      <c r="K27" s="1321"/>
      <c r="L27" s="1293"/>
      <c r="M27" s="1293"/>
      <c r="N27" s="554"/>
      <c r="O27" s="554"/>
      <c r="P27" s="554"/>
      <c r="Q27" s="554"/>
      <c r="R27" s="554"/>
      <c r="S27" s="554"/>
    </row>
    <row r="28" spans="1:19" ht="24">
      <c r="A28" s="1284"/>
      <c r="B28" s="1292">
        <v>19</v>
      </c>
      <c r="C28" s="1291"/>
      <c r="D28" s="1291"/>
      <c r="E28" s="1291"/>
      <c r="F28" s="1291"/>
      <c r="G28" s="1296"/>
      <c r="H28" s="1309"/>
      <c r="I28" s="1310"/>
      <c r="J28" s="1321"/>
      <c r="K28" s="1321"/>
      <c r="L28" s="1293"/>
      <c r="M28" s="1293"/>
      <c r="N28" s="554"/>
      <c r="O28" s="554"/>
      <c r="P28" s="554"/>
      <c r="Q28" s="554"/>
      <c r="R28" s="554"/>
      <c r="S28" s="554"/>
    </row>
    <row r="29" spans="1:19" ht="24">
      <c r="A29" s="1284"/>
      <c r="B29" s="1292">
        <v>20</v>
      </c>
      <c r="C29" s="1291"/>
      <c r="D29" s="1291"/>
      <c r="E29" s="1291"/>
      <c r="F29" s="1291"/>
      <c r="G29" s="1296"/>
      <c r="H29" s="1309"/>
      <c r="I29" s="1310"/>
      <c r="J29" s="1321"/>
      <c r="K29" s="1321"/>
      <c r="L29" s="1293"/>
      <c r="M29" s="1293"/>
      <c r="N29" s="554"/>
      <c r="O29" s="554"/>
      <c r="P29" s="554"/>
      <c r="Q29" s="554"/>
      <c r="R29" s="554"/>
      <c r="S29" s="554"/>
    </row>
    <row r="30" spans="1:19" ht="24">
      <c r="A30" s="1284"/>
      <c r="B30" s="1292">
        <v>21</v>
      </c>
      <c r="C30" s="1291"/>
      <c r="D30" s="1291"/>
      <c r="E30" s="1291"/>
      <c r="F30" s="1291"/>
      <c r="G30" s="1296"/>
      <c r="H30" s="1309"/>
      <c r="I30" s="1310"/>
      <c r="J30" s="1321"/>
      <c r="K30" s="1321"/>
      <c r="L30" s="1293"/>
      <c r="M30" s="1293"/>
      <c r="N30" s="554"/>
      <c r="O30" s="554"/>
      <c r="P30" s="554"/>
      <c r="Q30" s="554"/>
      <c r="R30" s="554"/>
      <c r="S30" s="554"/>
    </row>
    <row r="31" spans="1:19" ht="24">
      <c r="A31" s="1284"/>
      <c r="B31" s="1292">
        <v>22</v>
      </c>
      <c r="C31" s="1291"/>
      <c r="D31" s="1291"/>
      <c r="E31" s="1291"/>
      <c r="F31" s="1291"/>
      <c r="G31" s="1296"/>
      <c r="H31" s="1309"/>
      <c r="I31" s="1310"/>
      <c r="J31" s="1321"/>
      <c r="K31" s="1321"/>
      <c r="L31" s="1293"/>
      <c r="M31" s="1293"/>
      <c r="N31" s="554"/>
      <c r="O31" s="554"/>
      <c r="P31" s="554"/>
      <c r="Q31" s="554"/>
      <c r="R31" s="554"/>
      <c r="S31" s="554"/>
    </row>
    <row r="32" spans="1:19" ht="24">
      <c r="A32" s="1284"/>
      <c r="B32" s="1292">
        <v>23</v>
      </c>
      <c r="C32" s="1291"/>
      <c r="D32" s="1291"/>
      <c r="E32" s="1291"/>
      <c r="F32" s="1291"/>
      <c r="G32" s="1296"/>
      <c r="H32" s="1309"/>
      <c r="I32" s="1310"/>
      <c r="J32" s="1321"/>
      <c r="K32" s="1321"/>
      <c r="L32" s="1293"/>
      <c r="M32" s="1293"/>
      <c r="N32" s="554"/>
      <c r="O32" s="554"/>
      <c r="P32" s="554"/>
      <c r="Q32" s="554"/>
      <c r="R32" s="554"/>
      <c r="S32" s="554"/>
    </row>
    <row r="33" spans="1:19" ht="24">
      <c r="A33" s="1284"/>
      <c r="B33" s="1292">
        <v>24</v>
      </c>
      <c r="C33" s="1291"/>
      <c r="D33" s="1291"/>
      <c r="E33" s="1291"/>
      <c r="F33" s="1291"/>
      <c r="G33" s="1296"/>
      <c r="H33" s="1309"/>
      <c r="I33" s="1310"/>
      <c r="J33" s="1321"/>
      <c r="K33" s="1321"/>
      <c r="L33" s="1293"/>
      <c r="M33" s="1293"/>
      <c r="N33" s="554"/>
      <c r="O33" s="554"/>
      <c r="P33" s="554"/>
      <c r="Q33" s="554"/>
      <c r="R33" s="554"/>
      <c r="S33" s="554"/>
    </row>
    <row r="34" spans="1:19" ht="24">
      <c r="A34" s="1284"/>
      <c r="B34" s="1292">
        <v>25</v>
      </c>
      <c r="C34" s="1291"/>
      <c r="D34" s="1291"/>
      <c r="E34" s="1291"/>
      <c r="F34" s="1291"/>
      <c r="G34" s="1296"/>
      <c r="H34" s="1309"/>
      <c r="I34" s="1310"/>
      <c r="J34" s="1321"/>
      <c r="K34" s="1321"/>
      <c r="L34" s="1293"/>
      <c r="M34" s="1293"/>
      <c r="N34" s="554"/>
      <c r="O34" s="554"/>
      <c r="P34" s="554"/>
      <c r="Q34" s="554"/>
      <c r="R34" s="554"/>
      <c r="S34" s="554"/>
    </row>
    <row r="35" spans="1:19" ht="24">
      <c r="A35" s="1284"/>
      <c r="B35" s="1292">
        <v>26</v>
      </c>
      <c r="C35" s="1291"/>
      <c r="D35" s="1291"/>
      <c r="E35" s="1291"/>
      <c r="F35" s="1291"/>
      <c r="G35" s="1296"/>
      <c r="H35" s="1309"/>
      <c r="I35" s="1310"/>
      <c r="J35" s="1321"/>
      <c r="K35" s="1321"/>
      <c r="L35" s="1293"/>
      <c r="M35" s="1293"/>
      <c r="N35" s="554"/>
      <c r="O35" s="554"/>
      <c r="P35" s="554"/>
      <c r="Q35" s="554"/>
      <c r="R35" s="554"/>
      <c r="S35" s="554"/>
    </row>
    <row r="36" spans="1:19" ht="24">
      <c r="A36" s="1284"/>
      <c r="B36" s="1292">
        <v>27</v>
      </c>
      <c r="C36" s="1291"/>
      <c r="D36" s="1291"/>
      <c r="E36" s="1291"/>
      <c r="F36" s="1291"/>
      <c r="G36" s="1296"/>
      <c r="H36" s="1309"/>
      <c r="I36" s="1310"/>
      <c r="J36" s="1321"/>
      <c r="K36" s="1321"/>
      <c r="L36" s="1293"/>
      <c r="M36" s="1293"/>
      <c r="N36" s="554"/>
      <c r="O36" s="554"/>
      <c r="P36" s="554"/>
      <c r="Q36" s="554"/>
      <c r="R36" s="554"/>
      <c r="S36" s="554"/>
    </row>
    <row r="37" spans="1:19" ht="24">
      <c r="A37" s="1284"/>
      <c r="B37" s="1292">
        <v>28</v>
      </c>
      <c r="C37" s="1291"/>
      <c r="D37" s="1291"/>
      <c r="E37" s="1291"/>
      <c r="F37" s="1291"/>
      <c r="G37" s="1296"/>
      <c r="H37" s="1309"/>
      <c r="I37" s="1310"/>
      <c r="J37" s="1321"/>
      <c r="K37" s="1321"/>
      <c r="L37" s="1293"/>
      <c r="M37" s="1293"/>
      <c r="N37" s="554"/>
      <c r="O37" s="554"/>
      <c r="P37" s="554"/>
      <c r="Q37" s="554"/>
      <c r="R37" s="554"/>
      <c r="S37" s="554"/>
    </row>
    <row r="38" spans="1:19" ht="24">
      <c r="A38" s="1284"/>
      <c r="B38" s="1292">
        <v>29</v>
      </c>
      <c r="C38" s="1291"/>
      <c r="D38" s="1291"/>
      <c r="E38" s="1291"/>
      <c r="F38" s="1291"/>
      <c r="G38" s="1296"/>
      <c r="H38" s="1309"/>
      <c r="I38" s="1310"/>
      <c r="J38" s="1321"/>
      <c r="K38" s="1321"/>
      <c r="L38" s="1293"/>
      <c r="M38" s="1293"/>
      <c r="N38" s="554"/>
      <c r="O38" s="554"/>
      <c r="P38" s="554"/>
      <c r="Q38" s="554"/>
      <c r="R38" s="554"/>
      <c r="S38" s="554"/>
    </row>
    <row r="39" spans="1:19" ht="24">
      <c r="A39" s="1284"/>
      <c r="B39" s="1292">
        <v>30</v>
      </c>
      <c r="C39" s="1311"/>
      <c r="D39" s="1311"/>
      <c r="E39" s="1311"/>
      <c r="F39" s="1311"/>
      <c r="G39" s="1312"/>
      <c r="H39" s="1313"/>
      <c r="I39" s="1314"/>
      <c r="J39" s="1322"/>
      <c r="K39" s="1322"/>
      <c r="L39" s="1315"/>
      <c r="M39" s="1315"/>
      <c r="N39" s="554"/>
      <c r="O39" s="554"/>
      <c r="P39" s="554"/>
      <c r="Q39" s="554"/>
      <c r="R39" s="554"/>
      <c r="S39" s="554"/>
    </row>
    <row r="40" spans="1:19" ht="24">
      <c r="A40" s="1284"/>
      <c r="B40" s="1301"/>
      <c r="C40" s="2168" t="str">
        <f>Dictionary!B675</f>
        <v xml:space="preserve">Programm / Portfolio Verwaltung </v>
      </c>
      <c r="D40" s="2169"/>
      <c r="E40" s="2169"/>
      <c r="F40" s="2169"/>
      <c r="G40" s="2170"/>
      <c r="H40" s="1319"/>
      <c r="I40" s="1320"/>
      <c r="J40" s="1323"/>
      <c r="K40" s="1323"/>
      <c r="L40" s="1294"/>
      <c r="M40" s="1295"/>
      <c r="N40" s="554"/>
      <c r="O40" s="554"/>
      <c r="P40" s="554"/>
      <c r="Q40" s="554"/>
      <c r="R40" s="554"/>
      <c r="S40" s="554"/>
    </row>
    <row r="41" spans="1:19" ht="24">
      <c r="A41" s="1284"/>
      <c r="B41" s="1302"/>
      <c r="C41" s="1316"/>
      <c r="D41" s="1316"/>
      <c r="E41" s="1316"/>
      <c r="F41" s="1316"/>
      <c r="G41" s="1316"/>
      <c r="H41" s="2176" t="s">
        <v>2825</v>
      </c>
      <c r="I41" s="2176"/>
      <c r="J41" s="1317">
        <f>SUM(J9:J40)</f>
        <v>0</v>
      </c>
      <c r="K41" s="1317">
        <f>SUM(K9:K40)</f>
        <v>0</v>
      </c>
      <c r="L41" s="1318">
        <f>SUM(L9:L40)</f>
        <v>0</v>
      </c>
      <c r="M41" s="1318">
        <f>SUM(M9:M40)</f>
        <v>0</v>
      </c>
      <c r="N41" s="554"/>
      <c r="O41" s="554"/>
      <c r="P41" s="554"/>
      <c r="Q41" s="554"/>
      <c r="R41" s="554"/>
      <c r="S41" s="554"/>
    </row>
    <row r="42" spans="1:19" ht="24">
      <c r="B42" s="554"/>
      <c r="C42" s="554"/>
      <c r="D42" s="554"/>
      <c r="E42" s="554"/>
      <c r="F42" s="554"/>
      <c r="G42" s="554"/>
      <c r="H42" s="554"/>
      <c r="I42" s="554"/>
      <c r="J42" s="554"/>
      <c r="K42" s="554"/>
      <c r="L42" s="554"/>
      <c r="M42" s="554"/>
    </row>
    <row r="43" spans="1:19" ht="17" thickBot="1">
      <c r="B43" s="460"/>
      <c r="C43" s="460"/>
      <c r="D43" s="460"/>
      <c r="E43" s="460"/>
      <c r="F43" s="460"/>
      <c r="G43" s="460"/>
      <c r="H43" s="460"/>
      <c r="I43" s="460"/>
      <c r="J43" s="460"/>
      <c r="K43" s="460"/>
      <c r="L43" s="460"/>
      <c r="M43" s="460"/>
    </row>
    <row r="44" spans="1:19">
      <c r="M44" s="464" t="s">
        <v>105</v>
      </c>
    </row>
    <row r="50" spans="3:6" hidden="1"/>
    <row r="51" spans="3:6" hidden="1">
      <c r="C51" s="2163" t="s">
        <v>249</v>
      </c>
      <c r="D51" s="2164"/>
      <c r="E51" s="2164"/>
      <c r="F51" s="2165"/>
    </row>
    <row r="52" spans="3:6" hidden="1">
      <c r="C52" s="240"/>
      <c r="D52" s="172"/>
      <c r="E52" s="241"/>
      <c r="F52" s="241"/>
    </row>
    <row r="53" spans="3:6" hidden="1">
      <c r="C53" s="1905" t="s">
        <v>970</v>
      </c>
      <c r="D53" s="172" t="s">
        <v>1037</v>
      </c>
      <c r="E53" s="241"/>
      <c r="F53" s="241"/>
    </row>
    <row r="54" spans="3:6" hidden="1">
      <c r="C54" s="1906" t="s">
        <v>1024</v>
      </c>
      <c r="D54" s="172"/>
      <c r="E54" s="241"/>
      <c r="F54" s="241"/>
    </row>
    <row r="55" spans="3:6" hidden="1">
      <c r="C55" s="1907" t="s">
        <v>1025</v>
      </c>
      <c r="D55" s="172"/>
      <c r="E55" s="241"/>
      <c r="F55" s="241"/>
    </row>
    <row r="56" spans="3:6" hidden="1">
      <c r="C56" s="240"/>
      <c r="D56" s="172"/>
      <c r="E56" s="241"/>
      <c r="F56" s="241"/>
    </row>
    <row r="57" spans="3:6" hidden="1">
      <c r="C57" s="240"/>
      <c r="D57" s="172"/>
      <c r="E57" s="241"/>
      <c r="F57" s="241"/>
    </row>
    <row r="58" spans="3:6" hidden="1">
      <c r="C58" s="240"/>
      <c r="D58" s="172"/>
      <c r="E58" s="241"/>
      <c r="F58" s="241"/>
    </row>
    <row r="59" spans="3:6" hidden="1">
      <c r="C59" s="242"/>
      <c r="D59" s="1303"/>
      <c r="E59" s="185"/>
      <c r="F59" s="185"/>
    </row>
    <row r="60" spans="3:6" hidden="1"/>
  </sheetData>
  <sheetProtection algorithmName="SHA-512" hashValue="JqbjJBnqwUpc3MiJo+ByeOGBzqDiofaLZC2tg3IV7V6oT4NhPtHvqQJ9jpzxy3m/99J8a1THs+Upz6zzZwHb0Q==" saltValue="PmR2Ij+qUTZNZ4cG4yXzPA==" spinCount="100000" sheet="1" objects="1" scenarios="1" selectLockedCells="1"/>
  <mergeCells count="13">
    <mergeCell ref="C40:G40"/>
    <mergeCell ref="H41:I41"/>
    <mergeCell ref="C51:F51"/>
    <mergeCell ref="B3:M3"/>
    <mergeCell ref="B7:B8"/>
    <mergeCell ref="C7:C8"/>
    <mergeCell ref="D7:D8"/>
    <mergeCell ref="E7:E8"/>
    <mergeCell ref="F7:F8"/>
    <mergeCell ref="G7:G8"/>
    <mergeCell ref="H7:I7"/>
    <mergeCell ref="J7:K7"/>
    <mergeCell ref="L7:M7"/>
  </mergeCells>
  <dataValidations count="6">
    <dataValidation type="date" operator="lessThan" allowBlank="1" showInputMessage="1" showErrorMessage="1" error="EN_x000a_End must occur after start._x000a__x000a_DE_x000a_Das Ende muss nach dem Start kommen._x000a_ " sqref="H10:H40" xr:uid="{00000000-0002-0000-3000-000000000000}">
      <formula1>I10</formula1>
    </dataValidation>
    <dataValidation type="date" operator="greaterThan" allowBlank="1" showInputMessage="1" showErrorMessage="1" error="EN_x000a_End must occur after start._x000a__x000a_DE_x000a_Das Ende muss nach dem Start kommen._x000a_ " sqref="I10:I40" xr:uid="{00000000-0002-0000-3000-000001000000}">
      <formula1>H10</formula1>
    </dataValidation>
    <dataValidation type="list" allowBlank="1" showInputMessage="1" showErrorMessage="1" sqref="G10:G39" xr:uid="{00000000-0002-0000-3000-000002000000}">
      <formula1>$D$53:$D$54</formula1>
    </dataValidation>
    <dataValidation type="list" allowBlank="1" showInputMessage="1" showErrorMessage="1" sqref="D10:D39" xr:uid="{00000000-0002-0000-3000-000003000000}">
      <formula1>$C$53:$C$55</formula1>
    </dataValidation>
    <dataValidation type="whole" operator="greaterThan" allowBlank="1" showInputMessage="1" showErrorMessage="1" error="Bitte eine ganze Zahl grösser als 0 eingeben!" sqref="J9:K40 M9:M40 L10:L40" xr:uid="{00000000-0002-0000-3000-000004000000}">
      <formula1>0</formula1>
    </dataValidation>
    <dataValidation type="whole" operator="greaterThan" allowBlank="1" showInputMessage="1" showErrorMessage="1" error="Bitte eine ganze Zahl grösser als 0 eingeben!" promptTitle="Investition" prompt="Unter Investition werden die gesamten Kosten verstanden, inkl.der personellen Aufwände." sqref="L9" xr:uid="{00000000-0002-0000-3000-000005000000}">
      <formula1>0</formula1>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000-000006000000}">
          <x14:formula1>
            <xm:f>'Control Values'!$B$23:$B$26</xm:f>
          </x14:formula1>
          <xm:sqref>F10:F39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dmin_CoverSheet">
    <tabColor theme="0" tint="-4.9958800012207406E-2"/>
  </sheetPr>
  <dimension ref="B1:AK212"/>
  <sheetViews>
    <sheetView zoomScale="90" zoomScaleNormal="90" workbookViewId="0">
      <selection activeCell="E5" sqref="E5:G5"/>
    </sheetView>
  </sheetViews>
  <sheetFormatPr baseColWidth="10" defaultColWidth="11.5" defaultRowHeight="15"/>
  <cols>
    <col min="1" max="1" width="2" style="172" customWidth="1"/>
    <col min="2" max="2" width="9.5" style="172" customWidth="1"/>
    <col min="3" max="3" width="43.33203125" style="172" customWidth="1"/>
    <col min="4" max="4" width="16" style="173" customWidth="1"/>
    <col min="5" max="5" width="27.5" style="172" customWidth="1"/>
    <col min="6" max="6" width="29.6640625" style="172" customWidth="1"/>
    <col min="7" max="7" width="9.33203125" style="172" customWidth="1"/>
    <col min="8" max="8" width="25" style="172" customWidth="1"/>
    <col min="9" max="9" width="6.6640625" style="172" customWidth="1"/>
    <col min="10" max="12" width="16.6640625" style="172" customWidth="1"/>
    <col min="13" max="13" width="35.83203125" style="172" customWidth="1"/>
    <col min="14" max="14" width="15" style="172" customWidth="1"/>
    <col min="15" max="15" width="19.1640625" style="172" customWidth="1"/>
    <col min="16" max="16" width="6.83203125" style="172" customWidth="1"/>
    <col min="17" max="17" width="4" style="172" customWidth="1"/>
    <col min="18" max="18" width="5" style="172" customWidth="1"/>
    <col min="19" max="19" width="10" style="172" customWidth="1"/>
    <col min="20" max="20" width="15.83203125" style="172" customWidth="1"/>
    <col min="21" max="21" width="1.6640625" style="172" customWidth="1"/>
    <col min="22" max="23" width="19" style="172" customWidth="1"/>
    <col min="24" max="24" width="10" style="172" customWidth="1"/>
    <col min="25" max="16384" width="11.5" style="172"/>
  </cols>
  <sheetData>
    <row r="1" spans="2:24" ht="63.75" customHeight="1" thickBot="1">
      <c r="B1" s="444"/>
      <c r="C1" s="444"/>
      <c r="D1" s="461"/>
      <c r="E1" s="444"/>
      <c r="F1" s="444"/>
      <c r="G1" s="444"/>
      <c r="H1" s="444"/>
      <c r="I1" s="444"/>
      <c r="J1" s="444"/>
      <c r="K1" s="444"/>
      <c r="L1" s="444"/>
      <c r="M1" s="444"/>
      <c r="N1" s="444"/>
      <c r="O1" s="444"/>
      <c r="P1" s="444"/>
      <c r="Q1" s="1985"/>
    </row>
    <row r="2" spans="2:24" ht="5.25" customHeight="1" thickTop="1">
      <c r="Q2" s="1985"/>
    </row>
    <row r="3" spans="2:24" ht="29">
      <c r="B3" s="1969" t="str">
        <f ca="1">IF(COMPROMISED="",Dictionary!B162,Dictionary!B211)</f>
        <v xml:space="preserve"> Leistungsnachweis für IPMA Zertifizierungen</v>
      </c>
      <c r="C3" s="1969"/>
      <c r="D3" s="1969"/>
      <c r="E3" s="1969"/>
      <c r="F3" s="1969"/>
      <c r="G3" s="1969"/>
      <c r="H3" s="1969"/>
      <c r="I3" s="1969"/>
      <c r="J3" s="1969"/>
      <c r="K3" s="1969"/>
      <c r="L3" s="1969"/>
      <c r="M3" s="1969"/>
      <c r="N3" s="1969"/>
      <c r="O3" s="1969"/>
      <c r="P3" s="1969"/>
      <c r="Q3" s="1985"/>
    </row>
    <row r="4" spans="2:24" ht="35.25" customHeight="1">
      <c r="Q4" s="1985"/>
    </row>
    <row r="5" spans="2:24" ht="21.75" customHeight="1">
      <c r="D5" s="174" t="s">
        <v>966</v>
      </c>
      <c r="E5" s="1955" t="s">
        <v>931</v>
      </c>
      <c r="F5" s="1956"/>
      <c r="G5" s="1957"/>
      <c r="Q5" s="1985"/>
    </row>
    <row r="6" spans="2:24" ht="21.75" customHeight="1">
      <c r="D6" s="174" t="str">
        <f>Dictionary!B163</f>
        <v xml:space="preserve">Nachname: </v>
      </c>
      <c r="E6" s="1955"/>
      <c r="F6" s="1956"/>
      <c r="G6" s="1957"/>
      <c r="H6"/>
      <c r="Q6" s="1985"/>
    </row>
    <row r="7" spans="2:24" ht="21.75" customHeight="1">
      <c r="D7" s="174" t="str">
        <f>Dictionary!B164</f>
        <v xml:space="preserve">Vorname: </v>
      </c>
      <c r="E7" s="1961"/>
      <c r="F7" s="1962"/>
      <c r="G7" s="1963"/>
      <c r="I7" s="1972" t="str">
        <f>Dictionary!B278&amp;" ("&amp;Dictionary!B215&amp;")"</f>
        <v>Auswertungshistorie (nur für die Zertifizierungsstelle und Assessoren)</v>
      </c>
      <c r="J7" s="1973"/>
      <c r="K7" s="1973"/>
      <c r="L7" s="1973"/>
      <c r="M7" s="1973"/>
      <c r="N7" s="1973"/>
      <c r="O7" s="1973"/>
      <c r="P7" s="1974"/>
      <c r="Q7" s="1985"/>
      <c r="S7" s="1996" t="str">
        <f>Dictionary!B216&amp;" ("&amp;Dictionary!B215&amp;")"</f>
        <v>Aktueller Status (nur für die Zertifizierungsstelle und Assessoren)</v>
      </c>
      <c r="T7" s="1997"/>
      <c r="U7" s="1997"/>
      <c r="V7" s="1997"/>
      <c r="W7" s="1997"/>
      <c r="X7" s="1998"/>
    </row>
    <row r="8" spans="2:24" ht="21.75" customHeight="1" thickBot="1">
      <c r="D8" s="174" t="str">
        <f>Dictionary!B165</f>
        <v xml:space="preserve">Geburtsdatum: </v>
      </c>
      <c r="E8" s="1964"/>
      <c r="F8" s="1962"/>
      <c r="G8" s="1963"/>
      <c r="I8" s="1398"/>
      <c r="J8" s="1403" t="str">
        <f>S13</f>
        <v>Lead Assessor:</v>
      </c>
      <c r="K8" s="1403" t="str">
        <f>S14</f>
        <v>Co Assessor:</v>
      </c>
      <c r="L8" s="1403" t="str">
        <f>S10</f>
        <v>Datum:</v>
      </c>
      <c r="M8" s="1403" t="str">
        <f>S11</f>
        <v>Prozessschritt:</v>
      </c>
      <c r="N8" s="1403" t="str">
        <f>Dictionary!B220</f>
        <v>Ergebnis:</v>
      </c>
      <c r="O8" s="1403" t="str">
        <f>S12</f>
        <v>Zert. Nummer:</v>
      </c>
      <c r="P8" s="1399"/>
      <c r="Q8" s="1985"/>
      <c r="S8" s="1989"/>
      <c r="T8" s="1980"/>
      <c r="U8" s="1286"/>
      <c r="V8" s="1286"/>
      <c r="W8" s="1286"/>
      <c r="X8" s="1287"/>
    </row>
    <row r="9" spans="2:24" ht="24" customHeight="1" thickTop="1" thickBot="1">
      <c r="D9" s="174" t="str">
        <f>Dictionary!B166</f>
        <v xml:space="preserve">Art der Anmeldung: </v>
      </c>
      <c r="E9" s="2009" t="s">
        <v>3722</v>
      </c>
      <c r="F9" s="2010"/>
      <c r="G9" s="2011"/>
      <c r="H9" s="213" t="str">
        <f>IF(COUNTIF(S65:T69,E9)=0,Dictionary!B213,"")</f>
        <v/>
      </c>
      <c r="I9" s="1398">
        <v>1</v>
      </c>
      <c r="J9" s="1404"/>
      <c r="K9" s="1404"/>
      <c r="L9" s="1405"/>
      <c r="M9" s="1404"/>
      <c r="N9" s="1404"/>
      <c r="O9" s="1404"/>
      <c r="P9" s="1399"/>
      <c r="Q9" s="1985"/>
      <c r="S9" s="1285"/>
      <c r="T9" s="2012" t="str">
        <f>IF(RE_CERT="",IF(UPGRADE_FLAG="",Dictionary!B201,Dictionary!B202),Dictionary!B203)</f>
        <v>Erstzertifizierung</v>
      </c>
      <c r="U9" s="2012"/>
      <c r="V9" s="2012"/>
      <c r="W9" s="2012"/>
      <c r="X9" s="1287"/>
    </row>
    <row r="10" spans="2:24" ht="24" customHeight="1" thickTop="1" thickBot="1">
      <c r="D10" s="174" t="str">
        <f>Dictionary!B167</f>
        <v xml:space="preserve">Datum der Anmeldung: </v>
      </c>
      <c r="E10" s="1964"/>
      <c r="F10" s="1962"/>
      <c r="G10" s="1963"/>
      <c r="I10" s="1398">
        <v>2</v>
      </c>
      <c r="J10" s="1404"/>
      <c r="K10" s="1404"/>
      <c r="L10" s="1405"/>
      <c r="M10" s="1404"/>
      <c r="N10" s="1404"/>
      <c r="O10" s="1404"/>
      <c r="P10" s="1399"/>
      <c r="Q10" s="1985"/>
      <c r="S10" s="1989" t="str">
        <f>Dictionary!B217</f>
        <v>Datum:</v>
      </c>
      <c r="T10" s="1980"/>
      <c r="U10" s="1286"/>
      <c r="V10" s="2015" t="str">
        <f>J106</f>
        <v/>
      </c>
      <c r="W10" s="2016"/>
      <c r="X10" s="1287"/>
    </row>
    <row r="11" spans="2:24" ht="24" customHeight="1" thickTop="1" thickBot="1">
      <c r="D11" s="174" t="str">
        <f>IF(RE_CERT="",Dictionary!B168,Dictionary!B169)</f>
        <v xml:space="preserve">Datum der Zertifizierung: </v>
      </c>
      <c r="E11" s="1964"/>
      <c r="F11" s="1967"/>
      <c r="G11" s="1968"/>
      <c r="I11" s="1398">
        <v>3</v>
      </c>
      <c r="J11" s="1404"/>
      <c r="K11" s="1404"/>
      <c r="L11" s="1405"/>
      <c r="M11" s="1404"/>
      <c r="N11" s="1404"/>
      <c r="O11" s="1404"/>
      <c r="P11" s="1399"/>
      <c r="Q11" s="1985"/>
      <c r="S11" s="1989" t="str">
        <f>Dictionary!B219</f>
        <v>Prozessschritt:</v>
      </c>
      <c r="T11" s="1980"/>
      <c r="U11" s="1286"/>
      <c r="V11" s="1999" t="str">
        <f>K106</f>
        <v/>
      </c>
      <c r="W11" s="2000"/>
      <c r="X11" s="1287"/>
    </row>
    <row r="12" spans="2:24" ht="24" customHeight="1" thickTop="1" thickBot="1">
      <c r="D12" s="443" t="str">
        <f>IF(PM_EXP_START_DATE="","",Dictionary!B170)</f>
        <v/>
      </c>
      <c r="E12" s="1958" t="str">
        <f>IF(APPLICATION_LVL="","",IF(RE_CERT="",IF(OR(E16="",E16=V67,E16=V68),"",IF(E11="","",EDATE(E11,-H66))),IF(E11="","",EDATE(E11,-H66))))</f>
        <v/>
      </c>
      <c r="F12" s="1959"/>
      <c r="G12" s="1960"/>
      <c r="I12" s="1398">
        <v>4</v>
      </c>
      <c r="J12" s="1404"/>
      <c r="K12" s="1404"/>
      <c r="L12" s="1405"/>
      <c r="M12" s="1404"/>
      <c r="N12" s="1404"/>
      <c r="O12" s="1404"/>
      <c r="P12" s="1399"/>
      <c r="Q12" s="1985"/>
      <c r="S12" s="1989" t="str">
        <f>Dictionary!B218</f>
        <v>Zert. Nummer:</v>
      </c>
      <c r="T12" s="1980"/>
      <c r="U12" s="1286"/>
      <c r="V12" s="1999" t="str">
        <f>L106</f>
        <v>Zert. Nummer:</v>
      </c>
      <c r="W12" s="2000"/>
      <c r="X12" s="1287"/>
    </row>
    <row r="13" spans="2:24" ht="24" customHeight="1" thickTop="1" thickBot="1">
      <c r="D13" s="443" t="str">
        <f>Dictionary!B171</f>
        <v xml:space="preserve">Nächstes Re-Zertifizierungsdatum: </v>
      </c>
      <c r="E13" s="1975" t="str">
        <f>IF(E11="","",DATE(YEAR(COV!E11)+5,MONTH(COV!E11),DAY(COV!E11)))</f>
        <v/>
      </c>
      <c r="F13" s="1976"/>
      <c r="G13" s="1977"/>
      <c r="I13" s="1398">
        <v>5</v>
      </c>
      <c r="J13" s="1404"/>
      <c r="K13" s="1404"/>
      <c r="L13" s="1405"/>
      <c r="M13" s="1404"/>
      <c r="N13" s="1404"/>
      <c r="O13" s="1404"/>
      <c r="P13" s="1399"/>
      <c r="Q13" s="1985"/>
      <c r="S13" s="1989" t="str">
        <f>Dictionary!B22</f>
        <v>Lead Assessor:</v>
      </c>
      <c r="T13" s="1980"/>
      <c r="U13" s="1286"/>
      <c r="V13" s="1999" t="str">
        <f>M106</f>
        <v>Lead Assessor:</v>
      </c>
      <c r="W13" s="2000"/>
      <c r="X13" s="1287"/>
    </row>
    <row r="14" spans="2:24" ht="24" customHeight="1" thickTop="1" thickBot="1">
      <c r="D14" s="173" t="s">
        <v>606</v>
      </c>
      <c r="I14" s="1398">
        <v>6</v>
      </c>
      <c r="J14" s="1404"/>
      <c r="K14" s="1404"/>
      <c r="L14" s="1405"/>
      <c r="M14" s="1404"/>
      <c r="N14" s="1404"/>
      <c r="O14" s="1404"/>
      <c r="P14" s="1399"/>
      <c r="Q14" s="1985"/>
      <c r="S14" s="1989" t="str">
        <f>Dictionary!B23</f>
        <v>Co Assessor:</v>
      </c>
      <c r="T14" s="1980"/>
      <c r="U14" s="1286"/>
      <c r="V14" s="1999" t="str">
        <f>O106</f>
        <v>Co Assessor:</v>
      </c>
      <c r="W14" s="2000"/>
      <c r="X14" s="1287"/>
    </row>
    <row r="15" spans="2:24" ht="24" customHeight="1" thickTop="1" thickBot="1">
      <c r="I15" s="1398">
        <v>7</v>
      </c>
      <c r="J15" s="1404"/>
      <c r="K15" s="1404"/>
      <c r="L15" s="1405"/>
      <c r="M15" s="1404"/>
      <c r="N15" s="1404"/>
      <c r="O15" s="1404"/>
      <c r="P15" s="1399"/>
      <c r="Q15" s="1985"/>
      <c r="S15" s="1989" t="s">
        <v>3979</v>
      </c>
      <c r="T15" s="1980"/>
      <c r="U15" s="1286"/>
      <c r="V15" s="1999" t="str">
        <f>IF(GC_Flag="",P65,L26)</f>
        <v>PM ZERT</v>
      </c>
      <c r="W15" s="2000"/>
      <c r="X15" s="1287"/>
    </row>
    <row r="16" spans="2:24" ht="24" customHeight="1" thickTop="1" thickBot="1">
      <c r="D16" s="174" t="str">
        <f>Dictionary!B173</f>
        <v xml:space="preserve">Antrag auf Level: </v>
      </c>
      <c r="E16" s="1986" t="s">
        <v>229</v>
      </c>
      <c r="F16" s="1987"/>
      <c r="G16" s="1988"/>
      <c r="H16" s="213" t="str">
        <f>IF(COUNTIF(V64:V68,APPLICATION_LVL)=0,Dictionary!B214,"")</f>
        <v/>
      </c>
      <c r="I16" s="1398">
        <v>8</v>
      </c>
      <c r="J16" s="1404"/>
      <c r="K16" s="1404"/>
      <c r="L16" s="1405"/>
      <c r="M16" s="1404"/>
      <c r="N16" s="1404"/>
      <c r="O16" s="1404"/>
      <c r="P16" s="1399"/>
      <c r="Q16" s="1985"/>
      <c r="S16" s="1989"/>
      <c r="T16" s="1980"/>
      <c r="U16" s="1286"/>
      <c r="V16" s="1999" t="str">
        <f>IF(IMPORT_IF_DESIG="","",IMPORT_IF_DESIG)</f>
        <v/>
      </c>
      <c r="W16" s="2000"/>
      <c r="X16" s="1287"/>
    </row>
    <row r="17" spans="3:24" ht="24" customHeight="1" thickTop="1" thickBot="1">
      <c r="D17" s="174" t="str">
        <f>Dictionary!B174</f>
        <v xml:space="preserve">Antrag auf Domäne: </v>
      </c>
      <c r="E17" s="1961" t="s">
        <v>972</v>
      </c>
      <c r="F17" s="1962"/>
      <c r="G17" s="1963"/>
      <c r="H17" s="213" t="str">
        <f>IF(DOMAIN="",Dictionary!B213,"")</f>
        <v/>
      </c>
      <c r="I17" s="1398">
        <v>9</v>
      </c>
      <c r="J17" s="1404"/>
      <c r="K17" s="1404"/>
      <c r="L17" s="1404"/>
      <c r="M17" s="1404"/>
      <c r="N17" s="1404"/>
      <c r="O17" s="1404"/>
      <c r="P17" s="1399"/>
      <c r="Q17" s="1985"/>
      <c r="S17" s="1285"/>
      <c r="T17" s="2022" t="str">
        <f>Dictionary!B225</f>
        <v>Bemerkungen:</v>
      </c>
      <c r="U17" s="2022"/>
      <c r="V17" s="2022"/>
      <c r="W17" s="2022"/>
      <c r="X17" s="1287"/>
    </row>
    <row r="18" spans="3:24" ht="24" customHeight="1" thickTop="1" thickBot="1">
      <c r="C18" s="174"/>
      <c r="D18" s="174" t="str">
        <f>Dictionary!B175</f>
        <v xml:space="preserve">Betrachtungszeitraum für PM Erfahrung*: </v>
      </c>
      <c r="E18" s="1993" t="s">
        <v>488</v>
      </c>
      <c r="F18" s="1994"/>
      <c r="G18" s="1995"/>
      <c r="I18" s="1398">
        <v>10</v>
      </c>
      <c r="J18" s="1404"/>
      <c r="K18" s="1404"/>
      <c r="L18" s="1404"/>
      <c r="M18" s="1404"/>
      <c r="N18" s="1404"/>
      <c r="O18" s="1404"/>
      <c r="P18" s="1399"/>
      <c r="Q18" s="1985"/>
      <c r="S18" s="1398"/>
      <c r="T18" s="2027"/>
      <c r="U18" s="2028"/>
      <c r="V18" s="2028"/>
      <c r="W18" s="2029"/>
      <c r="X18" s="1287"/>
    </row>
    <row r="19" spans="3:24" ht="24" customHeight="1" thickTop="1" thickBot="1">
      <c r="C19" s="2014" t="str">
        <f>Dictionary!B176</f>
        <v>*nur Level C-A und Re-Zert. Um eine Verlängerung des Betrachtungszeitraums zu beantragen, müssen Sie die PM-ZERT über alle mildernden Umstände informieren.</v>
      </c>
      <c r="D19" s="2014"/>
      <c r="E19" s="2014"/>
      <c r="F19" s="2014"/>
      <c r="G19" s="2014"/>
      <c r="I19" s="1398">
        <v>11</v>
      </c>
      <c r="J19" s="1404"/>
      <c r="K19" s="1404"/>
      <c r="L19" s="1404"/>
      <c r="M19" s="1404"/>
      <c r="N19" s="1404"/>
      <c r="O19" s="1404"/>
      <c r="P19" s="1399"/>
      <c r="Q19" s="1985"/>
      <c r="S19" s="1398"/>
      <c r="T19" s="2030"/>
      <c r="U19" s="2031"/>
      <c r="V19" s="2031"/>
      <c r="W19" s="2032"/>
      <c r="X19" s="1287"/>
    </row>
    <row r="20" spans="3:24" ht="24" customHeight="1" thickTop="1" thickBot="1">
      <c r="C20" s="1991" t="str">
        <f ca="1">IF(RE_CERT="X",IF(OR(E6="",E7="",E8="",E11="",E16=""),Dictionary!B206,IF(E11&lt;TODAY(),IF(E11&gt;EDATE(TODAY(),-6),Dictionary!B207&amp;DAY(EDATE(CERT_DATE_ENTRY,6))&amp;"."&amp;MONTH(EDATE(CERT_DATE_ENTRY,6))&amp;"."&amp;YEAR(EDATE(CERT_DATE_ENTRY,6)),Dictionary!B208),IF(E10="",Dictionary!B209,""))),IF(OR(E6="",E7="",E8="",,E10="",E16="",E11=""),Dictionary!B206,""))</f>
        <v>DECKBLATT BITTE VOLLSTÄNDIG AUSFÜLLEN!</v>
      </c>
      <c r="D20" s="1991"/>
      <c r="E20" s="1991"/>
      <c r="F20" s="1991"/>
      <c r="G20" s="1991"/>
      <c r="I20" s="1398">
        <v>12</v>
      </c>
      <c r="J20" s="1404"/>
      <c r="K20" s="1404"/>
      <c r="L20" s="1404"/>
      <c r="M20" s="1404"/>
      <c r="N20" s="1404"/>
      <c r="O20" s="1404"/>
      <c r="P20" s="1399"/>
      <c r="Q20" s="1985"/>
      <c r="S20" s="1398"/>
      <c r="T20" s="2030"/>
      <c r="U20" s="2031"/>
      <c r="V20" s="2031"/>
      <c r="W20" s="2032"/>
      <c r="X20" s="1287"/>
    </row>
    <row r="21" spans="3:24" ht="24" customHeight="1" thickTop="1" thickBot="1">
      <c r="C21" s="1954" t="str">
        <f ca="1">IF(COMPROMISED="",Dictionary!B210,Dictionary!B211)</f>
        <v>Achtung: Wenn Sie Arbeitsblätter löschen oder manipulieren, wird die Datei ungültig!</v>
      </c>
      <c r="D21" s="1954"/>
      <c r="E21" s="1954"/>
      <c r="F21" s="1954"/>
      <c r="G21" s="1954"/>
      <c r="I21" s="1398">
        <v>13</v>
      </c>
      <c r="J21" s="1404"/>
      <c r="K21" s="1404"/>
      <c r="L21" s="1404"/>
      <c r="M21" s="1404"/>
      <c r="N21" s="1404"/>
      <c r="O21" s="1404"/>
      <c r="P21" s="1399"/>
      <c r="Q21" s="1985"/>
      <c r="S21" s="1398"/>
      <c r="T21" s="2030"/>
      <c r="U21" s="2031"/>
      <c r="V21" s="2031"/>
      <c r="W21" s="2032"/>
      <c r="X21" s="1287"/>
    </row>
    <row r="22" spans="3:24" ht="24" customHeight="1" thickTop="1" thickBot="1">
      <c r="C22" s="1954"/>
      <c r="D22" s="1954"/>
      <c r="E22" s="1954"/>
      <c r="F22" s="1954"/>
      <c r="G22" s="1954"/>
      <c r="I22" s="1398">
        <v>14</v>
      </c>
      <c r="J22" s="1404"/>
      <c r="K22" s="1404"/>
      <c r="L22" s="1404"/>
      <c r="M22" s="1404"/>
      <c r="N22" s="1404"/>
      <c r="O22" s="1404"/>
      <c r="P22" s="1399"/>
      <c r="Q22" s="1985"/>
      <c r="S22" s="1398"/>
      <c r="T22" s="2030"/>
      <c r="U22" s="2031"/>
      <c r="V22" s="2031"/>
      <c r="W22" s="2032"/>
      <c r="X22" s="1287"/>
    </row>
    <row r="23" spans="3:24" ht="24" customHeight="1" thickTop="1" thickBot="1">
      <c r="C23" s="447" t="str">
        <f>Dictionary!B178</f>
        <v>Statistik</v>
      </c>
      <c r="D23" s="448" t="str">
        <f>Dictionary!B179</f>
        <v>Angaben</v>
      </c>
      <c r="E23" s="449"/>
      <c r="F23" s="448" t="str">
        <f>Dictionary!B180</f>
        <v>Erreichte Werte</v>
      </c>
      <c r="G23" s="450"/>
      <c r="I23" s="1398">
        <v>15</v>
      </c>
      <c r="J23" s="1404"/>
      <c r="K23" s="1404"/>
      <c r="L23" s="1404"/>
      <c r="M23" s="1404"/>
      <c r="N23" s="1404"/>
      <c r="O23" s="1404"/>
      <c r="P23" s="1399"/>
      <c r="Q23" s="1985"/>
      <c r="S23" s="1398"/>
      <c r="T23" s="2030"/>
      <c r="U23" s="2031"/>
      <c r="V23" s="2031"/>
      <c r="W23" s="2032"/>
      <c r="X23" s="1287"/>
    </row>
    <row r="24" spans="3:24" ht="24" customHeight="1" thickTop="1" thickBot="1">
      <c r="C24" s="451"/>
      <c r="D24" s="442"/>
      <c r="E24" s="442"/>
      <c r="F24" s="442"/>
      <c r="G24" s="452"/>
      <c r="I24" s="1398">
        <v>16</v>
      </c>
      <c r="J24" s="1404"/>
      <c r="K24" s="1404"/>
      <c r="L24" s="1404"/>
      <c r="M24" s="1404"/>
      <c r="N24" s="1404"/>
      <c r="O24" s="1404"/>
      <c r="P24" s="1399"/>
      <c r="Q24" s="1985"/>
      <c r="S24" s="1398"/>
      <c r="T24" s="2030"/>
      <c r="U24" s="2031"/>
      <c r="V24" s="2031"/>
      <c r="W24" s="2032"/>
      <c r="X24" s="1287"/>
    </row>
    <row r="25" spans="3:24" ht="24" customHeight="1" thickTop="1">
      <c r="C25" s="453" t="str">
        <f>IF(E16="","",IF(RE_CERT="",Dictionary!B182,Dictionary!B183))</f>
        <v>Angegebene Erfahrung:</v>
      </c>
      <c r="D25" s="437">
        <f ca="1">IF(OR(E16="",AND(RE_CERT="",OR(E16=V67,E16=V68))),"",IF(RE_CERT="",EXP!I27,IF(E11="",0,60-IF(E11-TODAY()&gt;0,ROUNDDOWN((E11-TODAY())/30,0),0))))</f>
        <v>0</v>
      </c>
      <c r="E25" s="440" t="str">
        <f>IF(AD65="","",IF(RE_CERT="",Dictionary!B188&amp;AD65&amp;Dictionary!B189,Dictionary!B190))</f>
        <v xml:space="preserve"> von min.60 Monaten</v>
      </c>
      <c r="F25" s="666">
        <f ca="1">IF(E16="","",IF(RE_CERT="",IF(AD65="",Dictionary!B18,IF(D25/AD65&gt;1,1,D25/AD65)),IF(D25/60&gt;1,1,D25/60)))</f>
        <v>0</v>
      </c>
      <c r="G25" s="452"/>
      <c r="I25" s="1398"/>
      <c r="J25" s="1286"/>
      <c r="K25" s="1286"/>
      <c r="L25" s="1286"/>
      <c r="M25" s="1286"/>
      <c r="N25" s="1286"/>
      <c r="O25" s="1286"/>
      <c r="P25" s="1399"/>
      <c r="Q25" s="1985"/>
      <c r="S25" s="1398"/>
      <c r="T25" s="2030"/>
      <c r="U25" s="2031"/>
      <c r="V25" s="2031"/>
      <c r="W25" s="2032"/>
      <c r="X25" s="1287"/>
    </row>
    <row r="26" spans="3:24" ht="24" customHeight="1">
      <c r="C26" s="453" t="str">
        <f>IF(E16="","",Dictionary!B184&amp;AD65&amp;Dictionary!B185)</f>
        <v>Aktiv als PM (min. 60 Monate):</v>
      </c>
      <c r="D26" s="441">
        <f>IF(OR(E16="",AND(RE_CERT="",OR(E16=V67,APPLICATION_LVL=V68))),"",EXP!I27)</f>
        <v>0</v>
      </c>
      <c r="E26" s="440" t="str">
        <f>IF(AD65="","","&gt;"&amp;AD65&amp;Dictionary!B191)</f>
        <v>&gt;60 Monate aktiv als PM</v>
      </c>
      <c r="F26" s="666">
        <f>IF(E16="","",IF(AD65="",Dictionary!B18,IF(D26/AD65&gt;1,1,D26/AD65)))</f>
        <v>0</v>
      </c>
      <c r="G26" s="452"/>
      <c r="I26" s="1398"/>
      <c r="J26" s="1286"/>
      <c r="K26" s="1704" t="str">
        <f>IF(GC_Flag="","","IPMA CB")</f>
        <v/>
      </c>
      <c r="L26" s="1981" t="s">
        <v>1976</v>
      </c>
      <c r="M26" s="1982"/>
      <c r="N26" s="1982"/>
      <c r="O26" s="1983"/>
      <c r="P26" s="1399"/>
      <c r="Q26" s="1985"/>
      <c r="S26" s="1398"/>
      <c r="T26" s="2030"/>
      <c r="U26" s="2031"/>
      <c r="V26" s="2031"/>
      <c r="W26" s="2032"/>
      <c r="X26" s="1287"/>
    </row>
    <row r="27" spans="3:24" ht="24" customHeight="1">
      <c r="C27" s="453" t="str">
        <f>IF(E16="","",IF(RE_CERT="",Dictionary!B186,Dictionary!B187))</f>
        <v>Angabe für Zertifizierung:</v>
      </c>
      <c r="D27" s="437" t="str">
        <f>IF(OR(E16="",AND(RE_CERT="",OR(E16=V67,APPLICATION_LVL=V68))),"",IF(RE_CERT="",L29,ROUNDDOWN(RCL!L6+RCT!L6+'EXP Eval'!AI37,0)))</f>
        <v/>
      </c>
      <c r="E27" s="440" t="str">
        <f>IF(AD65="","",IF(RE_CERT="",Dictionary!B192&amp;AD65&amp;Dictionary!B189,Dictionary!B193))</f>
        <v xml:space="preserve"> von 60 Monaten</v>
      </c>
      <c r="F27" s="666">
        <f>IF(E16="","",IF(AD65="",Dictionary!B18,IF(RE_CERT="",IF(D27="",0,IF(D27/36&gt;1,1,D27/36)),IF(D27="",0,IF(D27/175&gt;1,1,D27/175)))))</f>
        <v>0</v>
      </c>
      <c r="G27" s="452"/>
      <c r="I27" s="1398"/>
      <c r="J27" s="1990" t="str">
        <f>Dictionary!B222</f>
        <v>Verlängerung des Bewertungszeitr.:</v>
      </c>
      <c r="K27" s="1992"/>
      <c r="L27" s="1981" t="str">
        <f>IF(RE_CERT="",IF(E18=F66,"PLEASE EVALUATE",""),I67)</f>
        <v/>
      </c>
      <c r="M27" s="1982"/>
      <c r="N27" s="1982"/>
      <c r="O27" s="1983"/>
      <c r="P27" s="1399"/>
      <c r="Q27" s="1985"/>
      <c r="S27" s="1398"/>
      <c r="T27" s="2030"/>
      <c r="U27" s="2031"/>
      <c r="V27" s="2031"/>
      <c r="W27" s="2032"/>
      <c r="X27" s="1287"/>
    </row>
    <row r="28" spans="3:24" ht="24" customHeight="1">
      <c r="C28" s="1978" t="str">
        <f>IF(RE_CERT="","",Dictionary!B194)</f>
        <v/>
      </c>
      <c r="D28" s="1979"/>
      <c r="E28" s="1979"/>
      <c r="F28" s="1979"/>
      <c r="G28" s="452"/>
      <c r="I28" s="1398"/>
      <c r="J28" s="1980"/>
      <c r="K28" s="1980"/>
      <c r="L28" s="1286"/>
      <c r="M28" s="1286"/>
      <c r="N28" s="1286"/>
      <c r="O28" s="1286"/>
      <c r="P28" s="1399"/>
      <c r="Q28" s="1985"/>
      <c r="S28" s="1398"/>
      <c r="T28" s="2030"/>
      <c r="U28" s="2031"/>
      <c r="V28" s="2031"/>
      <c r="W28" s="2032"/>
      <c r="X28" s="1287"/>
    </row>
    <row r="29" spans="3:24" ht="24" customHeight="1">
      <c r="C29" s="454" t="str">
        <f>IF(RE_CERT="","",Dictionary!B195&amp;" 1:")</f>
        <v/>
      </c>
      <c r="D29" s="437" t="str">
        <f>IF(RE_CERT="","",Checks!U171+'EXP Eval'!AI37/5)</f>
        <v/>
      </c>
      <c r="E29" s="438" t="str">
        <f>IF(RE_CERT="","",Dictionary!B196)</f>
        <v/>
      </c>
      <c r="F29" s="439" t="str">
        <f>IF(RE_CERT="","",IF(D29="","",IF(D29/35&gt;1,1,D29/35)))</f>
        <v/>
      </c>
      <c r="G29" s="452"/>
      <c r="I29" s="1398"/>
      <c r="J29" s="1990" t="str">
        <f>Dictionary!B223</f>
        <v>Anerkannte PM Erfahrung (Monate):</v>
      </c>
      <c r="K29" s="1990"/>
      <c r="L29" s="2001" t="str">
        <f>IF(Assessor_Control="","",'EXP Eval'!AI35)</f>
        <v/>
      </c>
      <c r="M29" s="2001"/>
      <c r="N29" s="2001"/>
      <c r="O29" s="2001"/>
      <c r="P29" s="1399"/>
      <c r="Q29" s="1985"/>
      <c r="S29" s="1398"/>
      <c r="T29" s="2030"/>
      <c r="U29" s="2031"/>
      <c r="V29" s="2031"/>
      <c r="W29" s="2032"/>
      <c r="X29" s="1287"/>
    </row>
    <row r="30" spans="3:24" ht="24" customHeight="1">
      <c r="C30" s="454" t="str">
        <f>IF(RE_CERT="","",Dictionary!B195&amp;" 2:")</f>
        <v/>
      </c>
      <c r="D30" s="437" t="str">
        <f>IF(RE_CERT="","",Checks!V171+'EXP Eval'!AI37/5)</f>
        <v/>
      </c>
      <c r="E30" s="438" t="str">
        <f>IF(RE_CERT="","",Dictionary!B196)</f>
        <v/>
      </c>
      <c r="F30" s="439" t="str">
        <f>IF(RE_CERT="","",IF(D30="","",IF(D30/35&gt;1,1,D30/35)))</f>
        <v/>
      </c>
      <c r="G30" s="452"/>
      <c r="I30" s="1398"/>
      <c r="J30" s="1980"/>
      <c r="K30" s="1980"/>
      <c r="L30" s="2002"/>
      <c r="M30" s="2002"/>
      <c r="N30" s="2002"/>
      <c r="O30" s="2002"/>
      <c r="P30" s="1399"/>
      <c r="Q30" s="1985"/>
      <c r="S30" s="1398"/>
      <c r="T30" s="2030"/>
      <c r="U30" s="2031"/>
      <c r="V30" s="2031"/>
      <c r="W30" s="2032"/>
      <c r="X30" s="1287"/>
    </row>
    <row r="31" spans="3:24" ht="24" customHeight="1">
      <c r="C31" s="454" t="str">
        <f>IF(RE_CERT="","",Dictionary!B195&amp;" 3:")</f>
        <v/>
      </c>
      <c r="D31" s="437" t="str">
        <f>IF(RE_CERT="","",Checks!W171+'EXP Eval'!AI37/5)</f>
        <v/>
      </c>
      <c r="E31" s="438" t="str">
        <f>IF(RE_CERT="","",Dictionary!B196)</f>
        <v/>
      </c>
      <c r="F31" s="439" t="str">
        <f>IF(RE_CERT="","",IF(D31="","",IF(D31/35&gt;1,1,D31/35)))</f>
        <v/>
      </c>
      <c r="G31" s="452"/>
      <c r="I31" s="1398"/>
      <c r="J31" s="1397"/>
      <c r="K31" s="1286"/>
      <c r="L31" s="1286"/>
      <c r="M31" s="1286"/>
      <c r="N31" s="1286"/>
      <c r="O31" s="1286"/>
      <c r="P31" s="1399"/>
      <c r="Q31" s="1985"/>
      <c r="S31" s="1398"/>
      <c r="T31" s="2030"/>
      <c r="U31" s="2031"/>
      <c r="V31" s="2031"/>
      <c r="W31" s="2032"/>
      <c r="X31" s="1287"/>
    </row>
    <row r="32" spans="3:24" ht="24" customHeight="1">
      <c r="C32" s="454" t="str">
        <f>IF(RE_CERT="","",Dictionary!B195&amp;" 4:")</f>
        <v/>
      </c>
      <c r="D32" s="437" t="str">
        <f>IF(RE_CERT="","",Checks!X171+'EXP Eval'!AI37/5)</f>
        <v/>
      </c>
      <c r="E32" s="438" t="str">
        <f>IF(RE_CERT="","",Dictionary!B196)</f>
        <v/>
      </c>
      <c r="F32" s="439" t="str">
        <f>IF(RE_CERT="","",IF(D32="","",IF(D32/35&gt;1,1,D32/35)))</f>
        <v/>
      </c>
      <c r="G32" s="452"/>
      <c r="I32" s="1398"/>
      <c r="J32" s="1990" t="str">
        <f>Dictionary!B224</f>
        <v>Status:</v>
      </c>
      <c r="K32" s="1990"/>
      <c r="L32" s="2006" t="str">
        <f>IF(Assessor_Control="",Dictionary!B236,IF(AH66="",IF(RE_CERT="",Dictionary!B237,T9&amp;" "&amp;'F04 Eval'!K39),AH66&amp;Dictionary!B238&amp;AH65&amp;" CE."))</f>
        <v>Keine Bewertung vorhanden</v>
      </c>
      <c r="M32" s="2007"/>
      <c r="N32" s="2007"/>
      <c r="O32" s="2008"/>
      <c r="P32" s="1399"/>
      <c r="Q32" s="1985"/>
      <c r="S32" s="1398"/>
      <c r="T32" s="2030"/>
      <c r="U32" s="2031"/>
      <c r="V32" s="2031"/>
      <c r="W32" s="2032"/>
      <c r="X32" s="1287"/>
    </row>
    <row r="33" spans="2:24" ht="24" customHeight="1">
      <c r="C33" s="454" t="str">
        <f>IF(RE_CERT="","",Dictionary!B195&amp;" 5:")</f>
        <v/>
      </c>
      <c r="D33" s="437" t="str">
        <f>IF(RE_CERT="","",Checks!Y171+'EXP Eval'!AI37/5)</f>
        <v/>
      </c>
      <c r="E33" s="438" t="str">
        <f>IF(RE_CERT="","",Dictionary!B196)</f>
        <v/>
      </c>
      <c r="F33" s="439" t="str">
        <f>IF(RE_CERT="","",IF(D33="","",IF(D33/35&gt;1,1,D33/35)))</f>
        <v/>
      </c>
      <c r="G33" s="452"/>
      <c r="I33" s="1398"/>
      <c r="J33" s="1990" t="str">
        <f>Dictionary!B225</f>
        <v>Bemerkungen:</v>
      </c>
      <c r="K33" s="1990"/>
      <c r="L33" s="2003"/>
      <c r="M33" s="2004"/>
      <c r="N33" s="2004"/>
      <c r="O33" s="2005"/>
      <c r="P33" s="1399"/>
      <c r="Q33" s="1985"/>
      <c r="S33" s="1398"/>
      <c r="T33" s="2033"/>
      <c r="U33" s="2034"/>
      <c r="V33" s="2034"/>
      <c r="W33" s="2035"/>
      <c r="X33" s="1287"/>
    </row>
    <row r="34" spans="2:24" ht="24" customHeight="1">
      <c r="C34" s="455"/>
      <c r="D34" s="456"/>
      <c r="E34" s="457"/>
      <c r="F34" s="457"/>
      <c r="G34" s="458"/>
      <c r="I34" s="1400"/>
      <c r="J34" s="1401"/>
      <c r="K34" s="1401"/>
      <c r="L34" s="1401"/>
      <c r="M34" s="1401"/>
      <c r="N34" s="1401"/>
      <c r="O34" s="1401"/>
      <c r="P34" s="1402"/>
      <c r="Q34" s="1985"/>
      <c r="S34" s="1288"/>
      <c r="T34" s="1289"/>
      <c r="U34" s="1289"/>
      <c r="V34" s="1289"/>
      <c r="W34" s="1289"/>
      <c r="X34" s="1290"/>
    </row>
    <row r="35" spans="2:24" ht="28.5" customHeight="1">
      <c r="Q35" s="1985"/>
    </row>
    <row r="36" spans="2:24" ht="28.5" customHeight="1" thickBot="1">
      <c r="B36" s="445"/>
      <c r="C36" s="445"/>
      <c r="D36" s="446"/>
      <c r="E36" s="445"/>
      <c r="F36" s="445"/>
      <c r="G36" s="445"/>
      <c r="H36" s="445"/>
      <c r="I36" s="445"/>
      <c r="J36" s="445"/>
      <c r="K36" s="445"/>
      <c r="L36" s="445"/>
      <c r="M36" s="445"/>
      <c r="N36" s="445"/>
      <c r="O36" s="445"/>
      <c r="P36" s="445"/>
      <c r="Q36" s="1985"/>
    </row>
    <row r="37" spans="2:24">
      <c r="M37" s="465" t="s">
        <v>105</v>
      </c>
      <c r="N37" s="465" t="str" cm="1">
        <f t="array" ref="N37">LOOKUP(2,1/(Changes!A4:A58&lt;&gt;""),Changes!A4:A58)&amp;LOOKUP(2,1/(Changes!A4:A58&lt;&gt;""),Changes!B4:B58)</f>
        <v>V02R24</v>
      </c>
      <c r="O37" s="2026" cm="1">
        <f t="array" ref="O37">LOOKUP(2,1/(Changes!A4:A58&lt;&gt;""),Changes!C4:C58)</f>
        <v>46087</v>
      </c>
      <c r="P37" s="2026"/>
    </row>
    <row r="38" spans="2:24" s="175" customFormat="1" ht="12">
      <c r="B38" s="758"/>
      <c r="D38" s="176"/>
    </row>
    <row r="39" spans="2:24" s="175" customFormat="1" ht="12">
      <c r="B39" s="177"/>
      <c r="D39" s="176"/>
    </row>
    <row r="40" spans="2:24" s="175" customFormat="1" ht="12">
      <c r="B40" s="177"/>
      <c r="D40" s="176"/>
    </row>
    <row r="41" spans="2:24" s="175" customFormat="1" ht="12">
      <c r="B41" s="177"/>
      <c r="D41" s="176"/>
    </row>
    <row r="42" spans="2:24" s="175" customFormat="1" ht="12">
      <c r="B42" s="177"/>
      <c r="D42" s="176"/>
    </row>
    <row r="43" spans="2:24" s="175" customFormat="1" ht="12">
      <c r="B43" s="177"/>
      <c r="D43" s="176"/>
    </row>
    <row r="44" spans="2:24" s="175" customFormat="1" ht="12">
      <c r="B44" s="177"/>
      <c r="D44" s="176"/>
    </row>
    <row r="45" spans="2:24" s="175" customFormat="1" ht="12">
      <c r="B45" s="177"/>
      <c r="D45" s="176"/>
    </row>
    <row r="46" spans="2:24" s="175" customFormat="1" ht="12">
      <c r="B46" s="177"/>
      <c r="D46" s="176"/>
    </row>
    <row r="47" spans="2:24" s="175" customFormat="1" ht="12">
      <c r="B47" s="177"/>
      <c r="D47" s="176"/>
    </row>
    <row r="48" spans="2:24" s="175" customFormat="1" ht="12">
      <c r="B48" s="177"/>
      <c r="D48" s="176"/>
    </row>
    <row r="49" spans="2:34" s="175" customFormat="1" ht="12">
      <c r="B49" s="177"/>
      <c r="D49" s="176"/>
    </row>
    <row r="50" spans="2:34" s="175" customFormat="1" ht="12">
      <c r="B50" s="177"/>
      <c r="D50" s="176"/>
    </row>
    <row r="51" spans="2:34" s="175" customFormat="1" ht="12">
      <c r="B51" s="177"/>
      <c r="D51" s="176"/>
    </row>
    <row r="52" spans="2:34" s="178" customFormat="1" ht="12" customHeight="1">
      <c r="B52" s="177"/>
    </row>
    <row r="53" spans="2:34" s="178" customFormat="1" ht="12" customHeight="1">
      <c r="B53" s="179"/>
    </row>
    <row r="54" spans="2:34" s="178" customFormat="1" ht="12" customHeight="1">
      <c r="B54" s="179"/>
    </row>
    <row r="55" spans="2:34" s="178" customFormat="1" ht="12" customHeight="1">
      <c r="B55" s="179"/>
    </row>
    <row r="56" spans="2:34" s="178" customFormat="1" ht="12" customHeight="1">
      <c r="B56" s="179"/>
      <c r="C56" s="180"/>
    </row>
    <row r="57" spans="2:34" s="178" customFormat="1" ht="12" customHeight="1">
      <c r="B57" s="179"/>
    </row>
    <row r="58" spans="2:34" s="178" customFormat="1" ht="12" customHeight="1">
      <c r="B58" s="179"/>
    </row>
    <row r="59" spans="2:34" s="178" customFormat="1">
      <c r="B59" s="179"/>
    </row>
    <row r="60" spans="2:34" s="178" customFormat="1">
      <c r="B60" s="179"/>
    </row>
    <row r="61" spans="2:34" s="178" customFormat="1" hidden="1">
      <c r="B61" s="1839" t="s">
        <v>4152</v>
      </c>
    </row>
    <row r="62" spans="2:34" s="178" customFormat="1" hidden="1">
      <c r="B62" s="1839" t="s">
        <v>4152</v>
      </c>
      <c r="C62" s="2013" t="s">
        <v>690</v>
      </c>
      <c r="D62" s="2013"/>
      <c r="E62" s="2013"/>
      <c r="F62" s="2013"/>
      <c r="G62" s="2013"/>
      <c r="H62" s="2013"/>
      <c r="I62" s="2013"/>
      <c r="J62" s="2013"/>
      <c r="K62" s="2013"/>
      <c r="L62" s="2013"/>
      <c r="M62" s="2013"/>
      <c r="N62" s="2013"/>
      <c r="O62" s="2013"/>
      <c r="P62" s="2013"/>
      <c r="Q62" s="2013"/>
      <c r="R62" s="2013"/>
      <c r="S62" s="2013"/>
      <c r="T62" s="2013"/>
    </row>
    <row r="63" spans="2:34" s="178" customFormat="1" hidden="1">
      <c r="B63" s="1839" t="s">
        <v>4152</v>
      </c>
      <c r="V63" s="197" t="s">
        <v>718</v>
      </c>
      <c r="W63" s="2019" t="s">
        <v>492</v>
      </c>
      <c r="X63" s="2019"/>
      <c r="Y63" s="2019"/>
      <c r="Z63" s="2019"/>
      <c r="AB63" s="1984" t="s">
        <v>725</v>
      </c>
      <c r="AC63" s="1984"/>
      <c r="AD63" s="1984"/>
      <c r="AE63" s="1984"/>
      <c r="AG63" s="181" t="s">
        <v>740</v>
      </c>
      <c r="AH63" s="199"/>
    </row>
    <row r="64" spans="2:34" s="178" customFormat="1" hidden="1">
      <c r="B64" s="1839" t="s">
        <v>4152</v>
      </c>
      <c r="C64" s="1965" t="s">
        <v>485</v>
      </c>
      <c r="D64" s="1966"/>
      <c r="F64" s="1965" t="s">
        <v>489</v>
      </c>
      <c r="G64" s="1966"/>
      <c r="H64" s="181" t="s">
        <v>492</v>
      </c>
      <c r="I64" s="1965" t="s">
        <v>489</v>
      </c>
      <c r="J64" s="1966"/>
      <c r="L64" s="1965" t="s">
        <v>930</v>
      </c>
      <c r="M64" s="1966"/>
      <c r="N64" s="1406"/>
      <c r="O64" s="1833" t="s">
        <v>4133</v>
      </c>
      <c r="P64" s="1965" t="s">
        <v>4134</v>
      </c>
      <c r="Q64" s="1966"/>
      <c r="S64" s="1965" t="s">
        <v>604</v>
      </c>
      <c r="T64" s="1966"/>
      <c r="V64" s="198" t="str">
        <f>IF(GOIPJM_Flag="","A","")</f>
        <v>A</v>
      </c>
      <c r="W64" s="197" t="s">
        <v>722</v>
      </c>
      <c r="X64" s="197" t="s">
        <v>721</v>
      </c>
      <c r="Y64" s="197" t="s">
        <v>719</v>
      </c>
      <c r="Z64" s="197" t="s">
        <v>720</v>
      </c>
      <c r="AB64" s="181"/>
      <c r="AC64" s="181" t="s">
        <v>726</v>
      </c>
      <c r="AD64" s="181" t="s">
        <v>727</v>
      </c>
      <c r="AE64" s="181" t="s">
        <v>728</v>
      </c>
      <c r="AG64" s="199"/>
      <c r="AH64" s="199"/>
    </row>
    <row r="65" spans="2:37" hidden="1">
      <c r="B65" s="1839" t="s">
        <v>4152</v>
      </c>
      <c r="C65" s="182" t="s">
        <v>487</v>
      </c>
      <c r="D65" s="198" t="str">
        <f>IF(RE_CERT="",IF(OR(V10="",V11="",V13=""),"","X"),IF(OR(V10="",Lead_Assessor=""),"","X"))</f>
        <v/>
      </c>
      <c r="F65" s="182" t="str">
        <f>IF(AND(RE_CERT="",OR(NOT(LD_MODE=""),NOT(BAS_MODE=""))),"N/A","Standard")</f>
        <v>Standard</v>
      </c>
      <c r="G65" s="183">
        <f>IF(AC65="","",IF(RE_CERT="",AC65/12,5))</f>
        <v>12</v>
      </c>
      <c r="H65" s="172">
        <f>AC65</f>
        <v>144</v>
      </c>
      <c r="I65" s="1970" t="str">
        <f>Dictionary!B240</f>
        <v>Stattgegeben</v>
      </c>
      <c r="J65" s="1971"/>
      <c r="L65" s="1970" t="s">
        <v>931</v>
      </c>
      <c r="M65" s="1971"/>
      <c r="N65" s="173"/>
      <c r="O65" s="1832" t="s">
        <v>1976</v>
      </c>
      <c r="P65" s="1970" t="s">
        <v>1976</v>
      </c>
      <c r="Q65" s="1971"/>
      <c r="S65" s="1970" t="str">
        <f>Dictionary!B198</f>
        <v>Erstzertifizierung</v>
      </c>
      <c r="T65" s="1971"/>
      <c r="V65" s="198" t="str">
        <f>IF(GOIPJM_Flag="","B","")</f>
        <v>B</v>
      </c>
      <c r="W65" s="186">
        <f>IF(RE_CERT="",144,60)</f>
        <v>144</v>
      </c>
      <c r="X65" s="186">
        <f>IF(RE_CERT="",144,60)</f>
        <v>144</v>
      </c>
      <c r="Y65" s="186">
        <f>IF(RE_CERT="",60,30)</f>
        <v>60</v>
      </c>
      <c r="Z65" s="186">
        <f>IF(RE_CERT="",36,30)</f>
        <v>36</v>
      </c>
      <c r="AB65" s="199" t="s">
        <v>723</v>
      </c>
      <c r="AC65" s="186">
        <f>IF(E16=V66,W67,IF(E16=V65,W66,IF(E16=V64,W65,IF(AND(E16=V67,NOT(RE_CERT="")),W67,""))))</f>
        <v>144</v>
      </c>
      <c r="AD65" s="186">
        <f>IF(E16=V66,Y67,IF(E16=V65,Y66,IF(E16=V64,Y65,IF(AND(E16=V67,NOT(RE_CERT="")),Y67,""))))</f>
        <v>60</v>
      </c>
      <c r="AE65" s="186">
        <f>IF(E16=V66,Z67,IF(E16=V65,Z66,IF(E16=V64,Z65,IF(AND(E16=V67,NOT(RE_CERT="")),Z67,""))))</f>
        <v>36</v>
      </c>
      <c r="AG65" s="186" t="s">
        <v>742</v>
      </c>
      <c r="AH65" s="186">
        <f>IF(AND(LD_MODE="",BAS_MODE=""),SUM(Scoring!U196:U198),IF(BAS_MODE="",IF(BAS_D_MODE="",SUM('Level D Scoring'!R179:R181),SUM('Level BAS-D Scoring'!R179:R181)),SUM('BAS Scoring'!R179:R181)))</f>
        <v>0</v>
      </c>
      <c r="AK65" s="178"/>
    </row>
    <row r="66" spans="2:37" hidden="1">
      <c r="B66" s="1839" t="s">
        <v>4152</v>
      </c>
      <c r="C66" s="184" t="s">
        <v>736</v>
      </c>
      <c r="D66" s="198" t="str">
        <f>IF(RE_CERT="X",IF(OR(E6="",E7="",E8="",E11="",E16=""),"","X"),IF(OR(E6="",E7="",E8="",E10="",E11="",E16=""),"",IF(SHEET_ERROR_STATE="","X","")))</f>
        <v/>
      </c>
      <c r="F66" s="184" t="str">
        <f>IF(AND(RE_CERT="",OR(NOT(LD_MODE=""),NOT(BAS_MODE=""))),"","Extended")</f>
        <v>Extended</v>
      </c>
      <c r="G66" s="185">
        <f>IF(AC66="","",IF(RE_CERT="",AC66/12,8))</f>
        <v>12</v>
      </c>
      <c r="H66" s="186">
        <f>IF(E18=F66,IF(L27=I66,IF(G65="","",G65*12),IF(G66="","",G66*12)),IF(G65="","",G65*12))</f>
        <v>144</v>
      </c>
      <c r="I66" s="1970" t="str">
        <f>Dictionary!B241</f>
        <v>Abgelehnt</v>
      </c>
      <c r="J66" s="1971"/>
      <c r="L66" s="2020" t="s">
        <v>932</v>
      </c>
      <c r="M66" s="2021"/>
      <c r="N66" s="173"/>
      <c r="O66" s="1832" t="s">
        <v>3976</v>
      </c>
      <c r="P66" s="1970" t="str">
        <f t="shared" ref="P66:P75" si="0">IF(GC_Flag="","",O66)</f>
        <v/>
      </c>
      <c r="Q66" s="1971"/>
      <c r="S66" s="1970" t="str">
        <f>Dictionary!B199</f>
        <v>Höherzertifizierung</v>
      </c>
      <c r="T66" s="1971"/>
      <c r="V66" s="198" t="s">
        <v>119</v>
      </c>
      <c r="W66" s="186">
        <f>IF(RE_CERT="",96,60)</f>
        <v>96</v>
      </c>
      <c r="X66" s="186">
        <f>IF(RE_CERT="",144,60)</f>
        <v>144</v>
      </c>
      <c r="Y66" s="186">
        <f>IF(RE_CERT="",60,30)</f>
        <v>60</v>
      </c>
      <c r="Z66" s="186">
        <f>IF(RE_CERT="",36,30)</f>
        <v>36</v>
      </c>
      <c r="AB66" s="199" t="s">
        <v>724</v>
      </c>
      <c r="AC66" s="186">
        <f>IF(E16=V66,X67,IF(E16=V65,X66,IF(E16=V64,X65,IF(AND(E16=V67,NOT(RE_CERT="")),X67,""))))</f>
        <v>144</v>
      </c>
      <c r="AD66" s="186"/>
      <c r="AE66" s="186"/>
      <c r="AG66" s="186" t="s">
        <v>741</v>
      </c>
      <c r="AH66" s="186" t="str">
        <f>IF(AND(LD_MODE="",BAS_MODE=""),Scoring!X212,IF(BAS_MODE="",IF(BAS_D_MODE="",'Level D Scoring'!R182,'Level BAS-D Scoring'!R182),'BAS Scoring'!R182))</f>
        <v/>
      </c>
      <c r="AK66" s="178"/>
    </row>
    <row r="67" spans="2:37" hidden="1">
      <c r="B67" s="1839" t="s">
        <v>4152</v>
      </c>
      <c r="C67" s="184" t="s">
        <v>3625</v>
      </c>
      <c r="D67" s="198" t="str">
        <f ca="1">IF(INTEGR_CHECK!G121=0,"","X")</f>
        <v/>
      </c>
      <c r="I67" s="1970" t="str">
        <f>Dictionary!B242</f>
        <v>Nicht relevant</v>
      </c>
      <c r="J67" s="1971"/>
      <c r="L67" s="1970"/>
      <c r="M67" s="1971"/>
      <c r="N67" s="173"/>
      <c r="O67" s="1832" t="s">
        <v>3975</v>
      </c>
      <c r="P67" s="1970" t="str">
        <f t="shared" si="0"/>
        <v/>
      </c>
      <c r="Q67" s="1971"/>
      <c r="S67" s="2020" t="str">
        <f>Dictionary!B200</f>
        <v>Rezertifizierung</v>
      </c>
      <c r="T67" s="2021"/>
      <c r="V67" s="198" t="str">
        <f>IF(GOIPJM_Flag="",IF(SEGPMC_Flag="","D","D+"),"")</f>
        <v>D</v>
      </c>
      <c r="W67" s="186">
        <f>IF(RE_CERT="",72,60)</f>
        <v>72</v>
      </c>
      <c r="X67" s="186">
        <f>IF(RE_CERT="",120,60)</f>
        <v>120</v>
      </c>
      <c r="Y67" s="186">
        <f>IF(RE_CERT="",36,30)</f>
        <v>36</v>
      </c>
      <c r="Z67" s="186">
        <f>IF(RE_CERT="",36,30)</f>
        <v>36</v>
      </c>
      <c r="AK67" s="178"/>
    </row>
    <row r="68" spans="2:37" hidden="1">
      <c r="B68" s="1839" t="s">
        <v>4152</v>
      </c>
      <c r="C68" s="184" t="s">
        <v>605</v>
      </c>
      <c r="D68" s="198" t="str">
        <f>IF(E9=S67,"X","")</f>
        <v/>
      </c>
      <c r="F68" s="1965" t="s">
        <v>3622</v>
      </c>
      <c r="G68" s="1966"/>
      <c r="I68" s="1970" t="str">
        <f>Dictionary!B243</f>
        <v>Noch zu bestimmen</v>
      </c>
      <c r="J68" s="1971"/>
      <c r="L68" s="1970"/>
      <c r="M68" s="1971"/>
      <c r="N68" s="173"/>
      <c r="O68" s="1832" t="s">
        <v>3977</v>
      </c>
      <c r="P68" s="1970" t="str">
        <f t="shared" si="0"/>
        <v/>
      </c>
      <c r="Q68" s="1971"/>
      <c r="S68" s="1970" t="str">
        <f>IF(GC_Flag="","","Homologation")</f>
        <v/>
      </c>
      <c r="T68" s="1971"/>
      <c r="V68" s="198" t="str">
        <f>IF(AND(GC_Flag="",UPGRADE_FLAG="",RE_CERT=""),"BAS","")</f>
        <v>BAS</v>
      </c>
      <c r="AK68" s="178"/>
    </row>
    <row r="69" spans="2:37" hidden="1">
      <c r="B69" s="1839" t="s">
        <v>4152</v>
      </c>
      <c r="C69" s="184" t="s">
        <v>709</v>
      </c>
      <c r="D69" s="198" t="str">
        <f ca="1">IF(RE_CERT="X",IF(CERT_DATE_ENTRY&lt;TODAY(),IF(CERT_DATE_ENTRY&gt;EDATE(TODAY(),-6),"X",""),""),"")</f>
        <v/>
      </c>
      <c r="F69" s="1364">
        <f>IF(RE_CERT="",E10,E10-365)</f>
        <v>0</v>
      </c>
      <c r="G69" s="183" t="str">
        <f>IF(AC69="","",IF(RE_CERT="",AC69/12,5))</f>
        <v/>
      </c>
      <c r="I69" s="1970" t="str">
        <f>IF(E18=F66,"PLEASE EVALUATE","")</f>
        <v/>
      </c>
      <c r="J69" s="1971"/>
      <c r="L69" s="1970"/>
      <c r="M69" s="1971"/>
      <c r="N69" s="173"/>
      <c r="O69" s="1832" t="s">
        <v>3978</v>
      </c>
      <c r="P69" s="1970" t="str">
        <f t="shared" si="0"/>
        <v/>
      </c>
      <c r="Q69" s="1971"/>
      <c r="S69" s="1970"/>
      <c r="T69" s="1971"/>
      <c r="AK69" s="178"/>
    </row>
    <row r="70" spans="2:37" hidden="1">
      <c r="B70" s="1839" t="s">
        <v>4152</v>
      </c>
      <c r="F70" s="1364">
        <f>IF(RE_CERT="",CERT_DATE_ENTRY,EDATE(CERT_DATE_ENTRY,12))</f>
        <v>0</v>
      </c>
      <c r="G70" s="183" t="str">
        <f>IF(AC70="","",IF(RE_CERT="",AC70/12,5))</f>
        <v/>
      </c>
      <c r="O70" s="242" t="s">
        <v>602</v>
      </c>
      <c r="P70" s="1970" t="str">
        <f t="shared" si="0"/>
        <v/>
      </c>
      <c r="Q70" s="1971"/>
      <c r="V70" s="186" t="s">
        <v>732</v>
      </c>
      <c r="AK70" s="178"/>
    </row>
    <row r="71" spans="2:37" hidden="1">
      <c r="B71" s="1839" t="s">
        <v>4152</v>
      </c>
      <c r="C71" s="462" t="s">
        <v>1021</v>
      </c>
      <c r="D71" s="463" t="str">
        <f>IF(E12="","",E12+5*365.24)</f>
        <v/>
      </c>
      <c r="I71" s="2024" t="s">
        <v>3503</v>
      </c>
      <c r="J71" s="2024"/>
      <c r="O71" s="1832" t="s">
        <v>716</v>
      </c>
      <c r="P71" s="1970" t="str">
        <f t="shared" si="0"/>
        <v/>
      </c>
      <c r="Q71" s="1971"/>
      <c r="S71" s="1965" t="s">
        <v>969</v>
      </c>
      <c r="T71" s="1966"/>
      <c r="V71" s="198" t="str">
        <f>IF(E16=V64,"X","")</f>
        <v>X</v>
      </c>
      <c r="AK71" s="178"/>
    </row>
    <row r="72" spans="2:37" hidden="1">
      <c r="B72" s="1839" t="s">
        <v>4152</v>
      </c>
      <c r="C72" s="462" t="s">
        <v>1020</v>
      </c>
      <c r="D72" s="463" t="str">
        <f>IF(RE_CERT="","",CERT_DATE_ENTRY)</f>
        <v/>
      </c>
      <c r="I72" s="2025" t="str">
        <f>IF(AND(LD_MODE="",BAS_MODE="",BAS_D_MODE="",OR(UPGRADE_FLAG="",NOT(D_PLUS_UPGRADE_FLAG="")),RE_CERT=""),I75,I76)</f>
        <v>CSW (Workshop)</v>
      </c>
      <c r="J72" s="2025"/>
      <c r="O72" s="1832" t="s">
        <v>717</v>
      </c>
      <c r="P72" s="1970" t="str">
        <f t="shared" si="0"/>
        <v/>
      </c>
      <c r="Q72" s="1971"/>
      <c r="S72" s="186" t="str">
        <f>Dictionary!B26</f>
        <v>Projekt</v>
      </c>
      <c r="T72" s="186" t="s">
        <v>970</v>
      </c>
      <c r="V72" s="173"/>
      <c r="AK72" s="178"/>
    </row>
    <row r="73" spans="2:37" hidden="1">
      <c r="B73" s="1839" t="s">
        <v>4152</v>
      </c>
      <c r="K73" s="2024" t="s">
        <v>3949</v>
      </c>
      <c r="L73" s="2024"/>
      <c r="M73" s="2024"/>
      <c r="O73" s="1832" t="s">
        <v>734</v>
      </c>
      <c r="P73" s="1970" t="str">
        <f t="shared" si="0"/>
        <v/>
      </c>
      <c r="Q73" s="1971"/>
      <c r="S73" s="186" t="str">
        <f>IF(AND(OR(APPLICATION_LVL=V64,APPLICATION_LVL=V65),GC_Flag=""),Dictionary!B27,"")</f>
        <v>Programm</v>
      </c>
      <c r="T73" s="186" t="str">
        <f>IF(S73="","","PGM")</f>
        <v>PGM</v>
      </c>
      <c r="V73" s="186" t="s">
        <v>737</v>
      </c>
      <c r="AK73" s="178"/>
    </row>
    <row r="74" spans="2:37" hidden="1">
      <c r="B74" s="1839" t="s">
        <v>4152</v>
      </c>
      <c r="C74" s="530" t="s">
        <v>1085</v>
      </c>
      <c r="D74" s="198" t="str">
        <f>IF(E9=S66,"X","")</f>
        <v/>
      </c>
      <c r="I74" s="1965" t="s">
        <v>3490</v>
      </c>
      <c r="J74" s="1966"/>
      <c r="K74" s="1693" t="s">
        <v>3950</v>
      </c>
      <c r="L74" s="1693" t="s">
        <v>3951</v>
      </c>
      <c r="M74" s="1694" t="s">
        <v>3573</v>
      </c>
      <c r="N74" s="197" t="s">
        <v>505</v>
      </c>
      <c r="O74" s="1832" t="s">
        <v>735</v>
      </c>
      <c r="P74" s="1970" t="str">
        <f t="shared" si="0"/>
        <v/>
      </c>
      <c r="Q74" s="1971"/>
      <c r="S74" s="186" t="str">
        <f>IF(AND(OR(APPLICATION_LVL=V64,APPLICATION_LVL=V65),GC_Flag=""),Dictionary!B28,"")</f>
        <v>Portfolio</v>
      </c>
      <c r="T74" s="186" t="str">
        <f>IF(S74="","","PFM")</f>
        <v>PFM</v>
      </c>
      <c r="V74" s="198" t="str">
        <f>IF(E16=V67,"X","")</f>
        <v/>
      </c>
      <c r="AK74" s="178"/>
    </row>
    <row r="75" spans="2:37" hidden="1">
      <c r="B75" s="1839" t="s">
        <v>4152</v>
      </c>
      <c r="C75" s="186" t="s">
        <v>3487</v>
      </c>
      <c r="D75" s="198" t="str">
        <f>IF(AND(LD_MODE="",BAS_MODE="",BAS_D_MODE="",Scoring!W3=COV!I75),"X","")</f>
        <v>X</v>
      </c>
      <c r="I75" s="1970" t="s">
        <v>3493</v>
      </c>
      <c r="J75" s="1971"/>
      <c r="K75" s="462"/>
      <c r="L75" s="186"/>
      <c r="M75" s="198" t="str">
        <f>NEXT_UP</f>
        <v>Zulassung</v>
      </c>
      <c r="N75" s="198" t="s">
        <v>3482</v>
      </c>
      <c r="O75" s="1832" t="s">
        <v>603</v>
      </c>
      <c r="P75" s="1970" t="str">
        <f t="shared" si="0"/>
        <v/>
      </c>
      <c r="Q75" s="1971"/>
      <c r="S75" s="186" t="str">
        <f>IF(D96="",IF(AND(APPLICATION_LVL=V66,GC_Flag=""),"PMO",""),"")</f>
        <v/>
      </c>
      <c r="T75" s="186" t="str">
        <f>IF(S75="","",S75)</f>
        <v/>
      </c>
      <c r="AK75" s="178"/>
    </row>
    <row r="76" spans="2:37" hidden="1">
      <c r="B76" s="1839" t="s">
        <v>4152</v>
      </c>
      <c r="C76" s="186"/>
      <c r="D76" s="198"/>
      <c r="I76" s="1970" t="s">
        <v>3492</v>
      </c>
      <c r="J76" s="2023"/>
      <c r="K76" s="462"/>
      <c r="L76" s="186"/>
      <c r="M76" s="198" t="str">
        <f>"-------------------------"</f>
        <v>-------------------------</v>
      </c>
      <c r="N76" s="198"/>
      <c r="P76" s="173"/>
      <c r="Q76" s="173"/>
      <c r="S76" s="1889"/>
      <c r="T76" s="1889"/>
      <c r="AK76" s="178"/>
    </row>
    <row r="77" spans="2:37" hidden="1">
      <c r="B77" s="1839" t="s">
        <v>4152</v>
      </c>
      <c r="C77" s="186"/>
      <c r="D77" s="198"/>
      <c r="I77" s="1887"/>
      <c r="J77" s="1888"/>
      <c r="K77" s="462" t="s">
        <v>3826</v>
      </c>
      <c r="L77" s="186">
        <v>0</v>
      </c>
      <c r="M77" s="198" t="str">
        <f>IF(RE_CERT="","",Dictionary!B203)</f>
        <v/>
      </c>
      <c r="N77" s="198"/>
      <c r="P77" s="173"/>
      <c r="Q77" s="173"/>
      <c r="S77" s="1889"/>
      <c r="T77" s="1889"/>
      <c r="AK77" s="178"/>
    </row>
    <row r="78" spans="2:37" hidden="1">
      <c r="B78" s="1839" t="s">
        <v>4152</v>
      </c>
      <c r="C78" s="530" t="s">
        <v>2882</v>
      </c>
      <c r="D78" s="198" t="str">
        <f>IF(L5=P82,"X","")</f>
        <v/>
      </c>
      <c r="F78" s="1965" t="s">
        <v>3592</v>
      </c>
      <c r="G78" s="1966"/>
      <c r="K78" s="462" t="str">
        <f t="shared" ref="K78:K99" si="1">IF(APPLICATION_LVL=$V$65,K111,IF(APPLICATION_LVL=$V$66,K136,IF(APPLICATION_LVL=$V$64,K161,K186)))</f>
        <v>ADM</v>
      </c>
      <c r="L78" s="186">
        <v>1</v>
      </c>
      <c r="M78" s="198" t="str">
        <f t="shared" ref="M78:M99" si="2">IF(APPLICATION_LVL=$V$65,M111,IF(APPLICATION_LVL=$V$66,M136,IF(APPLICATION_LVL=$V$64,M161,M186)))</f>
        <v>Zulassung</v>
      </c>
      <c r="N78" s="198" t="s">
        <v>3483</v>
      </c>
      <c r="S78" s="1889"/>
      <c r="T78" s="1889"/>
      <c r="V78" s="186" t="s">
        <v>971</v>
      </c>
    </row>
    <row r="79" spans="2:37" hidden="1">
      <c r="B79" s="1839" t="s">
        <v>4152</v>
      </c>
      <c r="C79" s="530" t="s">
        <v>3219</v>
      </c>
      <c r="D79" s="198" t="str">
        <f>IF(ALT_BILLING="","X",ADR!F56)</f>
        <v>X</v>
      </c>
      <c r="F79" s="186" t="str">
        <f>YEAR(E8)&amp;RIGHT("0"&amp;MONTH(E8),2)&amp;RIGHT("0"&amp;DAY(E8),2)</f>
        <v>19000100</v>
      </c>
      <c r="G79" s="186" t="s">
        <v>3593</v>
      </c>
      <c r="K79" s="462" t="str">
        <f t="shared" si="1"/>
        <v>ADM</v>
      </c>
      <c r="L79" s="186">
        <v>2</v>
      </c>
      <c r="M79" s="198" t="str">
        <f t="shared" si="2"/>
        <v>Zulassung 2</v>
      </c>
      <c r="N79" s="173"/>
      <c r="S79" s="1889"/>
      <c r="T79" s="1889"/>
      <c r="V79" s="198" t="str">
        <f>IF(APPLICATION_DOM=S72,T72,IF(APPLICATION_DOM=S73,T73,IF(APPLICATION_DOM=S74,T74,IF(AND(S75&lt;&gt;"",APPLICATION_DOM=S75),T75,""))))</f>
        <v>PJM</v>
      </c>
    </row>
    <row r="80" spans="2:37" hidden="1">
      <c r="B80" s="1839" t="s">
        <v>4152</v>
      </c>
      <c r="C80" s="186" t="s">
        <v>4136</v>
      </c>
      <c r="D80" s="198" t="str">
        <f>IF(GC_Flag="","",IF(F01_APPL_TYPE=S68,"X",""))</f>
        <v/>
      </c>
      <c r="F80" s="186" t="str">
        <f>IF(ISERROR(F79),"N-A",F79)</f>
        <v>19000100</v>
      </c>
      <c r="G80" s="186" t="s">
        <v>3594</v>
      </c>
      <c r="K80" s="462" t="str">
        <f t="shared" si="1"/>
        <v>ADM</v>
      </c>
      <c r="L80" s="186">
        <v>3</v>
      </c>
      <c r="M80" s="198" t="str">
        <f t="shared" si="2"/>
        <v>Zulassung 3 (mit Erlaubnis)</v>
      </c>
      <c r="N80" s="173"/>
      <c r="P80" s="1965" t="s">
        <v>2881</v>
      </c>
      <c r="Q80" s="1966"/>
    </row>
    <row r="81" spans="2:22" hidden="1">
      <c r="B81" s="1839" t="s">
        <v>4152</v>
      </c>
      <c r="C81" s="530" t="s">
        <v>3229</v>
      </c>
      <c r="D81" s="198" t="str">
        <f>IF(AND(H9="",H16="",H17="",H18=""),"","X")</f>
        <v/>
      </c>
      <c r="K81" s="462" t="str">
        <f t="shared" si="1"/>
        <v>ADMC</v>
      </c>
      <c r="L81" s="186">
        <v>1</v>
      </c>
      <c r="M81" s="198" t="str">
        <f t="shared" si="2"/>
        <v>Zulassung (CA)</v>
      </c>
      <c r="N81" s="173"/>
      <c r="P81" s="2017" t="str">
        <f>Dictionary!B246</f>
        <v>Gleiche Anschrift wie in der Anmeldung</v>
      </c>
      <c r="Q81" s="2018"/>
      <c r="V81" s="186" t="s">
        <v>1982</v>
      </c>
    </row>
    <row r="82" spans="2:22" hidden="1">
      <c r="B82" s="1839" t="s">
        <v>4152</v>
      </c>
      <c r="C82" s="530" t="s">
        <v>4139</v>
      </c>
      <c r="D82" s="198" t="str">
        <f>IF(SEGPMC_Flag="","",IF(AND(NOT(UPGRADE_FLAG=""),APPLICATION_LVL=V66),"X",""))</f>
        <v/>
      </c>
      <c r="K82" s="462" t="str">
        <f t="shared" si="1"/>
        <v>ADMC</v>
      </c>
      <c r="L82" s="186">
        <v>2</v>
      </c>
      <c r="M82" s="198" t="str">
        <f t="shared" si="2"/>
        <v>Zulassung 2 (CA)</v>
      </c>
      <c r="N82" s="173"/>
      <c r="P82" s="2017" t="str">
        <f>Dictionary!B247</f>
        <v>Abweichende Anschrift</v>
      </c>
      <c r="Q82" s="2018"/>
      <c r="V82" s="198" t="str">
        <f>IF(E16=V68,"X","")</f>
        <v/>
      </c>
    </row>
    <row r="83" spans="2:22" hidden="1">
      <c r="B83" s="1839" t="s">
        <v>4152</v>
      </c>
      <c r="C83" s="530" t="s">
        <v>3475</v>
      </c>
      <c r="D83" s="198" t="str">
        <f>IF(Lead_Assessor="","",IF(Lead_Assessor=M102,"","X"))</f>
        <v/>
      </c>
      <c r="K83" s="462" t="str">
        <f t="shared" si="1"/>
        <v>ADMC</v>
      </c>
      <c r="L83" s="186">
        <v>3</v>
      </c>
      <c r="M83" s="198" t="str">
        <f t="shared" si="2"/>
        <v>Zulassung 3 (CA) (mit Erlaubnis)</v>
      </c>
      <c r="N83" s="173"/>
    </row>
    <row r="84" spans="2:22" hidden="1">
      <c r="B84" s="1839" t="s">
        <v>4152</v>
      </c>
      <c r="C84" s="186" t="s">
        <v>4146</v>
      </c>
      <c r="D84" s="198" t="str">
        <f>IF(AND(LD_MODE="",BAS_MODE="",BAS_D_MODE="",AND(F66&lt;&gt;"",EVAL_PERIOD_SELECT=F66)),"X","")</f>
        <v/>
      </c>
      <c r="K84" s="462" t="str">
        <f t="shared" si="1"/>
        <v>REP</v>
      </c>
      <c r="L84" s="186">
        <v>1</v>
      </c>
      <c r="M84" s="198" t="str">
        <f t="shared" si="2"/>
        <v>Report Bewertung</v>
      </c>
      <c r="N84" s="173"/>
      <c r="V84" s="186" t="s">
        <v>2880</v>
      </c>
    </row>
    <row r="85" spans="2:22" hidden="1">
      <c r="B85" s="1839" t="s">
        <v>4152</v>
      </c>
      <c r="K85" s="462" t="str">
        <f t="shared" si="1"/>
        <v>REP</v>
      </c>
      <c r="L85" s="186">
        <v>2</v>
      </c>
      <c r="M85" s="198" t="str">
        <f t="shared" si="2"/>
        <v>Report Bewertung 2</v>
      </c>
      <c r="N85" s="173"/>
      <c r="V85" s="198" t="str">
        <f>IF(AND(UPGRADE_FLAG&lt;&gt;"",LD_MODE&lt;&gt;""),"X","")</f>
        <v/>
      </c>
    </row>
    <row r="86" spans="2:22" hidden="1">
      <c r="B86" s="1839" t="s">
        <v>4152</v>
      </c>
      <c r="C86" s="2036" t="s">
        <v>3970</v>
      </c>
      <c r="D86" s="2037"/>
      <c r="K86" s="462" t="str">
        <f t="shared" si="1"/>
        <v>REP</v>
      </c>
      <c r="L86" s="186">
        <v>3</v>
      </c>
      <c r="M86" s="198" t="str">
        <f t="shared" si="2"/>
        <v>Report Bewertung 3 (mit Erlaubnis)</v>
      </c>
      <c r="N86" s="173"/>
    </row>
    <row r="87" spans="2:22" hidden="1">
      <c r="B87" s="1839" t="s">
        <v>4152</v>
      </c>
      <c r="C87" s="1705" t="s">
        <v>3971</v>
      </c>
      <c r="D87" s="1716"/>
      <c r="K87" s="462" t="str">
        <f t="shared" si="1"/>
        <v>REPC</v>
      </c>
      <c r="L87" s="186">
        <v>1</v>
      </c>
      <c r="M87" s="198" t="str">
        <f t="shared" si="2"/>
        <v>Report Bewertung (CA)</v>
      </c>
      <c r="N87" s="173"/>
      <c r="V87" s="186" t="s">
        <v>4006</v>
      </c>
    </row>
    <row r="88" spans="2:22" hidden="1">
      <c r="B88" s="1839" t="s">
        <v>4152</v>
      </c>
      <c r="C88" s="1707" t="s">
        <v>3972</v>
      </c>
      <c r="D88" s="1716"/>
      <c r="K88" s="462" t="str">
        <f t="shared" si="1"/>
        <v>REPC</v>
      </c>
      <c r="L88" s="186">
        <v>2</v>
      </c>
      <c r="M88" s="198" t="str">
        <f t="shared" si="2"/>
        <v>Report Bewertung 2 (CA)</v>
      </c>
      <c r="N88" s="173"/>
      <c r="V88" s="198" t="str">
        <f>IF(AND(T75&lt;&gt;"",DOMAIN=T75),"X","")</f>
        <v/>
      </c>
    </row>
    <row r="89" spans="2:22" hidden="1">
      <c r="B89" s="1839" t="s">
        <v>4152</v>
      </c>
      <c r="C89" s="1707"/>
      <c r="D89" s="1706"/>
      <c r="K89" s="462" t="str">
        <f t="shared" si="1"/>
        <v>REPC</v>
      </c>
      <c r="L89" s="186">
        <v>3</v>
      </c>
      <c r="M89" s="198" t="str">
        <f t="shared" si="2"/>
        <v>Report Bewertung 3 (CA) (mit Erlaubnis)</v>
      </c>
      <c r="N89" s="173"/>
      <c r="P89" s="186" t="str">
        <f>IF(V11="",O98,"")</f>
        <v>Zulassung</v>
      </c>
    </row>
    <row r="90" spans="2:22" hidden="1">
      <c r="B90" s="1839" t="s">
        <v>4152</v>
      </c>
      <c r="C90" s="1707"/>
      <c r="D90" s="1706"/>
      <c r="K90" s="462" t="str">
        <f t="shared" si="1"/>
        <v>CSW</v>
      </c>
      <c r="L90" s="186">
        <v>1</v>
      </c>
      <c r="M90" s="198" t="str">
        <f t="shared" si="2"/>
        <v>CSW-Bewertung</v>
      </c>
      <c r="N90" s="173"/>
      <c r="V90" s="186" t="s">
        <v>3621</v>
      </c>
    </row>
    <row r="91" spans="2:22" hidden="1">
      <c r="B91" s="1839" t="s">
        <v>4152</v>
      </c>
      <c r="C91" s="1707"/>
      <c r="D91" s="1706"/>
      <c r="K91" s="462" t="str">
        <f t="shared" si="1"/>
        <v>CSW</v>
      </c>
      <c r="L91" s="186">
        <v>2</v>
      </c>
      <c r="M91" s="198" t="str">
        <f t="shared" si="2"/>
        <v>CSW-Bewertung 2</v>
      </c>
      <c r="N91" s="173"/>
      <c r="V91" s="198" t="str">
        <f>IF(HOMOLOG_FLAG="",IF(RE_CERT="",IF(UPGRADE_FLAG="","I","U"),"R"),"H")</f>
        <v>I</v>
      </c>
    </row>
    <row r="92" spans="2:22" hidden="1">
      <c r="B92" s="1839" t="s">
        <v>4152</v>
      </c>
      <c r="K92" s="462" t="str">
        <f t="shared" si="1"/>
        <v>CSW</v>
      </c>
      <c r="L92" s="186">
        <v>3</v>
      </c>
      <c r="M92" s="198" t="str">
        <f t="shared" si="2"/>
        <v>CSW-Bewertung 3 (mit Erlaubnis)</v>
      </c>
      <c r="N92" s="173"/>
    </row>
    <row r="93" spans="2:22" hidden="1">
      <c r="B93" s="1839" t="s">
        <v>4152</v>
      </c>
      <c r="C93" s="1708" t="s">
        <v>3973</v>
      </c>
      <c r="D93" s="1789" t="str">
        <f>IF(COUNTA(D87:D91)&gt;0,"X","")</f>
        <v/>
      </c>
      <c r="K93" s="462" t="str">
        <f t="shared" si="1"/>
        <v>INT</v>
      </c>
      <c r="L93" s="186">
        <v>1</v>
      </c>
      <c r="M93" s="198" t="str">
        <f t="shared" si="2"/>
        <v>Interview</v>
      </c>
      <c r="N93" s="197" t="s">
        <v>4183</v>
      </c>
    </row>
    <row r="94" spans="2:22" hidden="1">
      <c r="B94" s="1839" t="s">
        <v>4152</v>
      </c>
      <c r="C94" s="1708" t="s">
        <v>3974</v>
      </c>
      <c r="D94" s="1706" t="str">
        <f>IF(GC_Flag="","",IF(NOT(GOIPJM_Flag=""),"GOI-PJM",IF(NOT(SEGPMC_Flag=""),"SE-GPMC","")))</f>
        <v/>
      </c>
      <c r="K94" s="462" t="str">
        <f t="shared" si="1"/>
        <v>INT</v>
      </c>
      <c r="L94" s="186">
        <v>2</v>
      </c>
      <c r="M94" s="198" t="str">
        <f t="shared" si="2"/>
        <v>Interview 2</v>
      </c>
      <c r="N94" s="1890">
        <f ca="1">TODAY()</f>
        <v>46097</v>
      </c>
    </row>
    <row r="95" spans="2:22" hidden="1">
      <c r="B95" s="1839" t="s">
        <v>4152</v>
      </c>
      <c r="K95" s="462" t="str">
        <f t="shared" si="1"/>
        <v>INT</v>
      </c>
      <c r="L95" s="186">
        <v>3</v>
      </c>
      <c r="M95" s="198" t="str">
        <f t="shared" si="2"/>
        <v>Interview 3 (mit Erlaubnis)</v>
      </c>
      <c r="N95" s="198"/>
    </row>
    <row r="96" spans="2:22" hidden="1">
      <c r="B96" s="1839" t="s">
        <v>4152</v>
      </c>
      <c r="C96" s="1837" t="s">
        <v>4151</v>
      </c>
      <c r="D96" s="1838" t="s">
        <v>1037</v>
      </c>
      <c r="K96" s="462" t="str">
        <f t="shared" si="1"/>
        <v>QNA</v>
      </c>
      <c r="L96" s="186">
        <v>1</v>
      </c>
      <c r="M96" s="198" t="str">
        <f t="shared" si="2"/>
        <v>Gespräch mit Kandidat</v>
      </c>
      <c r="N96" s="173"/>
    </row>
    <row r="97" spans="2:15" hidden="1">
      <c r="B97" s="1839" t="s">
        <v>4152</v>
      </c>
      <c r="K97" s="462">
        <f t="shared" si="1"/>
        <v>0</v>
      </c>
      <c r="L97" s="186">
        <v>2</v>
      </c>
      <c r="M97" s="198">
        <f t="shared" si="2"/>
        <v>0</v>
      </c>
      <c r="N97" s="197" t="s">
        <v>3713</v>
      </c>
      <c r="O97" s="1487" t="s">
        <v>3714</v>
      </c>
    </row>
    <row r="98" spans="2:15" hidden="1">
      <c r="B98" s="1839" t="s">
        <v>4152</v>
      </c>
      <c r="K98" s="462">
        <f t="shared" si="1"/>
        <v>0</v>
      </c>
      <c r="L98" s="186">
        <v>3</v>
      </c>
      <c r="M98" s="198">
        <f t="shared" si="2"/>
        <v>0</v>
      </c>
      <c r="N98" s="198" t="str" cm="1">
        <f t="array" ref="N98">IFERROR(_xlfn.LET(_xlpm.pos,MATCH($K$102,$M$78:$M$98,0),_xlpm.currentCat,INDEX($K$78:$K$98,_xlpm.pos),_xlpm.nRows,ROWS($K$78:$K$98),_xlpm.diffArray,INDEX($K$78:$K$98,_xlfn.SEQUENCE(_xlpm.nRows-_xlpm.pos,1,_xlpm.pos+1))&lt;&gt;_xlpm.currentCat,_xlpm.diffPos,IFERROR(MATCH(TRUE,_xlpm.diffArray,0),0),_xlpm.okResult,IF(_xlpm.diffPos=0,"",INDEX($M$78:$M$98,_xlpm.pos+_xlpm.diffPos)),_xlpm.nokResult,IF(AND(_xlpm.pos&lt;_xlpm.nRows,INDEX($K$78:$K$98,_xlpm.pos+1)=_xlpm.currentCat),INDEX($M$78:$M$98,_xlpm.pos+1),""),_xlpm.result,IF(AND($N$102&lt;&gt;$N$75,$N$102&lt;&gt;$N$78),$O$98,IF(ISNUMBER(_xlpm.pos),IF($N$102=$N$75,_xlpm.okResult,IF($N$102=$N$78,_xlpm.nokResult,"")),"")),_xlpm.result),"")</f>
        <v>Zulassung</v>
      </c>
      <c r="O98" s="186" t="str">
        <f>IF(RE_CERT="",IF(AND(LD_MODE="",BAS_MODE=""),M78,M81),M77)</f>
        <v>Zulassung</v>
      </c>
    </row>
    <row r="99" spans="2:15" hidden="1">
      <c r="B99" s="1839" t="s">
        <v>4152</v>
      </c>
      <c r="C99" s="1487" t="s">
        <v>3980</v>
      </c>
      <c r="K99" s="462">
        <f t="shared" si="1"/>
        <v>0</v>
      </c>
      <c r="L99" s="186">
        <v>1</v>
      </c>
      <c r="M99" s="198">
        <f t="shared" si="2"/>
        <v>0</v>
      </c>
      <c r="N99" s="173"/>
    </row>
    <row r="100" spans="2:15" hidden="1">
      <c r="B100" s="1839" t="s">
        <v>4152</v>
      </c>
      <c r="C100" s="186" t="str">
        <f>IF(GC_Flag="","F01","FG01"&amp;"_"&amp;D94)</f>
        <v>F01</v>
      </c>
    </row>
    <row r="101" spans="2:15" hidden="1">
      <c r="B101" s="1839" t="s">
        <v>4152</v>
      </c>
      <c r="J101" s="2025" t="s">
        <v>3474</v>
      </c>
      <c r="K101" s="2025"/>
      <c r="L101" s="2025"/>
      <c r="M101" s="2025"/>
      <c r="N101" s="2025"/>
      <c r="O101" s="2025"/>
    </row>
    <row r="102" spans="2:15" hidden="1">
      <c r="B102" s="1839" t="s">
        <v>4152</v>
      </c>
      <c r="C102" s="1487" t="s">
        <v>3590</v>
      </c>
      <c r="J102" s="1407" t="str" cm="1">
        <f t="array" ref="J102">LOOKUP(2,1/(N8:N24&lt;&gt;""),L8:L24)</f>
        <v>Datum:</v>
      </c>
      <c r="K102" s="186" t="str" cm="1">
        <f t="array" ref="K102">LOOKUP(2,1/(N8:N24&lt;&gt;""),M8:M24)</f>
        <v>Prozessschritt:</v>
      </c>
      <c r="L102" s="186" t="str" cm="1">
        <f t="array" ref="L102">LOOKUP(2,1/(N8:N24&lt;&gt;""),O8:O24)</f>
        <v>Zert. Nummer:</v>
      </c>
      <c r="M102" s="186" t="str" cm="1">
        <f t="array" ref="M102">LOOKUP(2,1/(N8:N24&lt;&gt;""),J8:J24)</f>
        <v>Lead Assessor:</v>
      </c>
      <c r="N102" s="186" t="str" cm="1">
        <f t="array" ref="N102">LOOKUP(2,1/(N8:N24&lt;&gt;""),N8:N24)</f>
        <v>Ergebnis:</v>
      </c>
      <c r="O102" s="186" t="str" cm="1">
        <f t="array" ref="O102">LOOKUP(2,1/(N8:N24&lt;&gt;""),K8:K24)</f>
        <v>Co Assessor:</v>
      </c>
    </row>
    <row r="103" spans="2:15" hidden="1">
      <c r="B103" s="1839" t="s">
        <v>4152</v>
      </c>
      <c r="C103" s="186" t="str">
        <f>C100&amp;"_"&amp;TRIM(VERSION_STRING)&amp;"_"&amp;V91&amp;"_"&amp;APPLICATION_LVL&amp;"_"&amp;DOMAIN&amp;"_"&amp;TRIM(E6)&amp;"_"&amp;TRIM(E7)&amp;"_DOB-"&amp;F80&amp;"-V01"</f>
        <v>F01_V02R24_I_A_PJM___DOB-19000100-V01</v>
      </c>
    </row>
    <row r="104" spans="2:15" hidden="1">
      <c r="B104" s="1839" t="s">
        <v>4152</v>
      </c>
      <c r="C104" s="1487" t="s">
        <v>3591</v>
      </c>
      <c r="J104" s="2025" t="s">
        <v>3831</v>
      </c>
      <c r="K104" s="2025"/>
      <c r="L104" s="2025"/>
      <c r="M104" s="2025"/>
      <c r="N104" s="2025"/>
      <c r="O104" s="2025"/>
    </row>
    <row r="105" spans="2:15" hidden="1">
      <c r="B105" s="1839" t="s">
        <v>4152</v>
      </c>
      <c r="C105" s="186" t="e" cm="1">
        <f t="array" ref="C105">ValidFileName(C103)</f>
        <v>#NAME?</v>
      </c>
      <c r="J105" s="1407" t="str" cm="1">
        <f t="array" ref="J105">LOOKUP(2,1/(J8:J24&lt;&gt;""),L8:L24)</f>
        <v>Datum:</v>
      </c>
      <c r="K105" s="186" t="str" cm="1">
        <f t="array" ref="K105">LOOKUP(2,1/(J8:J24&lt;&gt;""),M8:M24)</f>
        <v>Prozessschritt:</v>
      </c>
      <c r="L105" s="186" t="str" cm="1">
        <f t="array" ref="L105">LOOKUP(2,1/(J8:J24&lt;&gt;""),O8:O24)</f>
        <v>Zert. Nummer:</v>
      </c>
      <c r="M105" s="186" t="str" cm="1">
        <f t="array" ref="M105">LOOKUP(2,1/(J8:J24&lt;&gt;""),J8:J24)</f>
        <v>Lead Assessor:</v>
      </c>
      <c r="N105" s="186" t="str" cm="1">
        <f t="array" ref="N105">LOOKUP(2,1/(J8:J24&lt;&gt;""),N8:N24)</f>
        <v>Ergebnis:</v>
      </c>
      <c r="O105" s="186" t="str" cm="1">
        <f t="array" ref="O105">LOOKUP(2,1/(J8:J24&lt;&gt;""),K8:K24)</f>
        <v>Co Assessor:</v>
      </c>
    </row>
    <row r="106" spans="2:15" hidden="1">
      <c r="B106" s="1839" t="s">
        <v>4152</v>
      </c>
      <c r="C106" s="1487" t="s">
        <v>3604</v>
      </c>
      <c r="J106" s="1407" t="str">
        <f t="shared" ref="J106:O106" si="3">IF(OR(J105=L8,J105=0),"",J105)</f>
        <v/>
      </c>
      <c r="K106" s="1407" t="str">
        <f t="shared" si="3"/>
        <v/>
      </c>
      <c r="L106" s="1407" t="str">
        <f t="shared" si="3"/>
        <v>Zert. Nummer:</v>
      </c>
      <c r="M106" s="1407" t="str">
        <f t="shared" si="3"/>
        <v>Lead Assessor:</v>
      </c>
      <c r="N106" s="1407" t="str">
        <f t="shared" si="3"/>
        <v>Ergebnis:</v>
      </c>
      <c r="O106" s="1407" t="str">
        <f t="shared" si="3"/>
        <v>Co Assessor:</v>
      </c>
    </row>
    <row r="107" spans="2:15" hidden="1">
      <c r="B107" s="1839" t="s">
        <v>4152</v>
      </c>
      <c r="C107" s="186" t="str" cm="1">
        <f t="array" aca="1" ref="C107" ca="1">LEFT(CELL("filename",A90),FIND("[",CELL("filename",A1))-1)</f>
        <v>/Users/thomas.fehr/Downloads/Webseite F01/</v>
      </c>
    </row>
    <row r="108" spans="2:15" hidden="1">
      <c r="B108" s="1839" t="s">
        <v>4152</v>
      </c>
    </row>
    <row r="109" spans="2:15" hidden="1">
      <c r="B109" s="1839" t="s">
        <v>4152</v>
      </c>
      <c r="C109" s="1487" t="s">
        <v>3601</v>
      </c>
      <c r="K109" s="2024" t="s">
        <v>3945</v>
      </c>
      <c r="L109" s="2024"/>
      <c r="M109" s="2024"/>
      <c r="O109" s="1487" t="s">
        <v>4144</v>
      </c>
    </row>
    <row r="110" spans="2:15" hidden="1">
      <c r="B110" s="1839" t="s">
        <v>4152</v>
      </c>
      <c r="C110" s="186" t="str">
        <f>Dictionary!B34</f>
        <v>Erzeugter Dateiname für Ihren Leistungsnachweis</v>
      </c>
      <c r="K110" s="462" t="s">
        <v>3826</v>
      </c>
      <c r="L110" s="186">
        <v>0</v>
      </c>
      <c r="M110" s="198" t="str">
        <f>IF(RE_CERT="","",Dictionary!B203)</f>
        <v/>
      </c>
      <c r="O110" s="186" t="str">
        <f>IF(O9="","",O9)</f>
        <v/>
      </c>
    </row>
    <row r="111" spans="2:15" hidden="1">
      <c r="B111" s="1839" t="s">
        <v>4152</v>
      </c>
      <c r="C111" s="186" t="str">
        <f>Dictionary!B35</f>
        <v>Kopieren order korrigieren Sie den Dateinamen.
NUR FÜR WINDOWS PC:
Clicken Sie auf OK um einen Dialog zum Speichern zu öffnen.</v>
      </c>
      <c r="K111" s="462" t="s">
        <v>3827</v>
      </c>
      <c r="L111" s="186">
        <v>1</v>
      </c>
      <c r="M111" s="198" t="str">
        <f>Dictionary!B250</f>
        <v>Zulassung</v>
      </c>
      <c r="O111" s="186" t="str">
        <f t="shared" ref="O111:O125" si="4">IF(O10="","",O10)</f>
        <v/>
      </c>
    </row>
    <row r="112" spans="2:15" hidden="1">
      <c r="B112" s="1839" t="s">
        <v>4152</v>
      </c>
      <c r="C112" s="186" t="str">
        <f>Dictionary!B38</f>
        <v>Deckblatt bitte vollständig ausfüllen!</v>
      </c>
      <c r="K112" s="462" t="s">
        <v>3827</v>
      </c>
      <c r="L112" s="186">
        <v>2</v>
      </c>
      <c r="M112" s="198" t="str">
        <f>Dictionary!B251</f>
        <v>Zulassung 2</v>
      </c>
      <c r="O112" s="186" t="str">
        <f t="shared" si="4"/>
        <v/>
      </c>
    </row>
    <row r="113" spans="2:15" hidden="1">
      <c r="B113" s="1839" t="s">
        <v>4152</v>
      </c>
      <c r="C113" s="186" t="str">
        <f>Dictionary!B39</f>
        <v>Dateiname ungültig!</v>
      </c>
      <c r="K113" s="462" t="s">
        <v>3827</v>
      </c>
      <c r="L113" s="186">
        <v>3</v>
      </c>
      <c r="M113" s="198" t="str">
        <f>Dictionary!B252</f>
        <v>Zulassung 3 (mit Erlaubnis)</v>
      </c>
      <c r="O113" s="186" t="str">
        <f t="shared" si="4"/>
        <v/>
      </c>
    </row>
    <row r="114" spans="2:15" hidden="1">
      <c r="B114" s="1839" t="s">
        <v>4152</v>
      </c>
      <c r="C114" s="186" t="str">
        <f>Dictionary!B40</f>
        <v>Datei gespeichert unter</v>
      </c>
      <c r="K114" s="462" t="s">
        <v>3943</v>
      </c>
      <c r="L114" s="186">
        <v>1</v>
      </c>
      <c r="M114" s="198" t="str">
        <f>Dictionary!B253</f>
        <v>Zulassung (CA)</v>
      </c>
      <c r="O114" s="186" t="str">
        <f t="shared" si="4"/>
        <v/>
      </c>
    </row>
    <row r="115" spans="2:15" hidden="1">
      <c r="B115" s="1839" t="s">
        <v>4152</v>
      </c>
      <c r="C115" s="186" t="str">
        <f>Dictionary!B41</f>
        <v>Wáhlen Sie einen Pfad für die Datei aus</v>
      </c>
      <c r="K115" s="462" t="s">
        <v>3943</v>
      </c>
      <c r="L115" s="186">
        <v>2</v>
      </c>
      <c r="M115" s="198" t="str">
        <f>Dictionary!B254</f>
        <v>Zulassung 2 (CA)</v>
      </c>
      <c r="O115" s="186" t="str">
        <f t="shared" si="4"/>
        <v/>
      </c>
    </row>
    <row r="116" spans="2:15" hidden="1">
      <c r="B116" s="1839" t="s">
        <v>4152</v>
      </c>
      <c r="C116" s="186">
        <f>Dictionary!B45</f>
        <v>0</v>
      </c>
      <c r="K116" s="462" t="s">
        <v>3943</v>
      </c>
      <c r="L116" s="186">
        <v>3</v>
      </c>
      <c r="M116" s="198" t="str">
        <f>Dictionary!B255</f>
        <v>Zulassung 3 (CA) (mit Erlaubnis)</v>
      </c>
      <c r="O116" s="186" t="str">
        <f t="shared" si="4"/>
        <v/>
      </c>
    </row>
    <row r="117" spans="2:15" hidden="1">
      <c r="B117" s="1839" t="s">
        <v>4152</v>
      </c>
      <c r="K117" s="462" t="s">
        <v>3828</v>
      </c>
      <c r="L117" s="186">
        <v>1</v>
      </c>
      <c r="M117" s="198" t="str">
        <f>Dictionary!B256</f>
        <v>Report Bewertung</v>
      </c>
      <c r="O117" s="186" t="str">
        <f t="shared" si="4"/>
        <v/>
      </c>
    </row>
    <row r="118" spans="2:15" hidden="1">
      <c r="B118" s="1839" t="s">
        <v>4152</v>
      </c>
      <c r="K118" s="462" t="s">
        <v>3828</v>
      </c>
      <c r="L118" s="186">
        <v>2</v>
      </c>
      <c r="M118" s="198" t="str">
        <f>Dictionary!B257</f>
        <v>Report Bewertung 2</v>
      </c>
      <c r="O118" s="186" t="str">
        <f t="shared" si="4"/>
        <v/>
      </c>
    </row>
    <row r="119" spans="2:15" hidden="1">
      <c r="B119" s="1839" t="s">
        <v>4152</v>
      </c>
      <c r="K119" s="462" t="s">
        <v>3828</v>
      </c>
      <c r="L119" s="186">
        <v>3</v>
      </c>
      <c r="M119" s="198" t="str">
        <f>Dictionary!B258</f>
        <v>Report Bewertung 3 (mit Erlaubnis)</v>
      </c>
      <c r="O119" s="186" t="str">
        <f t="shared" si="4"/>
        <v/>
      </c>
    </row>
    <row r="120" spans="2:15" hidden="1">
      <c r="B120" s="1839" t="s">
        <v>4152</v>
      </c>
      <c r="K120" s="462" t="s">
        <v>3944</v>
      </c>
      <c r="L120" s="186">
        <v>1</v>
      </c>
      <c r="M120" s="198" t="str">
        <f>Dictionary!B259</f>
        <v>Report Bewertung (CA)</v>
      </c>
      <c r="O120" s="186" t="str">
        <f t="shared" si="4"/>
        <v/>
      </c>
    </row>
    <row r="121" spans="2:15" hidden="1">
      <c r="B121" s="1839" t="s">
        <v>4152</v>
      </c>
      <c r="K121" s="462" t="s">
        <v>3944</v>
      </c>
      <c r="L121" s="186">
        <v>2</v>
      </c>
      <c r="M121" s="198" t="str">
        <f>Dictionary!B260</f>
        <v>Report Bewertung 2 (CA)</v>
      </c>
      <c r="O121" s="186" t="str">
        <f t="shared" si="4"/>
        <v/>
      </c>
    </row>
    <row r="122" spans="2:15" hidden="1">
      <c r="B122" s="1839" t="s">
        <v>4152</v>
      </c>
      <c r="K122" s="462" t="s">
        <v>3944</v>
      </c>
      <c r="L122" s="186">
        <v>3</v>
      </c>
      <c r="M122" s="198" t="str">
        <f>Dictionary!B261</f>
        <v>Report Bewertung 3 (CA) (mit Erlaubnis)</v>
      </c>
      <c r="O122" s="186" t="str">
        <f t="shared" si="4"/>
        <v/>
      </c>
    </row>
    <row r="123" spans="2:15" hidden="1">
      <c r="B123" s="1839" t="s">
        <v>4152</v>
      </c>
      <c r="K123" s="462" t="s">
        <v>3829</v>
      </c>
      <c r="L123" s="186">
        <v>1</v>
      </c>
      <c r="M123" s="198" t="str">
        <f>Dictionary!B262</f>
        <v>Prüfungsbewertung</v>
      </c>
      <c r="O123" s="186" t="str">
        <f t="shared" si="4"/>
        <v/>
      </c>
    </row>
    <row r="124" spans="2:15" hidden="1">
      <c r="B124" s="1839" t="s">
        <v>4152</v>
      </c>
      <c r="K124" s="462" t="s">
        <v>3829</v>
      </c>
      <c r="L124" s="186">
        <v>2</v>
      </c>
      <c r="M124" s="198" t="str">
        <f>Dictionary!B263</f>
        <v>Prüfungsbewertung 2</v>
      </c>
      <c r="O124" s="186" t="str">
        <f t="shared" si="4"/>
        <v/>
      </c>
    </row>
    <row r="125" spans="2:15" hidden="1">
      <c r="B125" s="1839" t="s">
        <v>4152</v>
      </c>
      <c r="K125" s="462" t="s">
        <v>3829</v>
      </c>
      <c r="L125" s="186">
        <v>3</v>
      </c>
      <c r="M125" s="198" t="str">
        <f>Dictionary!B264</f>
        <v>Prüfungsbewertung 3 (mit Erlaubnis)</v>
      </c>
      <c r="O125" s="186" t="str">
        <f t="shared" si="4"/>
        <v/>
      </c>
    </row>
    <row r="126" spans="2:15" hidden="1">
      <c r="B126" s="1839" t="s">
        <v>4152</v>
      </c>
      <c r="K126" s="462" t="s">
        <v>3491</v>
      </c>
      <c r="L126" s="186">
        <v>1</v>
      </c>
      <c r="M126" s="198" t="str">
        <f>Dictionary!B265</f>
        <v>CSW-Bewertung</v>
      </c>
      <c r="O126" s="1835" t="str">
        <f>IF(IMPORT_IF_DESIG="","",IMPORT_IF_DESIG)</f>
        <v/>
      </c>
    </row>
    <row r="127" spans="2:15" hidden="1">
      <c r="B127" s="1839" t="s">
        <v>4152</v>
      </c>
      <c r="K127" s="462" t="s">
        <v>3491</v>
      </c>
      <c r="L127" s="186">
        <v>2</v>
      </c>
      <c r="M127" s="198" t="str">
        <f>Dictionary!B266</f>
        <v>CSW-Bewertung 2</v>
      </c>
    </row>
    <row r="128" spans="2:15" hidden="1">
      <c r="B128" s="1839" t="s">
        <v>4152</v>
      </c>
      <c r="K128" s="462" t="s">
        <v>3491</v>
      </c>
      <c r="L128" s="186">
        <v>3</v>
      </c>
      <c r="M128" s="198" t="str">
        <f>Dictionary!B267</f>
        <v>CSW-Bewertung 3 (mit Erlaubnis)</v>
      </c>
    </row>
    <row r="129" spans="2:13" hidden="1">
      <c r="B129" s="1839" t="s">
        <v>4152</v>
      </c>
      <c r="K129" s="462" t="s">
        <v>3830</v>
      </c>
      <c r="L129" s="186">
        <v>1</v>
      </c>
      <c r="M129" s="198" t="str">
        <f>Dictionary!B268</f>
        <v>Interview</v>
      </c>
    </row>
    <row r="130" spans="2:13" hidden="1">
      <c r="B130" s="1839" t="s">
        <v>4152</v>
      </c>
      <c r="K130" s="462" t="s">
        <v>3830</v>
      </c>
      <c r="L130" s="186">
        <v>2</v>
      </c>
      <c r="M130" s="198" t="str">
        <f>Dictionary!B269</f>
        <v>Interview 2</v>
      </c>
    </row>
    <row r="131" spans="2:13" hidden="1">
      <c r="B131" s="1839" t="s">
        <v>4152</v>
      </c>
      <c r="K131" s="462" t="s">
        <v>3830</v>
      </c>
      <c r="L131" s="186">
        <v>3</v>
      </c>
      <c r="M131" s="198" t="str">
        <f>Dictionary!B270</f>
        <v>Interview 3 (mit Erlaubnis)</v>
      </c>
    </row>
    <row r="132" spans="2:13" hidden="1">
      <c r="B132" s="1839" t="s">
        <v>4152</v>
      </c>
      <c r="K132" s="462" t="s">
        <v>4023</v>
      </c>
      <c r="L132" s="186">
        <v>1</v>
      </c>
      <c r="M132" s="198" t="str">
        <f>Dictionary!B277</f>
        <v>Gespräch mit Kandidat</v>
      </c>
    </row>
    <row r="133" spans="2:13" hidden="1">
      <c r="B133" s="1839" t="s">
        <v>4152</v>
      </c>
    </row>
    <row r="134" spans="2:13" hidden="1">
      <c r="B134" s="1839" t="s">
        <v>4152</v>
      </c>
      <c r="K134" s="2024" t="s">
        <v>3946</v>
      </c>
      <c r="L134" s="2024"/>
      <c r="M134" s="2024"/>
    </row>
    <row r="135" spans="2:13" hidden="1">
      <c r="B135" s="1839" t="s">
        <v>4152</v>
      </c>
      <c r="K135" s="1728" t="s">
        <v>3826</v>
      </c>
      <c r="L135" s="1729">
        <v>0</v>
      </c>
      <c r="M135" s="1730" t="str">
        <f>IF(RE_CERT="","",Dictionary!B203)</f>
        <v/>
      </c>
    </row>
    <row r="136" spans="2:13" hidden="1">
      <c r="B136" s="1839" t="s">
        <v>4152</v>
      </c>
      <c r="K136" s="1728" t="s">
        <v>3827</v>
      </c>
      <c r="L136" s="1729">
        <v>1</v>
      </c>
      <c r="M136" s="1730" t="str">
        <f>Dictionary!B250</f>
        <v>Zulassung</v>
      </c>
    </row>
    <row r="137" spans="2:13" hidden="1">
      <c r="B137" s="1839" t="s">
        <v>4152</v>
      </c>
      <c r="K137" s="1728" t="s">
        <v>3827</v>
      </c>
      <c r="L137" s="1729">
        <v>2</v>
      </c>
      <c r="M137" s="1730" t="str">
        <f>Dictionary!B251</f>
        <v>Zulassung 2</v>
      </c>
    </row>
    <row r="138" spans="2:13" hidden="1">
      <c r="B138" s="1839" t="s">
        <v>4152</v>
      </c>
      <c r="K138" s="1728" t="s">
        <v>3827</v>
      </c>
      <c r="L138" s="1729">
        <v>3</v>
      </c>
      <c r="M138" s="1730" t="str">
        <f>Dictionary!B252</f>
        <v>Zulassung 3 (mit Erlaubnis)</v>
      </c>
    </row>
    <row r="139" spans="2:13" hidden="1">
      <c r="B139" s="1839" t="s">
        <v>4152</v>
      </c>
      <c r="K139" s="1728" t="s">
        <v>3828</v>
      </c>
      <c r="L139" s="1729">
        <v>1</v>
      </c>
      <c r="M139" s="1730" t="str">
        <f>Dictionary!B256</f>
        <v>Report Bewertung</v>
      </c>
    </row>
    <row r="140" spans="2:13" hidden="1">
      <c r="B140" s="1839" t="s">
        <v>4152</v>
      </c>
      <c r="K140" s="1728" t="s">
        <v>3828</v>
      </c>
      <c r="L140" s="1729">
        <v>2</v>
      </c>
      <c r="M140" s="1730" t="str">
        <f>Dictionary!B257</f>
        <v>Report Bewertung 2</v>
      </c>
    </row>
    <row r="141" spans="2:13" hidden="1">
      <c r="B141" s="1839" t="s">
        <v>4152</v>
      </c>
      <c r="K141" s="1728" t="s">
        <v>3828</v>
      </c>
      <c r="L141" s="1729">
        <v>3</v>
      </c>
      <c r="M141" s="1730" t="str">
        <f>Dictionary!B258</f>
        <v>Report Bewertung 3 (mit Erlaubnis)</v>
      </c>
    </row>
    <row r="142" spans="2:13" hidden="1">
      <c r="B142" s="1839" t="s">
        <v>4152</v>
      </c>
      <c r="K142" s="1728" t="s">
        <v>3829</v>
      </c>
      <c r="L142" s="1729">
        <v>1</v>
      </c>
      <c r="M142" s="1730" t="str">
        <f>Dictionary!B262</f>
        <v>Prüfungsbewertung</v>
      </c>
    </row>
    <row r="143" spans="2:13" hidden="1">
      <c r="B143" s="1839" t="s">
        <v>4152</v>
      </c>
      <c r="K143" s="1728" t="s">
        <v>3829</v>
      </c>
      <c r="L143" s="1729">
        <v>2</v>
      </c>
      <c r="M143" s="1730" t="str">
        <f>Dictionary!B263</f>
        <v>Prüfungsbewertung 2</v>
      </c>
    </row>
    <row r="144" spans="2:13" hidden="1">
      <c r="B144" s="1839" t="s">
        <v>4152</v>
      </c>
      <c r="K144" s="1728" t="s">
        <v>3829</v>
      </c>
      <c r="L144" s="1729">
        <v>3</v>
      </c>
      <c r="M144" s="1730" t="str">
        <f>Dictionary!B264</f>
        <v>Prüfungsbewertung 3 (mit Erlaubnis)</v>
      </c>
    </row>
    <row r="145" spans="2:13" hidden="1">
      <c r="B145" s="1839" t="s">
        <v>4152</v>
      </c>
      <c r="K145" s="1728" t="s">
        <v>3491</v>
      </c>
      <c r="L145" s="1729">
        <v>1</v>
      </c>
      <c r="M145" s="1730" t="str">
        <f>Dictionary!B265</f>
        <v>CSW-Bewertung</v>
      </c>
    </row>
    <row r="146" spans="2:13" hidden="1">
      <c r="B146" s="1839" t="s">
        <v>4152</v>
      </c>
      <c r="K146" s="1728" t="s">
        <v>3491</v>
      </c>
      <c r="L146" s="1729">
        <v>2</v>
      </c>
      <c r="M146" s="1730" t="str">
        <f>Dictionary!B266</f>
        <v>CSW-Bewertung 2</v>
      </c>
    </row>
    <row r="147" spans="2:13" hidden="1">
      <c r="B147" s="1839" t="s">
        <v>4152</v>
      </c>
      <c r="K147" s="1728" t="s">
        <v>3491</v>
      </c>
      <c r="L147" s="1729">
        <v>3</v>
      </c>
      <c r="M147" s="1730" t="str">
        <f>Dictionary!B267</f>
        <v>CSW-Bewertung 3 (mit Erlaubnis)</v>
      </c>
    </row>
    <row r="148" spans="2:13" hidden="1">
      <c r="B148" s="1839" t="s">
        <v>4152</v>
      </c>
      <c r="K148" s="1728" t="s">
        <v>3830</v>
      </c>
      <c r="L148" s="1729">
        <v>1</v>
      </c>
      <c r="M148" s="1730" t="str">
        <f>Dictionary!B268</f>
        <v>Interview</v>
      </c>
    </row>
    <row r="149" spans="2:13" hidden="1">
      <c r="B149" s="1839" t="s">
        <v>4152</v>
      </c>
      <c r="K149" s="1728" t="s">
        <v>3830</v>
      </c>
      <c r="L149" s="1729">
        <v>2</v>
      </c>
      <c r="M149" s="1730" t="str">
        <f>Dictionary!B269</f>
        <v>Interview 2</v>
      </c>
    </row>
    <row r="150" spans="2:13" hidden="1">
      <c r="B150" s="1839" t="s">
        <v>4152</v>
      </c>
      <c r="K150" s="1728" t="s">
        <v>3830</v>
      </c>
      <c r="L150" s="1729">
        <v>3</v>
      </c>
      <c r="M150" s="1730" t="str">
        <f>Dictionary!B270</f>
        <v>Interview 3 (mit Erlaubnis)</v>
      </c>
    </row>
    <row r="151" spans="2:13" hidden="1">
      <c r="B151" s="1839" t="s">
        <v>4152</v>
      </c>
      <c r="K151" s="1728" t="s">
        <v>4023</v>
      </c>
      <c r="L151" s="1729">
        <v>1</v>
      </c>
      <c r="M151" s="1730" t="str">
        <f>Dictionary!B277</f>
        <v>Gespräch mit Kandidat</v>
      </c>
    </row>
    <row r="152" spans="2:13" hidden="1">
      <c r="B152" s="1839" t="s">
        <v>4152</v>
      </c>
      <c r="K152" s="1729"/>
      <c r="L152" s="1729"/>
      <c r="M152" s="1730"/>
    </row>
    <row r="153" spans="2:13" hidden="1">
      <c r="B153" s="1839" t="s">
        <v>4152</v>
      </c>
      <c r="K153" s="1729"/>
      <c r="L153" s="1729"/>
      <c r="M153" s="1730"/>
    </row>
    <row r="154" spans="2:13" hidden="1">
      <c r="B154" s="1839" t="s">
        <v>4152</v>
      </c>
      <c r="K154" s="1729"/>
      <c r="L154" s="1729"/>
      <c r="M154" s="1730"/>
    </row>
    <row r="155" spans="2:13" hidden="1">
      <c r="B155" s="1839" t="s">
        <v>4152</v>
      </c>
      <c r="K155" s="1729"/>
      <c r="L155" s="1729"/>
      <c r="M155" s="1730"/>
    </row>
    <row r="156" spans="2:13" hidden="1">
      <c r="B156" s="1839" t="s">
        <v>4152</v>
      </c>
      <c r="K156" s="1729"/>
      <c r="L156" s="1729"/>
      <c r="M156" s="1730"/>
    </row>
    <row r="157" spans="2:13" hidden="1">
      <c r="B157" s="1839" t="s">
        <v>4152</v>
      </c>
      <c r="K157" s="1729"/>
      <c r="L157" s="1729"/>
      <c r="M157" s="1730"/>
    </row>
    <row r="158" spans="2:13" hidden="1">
      <c r="B158" s="1839" t="s">
        <v>4152</v>
      </c>
    </row>
    <row r="159" spans="2:13" hidden="1">
      <c r="B159" s="1839" t="s">
        <v>4152</v>
      </c>
      <c r="K159" s="2024" t="s">
        <v>3947</v>
      </c>
      <c r="L159" s="2024"/>
      <c r="M159" s="2024"/>
    </row>
    <row r="160" spans="2:13" hidden="1">
      <c r="B160" s="1839" t="s">
        <v>4152</v>
      </c>
      <c r="K160" s="462" t="s">
        <v>3826</v>
      </c>
      <c r="L160" s="186">
        <v>0</v>
      </c>
      <c r="M160" s="198" t="str">
        <f>IF(RE_CERT="","",Dictionary!B203)</f>
        <v/>
      </c>
    </row>
    <row r="161" spans="2:13" hidden="1">
      <c r="B161" s="1839" t="s">
        <v>4152</v>
      </c>
      <c r="K161" s="462" t="s">
        <v>3827</v>
      </c>
      <c r="L161" s="186">
        <v>1</v>
      </c>
      <c r="M161" s="198" t="str">
        <f>Dictionary!B250</f>
        <v>Zulassung</v>
      </c>
    </row>
    <row r="162" spans="2:13" hidden="1">
      <c r="B162" s="1839" t="s">
        <v>4152</v>
      </c>
      <c r="K162" s="462" t="s">
        <v>3827</v>
      </c>
      <c r="L162" s="186">
        <v>2</v>
      </c>
      <c r="M162" s="198" t="str">
        <f>Dictionary!B251</f>
        <v>Zulassung 2</v>
      </c>
    </row>
    <row r="163" spans="2:13" hidden="1">
      <c r="B163" s="1839" t="s">
        <v>4152</v>
      </c>
      <c r="K163" s="462" t="s">
        <v>3827</v>
      </c>
      <c r="L163" s="186">
        <v>3</v>
      </c>
      <c r="M163" s="198" t="str">
        <f>Dictionary!B252</f>
        <v>Zulassung 3 (mit Erlaubnis)</v>
      </c>
    </row>
    <row r="164" spans="2:13" hidden="1">
      <c r="B164" s="1839" t="s">
        <v>4152</v>
      </c>
      <c r="K164" s="462" t="s">
        <v>3943</v>
      </c>
      <c r="L164" s="186">
        <v>1</v>
      </c>
      <c r="M164" s="198" t="str">
        <f>Dictionary!B253</f>
        <v>Zulassung (CA)</v>
      </c>
    </row>
    <row r="165" spans="2:13" hidden="1">
      <c r="B165" s="1839" t="s">
        <v>4152</v>
      </c>
      <c r="K165" s="462" t="s">
        <v>3943</v>
      </c>
      <c r="L165" s="186">
        <v>2</v>
      </c>
      <c r="M165" s="198" t="str">
        <f>Dictionary!B254</f>
        <v>Zulassung 2 (CA)</v>
      </c>
    </row>
    <row r="166" spans="2:13" hidden="1">
      <c r="B166" s="1839" t="s">
        <v>4152</v>
      </c>
      <c r="K166" s="462" t="s">
        <v>3943</v>
      </c>
      <c r="L166" s="186">
        <v>3</v>
      </c>
      <c r="M166" s="198" t="str">
        <f>Dictionary!B255</f>
        <v>Zulassung 3 (CA) (mit Erlaubnis)</v>
      </c>
    </row>
    <row r="167" spans="2:13" hidden="1">
      <c r="B167" s="1839" t="s">
        <v>4152</v>
      </c>
      <c r="K167" s="462" t="s">
        <v>3828</v>
      </c>
      <c r="L167" s="186">
        <v>1</v>
      </c>
      <c r="M167" s="198" t="str">
        <f>Dictionary!B256</f>
        <v>Report Bewertung</v>
      </c>
    </row>
    <row r="168" spans="2:13" hidden="1">
      <c r="B168" s="1839" t="s">
        <v>4152</v>
      </c>
      <c r="K168" s="462" t="s">
        <v>3828</v>
      </c>
      <c r="L168" s="186">
        <v>2</v>
      </c>
      <c r="M168" s="198" t="str">
        <f>Dictionary!B257</f>
        <v>Report Bewertung 2</v>
      </c>
    </row>
    <row r="169" spans="2:13" hidden="1">
      <c r="B169" s="1839" t="s">
        <v>4152</v>
      </c>
      <c r="K169" s="462" t="s">
        <v>3828</v>
      </c>
      <c r="L169" s="186">
        <v>3</v>
      </c>
      <c r="M169" s="198" t="str">
        <f>Dictionary!B258</f>
        <v>Report Bewertung 3 (mit Erlaubnis)</v>
      </c>
    </row>
    <row r="170" spans="2:13" hidden="1">
      <c r="B170" s="1839" t="s">
        <v>4152</v>
      </c>
      <c r="K170" s="462" t="s">
        <v>3944</v>
      </c>
      <c r="L170" s="186">
        <v>1</v>
      </c>
      <c r="M170" s="198" t="str">
        <f>Dictionary!B259</f>
        <v>Report Bewertung (CA)</v>
      </c>
    </row>
    <row r="171" spans="2:13" hidden="1">
      <c r="B171" s="1839" t="s">
        <v>4152</v>
      </c>
      <c r="K171" s="462" t="s">
        <v>3944</v>
      </c>
      <c r="L171" s="186">
        <v>2</v>
      </c>
      <c r="M171" s="198" t="str">
        <f>Dictionary!B260</f>
        <v>Report Bewertung 2 (CA)</v>
      </c>
    </row>
    <row r="172" spans="2:13" hidden="1">
      <c r="B172" s="1839" t="s">
        <v>4152</v>
      </c>
      <c r="K172" s="462" t="s">
        <v>3944</v>
      </c>
      <c r="L172" s="186">
        <v>3</v>
      </c>
      <c r="M172" s="198" t="str">
        <f>Dictionary!B261</f>
        <v>Report Bewertung 3 (CA) (mit Erlaubnis)</v>
      </c>
    </row>
    <row r="173" spans="2:13" hidden="1">
      <c r="B173" s="1839" t="s">
        <v>4152</v>
      </c>
      <c r="K173" s="462" t="s">
        <v>3491</v>
      </c>
      <c r="L173" s="186">
        <v>1</v>
      </c>
      <c r="M173" s="198" t="str">
        <f>Dictionary!B265</f>
        <v>CSW-Bewertung</v>
      </c>
    </row>
    <row r="174" spans="2:13" hidden="1">
      <c r="B174" s="1839" t="s">
        <v>4152</v>
      </c>
      <c r="K174" s="462" t="s">
        <v>3491</v>
      </c>
      <c r="L174" s="186">
        <v>2</v>
      </c>
      <c r="M174" s="198" t="str">
        <f>Dictionary!B266</f>
        <v>CSW-Bewertung 2</v>
      </c>
    </row>
    <row r="175" spans="2:13" hidden="1">
      <c r="B175" s="1839" t="s">
        <v>4152</v>
      </c>
      <c r="K175" s="462" t="s">
        <v>3491</v>
      </c>
      <c r="L175" s="186">
        <v>3</v>
      </c>
      <c r="M175" s="198" t="str">
        <f>Dictionary!B267</f>
        <v>CSW-Bewertung 3 (mit Erlaubnis)</v>
      </c>
    </row>
    <row r="176" spans="2:13" hidden="1">
      <c r="B176" s="1839" t="s">
        <v>4152</v>
      </c>
      <c r="K176" s="462" t="s">
        <v>3830</v>
      </c>
      <c r="L176" s="186">
        <v>1</v>
      </c>
      <c r="M176" s="198" t="str">
        <f>Dictionary!B268</f>
        <v>Interview</v>
      </c>
    </row>
    <row r="177" spans="2:13" hidden="1">
      <c r="B177" s="1839" t="s">
        <v>4152</v>
      </c>
      <c r="K177" s="462" t="s">
        <v>3830</v>
      </c>
      <c r="L177" s="186">
        <v>2</v>
      </c>
      <c r="M177" s="198" t="str">
        <f>Dictionary!B269</f>
        <v>Interview 2</v>
      </c>
    </row>
    <row r="178" spans="2:13" hidden="1">
      <c r="B178" s="1839" t="s">
        <v>4152</v>
      </c>
      <c r="K178" s="462" t="s">
        <v>3830</v>
      </c>
      <c r="L178" s="186">
        <v>3</v>
      </c>
      <c r="M178" s="198" t="str">
        <f>Dictionary!B270</f>
        <v>Interview 3 (mit Erlaubnis)</v>
      </c>
    </row>
    <row r="179" spans="2:13" hidden="1">
      <c r="B179" s="1839" t="s">
        <v>4152</v>
      </c>
      <c r="K179" s="462" t="s">
        <v>4023</v>
      </c>
      <c r="L179" s="186">
        <v>1</v>
      </c>
      <c r="M179" s="1730" t="str">
        <f>Dictionary!B277</f>
        <v>Gespräch mit Kandidat</v>
      </c>
    </row>
    <row r="180" spans="2:13" hidden="1">
      <c r="B180" s="1839" t="s">
        <v>4152</v>
      </c>
      <c r="K180" s="186"/>
      <c r="L180" s="186"/>
      <c r="M180" s="186"/>
    </row>
    <row r="181" spans="2:13" hidden="1">
      <c r="B181" s="1839" t="s">
        <v>4152</v>
      </c>
      <c r="K181" s="186"/>
      <c r="L181" s="186"/>
      <c r="M181" s="186"/>
    </row>
    <row r="182" spans="2:13" hidden="1">
      <c r="B182" s="1839" t="s">
        <v>4152</v>
      </c>
      <c r="K182" s="186"/>
      <c r="L182" s="186"/>
      <c r="M182" s="186"/>
    </row>
    <row r="183" spans="2:13" hidden="1">
      <c r="B183" s="1839" t="s">
        <v>4152</v>
      </c>
    </row>
    <row r="184" spans="2:13" hidden="1">
      <c r="B184" s="1839" t="s">
        <v>4152</v>
      </c>
      <c r="K184" s="2024" t="s">
        <v>3948</v>
      </c>
      <c r="L184" s="2024"/>
      <c r="M184" s="2024"/>
    </row>
    <row r="185" spans="2:13" hidden="1">
      <c r="B185" s="1839" t="s">
        <v>4152</v>
      </c>
      <c r="K185" s="462" t="s">
        <v>3826</v>
      </c>
      <c r="L185" s="186">
        <v>0</v>
      </c>
      <c r="M185" s="198" t="str">
        <f>IF(RE_CERT="","",Dictionary!B203)</f>
        <v/>
      </c>
    </row>
    <row r="186" spans="2:13" hidden="1">
      <c r="B186" s="1839" t="s">
        <v>4152</v>
      </c>
      <c r="K186" s="462" t="str">
        <f>IF(SEGPMC_Flag="","REP","")</f>
        <v>REP</v>
      </c>
      <c r="L186" s="186">
        <v>1</v>
      </c>
      <c r="M186" s="198" t="str">
        <f>IF(SEGPMC_Flag="",Dictionary!B256,"")</f>
        <v>Report Bewertung</v>
      </c>
    </row>
    <row r="187" spans="2:13" hidden="1">
      <c r="B187" s="1839" t="s">
        <v>4152</v>
      </c>
      <c r="K187" s="462" t="str">
        <f>IF(SEGPMC_Flag="","REP","")</f>
        <v>REP</v>
      </c>
      <c r="L187" s="186">
        <v>2</v>
      </c>
      <c r="M187" s="198" t="str">
        <f>IF(SEGPMC_Flag="",Dictionary!B257,"")</f>
        <v>Report Bewertung 2</v>
      </c>
    </row>
    <row r="188" spans="2:13" hidden="1">
      <c r="B188" s="1839" t="s">
        <v>4152</v>
      </c>
      <c r="K188" s="462" t="str">
        <f>IF(SEGPMC_Flag="","REP","")</f>
        <v>REP</v>
      </c>
      <c r="L188" s="186">
        <v>3</v>
      </c>
      <c r="M188" s="198" t="str">
        <f>IF(SEGPMC_Flag="",Dictionary!B258,"")</f>
        <v>Report Bewertung 3 (mit Erlaubnis)</v>
      </c>
    </row>
    <row r="189" spans="2:13" hidden="1">
      <c r="B189" s="1839" t="s">
        <v>4152</v>
      </c>
      <c r="K189" s="462" t="s">
        <v>3829</v>
      </c>
      <c r="L189" s="186">
        <v>1</v>
      </c>
      <c r="M189" s="198" t="str">
        <f>Dictionary!B271</f>
        <v>D1 Prüfungsbewertung</v>
      </c>
    </row>
    <row r="190" spans="2:13" hidden="1">
      <c r="B190" s="1839" t="s">
        <v>4152</v>
      </c>
      <c r="K190" s="462" t="s">
        <v>3829</v>
      </c>
      <c r="L190" s="186">
        <v>2</v>
      </c>
      <c r="M190" s="198" t="str">
        <f>Dictionary!B272</f>
        <v>D1 Prüfungsbewertung 2</v>
      </c>
    </row>
    <row r="191" spans="2:13" hidden="1">
      <c r="B191" s="1839" t="s">
        <v>4152</v>
      </c>
      <c r="K191" s="462" t="s">
        <v>3829</v>
      </c>
      <c r="L191" s="186">
        <v>3</v>
      </c>
      <c r="M191" s="198" t="str">
        <f>Dictionary!B273</f>
        <v>D1 Prüfungsbewertung 3 (mit Erlaubnis)</v>
      </c>
    </row>
    <row r="192" spans="2:13" hidden="1">
      <c r="B192" s="1839" t="s">
        <v>4152</v>
      </c>
      <c r="K192" s="462" t="s">
        <v>3954</v>
      </c>
      <c r="L192" s="186">
        <v>1</v>
      </c>
      <c r="M192" s="198" t="str">
        <f>Dictionary!B274</f>
        <v>D2 Prüfungsbewertung</v>
      </c>
    </row>
    <row r="193" spans="2:13" hidden="1">
      <c r="B193" s="1839" t="s">
        <v>4152</v>
      </c>
      <c r="K193" s="462" t="s">
        <v>3954</v>
      </c>
      <c r="L193" s="186">
        <v>2</v>
      </c>
      <c r="M193" s="198" t="str">
        <f>Dictionary!B275</f>
        <v>D2 Prüfungsbewertung 2</v>
      </c>
    </row>
    <row r="194" spans="2:13" hidden="1">
      <c r="B194" s="1839" t="s">
        <v>4152</v>
      </c>
      <c r="K194" s="462" t="s">
        <v>3954</v>
      </c>
      <c r="L194" s="186">
        <v>3</v>
      </c>
      <c r="M194" s="198" t="str">
        <f>Dictionary!B276</f>
        <v>D2 Prüfungsbewertung 3 (mit Erlaubnis)</v>
      </c>
    </row>
    <row r="195" spans="2:13" hidden="1">
      <c r="B195" s="1839" t="s">
        <v>4152</v>
      </c>
      <c r="K195" s="462" t="s">
        <v>4023</v>
      </c>
      <c r="L195" s="186">
        <v>1</v>
      </c>
      <c r="M195" s="1730" t="str">
        <f>Dictionary!B277</f>
        <v>Gespräch mit Kandidat</v>
      </c>
    </row>
    <row r="196" spans="2:13" hidden="1">
      <c r="B196" s="1839" t="s">
        <v>4152</v>
      </c>
      <c r="K196" s="1728" t="str">
        <f>IF(SEGPMC_Flag="","","INT")</f>
        <v/>
      </c>
      <c r="L196" s="186">
        <v>1</v>
      </c>
      <c r="M196" s="1730" t="str">
        <f>IF(SEGPMC_Flag="","","SE-GPMC Interview")</f>
        <v/>
      </c>
    </row>
    <row r="197" spans="2:13" hidden="1">
      <c r="B197" s="1839" t="s">
        <v>4152</v>
      </c>
      <c r="K197" s="1728" t="str">
        <f>IF(SEGPMC_Flag="","","INT")</f>
        <v/>
      </c>
      <c r="L197" s="186">
        <v>2</v>
      </c>
      <c r="M197" s="1730" t="str">
        <f>IF(SEGPMC_Flag="","","SE-GPMC Interview 2")</f>
        <v/>
      </c>
    </row>
    <row r="198" spans="2:13" hidden="1">
      <c r="B198" s="1839" t="s">
        <v>4152</v>
      </c>
      <c r="K198" s="1728" t="str">
        <f>IF(SEGPMC_Flag="","","INT")</f>
        <v/>
      </c>
      <c r="L198" s="186">
        <v>3</v>
      </c>
      <c r="M198" s="1730" t="str">
        <f>IF(SEGPMC_Flag="","","SE-GPMC Interview 3 (w. permission)")</f>
        <v/>
      </c>
    </row>
    <row r="199" spans="2:13" hidden="1">
      <c r="B199" s="1839" t="s">
        <v>4152</v>
      </c>
      <c r="K199" s="186"/>
      <c r="L199" s="186"/>
      <c r="M199" s="186"/>
    </row>
    <row r="200" spans="2:13" hidden="1">
      <c r="B200" s="1839" t="s">
        <v>4152</v>
      </c>
      <c r="K200" s="186"/>
      <c r="L200" s="186"/>
      <c r="M200" s="186"/>
    </row>
    <row r="201" spans="2:13" hidden="1">
      <c r="B201" s="1839" t="s">
        <v>4152</v>
      </c>
      <c r="K201" s="186"/>
      <c r="L201" s="186"/>
      <c r="M201" s="186"/>
    </row>
    <row r="202" spans="2:13" hidden="1">
      <c r="B202" s="1839" t="s">
        <v>4152</v>
      </c>
      <c r="K202" s="186"/>
      <c r="L202" s="186"/>
      <c r="M202" s="186"/>
    </row>
    <row r="203" spans="2:13" hidden="1">
      <c r="B203" s="1839" t="s">
        <v>4152</v>
      </c>
      <c r="K203" s="186"/>
      <c r="L203" s="186"/>
      <c r="M203" s="186"/>
    </row>
    <row r="204" spans="2:13" hidden="1">
      <c r="B204" s="1839" t="s">
        <v>4152</v>
      </c>
      <c r="K204" s="186"/>
      <c r="L204" s="186"/>
      <c r="M204" s="186"/>
    </row>
    <row r="205" spans="2:13" hidden="1">
      <c r="B205" s="1839" t="s">
        <v>4152</v>
      </c>
      <c r="K205" s="186"/>
      <c r="L205" s="186"/>
      <c r="M205" s="186"/>
    </row>
    <row r="206" spans="2:13" hidden="1">
      <c r="B206" s="1839" t="s">
        <v>4152</v>
      </c>
      <c r="K206" s="186"/>
      <c r="L206" s="186"/>
      <c r="M206" s="186"/>
    </row>
    <row r="207" spans="2:13" hidden="1">
      <c r="B207" s="1839" t="s">
        <v>4152</v>
      </c>
      <c r="K207" s="186"/>
      <c r="L207" s="186"/>
      <c r="M207" s="186"/>
    </row>
    <row r="208" spans="2:13" hidden="1">
      <c r="B208" s="1839" t="s">
        <v>4152</v>
      </c>
    </row>
    <row r="209" spans="2:2" hidden="1">
      <c r="B209" s="1839" t="s">
        <v>4152</v>
      </c>
    </row>
    <row r="210" spans="2:2" hidden="1">
      <c r="B210" s="1839" t="s">
        <v>4152</v>
      </c>
    </row>
    <row r="211" spans="2:2" hidden="1">
      <c r="B211" s="1839" t="s">
        <v>4152</v>
      </c>
    </row>
    <row r="212" spans="2:2" hidden="1">
      <c r="B212" s="1839" t="s">
        <v>4152</v>
      </c>
    </row>
  </sheetData>
  <sheetProtection algorithmName="SHA-512" hashValue="bRR38HkHz0UzNPVVn2JeqXTUbP3KwcFynSHGdH/GdMw1M41rgt8eKm9wvBXeqZunlCiaFmKppIMnsb98hFrysA==" saltValue="Ri9qIW3xJASxxA9BVGx1ew==" spinCount="100000" sheet="1" objects="1" scenarios="1" selectLockedCells="1"/>
  <mergeCells count="106">
    <mergeCell ref="C86:D86"/>
    <mergeCell ref="L26:O26"/>
    <mergeCell ref="P67:Q67"/>
    <mergeCell ref="P66:Q66"/>
    <mergeCell ref="K109:M109"/>
    <mergeCell ref="K134:M134"/>
    <mergeCell ref="K159:M159"/>
    <mergeCell ref="K184:M184"/>
    <mergeCell ref="J104:O104"/>
    <mergeCell ref="J101:O101"/>
    <mergeCell ref="F68:G68"/>
    <mergeCell ref="C64:D64"/>
    <mergeCell ref="F64:G64"/>
    <mergeCell ref="T17:W17"/>
    <mergeCell ref="L67:M67"/>
    <mergeCell ref="L68:M68"/>
    <mergeCell ref="L69:M69"/>
    <mergeCell ref="I64:J64"/>
    <mergeCell ref="L64:M64"/>
    <mergeCell ref="I74:J74"/>
    <mergeCell ref="I75:J75"/>
    <mergeCell ref="I76:J76"/>
    <mergeCell ref="P65:Q65"/>
    <mergeCell ref="I71:J71"/>
    <mergeCell ref="I72:J72"/>
    <mergeCell ref="O37:P37"/>
    <mergeCell ref="S71:T71"/>
    <mergeCell ref="T18:W33"/>
    <mergeCell ref="K73:M73"/>
    <mergeCell ref="I68:J68"/>
    <mergeCell ref="L66:M66"/>
    <mergeCell ref="L65:M65"/>
    <mergeCell ref="I66:J66"/>
    <mergeCell ref="I65:J65"/>
    <mergeCell ref="V10:W10"/>
    <mergeCell ref="V12:W12"/>
    <mergeCell ref="S14:T14"/>
    <mergeCell ref="S12:T12"/>
    <mergeCell ref="S15:T15"/>
    <mergeCell ref="S10:T10"/>
    <mergeCell ref="P80:Q80"/>
    <mergeCell ref="P81:Q81"/>
    <mergeCell ref="P82:Q82"/>
    <mergeCell ref="P75:Q75"/>
    <mergeCell ref="W63:Z63"/>
    <mergeCell ref="S69:T69"/>
    <mergeCell ref="S66:T66"/>
    <mergeCell ref="S65:T65"/>
    <mergeCell ref="S64:T64"/>
    <mergeCell ref="P70:Q70"/>
    <mergeCell ref="S13:T13"/>
    <mergeCell ref="S67:T67"/>
    <mergeCell ref="S68:T68"/>
    <mergeCell ref="P74:Q74"/>
    <mergeCell ref="V16:W16"/>
    <mergeCell ref="V13:W13"/>
    <mergeCell ref="V14:W14"/>
    <mergeCell ref="V15:W15"/>
    <mergeCell ref="AB63:AE63"/>
    <mergeCell ref="Q1:Q36"/>
    <mergeCell ref="E16:G16"/>
    <mergeCell ref="S16:T16"/>
    <mergeCell ref="J29:K29"/>
    <mergeCell ref="C20:G20"/>
    <mergeCell ref="J33:K33"/>
    <mergeCell ref="J27:K27"/>
    <mergeCell ref="E18:G18"/>
    <mergeCell ref="S7:X7"/>
    <mergeCell ref="S8:T8"/>
    <mergeCell ref="S11:T11"/>
    <mergeCell ref="V11:W11"/>
    <mergeCell ref="L29:O29"/>
    <mergeCell ref="L30:O30"/>
    <mergeCell ref="L33:O33"/>
    <mergeCell ref="L32:O32"/>
    <mergeCell ref="E9:G9"/>
    <mergeCell ref="T9:W9"/>
    <mergeCell ref="C62:T62"/>
    <mergeCell ref="J30:K30"/>
    <mergeCell ref="J32:K32"/>
    <mergeCell ref="C19:G19"/>
    <mergeCell ref="C21:G21"/>
    <mergeCell ref="C22:G22"/>
    <mergeCell ref="E5:G5"/>
    <mergeCell ref="E6:G6"/>
    <mergeCell ref="E12:G12"/>
    <mergeCell ref="E7:G7"/>
    <mergeCell ref="E10:G10"/>
    <mergeCell ref="F78:G78"/>
    <mergeCell ref="E11:G11"/>
    <mergeCell ref="B3:P3"/>
    <mergeCell ref="P73:Q73"/>
    <mergeCell ref="P68:Q68"/>
    <mergeCell ref="P72:Q72"/>
    <mergeCell ref="P71:Q71"/>
    <mergeCell ref="P69:Q69"/>
    <mergeCell ref="I69:J69"/>
    <mergeCell ref="E8:G8"/>
    <mergeCell ref="I7:P7"/>
    <mergeCell ref="E13:G13"/>
    <mergeCell ref="C28:F28"/>
    <mergeCell ref="J28:K28"/>
    <mergeCell ref="E17:G17"/>
    <mergeCell ref="I67:J67"/>
    <mergeCell ref="P64:Q64"/>
    <mergeCell ref="L27:O27"/>
  </mergeCells>
  <conditionalFormatting sqref="A1:XFD17 A23:S33 A21:C22 A18:T18 X18:XFD33 A19:S20 H21:S22 A34:XFD44 R45:XFD50 A45:O57 R51:R57 U51:XFD57 A58:XFD62 C63:AI63 AK63:XFD77 A63:B206 C64:N70 R64:AI70 O64:Q74 I71:N73 R71:R74 U71:AI74 S71:T79 C71:H84 I74:J74 N74 I75:R77 U75:AJ77 K78:R78 U78:XFD78 I79:J79 D85:J85 C86:J91 D92:J92 C93:J94 D95:J95 C96:J96 D97:J99 D100:XFD100 J101:O106 C101:H134 P101:XFD134 K109 K110:M132 I127:J127 N127:O127 I128:I134 K134 C135:XFD158 K159 C159:J178 N159:XFD178 K160:M178 C179:XFD183 K184 C184:J194 N184:XFD194 K185:M194 C195:XFD206 A207:XFD1048576">
    <cfRule type="expression" dxfId="484" priority="11">
      <formula>COMPROMISED="X"</formula>
    </cfRule>
  </conditionalFormatting>
  <conditionalFormatting sqref="B3">
    <cfRule type="expression" dxfId="483" priority="10">
      <formula>COMPROMISED="X"</formula>
    </cfRule>
  </conditionalFormatting>
  <conditionalFormatting sqref="C99:C100">
    <cfRule type="expression" dxfId="482" priority="8">
      <formula>COMPROMISED="X"</formula>
    </cfRule>
  </conditionalFormatting>
  <conditionalFormatting sqref="C21:G22">
    <cfRule type="expression" dxfId="481" priority="4">
      <formula>COMPROMISED="X"</formula>
    </cfRule>
  </conditionalFormatting>
  <conditionalFormatting sqref="C22:G22">
    <cfRule type="expression" dxfId="480" priority="3">
      <formula>$C$22&lt;&gt;""</formula>
    </cfRule>
  </conditionalFormatting>
  <conditionalFormatting sqref="D5:G5">
    <cfRule type="expression" dxfId="479" priority="5">
      <formula>$D$93&lt;&gt;""</formula>
    </cfRule>
  </conditionalFormatting>
  <conditionalFormatting sqref="E9">
    <cfRule type="expression" dxfId="478" priority="15">
      <formula>LEN($H$9)&gt;1</formula>
    </cfRule>
  </conditionalFormatting>
  <conditionalFormatting sqref="E15 E23 F25 F27 F29:F33 E34:E61 E63:E1048576">
    <cfRule type="dataBar" priority="123">
      <dataBar>
        <cfvo type="percent" val="0"/>
        <cfvo type="percent" val="100"/>
        <color rgb="FF638EC6"/>
      </dataBar>
      <extLst>
        <ext xmlns:x14="http://schemas.microsoft.com/office/spreadsheetml/2009/9/main" uri="{B025F937-C7B1-47D3-B67F-A62EFF666E3E}">
          <x14:id>{6DBFEE8B-D33E-4902-91FB-B820CE240AAB}</x14:id>
        </ext>
      </extLst>
    </cfRule>
  </conditionalFormatting>
  <conditionalFormatting sqref="E6:G6">
    <cfRule type="expression" dxfId="477" priority="57">
      <formula>$E$6&lt;&gt;""</formula>
    </cfRule>
  </conditionalFormatting>
  <conditionalFormatting sqref="E7:G7">
    <cfRule type="expression" dxfId="476" priority="56">
      <formula>$E$7&lt;&gt;""</formula>
    </cfRule>
  </conditionalFormatting>
  <conditionalFormatting sqref="E8:G8">
    <cfRule type="expression" dxfId="475" priority="20">
      <formula>$E$8&lt;&gt;""</formula>
    </cfRule>
  </conditionalFormatting>
  <conditionalFormatting sqref="E10:G10">
    <cfRule type="expression" dxfId="474" priority="33">
      <formula>$E$10&lt;&gt;""</formula>
    </cfRule>
  </conditionalFormatting>
  <conditionalFormatting sqref="E11:G11">
    <cfRule type="expression" dxfId="473" priority="52">
      <formula>$E$11&lt;&gt;""</formula>
    </cfRule>
  </conditionalFormatting>
  <conditionalFormatting sqref="E12:G12">
    <cfRule type="containsBlanks" dxfId="472" priority="196">
      <formula>LEN(TRIM(E12))=0</formula>
    </cfRule>
  </conditionalFormatting>
  <conditionalFormatting sqref="E17:G17">
    <cfRule type="expression" dxfId="471" priority="27">
      <formula>LEN($H$17)&gt;1</formula>
    </cfRule>
    <cfRule type="expression" dxfId="470" priority="6">
      <formula>$D$93&lt;&gt;""</formula>
    </cfRule>
  </conditionalFormatting>
  <conditionalFormatting sqref="E18:G18">
    <cfRule type="expression" dxfId="469" priority="14">
      <formula>$F$66="N/A"</formula>
    </cfRule>
  </conditionalFormatting>
  <conditionalFormatting sqref="F25:F27 F29:F33">
    <cfRule type="dataBar" priority="58">
      <dataBar>
        <cfvo type="percent" val="0"/>
        <cfvo type="percent" val="100"/>
        <color rgb="FF638EC6"/>
      </dataBar>
      <extLst>
        <ext xmlns:x14="http://schemas.microsoft.com/office/spreadsheetml/2009/9/main" uri="{B025F937-C7B1-47D3-B67F-A62EFF666E3E}">
          <x14:id>{01EA84CE-0F91-43C6-9EE5-486B0B27813F}</x14:id>
        </ext>
      </extLst>
    </cfRule>
  </conditionalFormatting>
  <conditionalFormatting sqref="F26">
    <cfRule type="dataBar" priority="59">
      <dataBar>
        <cfvo type="min"/>
        <cfvo type="max"/>
        <color rgb="FF638EC6"/>
      </dataBar>
      <extLst>
        <ext xmlns:x14="http://schemas.microsoft.com/office/spreadsheetml/2009/9/main" uri="{B025F937-C7B1-47D3-B67F-A62EFF666E3E}">
          <x14:id>{8D48EC69-FCC9-4DB6-BC13-D89EAFA69689}</x14:id>
        </ext>
      </extLst>
    </cfRule>
  </conditionalFormatting>
  <conditionalFormatting sqref="J27:O27">
    <cfRule type="expression" dxfId="468" priority="1">
      <formula>$D$84=""</formula>
    </cfRule>
  </conditionalFormatting>
  <conditionalFormatting sqref="K79:XFD99">
    <cfRule type="expression" dxfId="467" priority="7">
      <formula>COMPROMISED="X"</formula>
    </cfRule>
  </conditionalFormatting>
  <conditionalFormatting sqref="L5">
    <cfRule type="expression" dxfId="466" priority="28">
      <formula>LEN($J$6)&gt;1</formula>
    </cfRule>
  </conditionalFormatting>
  <conditionalFormatting sqref="L27">
    <cfRule type="containsText" dxfId="465" priority="194" operator="containsText" text="Granted">
      <formula>NOT(ISERROR(SEARCH("Granted",L27)))</formula>
    </cfRule>
    <cfRule type="expression" dxfId="464" priority="195">
      <formula>$E$18=$F$66</formula>
    </cfRule>
  </conditionalFormatting>
  <conditionalFormatting sqref="L32">
    <cfRule type="containsText" dxfId="463" priority="26" operator="containsText" text=" OK">
      <formula>NOT(ISERROR(SEARCH(" OK",L32)))</formula>
    </cfRule>
    <cfRule type="containsText" dxfId="462" priority="51" operator="containsText" text="Pass">
      <formula>NOT(ISERROR(SEARCH("Pass",L32)))</formula>
    </cfRule>
    <cfRule type="containsText" dxfId="461" priority="50" operator="containsText" text="bestanden">
      <formula>NOT(ISERROR(SEARCH("bestanden",L32)))</formula>
    </cfRule>
    <cfRule type="containsText" dxfId="460" priority="25" operator="containsText" text="not yet">
      <formula>NOT(ISERROR(SEARCH("not yet",L32)))</formula>
    </cfRule>
    <cfRule type="containsText" dxfId="459" priority="24" operator="containsText" text="noch nicht">
      <formula>NOT(ISERROR(SEARCH("noch nicht",L32)))</formula>
    </cfRule>
    <cfRule type="containsText" dxfId="458" priority="23" operator="containsText" text=" NOK">
      <formula>NOT(ISERROR(SEARCH(" NOK",L32)))</formula>
    </cfRule>
  </conditionalFormatting>
  <conditionalFormatting sqref="L26:O26">
    <cfRule type="expression" dxfId="457" priority="9">
      <formula>$D$93=""</formula>
    </cfRule>
  </conditionalFormatting>
  <conditionalFormatting sqref="N9:N24">
    <cfRule type="cellIs" dxfId="456" priority="220" operator="equal">
      <formula>$N$78</formula>
    </cfRule>
    <cfRule type="cellIs" dxfId="455" priority="221" operator="equal">
      <formula>$N$75</formula>
    </cfRule>
  </conditionalFormatting>
  <conditionalFormatting sqref="P5">
    <cfRule type="cellIs" dxfId="454" priority="17" operator="equal">
      <formula>"X"</formula>
    </cfRule>
  </conditionalFormatting>
  <dataValidations count="16">
    <dataValidation type="date" operator="greaterThan" allowBlank="1" showInputMessage="1" showErrorMessage="1" sqref="E8:G8" xr:uid="{00000000-0002-0000-0400-000000000000}">
      <formula1>1</formula1>
    </dataValidation>
    <dataValidation type="list" operator="greaterThan" allowBlank="1" showInputMessage="1" showErrorMessage="1" sqref="E18:G18" xr:uid="{00000000-0002-0000-0400-000001000000}">
      <formula1>$F$65:$F$66</formula1>
    </dataValidation>
    <dataValidation type="list" allowBlank="1" showInputMessage="1" showErrorMessage="1" sqref="L27" xr:uid="{00000000-0002-0000-0400-000002000000}">
      <formula1>$I$65:$I$69</formula1>
    </dataValidation>
    <dataValidation type="list" allowBlank="1" showInputMessage="1" showErrorMessage="1" sqref="E5:G5" xr:uid="{00000000-0002-0000-0400-000003000000}">
      <formula1>$L$65:$L$66</formula1>
    </dataValidation>
    <dataValidation type="list" allowBlank="1" showInputMessage="1" showErrorMessage="1" sqref="E9:G9" xr:uid="{00000000-0002-0000-0400-000004000000}">
      <formula1>$S$65:$S$66</formula1>
    </dataValidation>
    <dataValidation type="list" allowBlank="1" showInputMessage="1" showErrorMessage="1" sqref="E16:G16" xr:uid="{00000000-0002-0000-0400-000005000000}">
      <formula1>$V$64:$V$65</formula1>
    </dataValidation>
    <dataValidation type="date" operator="greaterThan" allowBlank="1" showInputMessage="1" showErrorMessage="1" errorTitle="Date / Datum" error="EN_x000a_Not a plausible date!_x000a__x000a_DE_x000a_Kein plausibles Datum!" sqref="E11:G11" xr:uid="{00000000-0002-0000-0400-000006000000}">
      <formula1>F69</formula1>
    </dataValidation>
    <dataValidation type="date" operator="lessThan" allowBlank="1" showErrorMessage="1" errorTitle="Date / Datum" error="EN_x000a_Rregistration must occur before certification._x000a__x000a_DE_x000a_Die Anmeldung muss vor der Zertifizierung stattfinden._x000a_" promptTitle="Registration date / Datum der An" prompt="EN_x000a_The registration must occur before the certification!_x000a__x000a_DE_x000a_Die nmeldung muss vor der Zertifizierung stattfinden!" sqref="E10:G10" xr:uid="{00000000-0002-0000-0400-000007000000}">
      <formula1>E11</formula1>
    </dataValidation>
    <dataValidation type="date" allowBlank="1" showInputMessage="1" showErrorMessage="1" errorTitle="Date / Datum" error="EN_x000a_Admission must occur after applic. and before certific. (for re-cert within 12 months after current certificate expires)_x000a__x000a_DE _x000a_Zul. muss nach Anmeldg. und vor Zertif., für ReZ innerhalb 12 Monate nach Ablauf Zertifikat" sqref="V10:W10" xr:uid="{00000000-0002-0000-0400-000008000000}">
      <formula1>E10</formula1>
      <formula2>F70</formula2>
    </dataValidation>
    <dataValidation allowBlank="1" showInputMessage="1" errorTitle="Date / Datum" error="EN_x000a_Admission must occur after applic. and before certific. (for re-cert within 12 months after current certificate expires)_x000a__x000a_DE _x000a_Zul. muss nach Anmeldg. und vor Zertif., für ReZ innerhalb 12 Monate nach Ablauf Zertifikat" sqref="V11:W11" xr:uid="{00000000-0002-0000-0400-000009000000}"/>
    <dataValidation type="list" allowBlank="1" showInputMessage="1" sqref="M9:M24" xr:uid="{00000000-0002-0000-0400-00000A000000}">
      <formula1>$M$75:$M$99</formula1>
    </dataValidation>
    <dataValidation type="list" allowBlank="1" sqref="N9:N24" xr:uid="{00000000-0002-0000-0400-00000B000000}">
      <formula1>$N$75:$N$78</formula1>
    </dataValidation>
    <dataValidation type="list" allowBlank="1" showInputMessage="1" showErrorMessage="1" sqref="L26:O26" xr:uid="{00000000-0002-0000-0400-00000C000000}">
      <formula1>$P$65:$P$75</formula1>
    </dataValidation>
    <dataValidation type="list" allowBlank="1" showInputMessage="1" showErrorMessage="1" sqref="E17:G17" xr:uid="{00000000-0002-0000-0400-00000D000000}">
      <formula1>$S$72:$S$72</formula1>
    </dataValidation>
    <dataValidation type="list" allowBlank="1" showInputMessage="1" sqref="O9:O24" xr:uid="{00000000-0002-0000-0400-00000E000000}">
      <formula1>$O$110:$O$126</formula1>
    </dataValidation>
    <dataValidation type="list" allowBlank="1" sqref="L9:L24" xr:uid="{00000000-0002-0000-0400-00000F000000}">
      <formula1>$N$94:$N$95</formula1>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dataBar" id="{6DBFEE8B-D33E-4902-91FB-B820CE240AAB}">
            <x14:dataBar minLength="0" maxLength="100" border="1" direction="leftToRight" negativeBarBorderColorSameAsPositive="0">
              <x14:cfvo type="percent">
                <xm:f>0</xm:f>
              </x14:cfvo>
              <x14:cfvo type="percent">
                <xm:f>100</xm:f>
              </x14:cfvo>
              <x14:borderColor rgb="FF638EC6"/>
              <x14:negativeFillColor rgb="FFFF0000"/>
              <x14:negativeBorderColor rgb="FFFF0000"/>
              <x14:axisColor rgb="FF000000"/>
            </x14:dataBar>
          </x14:cfRule>
          <xm:sqref>E15 E23 F25 F27 F29:F33 E34:E61 E63:E1048576</xm:sqref>
        </x14:conditionalFormatting>
        <x14:conditionalFormatting xmlns:xm="http://schemas.microsoft.com/office/excel/2006/main">
          <x14:cfRule type="dataBar" id="{01EA84CE-0F91-43C6-9EE5-486B0B27813F}">
            <x14:dataBar minLength="0" maxLength="100" border="1" direction="leftToRight" negativeBarBorderColorSameAsPositive="0">
              <x14:cfvo type="percent">
                <xm:f>0</xm:f>
              </x14:cfvo>
              <x14:cfvo type="percent">
                <xm:f>100</xm:f>
              </x14:cfvo>
              <x14:borderColor rgb="FF638EC6"/>
              <x14:negativeFillColor rgb="FFFF0000"/>
              <x14:negativeBorderColor rgb="FFFF0000"/>
              <x14:axisColor rgb="FF000000"/>
            </x14:dataBar>
          </x14:cfRule>
          <xm:sqref>F25:F27 F29:F33</xm:sqref>
        </x14:conditionalFormatting>
        <x14:conditionalFormatting xmlns:xm="http://schemas.microsoft.com/office/excel/2006/main">
          <x14:cfRule type="dataBar" id="{8D48EC69-FCC9-4DB6-BC13-D89EAFA69689}">
            <x14:dataBar minLength="0" maxLength="100" border="1" negativeBarBorderColorSameAsPositive="0">
              <x14:cfvo type="autoMin"/>
              <x14:cfvo type="autoMax"/>
              <x14:borderColor rgb="FF638EC6"/>
              <x14:negativeFillColor rgb="FFFF0000"/>
              <x14:negativeBorderColor rgb="FFFF0000"/>
              <x14:axisColor rgb="FF000000"/>
            </x14:dataBar>
          </x14:cfRule>
          <xm:sqref>F26</xm:sqref>
        </x14:conditionalFormatting>
      </x14:conditionalFormatting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488DB-581E-42A5-B891-EF0211797FC0}">
  <sheetPr codeName="Sheet41">
    <tabColor theme="9" tint="-0.24994659260841701"/>
  </sheetPr>
  <dimension ref="B1:L70"/>
  <sheetViews>
    <sheetView showGridLines="0" showZeros="0" workbookViewId="0">
      <pane xSplit="8" ySplit="9" topLeftCell="I10" activePane="bottomRight" state="frozenSplit"/>
      <selection activeCell="B109" sqref="B109"/>
      <selection pane="topRight" activeCell="B109" sqref="B109"/>
      <selection pane="bottomLeft" activeCell="B109" sqref="B109"/>
      <selection pane="bottomRight" activeCell="I11" sqref="I11"/>
    </sheetView>
  </sheetViews>
  <sheetFormatPr baseColWidth="10" defaultColWidth="10" defaultRowHeight="14"/>
  <cols>
    <col min="1" max="1" width="2.6640625" style="472" customWidth="1"/>
    <col min="2" max="2" width="5.5" style="471" customWidth="1"/>
    <col min="3" max="3" width="17.1640625" style="472" customWidth="1"/>
    <col min="4" max="4" width="46.33203125" style="472" customWidth="1"/>
    <col min="5" max="8" width="26.5" style="472" customWidth="1"/>
    <col min="9" max="10" width="11.1640625" style="471" customWidth="1"/>
    <col min="11" max="11" width="55.33203125" style="473" customWidth="1"/>
    <col min="12" max="12" width="9.6640625" style="472" customWidth="1"/>
    <col min="13" max="16384" width="10" style="472"/>
  </cols>
  <sheetData>
    <row r="1" spans="2:11" ht="20.25" customHeight="1" thickBot="1">
      <c r="B1" s="497" t="str">
        <f ca="1">COV!C20</f>
        <v>DECKBLATT BITTE VOLLSTÄNDIG AUSFÜLLEN!</v>
      </c>
      <c r="C1" s="459"/>
      <c r="D1" s="459"/>
      <c r="E1" s="459"/>
      <c r="F1" s="459"/>
      <c r="G1" s="459"/>
      <c r="H1" s="459"/>
      <c r="I1" s="459"/>
      <c r="J1" s="459"/>
      <c r="K1" s="459"/>
    </row>
    <row r="2" spans="2:11" ht="5.25" customHeight="1" thickTop="1"/>
    <row r="3" spans="2:11" ht="21">
      <c r="B3" s="2046" t="str">
        <f>Dictionary!B680&amp;'(7b) Project List'!A21&amp;IF('(7b) Project List'!B21="","",": "&amp;'(7b) Project List'!B21)</f>
        <v>Bewertung der Managementkomplexität für Erfahrung 13</v>
      </c>
      <c r="C3" s="2046"/>
      <c r="D3" s="2046"/>
      <c r="E3" s="2046"/>
      <c r="F3" s="2046"/>
      <c r="G3" s="2046"/>
      <c r="H3" s="2046"/>
      <c r="I3" s="2046"/>
      <c r="J3" s="2046"/>
      <c r="K3" s="2046"/>
    </row>
    <row r="4" spans="2:11" s="498" customFormat="1" ht="21">
      <c r="B4" s="488"/>
      <c r="C4" s="488"/>
      <c r="D4" s="488"/>
      <c r="E4" s="488"/>
      <c r="F4" s="488"/>
      <c r="G4" s="488"/>
      <c r="H4" s="488"/>
      <c r="I4" s="488"/>
      <c r="J4" s="488"/>
      <c r="K4" s="488"/>
    </row>
    <row r="5" spans="2:11" s="467" customFormat="1" ht="22.5" customHeight="1">
      <c r="B5" s="489" t="str">
        <f>EXP!B5</f>
        <v xml:space="preserve"> , Level A, Projekt Management, Erstzertifizierung</v>
      </c>
      <c r="C5" s="491"/>
      <c r="D5" s="491"/>
      <c r="E5" s="492"/>
      <c r="F5" s="491"/>
      <c r="G5" s="493"/>
      <c r="H5" s="492"/>
      <c r="I5" s="492"/>
      <c r="J5" s="492"/>
      <c r="K5" s="494"/>
    </row>
    <row r="6" spans="2:11" s="467" customFormat="1" ht="20" customHeight="1">
      <c r="B6" s="466"/>
      <c r="C6" s="468"/>
      <c r="D6" s="468"/>
      <c r="E6" s="321"/>
      <c r="F6" s="2183"/>
      <c r="G6" s="2183"/>
      <c r="H6" s="2183"/>
      <c r="I6" s="469"/>
      <c r="J6" s="470"/>
    </row>
    <row r="7" spans="2:11" ht="15" customHeight="1"/>
    <row r="8" spans="2:11" s="334" customFormat="1" ht="22.25" customHeight="1">
      <c r="B8" s="2184" t="s">
        <v>294</v>
      </c>
      <c r="C8" s="2187" t="str">
        <f>Dictionary!B681</f>
        <v>Komplexitätsindikatoren und Teilindikatoren</v>
      </c>
      <c r="D8" s="2188"/>
      <c r="E8" s="2186" t="str">
        <f>Dictionary!B682</f>
        <v>Zu bewertende Kriterien:</v>
      </c>
      <c r="F8" s="2186"/>
      <c r="G8" s="2186"/>
      <c r="H8" s="2186"/>
      <c r="I8" s="2177" t="str">
        <f>Dictionary!B683</f>
        <v>Bewertungen und Kommentare</v>
      </c>
      <c r="J8" s="2178"/>
      <c r="K8" s="2179"/>
    </row>
    <row r="9" spans="2:11" s="334" customFormat="1" ht="30" customHeight="1">
      <c r="B9" s="2185"/>
      <c r="C9" s="2189"/>
      <c r="D9" s="2190"/>
      <c r="E9" s="474" t="str">
        <f>Dictionary!B684</f>
        <v>wenig komplex   (1)</v>
      </c>
      <c r="F9" s="474" t="str">
        <f>Dictionary!B685</f>
        <v>begrenzt komplex   (2)</v>
      </c>
      <c r="G9" s="474" t="str">
        <f>Dictionary!B686</f>
        <v>komplex   (3)</v>
      </c>
      <c r="H9" s="474" t="str">
        <f>Dictionary!B687</f>
        <v>sehr komplex   (4)</v>
      </c>
      <c r="I9" s="475" t="str">
        <f>Dictionary!B689</f>
        <v>Bewerber/in</v>
      </c>
      <c r="J9" s="476" t="str">
        <f>Dictionary!B690</f>
        <v>Leitende/r Assessor/in</v>
      </c>
      <c r="K9" s="476" t="str">
        <f>Dictionary!B691</f>
        <v>Anmerkungen, Kommentare, Nachweise (fakultativ)</v>
      </c>
    </row>
    <row r="10" spans="2:11" ht="30" customHeight="1">
      <c r="B10" s="477">
        <v>1</v>
      </c>
      <c r="C10" s="2180" t="str">
        <f>Dictionary!B693</f>
        <v>Indikatoren bezogen auf die technischen Fähigkeiten</v>
      </c>
      <c r="D10" s="2181"/>
      <c r="E10" s="2181"/>
      <c r="F10" s="2181"/>
      <c r="G10" s="2181"/>
      <c r="H10" s="2182"/>
      <c r="K10" s="478"/>
    </row>
    <row r="11" spans="2:11" ht="75">
      <c r="B11" s="479">
        <f>B10+0.1</f>
        <v>1.1000000000000001</v>
      </c>
      <c r="C11" s="558" t="str">
        <f>Dictionary!B694</f>
        <v>Ziele und Ergebnisse</v>
      </c>
      <c r="D11" s="558" t="str">
        <f>Dictionary!B695</f>
        <v>Anzahl und Unterschiedlichkeit der Einzelziele unter Berücksichtigung der Ziele und Erwartungen der relevanten Stakeholder, unterschiedliche Zielkategorien: Prozessziele, Nutzungsziele (Business Case), Operationalisierbarkeit, Transparenz und Abhängigkeiten</v>
      </c>
      <c r="E11" s="557" t="str">
        <f>Dictionary!B696</f>
        <v>sehr wenige klare Ziele, alle quantitativ angegeben, operabel</v>
      </c>
      <c r="F11" s="557" t="str">
        <f>Dictionary!B697</f>
        <v>wenige Ziele, gut formuliert, wenig Zielkonflikte</v>
      </c>
      <c r="G11" s="557" t="str">
        <f>Dictionary!B698</f>
        <v>mehrere Ziele unterschiedlicher Art, teilweise unklar definiert</v>
      </c>
      <c r="H11" s="557" t="str">
        <f>Dictionary!B699</f>
        <v>viele, teilweise konkurrierende  Ziele, strategische und politische Ziele, versteckte Ziele, Nutzungsziele</v>
      </c>
      <c r="I11" s="495"/>
      <c r="J11" s="495"/>
      <c r="K11" s="496"/>
    </row>
    <row r="12" spans="2:11" ht="65">
      <c r="B12" s="479">
        <f>B11+0.1</f>
        <v>1.2000000000000002</v>
      </c>
      <c r="C12" s="558" t="str">
        <f>Dictionary!B701</f>
        <v>Aufgaben und Prozesse</v>
      </c>
      <c r="D12" s="558" t="str">
        <f>Dictionary!B702</f>
        <v>Umfang der Aufgaben, Annahmen und Randbedingungen und deren Abhängigkeiten, eingesetzte Prozesse, Tools und Methoden, eingesetzte Team- und Kommunikationsstrukturen</v>
      </c>
      <c r="E12" s="557" t="str">
        <f>Dictionary!B703</f>
        <v>bekannte Aufgabenstellung und Randbedingungen; wenige Standard-/Reportingverfahren</v>
      </c>
      <c r="F12" s="557" t="str">
        <f>Dictionary!B704</f>
        <v>mehrere Aufgaben, ergänzt durch Annahmen; Einsatz bekannter Prozesse und Tools, einige Reporting-Vorgaben</v>
      </c>
      <c r="G12" s="557" t="str">
        <f>Dictionary!B705</f>
        <v>umfangreiches System von Aufgaben und Annahmen; viele Sachfaktoren; teilweise Einsatz neuartiger Tools und Prozesse, Reporting-Vorgaben</v>
      </c>
      <c r="H12" s="557" t="str">
        <f>Dictionary!B706</f>
        <v>sehr komplexe Aufgabenstellung, umfangreiches sachliches Umfeld; erfordert den Einsatz umfangreicher Prozess- und Toolwelt, strenge Reporting-Vorgaben</v>
      </c>
      <c r="I12" s="495"/>
      <c r="J12" s="495"/>
      <c r="K12" s="496"/>
    </row>
    <row r="13" spans="2:11" ht="65">
      <c r="B13" s="479">
        <f>B12+0.1</f>
        <v>1.3000000000000003</v>
      </c>
      <c r="C13" s="558" t="str">
        <f>Dictionary!B708</f>
        <v>Ressourcen und Finanzen</v>
      </c>
      <c r="D13" s="558" t="str">
        <f>Dictionary!B709</f>
        <v>Akquisition und Bereitstellung der erforderlichen Budgets sowie deren Management; Anzahl der Geldgeber; Verfügbarkeit und Qualität der notwendigen (personellen und sonstigen) Ressourcen; Ressourcen-Management und Beschaffungsprozesse</v>
      </c>
      <c r="E13" s="557" t="str">
        <f>Dictionary!B710</f>
        <v>Budget-Ermittlung ohne Verhandlung, einfache Kostenüberwachung; Ressourcen verfügbar, geringe Ressourcenkonflikte; geringfügige Beschaffungsvorgänge</v>
      </c>
      <c r="F13" s="557" t="str">
        <f>Dictionary!B711</f>
        <v>Budget-Ermittlung und  -Verhandlung; Verhandlung der benötigten Ressourcen, teilweise externe Ressourcen-Beschaffung</v>
      </c>
      <c r="G13" s="557" t="str">
        <f>Dictionary!B712</f>
        <v>Budget- und Ressourcenbeschaffung im Wettbewerb mit anderen Projekten; wesentliche Beschaffungsvorgänge</v>
      </c>
      <c r="H13" s="557" t="str">
        <f>Dictionary!B713</f>
        <v>Beschaffung wesentlicher Finanzmittel, Finanzierung durch unterschiedliche Geldgeber intern und extern; Steuerung wesentlicher Unterauftragnehmer</v>
      </c>
      <c r="I13" s="495"/>
      <c r="J13" s="495"/>
      <c r="K13" s="496"/>
    </row>
    <row r="14" spans="2:11" ht="60">
      <c r="B14" s="479">
        <f>B13+0.1</f>
        <v>1.4000000000000004</v>
      </c>
      <c r="C14" s="558" t="str">
        <f>Dictionary!B715</f>
        <v>Chancen und Risiken</v>
      </c>
      <c r="D14" s="558" t="str">
        <f>Dictionary!B716</f>
        <v xml:space="preserve">Bewertung der Chancen und Risiken im Projekt; Ermittlung und Steuerung des Risikosystems; Ableitung von validen Maßnahmen; Ermittlung und Nutzung von Chancen; Anwendung von Tools zur Steuerung des Risiko-Budgets </v>
      </c>
      <c r="E14" s="557" t="str">
        <f>Dictionary!B717</f>
        <v>wenige Risiken in überschaubarer Höhe, kein Chancen-Management</v>
      </c>
      <c r="F14" s="557" t="str">
        <f>Dictionary!B718</f>
        <v>mehrere Risiken und Chancen; stabiles Risiko-System; Management eines Risiko-Budgets</v>
      </c>
      <c r="G14" s="557" t="str">
        <f>Dictionary!B719</f>
        <v>mehrere Risiken mit begrenzter Schadenshöhe; Möglichkeit der Chancen-Nutzung zur Entlastung des Projektes</v>
      </c>
      <c r="H14" s="557" t="str">
        <f>Dictionary!B720</f>
        <v>Umfangreiches Risiko-Potential inklusive hoher strategischer Risiken; Anwendung valider Steuerungsmöglichkeiten; Meldung nach KONTRAG</v>
      </c>
      <c r="I14" s="495"/>
      <c r="J14" s="495"/>
      <c r="K14" s="496"/>
    </row>
    <row r="15" spans="2:11" s="387" customFormat="1" ht="24" customHeight="1">
      <c r="H15" s="387" t="str">
        <f>Dictionary!B721</f>
        <v>Durchschnitt der eingegebenen Detailbewertungen:</v>
      </c>
      <c r="I15" s="480" t="str">
        <f>IF(SUM(I11:I14)=0,"",ROUNDDOWN(AVERAGE(I11:I14),1))</f>
        <v/>
      </c>
      <c r="J15" s="480" t="str">
        <f>IF(SUM(J11:J14)=0,"",ROUNDDOWN(AVERAGE(J11:J14),1))</f>
        <v/>
      </c>
      <c r="K15" s="481"/>
    </row>
    <row r="16" spans="2:11">
      <c r="C16" s="473"/>
      <c r="D16" s="473"/>
      <c r="E16" s="482"/>
      <c r="F16" s="482"/>
      <c r="G16" s="482"/>
      <c r="H16" s="482"/>
    </row>
    <row r="17" spans="2:11" ht="30" customHeight="1">
      <c r="B17" s="477">
        <v>2</v>
      </c>
      <c r="C17" s="2180" t="str">
        <f>Dictionary!B723</f>
        <v>Indikatoren bezogen auf den Kontext</v>
      </c>
      <c r="D17" s="2181"/>
      <c r="E17" s="2181"/>
      <c r="F17" s="2181"/>
      <c r="G17" s="2181"/>
      <c r="H17" s="2182"/>
    </row>
    <row r="18" spans="2:11" ht="60">
      <c r="B18" s="479">
        <f>B17+0.1</f>
        <v>2.1</v>
      </c>
      <c r="C18" s="558" t="str">
        <f>Dictionary!B724</f>
        <v xml:space="preserve">Strategie, Stakeholder </v>
      </c>
      <c r="D18" s="558" t="str">
        <f>Dictionary!B725</f>
        <v>Einfluss der Unternehmens-Strategie, Auswirkungen des Projektes auf das Unternehmen, Stakeholder-Interessen;
Gesetze und Regularien</v>
      </c>
      <c r="E18" s="559" t="str">
        <f>Dictionary!B726</f>
        <v>wenige strategische Einflüsse; Projekt ist rein operativ ausgerichtet</v>
      </c>
      <c r="F18" s="559" t="str">
        <f>Dictionary!B727</f>
        <v>Stakeholder-Interessen  beeinflussen das Projekt begrenzte Einflüsse aus der Unternehmens-Strategie</v>
      </c>
      <c r="G18" s="559" t="str">
        <f>Dictionary!B728</f>
        <v>Viele Komponenten (?) unterschiedlicher Art</v>
      </c>
      <c r="H18" s="559" t="str">
        <f>Dictionary!B729</f>
        <v>Projekt hat erheblichen Einfluss auf das Unternehmen und seinen Erfolg; starke Auswirkungen von Gesetzen und Regularien</v>
      </c>
      <c r="I18" s="495"/>
      <c r="J18" s="495"/>
      <c r="K18" s="496"/>
    </row>
    <row r="19" spans="2:11" ht="135">
      <c r="B19" s="479">
        <f>B18+0.1</f>
        <v>2.2000000000000002</v>
      </c>
      <c r="C19" s="558" t="str">
        <f>Dictionary!B731</f>
        <v>Stammorganisation</v>
      </c>
      <c r="D19" s="558" t="str">
        <f>Dictionary!B732</f>
        <v>Umfang der Vernetzung über Schnittstellen des Projektes mit den Strukturen, Berichtswesen und Entscheidungswegen der Stammorganisation</v>
      </c>
      <c r="E19" s="559" t="str">
        <f>Dictionary!B733</f>
        <v xml:space="preserve">starke Abgrenzung des Projektes von der Stammorganisation, Entscheidungen fallen wesentlich in der Stammorganisation, viele ähnliche Projekte wurden bereits im Unternehmen durchgeführt </v>
      </c>
      <c r="F19" s="559" t="str">
        <f>Dictionary!B734</f>
        <v>klare Schnittstellen zur Stammorganisation z.B. über Leitungsgremium; Berichtswesen und Entscheidungswege begrenzt und klar definiert Projekt hat geringe Auswirkungen auf Prozesse der Stammorganisation,  ähnliche Projekte wurden bereits im Unternehmen durchgeführt</v>
      </c>
      <c r="G19" s="559" t="str">
        <f>Dictionary!B735</f>
        <v>viele operative Schnittstellen wirken auf  das Projekt ein; Berichte und Entscheidungen machen erheblichen Arbeitsanteil aus, Projekt hat  Auswirkungen auf Prozesse der Stammorganisation, wenige ähnliche Projekte wurden bereits im Unternehmen durchgeführt</v>
      </c>
      <c r="H19" s="559" t="str">
        <f>Dictionary!B736</f>
        <v>Starke Einflüsse der Stammorganisation auf strategischer Ebene; Entscheidungen durch Verhandlungen mit der Stammorganisation, Projekt hat starke Auswirkungen auf Prozesse der Stammorganisation , Projekt ist neuartig für Unternehmen</v>
      </c>
      <c r="I19" s="495"/>
      <c r="J19" s="495"/>
      <c r="K19" s="496"/>
    </row>
    <row r="20" spans="2:11" ht="65">
      <c r="B20" s="479">
        <f>B19+0.1</f>
        <v>2.3000000000000003</v>
      </c>
      <c r="C20" s="558" t="str">
        <f>Dictionary!B738</f>
        <v>Sozio-Kulturelle Einflüsse</v>
      </c>
      <c r="D20" s="558" t="str">
        <f>Dictionary!B739</f>
        <v>Einfluss der sozio-kulturellen Unterschiede im Projektteam, insbesondere bei verteilten oder Firmen-übergreifenden Teams</v>
      </c>
      <c r="E20" s="557" t="str">
        <f>Dictionary!B740</f>
        <v>keine Auswirkungen zu erwarten (Projekt an einem Standort, eine Sprache, homogene Projektgruppe)</v>
      </c>
      <c r="F20" s="557" t="str">
        <f>Dictionary!B741</f>
        <v>wenig Auswirkungen zu erwarten</v>
      </c>
      <c r="G20" s="557" t="str">
        <f>Dictionary!B742</f>
        <v>Auswirkungen infolge lokal verteilter Teams, mehreren Sprachen oder heterogenen Kulturkreisen erfordern in Einzelfällen Führungsmaßnahmen</v>
      </c>
      <c r="H20" s="557" t="str">
        <f>Dictionary!B743</f>
        <v>Auswirkungen infolge lokal verteilter Teams oder großer Teams aus unterschiedlichen Unternehmen und Kulturkreisen erfordern umfangreiche Führungsmaßnahmen</v>
      </c>
      <c r="I20" s="495"/>
      <c r="J20" s="495"/>
      <c r="K20" s="496"/>
    </row>
    <row r="21" spans="2:11" s="387" customFormat="1" ht="24" customHeight="1">
      <c r="H21" s="387" t="str">
        <f>Dictionary!B744</f>
        <v>Durchschnitt der eingegebenen Detailbewertungen:</v>
      </c>
      <c r="I21" s="480" t="str">
        <f>IF(SUM(I18:I20)=0,"",ROUNDDOWN(AVERAGE(I18:I20),1))</f>
        <v/>
      </c>
      <c r="J21" s="480" t="str">
        <f>IF(SUM(J18:J20)=0,"",ROUNDDOWN(AVERAGE(J18:J20),1))</f>
        <v/>
      </c>
      <c r="K21" s="481"/>
    </row>
    <row r="22" spans="2:11">
      <c r="C22" s="473"/>
      <c r="D22" s="473"/>
      <c r="E22" s="482"/>
      <c r="F22" s="482"/>
      <c r="G22" s="482"/>
      <c r="H22" s="482"/>
    </row>
    <row r="23" spans="2:11" ht="30" customHeight="1">
      <c r="B23" s="477">
        <v>3</v>
      </c>
      <c r="C23" s="2180" t="str">
        <f>Dictionary!B746</f>
        <v>Indikatoren bezogen auf Management und Führung</v>
      </c>
      <c r="D23" s="2181"/>
      <c r="E23" s="2181"/>
      <c r="F23" s="2181"/>
      <c r="G23" s="2181"/>
      <c r="H23" s="2182"/>
    </row>
    <row r="24" spans="2:11" ht="90">
      <c r="B24" s="479">
        <f>B23+0.1</f>
        <v>3.1</v>
      </c>
      <c r="C24" s="560" t="str">
        <f>Dictionary!B747</f>
        <v xml:space="preserve">Führung und Teamwork </v>
      </c>
      <c r="D24" s="560" t="str">
        <f>Dictionary!B748</f>
        <v>Umfang der Führungs-, Teambildungs und-Steuerungsmaßnahmen</v>
      </c>
      <c r="E24" s="559" t="str">
        <f>Dictionary!B749</f>
        <v>fast alle Teammitglieder haben bereits mit PL gearbeitet, PL hat Erfahrung im Mgt von Teams über 5 J, Governance Vorgaben sind klar definiert, das Projektteam hat hohe PM Skills</v>
      </c>
      <c r="F24" s="559" t="str">
        <f>Dictionary!B750</f>
        <v>sehr viele Teammitglieder haben bereits mit PL gearbeitet, PL hat Erfahrung im Mgt von Teams über 3 J, governance Vorgaben sind teilweise definiert, das Projektteam hat  PM Skills</v>
      </c>
      <c r="G24" s="559" t="str">
        <f>Dictionary!B751</f>
        <v>viele Teammitglieder haben bereits mit PL gearbeitet, PL hat Erfahrung im Mgt von Teams über 1-2 J, einige Governance Vorgaben sind klar definiert, das Projektteam hat einige PM Skills</v>
      </c>
      <c r="H24" s="559" t="str">
        <f>Dictionary!B752</f>
        <v>wenige Teammitglieder haben bereits mit PL gearbeitet, PL hat Erfahrung im Mgt von Teams weniger 1J, wenige Governance Vorgaben sind definiert, das Projektteam hat sehr wenig PM Skills</v>
      </c>
      <c r="I24" s="495"/>
      <c r="J24" s="495"/>
      <c r="K24" s="496"/>
    </row>
    <row r="25" spans="2:11" ht="91" customHeight="1">
      <c r="B25" s="479">
        <f>B24+0.1</f>
        <v>3.2</v>
      </c>
      <c r="C25" s="558" t="str">
        <f>Dictionary!B754</f>
        <v xml:space="preserve"> Innovation</v>
      </c>
      <c r="D25" s="558" t="str">
        <f>Dictionary!B755</f>
        <v>technische Neuartigkeit des Projektes und seine Auswirkungen auf Ressourcenauswahl und Aus- und Weiterbildung während des Projektes; Umgang mit neuartigen Ansätzen und Ergebnissen</v>
      </c>
      <c r="E25" s="559" t="str">
        <f>Dictionary!B756</f>
        <v>kein Handlungsbedarf infolge geringer Neuartigkeit, z.B. Wiederholprojekte</v>
      </c>
      <c r="F25" s="559" t="str">
        <f>Dictionary!B757</f>
        <v>einige Maßnahmen erforderlich infolge der Neuartigkeit in einzelnen Bereichen</v>
      </c>
      <c r="G25" s="559" t="str">
        <f>Dictionary!B758</f>
        <v>Neuartigkeit des Projektgegenstandes und/oder von Prozessen bedingt vorbereitende Qualifizerungsmaßnahmen</v>
      </c>
      <c r="H25" s="559" t="str">
        <f>Dictionary!B759</f>
        <v xml:space="preserve">Neuartigkeit des Projektgegenstandes und/oder von Prozessen in Verbindung mit großem Projektvolumen bedingt Planung der Qualifizierung, aber auch intensives Risiko-Management </v>
      </c>
      <c r="I25" s="495"/>
      <c r="J25" s="495"/>
      <c r="K25" s="496"/>
    </row>
    <row r="26" spans="2:11" ht="60">
      <c r="B26" s="479">
        <f>B25+0.1</f>
        <v>3.3000000000000003</v>
      </c>
      <c r="C26" s="558" t="str">
        <f>Dictionary!B761</f>
        <v>Autonomie und Verantwortung</v>
      </c>
      <c r="D26" s="558" t="str">
        <f>Dictionary!B762</f>
        <v>Entscheidungs- und Verantwortungsspielraum des Projektleiters; Umfang der Delegation in das Projektteam; Vertretung des Projektes gegenüber dem gesamten sozialen Umfeld</v>
      </c>
      <c r="E26" s="559" t="str">
        <f>Dictionary!B763</f>
        <v xml:space="preserve">wenig Autonomie/Gestaltungsspielräume des PL bzgl. Entscheidungen und Vertretung des Projektes nach aussen </v>
      </c>
      <c r="F26" s="559" t="str">
        <f>Dictionary!B764</f>
        <v>Verhandlung Lasten- und Pflichtenheft; Gesaltungs-spielräume ergeben sich hauptsächlich durch Änderungsprozesse</v>
      </c>
      <c r="G26" s="559" t="str">
        <f>Dictionary!B765</f>
        <v>Projektleiter vertritt das Projekt und damit auch das Unternehmen auch gegenüber externen Stakeholdern</v>
      </c>
      <c r="H26" s="559" t="str">
        <f>Dictionary!B766</f>
        <v>umfangreiche Verantwortungs- und Entscheidungsspielräume, z.B. durch Vollmachts- oder Unterschriftenregelung</v>
      </c>
      <c r="I26" s="495"/>
      <c r="J26" s="495"/>
      <c r="K26" s="496"/>
    </row>
    <row r="27" spans="2:11" s="387" customFormat="1" ht="24" customHeight="1">
      <c r="H27" s="387" t="str">
        <f>Dictionary!B767</f>
        <v>Durchschnitt der eingegebenen Detailbewertungen:</v>
      </c>
      <c r="I27" s="480" t="str">
        <f>IF(SUM(I24:I26)=0,"",ROUNDDOWN(AVERAGE(I24:I26),1))</f>
        <v/>
      </c>
      <c r="J27" s="480" t="str">
        <f>IF(SUM(J24:J26)=0,"",ROUNDDOWN(AVERAGE(J24:J26),1))</f>
        <v/>
      </c>
      <c r="K27" s="481"/>
    </row>
    <row r="28" spans="2:11">
      <c r="C28" s="473"/>
      <c r="D28" s="473"/>
      <c r="E28" s="482"/>
      <c r="F28" s="482"/>
      <c r="G28" s="482"/>
      <c r="H28" s="482"/>
    </row>
    <row r="29" spans="2:11" ht="17" customHeight="1"/>
    <row r="30" spans="2:11" ht="17" customHeight="1">
      <c r="F30" s="334" t="str">
        <f>Dictionary!B768</f>
        <v>Zusammenfassende Bewertungen (gerundet)</v>
      </c>
    </row>
    <row r="31" spans="2:11" ht="17" customHeight="1">
      <c r="G31" s="483" t="str">
        <f>Dictionary!B769</f>
        <v>Indikator</v>
      </c>
      <c r="H31" s="471">
        <v>1</v>
      </c>
      <c r="I31" s="484" t="str">
        <f>IF(I15="","",I15)</f>
        <v/>
      </c>
      <c r="J31" s="484" t="str">
        <f>IF(J15="","",J15)</f>
        <v/>
      </c>
    </row>
    <row r="32" spans="2:11" ht="17" customHeight="1">
      <c r="G32" s="483" t="str">
        <f>Dictionary!B769</f>
        <v>Indikator</v>
      </c>
      <c r="H32" s="471">
        <f>1+H31</f>
        <v>2</v>
      </c>
      <c r="I32" s="485" t="str">
        <f>IF(I21="","",I21)</f>
        <v/>
      </c>
      <c r="J32" s="485" t="str">
        <f>IF(J21="","",J21)</f>
        <v/>
      </c>
    </row>
    <row r="33" spans="2:12" ht="17" customHeight="1">
      <c r="G33" s="483" t="str">
        <f>Dictionary!B769</f>
        <v>Indikator</v>
      </c>
      <c r="H33" s="471">
        <f>1+H32</f>
        <v>3</v>
      </c>
      <c r="I33" s="485" t="str">
        <f>IF(I27="","",I27)</f>
        <v/>
      </c>
      <c r="J33" s="485" t="str">
        <f>IF(J27="","",J27)</f>
        <v/>
      </c>
    </row>
    <row r="34" spans="2:12" s="473" customFormat="1" ht="17" customHeight="1">
      <c r="B34" s="471"/>
      <c r="C34" s="472"/>
      <c r="D34" s="472"/>
      <c r="E34" s="472"/>
      <c r="F34" s="472"/>
      <c r="G34" s="472"/>
      <c r="H34" s="387" t="str">
        <f>Dictionary!B770</f>
        <v xml:space="preserve">Gesamtbewertung   </v>
      </c>
      <c r="I34" s="485">
        <f>SUM(I11:I14)+SUM(I18:I20)+SUM(I24:I26)</f>
        <v>0</v>
      </c>
      <c r="J34" s="485">
        <f>SUM(J11:J14)+SUM(J18:J20)+SUM(J24:J26)</f>
        <v>0</v>
      </c>
      <c r="L34" s="472"/>
    </row>
    <row r="35" spans="2:12" s="473" customFormat="1" ht="17" customHeight="1">
      <c r="B35" s="471"/>
      <c r="C35" s="472"/>
      <c r="D35" s="472"/>
      <c r="E35" s="472"/>
      <c r="F35" s="472"/>
      <c r="G35" s="472"/>
      <c r="H35" s="387"/>
      <c r="I35" s="486"/>
      <c r="J35" s="486"/>
      <c r="L35" s="472"/>
    </row>
    <row r="36" spans="2:12" s="473" customFormat="1" ht="17" customHeight="1">
      <c r="B36" s="471"/>
      <c r="C36" s="487"/>
      <c r="D36" s="487"/>
      <c r="E36" s="472"/>
      <c r="F36" s="472"/>
      <c r="G36" s="472"/>
      <c r="H36" s="472"/>
      <c r="I36" s="471"/>
      <c r="J36" s="471"/>
      <c r="L36" s="472"/>
    </row>
    <row r="37" spans="2:12" s="473" customFormat="1" ht="17" customHeight="1" thickBot="1">
      <c r="B37" s="460"/>
      <c r="C37" s="460"/>
      <c r="D37" s="460"/>
      <c r="E37" s="460"/>
      <c r="F37" s="460"/>
      <c r="G37" s="460"/>
      <c r="H37" s="460"/>
      <c r="I37" s="460"/>
      <c r="J37" s="460"/>
      <c r="K37" s="460"/>
      <c r="L37" s="472"/>
    </row>
    <row r="38" spans="2:12" s="473" customFormat="1" ht="17" customHeight="1">
      <c r="B38" s="89"/>
      <c r="C38" s="89"/>
      <c r="D38" s="89"/>
      <c r="F38" s="472"/>
      <c r="G38" s="472"/>
      <c r="H38" s="472"/>
      <c r="I38" s="471"/>
      <c r="J38" s="471"/>
      <c r="K38" s="464" t="s">
        <v>105</v>
      </c>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ht="17" customHeight="1"/>
    <row r="50" ht="17" customHeight="1"/>
    <row r="51" ht="17" customHeight="1"/>
    <row r="52" ht="17" customHeight="1"/>
    <row r="53" ht="17" customHeight="1"/>
    <row r="54" ht="17" customHeight="1"/>
    <row r="55" ht="17" customHeight="1"/>
    <row r="56" ht="17" customHeight="1"/>
    <row r="57" ht="17" customHeight="1"/>
    <row r="58" ht="17" customHeight="1"/>
    <row r="59" ht="17" customHeight="1"/>
    <row r="60" ht="17" customHeight="1"/>
    <row r="61" ht="17" customHeight="1"/>
    <row r="62" ht="17" customHeight="1"/>
    <row r="63" ht="17" customHeight="1"/>
    <row r="64" ht="17" customHeight="1"/>
    <row r="65" ht="17" customHeight="1"/>
    <row r="66" ht="17" customHeight="1"/>
    <row r="67" ht="17" customHeight="1"/>
    <row r="68" ht="17" customHeight="1"/>
    <row r="69" ht="17" customHeight="1"/>
    <row r="70" ht="17" customHeight="1"/>
  </sheetData>
  <sheetProtection algorithmName="SHA-512" hashValue="8XdYTsgRfDyttGzA7Re9pN3ZhkwUinhoW6RLXew4uYlShQPveIObtlZIYjCa8YXzj9SE30y4rwb2/uyo0AeaOA==" saltValue="Pv10zs2/5UgEc2Xm84NakA==" spinCount="100000" sheet="1" objects="1" scenarios="1" selectLockedCells="1"/>
  <mergeCells count="9">
    <mergeCell ref="C10:H10"/>
    <mergeCell ref="C17:H17"/>
    <mergeCell ref="C23:H23"/>
    <mergeCell ref="B3:K3"/>
    <mergeCell ref="F6:H6"/>
    <mergeCell ref="B8:B9"/>
    <mergeCell ref="C8:D9"/>
    <mergeCell ref="E8:H8"/>
    <mergeCell ref="I8:K8"/>
  </mergeCells>
  <conditionalFormatting sqref="I35:J35">
    <cfRule type="cellIs" dxfId="387" priority="1" operator="equal">
      <formula>"Yes"</formula>
    </cfRule>
    <cfRule type="cellIs" dxfId="386" priority="2" operator="equal">
      <formula>"No"</formula>
    </cfRule>
  </conditionalFormatting>
  <dataValidations count="1">
    <dataValidation type="whole" allowBlank="1" showInputMessage="1" showErrorMessage="1" sqref="I11:J14 I18:J20 I24:J26" xr:uid="{00000000-0002-0000-31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C3069-56B5-4566-82C2-6F5EB3761B08}">
  <sheetPr codeName="Sheet17">
    <tabColor theme="9"/>
  </sheetPr>
  <dimension ref="B1:E68"/>
  <sheetViews>
    <sheetView zoomScale="130" zoomScaleNormal="130" workbookViewId="0">
      <selection activeCell="B19" sqref="B19:E19"/>
    </sheetView>
  </sheetViews>
  <sheetFormatPr baseColWidth="10" defaultColWidth="11.5" defaultRowHeight="15"/>
  <cols>
    <col min="1" max="1" width="2.5" style="89" customWidth="1"/>
    <col min="2" max="2" width="45.5" style="89" customWidth="1"/>
    <col min="3" max="3" width="22.83203125" style="89" customWidth="1"/>
    <col min="4" max="4" width="32" style="89" customWidth="1"/>
    <col min="5" max="5" width="22.83203125" style="89" customWidth="1"/>
    <col min="6" max="6" width="3.1640625" style="89" customWidth="1"/>
    <col min="7" max="7" width="20" style="89" customWidth="1"/>
    <col min="8" max="9" width="11.5" style="89"/>
    <col min="10" max="10" width="8.5" style="89" customWidth="1"/>
    <col min="11" max="16384" width="11.5" style="89"/>
  </cols>
  <sheetData>
    <row r="1" spans="2:5" ht="15.75" customHeight="1" thickBot="1">
      <c r="B1" s="497" t="str">
        <f ca="1">COV!C20</f>
        <v>DECKBLATT BITTE VOLLSTÄNDIG AUSFÜLLEN!</v>
      </c>
      <c r="C1" s="459"/>
      <c r="D1" s="459"/>
      <c r="E1" s="459"/>
    </row>
    <row r="2" spans="2:5" ht="5.25" customHeight="1" thickTop="1"/>
    <row r="3" spans="2:5" ht="21">
      <c r="B3" s="2046" t="str">
        <f>Dictionary!B614&amp;'(7b) Project List'!A22</f>
        <v>Steckbrief für Management Erfahrung 14</v>
      </c>
      <c r="C3" s="2046"/>
      <c r="D3" s="2046"/>
      <c r="E3" s="2046"/>
    </row>
    <row r="4" spans="2:5" ht="21">
      <c r="B4" s="488"/>
      <c r="C4" s="488"/>
      <c r="D4" s="488"/>
      <c r="E4" s="488"/>
    </row>
    <row r="5" spans="2:5" ht="21">
      <c r="B5" s="489" t="str">
        <f>EXP!B5</f>
        <v xml:space="preserve"> , Level A, Projekt Management, Erstzertifizierung</v>
      </c>
      <c r="C5" s="490"/>
      <c r="D5" s="490"/>
      <c r="E5" s="490"/>
    </row>
    <row r="7" spans="2:5">
      <c r="B7" s="2013" t="str">
        <f>Dictionary!B618</f>
        <v>Kopfzeile</v>
      </c>
      <c r="C7" s="2013"/>
      <c r="D7" s="2013"/>
      <c r="E7" s="2013"/>
    </row>
    <row r="8" spans="2:5" ht="16.5" customHeight="1">
      <c r="B8" s="503" t="str">
        <f>EXP!D22&amp;" "&amp;Dictionary!B615</f>
        <v xml:space="preserve"> Name </v>
      </c>
      <c r="C8" s="504" t="str">
        <f>IF('(7b) Project List'!B22="","",'(7b) Project List'!B22)</f>
        <v/>
      </c>
      <c r="D8" s="508" t="str">
        <f>EXP!D22&amp;" "&amp;Dictionary!B616</f>
        <v xml:space="preserve"> Nummer </v>
      </c>
      <c r="E8" s="509"/>
    </row>
    <row r="9" spans="2:5" ht="16.5" customHeight="1">
      <c r="B9" s="510" t="str">
        <f>Dictionary!B617</f>
        <v>Kunde/AuftraggeberIn:</v>
      </c>
      <c r="C9" s="2138"/>
      <c r="D9" s="2138"/>
      <c r="E9" s="511"/>
    </row>
    <row r="10" spans="2:5" ht="16.5" customHeight="1"/>
    <row r="11" spans="2:5" ht="16.5" customHeight="1">
      <c r="B11" s="2013" t="str">
        <f>Dictionary!B620</f>
        <v>Governance &amp; eigene Rolle</v>
      </c>
      <c r="C11" s="2013"/>
      <c r="D11" s="2013"/>
      <c r="E11" s="2013"/>
    </row>
    <row r="12" spans="2:5" ht="16.5" customHeight="1">
      <c r="B12" s="503" t="str">
        <f>Dictionary!B621</f>
        <v>Eigene Rolle:</v>
      </c>
      <c r="C12" s="504" t="str">
        <f>IF('(7b) Project List'!E22="","",'(7b) Project List'!E22)</f>
        <v/>
      </c>
      <c r="D12" s="2130" t="str">
        <f>Dictionary!B622</f>
        <v>Anmerkungen:</v>
      </c>
      <c r="E12" s="2131"/>
    </row>
    <row r="13" spans="2:5" ht="16.5" customHeight="1">
      <c r="B13" s="505" t="str">
        <f>Dictionary!B623</f>
        <v>Verantwortung für den Umfang/die Ergebnisse:</v>
      </c>
      <c r="C13" s="506"/>
      <c r="D13" s="2142"/>
      <c r="E13" s="2143"/>
    </row>
    <row r="14" spans="2:5" ht="16.5" customHeight="1">
      <c r="B14" s="505" t="str">
        <f>Dictionary!B624</f>
        <v>Verantwortung für die Terminplanung:</v>
      </c>
      <c r="C14" s="506"/>
      <c r="D14" s="2142"/>
      <c r="E14" s="2143"/>
    </row>
    <row r="15" spans="2:5" ht="16.5" customHeight="1">
      <c r="B15" s="505" t="str">
        <f>Dictionary!B625</f>
        <v>Verantwortung für das Budget:</v>
      </c>
      <c r="C15" s="506"/>
      <c r="D15" s="2142"/>
      <c r="E15" s="2143"/>
    </row>
    <row r="16" spans="2:5" ht="16.5" customHeight="1">
      <c r="B16" s="561" t="str">
        <f>EXP!D22&amp;" "&amp;Dictionary!B627</f>
        <v xml:space="preserve"> Typ</v>
      </c>
      <c r="C16" s="507"/>
      <c r="D16" s="2142"/>
      <c r="E16" s="2143"/>
    </row>
    <row r="17" spans="2:5" ht="16.5" customHeight="1">
      <c r="B17" s="561" t="str">
        <f>Dictionary!B626</f>
        <v>Art der PM Organisation</v>
      </c>
      <c r="C17" s="507"/>
      <c r="D17" s="2142"/>
      <c r="E17" s="2143"/>
    </row>
    <row r="18" spans="2:5" ht="16.5" customHeight="1">
      <c r="B18" s="2139" t="str">
        <f>Dictionary!B628</f>
        <v>Kurze Beschreibung Ihrer eigenen Rolle, Verantwortung und Aktivitäten; wem sind Sie unterstellt?</v>
      </c>
      <c r="C18" s="2140"/>
      <c r="D18" s="2140"/>
      <c r="E18" s="2141"/>
    </row>
    <row r="19" spans="2:5" ht="57" customHeight="1">
      <c r="B19" s="2149"/>
      <c r="C19" s="2150"/>
      <c r="D19" s="2150"/>
      <c r="E19" s="2151"/>
    </row>
    <row r="20" spans="2:5" ht="18" customHeight="1"/>
    <row r="21" spans="2:5" ht="16.5" customHeight="1">
      <c r="B21" s="2013" t="str">
        <f>Dictionary!B630</f>
        <v>Allgemeine Informationen und Beschreibung</v>
      </c>
      <c r="C21" s="2013"/>
      <c r="D21" s="2013"/>
      <c r="E21" s="2013"/>
    </row>
    <row r="22" spans="2:5" ht="16.5" customHeight="1">
      <c r="B22" s="2157" t="str">
        <f>Dictionary!B631</f>
        <v>Kurze Beschreibung der KPI, Ergebnisse und Liefergegenstände:</v>
      </c>
      <c r="C22" s="2158"/>
      <c r="D22" s="2158"/>
      <c r="E22" s="2159"/>
    </row>
    <row r="23" spans="2:5" ht="57" customHeight="1">
      <c r="B23" s="2160"/>
      <c r="C23" s="2161"/>
      <c r="D23" s="2161"/>
      <c r="E23" s="2162"/>
    </row>
    <row r="24" spans="2:5" ht="16.5" customHeight="1">
      <c r="B24" s="2139" t="str">
        <f>Dictionary!B632</f>
        <v>Kurze Beschreibung des Umfangs und der Ziele, für die Sie verantwortlich sind:</v>
      </c>
      <c r="C24" s="2140"/>
      <c r="D24" s="2140"/>
      <c r="E24" s="2141"/>
    </row>
    <row r="25" spans="2:5" ht="57" customHeight="1">
      <c r="B25" s="2160"/>
      <c r="C25" s="2161"/>
      <c r="D25" s="2161"/>
      <c r="E25" s="2162"/>
    </row>
    <row r="26" spans="2:5" ht="16.5" customHeight="1">
      <c r="B26" s="2139" t="str">
        <f>Dictionary!B633</f>
        <v>Informationen über erhebliche Planabweichungen und/oder kritische Managementsituationen:</v>
      </c>
      <c r="C26" s="2140"/>
      <c r="D26" s="2140"/>
      <c r="E26" s="2141"/>
    </row>
    <row r="27" spans="2:5" ht="54.75" customHeight="1">
      <c r="B27" s="2146"/>
      <c r="C27" s="2152"/>
      <c r="D27" s="2152"/>
      <c r="E27" s="2153"/>
    </row>
    <row r="28" spans="2:5" ht="18" customHeight="1"/>
    <row r="29" spans="2:5" ht="18" customHeight="1">
      <c r="B29" s="2013" t="str">
        <f>EXP!D22&amp;" "&amp;Dictionary!B635</f>
        <v xml:space="preserve"> Planung</v>
      </c>
      <c r="C29" s="2013"/>
      <c r="D29" s="2013"/>
      <c r="E29" s="2013"/>
    </row>
    <row r="30" spans="2:5" ht="16.5" customHeight="1">
      <c r="B30" s="512" t="str">
        <f>Dictionary!B636</f>
        <v>Beginn des Vorhabens:</v>
      </c>
      <c r="C30" s="513" t="str">
        <f>C31</f>
        <v/>
      </c>
      <c r="D30" s="508" t="str">
        <f>Dictionary!B642</f>
        <v>Ende des Vorhabens:</v>
      </c>
      <c r="E30" s="514" t="str">
        <f>E31</f>
        <v/>
      </c>
    </row>
    <row r="31" spans="2:5" ht="16.5" customHeight="1">
      <c r="B31" s="515" t="str">
        <f>Dictionary!B637</f>
        <v>Ihr Beginn in dieser Rolle:</v>
      </c>
      <c r="C31" s="516" t="str">
        <f>IF('(7b) Project List'!F22="","",'(7b) Project List'!F22)</f>
        <v/>
      </c>
      <c r="D31" s="517" t="str">
        <f>Dictionary!B643</f>
        <v>Ende Ihrer Beteiligung:</v>
      </c>
      <c r="E31" s="518" t="str">
        <f>IF('(7b) Project List'!G22="","",'(7b) Project List'!G22)</f>
        <v/>
      </c>
    </row>
    <row r="32" spans="2:5" ht="16.5" customHeight="1">
      <c r="B32" s="2139" t="str">
        <f>IF(ISNUMBER(SEARCH("ortfolio",B29)),Dictionary!B640,Dictionary!B638)</f>
        <v>Phasen:</v>
      </c>
      <c r="C32" s="2140"/>
      <c r="D32" s="2140" t="str">
        <f>IF(ISNUMBER(SEARCH("ortfolio",B29)),Dictionary!B641,Dictionary!B639)</f>
        <v>Meilensteine:</v>
      </c>
      <c r="E32" s="2141"/>
    </row>
    <row r="33" spans="2:5">
      <c r="B33" s="2154"/>
      <c r="C33" s="2142"/>
      <c r="D33" s="2133"/>
      <c r="E33" s="2143"/>
    </row>
    <row r="34" spans="2:5">
      <c r="B34" s="2155"/>
      <c r="C34" s="2142"/>
      <c r="D34" s="2142"/>
      <c r="E34" s="2143"/>
    </row>
    <row r="35" spans="2:5">
      <c r="B35" s="2155"/>
      <c r="C35" s="2142"/>
      <c r="D35" s="2142"/>
      <c r="E35" s="2143"/>
    </row>
    <row r="36" spans="2:5">
      <c r="B36" s="2155"/>
      <c r="C36" s="2142"/>
      <c r="D36" s="2142"/>
      <c r="E36" s="2143"/>
    </row>
    <row r="37" spans="2:5">
      <c r="B37" s="2155"/>
      <c r="C37" s="2142"/>
      <c r="D37" s="2142"/>
      <c r="E37" s="2143"/>
    </row>
    <row r="38" spans="2:5">
      <c r="B38" s="2155"/>
      <c r="C38" s="2142"/>
      <c r="D38" s="2142"/>
      <c r="E38" s="2143"/>
    </row>
    <row r="39" spans="2:5">
      <c r="B39" s="2155"/>
      <c r="C39" s="2142"/>
      <c r="D39" s="2142"/>
      <c r="E39" s="2143"/>
    </row>
    <row r="40" spans="2:5">
      <c r="B40" s="2155"/>
      <c r="C40" s="2142"/>
      <c r="D40" s="2142"/>
      <c r="E40" s="2143"/>
    </row>
    <row r="41" spans="2:5">
      <c r="B41" s="2155"/>
      <c r="C41" s="2142"/>
      <c r="D41" s="2142"/>
      <c r="E41" s="2143"/>
    </row>
    <row r="42" spans="2:5">
      <c r="B42" s="2156"/>
      <c r="C42" s="2150"/>
      <c r="D42" s="2150"/>
      <c r="E42" s="2151"/>
    </row>
    <row r="44" spans="2:5" ht="18" customHeight="1">
      <c r="B44" s="2132" t="str">
        <f>IF(PMO_MODE="",Dictionary!B645,IF(ISNUMBER(FIND(EXP!C42,B8)),Dictionary!B646,Dictionary!B645))</f>
        <v>Ressourcen, für die Sie direkt verantwortlich sind</v>
      </c>
      <c r="C44" s="2132"/>
      <c r="D44" s="2132"/>
      <c r="E44" s="2132"/>
    </row>
    <row r="45" spans="2:5" ht="16.5" customHeight="1">
      <c r="B45" s="519"/>
      <c r="C45" s="524" t="str">
        <f>Dictionary!B647</f>
        <v>Wert</v>
      </c>
      <c r="D45" s="2130" t="str">
        <f>Dictionary!B648</f>
        <v>Anmerkungen</v>
      </c>
      <c r="E45" s="2131"/>
    </row>
    <row r="46" spans="2:5" ht="16">
      <c r="B46" s="520" t="str">
        <f>Dictionary!B649</f>
        <v>Anzahl der Ihnen direkt unterstellten Teammitglieder:</v>
      </c>
      <c r="C46" s="1720"/>
      <c r="D46" s="2133"/>
      <c r="E46" s="2134"/>
    </row>
    <row r="47" spans="2:5" ht="32">
      <c r="B47" s="520" t="str">
        <f>Dictionary!B650</f>
        <v>Anzahl der Mitglieder des Teams gemäß dem Organigramm (inkl. Sie selbst):</v>
      </c>
      <c r="C47" s="1720"/>
      <c r="D47" s="2133"/>
      <c r="E47" s="2134"/>
    </row>
    <row r="48" spans="2:5" ht="16.5" customHeight="1">
      <c r="B48" s="521" t="str">
        <f>Dictionary!B651</f>
        <v>Gesamtaufwand [Personentage]:</v>
      </c>
      <c r="C48" s="1720"/>
      <c r="D48" s="2133"/>
      <c r="E48" s="2134"/>
    </row>
    <row r="49" spans="2:5" ht="16.5" customHeight="1">
      <c r="B49" s="522" t="str">
        <f>Dictionary!B652</f>
        <v>Externer Arbeitsaufwand [Personentage]:</v>
      </c>
      <c r="C49" s="1720"/>
      <c r="D49" s="2133"/>
      <c r="E49" s="2134"/>
    </row>
    <row r="50" spans="2:5" ht="16.5" customHeight="1">
      <c r="B50" s="522" t="str">
        <f>Dictionary!B653</f>
        <v>Interner Arbeitsaufwand [Personentage]:</v>
      </c>
      <c r="C50" s="1720"/>
      <c r="D50" s="2133"/>
      <c r="E50" s="2134"/>
    </row>
    <row r="51" spans="2:5" ht="16.5" customHeight="1">
      <c r="B51" s="522" t="str">
        <f>Dictionary!B654</f>
        <v>Enthaltener PM-Aufwand [Personentage]:</v>
      </c>
      <c r="C51" s="1720"/>
      <c r="D51" s="2133"/>
      <c r="E51" s="2134"/>
    </row>
    <row r="52" spans="2:5" ht="16.5" customHeight="1">
      <c r="B52" s="522" t="str">
        <f>Dictionary!B655</f>
        <v>Budget (Aufwand) unter Ihrer Verantwortung [€]:</v>
      </c>
      <c r="C52" s="1721"/>
      <c r="D52" s="2133"/>
      <c r="E52" s="2134"/>
    </row>
    <row r="53" spans="2:5" ht="16.5" customHeight="1">
      <c r="B53" s="523" t="str">
        <f>Dictionary!B656</f>
        <v>Budget (Sachmittel) unter Ihrer Verantwortung [€]:</v>
      </c>
      <c r="C53" s="1722"/>
      <c r="D53" s="2144"/>
      <c r="E53" s="2145"/>
    </row>
    <row r="54" spans="2:5" ht="16.5" customHeight="1">
      <c r="B54" s="1615" t="str">
        <f>Dictionary!B657</f>
        <v>Gesamtbudget unter Ihrer Verantwortung [€]:</v>
      </c>
      <c r="C54" s="1723">
        <f>C52+C53</f>
        <v>0</v>
      </c>
      <c r="D54" s="1724"/>
      <c r="E54" s="1725"/>
    </row>
    <row r="55" spans="2:5" ht="18" customHeight="1"/>
    <row r="56" spans="2:5" ht="18" customHeight="1">
      <c r="B56" s="2013" t="str">
        <f>Dictionary!B658</f>
        <v xml:space="preserve">Anmerkungen </v>
      </c>
      <c r="C56" s="2013"/>
      <c r="D56" s="2013"/>
      <c r="E56" s="2013"/>
    </row>
    <row r="57" spans="2:5" ht="16.5" customHeight="1">
      <c r="B57" s="2157" t="str">
        <f>Dictionary!B659</f>
        <v>Anmerkungen zur Komplexität:</v>
      </c>
      <c r="C57" s="2158"/>
      <c r="D57" s="2158"/>
      <c r="E57" s="2159"/>
    </row>
    <row r="58" spans="2:5">
      <c r="B58" s="2135"/>
      <c r="C58" s="2136"/>
      <c r="D58" s="2136"/>
      <c r="E58" s="2137"/>
    </row>
    <row r="59" spans="2:5">
      <c r="B59" s="2135"/>
      <c r="C59" s="2136"/>
      <c r="D59" s="2136"/>
      <c r="E59" s="2137"/>
    </row>
    <row r="60" spans="2:5" ht="27" customHeight="1">
      <c r="B60" s="2135"/>
      <c r="C60" s="2136"/>
      <c r="D60" s="2136"/>
      <c r="E60" s="2137"/>
    </row>
    <row r="61" spans="2:5" ht="16.5" customHeight="1">
      <c r="B61" s="2139" t="str">
        <f>Dictionary!B660</f>
        <v>Allgemeine Anmerkungen:</v>
      </c>
      <c r="C61" s="2140"/>
      <c r="D61" s="2140"/>
      <c r="E61" s="2141"/>
    </row>
    <row r="62" spans="2:5" ht="15" customHeight="1">
      <c r="B62" s="2135"/>
      <c r="C62" s="2136"/>
      <c r="D62" s="2136"/>
      <c r="E62" s="2137"/>
    </row>
    <row r="63" spans="2:5">
      <c r="B63" s="2135"/>
      <c r="C63" s="2136"/>
      <c r="D63" s="2136"/>
      <c r="E63" s="2137"/>
    </row>
    <row r="64" spans="2:5">
      <c r="B64" s="2135"/>
      <c r="C64" s="2136"/>
      <c r="D64" s="2136"/>
      <c r="E64" s="2137"/>
    </row>
    <row r="65" spans="2:5" ht="41" customHeight="1">
      <c r="B65" s="2146"/>
      <c r="C65" s="2147"/>
      <c r="D65" s="2147"/>
      <c r="E65" s="2148"/>
    </row>
    <row r="67" spans="2:5" ht="17" thickBot="1">
      <c r="B67" s="460"/>
      <c r="C67" s="460"/>
      <c r="D67" s="460"/>
      <c r="E67" s="460"/>
    </row>
    <row r="68" spans="2:5">
      <c r="E68" s="464" t="s">
        <v>105</v>
      </c>
    </row>
  </sheetData>
  <sheetProtection algorithmName="SHA-512" hashValue="K4B0AoLFi+bSoM02PfMEhkL1Fu2x++I7gp9TPZGJ+iqKJnB4GynhWsiV1wHMsof4HYGQdPgUPzrtoNUi3nIyKg==" saltValue="T56WSIqgUPOqp8drKgU4Lw==" spinCount="100000" sheet="1" objects="1" scenarios="1" selectLockedCells="1"/>
  <mergeCells count="39">
    <mergeCell ref="B58:E60"/>
    <mergeCell ref="B61:E61"/>
    <mergeCell ref="B62:E65"/>
    <mergeCell ref="D50:E50"/>
    <mergeCell ref="D51:E51"/>
    <mergeCell ref="D52:E52"/>
    <mergeCell ref="D53:E53"/>
    <mergeCell ref="B56:E56"/>
    <mergeCell ref="B57:E57"/>
    <mergeCell ref="D49:E49"/>
    <mergeCell ref="B27:E27"/>
    <mergeCell ref="B29:E29"/>
    <mergeCell ref="B32:C32"/>
    <mergeCell ref="D32:E32"/>
    <mergeCell ref="B33:C42"/>
    <mergeCell ref="D33:E42"/>
    <mergeCell ref="B44:E44"/>
    <mergeCell ref="D45:E45"/>
    <mergeCell ref="D46:E46"/>
    <mergeCell ref="D47:E47"/>
    <mergeCell ref="D48:E48"/>
    <mergeCell ref="B26:E26"/>
    <mergeCell ref="D14:E14"/>
    <mergeCell ref="D15:E15"/>
    <mergeCell ref="D16:E16"/>
    <mergeCell ref="D17:E17"/>
    <mergeCell ref="B18:E18"/>
    <mergeCell ref="B19:E19"/>
    <mergeCell ref="B21:E21"/>
    <mergeCell ref="B22:E22"/>
    <mergeCell ref="B23:E23"/>
    <mergeCell ref="B24:E24"/>
    <mergeCell ref="B25:E25"/>
    <mergeCell ref="D13:E13"/>
    <mergeCell ref="B3:E3"/>
    <mergeCell ref="B7:E7"/>
    <mergeCell ref="C9:D9"/>
    <mergeCell ref="B11:E11"/>
    <mergeCell ref="D12:E12"/>
  </mergeCells>
  <conditionalFormatting sqref="C16:C17">
    <cfRule type="notContainsBlanks" dxfId="385" priority="1">
      <formula>LEN(TRIM(C16))&gt;0</formula>
    </cfRule>
  </conditionalFormatting>
  <conditionalFormatting sqref="E8 C9:D9 B19:E19 B23:E23 B25:E25 B27:E27 C30 E30 B33:E42 C46:D54 B58:E60 B62:E65">
    <cfRule type="notContainsBlanks" dxfId="384" priority="2">
      <formula>LEN(TRIM(B8))&gt;0</formula>
    </cfRule>
  </conditionalFormatting>
  <dataValidations count="7">
    <dataValidation type="whole" allowBlank="1" showInputMessage="1" showErrorMessage="1" error="EN: please enter a whole number_x000a_DE: Bitte geben Sie eine ganze Zahl ein" prompt="EN: please enter a valid number_x000a_DE: Bitte geben Sie eine plausible Zahl ein" sqref="C46" xr:uid="{00000000-0002-0000-3200-000000000000}">
      <formula1>0</formula1>
      <formula2>1000000</formula2>
    </dataValidation>
    <dataValidation allowBlank="1" showInputMessage="1" showErrorMessage="1" error="EN: please enter a number_x000a_DE: Bitte geben Sie eine Zahl ein" prompt="EN: enter a Euro value_x000a_DE Geben Sie einen Wert in Euro an" sqref="C54" xr:uid="{00000000-0002-0000-3200-000001000000}"/>
    <dataValidation allowBlank="1" error="EN: Enter a number _x000a_DE: Geben Sie eine Zahl ein" prompt="EN: Effort in person-days_x000a_DE: Aufwand in Personentagen" sqref="D46:E54" xr:uid="{00000000-0002-0000-3200-000002000000}"/>
    <dataValidation type="whole" allowBlank="1" showInputMessage="1" showErrorMessage="1" error="EN: please enter a whole number_x000a_DE: Bitte geben Sie eine ganze Zahl ein" prompt="EN: please enter a valid number_x000a_DE: Bitte geben Sie eine plausible Zahl ein" sqref="C47" xr:uid="{00000000-0002-0000-3200-000003000000}">
      <formula1>1</formula1>
      <formula2>1000000</formula2>
    </dataValidation>
    <dataValidation type="decimal" allowBlank="1" showInputMessage="1" showErrorMessage="1" error="EN: please enter a number_x000a_DE: Bitte geben Sie eine Zahl ein" prompt="EN: enter a Euro value_x000a_DE Geben Sie einen Wert in Euro an" sqref="C52:C53" xr:uid="{00000000-0002-0000-3200-000004000000}">
      <formula1>1</formula1>
      <formula2>1000000000000</formula2>
    </dataValidation>
    <dataValidation type="decimal" allowBlank="1" showInputMessage="1" showErrorMessage="1" error="EN: Enter a number _x000a_DE: Geben Sie eine Zahl ein" prompt="EN: Effort in person-days_x000a_DE: Aufwand in Personentagen" sqref="C48:C49" xr:uid="{00000000-0002-0000-3200-000005000000}">
      <formula1>1</formula1>
      <formula2>1000000000</formula2>
    </dataValidation>
    <dataValidation type="decimal" allowBlank="1" showInputMessage="1" showErrorMessage="1" error="EN: Enter a number_x000a_DE: Geben Sie eine Zahl ein" prompt="EN: Effort in person-days_x000a_DE: Aufwand in Personentagen" sqref="C49:C51" xr:uid="{00000000-0002-0000-3200-000006000000}">
      <formula1>1</formula1>
      <formula2>1000000000</formula2>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3200-000007000000}">
          <x14:formula1>
            <xm:f>'Control Values'!$B$14:$B$15</xm:f>
          </x14:formula1>
          <xm:sqref>E9</xm:sqref>
        </x14:dataValidation>
        <x14:dataValidation type="list" allowBlank="1" showInputMessage="1" showErrorMessage="1" xr:uid="{00000000-0002-0000-3200-000008000000}">
          <x14:formula1>
            <xm:f>'Control Values'!$B$29:$B$34</xm:f>
          </x14:formula1>
          <xm:sqref>C17</xm:sqref>
        </x14:dataValidation>
        <x14:dataValidation type="list" allowBlank="1" showInputMessage="1" showErrorMessage="1" xr:uid="{00000000-0002-0000-3200-000009000000}">
          <x14:formula1>
            <xm:f>'Control Values'!$B$23:$B$26</xm:f>
          </x14:formula1>
          <xm:sqref>C16</xm:sqref>
        </x14:dataValidation>
        <x14:dataValidation type="list" allowBlank="1" showInputMessage="1" showErrorMessage="1" xr:uid="{00000000-0002-0000-3200-00000A000000}">
          <x14:formula1>
            <xm:f>'Control Values'!$B$18:$B$19</xm:f>
          </x14:formula1>
          <xm:sqref>C13:C15</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E41F4-5366-49E0-A687-FEF350AF6ECE}">
  <sheetPr codeName="Sheet86">
    <tabColor theme="9"/>
  </sheetPr>
  <dimension ref="A1:S60"/>
  <sheetViews>
    <sheetView zoomScale="80" zoomScaleNormal="80" workbookViewId="0">
      <selection activeCell="C10" sqref="C10"/>
    </sheetView>
  </sheetViews>
  <sheetFormatPr baseColWidth="10" defaultColWidth="11.5" defaultRowHeight="15"/>
  <cols>
    <col min="1" max="1" width="8.6640625" style="89" customWidth="1"/>
    <col min="2" max="2" width="11.5" style="89" customWidth="1"/>
    <col min="3" max="3" width="44.33203125" style="89" customWidth="1"/>
    <col min="4" max="4" width="23.1640625" style="89" customWidth="1"/>
    <col min="5" max="5" width="37.5" style="89" customWidth="1"/>
    <col min="6" max="6" width="32" style="89" customWidth="1"/>
    <col min="7" max="7" width="11.6640625" style="89" customWidth="1"/>
    <col min="8" max="11" width="32" style="89" customWidth="1"/>
    <col min="12" max="13" width="32.5" style="89" customWidth="1"/>
    <col min="14" max="14" width="26.1640625" style="89" customWidth="1"/>
    <col min="15" max="15" width="20" style="89" customWidth="1"/>
    <col min="16" max="17" width="11.5" style="89"/>
    <col min="18" max="18" width="8.5" style="89" customWidth="1"/>
    <col min="19" max="16384" width="11.5" style="89"/>
  </cols>
  <sheetData>
    <row r="1" spans="1:19" ht="19.5" customHeight="1" thickBot="1">
      <c r="B1" s="497" t="str">
        <f ca="1">COV!C20</f>
        <v>DECKBLATT BITTE VOLLSTÄNDIG AUSFÜLLEN!</v>
      </c>
      <c r="C1" s="459"/>
      <c r="D1" s="459"/>
      <c r="E1" s="459"/>
      <c r="F1" s="459"/>
      <c r="G1" s="459"/>
      <c r="H1" s="459"/>
      <c r="I1" s="459"/>
      <c r="J1" s="459"/>
      <c r="K1" s="459"/>
      <c r="L1" s="459"/>
      <c r="M1" s="459"/>
    </row>
    <row r="2" spans="1:19" ht="5.25" customHeight="1" thickTop="1"/>
    <row r="3" spans="1:19" ht="21">
      <c r="B3" s="2046" t="str">
        <f>Dictionary!B663&amp;" "&amp;'(7b) Project List'!A22&amp;", "&amp;EXP!D22&amp;": "&amp;EXP!C22</f>
        <v xml:space="preserve">Projektliste für Eintrag 14, : </v>
      </c>
      <c r="C3" s="2046"/>
      <c r="D3" s="2046"/>
      <c r="E3" s="2046"/>
      <c r="F3" s="2046"/>
      <c r="G3" s="2046"/>
      <c r="H3" s="2046"/>
      <c r="I3" s="2046"/>
      <c r="J3" s="2046"/>
      <c r="K3" s="2046"/>
      <c r="L3" s="2046"/>
      <c r="M3" s="2046"/>
    </row>
    <row r="4" spans="1:19" ht="21">
      <c r="B4" s="488"/>
      <c r="C4" s="488"/>
      <c r="D4" s="488"/>
      <c r="E4" s="488"/>
      <c r="F4" s="488"/>
      <c r="G4" s="488"/>
      <c r="H4" s="488"/>
      <c r="I4" s="488"/>
      <c r="J4" s="488"/>
      <c r="K4" s="488"/>
      <c r="L4" s="488"/>
      <c r="M4" s="488"/>
    </row>
    <row r="5" spans="1:19" ht="21">
      <c r="B5" s="489" t="str">
        <f>EXP!B5</f>
        <v xml:space="preserve"> , Level A, Projekt Management, Erstzertifizierung</v>
      </c>
      <c r="C5" s="490"/>
      <c r="D5" s="490"/>
      <c r="E5" s="490"/>
      <c r="F5" s="490"/>
      <c r="G5" s="490"/>
      <c r="H5" s="490"/>
      <c r="I5" s="490"/>
      <c r="J5" s="490"/>
      <c r="K5" s="490"/>
      <c r="L5" s="490"/>
      <c r="M5" s="490"/>
    </row>
    <row r="6" spans="1:19" ht="15" customHeight="1">
      <c r="A6" s="1284"/>
      <c r="B6" s="554"/>
      <c r="C6" s="554"/>
      <c r="D6" s="554"/>
      <c r="E6" s="554"/>
      <c r="F6" s="554"/>
      <c r="G6" s="554"/>
      <c r="H6" s="554"/>
      <c r="I6" s="554"/>
      <c r="J6" s="554"/>
      <c r="K6" s="554"/>
      <c r="L6" s="554"/>
      <c r="M6" s="554"/>
      <c r="N6" s="554"/>
      <c r="O6" s="554"/>
      <c r="P6" s="554"/>
      <c r="Q6" s="554"/>
      <c r="R6" s="554"/>
      <c r="S6" s="554"/>
    </row>
    <row r="7" spans="1:19" ht="24">
      <c r="A7" s="1284"/>
      <c r="B7" s="2171" t="str">
        <f>Dictionary!B665</f>
        <v>Nr.</v>
      </c>
      <c r="C7" s="2166" t="str">
        <f>Dictionary!B666</f>
        <v>Projektname</v>
      </c>
      <c r="D7" s="2166" t="str">
        <f>Dictionary!B667</f>
        <v>PM Domäne</v>
      </c>
      <c r="E7" s="2166" t="s">
        <v>269</v>
      </c>
      <c r="F7" s="2166" t="str">
        <f>Dictionary!B676</f>
        <v>Projekt- / Programm Typ</v>
      </c>
      <c r="G7" s="2173" t="str">
        <f>Dictionary!B677</f>
        <v>Strategisch</v>
      </c>
      <c r="H7" s="2166" t="str">
        <f>Dictionary!B670</f>
        <v>Dauer</v>
      </c>
      <c r="I7" s="2166"/>
      <c r="J7" s="2166" t="str">
        <f>Dictionary!B671</f>
        <v>Gesamtaufwand [Personentage]:</v>
      </c>
      <c r="K7" s="2166"/>
      <c r="L7" s="2166" t="str">
        <f>Dictionary!B672</f>
        <v>Gesamtbudget [€]:</v>
      </c>
      <c r="M7" s="2175"/>
      <c r="N7" s="554"/>
      <c r="O7" s="554"/>
      <c r="P7" s="554"/>
      <c r="Q7" s="554"/>
      <c r="R7" s="554"/>
      <c r="S7" s="554"/>
    </row>
    <row r="8" spans="1:19" ht="24">
      <c r="A8" s="1284"/>
      <c r="B8" s="2172"/>
      <c r="C8" s="2167"/>
      <c r="D8" s="2167"/>
      <c r="E8" s="2167"/>
      <c r="F8" s="2167"/>
      <c r="G8" s="2174"/>
      <c r="H8" s="1305" t="str">
        <f>Dictionary!B668</f>
        <v>Startdatum</v>
      </c>
      <c r="I8" s="1305" t="str">
        <f>Dictionary!B669</f>
        <v>Endtermin</v>
      </c>
      <c r="J8" s="1305" t="str">
        <f>Dictionary!B673</f>
        <v>geplant</v>
      </c>
      <c r="K8" s="1305" t="str">
        <f>Dictionary!B674</f>
        <v>realisiert</v>
      </c>
      <c r="L8" s="1305" t="str">
        <f>Dictionary!B673</f>
        <v>geplant</v>
      </c>
      <c r="M8" s="1306" t="str">
        <f>Dictionary!B674</f>
        <v>realisiert</v>
      </c>
      <c r="N8" s="554"/>
      <c r="O8" s="554"/>
      <c r="P8" s="554"/>
      <c r="Q8" s="554"/>
      <c r="R8" s="554"/>
      <c r="S8" s="554"/>
    </row>
    <row r="9" spans="1:19" ht="24" hidden="1">
      <c r="A9" s="1284"/>
      <c r="B9" s="1304" t="s">
        <v>2826</v>
      </c>
      <c r="C9" s="1297" t="s">
        <v>2827</v>
      </c>
      <c r="D9" s="1297" t="s">
        <v>2837</v>
      </c>
      <c r="E9" s="1297" t="s">
        <v>2828</v>
      </c>
      <c r="F9" s="1297" t="s">
        <v>2829</v>
      </c>
      <c r="G9" s="1298" t="s">
        <v>2830</v>
      </c>
      <c r="H9" s="1299" t="s">
        <v>2831</v>
      </c>
      <c r="I9" s="1299" t="s">
        <v>2832</v>
      </c>
      <c r="J9" s="1300" t="s">
        <v>2833</v>
      </c>
      <c r="K9" s="1300" t="s">
        <v>2834</v>
      </c>
      <c r="L9" s="1300" t="s">
        <v>2835</v>
      </c>
      <c r="M9" s="1300" t="s">
        <v>2836</v>
      </c>
      <c r="N9" s="554"/>
      <c r="O9" s="554"/>
      <c r="P9" s="554"/>
      <c r="Q9" s="554"/>
      <c r="R9" s="554"/>
      <c r="S9" s="554"/>
    </row>
    <row r="10" spans="1:19" ht="24">
      <c r="A10" s="1284"/>
      <c r="B10" s="1292">
        <v>1</v>
      </c>
      <c r="C10" s="1291"/>
      <c r="D10" s="1291"/>
      <c r="E10" s="1291"/>
      <c r="F10" s="1291"/>
      <c r="G10" s="1296"/>
      <c r="H10" s="1307"/>
      <c r="I10" s="1308"/>
      <c r="J10" s="1321"/>
      <c r="K10" s="1321"/>
      <c r="L10" s="1293"/>
      <c r="M10" s="1293"/>
      <c r="N10" s="554"/>
      <c r="O10" s="554"/>
      <c r="P10" s="554"/>
      <c r="Q10" s="554"/>
      <c r="R10" s="554"/>
      <c r="S10" s="554"/>
    </row>
    <row r="11" spans="1:19" ht="24">
      <c r="A11" s="1284"/>
      <c r="B11" s="1292">
        <v>2</v>
      </c>
      <c r="C11" s="1291"/>
      <c r="D11" s="1291"/>
      <c r="E11" s="1291"/>
      <c r="F11" s="1291"/>
      <c r="G11" s="1296"/>
      <c r="H11" s="1309"/>
      <c r="I11" s="1310"/>
      <c r="J11" s="1321"/>
      <c r="K11" s="1321"/>
      <c r="L11" s="1293"/>
      <c r="M11" s="1293"/>
      <c r="N11" s="554"/>
      <c r="O11" s="554"/>
      <c r="P11" s="554"/>
      <c r="Q11" s="554"/>
      <c r="R11" s="554"/>
      <c r="S11" s="554"/>
    </row>
    <row r="12" spans="1:19" ht="24">
      <c r="A12" s="1284"/>
      <c r="B12" s="1292">
        <v>3</v>
      </c>
      <c r="C12" s="1291"/>
      <c r="D12" s="1291"/>
      <c r="E12" s="1291"/>
      <c r="F12" s="1291"/>
      <c r="G12" s="1296"/>
      <c r="H12" s="1309"/>
      <c r="I12" s="1310"/>
      <c r="J12" s="1321"/>
      <c r="K12" s="1321"/>
      <c r="L12" s="1293"/>
      <c r="M12" s="1293"/>
      <c r="N12" s="554"/>
      <c r="O12" s="554"/>
      <c r="P12" s="554"/>
      <c r="Q12" s="554"/>
      <c r="R12" s="554"/>
      <c r="S12" s="554"/>
    </row>
    <row r="13" spans="1:19" ht="24">
      <c r="A13" s="1284"/>
      <c r="B13" s="1292">
        <v>4</v>
      </c>
      <c r="C13" s="1291"/>
      <c r="D13" s="1291"/>
      <c r="E13" s="1291"/>
      <c r="F13" s="1291"/>
      <c r="G13" s="1296"/>
      <c r="H13" s="1309"/>
      <c r="I13" s="1310"/>
      <c r="J13" s="1321"/>
      <c r="K13" s="1321"/>
      <c r="L13" s="1293"/>
      <c r="M13" s="1293"/>
      <c r="N13" s="554"/>
      <c r="O13" s="554"/>
      <c r="P13" s="554"/>
      <c r="Q13" s="554"/>
      <c r="R13" s="554"/>
      <c r="S13" s="554"/>
    </row>
    <row r="14" spans="1:19" ht="24">
      <c r="A14" s="1284"/>
      <c r="B14" s="1292">
        <v>5</v>
      </c>
      <c r="C14" s="1291"/>
      <c r="D14" s="1291"/>
      <c r="E14" s="1291"/>
      <c r="F14" s="1291"/>
      <c r="G14" s="1296"/>
      <c r="H14" s="1309"/>
      <c r="I14" s="1310"/>
      <c r="J14" s="1321"/>
      <c r="K14" s="1321"/>
      <c r="L14" s="1293"/>
      <c r="M14" s="1293"/>
      <c r="N14" s="554"/>
      <c r="O14" s="554"/>
      <c r="P14" s="554"/>
      <c r="Q14" s="554"/>
      <c r="R14" s="554"/>
      <c r="S14" s="554"/>
    </row>
    <row r="15" spans="1:19" ht="24">
      <c r="A15" s="1284"/>
      <c r="B15" s="1292">
        <v>6</v>
      </c>
      <c r="C15" s="1291"/>
      <c r="D15" s="1291"/>
      <c r="E15" s="1291"/>
      <c r="F15" s="1291"/>
      <c r="G15" s="1296"/>
      <c r="H15" s="1309"/>
      <c r="I15" s="1310"/>
      <c r="J15" s="1321"/>
      <c r="K15" s="1321"/>
      <c r="L15" s="1293"/>
      <c r="M15" s="1293"/>
      <c r="N15" s="554"/>
      <c r="O15" s="554"/>
      <c r="P15" s="554"/>
      <c r="Q15" s="554"/>
      <c r="R15" s="554"/>
      <c r="S15" s="554"/>
    </row>
    <row r="16" spans="1:19" ht="24">
      <c r="A16" s="1284"/>
      <c r="B16" s="1292">
        <v>7</v>
      </c>
      <c r="C16" s="1291"/>
      <c r="D16" s="1291"/>
      <c r="E16" s="1291"/>
      <c r="F16" s="1291"/>
      <c r="G16" s="1296"/>
      <c r="H16" s="1309"/>
      <c r="I16" s="1310"/>
      <c r="J16" s="1321"/>
      <c r="K16" s="1321"/>
      <c r="L16" s="1293"/>
      <c r="M16" s="1293"/>
      <c r="N16" s="554"/>
      <c r="O16" s="554"/>
      <c r="P16" s="554"/>
      <c r="Q16" s="554"/>
      <c r="R16" s="554"/>
      <c r="S16" s="554"/>
    </row>
    <row r="17" spans="1:19" ht="24">
      <c r="A17" s="1284"/>
      <c r="B17" s="1292">
        <v>8</v>
      </c>
      <c r="C17" s="1291"/>
      <c r="D17" s="1291"/>
      <c r="E17" s="1291"/>
      <c r="F17" s="1291"/>
      <c r="G17" s="1296"/>
      <c r="H17" s="1309"/>
      <c r="I17" s="1310"/>
      <c r="J17" s="1321"/>
      <c r="K17" s="1321"/>
      <c r="L17" s="1293"/>
      <c r="M17" s="1293"/>
      <c r="N17" s="554"/>
      <c r="O17" s="554"/>
      <c r="P17" s="554"/>
      <c r="Q17" s="554"/>
      <c r="R17" s="554"/>
      <c r="S17" s="554"/>
    </row>
    <row r="18" spans="1:19" ht="24">
      <c r="A18" s="1284"/>
      <c r="B18" s="1292">
        <v>9</v>
      </c>
      <c r="C18" s="1291"/>
      <c r="D18" s="1291"/>
      <c r="E18" s="1291"/>
      <c r="F18" s="1291"/>
      <c r="G18" s="1296"/>
      <c r="H18" s="1309"/>
      <c r="I18" s="1310"/>
      <c r="J18" s="1321"/>
      <c r="K18" s="1321"/>
      <c r="L18" s="1293"/>
      <c r="M18" s="1293"/>
      <c r="N18" s="554"/>
      <c r="O18" s="554"/>
      <c r="P18" s="554"/>
      <c r="Q18" s="554"/>
      <c r="R18" s="554"/>
      <c r="S18" s="554"/>
    </row>
    <row r="19" spans="1:19" ht="24">
      <c r="A19" s="1284"/>
      <c r="B19" s="1292">
        <v>10</v>
      </c>
      <c r="C19" s="1291"/>
      <c r="D19" s="1291"/>
      <c r="E19" s="1291"/>
      <c r="F19" s="1291"/>
      <c r="G19" s="1296"/>
      <c r="H19" s="1309"/>
      <c r="I19" s="1310"/>
      <c r="J19" s="1321"/>
      <c r="K19" s="1321"/>
      <c r="L19" s="1293"/>
      <c r="M19" s="1293"/>
      <c r="N19" s="554"/>
      <c r="O19" s="554"/>
      <c r="P19" s="554"/>
      <c r="Q19" s="554"/>
      <c r="R19" s="554"/>
      <c r="S19" s="554"/>
    </row>
    <row r="20" spans="1:19" ht="24">
      <c r="A20" s="1284"/>
      <c r="B20" s="1292">
        <v>11</v>
      </c>
      <c r="C20" s="1291"/>
      <c r="D20" s="1291"/>
      <c r="E20" s="1291"/>
      <c r="F20" s="1291"/>
      <c r="G20" s="1296"/>
      <c r="H20" s="1309"/>
      <c r="I20" s="1310"/>
      <c r="J20" s="1321"/>
      <c r="K20" s="1321"/>
      <c r="L20" s="1293"/>
      <c r="M20" s="1293"/>
      <c r="N20" s="554"/>
      <c r="O20" s="554"/>
      <c r="P20" s="554"/>
      <c r="Q20" s="554"/>
      <c r="R20" s="554"/>
      <c r="S20" s="554"/>
    </row>
    <row r="21" spans="1:19" ht="24">
      <c r="A21" s="1284"/>
      <c r="B21" s="1292">
        <v>12</v>
      </c>
      <c r="C21" s="1291"/>
      <c r="D21" s="1291"/>
      <c r="E21" s="1291"/>
      <c r="F21" s="1291"/>
      <c r="G21" s="1296"/>
      <c r="H21" s="1309"/>
      <c r="I21" s="1310"/>
      <c r="J21" s="1321"/>
      <c r="K21" s="1321"/>
      <c r="L21" s="1293"/>
      <c r="M21" s="1293"/>
      <c r="N21" s="554"/>
      <c r="O21" s="554"/>
      <c r="P21" s="554"/>
      <c r="Q21" s="554"/>
      <c r="R21" s="554"/>
      <c r="S21" s="554"/>
    </row>
    <row r="22" spans="1:19" ht="24">
      <c r="A22" s="1284"/>
      <c r="B22" s="1292">
        <v>13</v>
      </c>
      <c r="C22" s="1291"/>
      <c r="D22" s="1291"/>
      <c r="E22" s="1291"/>
      <c r="F22" s="1291"/>
      <c r="G22" s="1296"/>
      <c r="H22" s="1309"/>
      <c r="I22" s="1310"/>
      <c r="J22" s="1321"/>
      <c r="K22" s="1321"/>
      <c r="L22" s="1293"/>
      <c r="M22" s="1293"/>
      <c r="N22" s="554"/>
      <c r="O22" s="554"/>
      <c r="P22" s="554"/>
      <c r="Q22" s="554"/>
      <c r="R22" s="554"/>
      <c r="S22" s="554"/>
    </row>
    <row r="23" spans="1:19" ht="24">
      <c r="A23" s="1284"/>
      <c r="B23" s="1292">
        <v>14</v>
      </c>
      <c r="C23" s="1291"/>
      <c r="D23" s="1291"/>
      <c r="E23" s="1291"/>
      <c r="F23" s="1291"/>
      <c r="G23" s="1296"/>
      <c r="H23" s="1309"/>
      <c r="I23" s="1310"/>
      <c r="J23" s="1321"/>
      <c r="K23" s="1321"/>
      <c r="L23" s="1293"/>
      <c r="M23" s="1293"/>
      <c r="N23" s="554"/>
      <c r="O23" s="554"/>
      <c r="P23" s="554"/>
      <c r="Q23" s="554"/>
      <c r="R23" s="554"/>
      <c r="S23" s="554"/>
    </row>
    <row r="24" spans="1:19" ht="24">
      <c r="A24" s="1284"/>
      <c r="B24" s="1292">
        <v>15</v>
      </c>
      <c r="C24" s="1291"/>
      <c r="D24" s="1291"/>
      <c r="E24" s="1291"/>
      <c r="F24" s="1291"/>
      <c r="G24" s="1296"/>
      <c r="H24" s="1309"/>
      <c r="I24" s="1310"/>
      <c r="J24" s="1321"/>
      <c r="K24" s="1321"/>
      <c r="L24" s="1293"/>
      <c r="M24" s="1293"/>
      <c r="N24" s="554"/>
      <c r="O24" s="554"/>
      <c r="P24" s="554"/>
      <c r="Q24" s="554"/>
      <c r="R24" s="554"/>
      <c r="S24" s="554"/>
    </row>
    <row r="25" spans="1:19" ht="24">
      <c r="A25" s="1284"/>
      <c r="B25" s="1292">
        <v>16</v>
      </c>
      <c r="C25" s="1291"/>
      <c r="D25" s="1291"/>
      <c r="E25" s="1291"/>
      <c r="F25" s="1291"/>
      <c r="G25" s="1296"/>
      <c r="H25" s="1309"/>
      <c r="I25" s="1310"/>
      <c r="J25" s="1321"/>
      <c r="K25" s="1321"/>
      <c r="L25" s="1293"/>
      <c r="M25" s="1293"/>
      <c r="N25" s="554"/>
      <c r="O25" s="554"/>
      <c r="P25" s="554"/>
      <c r="Q25" s="554"/>
      <c r="R25" s="554"/>
      <c r="S25" s="554"/>
    </row>
    <row r="26" spans="1:19" ht="24">
      <c r="A26" s="1284"/>
      <c r="B26" s="1292">
        <v>17</v>
      </c>
      <c r="C26" s="1291"/>
      <c r="D26" s="1291"/>
      <c r="E26" s="1291"/>
      <c r="F26" s="1291"/>
      <c r="G26" s="1296"/>
      <c r="H26" s="1309"/>
      <c r="I26" s="1310"/>
      <c r="J26" s="1321"/>
      <c r="K26" s="1321"/>
      <c r="L26" s="1293"/>
      <c r="M26" s="1293"/>
      <c r="N26" s="554"/>
      <c r="O26" s="554"/>
      <c r="P26" s="554"/>
      <c r="Q26" s="554"/>
      <c r="R26" s="554"/>
      <c r="S26" s="554"/>
    </row>
    <row r="27" spans="1:19" ht="24">
      <c r="A27" s="1284"/>
      <c r="B27" s="1292">
        <v>18</v>
      </c>
      <c r="C27" s="1291"/>
      <c r="D27" s="1291"/>
      <c r="E27" s="1291"/>
      <c r="F27" s="1291"/>
      <c r="G27" s="1296"/>
      <c r="H27" s="1309"/>
      <c r="I27" s="1310"/>
      <c r="J27" s="1321"/>
      <c r="K27" s="1321"/>
      <c r="L27" s="1293"/>
      <c r="M27" s="1293"/>
      <c r="N27" s="554"/>
      <c r="O27" s="554"/>
      <c r="P27" s="554"/>
      <c r="Q27" s="554"/>
      <c r="R27" s="554"/>
      <c r="S27" s="554"/>
    </row>
    <row r="28" spans="1:19" ht="24">
      <c r="A28" s="1284"/>
      <c r="B28" s="1292">
        <v>19</v>
      </c>
      <c r="C28" s="1291"/>
      <c r="D28" s="1291"/>
      <c r="E28" s="1291"/>
      <c r="F28" s="1291"/>
      <c r="G28" s="1296"/>
      <c r="H28" s="1309"/>
      <c r="I28" s="1310"/>
      <c r="J28" s="1321"/>
      <c r="K28" s="1321"/>
      <c r="L28" s="1293"/>
      <c r="M28" s="1293"/>
      <c r="N28" s="554"/>
      <c r="O28" s="554"/>
      <c r="P28" s="554"/>
      <c r="Q28" s="554"/>
      <c r="R28" s="554"/>
      <c r="S28" s="554"/>
    </row>
    <row r="29" spans="1:19" ht="24">
      <c r="A29" s="1284"/>
      <c r="B29" s="1292">
        <v>20</v>
      </c>
      <c r="C29" s="1291"/>
      <c r="D29" s="1291"/>
      <c r="E29" s="1291"/>
      <c r="F29" s="1291"/>
      <c r="G29" s="1296"/>
      <c r="H29" s="1309"/>
      <c r="I29" s="1310"/>
      <c r="J29" s="1321"/>
      <c r="K29" s="1321"/>
      <c r="L29" s="1293"/>
      <c r="M29" s="1293"/>
      <c r="N29" s="554"/>
      <c r="O29" s="554"/>
      <c r="P29" s="554"/>
      <c r="Q29" s="554"/>
      <c r="R29" s="554"/>
      <c r="S29" s="554"/>
    </row>
    <row r="30" spans="1:19" ht="24">
      <c r="A30" s="1284"/>
      <c r="B30" s="1292">
        <v>21</v>
      </c>
      <c r="C30" s="1291"/>
      <c r="D30" s="1291"/>
      <c r="E30" s="1291"/>
      <c r="F30" s="1291"/>
      <c r="G30" s="1296"/>
      <c r="H30" s="1309"/>
      <c r="I30" s="1310"/>
      <c r="J30" s="1321"/>
      <c r="K30" s="1321"/>
      <c r="L30" s="1293"/>
      <c r="M30" s="1293"/>
      <c r="N30" s="554"/>
      <c r="O30" s="554"/>
      <c r="P30" s="554"/>
      <c r="Q30" s="554"/>
      <c r="R30" s="554"/>
      <c r="S30" s="554"/>
    </row>
    <row r="31" spans="1:19" ht="24">
      <c r="A31" s="1284"/>
      <c r="B31" s="1292">
        <v>22</v>
      </c>
      <c r="C31" s="1291"/>
      <c r="D31" s="1291"/>
      <c r="E31" s="1291"/>
      <c r="F31" s="1291"/>
      <c r="G31" s="1296"/>
      <c r="H31" s="1309"/>
      <c r="I31" s="1310"/>
      <c r="J31" s="1321"/>
      <c r="K31" s="1321"/>
      <c r="L31" s="1293"/>
      <c r="M31" s="1293"/>
      <c r="N31" s="554"/>
      <c r="O31" s="554"/>
      <c r="P31" s="554"/>
      <c r="Q31" s="554"/>
      <c r="R31" s="554"/>
      <c r="S31" s="554"/>
    </row>
    <row r="32" spans="1:19" ht="24">
      <c r="A32" s="1284"/>
      <c r="B32" s="1292">
        <v>23</v>
      </c>
      <c r="C32" s="1291"/>
      <c r="D32" s="1291"/>
      <c r="E32" s="1291"/>
      <c r="F32" s="1291"/>
      <c r="G32" s="1296"/>
      <c r="H32" s="1309"/>
      <c r="I32" s="1310"/>
      <c r="J32" s="1321"/>
      <c r="K32" s="1321"/>
      <c r="L32" s="1293"/>
      <c r="M32" s="1293"/>
      <c r="N32" s="554"/>
      <c r="O32" s="554"/>
      <c r="P32" s="554"/>
      <c r="Q32" s="554"/>
      <c r="R32" s="554"/>
      <c r="S32" s="554"/>
    </row>
    <row r="33" spans="1:19" ht="24">
      <c r="A33" s="1284"/>
      <c r="B33" s="1292">
        <v>24</v>
      </c>
      <c r="C33" s="1291"/>
      <c r="D33" s="1291"/>
      <c r="E33" s="1291"/>
      <c r="F33" s="1291"/>
      <c r="G33" s="1296"/>
      <c r="H33" s="1309"/>
      <c r="I33" s="1310"/>
      <c r="J33" s="1321"/>
      <c r="K33" s="1321"/>
      <c r="L33" s="1293"/>
      <c r="M33" s="1293"/>
      <c r="N33" s="554"/>
      <c r="O33" s="554"/>
      <c r="P33" s="554"/>
      <c r="Q33" s="554"/>
      <c r="R33" s="554"/>
      <c r="S33" s="554"/>
    </row>
    <row r="34" spans="1:19" ht="24">
      <c r="A34" s="1284"/>
      <c r="B34" s="1292">
        <v>25</v>
      </c>
      <c r="C34" s="1291"/>
      <c r="D34" s="1291"/>
      <c r="E34" s="1291"/>
      <c r="F34" s="1291"/>
      <c r="G34" s="1296"/>
      <c r="H34" s="1309"/>
      <c r="I34" s="1310"/>
      <c r="J34" s="1321"/>
      <c r="K34" s="1321"/>
      <c r="L34" s="1293"/>
      <c r="M34" s="1293"/>
      <c r="N34" s="554"/>
      <c r="O34" s="554"/>
      <c r="P34" s="554"/>
      <c r="Q34" s="554"/>
      <c r="R34" s="554"/>
      <c r="S34" s="554"/>
    </row>
    <row r="35" spans="1:19" ht="24">
      <c r="A35" s="1284"/>
      <c r="B35" s="1292">
        <v>26</v>
      </c>
      <c r="C35" s="1291"/>
      <c r="D35" s="1291"/>
      <c r="E35" s="1291"/>
      <c r="F35" s="1291"/>
      <c r="G35" s="1296"/>
      <c r="H35" s="1309"/>
      <c r="I35" s="1310"/>
      <c r="J35" s="1321"/>
      <c r="K35" s="1321"/>
      <c r="L35" s="1293"/>
      <c r="M35" s="1293"/>
      <c r="N35" s="554"/>
      <c r="O35" s="554"/>
      <c r="P35" s="554"/>
      <c r="Q35" s="554"/>
      <c r="R35" s="554"/>
      <c r="S35" s="554"/>
    </row>
    <row r="36" spans="1:19" ht="24">
      <c r="A36" s="1284"/>
      <c r="B36" s="1292">
        <v>27</v>
      </c>
      <c r="C36" s="1291"/>
      <c r="D36" s="1291"/>
      <c r="E36" s="1291"/>
      <c r="F36" s="1291"/>
      <c r="G36" s="1296"/>
      <c r="H36" s="1309"/>
      <c r="I36" s="1310"/>
      <c r="J36" s="1321"/>
      <c r="K36" s="1321"/>
      <c r="L36" s="1293"/>
      <c r="M36" s="1293"/>
      <c r="N36" s="554"/>
      <c r="O36" s="554"/>
      <c r="P36" s="554"/>
      <c r="Q36" s="554"/>
      <c r="R36" s="554"/>
      <c r="S36" s="554"/>
    </row>
    <row r="37" spans="1:19" ht="24">
      <c r="A37" s="1284"/>
      <c r="B37" s="1292">
        <v>28</v>
      </c>
      <c r="C37" s="1291"/>
      <c r="D37" s="1291"/>
      <c r="E37" s="1291"/>
      <c r="F37" s="1291"/>
      <c r="G37" s="1296"/>
      <c r="H37" s="1309"/>
      <c r="I37" s="1310"/>
      <c r="J37" s="1321"/>
      <c r="K37" s="1321"/>
      <c r="L37" s="1293"/>
      <c r="M37" s="1293"/>
      <c r="N37" s="554"/>
      <c r="O37" s="554"/>
      <c r="P37" s="554"/>
      <c r="Q37" s="554"/>
      <c r="R37" s="554"/>
      <c r="S37" s="554"/>
    </row>
    <row r="38" spans="1:19" ht="24">
      <c r="A38" s="1284"/>
      <c r="B38" s="1292">
        <v>29</v>
      </c>
      <c r="C38" s="1291"/>
      <c r="D38" s="1291"/>
      <c r="E38" s="1291"/>
      <c r="F38" s="1291"/>
      <c r="G38" s="1296"/>
      <c r="H38" s="1309"/>
      <c r="I38" s="1310"/>
      <c r="J38" s="1321"/>
      <c r="K38" s="1321"/>
      <c r="L38" s="1293"/>
      <c r="M38" s="1293"/>
      <c r="N38" s="554"/>
      <c r="O38" s="554"/>
      <c r="P38" s="554"/>
      <c r="Q38" s="554"/>
      <c r="R38" s="554"/>
      <c r="S38" s="554"/>
    </row>
    <row r="39" spans="1:19" ht="24">
      <c r="A39" s="1284"/>
      <c r="B39" s="1292">
        <v>30</v>
      </c>
      <c r="C39" s="1311"/>
      <c r="D39" s="1311"/>
      <c r="E39" s="1311"/>
      <c r="F39" s="1311"/>
      <c r="G39" s="1312"/>
      <c r="H39" s="1313"/>
      <c r="I39" s="1314"/>
      <c r="J39" s="1322"/>
      <c r="K39" s="1322"/>
      <c r="L39" s="1315"/>
      <c r="M39" s="1315"/>
      <c r="N39" s="554"/>
      <c r="O39" s="554"/>
      <c r="P39" s="554"/>
      <c r="Q39" s="554"/>
      <c r="R39" s="554"/>
      <c r="S39" s="554"/>
    </row>
    <row r="40" spans="1:19" ht="24">
      <c r="A40" s="1284"/>
      <c r="B40" s="1301"/>
      <c r="C40" s="2168" t="str">
        <f>Dictionary!B675</f>
        <v xml:space="preserve">Programm / Portfolio Verwaltung </v>
      </c>
      <c r="D40" s="2169"/>
      <c r="E40" s="2169"/>
      <c r="F40" s="2169"/>
      <c r="G40" s="2170"/>
      <c r="H40" s="1319"/>
      <c r="I40" s="1320"/>
      <c r="J40" s="1323"/>
      <c r="K40" s="1323"/>
      <c r="L40" s="1294"/>
      <c r="M40" s="1295"/>
      <c r="N40" s="554"/>
      <c r="O40" s="554"/>
      <c r="P40" s="554"/>
      <c r="Q40" s="554"/>
      <c r="R40" s="554"/>
      <c r="S40" s="554"/>
    </row>
    <row r="41" spans="1:19" ht="24">
      <c r="A41" s="1284"/>
      <c r="B41" s="1302"/>
      <c r="C41" s="1316"/>
      <c r="D41" s="1316"/>
      <c r="E41" s="1316"/>
      <c r="F41" s="1316"/>
      <c r="G41" s="1316"/>
      <c r="H41" s="2176" t="s">
        <v>2825</v>
      </c>
      <c r="I41" s="2176"/>
      <c r="J41" s="1317">
        <f>SUM(J9:J40)</f>
        <v>0</v>
      </c>
      <c r="K41" s="1317">
        <f>SUM(K9:K40)</f>
        <v>0</v>
      </c>
      <c r="L41" s="1318">
        <f>SUM(L9:L40)</f>
        <v>0</v>
      </c>
      <c r="M41" s="1318">
        <f>SUM(M9:M40)</f>
        <v>0</v>
      </c>
      <c r="N41" s="554"/>
      <c r="O41" s="554"/>
      <c r="P41" s="554"/>
      <c r="Q41" s="554"/>
      <c r="R41" s="554"/>
      <c r="S41" s="554"/>
    </row>
    <row r="42" spans="1:19" ht="24">
      <c r="B42" s="554"/>
      <c r="C42" s="554"/>
      <c r="D42" s="554"/>
      <c r="E42" s="554"/>
      <c r="F42" s="554"/>
      <c r="G42" s="554"/>
      <c r="H42" s="554"/>
      <c r="I42" s="554"/>
      <c r="J42" s="554"/>
      <c r="K42" s="554"/>
      <c r="L42" s="554"/>
      <c r="M42" s="554"/>
    </row>
    <row r="43" spans="1:19" ht="17" thickBot="1">
      <c r="B43" s="460"/>
      <c r="C43" s="460"/>
      <c r="D43" s="460"/>
      <c r="E43" s="460"/>
      <c r="F43" s="460"/>
      <c r="G43" s="460"/>
      <c r="H43" s="460"/>
      <c r="I43" s="460"/>
      <c r="J43" s="460"/>
      <c r="K43" s="460"/>
      <c r="L43" s="460"/>
      <c r="M43" s="460"/>
    </row>
    <row r="44" spans="1:19">
      <c r="M44" s="464" t="s">
        <v>105</v>
      </c>
    </row>
    <row r="50" spans="3:6" hidden="1"/>
    <row r="51" spans="3:6" hidden="1">
      <c r="C51" s="2163" t="s">
        <v>249</v>
      </c>
      <c r="D51" s="2164"/>
      <c r="E51" s="2164"/>
      <c r="F51" s="2165"/>
    </row>
    <row r="52" spans="3:6" hidden="1">
      <c r="C52" s="240"/>
      <c r="D52" s="172"/>
      <c r="E52" s="241"/>
      <c r="F52" s="241"/>
    </row>
    <row r="53" spans="3:6" hidden="1">
      <c r="C53" s="1905" t="s">
        <v>970</v>
      </c>
      <c r="D53" s="172" t="s">
        <v>1037</v>
      </c>
      <c r="E53" s="241"/>
      <c r="F53" s="241"/>
    </row>
    <row r="54" spans="3:6" hidden="1">
      <c r="C54" s="1906" t="s">
        <v>1024</v>
      </c>
      <c r="D54" s="172"/>
      <c r="E54" s="241"/>
      <c r="F54" s="241"/>
    </row>
    <row r="55" spans="3:6" hidden="1">
      <c r="C55" s="1907" t="s">
        <v>1025</v>
      </c>
      <c r="D55" s="172"/>
      <c r="E55" s="241"/>
      <c r="F55" s="241"/>
    </row>
    <row r="56" spans="3:6" hidden="1">
      <c r="C56" s="240"/>
      <c r="D56" s="172"/>
      <c r="E56" s="241"/>
      <c r="F56" s="241"/>
    </row>
    <row r="57" spans="3:6" hidden="1">
      <c r="C57" s="240"/>
      <c r="D57" s="172"/>
      <c r="E57" s="241"/>
      <c r="F57" s="241"/>
    </row>
    <row r="58" spans="3:6" hidden="1">
      <c r="C58" s="240"/>
      <c r="D58" s="172"/>
      <c r="E58" s="241"/>
      <c r="F58" s="241"/>
    </row>
    <row r="59" spans="3:6" hidden="1">
      <c r="C59" s="242"/>
      <c r="D59" s="1303"/>
      <c r="E59" s="185"/>
      <c r="F59" s="185"/>
    </row>
    <row r="60" spans="3:6" hidden="1"/>
  </sheetData>
  <sheetProtection algorithmName="SHA-512" hashValue="WiRqzbvePTIq3s2X2KUmIuUuIUQe406U3ST3ja/8JiDpKafIAQB1kLYvdkvr51G5G80oxfnm4GmIp3Wo6mA9aw==" saltValue="KRcsfZUar+XHHn5puyW3nQ==" spinCount="100000" sheet="1" objects="1" scenarios="1" selectLockedCells="1"/>
  <mergeCells count="13">
    <mergeCell ref="C40:G40"/>
    <mergeCell ref="H41:I41"/>
    <mergeCell ref="C51:F51"/>
    <mergeCell ref="B3:M3"/>
    <mergeCell ref="B7:B8"/>
    <mergeCell ref="C7:C8"/>
    <mergeCell ref="D7:D8"/>
    <mergeCell ref="E7:E8"/>
    <mergeCell ref="F7:F8"/>
    <mergeCell ref="G7:G8"/>
    <mergeCell ref="H7:I7"/>
    <mergeCell ref="J7:K7"/>
    <mergeCell ref="L7:M7"/>
  </mergeCells>
  <dataValidations count="6">
    <dataValidation type="date" operator="lessThan" allowBlank="1" showInputMessage="1" showErrorMessage="1" error="EN_x000a_End must occur after start._x000a__x000a_DE_x000a_Das Ende muss nach dem Start kommen._x000a_ " sqref="H10:H40" xr:uid="{00000000-0002-0000-3300-000000000000}">
      <formula1>I10</formula1>
    </dataValidation>
    <dataValidation type="date" operator="greaterThan" allowBlank="1" showInputMessage="1" showErrorMessage="1" error="EN_x000a_End must occur after start._x000a__x000a_DE_x000a_Das Ende muss nach dem Start kommen._x000a_ " sqref="I10:I40" xr:uid="{00000000-0002-0000-3300-000001000000}">
      <formula1>H10</formula1>
    </dataValidation>
    <dataValidation type="list" allowBlank="1" showInputMessage="1" showErrorMessage="1" sqref="G10:G39" xr:uid="{00000000-0002-0000-3300-000002000000}">
      <formula1>$D$53:$D$54</formula1>
    </dataValidation>
    <dataValidation type="list" allowBlank="1" showInputMessage="1" showErrorMessage="1" sqref="D10:D39" xr:uid="{00000000-0002-0000-3300-000003000000}">
      <formula1>$C$53:$C$55</formula1>
    </dataValidation>
    <dataValidation type="whole" operator="greaterThan" allowBlank="1" showInputMessage="1" showErrorMessage="1" error="Bitte eine ganze Zahl grösser als 0 eingeben!" sqref="J9:K40 M9:M40 L10:L40" xr:uid="{00000000-0002-0000-3300-000004000000}">
      <formula1>0</formula1>
    </dataValidation>
    <dataValidation type="whole" operator="greaterThan" allowBlank="1" showInputMessage="1" showErrorMessage="1" error="Bitte eine ganze Zahl grösser als 0 eingeben!" promptTitle="Investition" prompt="Unter Investition werden die gesamten Kosten verstanden, inkl.der personellen Aufwände." sqref="L9" xr:uid="{00000000-0002-0000-3300-000005000000}">
      <formula1>0</formula1>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300-000006000000}">
          <x14:formula1>
            <xm:f>'Control Values'!$B$23:$B$26</xm:f>
          </x14:formula1>
          <xm:sqref>F10:F39</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652C6-CD25-4143-A102-2050A0F4ACDB}">
  <sheetPr codeName="Sheet42">
    <tabColor theme="9" tint="-0.24994659260841701"/>
  </sheetPr>
  <dimension ref="B1:L70"/>
  <sheetViews>
    <sheetView showGridLines="0" showZeros="0" workbookViewId="0">
      <pane xSplit="8" ySplit="9" topLeftCell="I10" activePane="bottomRight" state="frozenSplit"/>
      <selection activeCell="B109" sqref="B109"/>
      <selection pane="topRight" activeCell="B109" sqref="B109"/>
      <selection pane="bottomLeft" activeCell="B109" sqref="B109"/>
      <selection pane="bottomRight" activeCell="I11" sqref="I11"/>
    </sheetView>
  </sheetViews>
  <sheetFormatPr baseColWidth="10" defaultColWidth="10" defaultRowHeight="14"/>
  <cols>
    <col min="1" max="1" width="2.6640625" style="472" customWidth="1"/>
    <col min="2" max="2" width="5.5" style="471" customWidth="1"/>
    <col min="3" max="3" width="17.1640625" style="472" customWidth="1"/>
    <col min="4" max="4" width="46.33203125" style="472" customWidth="1"/>
    <col min="5" max="8" width="26.5" style="472" customWidth="1"/>
    <col min="9" max="10" width="11.1640625" style="471" customWidth="1"/>
    <col min="11" max="11" width="55.33203125" style="473" customWidth="1"/>
    <col min="12" max="12" width="9.6640625" style="472" customWidth="1"/>
    <col min="13" max="16384" width="10" style="472"/>
  </cols>
  <sheetData>
    <row r="1" spans="2:11" ht="20.25" customHeight="1" thickBot="1">
      <c r="B1" s="497" t="str">
        <f ca="1">COV!C20</f>
        <v>DECKBLATT BITTE VOLLSTÄNDIG AUSFÜLLEN!</v>
      </c>
      <c r="C1" s="459"/>
      <c r="D1" s="459"/>
      <c r="E1" s="459"/>
      <c r="F1" s="459"/>
      <c r="G1" s="459"/>
      <c r="H1" s="459"/>
      <c r="I1" s="459"/>
      <c r="J1" s="459"/>
      <c r="K1" s="459"/>
    </row>
    <row r="2" spans="2:11" ht="5.25" customHeight="1" thickTop="1"/>
    <row r="3" spans="2:11" ht="21">
      <c r="B3" s="2046" t="str">
        <f>Dictionary!B680&amp;'(7b) Project List'!A22&amp;IF('(7b) Project List'!B22="","",": "&amp;'(7b) Project List'!B22)</f>
        <v>Bewertung der Managementkomplexität für Erfahrung 14</v>
      </c>
      <c r="C3" s="2046"/>
      <c r="D3" s="2046"/>
      <c r="E3" s="2046"/>
      <c r="F3" s="2046"/>
      <c r="G3" s="2046"/>
      <c r="H3" s="2046"/>
      <c r="I3" s="2046"/>
      <c r="J3" s="2046"/>
      <c r="K3" s="2046"/>
    </row>
    <row r="4" spans="2:11" s="498" customFormat="1" ht="21">
      <c r="B4" s="488"/>
      <c r="C4" s="488"/>
      <c r="D4" s="488"/>
      <c r="E4" s="488"/>
      <c r="F4" s="488"/>
      <c r="G4" s="488"/>
      <c r="H4" s="488"/>
      <c r="I4" s="488"/>
      <c r="J4" s="488"/>
      <c r="K4" s="488"/>
    </row>
    <row r="5" spans="2:11" s="467" customFormat="1" ht="22.5" customHeight="1">
      <c r="B5" s="489" t="str">
        <f>EXP!B5</f>
        <v xml:space="preserve"> , Level A, Projekt Management, Erstzertifizierung</v>
      </c>
      <c r="C5" s="491"/>
      <c r="D5" s="491"/>
      <c r="E5" s="492"/>
      <c r="F5" s="491"/>
      <c r="G5" s="493"/>
      <c r="H5" s="492"/>
      <c r="I5" s="492"/>
      <c r="J5" s="492"/>
      <c r="K5" s="494"/>
    </row>
    <row r="6" spans="2:11" s="467" customFormat="1" ht="20" customHeight="1">
      <c r="B6" s="466"/>
      <c r="C6" s="468"/>
      <c r="D6" s="468"/>
      <c r="E6" s="321"/>
      <c r="F6" s="2183"/>
      <c r="G6" s="2183"/>
      <c r="H6" s="2183"/>
      <c r="I6" s="469"/>
      <c r="J6" s="470"/>
    </row>
    <row r="7" spans="2:11" ht="15" customHeight="1"/>
    <row r="8" spans="2:11" s="334" customFormat="1" ht="22.25" customHeight="1">
      <c r="B8" s="2184" t="s">
        <v>294</v>
      </c>
      <c r="C8" s="2187" t="str">
        <f>Dictionary!B681</f>
        <v>Komplexitätsindikatoren und Teilindikatoren</v>
      </c>
      <c r="D8" s="2188"/>
      <c r="E8" s="2186" t="str">
        <f>Dictionary!B682</f>
        <v>Zu bewertende Kriterien:</v>
      </c>
      <c r="F8" s="2186"/>
      <c r="G8" s="2186"/>
      <c r="H8" s="2186"/>
      <c r="I8" s="2177" t="str">
        <f>Dictionary!B683</f>
        <v>Bewertungen und Kommentare</v>
      </c>
      <c r="J8" s="2178"/>
      <c r="K8" s="2179"/>
    </row>
    <row r="9" spans="2:11" s="334" customFormat="1" ht="30" customHeight="1">
      <c r="B9" s="2185"/>
      <c r="C9" s="2189"/>
      <c r="D9" s="2190"/>
      <c r="E9" s="474" t="str">
        <f>Dictionary!B684</f>
        <v>wenig komplex   (1)</v>
      </c>
      <c r="F9" s="474" t="str">
        <f>Dictionary!B685</f>
        <v>begrenzt komplex   (2)</v>
      </c>
      <c r="G9" s="474" t="str">
        <f>Dictionary!B686</f>
        <v>komplex   (3)</v>
      </c>
      <c r="H9" s="474" t="str">
        <f>Dictionary!B687</f>
        <v>sehr komplex   (4)</v>
      </c>
      <c r="I9" s="475" t="str">
        <f>Dictionary!B689</f>
        <v>Bewerber/in</v>
      </c>
      <c r="J9" s="476" t="str">
        <f>Dictionary!B690</f>
        <v>Leitende/r Assessor/in</v>
      </c>
      <c r="K9" s="476" t="str">
        <f>Dictionary!B691</f>
        <v>Anmerkungen, Kommentare, Nachweise (fakultativ)</v>
      </c>
    </row>
    <row r="10" spans="2:11" ht="30" customHeight="1">
      <c r="B10" s="477">
        <v>1</v>
      </c>
      <c r="C10" s="2180" t="str">
        <f>Dictionary!B693</f>
        <v>Indikatoren bezogen auf die technischen Fähigkeiten</v>
      </c>
      <c r="D10" s="2181"/>
      <c r="E10" s="2181"/>
      <c r="F10" s="2181"/>
      <c r="G10" s="2181"/>
      <c r="H10" s="2182"/>
      <c r="K10" s="478"/>
    </row>
    <row r="11" spans="2:11" ht="75">
      <c r="B11" s="479">
        <f>B10+0.1</f>
        <v>1.1000000000000001</v>
      </c>
      <c r="C11" s="558" t="str">
        <f>Dictionary!B694</f>
        <v>Ziele und Ergebnisse</v>
      </c>
      <c r="D11" s="558" t="str">
        <f>Dictionary!B695</f>
        <v>Anzahl und Unterschiedlichkeit der Einzelziele unter Berücksichtigung der Ziele und Erwartungen der relevanten Stakeholder, unterschiedliche Zielkategorien: Prozessziele, Nutzungsziele (Business Case), Operationalisierbarkeit, Transparenz und Abhängigkeiten</v>
      </c>
      <c r="E11" s="557" t="str">
        <f>Dictionary!B696</f>
        <v>sehr wenige klare Ziele, alle quantitativ angegeben, operabel</v>
      </c>
      <c r="F11" s="557" t="str">
        <f>Dictionary!B697</f>
        <v>wenige Ziele, gut formuliert, wenig Zielkonflikte</v>
      </c>
      <c r="G11" s="557" t="str">
        <f>Dictionary!B698</f>
        <v>mehrere Ziele unterschiedlicher Art, teilweise unklar definiert</v>
      </c>
      <c r="H11" s="557" t="str">
        <f>Dictionary!B699</f>
        <v>viele, teilweise konkurrierende  Ziele, strategische und politische Ziele, versteckte Ziele, Nutzungsziele</v>
      </c>
      <c r="I11" s="495"/>
      <c r="J11" s="495"/>
      <c r="K11" s="496"/>
    </row>
    <row r="12" spans="2:11" ht="65">
      <c r="B12" s="479">
        <f>B11+0.1</f>
        <v>1.2000000000000002</v>
      </c>
      <c r="C12" s="558" t="str">
        <f>Dictionary!B701</f>
        <v>Aufgaben und Prozesse</v>
      </c>
      <c r="D12" s="558" t="str">
        <f>Dictionary!B702</f>
        <v>Umfang der Aufgaben, Annahmen und Randbedingungen und deren Abhängigkeiten, eingesetzte Prozesse, Tools und Methoden, eingesetzte Team- und Kommunikationsstrukturen</v>
      </c>
      <c r="E12" s="557" t="str">
        <f>Dictionary!B703</f>
        <v>bekannte Aufgabenstellung und Randbedingungen; wenige Standard-/Reportingverfahren</v>
      </c>
      <c r="F12" s="557" t="str">
        <f>Dictionary!B704</f>
        <v>mehrere Aufgaben, ergänzt durch Annahmen; Einsatz bekannter Prozesse und Tools, einige Reporting-Vorgaben</v>
      </c>
      <c r="G12" s="557" t="str">
        <f>Dictionary!B705</f>
        <v>umfangreiches System von Aufgaben und Annahmen; viele Sachfaktoren; teilweise Einsatz neuartiger Tools und Prozesse, Reporting-Vorgaben</v>
      </c>
      <c r="H12" s="557" t="str">
        <f>Dictionary!B706</f>
        <v>sehr komplexe Aufgabenstellung, umfangreiches sachliches Umfeld; erfordert den Einsatz umfangreicher Prozess- und Toolwelt, strenge Reporting-Vorgaben</v>
      </c>
      <c r="I12" s="495"/>
      <c r="J12" s="495"/>
      <c r="K12" s="496"/>
    </row>
    <row r="13" spans="2:11" ht="65">
      <c r="B13" s="479">
        <f>B12+0.1</f>
        <v>1.3000000000000003</v>
      </c>
      <c r="C13" s="558" t="str">
        <f>Dictionary!B708</f>
        <v>Ressourcen und Finanzen</v>
      </c>
      <c r="D13" s="558" t="str">
        <f>Dictionary!B709</f>
        <v>Akquisition und Bereitstellung der erforderlichen Budgets sowie deren Management; Anzahl der Geldgeber; Verfügbarkeit und Qualität der notwendigen (personellen und sonstigen) Ressourcen; Ressourcen-Management und Beschaffungsprozesse</v>
      </c>
      <c r="E13" s="557" t="str">
        <f>Dictionary!B710</f>
        <v>Budget-Ermittlung ohne Verhandlung, einfache Kostenüberwachung; Ressourcen verfügbar, geringe Ressourcenkonflikte; geringfügige Beschaffungsvorgänge</v>
      </c>
      <c r="F13" s="557" t="str">
        <f>Dictionary!B711</f>
        <v>Budget-Ermittlung und  -Verhandlung; Verhandlung der benötigten Ressourcen, teilweise externe Ressourcen-Beschaffung</v>
      </c>
      <c r="G13" s="557" t="str">
        <f>Dictionary!B712</f>
        <v>Budget- und Ressourcenbeschaffung im Wettbewerb mit anderen Projekten; wesentliche Beschaffungsvorgänge</v>
      </c>
      <c r="H13" s="557" t="str">
        <f>Dictionary!B713</f>
        <v>Beschaffung wesentlicher Finanzmittel, Finanzierung durch unterschiedliche Geldgeber intern und extern; Steuerung wesentlicher Unterauftragnehmer</v>
      </c>
      <c r="I13" s="495"/>
      <c r="J13" s="495"/>
      <c r="K13" s="496"/>
    </row>
    <row r="14" spans="2:11" ht="60">
      <c r="B14" s="479">
        <f>B13+0.1</f>
        <v>1.4000000000000004</v>
      </c>
      <c r="C14" s="558" t="str">
        <f>Dictionary!B715</f>
        <v>Chancen und Risiken</v>
      </c>
      <c r="D14" s="558" t="str">
        <f>Dictionary!B716</f>
        <v xml:space="preserve">Bewertung der Chancen und Risiken im Projekt; Ermittlung und Steuerung des Risikosystems; Ableitung von validen Maßnahmen; Ermittlung und Nutzung von Chancen; Anwendung von Tools zur Steuerung des Risiko-Budgets </v>
      </c>
      <c r="E14" s="557" t="str">
        <f>Dictionary!B717</f>
        <v>wenige Risiken in überschaubarer Höhe, kein Chancen-Management</v>
      </c>
      <c r="F14" s="557" t="str">
        <f>Dictionary!B718</f>
        <v>mehrere Risiken und Chancen; stabiles Risiko-System; Management eines Risiko-Budgets</v>
      </c>
      <c r="G14" s="557" t="str">
        <f>Dictionary!B719</f>
        <v>mehrere Risiken mit begrenzter Schadenshöhe; Möglichkeit der Chancen-Nutzung zur Entlastung des Projektes</v>
      </c>
      <c r="H14" s="557" t="str">
        <f>Dictionary!B720</f>
        <v>Umfangreiches Risiko-Potential inklusive hoher strategischer Risiken; Anwendung valider Steuerungsmöglichkeiten; Meldung nach KONTRAG</v>
      </c>
      <c r="I14" s="495"/>
      <c r="J14" s="495"/>
      <c r="K14" s="496"/>
    </row>
    <row r="15" spans="2:11" s="387" customFormat="1" ht="24" customHeight="1">
      <c r="H15" s="387" t="str">
        <f>Dictionary!B721</f>
        <v>Durchschnitt der eingegebenen Detailbewertungen:</v>
      </c>
      <c r="I15" s="480" t="str">
        <f>IF(SUM(I11:I14)=0,"",ROUNDDOWN(AVERAGE(I11:I14),1))</f>
        <v/>
      </c>
      <c r="J15" s="480" t="str">
        <f>IF(SUM(J11:J14)=0,"",ROUNDDOWN(AVERAGE(J11:J14),1))</f>
        <v/>
      </c>
      <c r="K15" s="481"/>
    </row>
    <row r="16" spans="2:11">
      <c r="C16" s="473"/>
      <c r="D16" s="473"/>
      <c r="E16" s="482"/>
      <c r="F16" s="482"/>
      <c r="G16" s="482"/>
      <c r="H16" s="482"/>
    </row>
    <row r="17" spans="2:11" ht="30" customHeight="1">
      <c r="B17" s="477">
        <v>2</v>
      </c>
      <c r="C17" s="2180" t="str">
        <f>Dictionary!B723</f>
        <v>Indikatoren bezogen auf den Kontext</v>
      </c>
      <c r="D17" s="2181"/>
      <c r="E17" s="2181"/>
      <c r="F17" s="2181"/>
      <c r="G17" s="2181"/>
      <c r="H17" s="2182"/>
    </row>
    <row r="18" spans="2:11" ht="60">
      <c r="B18" s="479">
        <f>B17+0.1</f>
        <v>2.1</v>
      </c>
      <c r="C18" s="558" t="str">
        <f>Dictionary!B724</f>
        <v xml:space="preserve">Strategie, Stakeholder </v>
      </c>
      <c r="D18" s="558" t="str">
        <f>Dictionary!B725</f>
        <v>Einfluss der Unternehmens-Strategie, Auswirkungen des Projektes auf das Unternehmen, Stakeholder-Interessen;
Gesetze und Regularien</v>
      </c>
      <c r="E18" s="559" t="str">
        <f>Dictionary!B726</f>
        <v>wenige strategische Einflüsse; Projekt ist rein operativ ausgerichtet</v>
      </c>
      <c r="F18" s="559" t="str">
        <f>Dictionary!B727</f>
        <v>Stakeholder-Interessen  beeinflussen das Projekt begrenzte Einflüsse aus der Unternehmens-Strategie</v>
      </c>
      <c r="G18" s="559" t="str">
        <f>Dictionary!B728</f>
        <v>Viele Komponenten (?) unterschiedlicher Art</v>
      </c>
      <c r="H18" s="559" t="str">
        <f>Dictionary!B729</f>
        <v>Projekt hat erheblichen Einfluss auf das Unternehmen und seinen Erfolg; starke Auswirkungen von Gesetzen und Regularien</v>
      </c>
      <c r="I18" s="495"/>
      <c r="J18" s="495"/>
      <c r="K18" s="496"/>
    </row>
    <row r="19" spans="2:11" ht="135">
      <c r="B19" s="479">
        <f>B18+0.1</f>
        <v>2.2000000000000002</v>
      </c>
      <c r="C19" s="558" t="str">
        <f>Dictionary!B731</f>
        <v>Stammorganisation</v>
      </c>
      <c r="D19" s="558" t="str">
        <f>Dictionary!B732</f>
        <v>Umfang der Vernetzung über Schnittstellen des Projektes mit den Strukturen, Berichtswesen und Entscheidungswegen der Stammorganisation</v>
      </c>
      <c r="E19" s="559" t="str">
        <f>Dictionary!B733</f>
        <v xml:space="preserve">starke Abgrenzung des Projektes von der Stammorganisation, Entscheidungen fallen wesentlich in der Stammorganisation, viele ähnliche Projekte wurden bereits im Unternehmen durchgeführt </v>
      </c>
      <c r="F19" s="559" t="str">
        <f>Dictionary!B734</f>
        <v>klare Schnittstellen zur Stammorganisation z.B. über Leitungsgremium; Berichtswesen und Entscheidungswege begrenzt und klar definiert Projekt hat geringe Auswirkungen auf Prozesse der Stammorganisation,  ähnliche Projekte wurden bereits im Unternehmen durchgeführt</v>
      </c>
      <c r="G19" s="559" t="str">
        <f>Dictionary!B735</f>
        <v>viele operative Schnittstellen wirken auf  das Projekt ein; Berichte und Entscheidungen machen erheblichen Arbeitsanteil aus, Projekt hat  Auswirkungen auf Prozesse der Stammorganisation, wenige ähnliche Projekte wurden bereits im Unternehmen durchgeführt</v>
      </c>
      <c r="H19" s="559" t="str">
        <f>Dictionary!B736</f>
        <v>Starke Einflüsse der Stammorganisation auf strategischer Ebene; Entscheidungen durch Verhandlungen mit der Stammorganisation, Projekt hat starke Auswirkungen auf Prozesse der Stammorganisation , Projekt ist neuartig für Unternehmen</v>
      </c>
      <c r="I19" s="495"/>
      <c r="J19" s="495"/>
      <c r="K19" s="496"/>
    </row>
    <row r="20" spans="2:11" ht="65">
      <c r="B20" s="479">
        <f>B19+0.1</f>
        <v>2.3000000000000003</v>
      </c>
      <c r="C20" s="558" t="str">
        <f>Dictionary!B738</f>
        <v>Sozio-Kulturelle Einflüsse</v>
      </c>
      <c r="D20" s="558" t="str">
        <f>Dictionary!B739</f>
        <v>Einfluss der sozio-kulturellen Unterschiede im Projektteam, insbesondere bei verteilten oder Firmen-übergreifenden Teams</v>
      </c>
      <c r="E20" s="557" t="str">
        <f>Dictionary!B740</f>
        <v>keine Auswirkungen zu erwarten (Projekt an einem Standort, eine Sprache, homogene Projektgruppe)</v>
      </c>
      <c r="F20" s="557" t="str">
        <f>Dictionary!B741</f>
        <v>wenig Auswirkungen zu erwarten</v>
      </c>
      <c r="G20" s="557" t="str">
        <f>Dictionary!B742</f>
        <v>Auswirkungen infolge lokal verteilter Teams, mehreren Sprachen oder heterogenen Kulturkreisen erfordern in Einzelfällen Führungsmaßnahmen</v>
      </c>
      <c r="H20" s="557" t="str">
        <f>Dictionary!B743</f>
        <v>Auswirkungen infolge lokal verteilter Teams oder großer Teams aus unterschiedlichen Unternehmen und Kulturkreisen erfordern umfangreiche Führungsmaßnahmen</v>
      </c>
      <c r="I20" s="495"/>
      <c r="J20" s="495"/>
      <c r="K20" s="496"/>
    </row>
    <row r="21" spans="2:11" s="387" customFormat="1" ht="24" customHeight="1">
      <c r="H21" s="387" t="str">
        <f>Dictionary!B744</f>
        <v>Durchschnitt der eingegebenen Detailbewertungen:</v>
      </c>
      <c r="I21" s="480" t="str">
        <f>IF(SUM(I18:I20)=0,"",ROUNDDOWN(AVERAGE(I18:I20),1))</f>
        <v/>
      </c>
      <c r="J21" s="480" t="str">
        <f>IF(SUM(J18:J20)=0,"",ROUNDDOWN(AVERAGE(J18:J20),1))</f>
        <v/>
      </c>
      <c r="K21" s="481"/>
    </row>
    <row r="22" spans="2:11">
      <c r="C22" s="473"/>
      <c r="D22" s="473"/>
      <c r="E22" s="482"/>
      <c r="F22" s="482"/>
      <c r="G22" s="482"/>
      <c r="H22" s="482"/>
    </row>
    <row r="23" spans="2:11" ht="30" customHeight="1">
      <c r="B23" s="477">
        <v>3</v>
      </c>
      <c r="C23" s="2180" t="str">
        <f>Dictionary!B746</f>
        <v>Indikatoren bezogen auf Management und Führung</v>
      </c>
      <c r="D23" s="2181"/>
      <c r="E23" s="2181"/>
      <c r="F23" s="2181"/>
      <c r="G23" s="2181"/>
      <c r="H23" s="2182"/>
    </row>
    <row r="24" spans="2:11" ht="90">
      <c r="B24" s="479">
        <f>B23+0.1</f>
        <v>3.1</v>
      </c>
      <c r="C24" s="560" t="str">
        <f>Dictionary!B747</f>
        <v xml:space="preserve">Führung und Teamwork </v>
      </c>
      <c r="D24" s="560" t="str">
        <f>Dictionary!B748</f>
        <v>Umfang der Führungs-, Teambildungs und-Steuerungsmaßnahmen</v>
      </c>
      <c r="E24" s="559" t="str">
        <f>Dictionary!B749</f>
        <v>fast alle Teammitglieder haben bereits mit PL gearbeitet, PL hat Erfahrung im Mgt von Teams über 5 J, Governance Vorgaben sind klar definiert, das Projektteam hat hohe PM Skills</v>
      </c>
      <c r="F24" s="559" t="str">
        <f>Dictionary!B750</f>
        <v>sehr viele Teammitglieder haben bereits mit PL gearbeitet, PL hat Erfahrung im Mgt von Teams über 3 J, governance Vorgaben sind teilweise definiert, das Projektteam hat  PM Skills</v>
      </c>
      <c r="G24" s="559" t="str">
        <f>Dictionary!B751</f>
        <v>viele Teammitglieder haben bereits mit PL gearbeitet, PL hat Erfahrung im Mgt von Teams über 1-2 J, einige Governance Vorgaben sind klar definiert, das Projektteam hat einige PM Skills</v>
      </c>
      <c r="H24" s="559" t="str">
        <f>Dictionary!B752</f>
        <v>wenige Teammitglieder haben bereits mit PL gearbeitet, PL hat Erfahrung im Mgt von Teams weniger 1J, wenige Governance Vorgaben sind definiert, das Projektteam hat sehr wenig PM Skills</v>
      </c>
      <c r="I24" s="495"/>
      <c r="J24" s="495"/>
      <c r="K24" s="496"/>
    </row>
    <row r="25" spans="2:11" ht="91" customHeight="1">
      <c r="B25" s="479">
        <f>B24+0.1</f>
        <v>3.2</v>
      </c>
      <c r="C25" s="558" t="str">
        <f>Dictionary!B754</f>
        <v xml:space="preserve"> Innovation</v>
      </c>
      <c r="D25" s="558" t="str">
        <f>Dictionary!B755</f>
        <v>technische Neuartigkeit des Projektes und seine Auswirkungen auf Ressourcenauswahl und Aus- und Weiterbildung während des Projektes; Umgang mit neuartigen Ansätzen und Ergebnissen</v>
      </c>
      <c r="E25" s="559" t="str">
        <f>Dictionary!B756</f>
        <v>kein Handlungsbedarf infolge geringer Neuartigkeit, z.B. Wiederholprojekte</v>
      </c>
      <c r="F25" s="559" t="str">
        <f>Dictionary!B757</f>
        <v>einige Maßnahmen erforderlich infolge der Neuartigkeit in einzelnen Bereichen</v>
      </c>
      <c r="G25" s="559" t="str">
        <f>Dictionary!B758</f>
        <v>Neuartigkeit des Projektgegenstandes und/oder von Prozessen bedingt vorbereitende Qualifizerungsmaßnahmen</v>
      </c>
      <c r="H25" s="559" t="str">
        <f>Dictionary!B759</f>
        <v xml:space="preserve">Neuartigkeit des Projektgegenstandes und/oder von Prozessen in Verbindung mit großem Projektvolumen bedingt Planung der Qualifizierung, aber auch intensives Risiko-Management </v>
      </c>
      <c r="I25" s="495"/>
      <c r="J25" s="495"/>
      <c r="K25" s="496"/>
    </row>
    <row r="26" spans="2:11" ht="60">
      <c r="B26" s="479">
        <f>B25+0.1</f>
        <v>3.3000000000000003</v>
      </c>
      <c r="C26" s="558" t="str">
        <f>Dictionary!B761</f>
        <v>Autonomie und Verantwortung</v>
      </c>
      <c r="D26" s="558" t="str">
        <f>Dictionary!B762</f>
        <v>Entscheidungs- und Verantwortungsspielraum des Projektleiters; Umfang der Delegation in das Projektteam; Vertretung des Projektes gegenüber dem gesamten sozialen Umfeld</v>
      </c>
      <c r="E26" s="559" t="str">
        <f>Dictionary!B763</f>
        <v xml:space="preserve">wenig Autonomie/Gestaltungsspielräume des PL bzgl. Entscheidungen und Vertretung des Projektes nach aussen </v>
      </c>
      <c r="F26" s="559" t="str">
        <f>Dictionary!B764</f>
        <v>Verhandlung Lasten- und Pflichtenheft; Gesaltungs-spielräume ergeben sich hauptsächlich durch Änderungsprozesse</v>
      </c>
      <c r="G26" s="559" t="str">
        <f>Dictionary!B765</f>
        <v>Projektleiter vertritt das Projekt und damit auch das Unternehmen auch gegenüber externen Stakeholdern</v>
      </c>
      <c r="H26" s="559" t="str">
        <f>Dictionary!B766</f>
        <v>umfangreiche Verantwortungs- und Entscheidungsspielräume, z.B. durch Vollmachts- oder Unterschriftenregelung</v>
      </c>
      <c r="I26" s="495"/>
      <c r="J26" s="495"/>
      <c r="K26" s="496"/>
    </row>
    <row r="27" spans="2:11" s="387" customFormat="1" ht="24" customHeight="1">
      <c r="H27" s="387" t="str">
        <f>Dictionary!B767</f>
        <v>Durchschnitt der eingegebenen Detailbewertungen:</v>
      </c>
      <c r="I27" s="480" t="str">
        <f>IF(SUM(I24:I26)=0,"",ROUNDDOWN(AVERAGE(I24:I26),1))</f>
        <v/>
      </c>
      <c r="J27" s="480" t="str">
        <f>IF(SUM(J24:J26)=0,"",ROUNDDOWN(AVERAGE(J24:J26),1))</f>
        <v/>
      </c>
      <c r="K27" s="481"/>
    </row>
    <row r="28" spans="2:11">
      <c r="C28" s="473"/>
      <c r="D28" s="473"/>
      <c r="E28" s="482"/>
      <c r="F28" s="482"/>
      <c r="G28" s="482"/>
      <c r="H28" s="482"/>
    </row>
    <row r="29" spans="2:11" ht="17" customHeight="1"/>
    <row r="30" spans="2:11" ht="17" customHeight="1">
      <c r="F30" s="334" t="str">
        <f>Dictionary!B768</f>
        <v>Zusammenfassende Bewertungen (gerundet)</v>
      </c>
    </row>
    <row r="31" spans="2:11" ht="17" customHeight="1">
      <c r="G31" s="483" t="str">
        <f>Dictionary!B769</f>
        <v>Indikator</v>
      </c>
      <c r="H31" s="471">
        <v>1</v>
      </c>
      <c r="I31" s="484" t="str">
        <f>IF(I15="","",I15)</f>
        <v/>
      </c>
      <c r="J31" s="484" t="str">
        <f>IF(J15="","",J15)</f>
        <v/>
      </c>
    </row>
    <row r="32" spans="2:11" ht="17" customHeight="1">
      <c r="G32" s="483" t="str">
        <f>Dictionary!B769</f>
        <v>Indikator</v>
      </c>
      <c r="H32" s="471">
        <f>1+H31</f>
        <v>2</v>
      </c>
      <c r="I32" s="485" t="str">
        <f>IF(I21="","",I21)</f>
        <v/>
      </c>
      <c r="J32" s="485" t="str">
        <f>IF(J21="","",J21)</f>
        <v/>
      </c>
    </row>
    <row r="33" spans="2:12" ht="17" customHeight="1">
      <c r="G33" s="483" t="str">
        <f>Dictionary!B769</f>
        <v>Indikator</v>
      </c>
      <c r="H33" s="471">
        <f>1+H32</f>
        <v>3</v>
      </c>
      <c r="I33" s="485" t="str">
        <f>IF(I27="","",I27)</f>
        <v/>
      </c>
      <c r="J33" s="485" t="str">
        <f>IF(J27="","",J27)</f>
        <v/>
      </c>
    </row>
    <row r="34" spans="2:12" s="473" customFormat="1" ht="17" customHeight="1">
      <c r="B34" s="471"/>
      <c r="C34" s="472"/>
      <c r="D34" s="472"/>
      <c r="E34" s="472"/>
      <c r="F34" s="472"/>
      <c r="G34" s="472"/>
      <c r="H34" s="387" t="str">
        <f>Dictionary!B770</f>
        <v xml:space="preserve">Gesamtbewertung   </v>
      </c>
      <c r="I34" s="485">
        <f>SUM(I11:I14)+SUM(I18:I20)+SUM(I24:I26)</f>
        <v>0</v>
      </c>
      <c r="J34" s="485">
        <f>SUM(J11:J14)+SUM(J18:J20)+SUM(J24:J26)</f>
        <v>0</v>
      </c>
      <c r="L34" s="472"/>
    </row>
    <row r="35" spans="2:12" s="473" customFormat="1" ht="17" customHeight="1">
      <c r="B35" s="471"/>
      <c r="C35" s="472"/>
      <c r="D35" s="472"/>
      <c r="E35" s="472"/>
      <c r="F35" s="472"/>
      <c r="G35" s="472"/>
      <c r="H35" s="387"/>
      <c r="I35" s="486"/>
      <c r="J35" s="486"/>
      <c r="L35" s="472"/>
    </row>
    <row r="36" spans="2:12" s="473" customFormat="1" ht="17" customHeight="1">
      <c r="B36" s="471"/>
      <c r="C36" s="487"/>
      <c r="D36" s="487"/>
      <c r="E36" s="472"/>
      <c r="F36" s="472"/>
      <c r="G36" s="472"/>
      <c r="H36" s="472"/>
      <c r="I36" s="471"/>
      <c r="J36" s="471"/>
      <c r="L36" s="472"/>
    </row>
    <row r="37" spans="2:12" s="473" customFormat="1" ht="17" customHeight="1" thickBot="1">
      <c r="B37" s="460"/>
      <c r="C37" s="460"/>
      <c r="D37" s="460"/>
      <c r="E37" s="460"/>
      <c r="F37" s="460"/>
      <c r="G37" s="460"/>
      <c r="H37" s="460"/>
      <c r="I37" s="460"/>
      <c r="J37" s="460"/>
      <c r="K37" s="460"/>
      <c r="L37" s="472"/>
    </row>
    <row r="38" spans="2:12" s="473" customFormat="1" ht="17" customHeight="1">
      <c r="B38" s="89"/>
      <c r="C38" s="89"/>
      <c r="D38" s="89"/>
      <c r="F38" s="472"/>
      <c r="G38" s="472"/>
      <c r="H38" s="472"/>
      <c r="I38" s="471"/>
      <c r="J38" s="471"/>
      <c r="K38" s="464" t="s">
        <v>105</v>
      </c>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ht="17" customHeight="1"/>
    <row r="50" ht="17" customHeight="1"/>
    <row r="51" ht="17" customHeight="1"/>
    <row r="52" ht="17" customHeight="1"/>
    <row r="53" ht="17" customHeight="1"/>
    <row r="54" ht="17" customHeight="1"/>
    <row r="55" ht="17" customHeight="1"/>
    <row r="56" ht="17" customHeight="1"/>
    <row r="57" ht="17" customHeight="1"/>
    <row r="58" ht="17" customHeight="1"/>
    <row r="59" ht="17" customHeight="1"/>
    <row r="60" ht="17" customHeight="1"/>
    <row r="61" ht="17" customHeight="1"/>
    <row r="62" ht="17" customHeight="1"/>
    <row r="63" ht="17" customHeight="1"/>
    <row r="64" ht="17" customHeight="1"/>
    <row r="65" ht="17" customHeight="1"/>
    <row r="66" ht="17" customHeight="1"/>
    <row r="67" ht="17" customHeight="1"/>
    <row r="68" ht="17" customHeight="1"/>
    <row r="69" ht="17" customHeight="1"/>
    <row r="70" ht="17" customHeight="1"/>
  </sheetData>
  <sheetProtection algorithmName="SHA-512" hashValue="LVyMMyVz/aXX2uBEZn5XGp76cVhn6qpUdDm/SmHYUmFoVQ5ydblIC5EOHRe20m+qpeQ8SAn9LUCMFmdOR0oUjA==" saltValue="Ctp4vLuMcRrSO8209iOfQQ==" spinCount="100000" sheet="1" objects="1" scenarios="1" selectLockedCells="1"/>
  <mergeCells count="9">
    <mergeCell ref="C10:H10"/>
    <mergeCell ref="C17:H17"/>
    <mergeCell ref="C23:H23"/>
    <mergeCell ref="B3:K3"/>
    <mergeCell ref="F6:H6"/>
    <mergeCell ref="B8:B9"/>
    <mergeCell ref="C8:D9"/>
    <mergeCell ref="E8:H8"/>
    <mergeCell ref="I8:K8"/>
  </mergeCells>
  <conditionalFormatting sqref="I35:J35">
    <cfRule type="cellIs" dxfId="383" priority="1" operator="equal">
      <formula>"Yes"</formula>
    </cfRule>
    <cfRule type="cellIs" dxfId="382" priority="2" operator="equal">
      <formula>"No"</formula>
    </cfRule>
  </conditionalFormatting>
  <dataValidations count="1">
    <dataValidation type="whole" allowBlank="1" showInputMessage="1" showErrorMessage="1" sqref="I11:J14 I18:J20 I24:J26" xr:uid="{00000000-0002-0000-34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4E497-6E6A-4555-B9D7-752D7E1A1417}">
  <sheetPr codeName="Sheet18">
    <tabColor theme="9"/>
  </sheetPr>
  <dimension ref="B1:E68"/>
  <sheetViews>
    <sheetView topLeftCell="A4" zoomScale="130" zoomScaleNormal="130" workbookViewId="0">
      <selection activeCell="B19" sqref="B19:E19"/>
    </sheetView>
  </sheetViews>
  <sheetFormatPr baseColWidth="10" defaultColWidth="11.5" defaultRowHeight="15"/>
  <cols>
    <col min="1" max="1" width="2.5" style="89" customWidth="1"/>
    <col min="2" max="2" width="45.5" style="89" customWidth="1"/>
    <col min="3" max="3" width="22.83203125" style="89" customWidth="1"/>
    <col min="4" max="4" width="32" style="89" customWidth="1"/>
    <col min="5" max="5" width="22.83203125" style="89" customWidth="1"/>
    <col min="6" max="6" width="3.1640625" style="89" customWidth="1"/>
    <col min="7" max="7" width="20" style="89" customWidth="1"/>
    <col min="8" max="9" width="11.5" style="89"/>
    <col min="10" max="10" width="8.5" style="89" customWidth="1"/>
    <col min="11" max="16384" width="11.5" style="89"/>
  </cols>
  <sheetData>
    <row r="1" spans="2:5" ht="15.75" customHeight="1" thickBot="1">
      <c r="B1" s="497" t="str">
        <f ca="1">COV!C20</f>
        <v>DECKBLATT BITTE VOLLSTÄNDIG AUSFÜLLEN!</v>
      </c>
      <c r="C1" s="459"/>
      <c r="D1" s="459"/>
      <c r="E1" s="459"/>
    </row>
    <row r="2" spans="2:5" ht="5.25" customHeight="1" thickTop="1"/>
    <row r="3" spans="2:5" ht="21">
      <c r="B3" s="2046" t="str">
        <f>Dictionary!B614&amp;'(7b) Project List'!A23</f>
        <v>Steckbrief für Management Erfahrung 15</v>
      </c>
      <c r="C3" s="2046"/>
      <c r="D3" s="2046"/>
      <c r="E3" s="2046"/>
    </row>
    <row r="4" spans="2:5" ht="21">
      <c r="B4" s="488"/>
      <c r="C4" s="488"/>
      <c r="D4" s="488"/>
      <c r="E4" s="488"/>
    </row>
    <row r="5" spans="2:5" ht="21">
      <c r="B5" s="489" t="str">
        <f>EXP!B5</f>
        <v xml:space="preserve"> , Level A, Projekt Management, Erstzertifizierung</v>
      </c>
      <c r="C5" s="490"/>
      <c r="D5" s="490"/>
      <c r="E5" s="490"/>
    </row>
    <row r="7" spans="2:5">
      <c r="B7" s="2013" t="str">
        <f>Dictionary!B618</f>
        <v>Kopfzeile</v>
      </c>
      <c r="C7" s="2013"/>
      <c r="D7" s="2013"/>
      <c r="E7" s="2013"/>
    </row>
    <row r="8" spans="2:5" ht="16.5" customHeight="1">
      <c r="B8" s="503" t="str">
        <f>EXP!D23&amp;" "&amp;Dictionary!B615</f>
        <v xml:space="preserve"> Name </v>
      </c>
      <c r="C8" s="504" t="str">
        <f>IF('(7b) Project List'!B23="","",'(7b) Project List'!B23)</f>
        <v/>
      </c>
      <c r="D8" s="508" t="str">
        <f>EXP!D23&amp;" "&amp;Dictionary!B616</f>
        <v xml:space="preserve"> Nummer </v>
      </c>
      <c r="E8" s="509"/>
    </row>
    <row r="9" spans="2:5" ht="16.5" customHeight="1">
      <c r="B9" s="510" t="str">
        <f>Dictionary!B617</f>
        <v>Kunde/AuftraggeberIn:</v>
      </c>
      <c r="C9" s="2138"/>
      <c r="D9" s="2138"/>
      <c r="E9" s="511"/>
    </row>
    <row r="10" spans="2:5" ht="16.5" customHeight="1"/>
    <row r="11" spans="2:5" ht="16.5" customHeight="1">
      <c r="B11" s="2013" t="str">
        <f>Dictionary!B620</f>
        <v>Governance &amp; eigene Rolle</v>
      </c>
      <c r="C11" s="2013"/>
      <c r="D11" s="2013"/>
      <c r="E11" s="2013"/>
    </row>
    <row r="12" spans="2:5" ht="16.5" customHeight="1">
      <c r="B12" s="503" t="str">
        <f>Dictionary!B621</f>
        <v>Eigene Rolle:</v>
      </c>
      <c r="C12" s="504" t="str">
        <f>IF('(7b) Project List'!E23="","",'(7b) Project List'!E23)</f>
        <v/>
      </c>
      <c r="D12" s="2130" t="str">
        <f>Dictionary!B622</f>
        <v>Anmerkungen:</v>
      </c>
      <c r="E12" s="2131"/>
    </row>
    <row r="13" spans="2:5" ht="16.5" customHeight="1">
      <c r="B13" s="505" t="str">
        <f>Dictionary!B623</f>
        <v>Verantwortung für den Umfang/die Ergebnisse:</v>
      </c>
      <c r="C13" s="506"/>
      <c r="D13" s="2142"/>
      <c r="E13" s="2143"/>
    </row>
    <row r="14" spans="2:5" ht="16.5" customHeight="1">
      <c r="B14" s="505" t="str">
        <f>Dictionary!B624</f>
        <v>Verantwortung für die Terminplanung:</v>
      </c>
      <c r="C14" s="506"/>
      <c r="D14" s="2142"/>
      <c r="E14" s="2143"/>
    </row>
    <row r="15" spans="2:5" ht="16.5" customHeight="1">
      <c r="B15" s="505" t="str">
        <f>Dictionary!B625</f>
        <v>Verantwortung für das Budget:</v>
      </c>
      <c r="C15" s="506"/>
      <c r="D15" s="2142"/>
      <c r="E15" s="2143"/>
    </row>
    <row r="16" spans="2:5" ht="16.5" customHeight="1">
      <c r="B16" s="561" t="str">
        <f>EXP!D23&amp;" "&amp;Dictionary!B627</f>
        <v xml:space="preserve"> Typ</v>
      </c>
      <c r="C16" s="507"/>
      <c r="D16" s="2142"/>
      <c r="E16" s="2143"/>
    </row>
    <row r="17" spans="2:5" ht="16.5" customHeight="1">
      <c r="B17" s="561" t="str">
        <f>Dictionary!B626</f>
        <v>Art der PM Organisation</v>
      </c>
      <c r="C17" s="507"/>
      <c r="D17" s="2142"/>
      <c r="E17" s="2143"/>
    </row>
    <row r="18" spans="2:5" ht="16.5" customHeight="1">
      <c r="B18" s="2139" t="str">
        <f>Dictionary!B628</f>
        <v>Kurze Beschreibung Ihrer eigenen Rolle, Verantwortung und Aktivitäten; wem sind Sie unterstellt?</v>
      </c>
      <c r="C18" s="2140"/>
      <c r="D18" s="2140"/>
      <c r="E18" s="2141"/>
    </row>
    <row r="19" spans="2:5" ht="57" customHeight="1">
      <c r="B19" s="2149"/>
      <c r="C19" s="2150"/>
      <c r="D19" s="2150"/>
      <c r="E19" s="2151"/>
    </row>
    <row r="20" spans="2:5" ht="18" customHeight="1"/>
    <row r="21" spans="2:5" ht="16.5" customHeight="1">
      <c r="B21" s="2013" t="str">
        <f>Dictionary!B630</f>
        <v>Allgemeine Informationen und Beschreibung</v>
      </c>
      <c r="C21" s="2013"/>
      <c r="D21" s="2013"/>
      <c r="E21" s="2013"/>
    </row>
    <row r="22" spans="2:5" ht="16.5" customHeight="1">
      <c r="B22" s="2157" t="str">
        <f>Dictionary!B631</f>
        <v>Kurze Beschreibung der KPI, Ergebnisse und Liefergegenstände:</v>
      </c>
      <c r="C22" s="2158"/>
      <c r="D22" s="2158"/>
      <c r="E22" s="2159"/>
    </row>
    <row r="23" spans="2:5" ht="57" customHeight="1">
      <c r="B23" s="2160"/>
      <c r="C23" s="2161"/>
      <c r="D23" s="2161"/>
      <c r="E23" s="2162"/>
    </row>
    <row r="24" spans="2:5" ht="16.5" customHeight="1">
      <c r="B24" s="2139" t="str">
        <f>Dictionary!B632</f>
        <v>Kurze Beschreibung des Umfangs und der Ziele, für die Sie verantwortlich sind:</v>
      </c>
      <c r="C24" s="2140"/>
      <c r="D24" s="2140"/>
      <c r="E24" s="2141"/>
    </row>
    <row r="25" spans="2:5" ht="57" customHeight="1">
      <c r="B25" s="2160"/>
      <c r="C25" s="2161"/>
      <c r="D25" s="2161"/>
      <c r="E25" s="2162"/>
    </row>
    <row r="26" spans="2:5" ht="16.5" customHeight="1">
      <c r="B26" s="2139" t="str">
        <f>Dictionary!B633</f>
        <v>Informationen über erhebliche Planabweichungen und/oder kritische Managementsituationen:</v>
      </c>
      <c r="C26" s="2140"/>
      <c r="D26" s="2140"/>
      <c r="E26" s="2141"/>
    </row>
    <row r="27" spans="2:5" ht="54.75" customHeight="1">
      <c r="B27" s="2146"/>
      <c r="C27" s="2152"/>
      <c r="D27" s="2152"/>
      <c r="E27" s="2153"/>
    </row>
    <row r="28" spans="2:5" ht="18" customHeight="1"/>
    <row r="29" spans="2:5" ht="18" customHeight="1">
      <c r="B29" s="2013" t="str">
        <f>EXP!D23&amp;" "&amp;Dictionary!B635</f>
        <v xml:space="preserve"> Planung</v>
      </c>
      <c r="C29" s="2013"/>
      <c r="D29" s="2013"/>
      <c r="E29" s="2013"/>
    </row>
    <row r="30" spans="2:5" ht="16.5" customHeight="1">
      <c r="B30" s="512" t="str">
        <f>Dictionary!B636</f>
        <v>Beginn des Vorhabens:</v>
      </c>
      <c r="C30" s="513" t="str">
        <f>C31</f>
        <v/>
      </c>
      <c r="D30" s="508" t="str">
        <f>Dictionary!B642</f>
        <v>Ende des Vorhabens:</v>
      </c>
      <c r="E30" s="514" t="str">
        <f>E31</f>
        <v/>
      </c>
    </row>
    <row r="31" spans="2:5" ht="16.5" customHeight="1">
      <c r="B31" s="515" t="str">
        <f>Dictionary!B637</f>
        <v>Ihr Beginn in dieser Rolle:</v>
      </c>
      <c r="C31" s="516" t="str">
        <f>IF('(7b) Project List'!F23="","",'(7b) Project List'!F23)</f>
        <v/>
      </c>
      <c r="D31" s="517" t="str">
        <f>Dictionary!B643</f>
        <v>Ende Ihrer Beteiligung:</v>
      </c>
      <c r="E31" s="518" t="str">
        <f>IF('(7b) Project List'!G23="","",'(7b) Project List'!G23)</f>
        <v/>
      </c>
    </row>
    <row r="32" spans="2:5" ht="16.5" customHeight="1">
      <c r="B32" s="2139" t="str">
        <f>IF(ISNUMBER(SEARCH("ortfolio",B29)),Dictionary!B640,Dictionary!B638)</f>
        <v>Phasen:</v>
      </c>
      <c r="C32" s="2140"/>
      <c r="D32" s="2140" t="str">
        <f>IF(ISNUMBER(SEARCH("ortfolio",B29)),Dictionary!B641,Dictionary!B639)</f>
        <v>Meilensteine:</v>
      </c>
      <c r="E32" s="2141"/>
    </row>
    <row r="33" spans="2:5">
      <c r="B33" s="2154"/>
      <c r="C33" s="2142"/>
      <c r="D33" s="2133"/>
      <c r="E33" s="2143"/>
    </row>
    <row r="34" spans="2:5">
      <c r="B34" s="2155"/>
      <c r="C34" s="2142"/>
      <c r="D34" s="2142"/>
      <c r="E34" s="2143"/>
    </row>
    <row r="35" spans="2:5">
      <c r="B35" s="2155"/>
      <c r="C35" s="2142"/>
      <c r="D35" s="2142"/>
      <c r="E35" s="2143"/>
    </row>
    <row r="36" spans="2:5">
      <c r="B36" s="2155"/>
      <c r="C36" s="2142"/>
      <c r="D36" s="2142"/>
      <c r="E36" s="2143"/>
    </row>
    <row r="37" spans="2:5">
      <c r="B37" s="2155"/>
      <c r="C37" s="2142"/>
      <c r="D37" s="2142"/>
      <c r="E37" s="2143"/>
    </row>
    <row r="38" spans="2:5">
      <c r="B38" s="2155"/>
      <c r="C38" s="2142"/>
      <c r="D38" s="2142"/>
      <c r="E38" s="2143"/>
    </row>
    <row r="39" spans="2:5">
      <c r="B39" s="2155"/>
      <c r="C39" s="2142"/>
      <c r="D39" s="2142"/>
      <c r="E39" s="2143"/>
    </row>
    <row r="40" spans="2:5">
      <c r="B40" s="2155"/>
      <c r="C40" s="2142"/>
      <c r="D40" s="2142"/>
      <c r="E40" s="2143"/>
    </row>
    <row r="41" spans="2:5">
      <c r="B41" s="2155"/>
      <c r="C41" s="2142"/>
      <c r="D41" s="2142"/>
      <c r="E41" s="2143"/>
    </row>
    <row r="42" spans="2:5">
      <c r="B42" s="2156"/>
      <c r="C42" s="2150"/>
      <c r="D42" s="2150"/>
      <c r="E42" s="2151"/>
    </row>
    <row r="44" spans="2:5" ht="18" customHeight="1">
      <c r="B44" s="2132" t="str">
        <f>IF(PMO_MODE="",Dictionary!B645,IF(ISNUMBER(FIND(EXP!C42,B8)),Dictionary!B646,Dictionary!B645))</f>
        <v>Ressourcen, für die Sie direkt verantwortlich sind</v>
      </c>
      <c r="C44" s="2132"/>
      <c r="D44" s="2132"/>
      <c r="E44" s="2132"/>
    </row>
    <row r="45" spans="2:5" ht="16.5" customHeight="1">
      <c r="B45" s="519"/>
      <c r="C45" s="524" t="str">
        <f>Dictionary!B647</f>
        <v>Wert</v>
      </c>
      <c r="D45" s="2130" t="str">
        <f>Dictionary!B648</f>
        <v>Anmerkungen</v>
      </c>
      <c r="E45" s="2131"/>
    </row>
    <row r="46" spans="2:5" ht="16">
      <c r="B46" s="520" t="str">
        <f>Dictionary!B649</f>
        <v>Anzahl der Ihnen direkt unterstellten Teammitglieder:</v>
      </c>
      <c r="C46" s="1720"/>
      <c r="D46" s="2133"/>
      <c r="E46" s="2134"/>
    </row>
    <row r="47" spans="2:5" ht="32">
      <c r="B47" s="520" t="str">
        <f>Dictionary!B650</f>
        <v>Anzahl der Mitglieder des Teams gemäß dem Organigramm (inkl. Sie selbst):</v>
      </c>
      <c r="C47" s="1720"/>
      <c r="D47" s="2133"/>
      <c r="E47" s="2134"/>
    </row>
    <row r="48" spans="2:5" ht="16.5" customHeight="1">
      <c r="B48" s="521" t="str">
        <f>Dictionary!B651</f>
        <v>Gesamtaufwand [Personentage]:</v>
      </c>
      <c r="C48" s="1720"/>
      <c r="D48" s="2133"/>
      <c r="E48" s="2134"/>
    </row>
    <row r="49" spans="2:5" ht="16.5" customHeight="1">
      <c r="B49" s="522" t="str">
        <f>Dictionary!B652</f>
        <v>Externer Arbeitsaufwand [Personentage]:</v>
      </c>
      <c r="C49" s="1720"/>
      <c r="D49" s="2133"/>
      <c r="E49" s="2134"/>
    </row>
    <row r="50" spans="2:5" ht="16.5" customHeight="1">
      <c r="B50" s="522" t="str">
        <f>Dictionary!B653</f>
        <v>Interner Arbeitsaufwand [Personentage]:</v>
      </c>
      <c r="C50" s="1720"/>
      <c r="D50" s="2133"/>
      <c r="E50" s="2134"/>
    </row>
    <row r="51" spans="2:5" ht="16.5" customHeight="1">
      <c r="B51" s="522" t="str">
        <f>Dictionary!B654</f>
        <v>Enthaltener PM-Aufwand [Personentage]:</v>
      </c>
      <c r="C51" s="1720"/>
      <c r="D51" s="2133"/>
      <c r="E51" s="2134"/>
    </row>
    <row r="52" spans="2:5" ht="16.5" customHeight="1">
      <c r="B52" s="522" t="str">
        <f>Dictionary!B655</f>
        <v>Budget (Aufwand) unter Ihrer Verantwortung [€]:</v>
      </c>
      <c r="C52" s="1721"/>
      <c r="D52" s="2133"/>
      <c r="E52" s="2134"/>
    </row>
    <row r="53" spans="2:5" ht="16.5" customHeight="1">
      <c r="B53" s="523" t="str">
        <f>Dictionary!B656</f>
        <v>Budget (Sachmittel) unter Ihrer Verantwortung [€]:</v>
      </c>
      <c r="C53" s="1722"/>
      <c r="D53" s="2144"/>
      <c r="E53" s="2145"/>
    </row>
    <row r="54" spans="2:5" ht="16.5" customHeight="1">
      <c r="B54" s="1615" t="str">
        <f>Dictionary!B657</f>
        <v>Gesamtbudget unter Ihrer Verantwortung [€]:</v>
      </c>
      <c r="C54" s="1723">
        <f>C52+C53</f>
        <v>0</v>
      </c>
      <c r="D54" s="1724"/>
      <c r="E54" s="1725"/>
    </row>
    <row r="55" spans="2:5" ht="18" customHeight="1"/>
    <row r="56" spans="2:5" ht="18" customHeight="1">
      <c r="B56" s="2013" t="str">
        <f>Dictionary!B658</f>
        <v xml:space="preserve">Anmerkungen </v>
      </c>
      <c r="C56" s="2013"/>
      <c r="D56" s="2013"/>
      <c r="E56" s="2013"/>
    </row>
    <row r="57" spans="2:5" ht="16.5" customHeight="1">
      <c r="B57" s="2157" t="str">
        <f>Dictionary!B659</f>
        <v>Anmerkungen zur Komplexität:</v>
      </c>
      <c r="C57" s="2158"/>
      <c r="D57" s="2158"/>
      <c r="E57" s="2159"/>
    </row>
    <row r="58" spans="2:5">
      <c r="B58" s="2135"/>
      <c r="C58" s="2136"/>
      <c r="D58" s="2136"/>
      <c r="E58" s="2137"/>
    </row>
    <row r="59" spans="2:5">
      <c r="B59" s="2135"/>
      <c r="C59" s="2136"/>
      <c r="D59" s="2136"/>
      <c r="E59" s="2137"/>
    </row>
    <row r="60" spans="2:5" ht="27" customHeight="1">
      <c r="B60" s="2135"/>
      <c r="C60" s="2136"/>
      <c r="D60" s="2136"/>
      <c r="E60" s="2137"/>
    </row>
    <row r="61" spans="2:5" ht="16.5" customHeight="1">
      <c r="B61" s="2139" t="str">
        <f>Dictionary!B660</f>
        <v>Allgemeine Anmerkungen:</v>
      </c>
      <c r="C61" s="2140"/>
      <c r="D61" s="2140"/>
      <c r="E61" s="2141"/>
    </row>
    <row r="62" spans="2:5" ht="15" customHeight="1">
      <c r="B62" s="2135"/>
      <c r="C62" s="2136"/>
      <c r="D62" s="2136"/>
      <c r="E62" s="2137"/>
    </row>
    <row r="63" spans="2:5">
      <c r="B63" s="2135"/>
      <c r="C63" s="2136"/>
      <c r="D63" s="2136"/>
      <c r="E63" s="2137"/>
    </row>
    <row r="64" spans="2:5">
      <c r="B64" s="2135"/>
      <c r="C64" s="2136"/>
      <c r="D64" s="2136"/>
      <c r="E64" s="2137"/>
    </row>
    <row r="65" spans="2:5" ht="41" customHeight="1">
      <c r="B65" s="2146"/>
      <c r="C65" s="2147"/>
      <c r="D65" s="2147"/>
      <c r="E65" s="2148"/>
    </row>
    <row r="67" spans="2:5" ht="17" thickBot="1">
      <c r="B67" s="460"/>
      <c r="C67" s="460"/>
      <c r="D67" s="460"/>
      <c r="E67" s="460"/>
    </row>
    <row r="68" spans="2:5">
      <c r="E68" s="464" t="s">
        <v>105</v>
      </c>
    </row>
  </sheetData>
  <sheetProtection algorithmName="SHA-512" hashValue="bULve8zUBE91nKpKM9QnWP/p4qvZVcWgMHq3IOQ9WfrHvNUvcgMBzgfaUfK0qJfD/TkD/gHeCNbqHz8OC1c4VA==" saltValue="PfuXym7CML9OyQ5D+5zsRA==" spinCount="100000" sheet="1" objects="1" scenarios="1" selectLockedCells="1"/>
  <mergeCells count="39">
    <mergeCell ref="B58:E60"/>
    <mergeCell ref="B61:E61"/>
    <mergeCell ref="B62:E65"/>
    <mergeCell ref="D50:E50"/>
    <mergeCell ref="D51:E51"/>
    <mergeCell ref="D52:E52"/>
    <mergeCell ref="D53:E53"/>
    <mergeCell ref="B56:E56"/>
    <mergeCell ref="B57:E57"/>
    <mergeCell ref="D49:E49"/>
    <mergeCell ref="B27:E27"/>
    <mergeCell ref="B29:E29"/>
    <mergeCell ref="B32:C32"/>
    <mergeCell ref="D32:E32"/>
    <mergeCell ref="B33:C42"/>
    <mergeCell ref="D33:E42"/>
    <mergeCell ref="B44:E44"/>
    <mergeCell ref="D45:E45"/>
    <mergeCell ref="D46:E46"/>
    <mergeCell ref="D47:E47"/>
    <mergeCell ref="D48:E48"/>
    <mergeCell ref="B26:E26"/>
    <mergeCell ref="D14:E14"/>
    <mergeCell ref="D15:E15"/>
    <mergeCell ref="D16:E16"/>
    <mergeCell ref="D17:E17"/>
    <mergeCell ref="B18:E18"/>
    <mergeCell ref="B19:E19"/>
    <mergeCell ref="B21:E21"/>
    <mergeCell ref="B22:E22"/>
    <mergeCell ref="B23:E23"/>
    <mergeCell ref="B24:E24"/>
    <mergeCell ref="B25:E25"/>
    <mergeCell ref="D13:E13"/>
    <mergeCell ref="B3:E3"/>
    <mergeCell ref="B7:E7"/>
    <mergeCell ref="C9:D9"/>
    <mergeCell ref="B11:E11"/>
    <mergeCell ref="D12:E12"/>
  </mergeCells>
  <conditionalFormatting sqref="C16:C17">
    <cfRule type="notContainsBlanks" dxfId="381" priority="1">
      <formula>LEN(TRIM(C16))&gt;0</formula>
    </cfRule>
  </conditionalFormatting>
  <conditionalFormatting sqref="E8 C9:D9 B19:E19 B23:E23 B25:E25 B27:E27 C30 E30 B33:E42 C46:D54 B58:E60 B62:E65">
    <cfRule type="notContainsBlanks" dxfId="380" priority="2">
      <formula>LEN(TRIM(B8))&gt;0</formula>
    </cfRule>
  </conditionalFormatting>
  <dataValidations count="7">
    <dataValidation type="whole" allowBlank="1" showInputMessage="1" showErrorMessage="1" error="EN: please enter a whole number_x000a_DE: Bitte geben Sie eine ganze Zahl ein" prompt="EN: please enter a valid number_x000a_DE: Bitte geben Sie eine plausible Zahl ein" sqref="C46" xr:uid="{00000000-0002-0000-3500-000000000000}">
      <formula1>0</formula1>
      <formula2>1000000</formula2>
    </dataValidation>
    <dataValidation allowBlank="1" showInputMessage="1" showErrorMessage="1" error="EN: please enter a number_x000a_DE: Bitte geben Sie eine Zahl ein" prompt="EN: enter a Euro value_x000a_DE Geben Sie einen Wert in Euro an" sqref="C54" xr:uid="{00000000-0002-0000-3500-000001000000}"/>
    <dataValidation allowBlank="1" error="EN: Enter a number _x000a_DE: Geben Sie eine Zahl ein" prompt="EN: Effort in person-days_x000a_DE: Aufwand in Personentagen" sqref="D46:E54" xr:uid="{00000000-0002-0000-3500-000002000000}"/>
    <dataValidation type="whole" allowBlank="1" showInputMessage="1" showErrorMessage="1" error="EN: please enter a whole number_x000a_DE: Bitte geben Sie eine ganze Zahl ein" prompt="EN: please enter a valid number_x000a_DE: Bitte geben Sie eine plausible Zahl ein" sqref="C47" xr:uid="{00000000-0002-0000-3500-000003000000}">
      <formula1>1</formula1>
      <formula2>1000000</formula2>
    </dataValidation>
    <dataValidation type="decimal" allowBlank="1" showInputMessage="1" showErrorMessage="1" error="EN: please enter a number_x000a_DE: Bitte geben Sie eine Zahl ein" prompt="EN: enter a Euro value_x000a_DE Geben Sie einen Wert in Euro an" sqref="C52:C53" xr:uid="{00000000-0002-0000-3500-000004000000}">
      <formula1>1</formula1>
      <formula2>1000000000000</formula2>
    </dataValidation>
    <dataValidation type="decimal" allowBlank="1" showInputMessage="1" showErrorMessage="1" error="EN: Enter a number _x000a_DE: Geben Sie eine Zahl ein" prompt="EN: Effort in person-days_x000a_DE: Aufwand in Personentagen" sqref="C48:C49" xr:uid="{00000000-0002-0000-3500-000005000000}">
      <formula1>1</formula1>
      <formula2>1000000000</formula2>
    </dataValidation>
    <dataValidation type="decimal" allowBlank="1" showInputMessage="1" showErrorMessage="1" error="EN: Enter a number_x000a_DE: Geben Sie eine Zahl ein" prompt="EN: Effort in person-days_x000a_DE: Aufwand in Personentagen" sqref="C49:C51" xr:uid="{00000000-0002-0000-3500-000006000000}">
      <formula1>1</formula1>
      <formula2>1000000000</formula2>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3500-000007000000}">
          <x14:formula1>
            <xm:f>'Control Values'!$B$14:$B$15</xm:f>
          </x14:formula1>
          <xm:sqref>E9</xm:sqref>
        </x14:dataValidation>
        <x14:dataValidation type="list" allowBlank="1" showInputMessage="1" showErrorMessage="1" xr:uid="{00000000-0002-0000-3500-000008000000}">
          <x14:formula1>
            <xm:f>'Control Values'!$B$29:$B$34</xm:f>
          </x14:formula1>
          <xm:sqref>C17</xm:sqref>
        </x14:dataValidation>
        <x14:dataValidation type="list" allowBlank="1" showInputMessage="1" showErrorMessage="1" xr:uid="{00000000-0002-0000-3500-000009000000}">
          <x14:formula1>
            <xm:f>'Control Values'!$B$23:$B$26</xm:f>
          </x14:formula1>
          <xm:sqref>C16</xm:sqref>
        </x14:dataValidation>
        <x14:dataValidation type="list" allowBlank="1" showInputMessage="1" showErrorMessage="1" xr:uid="{00000000-0002-0000-3500-00000A000000}">
          <x14:formula1>
            <xm:f>'Control Values'!$B$18:$B$19</xm:f>
          </x14:formula1>
          <xm:sqref>C13:C15</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AD0F9-FFEC-4ADC-8452-75F7F2201913}">
  <sheetPr codeName="Sheet87">
    <tabColor theme="9"/>
  </sheetPr>
  <dimension ref="A1:S60"/>
  <sheetViews>
    <sheetView zoomScale="80" zoomScaleNormal="80" workbookViewId="0">
      <selection activeCell="C10" sqref="C10"/>
    </sheetView>
  </sheetViews>
  <sheetFormatPr baseColWidth="10" defaultColWidth="11.5" defaultRowHeight="15"/>
  <cols>
    <col min="1" max="1" width="8.6640625" style="89" customWidth="1"/>
    <col min="2" max="2" width="11.5" style="89" customWidth="1"/>
    <col min="3" max="3" width="44.33203125" style="89" customWidth="1"/>
    <col min="4" max="4" width="23.1640625" style="89" customWidth="1"/>
    <col min="5" max="5" width="37.5" style="89" customWidth="1"/>
    <col min="6" max="6" width="32" style="89" customWidth="1"/>
    <col min="7" max="7" width="11.6640625" style="89" customWidth="1"/>
    <col min="8" max="11" width="32" style="89" customWidth="1"/>
    <col min="12" max="13" width="32.5" style="89" customWidth="1"/>
    <col min="14" max="14" width="26.1640625" style="89" customWidth="1"/>
    <col min="15" max="15" width="20" style="89" customWidth="1"/>
    <col min="16" max="17" width="11.5" style="89"/>
    <col min="18" max="18" width="8.5" style="89" customWidth="1"/>
    <col min="19" max="16384" width="11.5" style="89"/>
  </cols>
  <sheetData>
    <row r="1" spans="1:19" ht="19.5" customHeight="1" thickBot="1">
      <c r="B1" s="497" t="str">
        <f ca="1">COV!C20</f>
        <v>DECKBLATT BITTE VOLLSTÄNDIG AUSFÜLLEN!</v>
      </c>
      <c r="C1" s="459"/>
      <c r="D1" s="459"/>
      <c r="E1" s="459"/>
      <c r="F1" s="459"/>
      <c r="G1" s="459"/>
      <c r="H1" s="459"/>
      <c r="I1" s="459"/>
      <c r="J1" s="459"/>
      <c r="K1" s="459"/>
      <c r="L1" s="459"/>
      <c r="M1" s="459"/>
    </row>
    <row r="2" spans="1:19" ht="5.25" customHeight="1" thickTop="1"/>
    <row r="3" spans="1:19" ht="21">
      <c r="B3" s="2046" t="str">
        <f>Dictionary!B663&amp;" "&amp;'(7b) Project List'!A23&amp;", "&amp;EXP!D23&amp;": "&amp;EXP!C23</f>
        <v xml:space="preserve">Projektliste für Eintrag 15, : </v>
      </c>
      <c r="C3" s="2046"/>
      <c r="D3" s="2046"/>
      <c r="E3" s="2046"/>
      <c r="F3" s="2046"/>
      <c r="G3" s="2046"/>
      <c r="H3" s="2046"/>
      <c r="I3" s="2046"/>
      <c r="J3" s="2046"/>
      <c r="K3" s="2046"/>
      <c r="L3" s="2046"/>
      <c r="M3" s="2046"/>
    </row>
    <row r="4" spans="1:19" ht="21">
      <c r="B4" s="488"/>
      <c r="C4" s="488"/>
      <c r="D4" s="488"/>
      <c r="E4" s="488"/>
      <c r="F4" s="488"/>
      <c r="G4" s="488"/>
      <c r="H4" s="488"/>
      <c r="I4" s="488"/>
      <c r="J4" s="488"/>
      <c r="K4" s="488"/>
      <c r="L4" s="488"/>
      <c r="M4" s="488"/>
    </row>
    <row r="5" spans="1:19" ht="21">
      <c r="B5" s="489" t="str">
        <f>EXP!B5</f>
        <v xml:space="preserve"> , Level A, Projekt Management, Erstzertifizierung</v>
      </c>
      <c r="C5" s="490"/>
      <c r="D5" s="490"/>
      <c r="E5" s="490"/>
      <c r="F5" s="490"/>
      <c r="G5" s="490"/>
      <c r="H5" s="490"/>
      <c r="I5" s="490"/>
      <c r="J5" s="490"/>
      <c r="K5" s="490"/>
      <c r="L5" s="490"/>
      <c r="M5" s="490"/>
    </row>
    <row r="6" spans="1:19" ht="15" customHeight="1">
      <c r="A6" s="1284"/>
      <c r="B6" s="554"/>
      <c r="C6" s="554"/>
      <c r="D6" s="554"/>
      <c r="E6" s="554"/>
      <c r="F6" s="554"/>
      <c r="G6" s="554"/>
      <c r="H6" s="554"/>
      <c r="I6" s="554"/>
      <c r="J6" s="554"/>
      <c r="K6" s="554"/>
      <c r="L6" s="554"/>
      <c r="M6" s="554"/>
      <c r="N6" s="554"/>
      <c r="O6" s="554"/>
      <c r="P6" s="554"/>
      <c r="Q6" s="554"/>
      <c r="R6" s="554"/>
      <c r="S6" s="554"/>
    </row>
    <row r="7" spans="1:19" ht="24">
      <c r="A7" s="1284"/>
      <c r="B7" s="2171" t="str">
        <f>Dictionary!B665</f>
        <v>Nr.</v>
      </c>
      <c r="C7" s="2166" t="str">
        <f>Dictionary!B666</f>
        <v>Projektname</v>
      </c>
      <c r="D7" s="2166" t="str">
        <f>Dictionary!B667</f>
        <v>PM Domäne</v>
      </c>
      <c r="E7" s="2166" t="s">
        <v>269</v>
      </c>
      <c r="F7" s="2166" t="str">
        <f>Dictionary!B676</f>
        <v>Projekt- / Programm Typ</v>
      </c>
      <c r="G7" s="2173" t="str">
        <f>Dictionary!B677</f>
        <v>Strategisch</v>
      </c>
      <c r="H7" s="2166" t="str">
        <f>Dictionary!B670</f>
        <v>Dauer</v>
      </c>
      <c r="I7" s="2166"/>
      <c r="J7" s="2166" t="str">
        <f>Dictionary!B671</f>
        <v>Gesamtaufwand [Personentage]:</v>
      </c>
      <c r="K7" s="2166"/>
      <c r="L7" s="2166" t="str">
        <f>Dictionary!B672</f>
        <v>Gesamtbudget [€]:</v>
      </c>
      <c r="M7" s="2175"/>
      <c r="N7" s="554"/>
      <c r="O7" s="554"/>
      <c r="P7" s="554"/>
      <c r="Q7" s="554"/>
      <c r="R7" s="554"/>
      <c r="S7" s="554"/>
    </row>
    <row r="8" spans="1:19" ht="24">
      <c r="A8" s="1284"/>
      <c r="B8" s="2172"/>
      <c r="C8" s="2167"/>
      <c r="D8" s="2167"/>
      <c r="E8" s="2167"/>
      <c r="F8" s="2167"/>
      <c r="G8" s="2174"/>
      <c r="H8" s="1305" t="str">
        <f>Dictionary!B668</f>
        <v>Startdatum</v>
      </c>
      <c r="I8" s="1305" t="str">
        <f>Dictionary!B669</f>
        <v>Endtermin</v>
      </c>
      <c r="J8" s="1305" t="str">
        <f>Dictionary!B673</f>
        <v>geplant</v>
      </c>
      <c r="K8" s="1305" t="str">
        <f>Dictionary!B674</f>
        <v>realisiert</v>
      </c>
      <c r="L8" s="1305" t="str">
        <f>Dictionary!B673</f>
        <v>geplant</v>
      </c>
      <c r="M8" s="1306" t="str">
        <f>Dictionary!B674</f>
        <v>realisiert</v>
      </c>
      <c r="N8" s="554"/>
      <c r="O8" s="554"/>
      <c r="P8" s="554"/>
      <c r="Q8" s="554"/>
      <c r="R8" s="554"/>
      <c r="S8" s="554"/>
    </row>
    <row r="9" spans="1:19" ht="24" hidden="1">
      <c r="A9" s="1284"/>
      <c r="B9" s="1304" t="s">
        <v>2826</v>
      </c>
      <c r="C9" s="1297" t="s">
        <v>2827</v>
      </c>
      <c r="D9" s="1297" t="s">
        <v>2837</v>
      </c>
      <c r="E9" s="1297" t="s">
        <v>2828</v>
      </c>
      <c r="F9" s="1297" t="s">
        <v>2829</v>
      </c>
      <c r="G9" s="1298" t="s">
        <v>2830</v>
      </c>
      <c r="H9" s="1299" t="s">
        <v>2831</v>
      </c>
      <c r="I9" s="1299" t="s">
        <v>2832</v>
      </c>
      <c r="J9" s="1300" t="s">
        <v>2833</v>
      </c>
      <c r="K9" s="1300" t="s">
        <v>2834</v>
      </c>
      <c r="L9" s="1300" t="s">
        <v>2835</v>
      </c>
      <c r="M9" s="1300" t="s">
        <v>2836</v>
      </c>
      <c r="N9" s="554"/>
      <c r="O9" s="554"/>
      <c r="P9" s="554"/>
      <c r="Q9" s="554"/>
      <c r="R9" s="554"/>
      <c r="S9" s="554"/>
    </row>
    <row r="10" spans="1:19" ht="24">
      <c r="A10" s="1284"/>
      <c r="B10" s="1292">
        <v>1</v>
      </c>
      <c r="C10" s="1291"/>
      <c r="D10" s="1291"/>
      <c r="E10" s="1291"/>
      <c r="F10" s="1291"/>
      <c r="G10" s="1296"/>
      <c r="H10" s="1307"/>
      <c r="I10" s="1308"/>
      <c r="J10" s="1321"/>
      <c r="K10" s="1321"/>
      <c r="L10" s="1293"/>
      <c r="M10" s="1293"/>
      <c r="N10" s="554"/>
      <c r="O10" s="554"/>
      <c r="P10" s="554"/>
      <c r="Q10" s="554"/>
      <c r="R10" s="554"/>
      <c r="S10" s="554"/>
    </row>
    <row r="11" spans="1:19" ht="24">
      <c r="A11" s="1284"/>
      <c r="B11" s="1292">
        <v>2</v>
      </c>
      <c r="C11" s="1291"/>
      <c r="D11" s="1291"/>
      <c r="E11" s="1291"/>
      <c r="F11" s="1291"/>
      <c r="G11" s="1296"/>
      <c r="H11" s="1309"/>
      <c r="I11" s="1310"/>
      <c r="J11" s="1321"/>
      <c r="K11" s="1321"/>
      <c r="L11" s="1293"/>
      <c r="M11" s="1293"/>
      <c r="N11" s="554"/>
      <c r="O11" s="554"/>
      <c r="P11" s="554"/>
      <c r="Q11" s="554"/>
      <c r="R11" s="554"/>
      <c r="S11" s="554"/>
    </row>
    <row r="12" spans="1:19" ht="24">
      <c r="A12" s="1284"/>
      <c r="B12" s="1292">
        <v>3</v>
      </c>
      <c r="C12" s="1291"/>
      <c r="D12" s="1291"/>
      <c r="E12" s="1291"/>
      <c r="F12" s="1291"/>
      <c r="G12" s="1296"/>
      <c r="H12" s="1309"/>
      <c r="I12" s="1310"/>
      <c r="J12" s="1321"/>
      <c r="K12" s="1321"/>
      <c r="L12" s="1293"/>
      <c r="M12" s="1293"/>
      <c r="N12" s="554"/>
      <c r="O12" s="554"/>
      <c r="P12" s="554"/>
      <c r="Q12" s="554"/>
      <c r="R12" s="554"/>
      <c r="S12" s="554"/>
    </row>
    <row r="13" spans="1:19" ht="24">
      <c r="A13" s="1284"/>
      <c r="B13" s="1292">
        <v>4</v>
      </c>
      <c r="C13" s="1291"/>
      <c r="D13" s="1291"/>
      <c r="E13" s="1291"/>
      <c r="F13" s="1291"/>
      <c r="G13" s="1296"/>
      <c r="H13" s="1309"/>
      <c r="I13" s="1310"/>
      <c r="J13" s="1321"/>
      <c r="K13" s="1321"/>
      <c r="L13" s="1293"/>
      <c r="M13" s="1293"/>
      <c r="N13" s="554"/>
      <c r="O13" s="554"/>
      <c r="P13" s="554"/>
      <c r="Q13" s="554"/>
      <c r="R13" s="554"/>
      <c r="S13" s="554"/>
    </row>
    <row r="14" spans="1:19" ht="24">
      <c r="A14" s="1284"/>
      <c r="B14" s="1292">
        <v>5</v>
      </c>
      <c r="C14" s="1291"/>
      <c r="D14" s="1291"/>
      <c r="E14" s="1291"/>
      <c r="F14" s="1291"/>
      <c r="G14" s="1296"/>
      <c r="H14" s="1309"/>
      <c r="I14" s="1310"/>
      <c r="J14" s="1321"/>
      <c r="K14" s="1321"/>
      <c r="L14" s="1293"/>
      <c r="M14" s="1293"/>
      <c r="N14" s="554"/>
      <c r="O14" s="554"/>
      <c r="P14" s="554"/>
      <c r="Q14" s="554"/>
      <c r="R14" s="554"/>
      <c r="S14" s="554"/>
    </row>
    <row r="15" spans="1:19" ht="24">
      <c r="A15" s="1284"/>
      <c r="B15" s="1292">
        <v>6</v>
      </c>
      <c r="C15" s="1291"/>
      <c r="D15" s="1291"/>
      <c r="E15" s="1291"/>
      <c r="F15" s="1291"/>
      <c r="G15" s="1296"/>
      <c r="H15" s="1309"/>
      <c r="I15" s="1310"/>
      <c r="J15" s="1321"/>
      <c r="K15" s="1321"/>
      <c r="L15" s="1293"/>
      <c r="M15" s="1293"/>
      <c r="N15" s="554"/>
      <c r="O15" s="554"/>
      <c r="P15" s="554"/>
      <c r="Q15" s="554"/>
      <c r="R15" s="554"/>
      <c r="S15" s="554"/>
    </row>
    <row r="16" spans="1:19" ht="24">
      <c r="A16" s="1284"/>
      <c r="B16" s="1292">
        <v>7</v>
      </c>
      <c r="C16" s="1291"/>
      <c r="D16" s="1291"/>
      <c r="E16" s="1291"/>
      <c r="F16" s="1291"/>
      <c r="G16" s="1296"/>
      <c r="H16" s="1309"/>
      <c r="I16" s="1310"/>
      <c r="J16" s="1321"/>
      <c r="K16" s="1321"/>
      <c r="L16" s="1293"/>
      <c r="M16" s="1293"/>
      <c r="N16" s="554"/>
      <c r="O16" s="554"/>
      <c r="P16" s="554"/>
      <c r="Q16" s="554"/>
      <c r="R16" s="554"/>
      <c r="S16" s="554"/>
    </row>
    <row r="17" spans="1:19" ht="24">
      <c r="A17" s="1284"/>
      <c r="B17" s="1292">
        <v>8</v>
      </c>
      <c r="C17" s="1291"/>
      <c r="D17" s="1291"/>
      <c r="E17" s="1291"/>
      <c r="F17" s="1291"/>
      <c r="G17" s="1296"/>
      <c r="H17" s="1309"/>
      <c r="I17" s="1310"/>
      <c r="J17" s="1321"/>
      <c r="K17" s="1321"/>
      <c r="L17" s="1293"/>
      <c r="M17" s="1293"/>
      <c r="N17" s="554"/>
      <c r="O17" s="554"/>
      <c r="P17" s="554"/>
      <c r="Q17" s="554"/>
      <c r="R17" s="554"/>
      <c r="S17" s="554"/>
    </row>
    <row r="18" spans="1:19" ht="24">
      <c r="A18" s="1284"/>
      <c r="B18" s="1292">
        <v>9</v>
      </c>
      <c r="C18" s="1291"/>
      <c r="D18" s="1291"/>
      <c r="E18" s="1291"/>
      <c r="F18" s="1291"/>
      <c r="G18" s="1296"/>
      <c r="H18" s="1309"/>
      <c r="I18" s="1310"/>
      <c r="J18" s="1321"/>
      <c r="K18" s="1321"/>
      <c r="L18" s="1293"/>
      <c r="M18" s="1293"/>
      <c r="N18" s="554"/>
      <c r="O18" s="554"/>
      <c r="P18" s="554"/>
      <c r="Q18" s="554"/>
      <c r="R18" s="554"/>
      <c r="S18" s="554"/>
    </row>
    <row r="19" spans="1:19" ht="24">
      <c r="A19" s="1284"/>
      <c r="B19" s="1292">
        <v>10</v>
      </c>
      <c r="C19" s="1291"/>
      <c r="D19" s="1291"/>
      <c r="E19" s="1291"/>
      <c r="F19" s="1291"/>
      <c r="G19" s="1296"/>
      <c r="H19" s="1309"/>
      <c r="I19" s="1310"/>
      <c r="J19" s="1321"/>
      <c r="K19" s="1321"/>
      <c r="L19" s="1293"/>
      <c r="M19" s="1293"/>
      <c r="N19" s="554"/>
      <c r="O19" s="554"/>
      <c r="P19" s="554"/>
      <c r="Q19" s="554"/>
      <c r="R19" s="554"/>
      <c r="S19" s="554"/>
    </row>
    <row r="20" spans="1:19" ht="24">
      <c r="A20" s="1284"/>
      <c r="B20" s="1292">
        <v>11</v>
      </c>
      <c r="C20" s="1291"/>
      <c r="D20" s="1291"/>
      <c r="E20" s="1291"/>
      <c r="F20" s="1291"/>
      <c r="G20" s="1296"/>
      <c r="H20" s="1309"/>
      <c r="I20" s="1310"/>
      <c r="J20" s="1321"/>
      <c r="K20" s="1321"/>
      <c r="L20" s="1293"/>
      <c r="M20" s="1293"/>
      <c r="N20" s="554"/>
      <c r="O20" s="554"/>
      <c r="P20" s="554"/>
      <c r="Q20" s="554"/>
      <c r="R20" s="554"/>
      <c r="S20" s="554"/>
    </row>
    <row r="21" spans="1:19" ht="24">
      <c r="A21" s="1284"/>
      <c r="B21" s="1292">
        <v>12</v>
      </c>
      <c r="C21" s="1291"/>
      <c r="D21" s="1291"/>
      <c r="E21" s="1291"/>
      <c r="F21" s="1291"/>
      <c r="G21" s="1296"/>
      <c r="H21" s="1309"/>
      <c r="I21" s="1310"/>
      <c r="J21" s="1321"/>
      <c r="K21" s="1321"/>
      <c r="L21" s="1293"/>
      <c r="M21" s="1293"/>
      <c r="N21" s="554"/>
      <c r="O21" s="554"/>
      <c r="P21" s="554"/>
      <c r="Q21" s="554"/>
      <c r="R21" s="554"/>
      <c r="S21" s="554"/>
    </row>
    <row r="22" spans="1:19" ht="24">
      <c r="A22" s="1284"/>
      <c r="B22" s="1292">
        <v>13</v>
      </c>
      <c r="C22" s="1291"/>
      <c r="D22" s="1291"/>
      <c r="E22" s="1291"/>
      <c r="F22" s="1291"/>
      <c r="G22" s="1296"/>
      <c r="H22" s="1309"/>
      <c r="I22" s="1310"/>
      <c r="J22" s="1321"/>
      <c r="K22" s="1321"/>
      <c r="L22" s="1293"/>
      <c r="M22" s="1293"/>
      <c r="N22" s="554"/>
      <c r="O22" s="554"/>
      <c r="P22" s="554"/>
      <c r="Q22" s="554"/>
      <c r="R22" s="554"/>
      <c r="S22" s="554"/>
    </row>
    <row r="23" spans="1:19" ht="24">
      <c r="A23" s="1284"/>
      <c r="B23" s="1292">
        <v>14</v>
      </c>
      <c r="C23" s="1291"/>
      <c r="D23" s="1291"/>
      <c r="E23" s="1291"/>
      <c r="F23" s="1291"/>
      <c r="G23" s="1296"/>
      <c r="H23" s="1309"/>
      <c r="I23" s="1310"/>
      <c r="J23" s="1321"/>
      <c r="K23" s="1321"/>
      <c r="L23" s="1293"/>
      <c r="M23" s="1293"/>
      <c r="N23" s="554"/>
      <c r="O23" s="554"/>
      <c r="P23" s="554"/>
      <c r="Q23" s="554"/>
      <c r="R23" s="554"/>
      <c r="S23" s="554"/>
    </row>
    <row r="24" spans="1:19" ht="24">
      <c r="A24" s="1284"/>
      <c r="B24" s="1292">
        <v>15</v>
      </c>
      <c r="C24" s="1291"/>
      <c r="D24" s="1291"/>
      <c r="E24" s="1291"/>
      <c r="F24" s="1291"/>
      <c r="G24" s="1296"/>
      <c r="H24" s="1309"/>
      <c r="I24" s="1310"/>
      <c r="J24" s="1321"/>
      <c r="K24" s="1321"/>
      <c r="L24" s="1293"/>
      <c r="M24" s="1293"/>
      <c r="N24" s="554"/>
      <c r="O24" s="554"/>
      <c r="P24" s="554"/>
      <c r="Q24" s="554"/>
      <c r="R24" s="554"/>
      <c r="S24" s="554"/>
    </row>
    <row r="25" spans="1:19" ht="24">
      <c r="A25" s="1284"/>
      <c r="B25" s="1292">
        <v>16</v>
      </c>
      <c r="C25" s="1291"/>
      <c r="D25" s="1291"/>
      <c r="E25" s="1291"/>
      <c r="F25" s="1291"/>
      <c r="G25" s="1296"/>
      <c r="H25" s="1309"/>
      <c r="I25" s="1310"/>
      <c r="J25" s="1321"/>
      <c r="K25" s="1321"/>
      <c r="L25" s="1293"/>
      <c r="M25" s="1293"/>
      <c r="N25" s="554"/>
      <c r="O25" s="554"/>
      <c r="P25" s="554"/>
      <c r="Q25" s="554"/>
      <c r="R25" s="554"/>
      <c r="S25" s="554"/>
    </row>
    <row r="26" spans="1:19" ht="24">
      <c r="A26" s="1284"/>
      <c r="B26" s="1292">
        <v>17</v>
      </c>
      <c r="C26" s="1291"/>
      <c r="D26" s="1291"/>
      <c r="E26" s="1291"/>
      <c r="F26" s="1291"/>
      <c r="G26" s="1296"/>
      <c r="H26" s="1309"/>
      <c r="I26" s="1310"/>
      <c r="J26" s="1321"/>
      <c r="K26" s="1321"/>
      <c r="L26" s="1293"/>
      <c r="M26" s="1293"/>
      <c r="N26" s="554"/>
      <c r="O26" s="554"/>
      <c r="P26" s="554"/>
      <c r="Q26" s="554"/>
      <c r="R26" s="554"/>
      <c r="S26" s="554"/>
    </row>
    <row r="27" spans="1:19" ht="24">
      <c r="A27" s="1284"/>
      <c r="B27" s="1292">
        <v>18</v>
      </c>
      <c r="C27" s="1291"/>
      <c r="D27" s="1291"/>
      <c r="E27" s="1291"/>
      <c r="F27" s="1291"/>
      <c r="G27" s="1296"/>
      <c r="H27" s="1309"/>
      <c r="I27" s="1310"/>
      <c r="J27" s="1321"/>
      <c r="K27" s="1321"/>
      <c r="L27" s="1293"/>
      <c r="M27" s="1293"/>
      <c r="N27" s="554"/>
      <c r="O27" s="554"/>
      <c r="P27" s="554"/>
      <c r="Q27" s="554"/>
      <c r="R27" s="554"/>
      <c r="S27" s="554"/>
    </row>
    <row r="28" spans="1:19" ht="24">
      <c r="A28" s="1284"/>
      <c r="B28" s="1292">
        <v>19</v>
      </c>
      <c r="C28" s="1291"/>
      <c r="D28" s="1291"/>
      <c r="E28" s="1291"/>
      <c r="F28" s="1291"/>
      <c r="G28" s="1296"/>
      <c r="H28" s="1309"/>
      <c r="I28" s="1310"/>
      <c r="J28" s="1321"/>
      <c r="K28" s="1321"/>
      <c r="L28" s="1293"/>
      <c r="M28" s="1293"/>
      <c r="N28" s="554"/>
      <c r="O28" s="554"/>
      <c r="P28" s="554"/>
      <c r="Q28" s="554"/>
      <c r="R28" s="554"/>
      <c r="S28" s="554"/>
    </row>
    <row r="29" spans="1:19" ht="24">
      <c r="A29" s="1284"/>
      <c r="B29" s="1292">
        <v>20</v>
      </c>
      <c r="C29" s="1291"/>
      <c r="D29" s="1291"/>
      <c r="E29" s="1291"/>
      <c r="F29" s="1291"/>
      <c r="G29" s="1296"/>
      <c r="H29" s="1309"/>
      <c r="I29" s="1310"/>
      <c r="J29" s="1321"/>
      <c r="K29" s="1321"/>
      <c r="L29" s="1293"/>
      <c r="M29" s="1293"/>
      <c r="N29" s="554"/>
      <c r="O29" s="554"/>
      <c r="P29" s="554"/>
      <c r="Q29" s="554"/>
      <c r="R29" s="554"/>
      <c r="S29" s="554"/>
    </row>
    <row r="30" spans="1:19" ht="24">
      <c r="A30" s="1284"/>
      <c r="B30" s="1292">
        <v>21</v>
      </c>
      <c r="C30" s="1291"/>
      <c r="D30" s="1291"/>
      <c r="E30" s="1291"/>
      <c r="F30" s="1291"/>
      <c r="G30" s="1296"/>
      <c r="H30" s="1309"/>
      <c r="I30" s="1310"/>
      <c r="J30" s="1321"/>
      <c r="K30" s="1321"/>
      <c r="L30" s="1293"/>
      <c r="M30" s="1293"/>
      <c r="N30" s="554"/>
      <c r="O30" s="554"/>
      <c r="P30" s="554"/>
      <c r="Q30" s="554"/>
      <c r="R30" s="554"/>
      <c r="S30" s="554"/>
    </row>
    <row r="31" spans="1:19" ht="24">
      <c r="A31" s="1284"/>
      <c r="B31" s="1292">
        <v>22</v>
      </c>
      <c r="C31" s="1291"/>
      <c r="D31" s="1291"/>
      <c r="E31" s="1291"/>
      <c r="F31" s="1291"/>
      <c r="G31" s="1296"/>
      <c r="H31" s="1309"/>
      <c r="I31" s="1310"/>
      <c r="J31" s="1321"/>
      <c r="K31" s="1321"/>
      <c r="L31" s="1293"/>
      <c r="M31" s="1293"/>
      <c r="N31" s="554"/>
      <c r="O31" s="554"/>
      <c r="P31" s="554"/>
      <c r="Q31" s="554"/>
      <c r="R31" s="554"/>
      <c r="S31" s="554"/>
    </row>
    <row r="32" spans="1:19" ht="24">
      <c r="A32" s="1284"/>
      <c r="B32" s="1292">
        <v>23</v>
      </c>
      <c r="C32" s="1291"/>
      <c r="D32" s="1291"/>
      <c r="E32" s="1291"/>
      <c r="F32" s="1291"/>
      <c r="G32" s="1296"/>
      <c r="H32" s="1309"/>
      <c r="I32" s="1310"/>
      <c r="J32" s="1321"/>
      <c r="K32" s="1321"/>
      <c r="L32" s="1293"/>
      <c r="M32" s="1293"/>
      <c r="N32" s="554"/>
      <c r="O32" s="554"/>
      <c r="P32" s="554"/>
      <c r="Q32" s="554"/>
      <c r="R32" s="554"/>
      <c r="S32" s="554"/>
    </row>
    <row r="33" spans="1:19" ht="24">
      <c r="A33" s="1284"/>
      <c r="B33" s="1292">
        <v>24</v>
      </c>
      <c r="C33" s="1291"/>
      <c r="D33" s="1291"/>
      <c r="E33" s="1291"/>
      <c r="F33" s="1291"/>
      <c r="G33" s="1296"/>
      <c r="H33" s="1309"/>
      <c r="I33" s="1310"/>
      <c r="J33" s="1321"/>
      <c r="K33" s="1321"/>
      <c r="L33" s="1293"/>
      <c r="M33" s="1293"/>
      <c r="N33" s="554"/>
      <c r="O33" s="554"/>
      <c r="P33" s="554"/>
      <c r="Q33" s="554"/>
      <c r="R33" s="554"/>
      <c r="S33" s="554"/>
    </row>
    <row r="34" spans="1:19" ht="24">
      <c r="A34" s="1284"/>
      <c r="B34" s="1292">
        <v>25</v>
      </c>
      <c r="C34" s="1291"/>
      <c r="D34" s="1291"/>
      <c r="E34" s="1291"/>
      <c r="F34" s="1291"/>
      <c r="G34" s="1296"/>
      <c r="H34" s="1309"/>
      <c r="I34" s="1310"/>
      <c r="J34" s="1321"/>
      <c r="K34" s="1321"/>
      <c r="L34" s="1293"/>
      <c r="M34" s="1293"/>
      <c r="N34" s="554"/>
      <c r="O34" s="554"/>
      <c r="P34" s="554"/>
      <c r="Q34" s="554"/>
      <c r="R34" s="554"/>
      <c r="S34" s="554"/>
    </row>
    <row r="35" spans="1:19" ht="24">
      <c r="A35" s="1284"/>
      <c r="B35" s="1292">
        <v>26</v>
      </c>
      <c r="C35" s="1291"/>
      <c r="D35" s="1291"/>
      <c r="E35" s="1291"/>
      <c r="F35" s="1291"/>
      <c r="G35" s="1296"/>
      <c r="H35" s="1309"/>
      <c r="I35" s="1310"/>
      <c r="J35" s="1321"/>
      <c r="K35" s="1321"/>
      <c r="L35" s="1293"/>
      <c r="M35" s="1293"/>
      <c r="N35" s="554"/>
      <c r="O35" s="554"/>
      <c r="P35" s="554"/>
      <c r="Q35" s="554"/>
      <c r="R35" s="554"/>
      <c r="S35" s="554"/>
    </row>
    <row r="36" spans="1:19" ht="24">
      <c r="A36" s="1284"/>
      <c r="B36" s="1292">
        <v>27</v>
      </c>
      <c r="C36" s="1291"/>
      <c r="D36" s="1291"/>
      <c r="E36" s="1291"/>
      <c r="F36" s="1291"/>
      <c r="G36" s="1296"/>
      <c r="H36" s="1309"/>
      <c r="I36" s="1310"/>
      <c r="J36" s="1321"/>
      <c r="K36" s="1321"/>
      <c r="L36" s="1293"/>
      <c r="M36" s="1293"/>
      <c r="N36" s="554"/>
      <c r="O36" s="554"/>
      <c r="P36" s="554"/>
      <c r="Q36" s="554"/>
      <c r="R36" s="554"/>
      <c r="S36" s="554"/>
    </row>
    <row r="37" spans="1:19" ht="24">
      <c r="A37" s="1284"/>
      <c r="B37" s="1292">
        <v>28</v>
      </c>
      <c r="C37" s="1291"/>
      <c r="D37" s="1291"/>
      <c r="E37" s="1291"/>
      <c r="F37" s="1291"/>
      <c r="G37" s="1296"/>
      <c r="H37" s="1309"/>
      <c r="I37" s="1310"/>
      <c r="J37" s="1321"/>
      <c r="K37" s="1321"/>
      <c r="L37" s="1293"/>
      <c r="M37" s="1293"/>
      <c r="N37" s="554"/>
      <c r="O37" s="554"/>
      <c r="P37" s="554"/>
      <c r="Q37" s="554"/>
      <c r="R37" s="554"/>
      <c r="S37" s="554"/>
    </row>
    <row r="38" spans="1:19" ht="24">
      <c r="A38" s="1284"/>
      <c r="B38" s="1292">
        <v>29</v>
      </c>
      <c r="C38" s="1291"/>
      <c r="D38" s="1291"/>
      <c r="E38" s="1291"/>
      <c r="F38" s="1291"/>
      <c r="G38" s="1296"/>
      <c r="H38" s="1309"/>
      <c r="I38" s="1310"/>
      <c r="J38" s="1321"/>
      <c r="K38" s="1321"/>
      <c r="L38" s="1293"/>
      <c r="M38" s="1293"/>
      <c r="N38" s="554"/>
      <c r="O38" s="554"/>
      <c r="P38" s="554"/>
      <c r="Q38" s="554"/>
      <c r="R38" s="554"/>
      <c r="S38" s="554"/>
    </row>
    <row r="39" spans="1:19" ht="24">
      <c r="A39" s="1284"/>
      <c r="B39" s="1292">
        <v>30</v>
      </c>
      <c r="C39" s="1311"/>
      <c r="D39" s="1311"/>
      <c r="E39" s="1311"/>
      <c r="F39" s="1311"/>
      <c r="G39" s="1312"/>
      <c r="H39" s="1313"/>
      <c r="I39" s="1314"/>
      <c r="J39" s="1322"/>
      <c r="K39" s="1322"/>
      <c r="L39" s="1315"/>
      <c r="M39" s="1315"/>
      <c r="N39" s="554"/>
      <c r="O39" s="554"/>
      <c r="P39" s="554"/>
      <c r="Q39" s="554"/>
      <c r="R39" s="554"/>
      <c r="S39" s="554"/>
    </row>
    <row r="40" spans="1:19" ht="24">
      <c r="A40" s="1284"/>
      <c r="B40" s="1301"/>
      <c r="C40" s="2168" t="str">
        <f>Dictionary!B675</f>
        <v xml:space="preserve">Programm / Portfolio Verwaltung </v>
      </c>
      <c r="D40" s="2169"/>
      <c r="E40" s="2169"/>
      <c r="F40" s="2169"/>
      <c r="G40" s="2170"/>
      <c r="H40" s="1319"/>
      <c r="I40" s="1320"/>
      <c r="J40" s="1323"/>
      <c r="K40" s="1323"/>
      <c r="L40" s="1294"/>
      <c r="M40" s="1295"/>
      <c r="N40" s="554"/>
      <c r="O40" s="554"/>
      <c r="P40" s="554"/>
      <c r="Q40" s="554"/>
      <c r="R40" s="554"/>
      <c r="S40" s="554"/>
    </row>
    <row r="41" spans="1:19" ht="24">
      <c r="A41" s="1284"/>
      <c r="B41" s="1302"/>
      <c r="C41" s="1316"/>
      <c r="D41" s="1316"/>
      <c r="E41" s="1316"/>
      <c r="F41" s="1316"/>
      <c r="G41" s="1316"/>
      <c r="H41" s="2176" t="s">
        <v>2825</v>
      </c>
      <c r="I41" s="2176"/>
      <c r="J41" s="1317">
        <f>SUM(J9:J40)</f>
        <v>0</v>
      </c>
      <c r="K41" s="1317">
        <f>SUM(K9:K40)</f>
        <v>0</v>
      </c>
      <c r="L41" s="1318">
        <f>SUM(L9:L40)</f>
        <v>0</v>
      </c>
      <c r="M41" s="1318">
        <f>SUM(M9:M40)</f>
        <v>0</v>
      </c>
      <c r="N41" s="554"/>
      <c r="O41" s="554"/>
      <c r="P41" s="554"/>
      <c r="Q41" s="554"/>
      <c r="R41" s="554"/>
      <c r="S41" s="554"/>
    </row>
    <row r="42" spans="1:19" ht="24">
      <c r="B42" s="554"/>
      <c r="C42" s="554"/>
      <c r="D42" s="554"/>
      <c r="E42" s="554"/>
      <c r="F42" s="554"/>
      <c r="G42" s="554"/>
      <c r="H42" s="554"/>
      <c r="I42" s="554"/>
      <c r="J42" s="554"/>
      <c r="K42" s="554"/>
      <c r="L42" s="554"/>
      <c r="M42" s="554"/>
    </row>
    <row r="43" spans="1:19" ht="17" thickBot="1">
      <c r="B43" s="460"/>
      <c r="C43" s="460"/>
      <c r="D43" s="460"/>
      <c r="E43" s="460"/>
      <c r="F43" s="460"/>
      <c r="G43" s="460"/>
      <c r="H43" s="460"/>
      <c r="I43" s="460"/>
      <c r="J43" s="460"/>
      <c r="K43" s="460"/>
      <c r="L43" s="460"/>
      <c r="M43" s="460"/>
    </row>
    <row r="44" spans="1:19">
      <c r="M44" s="464" t="s">
        <v>105</v>
      </c>
    </row>
    <row r="50" spans="3:6" hidden="1"/>
    <row r="51" spans="3:6" hidden="1">
      <c r="C51" s="2163" t="s">
        <v>249</v>
      </c>
      <c r="D51" s="2164"/>
      <c r="E51" s="2164"/>
      <c r="F51" s="2165"/>
    </row>
    <row r="52" spans="3:6" hidden="1">
      <c r="C52" s="240"/>
      <c r="D52" s="172"/>
      <c r="E52" s="241"/>
      <c r="F52" s="241"/>
    </row>
    <row r="53" spans="3:6" hidden="1">
      <c r="C53" s="1905" t="s">
        <v>970</v>
      </c>
      <c r="D53" s="172" t="s">
        <v>1037</v>
      </c>
      <c r="E53" s="241"/>
      <c r="F53" s="241"/>
    </row>
    <row r="54" spans="3:6" hidden="1">
      <c r="C54" s="1906" t="s">
        <v>1024</v>
      </c>
      <c r="D54" s="172"/>
      <c r="E54" s="241"/>
      <c r="F54" s="241"/>
    </row>
    <row r="55" spans="3:6" hidden="1">
      <c r="C55" s="1907" t="s">
        <v>1025</v>
      </c>
      <c r="D55" s="172"/>
      <c r="E55" s="241"/>
      <c r="F55" s="241"/>
    </row>
    <row r="56" spans="3:6" hidden="1">
      <c r="C56" s="240"/>
      <c r="D56" s="172"/>
      <c r="E56" s="241"/>
      <c r="F56" s="241"/>
    </row>
    <row r="57" spans="3:6" hidden="1">
      <c r="C57" s="240"/>
      <c r="D57" s="172"/>
      <c r="E57" s="241"/>
      <c r="F57" s="241"/>
    </row>
    <row r="58" spans="3:6" hidden="1">
      <c r="C58" s="240"/>
      <c r="D58" s="172"/>
      <c r="E58" s="241"/>
      <c r="F58" s="241"/>
    </row>
    <row r="59" spans="3:6" hidden="1">
      <c r="C59" s="242"/>
      <c r="D59" s="1303"/>
      <c r="E59" s="185"/>
      <c r="F59" s="185"/>
    </row>
    <row r="60" spans="3:6" hidden="1"/>
  </sheetData>
  <sheetProtection algorithmName="SHA-512" hashValue="j6WyqoJzOlmlr7Ze3iV4CaLPGrm5ahREyWB/XzcAXG8pP3y43xvgfMZ4rdfShZvWGXIDShlzCi1QpFd+TaSTKA==" saltValue="xhPQO4TVbBxDaXqHYAcYTQ==" spinCount="100000" sheet="1" objects="1" scenarios="1" selectLockedCells="1"/>
  <mergeCells count="13">
    <mergeCell ref="C40:G40"/>
    <mergeCell ref="H41:I41"/>
    <mergeCell ref="C51:F51"/>
    <mergeCell ref="B3:M3"/>
    <mergeCell ref="B7:B8"/>
    <mergeCell ref="C7:C8"/>
    <mergeCell ref="D7:D8"/>
    <mergeCell ref="E7:E8"/>
    <mergeCell ref="F7:F8"/>
    <mergeCell ref="G7:G8"/>
    <mergeCell ref="H7:I7"/>
    <mergeCell ref="J7:K7"/>
    <mergeCell ref="L7:M7"/>
  </mergeCells>
  <dataValidations count="6">
    <dataValidation type="date" operator="lessThan" allowBlank="1" showInputMessage="1" showErrorMessage="1" error="EN_x000a_End must occur after start._x000a__x000a_DE_x000a_Das Ende muss nach dem Start kommen._x000a_ " sqref="H10:H40" xr:uid="{00000000-0002-0000-3600-000000000000}">
      <formula1>I10</formula1>
    </dataValidation>
    <dataValidation type="date" operator="greaterThan" allowBlank="1" showInputMessage="1" showErrorMessage="1" error="EN_x000a_End must occur after start._x000a__x000a_DE_x000a_Das Ende muss nach dem Start kommen._x000a_ " sqref="I10:I40" xr:uid="{00000000-0002-0000-3600-000001000000}">
      <formula1>H10</formula1>
    </dataValidation>
    <dataValidation type="list" allowBlank="1" showInputMessage="1" showErrorMessage="1" sqref="G10:G39" xr:uid="{00000000-0002-0000-3600-000002000000}">
      <formula1>$D$53:$D$54</formula1>
    </dataValidation>
    <dataValidation type="list" allowBlank="1" showInputMessage="1" showErrorMessage="1" sqref="D10:D39" xr:uid="{00000000-0002-0000-3600-000003000000}">
      <formula1>$C$53:$C$55</formula1>
    </dataValidation>
    <dataValidation type="whole" operator="greaterThan" allowBlank="1" showInputMessage="1" showErrorMessage="1" error="Bitte eine ganze Zahl grösser als 0 eingeben!" sqref="J9:K40 M9:M40 L10:L40" xr:uid="{00000000-0002-0000-3600-000004000000}">
      <formula1>0</formula1>
    </dataValidation>
    <dataValidation type="whole" operator="greaterThan" allowBlank="1" showInputMessage="1" showErrorMessage="1" error="Bitte eine ganze Zahl grösser als 0 eingeben!" promptTitle="Investition" prompt="Unter Investition werden die gesamten Kosten verstanden, inkl.der personellen Aufwände." sqref="L9" xr:uid="{00000000-0002-0000-3600-000005000000}">
      <formula1>0</formula1>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600-000006000000}">
          <x14:formula1>
            <xm:f>'Control Values'!$B$23:$B$26</xm:f>
          </x14:formula1>
          <xm:sqref>F10:F39</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94BCB-9415-40F2-9268-9BC059DBF4D9}">
  <sheetPr codeName="Sheet43">
    <tabColor theme="9" tint="-0.24994659260841701"/>
  </sheetPr>
  <dimension ref="B1:L70"/>
  <sheetViews>
    <sheetView showGridLines="0" showZeros="0" workbookViewId="0">
      <pane xSplit="8" ySplit="9" topLeftCell="I10" activePane="bottomRight" state="frozenSplit"/>
      <selection activeCell="B109" sqref="B109"/>
      <selection pane="topRight" activeCell="B109" sqref="B109"/>
      <selection pane="bottomLeft" activeCell="B109" sqref="B109"/>
      <selection pane="bottomRight" activeCell="I11" sqref="I11"/>
    </sheetView>
  </sheetViews>
  <sheetFormatPr baseColWidth="10" defaultColWidth="10" defaultRowHeight="14"/>
  <cols>
    <col min="1" max="1" width="2.6640625" style="472" customWidth="1"/>
    <col min="2" max="2" width="5.5" style="471" customWidth="1"/>
    <col min="3" max="3" width="17.1640625" style="472" customWidth="1"/>
    <col min="4" max="4" width="46.33203125" style="472" customWidth="1"/>
    <col min="5" max="8" width="26.5" style="472" customWidth="1"/>
    <col min="9" max="10" width="11.1640625" style="471" customWidth="1"/>
    <col min="11" max="11" width="55.33203125" style="473" customWidth="1"/>
    <col min="12" max="12" width="9.6640625" style="472" customWidth="1"/>
    <col min="13" max="16384" width="10" style="472"/>
  </cols>
  <sheetData>
    <row r="1" spans="2:11" ht="20.25" customHeight="1" thickBot="1">
      <c r="B1" s="497" t="str">
        <f ca="1">COV!C20</f>
        <v>DECKBLATT BITTE VOLLSTÄNDIG AUSFÜLLEN!</v>
      </c>
      <c r="C1" s="459"/>
      <c r="D1" s="459"/>
      <c r="E1" s="459"/>
      <c r="F1" s="459"/>
      <c r="G1" s="459"/>
      <c r="H1" s="459"/>
      <c r="I1" s="459"/>
      <c r="J1" s="459"/>
      <c r="K1" s="459"/>
    </row>
    <row r="2" spans="2:11" ht="5.25" customHeight="1" thickTop="1"/>
    <row r="3" spans="2:11" ht="21">
      <c r="B3" s="2046" t="str">
        <f>Dictionary!B680&amp;'(7b) Project List'!A23&amp;IF('(7b) Project List'!B23="","",": "&amp;'(7b) Project List'!B23)</f>
        <v>Bewertung der Managementkomplexität für Erfahrung 15</v>
      </c>
      <c r="C3" s="2046"/>
      <c r="D3" s="2046"/>
      <c r="E3" s="2046"/>
      <c r="F3" s="2046"/>
      <c r="G3" s="2046"/>
      <c r="H3" s="2046"/>
      <c r="I3" s="2046"/>
      <c r="J3" s="2046"/>
      <c r="K3" s="2046"/>
    </row>
    <row r="4" spans="2:11" s="498" customFormat="1" ht="21">
      <c r="B4" s="488"/>
      <c r="C4" s="488"/>
      <c r="D4" s="488"/>
      <c r="E4" s="488"/>
      <c r="F4" s="488"/>
      <c r="G4" s="488"/>
      <c r="H4" s="488"/>
      <c r="I4" s="488"/>
      <c r="J4" s="488"/>
      <c r="K4" s="488"/>
    </row>
    <row r="5" spans="2:11" s="467" customFormat="1" ht="22.5" customHeight="1">
      <c r="B5" s="489" t="str">
        <f>EXP!B5</f>
        <v xml:space="preserve"> , Level A, Projekt Management, Erstzertifizierung</v>
      </c>
      <c r="C5" s="491"/>
      <c r="D5" s="491"/>
      <c r="E5" s="492"/>
      <c r="F5" s="491"/>
      <c r="G5" s="493"/>
      <c r="H5" s="492"/>
      <c r="I5" s="492"/>
      <c r="J5" s="492"/>
      <c r="K5" s="494"/>
    </row>
    <row r="6" spans="2:11" s="467" customFormat="1" ht="20" customHeight="1">
      <c r="B6" s="466"/>
      <c r="C6" s="468"/>
      <c r="D6" s="468"/>
      <c r="E6" s="321"/>
      <c r="F6" s="2183"/>
      <c r="G6" s="2183"/>
      <c r="H6" s="2183"/>
      <c r="I6" s="469"/>
      <c r="J6" s="470"/>
    </row>
    <row r="7" spans="2:11" ht="15" customHeight="1"/>
    <row r="8" spans="2:11" s="334" customFormat="1" ht="22.25" customHeight="1">
      <c r="B8" s="2184" t="s">
        <v>294</v>
      </c>
      <c r="C8" s="2187" t="str">
        <f>Dictionary!B681</f>
        <v>Komplexitätsindikatoren und Teilindikatoren</v>
      </c>
      <c r="D8" s="2188"/>
      <c r="E8" s="2186" t="str">
        <f>Dictionary!B682</f>
        <v>Zu bewertende Kriterien:</v>
      </c>
      <c r="F8" s="2186"/>
      <c r="G8" s="2186"/>
      <c r="H8" s="2186"/>
      <c r="I8" s="2177" t="str">
        <f>Dictionary!B683</f>
        <v>Bewertungen und Kommentare</v>
      </c>
      <c r="J8" s="2178"/>
      <c r="K8" s="2179"/>
    </row>
    <row r="9" spans="2:11" s="334" customFormat="1" ht="30" customHeight="1">
      <c r="B9" s="2185"/>
      <c r="C9" s="2189"/>
      <c r="D9" s="2190"/>
      <c r="E9" s="474" t="str">
        <f>Dictionary!B684</f>
        <v>wenig komplex   (1)</v>
      </c>
      <c r="F9" s="474" t="str">
        <f>Dictionary!B685</f>
        <v>begrenzt komplex   (2)</v>
      </c>
      <c r="G9" s="474" t="str">
        <f>Dictionary!B686</f>
        <v>komplex   (3)</v>
      </c>
      <c r="H9" s="474" t="str">
        <f>Dictionary!B687</f>
        <v>sehr komplex   (4)</v>
      </c>
      <c r="I9" s="475" t="str">
        <f>Dictionary!B689</f>
        <v>Bewerber/in</v>
      </c>
      <c r="J9" s="476" t="str">
        <f>Dictionary!B690</f>
        <v>Leitende/r Assessor/in</v>
      </c>
      <c r="K9" s="476" t="str">
        <f>Dictionary!B691</f>
        <v>Anmerkungen, Kommentare, Nachweise (fakultativ)</v>
      </c>
    </row>
    <row r="10" spans="2:11" ht="30" customHeight="1">
      <c r="B10" s="477">
        <v>1</v>
      </c>
      <c r="C10" s="2180" t="str">
        <f>Dictionary!B693</f>
        <v>Indikatoren bezogen auf die technischen Fähigkeiten</v>
      </c>
      <c r="D10" s="2181"/>
      <c r="E10" s="2181"/>
      <c r="F10" s="2181"/>
      <c r="G10" s="2181"/>
      <c r="H10" s="2182"/>
      <c r="K10" s="478"/>
    </row>
    <row r="11" spans="2:11" ht="75">
      <c r="B11" s="479">
        <f>B10+0.1</f>
        <v>1.1000000000000001</v>
      </c>
      <c r="C11" s="558" t="str">
        <f>Dictionary!B694</f>
        <v>Ziele und Ergebnisse</v>
      </c>
      <c r="D11" s="558" t="str">
        <f>Dictionary!B695</f>
        <v>Anzahl und Unterschiedlichkeit der Einzelziele unter Berücksichtigung der Ziele und Erwartungen der relevanten Stakeholder, unterschiedliche Zielkategorien: Prozessziele, Nutzungsziele (Business Case), Operationalisierbarkeit, Transparenz und Abhängigkeiten</v>
      </c>
      <c r="E11" s="557" t="str">
        <f>Dictionary!B696</f>
        <v>sehr wenige klare Ziele, alle quantitativ angegeben, operabel</v>
      </c>
      <c r="F11" s="557" t="str">
        <f>Dictionary!B697</f>
        <v>wenige Ziele, gut formuliert, wenig Zielkonflikte</v>
      </c>
      <c r="G11" s="557" t="str">
        <f>Dictionary!B698</f>
        <v>mehrere Ziele unterschiedlicher Art, teilweise unklar definiert</v>
      </c>
      <c r="H11" s="557" t="str">
        <f>Dictionary!B699</f>
        <v>viele, teilweise konkurrierende  Ziele, strategische und politische Ziele, versteckte Ziele, Nutzungsziele</v>
      </c>
      <c r="I11" s="495"/>
      <c r="J11" s="495"/>
      <c r="K11" s="496"/>
    </row>
    <row r="12" spans="2:11" ht="65">
      <c r="B12" s="479">
        <f>B11+0.1</f>
        <v>1.2000000000000002</v>
      </c>
      <c r="C12" s="558" t="str">
        <f>Dictionary!B701</f>
        <v>Aufgaben und Prozesse</v>
      </c>
      <c r="D12" s="558" t="str">
        <f>Dictionary!B702</f>
        <v>Umfang der Aufgaben, Annahmen und Randbedingungen und deren Abhängigkeiten, eingesetzte Prozesse, Tools und Methoden, eingesetzte Team- und Kommunikationsstrukturen</v>
      </c>
      <c r="E12" s="557" t="str">
        <f>Dictionary!B703</f>
        <v>bekannte Aufgabenstellung und Randbedingungen; wenige Standard-/Reportingverfahren</v>
      </c>
      <c r="F12" s="557" t="str">
        <f>Dictionary!B704</f>
        <v>mehrere Aufgaben, ergänzt durch Annahmen; Einsatz bekannter Prozesse und Tools, einige Reporting-Vorgaben</v>
      </c>
      <c r="G12" s="557" t="str">
        <f>Dictionary!B705</f>
        <v>umfangreiches System von Aufgaben und Annahmen; viele Sachfaktoren; teilweise Einsatz neuartiger Tools und Prozesse, Reporting-Vorgaben</v>
      </c>
      <c r="H12" s="557" t="str">
        <f>Dictionary!B706</f>
        <v>sehr komplexe Aufgabenstellung, umfangreiches sachliches Umfeld; erfordert den Einsatz umfangreicher Prozess- und Toolwelt, strenge Reporting-Vorgaben</v>
      </c>
      <c r="I12" s="495"/>
      <c r="J12" s="495"/>
      <c r="K12" s="496"/>
    </row>
    <row r="13" spans="2:11" ht="65">
      <c r="B13" s="479">
        <f>B12+0.1</f>
        <v>1.3000000000000003</v>
      </c>
      <c r="C13" s="558" t="str">
        <f>Dictionary!B708</f>
        <v>Ressourcen und Finanzen</v>
      </c>
      <c r="D13" s="558" t="str">
        <f>Dictionary!B709</f>
        <v>Akquisition und Bereitstellung der erforderlichen Budgets sowie deren Management; Anzahl der Geldgeber; Verfügbarkeit und Qualität der notwendigen (personellen und sonstigen) Ressourcen; Ressourcen-Management und Beschaffungsprozesse</v>
      </c>
      <c r="E13" s="557" t="str">
        <f>Dictionary!B710</f>
        <v>Budget-Ermittlung ohne Verhandlung, einfache Kostenüberwachung; Ressourcen verfügbar, geringe Ressourcenkonflikte; geringfügige Beschaffungsvorgänge</v>
      </c>
      <c r="F13" s="557" t="str">
        <f>Dictionary!B711</f>
        <v>Budget-Ermittlung und  -Verhandlung; Verhandlung der benötigten Ressourcen, teilweise externe Ressourcen-Beschaffung</v>
      </c>
      <c r="G13" s="557" t="str">
        <f>Dictionary!B712</f>
        <v>Budget- und Ressourcenbeschaffung im Wettbewerb mit anderen Projekten; wesentliche Beschaffungsvorgänge</v>
      </c>
      <c r="H13" s="557" t="str">
        <f>Dictionary!B713</f>
        <v>Beschaffung wesentlicher Finanzmittel, Finanzierung durch unterschiedliche Geldgeber intern und extern; Steuerung wesentlicher Unterauftragnehmer</v>
      </c>
      <c r="I13" s="495"/>
      <c r="J13" s="495"/>
      <c r="K13" s="496"/>
    </row>
    <row r="14" spans="2:11" ht="60">
      <c r="B14" s="479">
        <f>B13+0.1</f>
        <v>1.4000000000000004</v>
      </c>
      <c r="C14" s="558" t="str">
        <f>Dictionary!B715</f>
        <v>Chancen und Risiken</v>
      </c>
      <c r="D14" s="558" t="str">
        <f>Dictionary!B716</f>
        <v xml:space="preserve">Bewertung der Chancen und Risiken im Projekt; Ermittlung und Steuerung des Risikosystems; Ableitung von validen Maßnahmen; Ermittlung und Nutzung von Chancen; Anwendung von Tools zur Steuerung des Risiko-Budgets </v>
      </c>
      <c r="E14" s="557" t="str">
        <f>Dictionary!B717</f>
        <v>wenige Risiken in überschaubarer Höhe, kein Chancen-Management</v>
      </c>
      <c r="F14" s="557" t="str">
        <f>Dictionary!B718</f>
        <v>mehrere Risiken und Chancen; stabiles Risiko-System; Management eines Risiko-Budgets</v>
      </c>
      <c r="G14" s="557" t="str">
        <f>Dictionary!B719</f>
        <v>mehrere Risiken mit begrenzter Schadenshöhe; Möglichkeit der Chancen-Nutzung zur Entlastung des Projektes</v>
      </c>
      <c r="H14" s="557" t="str">
        <f>Dictionary!B720</f>
        <v>Umfangreiches Risiko-Potential inklusive hoher strategischer Risiken; Anwendung valider Steuerungsmöglichkeiten; Meldung nach KONTRAG</v>
      </c>
      <c r="I14" s="495"/>
      <c r="J14" s="495"/>
      <c r="K14" s="496"/>
    </row>
    <row r="15" spans="2:11" s="387" customFormat="1" ht="24" customHeight="1">
      <c r="H15" s="387" t="str">
        <f>Dictionary!B721</f>
        <v>Durchschnitt der eingegebenen Detailbewertungen:</v>
      </c>
      <c r="I15" s="480" t="str">
        <f>IF(SUM(I11:I14)=0,"",ROUNDDOWN(AVERAGE(I11:I14),1))</f>
        <v/>
      </c>
      <c r="J15" s="480" t="str">
        <f>IF(SUM(J11:J14)=0,"",ROUNDDOWN(AVERAGE(J11:J14),1))</f>
        <v/>
      </c>
      <c r="K15" s="481"/>
    </row>
    <row r="16" spans="2:11">
      <c r="C16" s="473"/>
      <c r="D16" s="473"/>
      <c r="E16" s="482"/>
      <c r="F16" s="482"/>
      <c r="G16" s="482"/>
      <c r="H16" s="482"/>
    </row>
    <row r="17" spans="2:11" ht="30" customHeight="1">
      <c r="B17" s="477">
        <v>2</v>
      </c>
      <c r="C17" s="2180" t="str">
        <f>Dictionary!B723</f>
        <v>Indikatoren bezogen auf den Kontext</v>
      </c>
      <c r="D17" s="2181"/>
      <c r="E17" s="2181"/>
      <c r="F17" s="2181"/>
      <c r="G17" s="2181"/>
      <c r="H17" s="2182"/>
    </row>
    <row r="18" spans="2:11" ht="60">
      <c r="B18" s="479">
        <f>B17+0.1</f>
        <v>2.1</v>
      </c>
      <c r="C18" s="558" t="str">
        <f>Dictionary!B724</f>
        <v xml:space="preserve">Strategie, Stakeholder </v>
      </c>
      <c r="D18" s="558" t="str">
        <f>Dictionary!B725</f>
        <v>Einfluss der Unternehmens-Strategie, Auswirkungen des Projektes auf das Unternehmen, Stakeholder-Interessen;
Gesetze und Regularien</v>
      </c>
      <c r="E18" s="559" t="str">
        <f>Dictionary!B726</f>
        <v>wenige strategische Einflüsse; Projekt ist rein operativ ausgerichtet</v>
      </c>
      <c r="F18" s="559" t="str">
        <f>Dictionary!B727</f>
        <v>Stakeholder-Interessen  beeinflussen das Projekt begrenzte Einflüsse aus der Unternehmens-Strategie</v>
      </c>
      <c r="G18" s="559" t="str">
        <f>Dictionary!B728</f>
        <v>Viele Komponenten (?) unterschiedlicher Art</v>
      </c>
      <c r="H18" s="559" t="str">
        <f>Dictionary!B729</f>
        <v>Projekt hat erheblichen Einfluss auf das Unternehmen und seinen Erfolg; starke Auswirkungen von Gesetzen und Regularien</v>
      </c>
      <c r="I18" s="495"/>
      <c r="J18" s="495"/>
      <c r="K18" s="496"/>
    </row>
    <row r="19" spans="2:11" ht="135">
      <c r="B19" s="479">
        <f>B18+0.1</f>
        <v>2.2000000000000002</v>
      </c>
      <c r="C19" s="558" t="str">
        <f>Dictionary!B731</f>
        <v>Stammorganisation</v>
      </c>
      <c r="D19" s="558" t="str">
        <f>Dictionary!B732</f>
        <v>Umfang der Vernetzung über Schnittstellen des Projektes mit den Strukturen, Berichtswesen und Entscheidungswegen der Stammorganisation</v>
      </c>
      <c r="E19" s="559" t="str">
        <f>Dictionary!B733</f>
        <v xml:space="preserve">starke Abgrenzung des Projektes von der Stammorganisation, Entscheidungen fallen wesentlich in der Stammorganisation, viele ähnliche Projekte wurden bereits im Unternehmen durchgeführt </v>
      </c>
      <c r="F19" s="559" t="str">
        <f>Dictionary!B734</f>
        <v>klare Schnittstellen zur Stammorganisation z.B. über Leitungsgremium; Berichtswesen und Entscheidungswege begrenzt und klar definiert Projekt hat geringe Auswirkungen auf Prozesse der Stammorganisation,  ähnliche Projekte wurden bereits im Unternehmen durchgeführt</v>
      </c>
      <c r="G19" s="559" t="str">
        <f>Dictionary!B735</f>
        <v>viele operative Schnittstellen wirken auf  das Projekt ein; Berichte und Entscheidungen machen erheblichen Arbeitsanteil aus, Projekt hat  Auswirkungen auf Prozesse der Stammorganisation, wenige ähnliche Projekte wurden bereits im Unternehmen durchgeführt</v>
      </c>
      <c r="H19" s="559" t="str">
        <f>Dictionary!B736</f>
        <v>Starke Einflüsse der Stammorganisation auf strategischer Ebene; Entscheidungen durch Verhandlungen mit der Stammorganisation, Projekt hat starke Auswirkungen auf Prozesse der Stammorganisation , Projekt ist neuartig für Unternehmen</v>
      </c>
      <c r="I19" s="495"/>
      <c r="J19" s="495"/>
      <c r="K19" s="496"/>
    </row>
    <row r="20" spans="2:11" ht="65">
      <c r="B20" s="479">
        <f>B19+0.1</f>
        <v>2.3000000000000003</v>
      </c>
      <c r="C20" s="558" t="str">
        <f>Dictionary!B738</f>
        <v>Sozio-Kulturelle Einflüsse</v>
      </c>
      <c r="D20" s="558" t="str">
        <f>Dictionary!B739</f>
        <v>Einfluss der sozio-kulturellen Unterschiede im Projektteam, insbesondere bei verteilten oder Firmen-übergreifenden Teams</v>
      </c>
      <c r="E20" s="557" t="str">
        <f>Dictionary!B740</f>
        <v>keine Auswirkungen zu erwarten (Projekt an einem Standort, eine Sprache, homogene Projektgruppe)</v>
      </c>
      <c r="F20" s="557" t="str">
        <f>Dictionary!B741</f>
        <v>wenig Auswirkungen zu erwarten</v>
      </c>
      <c r="G20" s="557" t="str">
        <f>Dictionary!B742</f>
        <v>Auswirkungen infolge lokal verteilter Teams, mehreren Sprachen oder heterogenen Kulturkreisen erfordern in Einzelfällen Führungsmaßnahmen</v>
      </c>
      <c r="H20" s="557" t="str">
        <f>Dictionary!B743</f>
        <v>Auswirkungen infolge lokal verteilter Teams oder großer Teams aus unterschiedlichen Unternehmen und Kulturkreisen erfordern umfangreiche Führungsmaßnahmen</v>
      </c>
      <c r="I20" s="495"/>
      <c r="J20" s="495"/>
      <c r="K20" s="496"/>
    </row>
    <row r="21" spans="2:11" s="387" customFormat="1" ht="24" customHeight="1">
      <c r="H21" s="387" t="str">
        <f>Dictionary!B744</f>
        <v>Durchschnitt der eingegebenen Detailbewertungen:</v>
      </c>
      <c r="I21" s="480" t="str">
        <f>IF(SUM(I18:I20)=0,"",ROUNDDOWN(AVERAGE(I18:I20),1))</f>
        <v/>
      </c>
      <c r="J21" s="480" t="str">
        <f>IF(SUM(J18:J20)=0,"",ROUNDDOWN(AVERAGE(J18:J20),1))</f>
        <v/>
      </c>
      <c r="K21" s="481"/>
    </row>
    <row r="22" spans="2:11">
      <c r="C22" s="473"/>
      <c r="D22" s="473"/>
      <c r="E22" s="482"/>
      <c r="F22" s="482"/>
      <c r="G22" s="482"/>
      <c r="H22" s="482"/>
    </row>
    <row r="23" spans="2:11" ht="30" customHeight="1">
      <c r="B23" s="477">
        <v>3</v>
      </c>
      <c r="C23" s="2180" t="str">
        <f>Dictionary!B746</f>
        <v>Indikatoren bezogen auf Management und Führung</v>
      </c>
      <c r="D23" s="2181"/>
      <c r="E23" s="2181"/>
      <c r="F23" s="2181"/>
      <c r="G23" s="2181"/>
      <c r="H23" s="2182"/>
    </row>
    <row r="24" spans="2:11" ht="90">
      <c r="B24" s="479">
        <f>B23+0.1</f>
        <v>3.1</v>
      </c>
      <c r="C24" s="560" t="str">
        <f>Dictionary!B747</f>
        <v xml:space="preserve">Führung und Teamwork </v>
      </c>
      <c r="D24" s="560" t="str">
        <f>Dictionary!B748</f>
        <v>Umfang der Führungs-, Teambildungs und-Steuerungsmaßnahmen</v>
      </c>
      <c r="E24" s="559" t="str">
        <f>Dictionary!B749</f>
        <v>fast alle Teammitglieder haben bereits mit PL gearbeitet, PL hat Erfahrung im Mgt von Teams über 5 J, Governance Vorgaben sind klar definiert, das Projektteam hat hohe PM Skills</v>
      </c>
      <c r="F24" s="559" t="str">
        <f>Dictionary!B750</f>
        <v>sehr viele Teammitglieder haben bereits mit PL gearbeitet, PL hat Erfahrung im Mgt von Teams über 3 J, governance Vorgaben sind teilweise definiert, das Projektteam hat  PM Skills</v>
      </c>
      <c r="G24" s="559" t="str">
        <f>Dictionary!B751</f>
        <v>viele Teammitglieder haben bereits mit PL gearbeitet, PL hat Erfahrung im Mgt von Teams über 1-2 J, einige Governance Vorgaben sind klar definiert, das Projektteam hat einige PM Skills</v>
      </c>
      <c r="H24" s="559" t="str">
        <f>Dictionary!B752</f>
        <v>wenige Teammitglieder haben bereits mit PL gearbeitet, PL hat Erfahrung im Mgt von Teams weniger 1J, wenige Governance Vorgaben sind definiert, das Projektteam hat sehr wenig PM Skills</v>
      </c>
      <c r="I24" s="495"/>
      <c r="J24" s="495"/>
      <c r="K24" s="496"/>
    </row>
    <row r="25" spans="2:11" ht="91" customHeight="1">
      <c r="B25" s="479">
        <f>B24+0.1</f>
        <v>3.2</v>
      </c>
      <c r="C25" s="558" t="str">
        <f>Dictionary!B754</f>
        <v xml:space="preserve"> Innovation</v>
      </c>
      <c r="D25" s="558" t="str">
        <f>Dictionary!B755</f>
        <v>technische Neuartigkeit des Projektes und seine Auswirkungen auf Ressourcenauswahl und Aus- und Weiterbildung während des Projektes; Umgang mit neuartigen Ansätzen und Ergebnissen</v>
      </c>
      <c r="E25" s="559" t="str">
        <f>Dictionary!B756</f>
        <v>kein Handlungsbedarf infolge geringer Neuartigkeit, z.B. Wiederholprojekte</v>
      </c>
      <c r="F25" s="559" t="str">
        <f>Dictionary!B757</f>
        <v>einige Maßnahmen erforderlich infolge der Neuartigkeit in einzelnen Bereichen</v>
      </c>
      <c r="G25" s="559" t="str">
        <f>Dictionary!B758</f>
        <v>Neuartigkeit des Projektgegenstandes und/oder von Prozessen bedingt vorbereitende Qualifizerungsmaßnahmen</v>
      </c>
      <c r="H25" s="559" t="str">
        <f>Dictionary!B759</f>
        <v xml:space="preserve">Neuartigkeit des Projektgegenstandes und/oder von Prozessen in Verbindung mit großem Projektvolumen bedingt Planung der Qualifizierung, aber auch intensives Risiko-Management </v>
      </c>
      <c r="I25" s="495"/>
      <c r="J25" s="495"/>
      <c r="K25" s="496"/>
    </row>
    <row r="26" spans="2:11" ht="60">
      <c r="B26" s="479">
        <f>B25+0.1</f>
        <v>3.3000000000000003</v>
      </c>
      <c r="C26" s="558" t="str">
        <f>Dictionary!B761</f>
        <v>Autonomie und Verantwortung</v>
      </c>
      <c r="D26" s="558" t="str">
        <f>Dictionary!B762</f>
        <v>Entscheidungs- und Verantwortungsspielraum des Projektleiters; Umfang der Delegation in das Projektteam; Vertretung des Projektes gegenüber dem gesamten sozialen Umfeld</v>
      </c>
      <c r="E26" s="559" t="str">
        <f>Dictionary!B763</f>
        <v xml:space="preserve">wenig Autonomie/Gestaltungsspielräume des PL bzgl. Entscheidungen und Vertretung des Projektes nach aussen </v>
      </c>
      <c r="F26" s="559" t="str">
        <f>Dictionary!B764</f>
        <v>Verhandlung Lasten- und Pflichtenheft; Gesaltungs-spielräume ergeben sich hauptsächlich durch Änderungsprozesse</v>
      </c>
      <c r="G26" s="559" t="str">
        <f>Dictionary!B765</f>
        <v>Projektleiter vertritt das Projekt und damit auch das Unternehmen auch gegenüber externen Stakeholdern</v>
      </c>
      <c r="H26" s="559" t="str">
        <f>Dictionary!B766</f>
        <v>umfangreiche Verantwortungs- und Entscheidungsspielräume, z.B. durch Vollmachts- oder Unterschriftenregelung</v>
      </c>
      <c r="I26" s="495"/>
      <c r="J26" s="495"/>
      <c r="K26" s="496"/>
    </row>
    <row r="27" spans="2:11" s="387" customFormat="1" ht="24" customHeight="1">
      <c r="H27" s="387" t="str">
        <f>Dictionary!B767</f>
        <v>Durchschnitt der eingegebenen Detailbewertungen:</v>
      </c>
      <c r="I27" s="480" t="str">
        <f>IF(SUM(I24:I26)=0,"",ROUNDDOWN(AVERAGE(I24:I26),1))</f>
        <v/>
      </c>
      <c r="J27" s="480" t="str">
        <f>IF(SUM(J24:J26)=0,"",ROUNDDOWN(AVERAGE(J24:J26),1))</f>
        <v/>
      </c>
      <c r="K27" s="481"/>
    </row>
    <row r="28" spans="2:11">
      <c r="C28" s="473"/>
      <c r="D28" s="473"/>
      <c r="E28" s="482"/>
      <c r="F28" s="482"/>
      <c r="G28" s="482"/>
      <c r="H28" s="482"/>
    </row>
    <row r="29" spans="2:11" ht="17" customHeight="1"/>
    <row r="30" spans="2:11" ht="17" customHeight="1">
      <c r="F30" s="334" t="str">
        <f>Dictionary!B768</f>
        <v>Zusammenfassende Bewertungen (gerundet)</v>
      </c>
    </row>
    <row r="31" spans="2:11" ht="17" customHeight="1">
      <c r="G31" s="483" t="str">
        <f>Dictionary!B769</f>
        <v>Indikator</v>
      </c>
      <c r="H31" s="471">
        <v>1</v>
      </c>
      <c r="I31" s="484" t="str">
        <f>IF(I15="","",I15)</f>
        <v/>
      </c>
      <c r="J31" s="484" t="str">
        <f>IF(J15="","",J15)</f>
        <v/>
      </c>
    </row>
    <row r="32" spans="2:11" ht="17" customHeight="1">
      <c r="G32" s="483" t="str">
        <f>Dictionary!B769</f>
        <v>Indikator</v>
      </c>
      <c r="H32" s="471">
        <f>1+H31</f>
        <v>2</v>
      </c>
      <c r="I32" s="485" t="str">
        <f>IF(I21="","",I21)</f>
        <v/>
      </c>
      <c r="J32" s="485" t="str">
        <f>IF(J21="","",J21)</f>
        <v/>
      </c>
    </row>
    <row r="33" spans="2:12" ht="17" customHeight="1">
      <c r="G33" s="483" t="str">
        <f>Dictionary!B769</f>
        <v>Indikator</v>
      </c>
      <c r="H33" s="471">
        <f>1+H32</f>
        <v>3</v>
      </c>
      <c r="I33" s="485" t="str">
        <f>IF(I27="","",I27)</f>
        <v/>
      </c>
      <c r="J33" s="485" t="str">
        <f>IF(J27="","",J27)</f>
        <v/>
      </c>
    </row>
    <row r="34" spans="2:12" s="473" customFormat="1" ht="17" customHeight="1">
      <c r="B34" s="471"/>
      <c r="C34" s="472"/>
      <c r="D34" s="472"/>
      <c r="E34" s="472"/>
      <c r="F34" s="472"/>
      <c r="G34" s="472"/>
      <c r="H34" s="387" t="str">
        <f>Dictionary!B770</f>
        <v xml:space="preserve">Gesamtbewertung   </v>
      </c>
      <c r="I34" s="485">
        <f>SUM(I11:I14)+SUM(I18:I20)+SUM(I24:I26)</f>
        <v>0</v>
      </c>
      <c r="J34" s="485">
        <f>SUM(J11:J14)+SUM(J18:J20)+SUM(J24:J26)</f>
        <v>0</v>
      </c>
      <c r="L34" s="472"/>
    </row>
    <row r="35" spans="2:12" s="473" customFormat="1" ht="17" customHeight="1">
      <c r="B35" s="471"/>
      <c r="C35" s="472"/>
      <c r="D35" s="472"/>
      <c r="E35" s="472"/>
      <c r="F35" s="472"/>
      <c r="G35" s="472"/>
      <c r="H35" s="387"/>
      <c r="I35" s="486"/>
      <c r="J35" s="486"/>
      <c r="L35" s="472"/>
    </row>
    <row r="36" spans="2:12" s="473" customFormat="1" ht="17" customHeight="1">
      <c r="B36" s="471"/>
      <c r="C36" s="487"/>
      <c r="D36" s="487"/>
      <c r="E36" s="472"/>
      <c r="F36" s="472"/>
      <c r="G36" s="472"/>
      <c r="H36" s="472"/>
      <c r="I36" s="471"/>
      <c r="J36" s="471"/>
      <c r="L36" s="472"/>
    </row>
    <row r="37" spans="2:12" s="473" customFormat="1" ht="17" customHeight="1" thickBot="1">
      <c r="B37" s="460"/>
      <c r="C37" s="460"/>
      <c r="D37" s="460"/>
      <c r="E37" s="460"/>
      <c r="F37" s="460"/>
      <c r="G37" s="460"/>
      <c r="H37" s="460"/>
      <c r="I37" s="460"/>
      <c r="J37" s="460"/>
      <c r="K37" s="460"/>
      <c r="L37" s="472"/>
    </row>
    <row r="38" spans="2:12" s="473" customFormat="1" ht="17" customHeight="1">
      <c r="B38" s="89"/>
      <c r="C38" s="89"/>
      <c r="D38" s="89"/>
      <c r="F38" s="472"/>
      <c r="G38" s="472"/>
      <c r="H38" s="472"/>
      <c r="I38" s="471"/>
      <c r="J38" s="471"/>
      <c r="K38" s="464" t="s">
        <v>105</v>
      </c>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ht="17" customHeight="1"/>
    <row r="50" ht="17" customHeight="1"/>
    <row r="51" ht="17" customHeight="1"/>
    <row r="52" ht="17" customHeight="1"/>
    <row r="53" ht="17" customHeight="1"/>
    <row r="54" ht="17" customHeight="1"/>
    <row r="55" ht="17" customHeight="1"/>
    <row r="56" ht="17" customHeight="1"/>
    <row r="57" ht="17" customHeight="1"/>
    <row r="58" ht="17" customHeight="1"/>
    <row r="59" ht="17" customHeight="1"/>
    <row r="60" ht="17" customHeight="1"/>
    <row r="61" ht="17" customHeight="1"/>
    <row r="62" ht="17" customHeight="1"/>
    <row r="63" ht="17" customHeight="1"/>
    <row r="64" ht="17" customHeight="1"/>
    <row r="65" ht="17" customHeight="1"/>
    <row r="66" ht="17" customHeight="1"/>
    <row r="67" ht="17" customHeight="1"/>
    <row r="68" ht="17" customHeight="1"/>
    <row r="69" ht="17" customHeight="1"/>
    <row r="70" ht="17" customHeight="1"/>
  </sheetData>
  <sheetProtection algorithmName="SHA-512" hashValue="ovm/LXVpvwHW6QHs9hXZ0BOUmON635brhahPliqpN6xFcNPWVsYJjLRqHJnyZOgSbrexXG5IYkK4TZTJmi182w==" saltValue="IaL8ss3wntSGSEmKs0ikeQ==" spinCount="100000" sheet="1" objects="1" scenarios="1" selectLockedCells="1"/>
  <mergeCells count="9">
    <mergeCell ref="C10:H10"/>
    <mergeCell ref="C17:H17"/>
    <mergeCell ref="C23:H23"/>
    <mergeCell ref="B3:K3"/>
    <mergeCell ref="F6:H6"/>
    <mergeCell ref="B8:B9"/>
    <mergeCell ref="C8:D9"/>
    <mergeCell ref="E8:H8"/>
    <mergeCell ref="I8:K8"/>
  </mergeCells>
  <conditionalFormatting sqref="I35:J35">
    <cfRule type="cellIs" dxfId="379" priority="1" operator="equal">
      <formula>"Yes"</formula>
    </cfRule>
    <cfRule type="cellIs" dxfId="378" priority="2" operator="equal">
      <formula>"No"</formula>
    </cfRule>
  </conditionalFormatting>
  <dataValidations count="1">
    <dataValidation type="whole" allowBlank="1" showInputMessage="1" showErrorMessage="1" sqref="I11:J14 I18:J20 I24:J26" xr:uid="{00000000-0002-0000-37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1">
    <tabColor theme="9"/>
  </sheetPr>
  <dimension ref="A1:I42"/>
  <sheetViews>
    <sheetView workbookViewId="0">
      <selection activeCell="B47" sqref="B47"/>
    </sheetView>
  </sheetViews>
  <sheetFormatPr baseColWidth="10" defaultColWidth="11.5" defaultRowHeight="15"/>
  <cols>
    <col min="1" max="1" width="21.5" customWidth="1"/>
    <col min="2" max="2" width="22.83203125" customWidth="1"/>
    <col min="3" max="3" width="27.1640625" customWidth="1"/>
    <col min="4" max="4" width="22.83203125" customWidth="1"/>
    <col min="5" max="6" width="20" customWidth="1"/>
    <col min="9" max="9" width="8.5" customWidth="1"/>
  </cols>
  <sheetData>
    <row r="1" spans="1:9" ht="23">
      <c r="A1" s="63" t="s">
        <v>182</v>
      </c>
      <c r="B1" s="62"/>
      <c r="C1" s="62"/>
      <c r="D1" s="61"/>
    </row>
    <row r="2" spans="1:9">
      <c r="A2" s="53" t="s">
        <v>116</v>
      </c>
      <c r="B2" s="53" t="str">
        <f>IF('(7b) Project List'!B26="","",'(7b) Project List'!B26)</f>
        <v>VOID</v>
      </c>
      <c r="C2" s="53" t="s">
        <v>181</v>
      </c>
      <c r="D2" s="60"/>
    </row>
    <row r="3" spans="1:9" ht="17">
      <c r="A3" s="53" t="s">
        <v>180</v>
      </c>
      <c r="B3" s="2192"/>
      <c r="C3" s="2193"/>
      <c r="D3" s="59" t="s">
        <v>179</v>
      </c>
    </row>
    <row r="4" spans="1:9" ht="31">
      <c r="A4" s="53" t="s">
        <v>178</v>
      </c>
      <c r="B4" s="59" t="s">
        <v>177</v>
      </c>
      <c r="C4" s="59" t="s">
        <v>176</v>
      </c>
      <c r="D4" s="59" t="s">
        <v>175</v>
      </c>
    </row>
    <row r="5" spans="1:9">
      <c r="A5" s="53" t="s">
        <v>174</v>
      </c>
      <c r="B5" s="58" t="s">
        <v>173</v>
      </c>
      <c r="C5" s="58" t="s">
        <v>172</v>
      </c>
      <c r="D5" s="58" t="s">
        <v>171</v>
      </c>
    </row>
    <row r="6" spans="1:9">
      <c r="A6" s="2194" t="s">
        <v>170</v>
      </c>
      <c r="B6" s="2195"/>
      <c r="C6" s="2196"/>
      <c r="D6" s="57"/>
    </row>
    <row r="7" spans="1:9">
      <c r="A7" s="2197" t="s">
        <v>169</v>
      </c>
      <c r="B7" s="2197"/>
      <c r="C7" s="2197"/>
      <c r="D7" s="2197"/>
      <c r="I7" t="s">
        <v>132</v>
      </c>
    </row>
    <row r="8" spans="1:9" ht="54" customHeight="1">
      <c r="A8" s="2191"/>
      <c r="B8" s="2191"/>
      <c r="C8" s="2191"/>
      <c r="D8" s="2191"/>
    </row>
    <row r="9" spans="1:9">
      <c r="A9" s="2197" t="s">
        <v>168</v>
      </c>
      <c r="B9" s="2197"/>
      <c r="C9" s="2197"/>
      <c r="D9" s="2197"/>
    </row>
    <row r="10" spans="1:9" ht="54" customHeight="1">
      <c r="A10" s="2191"/>
      <c r="B10" s="2191"/>
      <c r="C10" s="2191"/>
      <c r="D10" s="2191"/>
    </row>
    <row r="11" spans="1:9">
      <c r="A11" s="2197" t="s">
        <v>167</v>
      </c>
      <c r="B11" s="2197"/>
      <c r="C11" s="2197"/>
      <c r="D11" s="2197"/>
    </row>
    <row r="12" spans="1:9" ht="54.75" customHeight="1">
      <c r="A12" s="2198"/>
      <c r="B12" s="2199"/>
      <c r="C12" s="2199"/>
      <c r="D12" s="2199"/>
    </row>
    <row r="13" spans="1:9">
      <c r="A13" s="2197" t="s">
        <v>166</v>
      </c>
      <c r="B13" s="2197"/>
      <c r="C13" s="2197"/>
      <c r="D13" s="2197"/>
    </row>
    <row r="14" spans="1:9" ht="54" customHeight="1">
      <c r="A14" s="2200"/>
      <c r="B14" s="2201"/>
      <c r="C14" s="2201"/>
      <c r="D14" s="2202"/>
    </row>
    <row r="15" spans="1:9">
      <c r="A15" s="56" t="s">
        <v>165</v>
      </c>
      <c r="B15" s="55" t="str">
        <f>IF('(7b) Project List'!F26="","",'(7b) Project List'!F26)</f>
        <v/>
      </c>
      <c r="C15" s="53" t="s">
        <v>164</v>
      </c>
      <c r="D15" s="55" t="str">
        <f>IF('(7b) Project List'!G26="","",'(7b) Project List'!G26)</f>
        <v/>
      </c>
    </row>
    <row r="16" spans="1:9">
      <c r="A16" s="2197" t="s">
        <v>163</v>
      </c>
      <c r="B16" s="2197"/>
      <c r="C16" s="2197" t="s">
        <v>162</v>
      </c>
      <c r="D16" s="2197"/>
    </row>
    <row r="17" spans="1:4">
      <c r="A17" s="2198"/>
      <c r="B17" s="2199"/>
      <c r="C17" s="2198"/>
      <c r="D17" s="2199"/>
    </row>
    <row r="18" spans="1:4">
      <c r="A18" s="2199"/>
      <c r="B18" s="2199"/>
      <c r="C18" s="2199"/>
      <c r="D18" s="2199"/>
    </row>
    <row r="19" spans="1:4">
      <c r="A19" s="2199"/>
      <c r="B19" s="2199"/>
      <c r="C19" s="2199"/>
      <c r="D19" s="2199"/>
    </row>
    <row r="20" spans="1:4">
      <c r="A20" s="2199"/>
      <c r="B20" s="2199"/>
      <c r="C20" s="2199"/>
      <c r="D20" s="2199"/>
    </row>
    <row r="21" spans="1:4">
      <c r="A21" s="2199"/>
      <c r="B21" s="2199"/>
      <c r="C21" s="2199"/>
      <c r="D21" s="2199"/>
    </row>
    <row r="22" spans="1:4">
      <c r="A22" s="2199"/>
      <c r="B22" s="2199"/>
      <c r="C22" s="2199"/>
      <c r="D22" s="2199"/>
    </row>
    <row r="23" spans="1:4">
      <c r="A23" s="2199"/>
      <c r="B23" s="2199"/>
      <c r="C23" s="2199"/>
      <c r="D23" s="2199"/>
    </row>
    <row r="24" spans="1:4">
      <c r="A24" s="2199"/>
      <c r="B24" s="2199"/>
      <c r="C24" s="2199"/>
      <c r="D24" s="2199"/>
    </row>
    <row r="25" spans="1:4">
      <c r="A25" s="2199"/>
      <c r="B25" s="2199"/>
      <c r="C25" s="2199"/>
      <c r="D25" s="2199"/>
    </row>
    <row r="26" spans="1:4">
      <c r="A26" s="2199"/>
      <c r="B26" s="2199"/>
      <c r="C26" s="2199"/>
      <c r="D26" s="2199"/>
    </row>
    <row r="27" spans="1:4">
      <c r="A27" s="53" t="s">
        <v>161</v>
      </c>
      <c r="B27" s="52"/>
      <c r="C27" s="53" t="s">
        <v>160</v>
      </c>
      <c r="D27" s="52"/>
    </row>
    <row r="28" spans="1:4">
      <c r="A28" s="53" t="s">
        <v>159</v>
      </c>
      <c r="B28" s="2215"/>
      <c r="C28" s="2216"/>
      <c r="D28" s="2217"/>
    </row>
    <row r="29" spans="1:4">
      <c r="A29" s="54" t="s">
        <v>158</v>
      </c>
      <c r="B29" s="2215"/>
      <c r="C29" s="2216"/>
      <c r="D29" s="2217"/>
    </row>
    <row r="30" spans="1:4">
      <c r="A30" s="53" t="s">
        <v>157</v>
      </c>
      <c r="B30" s="52"/>
      <c r="C30" s="53" t="s">
        <v>156</v>
      </c>
      <c r="D30" s="52"/>
    </row>
    <row r="31" spans="1:4">
      <c r="A31" s="53" t="s">
        <v>155</v>
      </c>
      <c r="B31" s="52"/>
      <c r="C31" s="53" t="s">
        <v>154</v>
      </c>
      <c r="D31" s="52"/>
    </row>
    <row r="32" spans="1:4">
      <c r="A32" s="2203" t="s">
        <v>153</v>
      </c>
      <c r="B32" s="2204"/>
      <c r="C32" s="2204"/>
      <c r="D32" s="2205"/>
    </row>
    <row r="33" spans="1:4">
      <c r="A33" s="2218"/>
      <c r="B33" s="2219"/>
      <c r="C33" s="2219"/>
      <c r="D33" s="2220"/>
    </row>
    <row r="34" spans="1:4">
      <c r="A34" s="2221"/>
      <c r="B34" s="2222"/>
      <c r="C34" s="2222"/>
      <c r="D34" s="2223"/>
    </row>
    <row r="35" spans="1:4" ht="27" customHeight="1">
      <c r="A35" s="2224"/>
      <c r="B35" s="2225"/>
      <c r="C35" s="2225"/>
      <c r="D35" s="2226"/>
    </row>
    <row r="36" spans="1:4">
      <c r="A36" s="2203" t="s">
        <v>152</v>
      </c>
      <c r="B36" s="2204"/>
      <c r="C36" s="2204"/>
      <c r="D36" s="2205"/>
    </row>
    <row r="37" spans="1:4" ht="15" customHeight="1">
      <c r="A37" s="2206"/>
      <c r="B37" s="2207"/>
      <c r="C37" s="2207"/>
      <c r="D37" s="2208"/>
    </row>
    <row r="38" spans="1:4">
      <c r="A38" s="2209"/>
      <c r="B38" s="2210"/>
      <c r="C38" s="2210"/>
      <c r="D38" s="2211"/>
    </row>
    <row r="39" spans="1:4">
      <c r="A39" s="2209"/>
      <c r="B39" s="2210"/>
      <c r="C39" s="2210"/>
      <c r="D39" s="2211"/>
    </row>
    <row r="40" spans="1:4" ht="41" customHeight="1">
      <c r="A40" s="2212"/>
      <c r="B40" s="2213"/>
      <c r="C40" s="2213"/>
      <c r="D40" s="2214"/>
    </row>
    <row r="42" spans="1:4">
      <c r="A42" s="51" t="s">
        <v>105</v>
      </c>
    </row>
  </sheetData>
  <sheetProtection algorithmName="SHA-512" hashValue="uLYluUjQSt03qTAgK4JNXW5wV6LGCL13JMxR933YMtkpInf8g8jZVJ1RvWtyK2dKB6UrCdCRNnQ0RRZYh3cwWg==" saltValue="7a+QciyfcplFdg4jc7i/6g==" spinCount="100000" sheet="1" objects="1" scenarios="1"/>
  <mergeCells count="20">
    <mergeCell ref="A36:D36"/>
    <mergeCell ref="A37:D40"/>
    <mergeCell ref="A17:B26"/>
    <mergeCell ref="C17:D26"/>
    <mergeCell ref="B28:D28"/>
    <mergeCell ref="B29:D29"/>
    <mergeCell ref="A32:D32"/>
    <mergeCell ref="A33:D35"/>
    <mergeCell ref="A11:D11"/>
    <mergeCell ref="A12:D12"/>
    <mergeCell ref="A13:D13"/>
    <mergeCell ref="A14:D14"/>
    <mergeCell ref="A16:B16"/>
    <mergeCell ref="C16:D16"/>
    <mergeCell ref="A10:D10"/>
    <mergeCell ref="B3:C3"/>
    <mergeCell ref="A6:C6"/>
    <mergeCell ref="A7:D7"/>
    <mergeCell ref="A8:D8"/>
    <mergeCell ref="A9:D9"/>
  </mergeCells>
  <pageMargins left="0.7" right="0.7" top="0.78740157499999996" bottom="0.78740157499999996" header="0.3" footer="0.3"/>
  <pageSetup paperSize="9" scale="46" orientation="portrait" r:id="rId1"/>
  <headerFooter>
    <oddFooter>&amp;LDok.-Nr./Rev./Datum
F01         /  03   / 04.12.2020
&amp;F&amp;C&amp;U&amp;A&amp;RSeite &amp;P / &amp;N</oddFooter>
  </headerFooter>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2">
    <tabColor theme="9"/>
  </sheetPr>
  <dimension ref="A1:I42"/>
  <sheetViews>
    <sheetView workbookViewId="0">
      <selection activeCell="B109" sqref="B109"/>
    </sheetView>
  </sheetViews>
  <sheetFormatPr baseColWidth="10" defaultColWidth="11.5" defaultRowHeight="15"/>
  <cols>
    <col min="1" max="1" width="21.5" customWidth="1"/>
    <col min="2" max="2" width="22.83203125" customWidth="1"/>
    <col min="3" max="3" width="27.1640625" customWidth="1"/>
    <col min="4" max="4" width="22.83203125" customWidth="1"/>
    <col min="5" max="6" width="20" customWidth="1"/>
    <col min="9" max="9" width="8.5" customWidth="1"/>
  </cols>
  <sheetData>
    <row r="1" spans="1:9" ht="23">
      <c r="A1" s="63" t="s">
        <v>182</v>
      </c>
      <c r="B1" s="62"/>
      <c r="C1" s="62"/>
      <c r="D1" s="61"/>
    </row>
    <row r="2" spans="1:9">
      <c r="A2" s="53" t="s">
        <v>116</v>
      </c>
      <c r="B2" s="53" t="str">
        <f>IF('(7b) Project List'!B27="","",'(7b) Project List'!B27)</f>
        <v>VOID</v>
      </c>
      <c r="C2" s="53" t="s">
        <v>181</v>
      </c>
      <c r="D2" s="60"/>
    </row>
    <row r="3" spans="1:9" ht="17">
      <c r="A3" s="53" t="s">
        <v>180</v>
      </c>
      <c r="B3" s="2192"/>
      <c r="C3" s="2193"/>
      <c r="D3" s="59" t="s">
        <v>179</v>
      </c>
    </row>
    <row r="4" spans="1:9" ht="31">
      <c r="A4" s="53" t="s">
        <v>178</v>
      </c>
      <c r="B4" s="59" t="s">
        <v>177</v>
      </c>
      <c r="C4" s="59" t="s">
        <v>176</v>
      </c>
      <c r="D4" s="59" t="s">
        <v>175</v>
      </c>
    </row>
    <row r="5" spans="1:9">
      <c r="A5" s="53" t="s">
        <v>174</v>
      </c>
      <c r="B5" s="58" t="s">
        <v>173</v>
      </c>
      <c r="C5" s="58" t="s">
        <v>172</v>
      </c>
      <c r="D5" s="58" t="s">
        <v>171</v>
      </c>
    </row>
    <row r="6" spans="1:9">
      <c r="A6" s="2194" t="s">
        <v>170</v>
      </c>
      <c r="B6" s="2195"/>
      <c r="C6" s="2196"/>
      <c r="D6" s="57"/>
    </row>
    <row r="7" spans="1:9">
      <c r="A7" s="2197" t="s">
        <v>169</v>
      </c>
      <c r="B7" s="2197"/>
      <c r="C7" s="2197"/>
      <c r="D7" s="2197"/>
      <c r="I7" t="s">
        <v>132</v>
      </c>
    </row>
    <row r="8" spans="1:9" ht="54" customHeight="1">
      <c r="A8" s="2191"/>
      <c r="B8" s="2191"/>
      <c r="C8" s="2191"/>
      <c r="D8" s="2191"/>
    </row>
    <row r="9" spans="1:9">
      <c r="A9" s="2197" t="s">
        <v>168</v>
      </c>
      <c r="B9" s="2197"/>
      <c r="C9" s="2197"/>
      <c r="D9" s="2197"/>
    </row>
    <row r="10" spans="1:9" ht="54" customHeight="1">
      <c r="A10" s="2191"/>
      <c r="B10" s="2191"/>
      <c r="C10" s="2191"/>
      <c r="D10" s="2191"/>
    </row>
    <row r="11" spans="1:9">
      <c r="A11" s="2197" t="s">
        <v>167</v>
      </c>
      <c r="B11" s="2197"/>
      <c r="C11" s="2197"/>
      <c r="D11" s="2197"/>
    </row>
    <row r="12" spans="1:9" ht="54.75" customHeight="1">
      <c r="A12" s="2198"/>
      <c r="B12" s="2199"/>
      <c r="C12" s="2199"/>
      <c r="D12" s="2199"/>
    </row>
    <row r="13" spans="1:9">
      <c r="A13" s="2197" t="s">
        <v>166</v>
      </c>
      <c r="B13" s="2197"/>
      <c r="C13" s="2197"/>
      <c r="D13" s="2197"/>
    </row>
    <row r="14" spans="1:9" ht="54" customHeight="1">
      <c r="A14" s="2200"/>
      <c r="B14" s="2201"/>
      <c r="C14" s="2201"/>
      <c r="D14" s="2202"/>
    </row>
    <row r="15" spans="1:9">
      <c r="A15" s="56" t="s">
        <v>165</v>
      </c>
      <c r="B15" s="55" t="str">
        <f>IF('(7b) Project List'!F27="","",'(7b) Project List'!F27)</f>
        <v/>
      </c>
      <c r="C15" s="53" t="s">
        <v>164</v>
      </c>
      <c r="D15" s="55" t="str">
        <f>IF('(7b) Project List'!G27="","",'(7b) Project List'!G27)</f>
        <v/>
      </c>
    </row>
    <row r="16" spans="1:9">
      <c r="A16" s="2197" t="s">
        <v>163</v>
      </c>
      <c r="B16" s="2197"/>
      <c r="C16" s="2197" t="s">
        <v>162</v>
      </c>
      <c r="D16" s="2197"/>
    </row>
    <row r="17" spans="1:4">
      <c r="A17" s="2198"/>
      <c r="B17" s="2199"/>
      <c r="C17" s="2198"/>
      <c r="D17" s="2199"/>
    </row>
    <row r="18" spans="1:4">
      <c r="A18" s="2199"/>
      <c r="B18" s="2199"/>
      <c r="C18" s="2199"/>
      <c r="D18" s="2199"/>
    </row>
    <row r="19" spans="1:4">
      <c r="A19" s="2199"/>
      <c r="B19" s="2199"/>
      <c r="C19" s="2199"/>
      <c r="D19" s="2199"/>
    </row>
    <row r="20" spans="1:4">
      <c r="A20" s="2199"/>
      <c r="B20" s="2199"/>
      <c r="C20" s="2199"/>
      <c r="D20" s="2199"/>
    </row>
    <row r="21" spans="1:4">
      <c r="A21" s="2199"/>
      <c r="B21" s="2199"/>
      <c r="C21" s="2199"/>
      <c r="D21" s="2199"/>
    </row>
    <row r="22" spans="1:4">
      <c r="A22" s="2199"/>
      <c r="B22" s="2199"/>
      <c r="C22" s="2199"/>
      <c r="D22" s="2199"/>
    </row>
    <row r="23" spans="1:4">
      <c r="A23" s="2199"/>
      <c r="B23" s="2199"/>
      <c r="C23" s="2199"/>
      <c r="D23" s="2199"/>
    </row>
    <row r="24" spans="1:4">
      <c r="A24" s="2199"/>
      <c r="B24" s="2199"/>
      <c r="C24" s="2199"/>
      <c r="D24" s="2199"/>
    </row>
    <row r="25" spans="1:4">
      <c r="A25" s="2199"/>
      <c r="B25" s="2199"/>
      <c r="C25" s="2199"/>
      <c r="D25" s="2199"/>
    </row>
    <row r="26" spans="1:4">
      <c r="A26" s="2199"/>
      <c r="B26" s="2199"/>
      <c r="C26" s="2199"/>
      <c r="D26" s="2199"/>
    </row>
    <row r="27" spans="1:4">
      <c r="A27" s="53" t="s">
        <v>161</v>
      </c>
      <c r="B27" s="52"/>
      <c r="C27" s="53" t="s">
        <v>160</v>
      </c>
      <c r="D27" s="52"/>
    </row>
    <row r="28" spans="1:4">
      <c r="A28" s="53" t="s">
        <v>159</v>
      </c>
      <c r="B28" s="2215"/>
      <c r="C28" s="2216"/>
      <c r="D28" s="2217"/>
    </row>
    <row r="29" spans="1:4">
      <c r="A29" s="54" t="s">
        <v>158</v>
      </c>
      <c r="B29" s="2215"/>
      <c r="C29" s="2216"/>
      <c r="D29" s="2217"/>
    </row>
    <row r="30" spans="1:4">
      <c r="A30" s="53" t="s">
        <v>157</v>
      </c>
      <c r="B30" s="52"/>
      <c r="C30" s="53" t="s">
        <v>156</v>
      </c>
      <c r="D30" s="52"/>
    </row>
    <row r="31" spans="1:4">
      <c r="A31" s="53" t="s">
        <v>155</v>
      </c>
      <c r="B31" s="52"/>
      <c r="C31" s="53" t="s">
        <v>154</v>
      </c>
      <c r="D31" s="52"/>
    </row>
    <row r="32" spans="1:4">
      <c r="A32" s="2203" t="s">
        <v>153</v>
      </c>
      <c r="B32" s="2204"/>
      <c r="C32" s="2204"/>
      <c r="D32" s="2205"/>
    </row>
    <row r="33" spans="1:4">
      <c r="A33" s="2218"/>
      <c r="B33" s="2219"/>
      <c r="C33" s="2219"/>
      <c r="D33" s="2220"/>
    </row>
    <row r="34" spans="1:4">
      <c r="A34" s="2221"/>
      <c r="B34" s="2222"/>
      <c r="C34" s="2222"/>
      <c r="D34" s="2223"/>
    </row>
    <row r="35" spans="1:4" ht="27" customHeight="1">
      <c r="A35" s="2224"/>
      <c r="B35" s="2225"/>
      <c r="C35" s="2225"/>
      <c r="D35" s="2226"/>
    </row>
    <row r="36" spans="1:4">
      <c r="A36" s="2203" t="s">
        <v>152</v>
      </c>
      <c r="B36" s="2204"/>
      <c r="C36" s="2204"/>
      <c r="D36" s="2205"/>
    </row>
    <row r="37" spans="1:4" ht="15" customHeight="1">
      <c r="A37" s="2206"/>
      <c r="B37" s="2207"/>
      <c r="C37" s="2207"/>
      <c r="D37" s="2208"/>
    </row>
    <row r="38" spans="1:4">
      <c r="A38" s="2209"/>
      <c r="B38" s="2210"/>
      <c r="C38" s="2210"/>
      <c r="D38" s="2211"/>
    </row>
    <row r="39" spans="1:4">
      <c r="A39" s="2209"/>
      <c r="B39" s="2210"/>
      <c r="C39" s="2210"/>
      <c r="D39" s="2211"/>
    </row>
    <row r="40" spans="1:4" ht="41" customHeight="1">
      <c r="A40" s="2212"/>
      <c r="B40" s="2213"/>
      <c r="C40" s="2213"/>
      <c r="D40" s="2214"/>
    </row>
    <row r="42" spans="1:4">
      <c r="A42" s="51" t="s">
        <v>105</v>
      </c>
    </row>
  </sheetData>
  <sheetProtection algorithmName="SHA-512" hashValue="NZYGcU4ikuJnGfRKwLI544OYt/hcz45kLac88cepCuExwTyqrnRj3swqhL+5xpxDR6zL1DxT/UBQzmNcGxFltQ==" saltValue="s+p3/syLdT32CMd2ud+jsQ==" spinCount="100000" sheet="1" objects="1" scenarios="1"/>
  <mergeCells count="20">
    <mergeCell ref="A36:D36"/>
    <mergeCell ref="A37:D40"/>
    <mergeCell ref="A17:B26"/>
    <mergeCell ref="C17:D26"/>
    <mergeCell ref="B28:D28"/>
    <mergeCell ref="B29:D29"/>
    <mergeCell ref="A32:D32"/>
    <mergeCell ref="A33:D35"/>
    <mergeCell ref="A11:D11"/>
    <mergeCell ref="A12:D12"/>
    <mergeCell ref="A13:D13"/>
    <mergeCell ref="A14:D14"/>
    <mergeCell ref="A16:B16"/>
    <mergeCell ref="C16:D16"/>
    <mergeCell ref="A10:D10"/>
    <mergeCell ref="B3:C3"/>
    <mergeCell ref="A6:C6"/>
    <mergeCell ref="A7:D7"/>
    <mergeCell ref="A8:D8"/>
    <mergeCell ref="A9:D9"/>
  </mergeCells>
  <pageMargins left="0.7" right="0.7" top="0.78740157499999996" bottom="0.78740157499999996" header="0.3" footer="0.3"/>
  <pageSetup paperSize="9" scale="46" orientation="portrait" r:id="rId1"/>
  <headerFooter>
    <oddFooter>&amp;LDok.-Nr./Rev./Datum
F01         /  03   / 04.12.2020
&amp;F&amp;C&amp;U&amp;A&amp;RSeite &amp;P / &amp;N</oddFooter>
  </headerFooter>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theme="9"/>
  </sheetPr>
  <dimension ref="A1:I42"/>
  <sheetViews>
    <sheetView workbookViewId="0">
      <selection activeCell="B109" sqref="B109"/>
    </sheetView>
  </sheetViews>
  <sheetFormatPr baseColWidth="10" defaultColWidth="11.5" defaultRowHeight="15"/>
  <cols>
    <col min="1" max="1" width="21.5" customWidth="1"/>
    <col min="2" max="2" width="22.83203125" customWidth="1"/>
    <col min="3" max="3" width="27.1640625" customWidth="1"/>
    <col min="4" max="4" width="22.83203125" customWidth="1"/>
    <col min="5" max="6" width="20" customWidth="1"/>
    <col min="9" max="9" width="8.5" customWidth="1"/>
  </cols>
  <sheetData>
    <row r="1" spans="1:9" ht="23">
      <c r="A1" s="63" t="s">
        <v>182</v>
      </c>
      <c r="B1" s="62"/>
      <c r="C1" s="62"/>
      <c r="D1" s="61"/>
    </row>
    <row r="2" spans="1:9">
      <c r="A2" s="53" t="s">
        <v>116</v>
      </c>
      <c r="B2" s="53" t="str">
        <f>IF('(7b) Project List'!B28="","",'(7b) Project List'!B28)</f>
        <v>VOID</v>
      </c>
      <c r="C2" s="53" t="s">
        <v>181</v>
      </c>
      <c r="D2" s="60"/>
    </row>
    <row r="3" spans="1:9" ht="17">
      <c r="A3" s="53" t="s">
        <v>180</v>
      </c>
      <c r="B3" s="2192"/>
      <c r="C3" s="2193"/>
      <c r="D3" s="59" t="s">
        <v>179</v>
      </c>
    </row>
    <row r="4" spans="1:9" ht="31">
      <c r="A4" s="53" t="s">
        <v>178</v>
      </c>
      <c r="B4" s="59" t="s">
        <v>177</v>
      </c>
      <c r="C4" s="59" t="s">
        <v>176</v>
      </c>
      <c r="D4" s="59" t="s">
        <v>175</v>
      </c>
    </row>
    <row r="5" spans="1:9">
      <c r="A5" s="53" t="s">
        <v>174</v>
      </c>
      <c r="B5" s="58" t="s">
        <v>173</v>
      </c>
      <c r="C5" s="58" t="s">
        <v>172</v>
      </c>
      <c r="D5" s="58" t="s">
        <v>171</v>
      </c>
    </row>
    <row r="6" spans="1:9">
      <c r="A6" s="2194" t="s">
        <v>170</v>
      </c>
      <c r="B6" s="2195"/>
      <c r="C6" s="2196"/>
      <c r="D6" s="57"/>
    </row>
    <row r="7" spans="1:9">
      <c r="A7" s="2197" t="s">
        <v>169</v>
      </c>
      <c r="B7" s="2197"/>
      <c r="C7" s="2197"/>
      <c r="D7" s="2197"/>
      <c r="I7" t="s">
        <v>132</v>
      </c>
    </row>
    <row r="8" spans="1:9" ht="54" customHeight="1">
      <c r="A8" s="2191"/>
      <c r="B8" s="2191"/>
      <c r="C8" s="2191"/>
      <c r="D8" s="2191"/>
    </row>
    <row r="9" spans="1:9">
      <c r="A9" s="2197" t="s">
        <v>168</v>
      </c>
      <c r="B9" s="2197"/>
      <c r="C9" s="2197"/>
      <c r="D9" s="2197"/>
    </row>
    <row r="10" spans="1:9" ht="54" customHeight="1">
      <c r="A10" s="2191"/>
      <c r="B10" s="2191"/>
      <c r="C10" s="2191"/>
      <c r="D10" s="2191"/>
    </row>
    <row r="11" spans="1:9">
      <c r="A11" s="2197" t="s">
        <v>167</v>
      </c>
      <c r="B11" s="2197"/>
      <c r="C11" s="2197"/>
      <c r="D11" s="2197"/>
    </row>
    <row r="12" spans="1:9" ht="54.75" customHeight="1">
      <c r="A12" s="2198"/>
      <c r="B12" s="2199"/>
      <c r="C12" s="2199"/>
      <c r="D12" s="2199"/>
    </row>
    <row r="13" spans="1:9">
      <c r="A13" s="2197" t="s">
        <v>166</v>
      </c>
      <c r="B13" s="2197"/>
      <c r="C13" s="2197"/>
      <c r="D13" s="2197"/>
    </row>
    <row r="14" spans="1:9" ht="54" customHeight="1">
      <c r="A14" s="2200"/>
      <c r="B14" s="2201"/>
      <c r="C14" s="2201"/>
      <c r="D14" s="2202"/>
    </row>
    <row r="15" spans="1:9">
      <c r="A15" s="56" t="s">
        <v>165</v>
      </c>
      <c r="B15" s="55" t="str">
        <f>IF('(7b) Project List'!F28="","",'(7b) Project List'!F28)</f>
        <v/>
      </c>
      <c r="C15" s="53" t="s">
        <v>164</v>
      </c>
      <c r="D15" s="55" t="str">
        <f>IF('(7b) Project List'!G28="","",'(7b) Project List'!G28)</f>
        <v/>
      </c>
    </row>
    <row r="16" spans="1:9">
      <c r="A16" s="2197" t="s">
        <v>163</v>
      </c>
      <c r="B16" s="2197"/>
      <c r="C16" s="2197" t="s">
        <v>162</v>
      </c>
      <c r="D16" s="2197"/>
    </row>
    <row r="17" spans="1:4">
      <c r="A17" s="2198"/>
      <c r="B17" s="2199"/>
      <c r="C17" s="2198"/>
      <c r="D17" s="2199"/>
    </row>
    <row r="18" spans="1:4">
      <c r="A18" s="2199"/>
      <c r="B18" s="2199"/>
      <c r="C18" s="2199"/>
      <c r="D18" s="2199"/>
    </row>
    <row r="19" spans="1:4">
      <c r="A19" s="2199"/>
      <c r="B19" s="2199"/>
      <c r="C19" s="2199"/>
      <c r="D19" s="2199"/>
    </row>
    <row r="20" spans="1:4">
      <c r="A20" s="2199"/>
      <c r="B20" s="2199"/>
      <c r="C20" s="2199"/>
      <c r="D20" s="2199"/>
    </row>
    <row r="21" spans="1:4">
      <c r="A21" s="2199"/>
      <c r="B21" s="2199"/>
      <c r="C21" s="2199"/>
      <c r="D21" s="2199"/>
    </row>
    <row r="22" spans="1:4">
      <c r="A22" s="2199"/>
      <c r="B22" s="2199"/>
      <c r="C22" s="2199"/>
      <c r="D22" s="2199"/>
    </row>
    <row r="23" spans="1:4">
      <c r="A23" s="2199"/>
      <c r="B23" s="2199"/>
      <c r="C23" s="2199"/>
      <c r="D23" s="2199"/>
    </row>
    <row r="24" spans="1:4">
      <c r="A24" s="2199"/>
      <c r="B24" s="2199"/>
      <c r="C24" s="2199"/>
      <c r="D24" s="2199"/>
    </row>
    <row r="25" spans="1:4">
      <c r="A25" s="2199"/>
      <c r="B25" s="2199"/>
      <c r="C25" s="2199"/>
      <c r="D25" s="2199"/>
    </row>
    <row r="26" spans="1:4">
      <c r="A26" s="2199"/>
      <c r="B26" s="2199"/>
      <c r="C26" s="2199"/>
      <c r="D26" s="2199"/>
    </row>
    <row r="27" spans="1:4">
      <c r="A27" s="53" t="s">
        <v>161</v>
      </c>
      <c r="B27" s="52"/>
      <c r="C27" s="53" t="s">
        <v>160</v>
      </c>
      <c r="D27" s="52"/>
    </row>
    <row r="28" spans="1:4">
      <c r="A28" s="53" t="s">
        <v>159</v>
      </c>
      <c r="B28" s="2215"/>
      <c r="C28" s="2216"/>
      <c r="D28" s="2217"/>
    </row>
    <row r="29" spans="1:4">
      <c r="A29" s="54" t="s">
        <v>158</v>
      </c>
      <c r="B29" s="2215"/>
      <c r="C29" s="2216"/>
      <c r="D29" s="2217"/>
    </row>
    <row r="30" spans="1:4">
      <c r="A30" s="53" t="s">
        <v>157</v>
      </c>
      <c r="B30" s="52"/>
      <c r="C30" s="53" t="s">
        <v>156</v>
      </c>
      <c r="D30" s="52"/>
    </row>
    <row r="31" spans="1:4">
      <c r="A31" s="53" t="s">
        <v>155</v>
      </c>
      <c r="B31" s="52"/>
      <c r="C31" s="53" t="s">
        <v>154</v>
      </c>
      <c r="D31" s="52"/>
    </row>
    <row r="32" spans="1:4">
      <c r="A32" s="2203" t="s">
        <v>153</v>
      </c>
      <c r="B32" s="2204"/>
      <c r="C32" s="2204"/>
      <c r="D32" s="2205"/>
    </row>
    <row r="33" spans="1:4">
      <c r="A33" s="2218"/>
      <c r="B33" s="2219"/>
      <c r="C33" s="2219"/>
      <c r="D33" s="2220"/>
    </row>
    <row r="34" spans="1:4">
      <c r="A34" s="2221"/>
      <c r="B34" s="2222"/>
      <c r="C34" s="2222"/>
      <c r="D34" s="2223"/>
    </row>
    <row r="35" spans="1:4" ht="27" customHeight="1">
      <c r="A35" s="2224"/>
      <c r="B35" s="2225"/>
      <c r="C35" s="2225"/>
      <c r="D35" s="2226"/>
    </row>
    <row r="36" spans="1:4">
      <c r="A36" s="2203" t="s">
        <v>152</v>
      </c>
      <c r="B36" s="2204"/>
      <c r="C36" s="2204"/>
      <c r="D36" s="2205"/>
    </row>
    <row r="37" spans="1:4" ht="15" customHeight="1">
      <c r="A37" s="2206"/>
      <c r="B37" s="2207"/>
      <c r="C37" s="2207"/>
      <c r="D37" s="2208"/>
    </row>
    <row r="38" spans="1:4">
      <c r="A38" s="2209"/>
      <c r="B38" s="2210"/>
      <c r="C38" s="2210"/>
      <c r="D38" s="2211"/>
    </row>
    <row r="39" spans="1:4">
      <c r="A39" s="2209"/>
      <c r="B39" s="2210"/>
      <c r="C39" s="2210"/>
      <c r="D39" s="2211"/>
    </row>
    <row r="40" spans="1:4" ht="41" customHeight="1">
      <c r="A40" s="2212"/>
      <c r="B40" s="2213"/>
      <c r="C40" s="2213"/>
      <c r="D40" s="2214"/>
    </row>
    <row r="42" spans="1:4">
      <c r="A42" s="51" t="s">
        <v>105</v>
      </c>
    </row>
  </sheetData>
  <sheetProtection algorithmName="SHA-512" hashValue="rL/6hvjUa6ubdnVxELeuw7t0bdk5c+EK8l7IHMwsvEUywLoHtr1IPoZjA8ObLLoeGv+37gPSW4ye2aFUrT2SFA==" saltValue="3vlqNbHmwHbxWd/echimWA==" spinCount="100000" sheet="1" objects="1" scenarios="1"/>
  <mergeCells count="20">
    <mergeCell ref="A36:D36"/>
    <mergeCell ref="A37:D40"/>
    <mergeCell ref="A17:B26"/>
    <mergeCell ref="C17:D26"/>
    <mergeCell ref="B28:D28"/>
    <mergeCell ref="B29:D29"/>
    <mergeCell ref="A32:D32"/>
    <mergeCell ref="A33:D35"/>
    <mergeCell ref="A11:D11"/>
    <mergeCell ref="A12:D12"/>
    <mergeCell ref="A13:D13"/>
    <mergeCell ref="A14:D14"/>
    <mergeCell ref="A16:B16"/>
    <mergeCell ref="C16:D16"/>
    <mergeCell ref="A10:D10"/>
    <mergeCell ref="B3:C3"/>
    <mergeCell ref="A6:C6"/>
    <mergeCell ref="A7:D7"/>
    <mergeCell ref="A8:D8"/>
    <mergeCell ref="A9:D9"/>
  </mergeCells>
  <pageMargins left="0.7" right="0.7" top="0.78740157499999996" bottom="0.78740157499999996" header="0.3" footer="0.3"/>
  <pageSetup paperSize="9" scale="46" orientation="portrait" r:id="rId1"/>
  <headerFooter>
    <oddFooter>&amp;LDok.-Nr./Rev./Datum
F01         /  03   / 04.12.2020
&amp;F&amp;C&amp;U&amp;A&amp;RSeite &amp;P / &amp;N</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B158F-B6DA-4E02-AD61-C8861E630912}">
  <sheetPr codeName="Admin_Address">
    <tabColor theme="7" tint="0.79995117038483843"/>
  </sheetPr>
  <dimension ref="A1:H59"/>
  <sheetViews>
    <sheetView workbookViewId="0">
      <selection activeCell="C8" sqref="C8"/>
    </sheetView>
  </sheetViews>
  <sheetFormatPr baseColWidth="10" defaultColWidth="9.1640625" defaultRowHeight="15"/>
  <cols>
    <col min="1" max="1" width="2" style="89" customWidth="1"/>
    <col min="2" max="2" width="42.6640625" style="89" customWidth="1"/>
    <col min="3" max="3" width="88" style="89" customWidth="1"/>
    <col min="4" max="4" width="4" style="89" customWidth="1"/>
    <col min="5" max="13" width="9.1640625" style="89"/>
    <col min="14" max="14" width="22.33203125" style="89" customWidth="1"/>
    <col min="15" max="16384" width="9.1640625" style="89"/>
  </cols>
  <sheetData>
    <row r="1" spans="1:4" ht="16.5" customHeight="1" thickBot="1">
      <c r="A1" s="190"/>
      <c r="B1" s="459"/>
      <c r="C1" s="459"/>
      <c r="D1" s="459"/>
    </row>
    <row r="2" spans="1:4" ht="5.25" customHeight="1" thickTop="1">
      <c r="A2" s="190"/>
      <c r="B2" s="190"/>
      <c r="C2" s="190"/>
      <c r="D2" s="190"/>
    </row>
    <row r="3" spans="1:4" ht="21">
      <c r="A3" s="190"/>
      <c r="B3" s="2046" t="str">
        <f>Dictionary!B245&amp;": "&amp;COV!E6&amp;", "&amp;COV!E7</f>
        <v xml:space="preserve">Rechnungsanschrift: , </v>
      </c>
      <c r="C3" s="2046"/>
      <c r="D3" s="2046"/>
    </row>
    <row r="5" spans="1:4">
      <c r="B5" s="2072" t="str">
        <f>IF(F56="",Dictionary!B298,"")</f>
        <v>Bitte alle Felder ausfüllen, die mit Stern * gekennzeichnet sind!</v>
      </c>
      <c r="C5" s="2072"/>
      <c r="D5" s="2072"/>
    </row>
    <row r="7" spans="1:4" ht="16">
      <c r="B7" s="2071" t="str">
        <f>Dictionary!B293</f>
        <v>Abweichende Rechnungsanschrift (abweichend von der Adresse, mit der Sie angemeldet sind)</v>
      </c>
      <c r="C7" s="2071"/>
    </row>
    <row r="8" spans="1:4" ht="17">
      <c r="B8" s="1348" t="str">
        <f>Dictionary!B283</f>
        <v>Firma:</v>
      </c>
      <c r="C8" s="1347"/>
    </row>
    <row r="9" spans="1:4" ht="17">
      <c r="B9" s="1348" t="str">
        <f>Dictionary!B284</f>
        <v>Abteilung:</v>
      </c>
      <c r="C9" s="1347"/>
    </row>
    <row r="10" spans="1:4" ht="17">
      <c r="B10" s="1348" t="str">
        <f>Dictionary!B285</f>
        <v>Straße:</v>
      </c>
      <c r="C10" s="1347"/>
      <c r="D10" s="89" t="s">
        <v>3216</v>
      </c>
    </row>
    <row r="11" spans="1:4" ht="17">
      <c r="B11" s="1348" t="str">
        <f>Dictionary!B286</f>
        <v>Hausnummer:</v>
      </c>
      <c r="C11" s="1347"/>
      <c r="D11" s="89" t="s">
        <v>3216</v>
      </c>
    </row>
    <row r="12" spans="1:4" ht="17">
      <c r="B12" s="1348" t="str">
        <f>Dictionary!B287</f>
        <v>PLZ:</v>
      </c>
      <c r="C12" s="1347"/>
      <c r="D12" s="89" t="s">
        <v>3216</v>
      </c>
    </row>
    <row r="13" spans="1:4" ht="17">
      <c r="B13" s="1348" t="str">
        <f>Dictionary!B288</f>
        <v>Ort:</v>
      </c>
      <c r="C13" s="1347"/>
      <c r="D13" s="89" t="s">
        <v>3216</v>
      </c>
    </row>
    <row r="14" spans="1:4" ht="17">
      <c r="B14" s="1348" t="str">
        <f>Dictionary!B289</f>
        <v>Land:</v>
      </c>
      <c r="C14" s="1347" t="s">
        <v>3121</v>
      </c>
      <c r="D14" s="89" t="s">
        <v>3216</v>
      </c>
    </row>
    <row r="15" spans="1:4" ht="17">
      <c r="B15" s="1348" t="str">
        <f>Dictionary!B290</f>
        <v>Bestellnummer (falls vorhanden):</v>
      </c>
      <c r="C15" s="1347"/>
    </row>
    <row r="16" spans="1:4" ht="17">
      <c r="B16" s="1348" t="str">
        <f>Dictionary!B291</f>
        <v>GPM-Mitgliedsnummer (falls vorhanden):</v>
      </c>
      <c r="C16" s="1347"/>
    </row>
    <row r="17" spans="2:8" ht="16">
      <c r="B17" s="1349"/>
      <c r="C17" s="1349"/>
    </row>
    <row r="18" spans="2:8" ht="16">
      <c r="B18" s="2071" t="str">
        <f>Dictionary!B294</f>
        <v>Abweichende Liefer/Leistungsadresse (falls erforderlich)</v>
      </c>
      <c r="C18" s="2071"/>
    </row>
    <row r="19" spans="2:8" ht="17">
      <c r="B19" s="1348" t="str">
        <f>Dictionary!B283</f>
        <v>Firma:</v>
      </c>
      <c r="C19" s="1347"/>
    </row>
    <row r="20" spans="2:8" ht="17">
      <c r="B20" s="1348" t="str">
        <f>Dictionary!B284</f>
        <v>Abteilung:</v>
      </c>
      <c r="C20" s="1347"/>
    </row>
    <row r="21" spans="2:8" ht="17">
      <c r="B21" s="1348" t="str">
        <f>Dictionary!B285</f>
        <v>Straße:</v>
      </c>
      <c r="C21" s="1347"/>
      <c r="D21" s="89" t="str">
        <f>IF(AND($C$19="",$C$20="",$C$21="",$C$22="",$C$23="",$C$24=""),"","*")</f>
        <v/>
      </c>
    </row>
    <row r="22" spans="2:8" ht="17">
      <c r="B22" s="1348" t="str">
        <f>Dictionary!B286</f>
        <v>Hausnummer:</v>
      </c>
      <c r="C22" s="1347"/>
      <c r="D22" s="89" t="str">
        <f t="shared" ref="D22:D25" si="0">IF(AND($C$19="",$C$20="",$C$21="",$C$22="",$C$23="",$C$24=""),"","*")</f>
        <v/>
      </c>
    </row>
    <row r="23" spans="2:8" ht="17">
      <c r="B23" s="1348" t="str">
        <f>Dictionary!B287</f>
        <v>PLZ:</v>
      </c>
      <c r="C23" s="1347"/>
      <c r="D23" s="89" t="str">
        <f t="shared" si="0"/>
        <v/>
      </c>
    </row>
    <row r="24" spans="2:8" ht="17">
      <c r="B24" s="1348" t="str">
        <f>Dictionary!B288</f>
        <v>Ort:</v>
      </c>
      <c r="C24" s="1347"/>
      <c r="D24" s="89" t="str">
        <f t="shared" si="0"/>
        <v/>
      </c>
    </row>
    <row r="25" spans="2:8" ht="17">
      <c r="B25" s="1348" t="str">
        <f>Dictionary!B289</f>
        <v>Land:</v>
      </c>
      <c r="C25" s="1347" t="s">
        <v>3121</v>
      </c>
      <c r="D25" s="89" t="str">
        <f t="shared" si="0"/>
        <v/>
      </c>
    </row>
    <row r="26" spans="2:8" ht="16">
      <c r="B26" s="1349"/>
      <c r="C26" s="1349"/>
    </row>
    <row r="27" spans="2:8" ht="16" thickBot="1"/>
    <row r="28" spans="2:8" ht="99.75" customHeight="1" thickBot="1">
      <c r="B28" s="2069" t="str">
        <f>Dictionary!B296</f>
        <v>Bitte beachten: 
Es ist zwingend erforderlich die korrekte und vollständige Rechungsanschrift anzugeben.  
Für Rechnungskorrekturen wird eine Gebühr lt. Gebührenliste fällig.
Die Rechnungsanforderung Ihrer Firma ist beim Upload der Dokumente mit einzureichen.</v>
      </c>
      <c r="C28" s="2070"/>
    </row>
    <row r="30" spans="2:8" ht="17" thickBot="1">
      <c r="B30" s="460"/>
      <c r="C30" s="460"/>
      <c r="D30" s="460"/>
    </row>
    <row r="31" spans="2:8" ht="16">
      <c r="B31" s="190"/>
      <c r="C31" s="190"/>
      <c r="D31" s="465" t="s">
        <v>105</v>
      </c>
    </row>
    <row r="32" spans="2:8" ht="16">
      <c r="B32" s="190"/>
      <c r="C32" s="190"/>
      <c r="D32" s="190"/>
      <c r="E32" s="190"/>
      <c r="F32" s="190"/>
      <c r="G32" s="190"/>
      <c r="H32" s="190"/>
    </row>
    <row r="33" spans="2:8" ht="16">
      <c r="B33" s="190"/>
      <c r="C33" s="190"/>
      <c r="D33" s="190"/>
      <c r="E33" s="190"/>
      <c r="F33" s="190"/>
      <c r="G33" s="190"/>
      <c r="H33" s="190"/>
    </row>
    <row r="50" spans="6:7" hidden="1"/>
    <row r="51" spans="6:7" hidden="1">
      <c r="F51" s="1350" t="s">
        <v>3222</v>
      </c>
      <c r="G51" s="1350"/>
    </row>
    <row r="52" spans="6:7" hidden="1">
      <c r="F52" s="1350" t="str">
        <f>IF(AND($C$10&lt;&gt;"",$C$11&lt;&gt;"",$C$12&lt;&gt;"",$C$13&lt;&gt;"",$C$14&lt;&gt;""),"X","")</f>
        <v/>
      </c>
      <c r="G52" s="1350"/>
    </row>
    <row r="53" spans="6:7" hidden="1">
      <c r="F53" s="1350" t="s">
        <v>3221</v>
      </c>
      <c r="G53" s="1350"/>
    </row>
    <row r="54" spans="6:7" hidden="1">
      <c r="F54" s="1350" t="str">
        <f>IF(AND($C$21&lt;&gt;"",$C$22&lt;&gt;"",$C$23&lt;&gt;"",$C$24&lt;&gt;""),"X","")</f>
        <v/>
      </c>
      <c r="G54" s="1350"/>
    </row>
    <row r="55" spans="6:7" hidden="1">
      <c r="F55" s="1350" t="s">
        <v>3220</v>
      </c>
      <c r="G55" s="1350"/>
    </row>
    <row r="56" spans="6:7" hidden="1">
      <c r="F56" s="1350" t="str">
        <f>IF((D21&amp;D22&amp;D23&amp;D24)="",F52,IF(OR(F52="",F54=""),"","X"))</f>
        <v/>
      </c>
      <c r="G56" s="1350"/>
    </row>
    <row r="57" spans="6:7" hidden="1"/>
    <row r="58" spans="6:7" hidden="1"/>
    <row r="59" spans="6:7" hidden="1"/>
  </sheetData>
  <sheetProtection algorithmName="SHA-512" hashValue="Ev1QHAAU0KebG/ycOuvW5d4SA8GLeXGpvZOvCS5LM16tcyqObTld/T2fRkkhlL4MyCt0fmw2CHjHRv1ivJ0WNw==" saltValue="i9CG8csHFCcxaCE0ROBnrg==" spinCount="100000" sheet="1" objects="1" scenarios="1" selectLockedCells="1"/>
  <mergeCells count="5">
    <mergeCell ref="B3:D3"/>
    <mergeCell ref="B28:C28"/>
    <mergeCell ref="B18:C18"/>
    <mergeCell ref="B5:D5"/>
    <mergeCell ref="B7:C7"/>
  </mergeCells>
  <conditionalFormatting sqref="C8:C16 C19:C25">
    <cfRule type="notContainsBlanks" dxfId="453" priority="1">
      <formula>LEN(TRIM(C8))&gt;0</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Dictionary!$B$308:$B$502</xm:f>
          </x14:formula1>
          <xm:sqref>C14 C25</xm:sqref>
        </x14:dataValidation>
      </x14:dataValidations>
    </ext>
  </extLs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B00CE-F694-4E04-8BD5-9E2D8FB20CFC}">
  <sheetPr codeName="Sheet19">
    <tabColor theme="9"/>
  </sheetPr>
  <dimension ref="B1:E68"/>
  <sheetViews>
    <sheetView topLeftCell="A4" zoomScale="130" zoomScaleNormal="130" workbookViewId="0">
      <selection activeCell="B19" sqref="B19:E19"/>
    </sheetView>
  </sheetViews>
  <sheetFormatPr baseColWidth="10" defaultColWidth="11.5" defaultRowHeight="15"/>
  <cols>
    <col min="1" max="1" width="2.5" style="89" customWidth="1"/>
    <col min="2" max="2" width="45.5" style="89" customWidth="1"/>
    <col min="3" max="3" width="22.83203125" style="89" customWidth="1"/>
    <col min="4" max="4" width="32" style="89" customWidth="1"/>
    <col min="5" max="5" width="22.83203125" style="89" customWidth="1"/>
    <col min="6" max="6" width="3.1640625" style="89" customWidth="1"/>
    <col min="7" max="7" width="20" style="89" customWidth="1"/>
    <col min="8" max="9" width="11.5" style="89"/>
    <col min="10" max="10" width="8.5" style="89" customWidth="1"/>
    <col min="11" max="16384" width="11.5" style="89"/>
  </cols>
  <sheetData>
    <row r="1" spans="2:5" ht="15.75" customHeight="1" thickBot="1">
      <c r="B1" s="497" t="str">
        <f ca="1">COV!C20</f>
        <v>DECKBLATT BITTE VOLLSTÄNDIG AUSFÜLLEN!</v>
      </c>
      <c r="C1" s="459"/>
      <c r="D1" s="459"/>
      <c r="E1" s="459"/>
    </row>
    <row r="2" spans="2:5" ht="5.25" customHeight="1" thickTop="1"/>
    <row r="3" spans="2:5" ht="21">
      <c r="B3" s="2046" t="str">
        <f>Dictionary!B614&amp;'(7b) Project List'!A24</f>
        <v>Steckbrief für Management Erfahrung 16</v>
      </c>
      <c r="C3" s="2046"/>
      <c r="D3" s="2046"/>
      <c r="E3" s="2046"/>
    </row>
    <row r="4" spans="2:5" ht="21">
      <c r="B4" s="488"/>
      <c r="C4" s="488"/>
      <c r="D4" s="488"/>
      <c r="E4" s="488"/>
    </row>
    <row r="5" spans="2:5" ht="21">
      <c r="B5" s="489" t="str">
        <f>EXP!B5</f>
        <v xml:space="preserve"> , Level A, Projekt Management, Erstzertifizierung</v>
      </c>
      <c r="C5" s="490"/>
      <c r="D5" s="490"/>
      <c r="E5" s="490"/>
    </row>
    <row r="7" spans="2:5">
      <c r="B7" s="2013" t="str">
        <f>Dictionary!B618</f>
        <v>Kopfzeile</v>
      </c>
      <c r="C7" s="2013"/>
      <c r="D7" s="2013"/>
      <c r="E7" s="2013"/>
    </row>
    <row r="8" spans="2:5" ht="16.5" customHeight="1">
      <c r="B8" s="503" t="str">
        <f>EXP!D24&amp;" "&amp;Dictionary!B615</f>
        <v xml:space="preserve"> Name </v>
      </c>
      <c r="C8" s="504" t="str">
        <f>IF('(7b) Project List'!B24="","",'(7b) Project List'!B24)</f>
        <v/>
      </c>
      <c r="D8" s="508" t="str">
        <f>EXP!D24&amp;" "&amp;Dictionary!B616</f>
        <v xml:space="preserve"> Nummer </v>
      </c>
      <c r="E8" s="509"/>
    </row>
    <row r="9" spans="2:5" ht="16.5" customHeight="1">
      <c r="B9" s="510" t="str">
        <f>Dictionary!B617</f>
        <v>Kunde/AuftraggeberIn:</v>
      </c>
      <c r="C9" s="2138"/>
      <c r="D9" s="2138"/>
      <c r="E9" s="511"/>
    </row>
    <row r="10" spans="2:5" ht="16.5" customHeight="1"/>
    <row r="11" spans="2:5" ht="16.5" customHeight="1">
      <c r="B11" s="2013" t="str">
        <f>Dictionary!B620</f>
        <v>Governance &amp; eigene Rolle</v>
      </c>
      <c r="C11" s="2013"/>
      <c r="D11" s="2013"/>
      <c r="E11" s="2013"/>
    </row>
    <row r="12" spans="2:5" ht="16.5" customHeight="1">
      <c r="B12" s="503" t="str">
        <f>Dictionary!B621</f>
        <v>Eigene Rolle:</v>
      </c>
      <c r="C12" s="504" t="str">
        <f>IF('(7b) Project List'!E24="","",'(7b) Project List'!E24)</f>
        <v/>
      </c>
      <c r="D12" s="2130" t="str">
        <f>Dictionary!B622</f>
        <v>Anmerkungen:</v>
      </c>
      <c r="E12" s="2131"/>
    </row>
    <row r="13" spans="2:5" ht="16.5" customHeight="1">
      <c r="B13" s="505" t="str">
        <f>Dictionary!B623</f>
        <v>Verantwortung für den Umfang/die Ergebnisse:</v>
      </c>
      <c r="C13" s="506"/>
      <c r="D13" s="2142"/>
      <c r="E13" s="2143"/>
    </row>
    <row r="14" spans="2:5" ht="16.5" customHeight="1">
      <c r="B14" s="505" t="str">
        <f>Dictionary!B624</f>
        <v>Verantwortung für die Terminplanung:</v>
      </c>
      <c r="C14" s="506"/>
      <c r="D14" s="2142"/>
      <c r="E14" s="2143"/>
    </row>
    <row r="15" spans="2:5" ht="16.5" customHeight="1">
      <c r="B15" s="505" t="str">
        <f>Dictionary!B625</f>
        <v>Verantwortung für das Budget:</v>
      </c>
      <c r="C15" s="506"/>
      <c r="D15" s="2142"/>
      <c r="E15" s="2143"/>
    </row>
    <row r="16" spans="2:5" ht="16.5" customHeight="1">
      <c r="B16" s="561" t="str">
        <f>EXP!D24&amp;" "&amp;Dictionary!B627</f>
        <v xml:space="preserve"> Typ</v>
      </c>
      <c r="C16" s="507"/>
      <c r="D16" s="2142"/>
      <c r="E16" s="2143"/>
    </row>
    <row r="17" spans="2:5" ht="16.5" customHeight="1">
      <c r="B17" s="561" t="str">
        <f>Dictionary!B626</f>
        <v>Art der PM Organisation</v>
      </c>
      <c r="C17" s="507"/>
      <c r="D17" s="2142"/>
      <c r="E17" s="2143"/>
    </row>
    <row r="18" spans="2:5" ht="16.5" customHeight="1">
      <c r="B18" s="2139" t="str">
        <f>Dictionary!B628</f>
        <v>Kurze Beschreibung Ihrer eigenen Rolle, Verantwortung und Aktivitäten; wem sind Sie unterstellt?</v>
      </c>
      <c r="C18" s="2140"/>
      <c r="D18" s="2140"/>
      <c r="E18" s="2141"/>
    </row>
    <row r="19" spans="2:5" ht="57" customHeight="1">
      <c r="B19" s="2149"/>
      <c r="C19" s="2150"/>
      <c r="D19" s="2150"/>
      <c r="E19" s="2151"/>
    </row>
    <row r="20" spans="2:5" ht="18" customHeight="1"/>
    <row r="21" spans="2:5" ht="16.5" customHeight="1">
      <c r="B21" s="2013" t="str">
        <f>Dictionary!B630</f>
        <v>Allgemeine Informationen und Beschreibung</v>
      </c>
      <c r="C21" s="2013"/>
      <c r="D21" s="2013"/>
      <c r="E21" s="2013"/>
    </row>
    <row r="22" spans="2:5" ht="16.5" customHeight="1">
      <c r="B22" s="2157" t="str">
        <f>Dictionary!B631</f>
        <v>Kurze Beschreibung der KPI, Ergebnisse und Liefergegenstände:</v>
      </c>
      <c r="C22" s="2158"/>
      <c r="D22" s="2158"/>
      <c r="E22" s="2159"/>
    </row>
    <row r="23" spans="2:5" ht="57" customHeight="1">
      <c r="B23" s="2160"/>
      <c r="C23" s="2161"/>
      <c r="D23" s="2161"/>
      <c r="E23" s="2162"/>
    </row>
    <row r="24" spans="2:5" ht="16.5" customHeight="1">
      <c r="B24" s="2139" t="str">
        <f>Dictionary!B632</f>
        <v>Kurze Beschreibung des Umfangs und der Ziele, für die Sie verantwortlich sind:</v>
      </c>
      <c r="C24" s="2140"/>
      <c r="D24" s="2140"/>
      <c r="E24" s="2141"/>
    </row>
    <row r="25" spans="2:5" ht="57" customHeight="1">
      <c r="B25" s="2160"/>
      <c r="C25" s="2161"/>
      <c r="D25" s="2161"/>
      <c r="E25" s="2162"/>
    </row>
    <row r="26" spans="2:5" ht="16.5" customHeight="1">
      <c r="B26" s="2139" t="str">
        <f>Dictionary!B633</f>
        <v>Informationen über erhebliche Planabweichungen und/oder kritische Managementsituationen:</v>
      </c>
      <c r="C26" s="2140"/>
      <c r="D26" s="2140"/>
      <c r="E26" s="2141"/>
    </row>
    <row r="27" spans="2:5" ht="54.75" customHeight="1">
      <c r="B27" s="2146"/>
      <c r="C27" s="2152"/>
      <c r="D27" s="2152"/>
      <c r="E27" s="2153"/>
    </row>
    <row r="28" spans="2:5" ht="18" customHeight="1"/>
    <row r="29" spans="2:5" ht="18" customHeight="1">
      <c r="B29" s="2013" t="str">
        <f>EXP!D24&amp;" "&amp;Dictionary!B635</f>
        <v xml:space="preserve"> Planung</v>
      </c>
      <c r="C29" s="2013"/>
      <c r="D29" s="2013"/>
      <c r="E29" s="2013"/>
    </row>
    <row r="30" spans="2:5" ht="16.5" customHeight="1">
      <c r="B30" s="512" t="str">
        <f>Dictionary!B636</f>
        <v>Beginn des Vorhabens:</v>
      </c>
      <c r="C30" s="513" t="str">
        <f>C31</f>
        <v/>
      </c>
      <c r="D30" s="508" t="str">
        <f>Dictionary!B642</f>
        <v>Ende des Vorhabens:</v>
      </c>
      <c r="E30" s="514" t="str">
        <f>E31</f>
        <v/>
      </c>
    </row>
    <row r="31" spans="2:5" ht="16.5" customHeight="1">
      <c r="B31" s="515" t="str">
        <f>Dictionary!B637</f>
        <v>Ihr Beginn in dieser Rolle:</v>
      </c>
      <c r="C31" s="516" t="str">
        <f>IF('(7b) Project List'!F24="","",'(7b) Project List'!F24)</f>
        <v/>
      </c>
      <c r="D31" s="517" t="str">
        <f>Dictionary!B643</f>
        <v>Ende Ihrer Beteiligung:</v>
      </c>
      <c r="E31" s="518" t="str">
        <f>IF('(7b) Project List'!G24="","",'(7b) Project List'!G24)</f>
        <v/>
      </c>
    </row>
    <row r="32" spans="2:5" ht="16.5" customHeight="1">
      <c r="B32" s="2139" t="str">
        <f>IF(ISNUMBER(SEARCH("ortfolio",B29)),Dictionary!B640,Dictionary!B638)</f>
        <v>Phasen:</v>
      </c>
      <c r="C32" s="2140"/>
      <c r="D32" s="2140" t="str">
        <f>IF(ISNUMBER(SEARCH("ortfolio",B29)),Dictionary!B641,Dictionary!B639)</f>
        <v>Meilensteine:</v>
      </c>
      <c r="E32" s="2141"/>
    </row>
    <row r="33" spans="2:5">
      <c r="B33" s="2154"/>
      <c r="C33" s="2142"/>
      <c r="D33" s="2133"/>
      <c r="E33" s="2143"/>
    </row>
    <row r="34" spans="2:5">
      <c r="B34" s="2155"/>
      <c r="C34" s="2142"/>
      <c r="D34" s="2142"/>
      <c r="E34" s="2143"/>
    </row>
    <row r="35" spans="2:5">
      <c r="B35" s="2155"/>
      <c r="C35" s="2142"/>
      <c r="D35" s="2142"/>
      <c r="E35" s="2143"/>
    </row>
    <row r="36" spans="2:5">
      <c r="B36" s="2155"/>
      <c r="C36" s="2142"/>
      <c r="D36" s="2142"/>
      <c r="E36" s="2143"/>
    </row>
    <row r="37" spans="2:5">
      <c r="B37" s="2155"/>
      <c r="C37" s="2142"/>
      <c r="D37" s="2142"/>
      <c r="E37" s="2143"/>
    </row>
    <row r="38" spans="2:5">
      <c r="B38" s="2155"/>
      <c r="C38" s="2142"/>
      <c r="D38" s="2142"/>
      <c r="E38" s="2143"/>
    </row>
    <row r="39" spans="2:5">
      <c r="B39" s="2155"/>
      <c r="C39" s="2142"/>
      <c r="D39" s="2142"/>
      <c r="E39" s="2143"/>
    </row>
    <row r="40" spans="2:5">
      <c r="B40" s="2155"/>
      <c r="C40" s="2142"/>
      <c r="D40" s="2142"/>
      <c r="E40" s="2143"/>
    </row>
    <row r="41" spans="2:5">
      <c r="B41" s="2155"/>
      <c r="C41" s="2142"/>
      <c r="D41" s="2142"/>
      <c r="E41" s="2143"/>
    </row>
    <row r="42" spans="2:5">
      <c r="B42" s="2156"/>
      <c r="C42" s="2150"/>
      <c r="D42" s="2150"/>
      <c r="E42" s="2151"/>
    </row>
    <row r="44" spans="2:5" ht="18" customHeight="1">
      <c r="B44" s="2132" t="str">
        <f>IF(PMO_MODE="",Dictionary!B645,IF(ISNUMBER(FIND(EXP!C42,B8)),Dictionary!B646,Dictionary!B645))</f>
        <v>Ressourcen, für die Sie direkt verantwortlich sind</v>
      </c>
      <c r="C44" s="2132"/>
      <c r="D44" s="2132"/>
      <c r="E44" s="2132"/>
    </row>
    <row r="45" spans="2:5" ht="16.5" customHeight="1">
      <c r="B45" s="519"/>
      <c r="C45" s="524" t="str">
        <f>Dictionary!B647</f>
        <v>Wert</v>
      </c>
      <c r="D45" s="2130" t="str">
        <f>Dictionary!B648</f>
        <v>Anmerkungen</v>
      </c>
      <c r="E45" s="2131"/>
    </row>
    <row r="46" spans="2:5" ht="16">
      <c r="B46" s="520" t="str">
        <f>Dictionary!B649</f>
        <v>Anzahl der Ihnen direkt unterstellten Teammitglieder:</v>
      </c>
      <c r="C46" s="1720"/>
      <c r="D46" s="2133"/>
      <c r="E46" s="2134"/>
    </row>
    <row r="47" spans="2:5" ht="32">
      <c r="B47" s="520" t="str">
        <f>Dictionary!B650</f>
        <v>Anzahl der Mitglieder des Teams gemäß dem Organigramm (inkl. Sie selbst):</v>
      </c>
      <c r="C47" s="1720"/>
      <c r="D47" s="2133"/>
      <c r="E47" s="2134"/>
    </row>
    <row r="48" spans="2:5" ht="16.5" customHeight="1">
      <c r="B48" s="521" t="str">
        <f>Dictionary!B651</f>
        <v>Gesamtaufwand [Personentage]:</v>
      </c>
      <c r="C48" s="1720"/>
      <c r="D48" s="2133"/>
      <c r="E48" s="2134"/>
    </row>
    <row r="49" spans="2:5" ht="16.5" customHeight="1">
      <c r="B49" s="522" t="str">
        <f>Dictionary!B652</f>
        <v>Externer Arbeitsaufwand [Personentage]:</v>
      </c>
      <c r="C49" s="1720"/>
      <c r="D49" s="2133"/>
      <c r="E49" s="2134"/>
    </row>
    <row r="50" spans="2:5" ht="16.5" customHeight="1">
      <c r="B50" s="522" t="str">
        <f>Dictionary!B653</f>
        <v>Interner Arbeitsaufwand [Personentage]:</v>
      </c>
      <c r="C50" s="1720"/>
      <c r="D50" s="2133"/>
      <c r="E50" s="2134"/>
    </row>
    <row r="51" spans="2:5" ht="16.5" customHeight="1">
      <c r="B51" s="522" t="str">
        <f>Dictionary!B654</f>
        <v>Enthaltener PM-Aufwand [Personentage]:</v>
      </c>
      <c r="C51" s="1720"/>
      <c r="D51" s="2133"/>
      <c r="E51" s="2134"/>
    </row>
    <row r="52" spans="2:5" ht="16.5" customHeight="1">
      <c r="B52" s="522" t="str">
        <f>Dictionary!B655</f>
        <v>Budget (Aufwand) unter Ihrer Verantwortung [€]:</v>
      </c>
      <c r="C52" s="1721"/>
      <c r="D52" s="2133"/>
      <c r="E52" s="2134"/>
    </row>
    <row r="53" spans="2:5" ht="16.5" customHeight="1">
      <c r="B53" s="523" t="str">
        <f>Dictionary!B656</f>
        <v>Budget (Sachmittel) unter Ihrer Verantwortung [€]:</v>
      </c>
      <c r="C53" s="1722"/>
      <c r="D53" s="2144"/>
      <c r="E53" s="2145"/>
    </row>
    <row r="54" spans="2:5" ht="16.5" customHeight="1">
      <c r="B54" s="1615" t="str">
        <f>Dictionary!B657</f>
        <v>Gesamtbudget unter Ihrer Verantwortung [€]:</v>
      </c>
      <c r="C54" s="1723">
        <f>C52+C53</f>
        <v>0</v>
      </c>
      <c r="D54" s="1724"/>
      <c r="E54" s="1725"/>
    </row>
    <row r="55" spans="2:5" ht="18" customHeight="1"/>
    <row r="56" spans="2:5" ht="18" customHeight="1">
      <c r="B56" s="2013" t="str">
        <f>Dictionary!B658</f>
        <v xml:space="preserve">Anmerkungen </v>
      </c>
      <c r="C56" s="2013"/>
      <c r="D56" s="2013"/>
      <c r="E56" s="2013"/>
    </row>
    <row r="57" spans="2:5" ht="16.5" customHeight="1">
      <c r="B57" s="2157" t="str">
        <f>Dictionary!B659</f>
        <v>Anmerkungen zur Komplexität:</v>
      </c>
      <c r="C57" s="2158"/>
      <c r="D57" s="2158"/>
      <c r="E57" s="2159"/>
    </row>
    <row r="58" spans="2:5">
      <c r="B58" s="2135"/>
      <c r="C58" s="2136"/>
      <c r="D58" s="2136"/>
      <c r="E58" s="2137"/>
    </row>
    <row r="59" spans="2:5">
      <c r="B59" s="2135"/>
      <c r="C59" s="2136"/>
      <c r="D59" s="2136"/>
      <c r="E59" s="2137"/>
    </row>
    <row r="60" spans="2:5" ht="27" customHeight="1">
      <c r="B60" s="2135"/>
      <c r="C60" s="2136"/>
      <c r="D60" s="2136"/>
      <c r="E60" s="2137"/>
    </row>
    <row r="61" spans="2:5" ht="16.5" customHeight="1">
      <c r="B61" s="2139" t="str">
        <f>Dictionary!B660</f>
        <v>Allgemeine Anmerkungen:</v>
      </c>
      <c r="C61" s="2140"/>
      <c r="D61" s="2140"/>
      <c r="E61" s="2141"/>
    </row>
    <row r="62" spans="2:5" ht="15" customHeight="1">
      <c r="B62" s="2135"/>
      <c r="C62" s="2136"/>
      <c r="D62" s="2136"/>
      <c r="E62" s="2137"/>
    </row>
    <row r="63" spans="2:5">
      <c r="B63" s="2135"/>
      <c r="C63" s="2136"/>
      <c r="D63" s="2136"/>
      <c r="E63" s="2137"/>
    </row>
    <row r="64" spans="2:5">
      <c r="B64" s="2135"/>
      <c r="C64" s="2136"/>
      <c r="D64" s="2136"/>
      <c r="E64" s="2137"/>
    </row>
    <row r="65" spans="2:5" ht="41" customHeight="1">
      <c r="B65" s="2146"/>
      <c r="C65" s="2147"/>
      <c r="D65" s="2147"/>
      <c r="E65" s="2148"/>
    </row>
    <row r="67" spans="2:5" ht="17" thickBot="1">
      <c r="B67" s="460"/>
      <c r="C67" s="460"/>
      <c r="D67" s="460"/>
      <c r="E67" s="460"/>
    </row>
    <row r="68" spans="2:5">
      <c r="E68" s="464" t="s">
        <v>105</v>
      </c>
    </row>
  </sheetData>
  <sheetProtection algorithmName="SHA-512" hashValue="n6e+g3VrcJJH6iQgEKLF58+LslDvTopHOrwGyK58oIAqohFvqc0SRxMo9pYAxdXWi72OkdbSEVn8CtqC4anRKA==" saltValue="SB7LTmG3s/KeuBfDc2WpvQ==" spinCount="100000" sheet="1" objects="1" scenarios="1" selectLockedCells="1"/>
  <mergeCells count="39">
    <mergeCell ref="B58:E60"/>
    <mergeCell ref="B61:E61"/>
    <mergeCell ref="B62:E65"/>
    <mergeCell ref="D50:E50"/>
    <mergeCell ref="D51:E51"/>
    <mergeCell ref="D52:E52"/>
    <mergeCell ref="D53:E53"/>
    <mergeCell ref="B56:E56"/>
    <mergeCell ref="B57:E57"/>
    <mergeCell ref="D49:E49"/>
    <mergeCell ref="B27:E27"/>
    <mergeCell ref="B29:E29"/>
    <mergeCell ref="B32:C32"/>
    <mergeCell ref="D32:E32"/>
    <mergeCell ref="B33:C42"/>
    <mergeCell ref="D33:E42"/>
    <mergeCell ref="B44:E44"/>
    <mergeCell ref="D45:E45"/>
    <mergeCell ref="D46:E46"/>
    <mergeCell ref="D47:E47"/>
    <mergeCell ref="D48:E48"/>
    <mergeCell ref="B26:E26"/>
    <mergeCell ref="D14:E14"/>
    <mergeCell ref="D15:E15"/>
    <mergeCell ref="D16:E16"/>
    <mergeCell ref="D17:E17"/>
    <mergeCell ref="B18:E18"/>
    <mergeCell ref="B19:E19"/>
    <mergeCell ref="B21:E21"/>
    <mergeCell ref="B22:E22"/>
    <mergeCell ref="B23:E23"/>
    <mergeCell ref="B24:E24"/>
    <mergeCell ref="B25:E25"/>
    <mergeCell ref="D13:E13"/>
    <mergeCell ref="B3:E3"/>
    <mergeCell ref="B7:E7"/>
    <mergeCell ref="C9:D9"/>
    <mergeCell ref="B11:E11"/>
    <mergeCell ref="D12:E12"/>
  </mergeCells>
  <conditionalFormatting sqref="C16:C17">
    <cfRule type="notContainsBlanks" dxfId="377" priority="1">
      <formula>LEN(TRIM(C16))&gt;0</formula>
    </cfRule>
  </conditionalFormatting>
  <conditionalFormatting sqref="E8 C9:D9 B19:E19 B23:E23 B25:E25 B27:E27 C30 E30 B33:E42 C46:D54 B58:E60 B62:E65">
    <cfRule type="notContainsBlanks" dxfId="376" priority="2">
      <formula>LEN(TRIM(B8))&gt;0</formula>
    </cfRule>
  </conditionalFormatting>
  <dataValidations count="7">
    <dataValidation type="whole" allowBlank="1" showInputMessage="1" showErrorMessage="1" error="EN: please enter a whole number_x000a_DE: Bitte geben Sie eine ganze Zahl ein" prompt="EN: please enter a valid number_x000a_DE: Bitte geben Sie eine plausible Zahl ein" sqref="C46" xr:uid="{00000000-0002-0000-3B00-000000000000}">
      <formula1>0</formula1>
      <formula2>1000000</formula2>
    </dataValidation>
    <dataValidation allowBlank="1" showInputMessage="1" showErrorMessage="1" error="EN: please enter a number_x000a_DE: Bitte geben Sie eine Zahl ein" prompt="EN: enter a Euro value_x000a_DE Geben Sie einen Wert in Euro an" sqref="C54" xr:uid="{00000000-0002-0000-3B00-000001000000}"/>
    <dataValidation allowBlank="1" error="EN: Enter a number _x000a_DE: Geben Sie eine Zahl ein" prompt="EN: Effort in person-days_x000a_DE: Aufwand in Personentagen" sqref="D46:E54" xr:uid="{00000000-0002-0000-3B00-000002000000}"/>
    <dataValidation type="whole" allowBlank="1" showInputMessage="1" showErrorMessage="1" error="EN: please enter a whole number_x000a_DE: Bitte geben Sie eine ganze Zahl ein" prompt="EN: please enter a valid number_x000a_DE: Bitte geben Sie eine plausible Zahl ein" sqref="C47" xr:uid="{00000000-0002-0000-3B00-000003000000}">
      <formula1>1</formula1>
      <formula2>1000000</formula2>
    </dataValidation>
    <dataValidation type="decimal" allowBlank="1" showInputMessage="1" showErrorMessage="1" error="EN: please enter a number_x000a_DE: Bitte geben Sie eine Zahl ein" prompt="EN: enter a Euro value_x000a_DE Geben Sie einen Wert in Euro an" sqref="C52:C53" xr:uid="{00000000-0002-0000-3B00-000004000000}">
      <formula1>1</formula1>
      <formula2>1000000000000</formula2>
    </dataValidation>
    <dataValidation type="decimal" allowBlank="1" showInputMessage="1" showErrorMessage="1" error="EN: Enter a number _x000a_DE: Geben Sie eine Zahl ein" prompt="EN: Effort in person-days_x000a_DE: Aufwand in Personentagen" sqref="C48:C49" xr:uid="{00000000-0002-0000-3B00-000005000000}">
      <formula1>1</formula1>
      <formula2>1000000000</formula2>
    </dataValidation>
    <dataValidation type="decimal" allowBlank="1" showInputMessage="1" showErrorMessage="1" error="EN: Enter a number_x000a_DE: Geben Sie eine Zahl ein" prompt="EN: Effort in person-days_x000a_DE: Aufwand in Personentagen" sqref="C49:C51" xr:uid="{00000000-0002-0000-3B00-000006000000}">
      <formula1>1</formula1>
      <formula2>1000000000</formula2>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3B00-000007000000}">
          <x14:formula1>
            <xm:f>'Control Values'!$B$14:$B$15</xm:f>
          </x14:formula1>
          <xm:sqref>E9</xm:sqref>
        </x14:dataValidation>
        <x14:dataValidation type="list" allowBlank="1" showInputMessage="1" showErrorMessage="1" xr:uid="{00000000-0002-0000-3B00-000008000000}">
          <x14:formula1>
            <xm:f>'Control Values'!$B$29:$B$34</xm:f>
          </x14:formula1>
          <xm:sqref>C17</xm:sqref>
        </x14:dataValidation>
        <x14:dataValidation type="list" allowBlank="1" showInputMessage="1" showErrorMessage="1" xr:uid="{00000000-0002-0000-3B00-000009000000}">
          <x14:formula1>
            <xm:f>'Control Values'!$B$23:$B$26</xm:f>
          </x14:formula1>
          <xm:sqref>C16</xm:sqref>
        </x14:dataValidation>
        <x14:dataValidation type="list" allowBlank="1" showInputMessage="1" showErrorMessage="1" xr:uid="{00000000-0002-0000-3B00-00000A000000}">
          <x14:formula1>
            <xm:f>'Control Values'!$B$18:$B$19</xm:f>
          </x14:formula1>
          <xm:sqref>C13:C15</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B24D9-F38B-4E2F-907E-EF9F15DFED44}">
  <sheetPr codeName="Sheet88">
    <tabColor theme="9"/>
  </sheetPr>
  <dimension ref="A1:S60"/>
  <sheetViews>
    <sheetView zoomScale="80" zoomScaleNormal="80" workbookViewId="0">
      <selection activeCell="C10" sqref="C10"/>
    </sheetView>
  </sheetViews>
  <sheetFormatPr baseColWidth="10" defaultColWidth="11.5" defaultRowHeight="15"/>
  <cols>
    <col min="1" max="1" width="8.6640625" style="89" customWidth="1"/>
    <col min="2" max="2" width="11.5" style="89" customWidth="1"/>
    <col min="3" max="3" width="44.33203125" style="89" customWidth="1"/>
    <col min="4" max="4" width="23.1640625" style="89" customWidth="1"/>
    <col min="5" max="5" width="37.5" style="89" customWidth="1"/>
    <col min="6" max="6" width="32" style="89" customWidth="1"/>
    <col min="7" max="7" width="11.6640625" style="89" customWidth="1"/>
    <col min="8" max="11" width="32" style="89" customWidth="1"/>
    <col min="12" max="13" width="32.5" style="89" customWidth="1"/>
    <col min="14" max="14" width="26.1640625" style="89" customWidth="1"/>
    <col min="15" max="15" width="20" style="89" customWidth="1"/>
    <col min="16" max="17" width="11.5" style="89"/>
    <col min="18" max="18" width="8.5" style="89" customWidth="1"/>
    <col min="19" max="16384" width="11.5" style="89"/>
  </cols>
  <sheetData>
    <row r="1" spans="1:19" ht="19.5" customHeight="1" thickBot="1">
      <c r="B1" s="497" t="str">
        <f ca="1">COV!C20</f>
        <v>DECKBLATT BITTE VOLLSTÄNDIG AUSFÜLLEN!</v>
      </c>
      <c r="C1" s="459"/>
      <c r="D1" s="459"/>
      <c r="E1" s="459"/>
      <c r="F1" s="459"/>
      <c r="G1" s="459"/>
      <c r="H1" s="459"/>
      <c r="I1" s="459"/>
      <c r="J1" s="459"/>
      <c r="K1" s="459"/>
      <c r="L1" s="459"/>
      <c r="M1" s="459"/>
    </row>
    <row r="2" spans="1:19" ht="5.25" customHeight="1" thickTop="1"/>
    <row r="3" spans="1:19" ht="21">
      <c r="B3" s="2046" t="str">
        <f>Dictionary!B663&amp;" "&amp;'(7b) Project List'!A24&amp;", "&amp;EXP!D24&amp;": "&amp;EXP!C24</f>
        <v xml:space="preserve">Projektliste für Eintrag 16, : </v>
      </c>
      <c r="C3" s="2046"/>
      <c r="D3" s="2046"/>
      <c r="E3" s="2046"/>
      <c r="F3" s="2046"/>
      <c r="G3" s="2046"/>
      <c r="H3" s="2046"/>
      <c r="I3" s="2046"/>
      <c r="J3" s="2046"/>
      <c r="K3" s="2046"/>
      <c r="L3" s="2046"/>
      <c r="M3" s="2046"/>
    </row>
    <row r="4" spans="1:19" ht="21">
      <c r="B4" s="488"/>
      <c r="C4" s="488"/>
      <c r="D4" s="488"/>
      <c r="E4" s="488"/>
      <c r="F4" s="488"/>
      <c r="G4" s="488"/>
      <c r="H4" s="488"/>
      <c r="I4" s="488"/>
      <c r="J4" s="488"/>
      <c r="K4" s="488"/>
      <c r="L4" s="488"/>
      <c r="M4" s="488"/>
    </row>
    <row r="5" spans="1:19" ht="21">
      <c r="B5" s="489" t="str">
        <f>EXP!B5</f>
        <v xml:space="preserve"> , Level A, Projekt Management, Erstzertifizierung</v>
      </c>
      <c r="C5" s="490"/>
      <c r="D5" s="490"/>
      <c r="E5" s="490"/>
      <c r="F5" s="490"/>
      <c r="G5" s="490"/>
      <c r="H5" s="490"/>
      <c r="I5" s="490"/>
      <c r="J5" s="490"/>
      <c r="K5" s="490"/>
      <c r="L5" s="490"/>
      <c r="M5" s="490"/>
    </row>
    <row r="6" spans="1:19" ht="15" customHeight="1">
      <c r="A6" s="1284"/>
      <c r="B6" s="554"/>
      <c r="C6" s="554"/>
      <c r="D6" s="554"/>
      <c r="E6" s="554"/>
      <c r="F6" s="554"/>
      <c r="G6" s="554"/>
      <c r="H6" s="554"/>
      <c r="I6" s="554"/>
      <c r="J6" s="554"/>
      <c r="K6" s="554"/>
      <c r="L6" s="554"/>
      <c r="M6" s="554"/>
      <c r="N6" s="554"/>
      <c r="O6" s="554"/>
      <c r="P6" s="554"/>
      <c r="Q6" s="554"/>
      <c r="R6" s="554"/>
      <c r="S6" s="554"/>
    </row>
    <row r="7" spans="1:19" ht="24">
      <c r="A7" s="1284"/>
      <c r="B7" s="2171" t="str">
        <f>Dictionary!B665</f>
        <v>Nr.</v>
      </c>
      <c r="C7" s="2166" t="str">
        <f>Dictionary!B666</f>
        <v>Projektname</v>
      </c>
      <c r="D7" s="2166" t="str">
        <f>Dictionary!B667</f>
        <v>PM Domäne</v>
      </c>
      <c r="E7" s="2166" t="s">
        <v>269</v>
      </c>
      <c r="F7" s="2166" t="str">
        <f>Dictionary!B676</f>
        <v>Projekt- / Programm Typ</v>
      </c>
      <c r="G7" s="2173" t="str">
        <f>Dictionary!B677</f>
        <v>Strategisch</v>
      </c>
      <c r="H7" s="2166" t="str">
        <f>Dictionary!B670</f>
        <v>Dauer</v>
      </c>
      <c r="I7" s="2166"/>
      <c r="J7" s="2166" t="str">
        <f>Dictionary!B671</f>
        <v>Gesamtaufwand [Personentage]:</v>
      </c>
      <c r="K7" s="2166"/>
      <c r="L7" s="2166" t="str">
        <f>Dictionary!B672</f>
        <v>Gesamtbudget [€]:</v>
      </c>
      <c r="M7" s="2175"/>
      <c r="N7" s="554"/>
      <c r="O7" s="554"/>
      <c r="P7" s="554"/>
      <c r="Q7" s="554"/>
      <c r="R7" s="554"/>
      <c r="S7" s="554"/>
    </row>
    <row r="8" spans="1:19" ht="24">
      <c r="A8" s="1284"/>
      <c r="B8" s="2172"/>
      <c r="C8" s="2167"/>
      <c r="D8" s="2167"/>
      <c r="E8" s="2167"/>
      <c r="F8" s="2167"/>
      <c r="G8" s="2174"/>
      <c r="H8" s="1305" t="str">
        <f>Dictionary!B668</f>
        <v>Startdatum</v>
      </c>
      <c r="I8" s="1305" t="str">
        <f>Dictionary!B669</f>
        <v>Endtermin</v>
      </c>
      <c r="J8" s="1305" t="str">
        <f>Dictionary!B673</f>
        <v>geplant</v>
      </c>
      <c r="K8" s="1305" t="str">
        <f>Dictionary!B674</f>
        <v>realisiert</v>
      </c>
      <c r="L8" s="1305" t="str">
        <f>Dictionary!B673</f>
        <v>geplant</v>
      </c>
      <c r="M8" s="1306" t="str">
        <f>Dictionary!B674</f>
        <v>realisiert</v>
      </c>
      <c r="N8" s="554"/>
      <c r="O8" s="554"/>
      <c r="P8" s="554"/>
      <c r="Q8" s="554"/>
      <c r="R8" s="554"/>
      <c r="S8" s="554"/>
    </row>
    <row r="9" spans="1:19" ht="24" hidden="1">
      <c r="A9" s="1284"/>
      <c r="B9" s="1304" t="s">
        <v>2826</v>
      </c>
      <c r="C9" s="1297" t="s">
        <v>2827</v>
      </c>
      <c r="D9" s="1297" t="s">
        <v>2837</v>
      </c>
      <c r="E9" s="1297" t="s">
        <v>2828</v>
      </c>
      <c r="F9" s="1297" t="s">
        <v>2829</v>
      </c>
      <c r="G9" s="1298" t="s">
        <v>2830</v>
      </c>
      <c r="H9" s="1299" t="s">
        <v>2831</v>
      </c>
      <c r="I9" s="1299" t="s">
        <v>2832</v>
      </c>
      <c r="J9" s="1300" t="s">
        <v>2833</v>
      </c>
      <c r="K9" s="1300" t="s">
        <v>2834</v>
      </c>
      <c r="L9" s="1300" t="s">
        <v>2835</v>
      </c>
      <c r="M9" s="1300" t="s">
        <v>2836</v>
      </c>
      <c r="N9" s="554"/>
      <c r="O9" s="554"/>
      <c r="P9" s="554"/>
      <c r="Q9" s="554"/>
      <c r="R9" s="554"/>
      <c r="S9" s="554"/>
    </row>
    <row r="10" spans="1:19" ht="24">
      <c r="A10" s="1284"/>
      <c r="B10" s="1292">
        <v>1</v>
      </c>
      <c r="C10" s="1291"/>
      <c r="D10" s="1291"/>
      <c r="E10" s="1291"/>
      <c r="F10" s="1291"/>
      <c r="G10" s="1296"/>
      <c r="H10" s="1307"/>
      <c r="I10" s="1308"/>
      <c r="J10" s="1321"/>
      <c r="K10" s="1321"/>
      <c r="L10" s="1293"/>
      <c r="M10" s="1293"/>
      <c r="N10" s="554"/>
      <c r="O10" s="554"/>
      <c r="P10" s="554"/>
      <c r="Q10" s="554"/>
      <c r="R10" s="554"/>
      <c r="S10" s="554"/>
    </row>
    <row r="11" spans="1:19" ht="24">
      <c r="A11" s="1284"/>
      <c r="B11" s="1292">
        <v>2</v>
      </c>
      <c r="C11" s="1291"/>
      <c r="D11" s="1291"/>
      <c r="E11" s="1291"/>
      <c r="F11" s="1291"/>
      <c r="G11" s="1296"/>
      <c r="H11" s="1309"/>
      <c r="I11" s="1310"/>
      <c r="J11" s="1321"/>
      <c r="K11" s="1321"/>
      <c r="L11" s="1293"/>
      <c r="M11" s="1293"/>
      <c r="N11" s="554"/>
      <c r="O11" s="554"/>
      <c r="P11" s="554"/>
      <c r="Q11" s="554"/>
      <c r="R11" s="554"/>
      <c r="S11" s="554"/>
    </row>
    <row r="12" spans="1:19" ht="24">
      <c r="A12" s="1284"/>
      <c r="B12" s="1292">
        <v>3</v>
      </c>
      <c r="C12" s="1291"/>
      <c r="D12" s="1291"/>
      <c r="E12" s="1291"/>
      <c r="F12" s="1291"/>
      <c r="G12" s="1296"/>
      <c r="H12" s="1309"/>
      <c r="I12" s="1310"/>
      <c r="J12" s="1321"/>
      <c r="K12" s="1321"/>
      <c r="L12" s="1293"/>
      <c r="M12" s="1293"/>
      <c r="N12" s="554"/>
      <c r="O12" s="554"/>
      <c r="P12" s="554"/>
      <c r="Q12" s="554"/>
      <c r="R12" s="554"/>
      <c r="S12" s="554"/>
    </row>
    <row r="13" spans="1:19" ht="24">
      <c r="A13" s="1284"/>
      <c r="B13" s="1292">
        <v>4</v>
      </c>
      <c r="C13" s="1291"/>
      <c r="D13" s="1291"/>
      <c r="E13" s="1291"/>
      <c r="F13" s="1291"/>
      <c r="G13" s="1296"/>
      <c r="H13" s="1309"/>
      <c r="I13" s="1310"/>
      <c r="J13" s="1321"/>
      <c r="K13" s="1321"/>
      <c r="L13" s="1293"/>
      <c r="M13" s="1293"/>
      <c r="N13" s="554"/>
      <c r="O13" s="554"/>
      <c r="P13" s="554"/>
      <c r="Q13" s="554"/>
      <c r="R13" s="554"/>
      <c r="S13" s="554"/>
    </row>
    <row r="14" spans="1:19" ht="24">
      <c r="A14" s="1284"/>
      <c r="B14" s="1292">
        <v>5</v>
      </c>
      <c r="C14" s="1291"/>
      <c r="D14" s="1291"/>
      <c r="E14" s="1291"/>
      <c r="F14" s="1291"/>
      <c r="G14" s="1296"/>
      <c r="H14" s="1309"/>
      <c r="I14" s="1310"/>
      <c r="J14" s="1321"/>
      <c r="K14" s="1321"/>
      <c r="L14" s="1293"/>
      <c r="M14" s="1293"/>
      <c r="N14" s="554"/>
      <c r="O14" s="554"/>
      <c r="P14" s="554"/>
      <c r="Q14" s="554"/>
      <c r="R14" s="554"/>
      <c r="S14" s="554"/>
    </row>
    <row r="15" spans="1:19" ht="24">
      <c r="A15" s="1284"/>
      <c r="B15" s="1292">
        <v>6</v>
      </c>
      <c r="C15" s="1291"/>
      <c r="D15" s="1291"/>
      <c r="E15" s="1291"/>
      <c r="F15" s="1291"/>
      <c r="G15" s="1296"/>
      <c r="H15" s="1309"/>
      <c r="I15" s="1310"/>
      <c r="J15" s="1321"/>
      <c r="K15" s="1321"/>
      <c r="L15" s="1293"/>
      <c r="M15" s="1293"/>
      <c r="N15" s="554"/>
      <c r="O15" s="554"/>
      <c r="P15" s="554"/>
      <c r="Q15" s="554"/>
      <c r="R15" s="554"/>
      <c r="S15" s="554"/>
    </row>
    <row r="16" spans="1:19" ht="24">
      <c r="A16" s="1284"/>
      <c r="B16" s="1292">
        <v>7</v>
      </c>
      <c r="C16" s="1291"/>
      <c r="D16" s="1291"/>
      <c r="E16" s="1291"/>
      <c r="F16" s="1291"/>
      <c r="G16" s="1296"/>
      <c r="H16" s="1309"/>
      <c r="I16" s="1310"/>
      <c r="J16" s="1321"/>
      <c r="K16" s="1321"/>
      <c r="L16" s="1293"/>
      <c r="M16" s="1293"/>
      <c r="N16" s="554"/>
      <c r="O16" s="554"/>
      <c r="P16" s="554"/>
      <c r="Q16" s="554"/>
      <c r="R16" s="554"/>
      <c r="S16" s="554"/>
    </row>
    <row r="17" spans="1:19" ht="24">
      <c r="A17" s="1284"/>
      <c r="B17" s="1292">
        <v>8</v>
      </c>
      <c r="C17" s="1291"/>
      <c r="D17" s="1291"/>
      <c r="E17" s="1291"/>
      <c r="F17" s="1291"/>
      <c r="G17" s="1296"/>
      <c r="H17" s="1309"/>
      <c r="I17" s="1310"/>
      <c r="J17" s="1321"/>
      <c r="K17" s="1321"/>
      <c r="L17" s="1293"/>
      <c r="M17" s="1293"/>
      <c r="N17" s="554"/>
      <c r="O17" s="554"/>
      <c r="P17" s="554"/>
      <c r="Q17" s="554"/>
      <c r="R17" s="554"/>
      <c r="S17" s="554"/>
    </row>
    <row r="18" spans="1:19" ht="24">
      <c r="A18" s="1284"/>
      <c r="B18" s="1292">
        <v>9</v>
      </c>
      <c r="C18" s="1291"/>
      <c r="D18" s="1291"/>
      <c r="E18" s="1291"/>
      <c r="F18" s="1291"/>
      <c r="G18" s="1296"/>
      <c r="H18" s="1309"/>
      <c r="I18" s="1310"/>
      <c r="J18" s="1321"/>
      <c r="K18" s="1321"/>
      <c r="L18" s="1293"/>
      <c r="M18" s="1293"/>
      <c r="N18" s="554"/>
      <c r="O18" s="554"/>
      <c r="P18" s="554"/>
      <c r="Q18" s="554"/>
      <c r="R18" s="554"/>
      <c r="S18" s="554"/>
    </row>
    <row r="19" spans="1:19" ht="24">
      <c r="A19" s="1284"/>
      <c r="B19" s="1292">
        <v>10</v>
      </c>
      <c r="C19" s="1291"/>
      <c r="D19" s="1291"/>
      <c r="E19" s="1291"/>
      <c r="F19" s="1291"/>
      <c r="G19" s="1296"/>
      <c r="H19" s="1309"/>
      <c r="I19" s="1310"/>
      <c r="J19" s="1321"/>
      <c r="K19" s="1321"/>
      <c r="L19" s="1293"/>
      <c r="M19" s="1293"/>
      <c r="N19" s="554"/>
      <c r="O19" s="554"/>
      <c r="P19" s="554"/>
      <c r="Q19" s="554"/>
      <c r="R19" s="554"/>
      <c r="S19" s="554"/>
    </row>
    <row r="20" spans="1:19" ht="24">
      <c r="A20" s="1284"/>
      <c r="B20" s="1292">
        <v>11</v>
      </c>
      <c r="C20" s="1291"/>
      <c r="D20" s="1291"/>
      <c r="E20" s="1291"/>
      <c r="F20" s="1291"/>
      <c r="G20" s="1296"/>
      <c r="H20" s="1309"/>
      <c r="I20" s="1310"/>
      <c r="J20" s="1321"/>
      <c r="K20" s="1321"/>
      <c r="L20" s="1293"/>
      <c r="M20" s="1293"/>
      <c r="N20" s="554"/>
      <c r="O20" s="554"/>
      <c r="P20" s="554"/>
      <c r="Q20" s="554"/>
      <c r="R20" s="554"/>
      <c r="S20" s="554"/>
    </row>
    <row r="21" spans="1:19" ht="24">
      <c r="A21" s="1284"/>
      <c r="B21" s="1292">
        <v>12</v>
      </c>
      <c r="C21" s="1291"/>
      <c r="D21" s="1291"/>
      <c r="E21" s="1291"/>
      <c r="F21" s="1291"/>
      <c r="G21" s="1296"/>
      <c r="H21" s="1309"/>
      <c r="I21" s="1310"/>
      <c r="J21" s="1321"/>
      <c r="K21" s="1321"/>
      <c r="L21" s="1293"/>
      <c r="M21" s="1293"/>
      <c r="N21" s="554"/>
      <c r="O21" s="554"/>
      <c r="P21" s="554"/>
      <c r="Q21" s="554"/>
      <c r="R21" s="554"/>
      <c r="S21" s="554"/>
    </row>
    <row r="22" spans="1:19" ht="24">
      <c r="A22" s="1284"/>
      <c r="B22" s="1292">
        <v>13</v>
      </c>
      <c r="C22" s="1291"/>
      <c r="D22" s="1291"/>
      <c r="E22" s="1291"/>
      <c r="F22" s="1291"/>
      <c r="G22" s="1296"/>
      <c r="H22" s="1309"/>
      <c r="I22" s="1310"/>
      <c r="J22" s="1321"/>
      <c r="K22" s="1321"/>
      <c r="L22" s="1293"/>
      <c r="M22" s="1293"/>
      <c r="N22" s="554"/>
      <c r="O22" s="554"/>
      <c r="P22" s="554"/>
      <c r="Q22" s="554"/>
      <c r="R22" s="554"/>
      <c r="S22" s="554"/>
    </row>
    <row r="23" spans="1:19" ht="24">
      <c r="A23" s="1284"/>
      <c r="B23" s="1292">
        <v>14</v>
      </c>
      <c r="C23" s="1291"/>
      <c r="D23" s="1291"/>
      <c r="E23" s="1291"/>
      <c r="F23" s="1291"/>
      <c r="G23" s="1296"/>
      <c r="H23" s="1309"/>
      <c r="I23" s="1310"/>
      <c r="J23" s="1321"/>
      <c r="K23" s="1321"/>
      <c r="L23" s="1293"/>
      <c r="M23" s="1293"/>
      <c r="N23" s="554"/>
      <c r="O23" s="554"/>
      <c r="P23" s="554"/>
      <c r="Q23" s="554"/>
      <c r="R23" s="554"/>
      <c r="S23" s="554"/>
    </row>
    <row r="24" spans="1:19" ht="24">
      <c r="A24" s="1284"/>
      <c r="B24" s="1292">
        <v>15</v>
      </c>
      <c r="C24" s="1291"/>
      <c r="D24" s="1291"/>
      <c r="E24" s="1291"/>
      <c r="F24" s="1291"/>
      <c r="G24" s="1296"/>
      <c r="H24" s="1309"/>
      <c r="I24" s="1310"/>
      <c r="J24" s="1321"/>
      <c r="K24" s="1321"/>
      <c r="L24" s="1293"/>
      <c r="M24" s="1293"/>
      <c r="N24" s="554"/>
      <c r="O24" s="554"/>
      <c r="P24" s="554"/>
      <c r="Q24" s="554"/>
      <c r="R24" s="554"/>
      <c r="S24" s="554"/>
    </row>
    <row r="25" spans="1:19" ht="24">
      <c r="A25" s="1284"/>
      <c r="B25" s="1292">
        <v>16</v>
      </c>
      <c r="C25" s="1291"/>
      <c r="D25" s="1291"/>
      <c r="E25" s="1291"/>
      <c r="F25" s="1291"/>
      <c r="G25" s="1296"/>
      <c r="H25" s="1309"/>
      <c r="I25" s="1310"/>
      <c r="J25" s="1321"/>
      <c r="K25" s="1321"/>
      <c r="L25" s="1293"/>
      <c r="M25" s="1293"/>
      <c r="N25" s="554"/>
      <c r="O25" s="554"/>
      <c r="P25" s="554"/>
      <c r="Q25" s="554"/>
      <c r="R25" s="554"/>
      <c r="S25" s="554"/>
    </row>
    <row r="26" spans="1:19" ht="24">
      <c r="A26" s="1284"/>
      <c r="B26" s="1292">
        <v>17</v>
      </c>
      <c r="C26" s="1291"/>
      <c r="D26" s="1291"/>
      <c r="E26" s="1291"/>
      <c r="F26" s="1291"/>
      <c r="G26" s="1296"/>
      <c r="H26" s="1309"/>
      <c r="I26" s="1310"/>
      <c r="J26" s="1321"/>
      <c r="K26" s="1321"/>
      <c r="L26" s="1293"/>
      <c r="M26" s="1293"/>
      <c r="N26" s="554"/>
      <c r="O26" s="554"/>
      <c r="P26" s="554"/>
      <c r="Q26" s="554"/>
      <c r="R26" s="554"/>
      <c r="S26" s="554"/>
    </row>
    <row r="27" spans="1:19" ht="24">
      <c r="A27" s="1284"/>
      <c r="B27" s="1292">
        <v>18</v>
      </c>
      <c r="C27" s="1291"/>
      <c r="D27" s="1291"/>
      <c r="E27" s="1291"/>
      <c r="F27" s="1291"/>
      <c r="G27" s="1296"/>
      <c r="H27" s="1309"/>
      <c r="I27" s="1310"/>
      <c r="J27" s="1321"/>
      <c r="K27" s="1321"/>
      <c r="L27" s="1293"/>
      <c r="M27" s="1293"/>
      <c r="N27" s="554"/>
      <c r="O27" s="554"/>
      <c r="P27" s="554"/>
      <c r="Q27" s="554"/>
      <c r="R27" s="554"/>
      <c r="S27" s="554"/>
    </row>
    <row r="28" spans="1:19" ht="24">
      <c r="A28" s="1284"/>
      <c r="B28" s="1292">
        <v>19</v>
      </c>
      <c r="C28" s="1291"/>
      <c r="D28" s="1291"/>
      <c r="E28" s="1291"/>
      <c r="F28" s="1291"/>
      <c r="G28" s="1296"/>
      <c r="H28" s="1309"/>
      <c r="I28" s="1310"/>
      <c r="J28" s="1321"/>
      <c r="K28" s="1321"/>
      <c r="L28" s="1293"/>
      <c r="M28" s="1293"/>
      <c r="N28" s="554"/>
      <c r="O28" s="554"/>
      <c r="P28" s="554"/>
      <c r="Q28" s="554"/>
      <c r="R28" s="554"/>
      <c r="S28" s="554"/>
    </row>
    <row r="29" spans="1:19" ht="24">
      <c r="A29" s="1284"/>
      <c r="B29" s="1292">
        <v>20</v>
      </c>
      <c r="C29" s="1291"/>
      <c r="D29" s="1291"/>
      <c r="E29" s="1291"/>
      <c r="F29" s="1291"/>
      <c r="G29" s="1296"/>
      <c r="H29" s="1309"/>
      <c r="I29" s="1310"/>
      <c r="J29" s="1321"/>
      <c r="K29" s="1321"/>
      <c r="L29" s="1293"/>
      <c r="M29" s="1293"/>
      <c r="N29" s="554"/>
      <c r="O29" s="554"/>
      <c r="P29" s="554"/>
      <c r="Q29" s="554"/>
      <c r="R29" s="554"/>
      <c r="S29" s="554"/>
    </row>
    <row r="30" spans="1:19" ht="24">
      <c r="A30" s="1284"/>
      <c r="B30" s="1292">
        <v>21</v>
      </c>
      <c r="C30" s="1291"/>
      <c r="D30" s="1291"/>
      <c r="E30" s="1291"/>
      <c r="F30" s="1291"/>
      <c r="G30" s="1296"/>
      <c r="H30" s="1309"/>
      <c r="I30" s="1310"/>
      <c r="J30" s="1321"/>
      <c r="K30" s="1321"/>
      <c r="L30" s="1293"/>
      <c r="M30" s="1293"/>
      <c r="N30" s="554"/>
      <c r="O30" s="554"/>
      <c r="P30" s="554"/>
      <c r="Q30" s="554"/>
      <c r="R30" s="554"/>
      <c r="S30" s="554"/>
    </row>
    <row r="31" spans="1:19" ht="24">
      <c r="A31" s="1284"/>
      <c r="B31" s="1292">
        <v>22</v>
      </c>
      <c r="C31" s="1291"/>
      <c r="D31" s="1291"/>
      <c r="E31" s="1291"/>
      <c r="F31" s="1291"/>
      <c r="G31" s="1296"/>
      <c r="H31" s="1309"/>
      <c r="I31" s="1310"/>
      <c r="J31" s="1321"/>
      <c r="K31" s="1321"/>
      <c r="L31" s="1293"/>
      <c r="M31" s="1293"/>
      <c r="N31" s="554"/>
      <c r="O31" s="554"/>
      <c r="P31" s="554"/>
      <c r="Q31" s="554"/>
      <c r="R31" s="554"/>
      <c r="S31" s="554"/>
    </row>
    <row r="32" spans="1:19" ht="24">
      <c r="A32" s="1284"/>
      <c r="B32" s="1292">
        <v>23</v>
      </c>
      <c r="C32" s="1291"/>
      <c r="D32" s="1291"/>
      <c r="E32" s="1291"/>
      <c r="F32" s="1291"/>
      <c r="G32" s="1296"/>
      <c r="H32" s="1309"/>
      <c r="I32" s="1310"/>
      <c r="J32" s="1321"/>
      <c r="K32" s="1321"/>
      <c r="L32" s="1293"/>
      <c r="M32" s="1293"/>
      <c r="N32" s="554"/>
      <c r="O32" s="554"/>
      <c r="P32" s="554"/>
      <c r="Q32" s="554"/>
      <c r="R32" s="554"/>
      <c r="S32" s="554"/>
    </row>
    <row r="33" spans="1:19" ht="24">
      <c r="A33" s="1284"/>
      <c r="B33" s="1292">
        <v>24</v>
      </c>
      <c r="C33" s="1291"/>
      <c r="D33" s="1291"/>
      <c r="E33" s="1291"/>
      <c r="F33" s="1291"/>
      <c r="G33" s="1296"/>
      <c r="H33" s="1309"/>
      <c r="I33" s="1310"/>
      <c r="J33" s="1321"/>
      <c r="K33" s="1321"/>
      <c r="L33" s="1293"/>
      <c r="M33" s="1293"/>
      <c r="N33" s="554"/>
      <c r="O33" s="554"/>
      <c r="P33" s="554"/>
      <c r="Q33" s="554"/>
      <c r="R33" s="554"/>
      <c r="S33" s="554"/>
    </row>
    <row r="34" spans="1:19" ht="24">
      <c r="A34" s="1284"/>
      <c r="B34" s="1292">
        <v>25</v>
      </c>
      <c r="C34" s="1291"/>
      <c r="D34" s="1291"/>
      <c r="E34" s="1291"/>
      <c r="F34" s="1291"/>
      <c r="G34" s="1296"/>
      <c r="H34" s="1309"/>
      <c r="I34" s="1310"/>
      <c r="J34" s="1321"/>
      <c r="K34" s="1321"/>
      <c r="L34" s="1293"/>
      <c r="M34" s="1293"/>
      <c r="N34" s="554"/>
      <c r="O34" s="554"/>
      <c r="P34" s="554"/>
      <c r="Q34" s="554"/>
      <c r="R34" s="554"/>
      <c r="S34" s="554"/>
    </row>
    <row r="35" spans="1:19" ht="24">
      <c r="A35" s="1284"/>
      <c r="B35" s="1292">
        <v>26</v>
      </c>
      <c r="C35" s="1291"/>
      <c r="D35" s="1291"/>
      <c r="E35" s="1291"/>
      <c r="F35" s="1291"/>
      <c r="G35" s="1296"/>
      <c r="H35" s="1309"/>
      <c r="I35" s="1310"/>
      <c r="J35" s="1321"/>
      <c r="K35" s="1321"/>
      <c r="L35" s="1293"/>
      <c r="M35" s="1293"/>
      <c r="N35" s="554"/>
      <c r="O35" s="554"/>
      <c r="P35" s="554"/>
      <c r="Q35" s="554"/>
      <c r="R35" s="554"/>
      <c r="S35" s="554"/>
    </row>
    <row r="36" spans="1:19" ht="24">
      <c r="A36" s="1284"/>
      <c r="B36" s="1292">
        <v>27</v>
      </c>
      <c r="C36" s="1291"/>
      <c r="D36" s="1291"/>
      <c r="E36" s="1291"/>
      <c r="F36" s="1291"/>
      <c r="G36" s="1296"/>
      <c r="H36" s="1309"/>
      <c r="I36" s="1310"/>
      <c r="J36" s="1321"/>
      <c r="K36" s="1321"/>
      <c r="L36" s="1293"/>
      <c r="M36" s="1293"/>
      <c r="N36" s="554"/>
      <c r="O36" s="554"/>
      <c r="P36" s="554"/>
      <c r="Q36" s="554"/>
      <c r="R36" s="554"/>
      <c r="S36" s="554"/>
    </row>
    <row r="37" spans="1:19" ht="24">
      <c r="A37" s="1284"/>
      <c r="B37" s="1292">
        <v>28</v>
      </c>
      <c r="C37" s="1291"/>
      <c r="D37" s="1291"/>
      <c r="E37" s="1291"/>
      <c r="F37" s="1291"/>
      <c r="G37" s="1296"/>
      <c r="H37" s="1309"/>
      <c r="I37" s="1310"/>
      <c r="J37" s="1321"/>
      <c r="K37" s="1321"/>
      <c r="L37" s="1293"/>
      <c r="M37" s="1293"/>
      <c r="N37" s="554"/>
      <c r="O37" s="554"/>
      <c r="P37" s="554"/>
      <c r="Q37" s="554"/>
      <c r="R37" s="554"/>
      <c r="S37" s="554"/>
    </row>
    <row r="38" spans="1:19" ht="24">
      <c r="A38" s="1284"/>
      <c r="B38" s="1292">
        <v>29</v>
      </c>
      <c r="C38" s="1291"/>
      <c r="D38" s="1291"/>
      <c r="E38" s="1291"/>
      <c r="F38" s="1291"/>
      <c r="G38" s="1296"/>
      <c r="H38" s="1309"/>
      <c r="I38" s="1310"/>
      <c r="J38" s="1321"/>
      <c r="K38" s="1321"/>
      <c r="L38" s="1293"/>
      <c r="M38" s="1293"/>
      <c r="N38" s="554"/>
      <c r="O38" s="554"/>
      <c r="P38" s="554"/>
      <c r="Q38" s="554"/>
      <c r="R38" s="554"/>
      <c r="S38" s="554"/>
    </row>
    <row r="39" spans="1:19" ht="24">
      <c r="A39" s="1284"/>
      <c r="B39" s="1292">
        <v>30</v>
      </c>
      <c r="C39" s="1311"/>
      <c r="D39" s="1311"/>
      <c r="E39" s="1311"/>
      <c r="F39" s="1311"/>
      <c r="G39" s="1312"/>
      <c r="H39" s="1313"/>
      <c r="I39" s="1314"/>
      <c r="J39" s="1322"/>
      <c r="K39" s="1322"/>
      <c r="L39" s="1315"/>
      <c r="M39" s="1315"/>
      <c r="N39" s="554"/>
      <c r="O39" s="554"/>
      <c r="P39" s="554"/>
      <c r="Q39" s="554"/>
      <c r="R39" s="554"/>
      <c r="S39" s="554"/>
    </row>
    <row r="40" spans="1:19" ht="24">
      <c r="A40" s="1284"/>
      <c r="B40" s="1301"/>
      <c r="C40" s="2168" t="str">
        <f>Dictionary!B675</f>
        <v xml:space="preserve">Programm / Portfolio Verwaltung </v>
      </c>
      <c r="D40" s="2169"/>
      <c r="E40" s="2169"/>
      <c r="F40" s="2169"/>
      <c r="G40" s="2170"/>
      <c r="H40" s="1319"/>
      <c r="I40" s="1320"/>
      <c r="J40" s="1323"/>
      <c r="K40" s="1323"/>
      <c r="L40" s="1294"/>
      <c r="M40" s="1295"/>
      <c r="N40" s="554"/>
      <c r="O40" s="554"/>
      <c r="P40" s="554"/>
      <c r="Q40" s="554"/>
      <c r="R40" s="554"/>
      <c r="S40" s="554"/>
    </row>
    <row r="41" spans="1:19" ht="24">
      <c r="A41" s="1284"/>
      <c r="B41" s="1302"/>
      <c r="C41" s="1316"/>
      <c r="D41" s="1316"/>
      <c r="E41" s="1316"/>
      <c r="F41" s="1316"/>
      <c r="G41" s="1316"/>
      <c r="H41" s="2176" t="s">
        <v>2825</v>
      </c>
      <c r="I41" s="2176"/>
      <c r="J41" s="1317">
        <f>SUM(J9:J40)</f>
        <v>0</v>
      </c>
      <c r="K41" s="1317">
        <f>SUM(K9:K40)</f>
        <v>0</v>
      </c>
      <c r="L41" s="1318">
        <f>SUM(L9:L40)</f>
        <v>0</v>
      </c>
      <c r="M41" s="1318">
        <f>SUM(M9:M40)</f>
        <v>0</v>
      </c>
      <c r="N41" s="554"/>
      <c r="O41" s="554"/>
      <c r="P41" s="554"/>
      <c r="Q41" s="554"/>
      <c r="R41" s="554"/>
      <c r="S41" s="554"/>
    </row>
    <row r="42" spans="1:19" ht="24">
      <c r="B42" s="554"/>
      <c r="C42" s="554"/>
      <c r="D42" s="554"/>
      <c r="E42" s="554"/>
      <c r="F42" s="554"/>
      <c r="G42" s="554"/>
      <c r="H42" s="554"/>
      <c r="I42" s="554"/>
      <c r="J42" s="554"/>
      <c r="K42" s="554"/>
      <c r="L42" s="554"/>
      <c r="M42" s="554"/>
    </row>
    <row r="43" spans="1:19" ht="17" thickBot="1">
      <c r="B43" s="460"/>
      <c r="C43" s="460"/>
      <c r="D43" s="460"/>
      <c r="E43" s="460"/>
      <c r="F43" s="460"/>
      <c r="G43" s="460"/>
      <c r="H43" s="460"/>
      <c r="I43" s="460"/>
      <c r="J43" s="460"/>
      <c r="K43" s="460"/>
      <c r="L43" s="460"/>
      <c r="M43" s="460"/>
    </row>
    <row r="44" spans="1:19">
      <c r="M44" s="464" t="s">
        <v>105</v>
      </c>
    </row>
    <row r="50" spans="3:6" hidden="1"/>
    <row r="51" spans="3:6" hidden="1">
      <c r="C51" s="2163" t="s">
        <v>249</v>
      </c>
      <c r="D51" s="2164"/>
      <c r="E51" s="2164"/>
      <c r="F51" s="2165"/>
    </row>
    <row r="52" spans="3:6" hidden="1">
      <c r="C52" s="240"/>
      <c r="D52" s="172"/>
      <c r="E52" s="241"/>
      <c r="F52" s="241"/>
    </row>
    <row r="53" spans="3:6" hidden="1">
      <c r="C53" s="1905" t="s">
        <v>970</v>
      </c>
      <c r="D53" s="172" t="s">
        <v>1037</v>
      </c>
      <c r="E53" s="241"/>
      <c r="F53" s="241"/>
    </row>
    <row r="54" spans="3:6" hidden="1">
      <c r="C54" s="1906" t="s">
        <v>1024</v>
      </c>
      <c r="D54" s="172"/>
      <c r="E54" s="241"/>
      <c r="F54" s="241"/>
    </row>
    <row r="55" spans="3:6" hidden="1">
      <c r="C55" s="1907" t="s">
        <v>1025</v>
      </c>
      <c r="D55" s="172"/>
      <c r="E55" s="241"/>
      <c r="F55" s="241"/>
    </row>
    <row r="56" spans="3:6" hidden="1">
      <c r="C56" s="240"/>
      <c r="D56" s="172"/>
      <c r="E56" s="241"/>
      <c r="F56" s="241"/>
    </row>
    <row r="57" spans="3:6" hidden="1">
      <c r="C57" s="240"/>
      <c r="D57" s="172"/>
      <c r="E57" s="241"/>
      <c r="F57" s="241"/>
    </row>
    <row r="58" spans="3:6" hidden="1">
      <c r="C58" s="240"/>
      <c r="D58" s="172"/>
      <c r="E58" s="241"/>
      <c r="F58" s="241"/>
    </row>
    <row r="59" spans="3:6" hidden="1">
      <c r="C59" s="242"/>
      <c r="D59" s="1303"/>
      <c r="E59" s="185"/>
      <c r="F59" s="185"/>
    </row>
    <row r="60" spans="3:6" hidden="1"/>
  </sheetData>
  <sheetProtection algorithmName="SHA-512" hashValue="Ur2iZdPgUxJw7KZ1/OhMCSJJnUwl5QCmK0f3frexj0GxN6UT1/msW2QTwmSaRHA9sQdpCNQoUXpaM8zyvi7mgQ==" saltValue="ZyQXwIMw/pqoSluIJewkkg==" spinCount="100000" sheet="1" objects="1" scenarios="1" selectLockedCells="1"/>
  <mergeCells count="13">
    <mergeCell ref="C40:G40"/>
    <mergeCell ref="H41:I41"/>
    <mergeCell ref="C51:F51"/>
    <mergeCell ref="B3:M3"/>
    <mergeCell ref="B7:B8"/>
    <mergeCell ref="C7:C8"/>
    <mergeCell ref="D7:D8"/>
    <mergeCell ref="E7:E8"/>
    <mergeCell ref="F7:F8"/>
    <mergeCell ref="G7:G8"/>
    <mergeCell ref="H7:I7"/>
    <mergeCell ref="J7:K7"/>
    <mergeCell ref="L7:M7"/>
  </mergeCells>
  <dataValidations count="6">
    <dataValidation type="date" operator="lessThan" allowBlank="1" showInputMessage="1" showErrorMessage="1" error="EN_x000a_End must occur after start._x000a__x000a_DE_x000a_Das Ende muss nach dem Start kommen._x000a_ " sqref="H10:H40" xr:uid="{00000000-0002-0000-3C00-000000000000}">
      <formula1>I10</formula1>
    </dataValidation>
    <dataValidation type="date" operator="greaterThan" allowBlank="1" showInputMessage="1" showErrorMessage="1" error="EN_x000a_End must occur after start._x000a__x000a_DE_x000a_Das Ende muss nach dem Start kommen._x000a_ " sqref="I10:I40" xr:uid="{00000000-0002-0000-3C00-000001000000}">
      <formula1>H10</formula1>
    </dataValidation>
    <dataValidation type="list" allowBlank="1" showInputMessage="1" showErrorMessage="1" sqref="G10:G39" xr:uid="{00000000-0002-0000-3C00-000002000000}">
      <formula1>$D$53:$D$54</formula1>
    </dataValidation>
    <dataValidation type="list" allowBlank="1" showInputMessage="1" showErrorMessage="1" sqref="D10:D39" xr:uid="{00000000-0002-0000-3C00-000003000000}">
      <formula1>$C$53:$C$55</formula1>
    </dataValidation>
    <dataValidation type="whole" operator="greaterThan" allowBlank="1" showInputMessage="1" showErrorMessage="1" error="Bitte eine ganze Zahl grösser als 0 eingeben!" sqref="J9:K40 M9:M40 L10:L40" xr:uid="{00000000-0002-0000-3C00-000004000000}">
      <formula1>0</formula1>
    </dataValidation>
    <dataValidation type="whole" operator="greaterThan" allowBlank="1" showInputMessage="1" showErrorMessage="1" error="Bitte eine ganze Zahl grösser als 0 eingeben!" promptTitle="Investition" prompt="Unter Investition werden die gesamten Kosten verstanden, inkl.der personellen Aufwände." sqref="L9" xr:uid="{00000000-0002-0000-3C00-000005000000}">
      <formula1>0</formula1>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C00-000006000000}">
          <x14:formula1>
            <xm:f>'Control Values'!$B$23:$B$26</xm:f>
          </x14:formula1>
          <xm:sqref>F10:F39</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1AD07-39DC-429C-ABB6-4186F7C17F45}">
  <sheetPr codeName="Sheet44">
    <tabColor theme="9" tint="-0.24994659260841701"/>
  </sheetPr>
  <dimension ref="B1:L70"/>
  <sheetViews>
    <sheetView showGridLines="0" showZeros="0" workbookViewId="0">
      <pane xSplit="8" ySplit="9" topLeftCell="I10" activePane="bottomRight" state="frozenSplit"/>
      <selection activeCell="B109" sqref="B109"/>
      <selection pane="topRight" activeCell="B109" sqref="B109"/>
      <selection pane="bottomLeft" activeCell="B109" sqref="B109"/>
      <selection pane="bottomRight" activeCell="I11" sqref="I11"/>
    </sheetView>
  </sheetViews>
  <sheetFormatPr baseColWidth="10" defaultColWidth="10" defaultRowHeight="14"/>
  <cols>
    <col min="1" max="1" width="2.6640625" style="472" customWidth="1"/>
    <col min="2" max="2" width="5.5" style="471" customWidth="1"/>
    <col min="3" max="3" width="17.1640625" style="472" customWidth="1"/>
    <col min="4" max="4" width="46.33203125" style="472" customWidth="1"/>
    <col min="5" max="8" width="26.5" style="472" customWidth="1"/>
    <col min="9" max="10" width="11.1640625" style="471" customWidth="1"/>
    <col min="11" max="11" width="55.33203125" style="473" customWidth="1"/>
    <col min="12" max="12" width="9.6640625" style="472" customWidth="1"/>
    <col min="13" max="16384" width="10" style="472"/>
  </cols>
  <sheetData>
    <row r="1" spans="2:11" ht="20.25" customHeight="1" thickBot="1">
      <c r="B1" s="497" t="str">
        <f ca="1">COV!C20</f>
        <v>DECKBLATT BITTE VOLLSTÄNDIG AUSFÜLLEN!</v>
      </c>
      <c r="C1" s="459"/>
      <c r="D1" s="459"/>
      <c r="E1" s="459"/>
      <c r="F1" s="459"/>
      <c r="G1" s="459"/>
      <c r="H1" s="459"/>
      <c r="I1" s="459"/>
      <c r="J1" s="459"/>
      <c r="K1" s="459"/>
    </row>
    <row r="2" spans="2:11" ht="5.25" customHeight="1" thickTop="1"/>
    <row r="3" spans="2:11" ht="21">
      <c r="B3" s="2046" t="str">
        <f>Dictionary!B680&amp;'(7b) Project List'!A24&amp;IF('(7b) Project List'!B24="","",": "&amp;'(7b) Project List'!B24)</f>
        <v>Bewertung der Managementkomplexität für Erfahrung 16</v>
      </c>
      <c r="C3" s="2046"/>
      <c r="D3" s="2046"/>
      <c r="E3" s="2046"/>
      <c r="F3" s="2046"/>
      <c r="G3" s="2046"/>
      <c r="H3" s="2046"/>
      <c r="I3" s="2046"/>
      <c r="J3" s="2046"/>
      <c r="K3" s="2046"/>
    </row>
    <row r="4" spans="2:11" s="498" customFormat="1" ht="21">
      <c r="B4" s="488"/>
      <c r="C4" s="488"/>
      <c r="D4" s="488"/>
      <c r="E4" s="488"/>
      <c r="F4" s="488"/>
      <c r="G4" s="488"/>
      <c r="H4" s="488"/>
      <c r="I4" s="488"/>
      <c r="J4" s="488"/>
      <c r="K4" s="488"/>
    </row>
    <row r="5" spans="2:11" s="467" customFormat="1" ht="22.5" customHeight="1">
      <c r="B5" s="489" t="str">
        <f>EXP!B5</f>
        <v xml:space="preserve"> , Level A, Projekt Management, Erstzertifizierung</v>
      </c>
      <c r="C5" s="491"/>
      <c r="D5" s="491"/>
      <c r="E5" s="492"/>
      <c r="F5" s="491"/>
      <c r="G5" s="493"/>
      <c r="H5" s="492"/>
      <c r="I5" s="492"/>
      <c r="J5" s="492"/>
      <c r="K5" s="494"/>
    </row>
    <row r="6" spans="2:11" s="467" customFormat="1" ht="20" customHeight="1">
      <c r="B6" s="466"/>
      <c r="C6" s="468"/>
      <c r="D6" s="468"/>
      <c r="E6" s="321"/>
      <c r="F6" s="2183"/>
      <c r="G6" s="2183"/>
      <c r="H6" s="2183"/>
      <c r="I6" s="469"/>
      <c r="J6" s="470"/>
    </row>
    <row r="7" spans="2:11" ht="15" customHeight="1"/>
    <row r="8" spans="2:11" s="334" customFormat="1" ht="22.25" customHeight="1">
      <c r="B8" s="2184" t="s">
        <v>294</v>
      </c>
      <c r="C8" s="2187" t="str">
        <f>Dictionary!B681</f>
        <v>Komplexitätsindikatoren und Teilindikatoren</v>
      </c>
      <c r="D8" s="2188"/>
      <c r="E8" s="2186" t="str">
        <f>Dictionary!B682</f>
        <v>Zu bewertende Kriterien:</v>
      </c>
      <c r="F8" s="2186"/>
      <c r="G8" s="2186"/>
      <c r="H8" s="2186"/>
      <c r="I8" s="2177" t="str">
        <f>Dictionary!B683</f>
        <v>Bewertungen und Kommentare</v>
      </c>
      <c r="J8" s="2178"/>
      <c r="K8" s="2179"/>
    </row>
    <row r="9" spans="2:11" s="334" customFormat="1" ht="30" customHeight="1">
      <c r="B9" s="2185"/>
      <c r="C9" s="2189"/>
      <c r="D9" s="2190"/>
      <c r="E9" s="474" t="str">
        <f>Dictionary!B684</f>
        <v>wenig komplex   (1)</v>
      </c>
      <c r="F9" s="474" t="str">
        <f>Dictionary!B685</f>
        <v>begrenzt komplex   (2)</v>
      </c>
      <c r="G9" s="474" t="str">
        <f>Dictionary!B686</f>
        <v>komplex   (3)</v>
      </c>
      <c r="H9" s="474" t="str">
        <f>Dictionary!B687</f>
        <v>sehr komplex   (4)</v>
      </c>
      <c r="I9" s="475" t="str">
        <f>Dictionary!B689</f>
        <v>Bewerber/in</v>
      </c>
      <c r="J9" s="476" t="str">
        <f>Dictionary!B690</f>
        <v>Leitende/r Assessor/in</v>
      </c>
      <c r="K9" s="476" t="str">
        <f>Dictionary!B691</f>
        <v>Anmerkungen, Kommentare, Nachweise (fakultativ)</v>
      </c>
    </row>
    <row r="10" spans="2:11" ht="30" customHeight="1">
      <c r="B10" s="477">
        <v>1</v>
      </c>
      <c r="C10" s="2180" t="str">
        <f>Dictionary!B693</f>
        <v>Indikatoren bezogen auf die technischen Fähigkeiten</v>
      </c>
      <c r="D10" s="2181"/>
      <c r="E10" s="2181"/>
      <c r="F10" s="2181"/>
      <c r="G10" s="2181"/>
      <c r="H10" s="2182"/>
      <c r="K10" s="478"/>
    </row>
    <row r="11" spans="2:11" ht="75">
      <c r="B11" s="479">
        <f>B10+0.1</f>
        <v>1.1000000000000001</v>
      </c>
      <c r="C11" s="558" t="str">
        <f>Dictionary!B694</f>
        <v>Ziele und Ergebnisse</v>
      </c>
      <c r="D11" s="558" t="str">
        <f>Dictionary!B695</f>
        <v>Anzahl und Unterschiedlichkeit der Einzelziele unter Berücksichtigung der Ziele und Erwartungen der relevanten Stakeholder, unterschiedliche Zielkategorien: Prozessziele, Nutzungsziele (Business Case), Operationalisierbarkeit, Transparenz und Abhängigkeiten</v>
      </c>
      <c r="E11" s="557" t="str">
        <f>Dictionary!B696</f>
        <v>sehr wenige klare Ziele, alle quantitativ angegeben, operabel</v>
      </c>
      <c r="F11" s="557" t="str">
        <f>Dictionary!B697</f>
        <v>wenige Ziele, gut formuliert, wenig Zielkonflikte</v>
      </c>
      <c r="G11" s="557" t="str">
        <f>Dictionary!B698</f>
        <v>mehrere Ziele unterschiedlicher Art, teilweise unklar definiert</v>
      </c>
      <c r="H11" s="557" t="str">
        <f>Dictionary!B699</f>
        <v>viele, teilweise konkurrierende  Ziele, strategische und politische Ziele, versteckte Ziele, Nutzungsziele</v>
      </c>
      <c r="I11" s="495"/>
      <c r="J11" s="495"/>
      <c r="K11" s="496"/>
    </row>
    <row r="12" spans="2:11" ht="65">
      <c r="B12" s="479">
        <f>B11+0.1</f>
        <v>1.2000000000000002</v>
      </c>
      <c r="C12" s="558" t="str">
        <f>Dictionary!B701</f>
        <v>Aufgaben und Prozesse</v>
      </c>
      <c r="D12" s="558" t="str">
        <f>Dictionary!B702</f>
        <v>Umfang der Aufgaben, Annahmen und Randbedingungen und deren Abhängigkeiten, eingesetzte Prozesse, Tools und Methoden, eingesetzte Team- und Kommunikationsstrukturen</v>
      </c>
      <c r="E12" s="557" t="str">
        <f>Dictionary!B703</f>
        <v>bekannte Aufgabenstellung und Randbedingungen; wenige Standard-/Reportingverfahren</v>
      </c>
      <c r="F12" s="557" t="str">
        <f>Dictionary!B704</f>
        <v>mehrere Aufgaben, ergänzt durch Annahmen; Einsatz bekannter Prozesse und Tools, einige Reporting-Vorgaben</v>
      </c>
      <c r="G12" s="557" t="str">
        <f>Dictionary!B705</f>
        <v>umfangreiches System von Aufgaben und Annahmen; viele Sachfaktoren; teilweise Einsatz neuartiger Tools und Prozesse, Reporting-Vorgaben</v>
      </c>
      <c r="H12" s="557" t="str">
        <f>Dictionary!B706</f>
        <v>sehr komplexe Aufgabenstellung, umfangreiches sachliches Umfeld; erfordert den Einsatz umfangreicher Prozess- und Toolwelt, strenge Reporting-Vorgaben</v>
      </c>
      <c r="I12" s="495"/>
      <c r="J12" s="495"/>
      <c r="K12" s="496"/>
    </row>
    <row r="13" spans="2:11" ht="65">
      <c r="B13" s="479">
        <f>B12+0.1</f>
        <v>1.3000000000000003</v>
      </c>
      <c r="C13" s="558" t="str">
        <f>Dictionary!B708</f>
        <v>Ressourcen und Finanzen</v>
      </c>
      <c r="D13" s="558" t="str">
        <f>Dictionary!B709</f>
        <v>Akquisition und Bereitstellung der erforderlichen Budgets sowie deren Management; Anzahl der Geldgeber; Verfügbarkeit und Qualität der notwendigen (personellen und sonstigen) Ressourcen; Ressourcen-Management und Beschaffungsprozesse</v>
      </c>
      <c r="E13" s="557" t="str">
        <f>Dictionary!B710</f>
        <v>Budget-Ermittlung ohne Verhandlung, einfache Kostenüberwachung; Ressourcen verfügbar, geringe Ressourcenkonflikte; geringfügige Beschaffungsvorgänge</v>
      </c>
      <c r="F13" s="557" t="str">
        <f>Dictionary!B711</f>
        <v>Budget-Ermittlung und  -Verhandlung; Verhandlung der benötigten Ressourcen, teilweise externe Ressourcen-Beschaffung</v>
      </c>
      <c r="G13" s="557" t="str">
        <f>Dictionary!B712</f>
        <v>Budget- und Ressourcenbeschaffung im Wettbewerb mit anderen Projekten; wesentliche Beschaffungsvorgänge</v>
      </c>
      <c r="H13" s="557" t="str">
        <f>Dictionary!B713</f>
        <v>Beschaffung wesentlicher Finanzmittel, Finanzierung durch unterschiedliche Geldgeber intern und extern; Steuerung wesentlicher Unterauftragnehmer</v>
      </c>
      <c r="I13" s="495"/>
      <c r="J13" s="495"/>
      <c r="K13" s="496"/>
    </row>
    <row r="14" spans="2:11" ht="60">
      <c r="B14" s="479">
        <f>B13+0.1</f>
        <v>1.4000000000000004</v>
      </c>
      <c r="C14" s="558" t="str">
        <f>Dictionary!B715</f>
        <v>Chancen und Risiken</v>
      </c>
      <c r="D14" s="558" t="str">
        <f>Dictionary!B716</f>
        <v xml:space="preserve">Bewertung der Chancen und Risiken im Projekt; Ermittlung und Steuerung des Risikosystems; Ableitung von validen Maßnahmen; Ermittlung und Nutzung von Chancen; Anwendung von Tools zur Steuerung des Risiko-Budgets </v>
      </c>
      <c r="E14" s="557" t="str">
        <f>Dictionary!B717</f>
        <v>wenige Risiken in überschaubarer Höhe, kein Chancen-Management</v>
      </c>
      <c r="F14" s="557" t="str">
        <f>Dictionary!B718</f>
        <v>mehrere Risiken und Chancen; stabiles Risiko-System; Management eines Risiko-Budgets</v>
      </c>
      <c r="G14" s="557" t="str">
        <f>Dictionary!B719</f>
        <v>mehrere Risiken mit begrenzter Schadenshöhe; Möglichkeit der Chancen-Nutzung zur Entlastung des Projektes</v>
      </c>
      <c r="H14" s="557" t="str">
        <f>Dictionary!B720</f>
        <v>Umfangreiches Risiko-Potential inklusive hoher strategischer Risiken; Anwendung valider Steuerungsmöglichkeiten; Meldung nach KONTRAG</v>
      </c>
      <c r="I14" s="495"/>
      <c r="J14" s="495"/>
      <c r="K14" s="496"/>
    </row>
    <row r="15" spans="2:11" s="387" customFormat="1" ht="24" customHeight="1">
      <c r="H15" s="387" t="str">
        <f>Dictionary!B721</f>
        <v>Durchschnitt der eingegebenen Detailbewertungen:</v>
      </c>
      <c r="I15" s="480" t="str">
        <f>IF(SUM(I11:I14)=0,"",ROUNDDOWN(AVERAGE(I11:I14),1))</f>
        <v/>
      </c>
      <c r="J15" s="480" t="str">
        <f>IF(SUM(J11:J14)=0,"",ROUNDDOWN(AVERAGE(J11:J14),1))</f>
        <v/>
      </c>
      <c r="K15" s="481"/>
    </row>
    <row r="16" spans="2:11">
      <c r="C16" s="473"/>
      <c r="D16" s="473"/>
      <c r="E16" s="482"/>
      <c r="F16" s="482"/>
      <c r="G16" s="482"/>
      <c r="H16" s="482"/>
    </row>
    <row r="17" spans="2:11" ht="30" customHeight="1">
      <c r="B17" s="477">
        <v>2</v>
      </c>
      <c r="C17" s="2180" t="str">
        <f>Dictionary!B723</f>
        <v>Indikatoren bezogen auf den Kontext</v>
      </c>
      <c r="D17" s="2181"/>
      <c r="E17" s="2181"/>
      <c r="F17" s="2181"/>
      <c r="G17" s="2181"/>
      <c r="H17" s="2182"/>
    </row>
    <row r="18" spans="2:11" ht="60">
      <c r="B18" s="479">
        <f>B17+0.1</f>
        <v>2.1</v>
      </c>
      <c r="C18" s="558" t="str">
        <f>Dictionary!B724</f>
        <v xml:space="preserve">Strategie, Stakeholder </v>
      </c>
      <c r="D18" s="558" t="str">
        <f>Dictionary!B725</f>
        <v>Einfluss der Unternehmens-Strategie, Auswirkungen des Projektes auf das Unternehmen, Stakeholder-Interessen;
Gesetze und Regularien</v>
      </c>
      <c r="E18" s="559" t="str">
        <f>Dictionary!B726</f>
        <v>wenige strategische Einflüsse; Projekt ist rein operativ ausgerichtet</v>
      </c>
      <c r="F18" s="559" t="str">
        <f>Dictionary!B727</f>
        <v>Stakeholder-Interessen  beeinflussen das Projekt begrenzte Einflüsse aus der Unternehmens-Strategie</v>
      </c>
      <c r="G18" s="559" t="str">
        <f>Dictionary!B728</f>
        <v>Viele Komponenten (?) unterschiedlicher Art</v>
      </c>
      <c r="H18" s="559" t="str">
        <f>Dictionary!B729</f>
        <v>Projekt hat erheblichen Einfluss auf das Unternehmen und seinen Erfolg; starke Auswirkungen von Gesetzen und Regularien</v>
      </c>
      <c r="I18" s="495"/>
      <c r="J18" s="495"/>
      <c r="K18" s="496"/>
    </row>
    <row r="19" spans="2:11" ht="135">
      <c r="B19" s="479">
        <f>B18+0.1</f>
        <v>2.2000000000000002</v>
      </c>
      <c r="C19" s="558" t="str">
        <f>Dictionary!B731</f>
        <v>Stammorganisation</v>
      </c>
      <c r="D19" s="558" t="str">
        <f>Dictionary!B732</f>
        <v>Umfang der Vernetzung über Schnittstellen des Projektes mit den Strukturen, Berichtswesen und Entscheidungswegen der Stammorganisation</v>
      </c>
      <c r="E19" s="559" t="str">
        <f>Dictionary!B733</f>
        <v xml:space="preserve">starke Abgrenzung des Projektes von der Stammorganisation, Entscheidungen fallen wesentlich in der Stammorganisation, viele ähnliche Projekte wurden bereits im Unternehmen durchgeführt </v>
      </c>
      <c r="F19" s="559" t="str">
        <f>Dictionary!B734</f>
        <v>klare Schnittstellen zur Stammorganisation z.B. über Leitungsgremium; Berichtswesen und Entscheidungswege begrenzt und klar definiert Projekt hat geringe Auswirkungen auf Prozesse der Stammorganisation,  ähnliche Projekte wurden bereits im Unternehmen durchgeführt</v>
      </c>
      <c r="G19" s="559" t="str">
        <f>Dictionary!B735</f>
        <v>viele operative Schnittstellen wirken auf  das Projekt ein; Berichte und Entscheidungen machen erheblichen Arbeitsanteil aus, Projekt hat  Auswirkungen auf Prozesse der Stammorganisation, wenige ähnliche Projekte wurden bereits im Unternehmen durchgeführt</v>
      </c>
      <c r="H19" s="559" t="str">
        <f>Dictionary!B736</f>
        <v>Starke Einflüsse der Stammorganisation auf strategischer Ebene; Entscheidungen durch Verhandlungen mit der Stammorganisation, Projekt hat starke Auswirkungen auf Prozesse der Stammorganisation , Projekt ist neuartig für Unternehmen</v>
      </c>
      <c r="I19" s="495"/>
      <c r="J19" s="495"/>
      <c r="K19" s="496"/>
    </row>
    <row r="20" spans="2:11" ht="65">
      <c r="B20" s="479">
        <f>B19+0.1</f>
        <v>2.3000000000000003</v>
      </c>
      <c r="C20" s="558" t="str">
        <f>Dictionary!B738</f>
        <v>Sozio-Kulturelle Einflüsse</v>
      </c>
      <c r="D20" s="558" t="str">
        <f>Dictionary!B739</f>
        <v>Einfluss der sozio-kulturellen Unterschiede im Projektteam, insbesondere bei verteilten oder Firmen-übergreifenden Teams</v>
      </c>
      <c r="E20" s="557" t="str">
        <f>Dictionary!B740</f>
        <v>keine Auswirkungen zu erwarten (Projekt an einem Standort, eine Sprache, homogene Projektgruppe)</v>
      </c>
      <c r="F20" s="557" t="str">
        <f>Dictionary!B741</f>
        <v>wenig Auswirkungen zu erwarten</v>
      </c>
      <c r="G20" s="557" t="str">
        <f>Dictionary!B742</f>
        <v>Auswirkungen infolge lokal verteilter Teams, mehreren Sprachen oder heterogenen Kulturkreisen erfordern in Einzelfällen Führungsmaßnahmen</v>
      </c>
      <c r="H20" s="557" t="str">
        <f>Dictionary!B743</f>
        <v>Auswirkungen infolge lokal verteilter Teams oder großer Teams aus unterschiedlichen Unternehmen und Kulturkreisen erfordern umfangreiche Führungsmaßnahmen</v>
      </c>
      <c r="I20" s="495"/>
      <c r="J20" s="495"/>
      <c r="K20" s="496"/>
    </row>
    <row r="21" spans="2:11" s="387" customFormat="1" ht="24" customHeight="1">
      <c r="H21" s="387" t="str">
        <f>Dictionary!B744</f>
        <v>Durchschnitt der eingegebenen Detailbewertungen:</v>
      </c>
      <c r="I21" s="480" t="str">
        <f>IF(SUM(I18:I20)=0,"",ROUNDDOWN(AVERAGE(I18:I20),1))</f>
        <v/>
      </c>
      <c r="J21" s="480" t="str">
        <f>IF(SUM(J18:J20)=0,"",ROUNDDOWN(AVERAGE(J18:J20),1))</f>
        <v/>
      </c>
      <c r="K21" s="481"/>
    </row>
    <row r="22" spans="2:11">
      <c r="C22" s="473"/>
      <c r="D22" s="473"/>
      <c r="E22" s="482"/>
      <c r="F22" s="482"/>
      <c r="G22" s="482"/>
      <c r="H22" s="482"/>
    </row>
    <row r="23" spans="2:11" ht="30" customHeight="1">
      <c r="B23" s="477">
        <v>3</v>
      </c>
      <c r="C23" s="2180" t="str">
        <f>Dictionary!B746</f>
        <v>Indikatoren bezogen auf Management und Führung</v>
      </c>
      <c r="D23" s="2181"/>
      <c r="E23" s="2181"/>
      <c r="F23" s="2181"/>
      <c r="G23" s="2181"/>
      <c r="H23" s="2182"/>
    </row>
    <row r="24" spans="2:11" ht="90">
      <c r="B24" s="479">
        <f>B23+0.1</f>
        <v>3.1</v>
      </c>
      <c r="C24" s="560" t="str">
        <f>Dictionary!B747</f>
        <v xml:space="preserve">Führung und Teamwork </v>
      </c>
      <c r="D24" s="560" t="str">
        <f>Dictionary!B748</f>
        <v>Umfang der Führungs-, Teambildungs und-Steuerungsmaßnahmen</v>
      </c>
      <c r="E24" s="559" t="str">
        <f>Dictionary!B749</f>
        <v>fast alle Teammitglieder haben bereits mit PL gearbeitet, PL hat Erfahrung im Mgt von Teams über 5 J, Governance Vorgaben sind klar definiert, das Projektteam hat hohe PM Skills</v>
      </c>
      <c r="F24" s="559" t="str">
        <f>Dictionary!B750</f>
        <v>sehr viele Teammitglieder haben bereits mit PL gearbeitet, PL hat Erfahrung im Mgt von Teams über 3 J, governance Vorgaben sind teilweise definiert, das Projektteam hat  PM Skills</v>
      </c>
      <c r="G24" s="559" t="str">
        <f>Dictionary!B751</f>
        <v>viele Teammitglieder haben bereits mit PL gearbeitet, PL hat Erfahrung im Mgt von Teams über 1-2 J, einige Governance Vorgaben sind klar definiert, das Projektteam hat einige PM Skills</v>
      </c>
      <c r="H24" s="559" t="str">
        <f>Dictionary!B752</f>
        <v>wenige Teammitglieder haben bereits mit PL gearbeitet, PL hat Erfahrung im Mgt von Teams weniger 1J, wenige Governance Vorgaben sind definiert, das Projektteam hat sehr wenig PM Skills</v>
      </c>
      <c r="I24" s="495"/>
      <c r="J24" s="495"/>
      <c r="K24" s="496"/>
    </row>
    <row r="25" spans="2:11" ht="91" customHeight="1">
      <c r="B25" s="479">
        <f>B24+0.1</f>
        <v>3.2</v>
      </c>
      <c r="C25" s="558" t="str">
        <f>Dictionary!B754</f>
        <v xml:space="preserve"> Innovation</v>
      </c>
      <c r="D25" s="558" t="str">
        <f>Dictionary!B755</f>
        <v>technische Neuartigkeit des Projektes und seine Auswirkungen auf Ressourcenauswahl und Aus- und Weiterbildung während des Projektes; Umgang mit neuartigen Ansätzen und Ergebnissen</v>
      </c>
      <c r="E25" s="559" t="str">
        <f>Dictionary!B756</f>
        <v>kein Handlungsbedarf infolge geringer Neuartigkeit, z.B. Wiederholprojekte</v>
      </c>
      <c r="F25" s="559" t="str">
        <f>Dictionary!B757</f>
        <v>einige Maßnahmen erforderlich infolge der Neuartigkeit in einzelnen Bereichen</v>
      </c>
      <c r="G25" s="559" t="str">
        <f>Dictionary!B758</f>
        <v>Neuartigkeit des Projektgegenstandes und/oder von Prozessen bedingt vorbereitende Qualifizerungsmaßnahmen</v>
      </c>
      <c r="H25" s="559" t="str">
        <f>Dictionary!B759</f>
        <v xml:space="preserve">Neuartigkeit des Projektgegenstandes und/oder von Prozessen in Verbindung mit großem Projektvolumen bedingt Planung der Qualifizierung, aber auch intensives Risiko-Management </v>
      </c>
      <c r="I25" s="495"/>
      <c r="J25" s="495"/>
      <c r="K25" s="496"/>
    </row>
    <row r="26" spans="2:11" ht="60">
      <c r="B26" s="479">
        <f>B25+0.1</f>
        <v>3.3000000000000003</v>
      </c>
      <c r="C26" s="558" t="str">
        <f>Dictionary!B761</f>
        <v>Autonomie und Verantwortung</v>
      </c>
      <c r="D26" s="558" t="str">
        <f>Dictionary!B762</f>
        <v>Entscheidungs- und Verantwortungsspielraum des Projektleiters; Umfang der Delegation in das Projektteam; Vertretung des Projektes gegenüber dem gesamten sozialen Umfeld</v>
      </c>
      <c r="E26" s="559" t="str">
        <f>Dictionary!B763</f>
        <v xml:space="preserve">wenig Autonomie/Gestaltungsspielräume des PL bzgl. Entscheidungen und Vertretung des Projektes nach aussen </v>
      </c>
      <c r="F26" s="559" t="str">
        <f>Dictionary!B764</f>
        <v>Verhandlung Lasten- und Pflichtenheft; Gesaltungs-spielräume ergeben sich hauptsächlich durch Änderungsprozesse</v>
      </c>
      <c r="G26" s="559" t="str">
        <f>Dictionary!B765</f>
        <v>Projektleiter vertritt das Projekt und damit auch das Unternehmen auch gegenüber externen Stakeholdern</v>
      </c>
      <c r="H26" s="559" t="str">
        <f>Dictionary!B766</f>
        <v>umfangreiche Verantwortungs- und Entscheidungsspielräume, z.B. durch Vollmachts- oder Unterschriftenregelung</v>
      </c>
      <c r="I26" s="495"/>
      <c r="J26" s="495"/>
      <c r="K26" s="496"/>
    </row>
    <row r="27" spans="2:11" s="387" customFormat="1" ht="24" customHeight="1">
      <c r="H27" s="387" t="str">
        <f>Dictionary!B767</f>
        <v>Durchschnitt der eingegebenen Detailbewertungen:</v>
      </c>
      <c r="I27" s="480" t="str">
        <f>IF(SUM(I24:I26)=0,"",ROUNDDOWN(AVERAGE(I24:I26),1))</f>
        <v/>
      </c>
      <c r="J27" s="480" t="str">
        <f>IF(SUM(J24:J26)=0,"",ROUNDDOWN(AVERAGE(J24:J26),1))</f>
        <v/>
      </c>
      <c r="K27" s="481"/>
    </row>
    <row r="28" spans="2:11">
      <c r="C28" s="473"/>
      <c r="D28" s="473"/>
      <c r="E28" s="482"/>
      <c r="F28" s="482"/>
      <c r="G28" s="482"/>
      <c r="H28" s="482"/>
    </row>
    <row r="29" spans="2:11" ht="17" customHeight="1"/>
    <row r="30" spans="2:11" ht="17" customHeight="1">
      <c r="F30" s="334" t="str">
        <f>Dictionary!B768</f>
        <v>Zusammenfassende Bewertungen (gerundet)</v>
      </c>
    </row>
    <row r="31" spans="2:11" ht="17" customHeight="1">
      <c r="G31" s="483" t="str">
        <f>Dictionary!B769</f>
        <v>Indikator</v>
      </c>
      <c r="H31" s="471">
        <v>1</v>
      </c>
      <c r="I31" s="484" t="str">
        <f>IF(I15="","",I15)</f>
        <v/>
      </c>
      <c r="J31" s="484" t="str">
        <f>IF(J15="","",J15)</f>
        <v/>
      </c>
    </row>
    <row r="32" spans="2:11" ht="17" customHeight="1">
      <c r="G32" s="483" t="str">
        <f>Dictionary!B769</f>
        <v>Indikator</v>
      </c>
      <c r="H32" s="471">
        <f>1+H31</f>
        <v>2</v>
      </c>
      <c r="I32" s="485" t="str">
        <f>IF(I21="","",I21)</f>
        <v/>
      </c>
      <c r="J32" s="485" t="str">
        <f>IF(J21="","",J21)</f>
        <v/>
      </c>
    </row>
    <row r="33" spans="2:12" ht="17" customHeight="1">
      <c r="G33" s="483" t="str">
        <f>Dictionary!B769</f>
        <v>Indikator</v>
      </c>
      <c r="H33" s="471">
        <f>1+H32</f>
        <v>3</v>
      </c>
      <c r="I33" s="485" t="str">
        <f>IF(I27="","",I27)</f>
        <v/>
      </c>
      <c r="J33" s="485" t="str">
        <f>IF(J27="","",J27)</f>
        <v/>
      </c>
    </row>
    <row r="34" spans="2:12" s="473" customFormat="1" ht="17" customHeight="1">
      <c r="B34" s="471"/>
      <c r="C34" s="472"/>
      <c r="D34" s="472"/>
      <c r="E34" s="472"/>
      <c r="F34" s="472"/>
      <c r="G34" s="472"/>
      <c r="H34" s="387" t="str">
        <f>Dictionary!B770</f>
        <v xml:space="preserve">Gesamtbewertung   </v>
      </c>
      <c r="I34" s="485">
        <f>SUM(I11:I14)+SUM(I18:I20)+SUM(I24:I26)</f>
        <v>0</v>
      </c>
      <c r="J34" s="485">
        <f>SUM(J11:J14)+SUM(J18:J20)+SUM(J24:J26)</f>
        <v>0</v>
      </c>
      <c r="L34" s="472"/>
    </row>
    <row r="35" spans="2:12" s="473" customFormat="1" ht="17" customHeight="1">
      <c r="B35" s="471"/>
      <c r="C35" s="472"/>
      <c r="D35" s="472"/>
      <c r="E35" s="472"/>
      <c r="F35" s="472"/>
      <c r="G35" s="472"/>
      <c r="H35" s="387"/>
      <c r="I35" s="486"/>
      <c r="J35" s="486"/>
      <c r="L35" s="472"/>
    </row>
    <row r="36" spans="2:12" s="473" customFormat="1" ht="17" customHeight="1">
      <c r="B36" s="471"/>
      <c r="C36" s="487"/>
      <c r="D36" s="487"/>
      <c r="E36" s="472"/>
      <c r="F36" s="472"/>
      <c r="G36" s="472"/>
      <c r="H36" s="472"/>
      <c r="I36" s="471"/>
      <c r="J36" s="471"/>
      <c r="L36" s="472"/>
    </row>
    <row r="37" spans="2:12" s="473" customFormat="1" ht="17" customHeight="1" thickBot="1">
      <c r="B37" s="460"/>
      <c r="C37" s="460"/>
      <c r="D37" s="460"/>
      <c r="E37" s="460"/>
      <c r="F37" s="460"/>
      <c r="G37" s="460"/>
      <c r="H37" s="460"/>
      <c r="I37" s="460"/>
      <c r="J37" s="460"/>
      <c r="K37" s="460"/>
      <c r="L37" s="472"/>
    </row>
    <row r="38" spans="2:12" s="473" customFormat="1" ht="17" customHeight="1">
      <c r="B38" s="89"/>
      <c r="C38" s="89"/>
      <c r="D38" s="89"/>
      <c r="F38" s="472"/>
      <c r="G38" s="472"/>
      <c r="H38" s="472"/>
      <c r="I38" s="471"/>
      <c r="J38" s="471"/>
      <c r="K38" s="464" t="s">
        <v>105</v>
      </c>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ht="17" customHeight="1"/>
    <row r="50" ht="17" customHeight="1"/>
    <row r="51" ht="17" customHeight="1"/>
    <row r="52" ht="17" customHeight="1"/>
    <row r="53" ht="17" customHeight="1"/>
    <row r="54" ht="17" customHeight="1"/>
    <row r="55" ht="17" customHeight="1"/>
    <row r="56" ht="17" customHeight="1"/>
    <row r="57" ht="17" customHeight="1"/>
    <row r="58" ht="17" customHeight="1"/>
    <row r="59" ht="17" customHeight="1"/>
    <row r="60" ht="17" customHeight="1"/>
    <row r="61" ht="17" customHeight="1"/>
    <row r="62" ht="17" customHeight="1"/>
    <row r="63" ht="17" customHeight="1"/>
    <row r="64" ht="17" customHeight="1"/>
    <row r="65" ht="17" customHeight="1"/>
    <row r="66" ht="17" customHeight="1"/>
    <row r="67" ht="17" customHeight="1"/>
    <row r="68" ht="17" customHeight="1"/>
    <row r="69" ht="17" customHeight="1"/>
    <row r="70" ht="17" customHeight="1"/>
  </sheetData>
  <sheetProtection algorithmName="SHA-512" hashValue="n825aC3Xy5xri/btt7iF5eVSpUBVlYGpVE4KOiZXpCtGhhhDyD7GggXq62+NWSjPaFN9LAmZ6EBNoZRhSyFe9w==" saltValue="cJAZUJ1646LiHI5UCEAd0A==" spinCount="100000" sheet="1" objects="1" scenarios="1" selectLockedCells="1"/>
  <mergeCells count="9">
    <mergeCell ref="C10:H10"/>
    <mergeCell ref="C17:H17"/>
    <mergeCell ref="C23:H23"/>
    <mergeCell ref="B3:K3"/>
    <mergeCell ref="F6:H6"/>
    <mergeCell ref="B8:B9"/>
    <mergeCell ref="C8:D9"/>
    <mergeCell ref="E8:H8"/>
    <mergeCell ref="I8:K8"/>
  </mergeCells>
  <conditionalFormatting sqref="I35:J35">
    <cfRule type="cellIs" dxfId="375" priority="1" operator="equal">
      <formula>"Yes"</formula>
    </cfRule>
    <cfRule type="cellIs" dxfId="374" priority="2" operator="equal">
      <formula>"No"</formula>
    </cfRule>
  </conditionalFormatting>
  <dataValidations count="1">
    <dataValidation type="whole" allowBlank="1" showInputMessage="1" showErrorMessage="1" sqref="I11:J14 I18:J20 I24:J26" xr:uid="{00000000-0002-0000-3D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A254F-1D10-41E6-8528-40BBF290EC48}">
  <sheetPr codeName="Sheet20">
    <tabColor theme="9"/>
  </sheetPr>
  <dimension ref="B1:E68"/>
  <sheetViews>
    <sheetView topLeftCell="A4" zoomScale="130" zoomScaleNormal="130" workbookViewId="0">
      <selection activeCell="B19" sqref="B19:E19"/>
    </sheetView>
  </sheetViews>
  <sheetFormatPr baseColWidth="10" defaultColWidth="11.5" defaultRowHeight="15"/>
  <cols>
    <col min="1" max="1" width="2.5" style="89" customWidth="1"/>
    <col min="2" max="2" width="45.5" style="89" customWidth="1"/>
    <col min="3" max="3" width="22.83203125" style="89" customWidth="1"/>
    <col min="4" max="4" width="32" style="89" customWidth="1"/>
    <col min="5" max="5" width="22.83203125" style="89" customWidth="1"/>
    <col min="6" max="6" width="3.1640625" style="89" customWidth="1"/>
    <col min="7" max="7" width="20" style="89" customWidth="1"/>
    <col min="8" max="9" width="11.5" style="89"/>
    <col min="10" max="10" width="8.5" style="89" customWidth="1"/>
    <col min="11" max="16384" width="11.5" style="89"/>
  </cols>
  <sheetData>
    <row r="1" spans="2:5" ht="15.75" customHeight="1" thickBot="1">
      <c r="B1" s="497" t="str">
        <f ca="1">COV!C20</f>
        <v>DECKBLATT BITTE VOLLSTÄNDIG AUSFÜLLEN!</v>
      </c>
      <c r="C1" s="459"/>
      <c r="D1" s="459"/>
      <c r="E1" s="459"/>
    </row>
    <row r="2" spans="2:5" ht="5.25" customHeight="1" thickTop="1"/>
    <row r="3" spans="2:5" ht="21">
      <c r="B3" s="2046" t="str">
        <f>Dictionary!B614&amp;'(7b) Project List'!A25</f>
        <v>Steckbrief für Management Erfahrung 17</v>
      </c>
      <c r="C3" s="2046"/>
      <c r="D3" s="2046"/>
      <c r="E3" s="2046"/>
    </row>
    <row r="4" spans="2:5" ht="21">
      <c r="B4" s="488"/>
      <c r="C4" s="488"/>
      <c r="D4" s="488"/>
      <c r="E4" s="488"/>
    </row>
    <row r="5" spans="2:5" ht="21">
      <c r="B5" s="489" t="str">
        <f>EXP!B5</f>
        <v xml:space="preserve"> , Level A, Projekt Management, Erstzertifizierung</v>
      </c>
      <c r="C5" s="490"/>
      <c r="D5" s="490"/>
      <c r="E5" s="490"/>
    </row>
    <row r="7" spans="2:5">
      <c r="B7" s="2013" t="str">
        <f>Dictionary!B618</f>
        <v>Kopfzeile</v>
      </c>
      <c r="C7" s="2013"/>
      <c r="D7" s="2013"/>
      <c r="E7" s="2013"/>
    </row>
    <row r="8" spans="2:5" ht="16.5" customHeight="1">
      <c r="B8" s="503" t="str">
        <f>EXP!D25&amp;" "&amp;Dictionary!B615</f>
        <v xml:space="preserve"> Name </v>
      </c>
      <c r="C8" s="504" t="str">
        <f>IF('(7b) Project List'!B25="","",'(7b) Project List'!B25)</f>
        <v/>
      </c>
      <c r="D8" s="508" t="str">
        <f>EXP!D25&amp;" "&amp;Dictionary!B616</f>
        <v xml:space="preserve"> Nummer </v>
      </c>
      <c r="E8" s="509"/>
    </row>
    <row r="9" spans="2:5" ht="16.5" customHeight="1">
      <c r="B9" s="510" t="str">
        <f>Dictionary!B617</f>
        <v>Kunde/AuftraggeberIn:</v>
      </c>
      <c r="C9" s="2138"/>
      <c r="D9" s="2138"/>
      <c r="E9" s="511"/>
    </row>
    <row r="10" spans="2:5" ht="16.5" customHeight="1"/>
    <row r="11" spans="2:5" ht="16.5" customHeight="1">
      <c r="B11" s="2013" t="str">
        <f>Dictionary!B620</f>
        <v>Governance &amp; eigene Rolle</v>
      </c>
      <c r="C11" s="2013"/>
      <c r="D11" s="2013"/>
      <c r="E11" s="2013"/>
    </row>
    <row r="12" spans="2:5" ht="16.5" customHeight="1">
      <c r="B12" s="503" t="str">
        <f>Dictionary!B621</f>
        <v>Eigene Rolle:</v>
      </c>
      <c r="C12" s="504" t="str">
        <f>IF('(7b) Project List'!E25="","",'(7b) Project List'!E25)</f>
        <v/>
      </c>
      <c r="D12" s="2130" t="str">
        <f>Dictionary!B622</f>
        <v>Anmerkungen:</v>
      </c>
      <c r="E12" s="2131"/>
    </row>
    <row r="13" spans="2:5" ht="16.5" customHeight="1">
      <c r="B13" s="505" t="str">
        <f>Dictionary!B623</f>
        <v>Verantwortung für den Umfang/die Ergebnisse:</v>
      </c>
      <c r="C13" s="506"/>
      <c r="D13" s="2142"/>
      <c r="E13" s="2143"/>
    </row>
    <row r="14" spans="2:5" ht="16.5" customHeight="1">
      <c r="B14" s="505" t="str">
        <f>Dictionary!B624</f>
        <v>Verantwortung für die Terminplanung:</v>
      </c>
      <c r="C14" s="506"/>
      <c r="D14" s="2142"/>
      <c r="E14" s="2143"/>
    </row>
    <row r="15" spans="2:5" ht="16.5" customHeight="1">
      <c r="B15" s="505" t="str">
        <f>Dictionary!B625</f>
        <v>Verantwortung für das Budget:</v>
      </c>
      <c r="C15" s="506"/>
      <c r="D15" s="2142"/>
      <c r="E15" s="2143"/>
    </row>
    <row r="16" spans="2:5" ht="16.5" customHeight="1">
      <c r="B16" s="561" t="str">
        <f>EXP!D25&amp;" "&amp;Dictionary!B627</f>
        <v xml:space="preserve"> Typ</v>
      </c>
      <c r="C16" s="507"/>
      <c r="D16" s="2142"/>
      <c r="E16" s="2143"/>
    </row>
    <row r="17" spans="2:5" ht="16.5" customHeight="1">
      <c r="B17" s="561" t="str">
        <f>Dictionary!B626</f>
        <v>Art der PM Organisation</v>
      </c>
      <c r="C17" s="507"/>
      <c r="D17" s="2142"/>
      <c r="E17" s="2143"/>
    </row>
    <row r="18" spans="2:5" ht="16.5" customHeight="1">
      <c r="B18" s="2139" t="str">
        <f>Dictionary!B628</f>
        <v>Kurze Beschreibung Ihrer eigenen Rolle, Verantwortung und Aktivitäten; wem sind Sie unterstellt?</v>
      </c>
      <c r="C18" s="2140"/>
      <c r="D18" s="2140"/>
      <c r="E18" s="2141"/>
    </row>
    <row r="19" spans="2:5" ht="57" customHeight="1">
      <c r="B19" s="2149"/>
      <c r="C19" s="2150"/>
      <c r="D19" s="2150"/>
      <c r="E19" s="2151"/>
    </row>
    <row r="20" spans="2:5" ht="18" customHeight="1"/>
    <row r="21" spans="2:5" ht="16.5" customHeight="1">
      <c r="B21" s="2013" t="str">
        <f>Dictionary!B630</f>
        <v>Allgemeine Informationen und Beschreibung</v>
      </c>
      <c r="C21" s="2013"/>
      <c r="D21" s="2013"/>
      <c r="E21" s="2013"/>
    </row>
    <row r="22" spans="2:5" ht="16.5" customHeight="1">
      <c r="B22" s="2157" t="str">
        <f>Dictionary!B631</f>
        <v>Kurze Beschreibung der KPI, Ergebnisse und Liefergegenstände:</v>
      </c>
      <c r="C22" s="2158"/>
      <c r="D22" s="2158"/>
      <c r="E22" s="2159"/>
    </row>
    <row r="23" spans="2:5" ht="57" customHeight="1">
      <c r="B23" s="2160"/>
      <c r="C23" s="2161"/>
      <c r="D23" s="2161"/>
      <c r="E23" s="2162"/>
    </row>
    <row r="24" spans="2:5" ht="16.5" customHeight="1">
      <c r="B24" s="2139" t="str">
        <f>Dictionary!B632</f>
        <v>Kurze Beschreibung des Umfangs und der Ziele, für die Sie verantwortlich sind:</v>
      </c>
      <c r="C24" s="2140"/>
      <c r="D24" s="2140"/>
      <c r="E24" s="2141"/>
    </row>
    <row r="25" spans="2:5" ht="57" customHeight="1">
      <c r="B25" s="2160"/>
      <c r="C25" s="2161"/>
      <c r="D25" s="2161"/>
      <c r="E25" s="2162"/>
    </row>
    <row r="26" spans="2:5" ht="16.5" customHeight="1">
      <c r="B26" s="2139" t="str">
        <f>Dictionary!B633</f>
        <v>Informationen über erhebliche Planabweichungen und/oder kritische Managementsituationen:</v>
      </c>
      <c r="C26" s="2140"/>
      <c r="D26" s="2140"/>
      <c r="E26" s="2141"/>
    </row>
    <row r="27" spans="2:5" ht="54.75" customHeight="1">
      <c r="B27" s="2146"/>
      <c r="C27" s="2152"/>
      <c r="D27" s="2152"/>
      <c r="E27" s="2153"/>
    </row>
    <row r="28" spans="2:5" ht="18" customHeight="1"/>
    <row r="29" spans="2:5" ht="18" customHeight="1">
      <c r="B29" s="2013" t="str">
        <f>EXP!D25&amp;" "&amp;Dictionary!B635</f>
        <v xml:space="preserve"> Planung</v>
      </c>
      <c r="C29" s="2013"/>
      <c r="D29" s="2013"/>
      <c r="E29" s="2013"/>
    </row>
    <row r="30" spans="2:5" ht="16.5" customHeight="1">
      <c r="B30" s="512" t="str">
        <f>Dictionary!B636</f>
        <v>Beginn des Vorhabens:</v>
      </c>
      <c r="C30" s="513" t="str">
        <f>C31</f>
        <v/>
      </c>
      <c r="D30" s="508" t="str">
        <f>Dictionary!B642</f>
        <v>Ende des Vorhabens:</v>
      </c>
      <c r="E30" s="514" t="str">
        <f>E31</f>
        <v/>
      </c>
    </row>
    <row r="31" spans="2:5" ht="16.5" customHeight="1">
      <c r="B31" s="515" t="str">
        <f>Dictionary!B637</f>
        <v>Ihr Beginn in dieser Rolle:</v>
      </c>
      <c r="C31" s="516" t="str">
        <f>IF('(7b) Project List'!F25="","",'(7b) Project List'!F25)</f>
        <v/>
      </c>
      <c r="D31" s="517" t="str">
        <f>Dictionary!B643</f>
        <v>Ende Ihrer Beteiligung:</v>
      </c>
      <c r="E31" s="518" t="str">
        <f>IF('(7b) Project List'!G25="","",'(7b) Project List'!G25)</f>
        <v/>
      </c>
    </row>
    <row r="32" spans="2:5" ht="16.5" customHeight="1">
      <c r="B32" s="2139" t="str">
        <f>IF(ISNUMBER(SEARCH("ortfolio",B29)),Dictionary!B640,Dictionary!B638)</f>
        <v>Phasen:</v>
      </c>
      <c r="C32" s="2140"/>
      <c r="D32" s="2140" t="str">
        <f>IF(ISNUMBER(SEARCH("ortfolio",B29)),Dictionary!B641,Dictionary!B639)</f>
        <v>Meilensteine:</v>
      </c>
      <c r="E32" s="2141"/>
    </row>
    <row r="33" spans="2:5">
      <c r="B33" s="2154"/>
      <c r="C33" s="2142"/>
      <c r="D33" s="2133"/>
      <c r="E33" s="2143"/>
    </row>
    <row r="34" spans="2:5">
      <c r="B34" s="2155"/>
      <c r="C34" s="2142"/>
      <c r="D34" s="2142"/>
      <c r="E34" s="2143"/>
    </row>
    <row r="35" spans="2:5">
      <c r="B35" s="2155"/>
      <c r="C35" s="2142"/>
      <c r="D35" s="2142"/>
      <c r="E35" s="2143"/>
    </row>
    <row r="36" spans="2:5">
      <c r="B36" s="2155"/>
      <c r="C36" s="2142"/>
      <c r="D36" s="2142"/>
      <c r="E36" s="2143"/>
    </row>
    <row r="37" spans="2:5">
      <c r="B37" s="2155"/>
      <c r="C37" s="2142"/>
      <c r="D37" s="2142"/>
      <c r="E37" s="2143"/>
    </row>
    <row r="38" spans="2:5">
      <c r="B38" s="2155"/>
      <c r="C38" s="2142"/>
      <c r="D38" s="2142"/>
      <c r="E38" s="2143"/>
    </row>
    <row r="39" spans="2:5">
      <c r="B39" s="2155"/>
      <c r="C39" s="2142"/>
      <c r="D39" s="2142"/>
      <c r="E39" s="2143"/>
    </row>
    <row r="40" spans="2:5">
      <c r="B40" s="2155"/>
      <c r="C40" s="2142"/>
      <c r="D40" s="2142"/>
      <c r="E40" s="2143"/>
    </row>
    <row r="41" spans="2:5">
      <c r="B41" s="2155"/>
      <c r="C41" s="2142"/>
      <c r="D41" s="2142"/>
      <c r="E41" s="2143"/>
    </row>
    <row r="42" spans="2:5">
      <c r="B42" s="2156"/>
      <c r="C42" s="2150"/>
      <c r="D42" s="2150"/>
      <c r="E42" s="2151"/>
    </row>
    <row r="44" spans="2:5" ht="18" customHeight="1">
      <c r="B44" s="2132" t="str">
        <f>IF(PMO_MODE="",Dictionary!B645,IF(ISNUMBER(FIND(EXP!C42,B8)),Dictionary!B646,Dictionary!B645))</f>
        <v>Ressourcen, für die Sie direkt verantwortlich sind</v>
      </c>
      <c r="C44" s="2132"/>
      <c r="D44" s="2132"/>
      <c r="E44" s="2132"/>
    </row>
    <row r="45" spans="2:5" ht="16.5" customHeight="1">
      <c r="B45" s="519"/>
      <c r="C45" s="524" t="str">
        <f>Dictionary!B647</f>
        <v>Wert</v>
      </c>
      <c r="D45" s="2130" t="str">
        <f>Dictionary!B648</f>
        <v>Anmerkungen</v>
      </c>
      <c r="E45" s="2131"/>
    </row>
    <row r="46" spans="2:5" ht="16">
      <c r="B46" s="520" t="str">
        <f>Dictionary!B649</f>
        <v>Anzahl der Ihnen direkt unterstellten Teammitglieder:</v>
      </c>
      <c r="C46" s="1720"/>
      <c r="D46" s="2133"/>
      <c r="E46" s="2134"/>
    </row>
    <row r="47" spans="2:5" ht="32">
      <c r="B47" s="520" t="str">
        <f>Dictionary!B650</f>
        <v>Anzahl der Mitglieder des Teams gemäß dem Organigramm (inkl. Sie selbst):</v>
      </c>
      <c r="C47" s="1720"/>
      <c r="D47" s="2133"/>
      <c r="E47" s="2134"/>
    </row>
    <row r="48" spans="2:5" ht="16.5" customHeight="1">
      <c r="B48" s="521" t="str">
        <f>Dictionary!B651</f>
        <v>Gesamtaufwand [Personentage]:</v>
      </c>
      <c r="C48" s="1720"/>
      <c r="D48" s="2133"/>
      <c r="E48" s="2134"/>
    </row>
    <row r="49" spans="2:5" ht="16.5" customHeight="1">
      <c r="B49" s="522" t="str">
        <f>Dictionary!B652</f>
        <v>Externer Arbeitsaufwand [Personentage]:</v>
      </c>
      <c r="C49" s="1720"/>
      <c r="D49" s="2133"/>
      <c r="E49" s="2134"/>
    </row>
    <row r="50" spans="2:5" ht="16.5" customHeight="1">
      <c r="B50" s="522" t="str">
        <f>Dictionary!B653</f>
        <v>Interner Arbeitsaufwand [Personentage]:</v>
      </c>
      <c r="C50" s="1720"/>
      <c r="D50" s="2133"/>
      <c r="E50" s="2134"/>
    </row>
    <row r="51" spans="2:5" ht="16.5" customHeight="1">
      <c r="B51" s="522" t="str">
        <f>Dictionary!B654</f>
        <v>Enthaltener PM-Aufwand [Personentage]:</v>
      </c>
      <c r="C51" s="1720"/>
      <c r="D51" s="2133"/>
      <c r="E51" s="2134"/>
    </row>
    <row r="52" spans="2:5" ht="16.5" customHeight="1">
      <c r="B52" s="522" t="str">
        <f>Dictionary!B655</f>
        <v>Budget (Aufwand) unter Ihrer Verantwortung [€]:</v>
      </c>
      <c r="C52" s="1721"/>
      <c r="D52" s="2133"/>
      <c r="E52" s="2134"/>
    </row>
    <row r="53" spans="2:5" ht="16.5" customHeight="1">
      <c r="B53" s="523" t="str">
        <f>Dictionary!B656</f>
        <v>Budget (Sachmittel) unter Ihrer Verantwortung [€]:</v>
      </c>
      <c r="C53" s="1722"/>
      <c r="D53" s="2144"/>
      <c r="E53" s="2145"/>
    </row>
    <row r="54" spans="2:5" ht="16.5" customHeight="1">
      <c r="B54" s="1615" t="str">
        <f>Dictionary!B657</f>
        <v>Gesamtbudget unter Ihrer Verantwortung [€]:</v>
      </c>
      <c r="C54" s="1723">
        <f>C52+C53</f>
        <v>0</v>
      </c>
      <c r="D54" s="1724"/>
      <c r="E54" s="1725"/>
    </row>
    <row r="55" spans="2:5" ht="18" customHeight="1"/>
    <row r="56" spans="2:5" ht="18" customHeight="1">
      <c r="B56" s="2013" t="str">
        <f>Dictionary!B658</f>
        <v xml:space="preserve">Anmerkungen </v>
      </c>
      <c r="C56" s="2013"/>
      <c r="D56" s="2013"/>
      <c r="E56" s="2013"/>
    </row>
    <row r="57" spans="2:5" ht="16.5" customHeight="1">
      <c r="B57" s="2157" t="str">
        <f>Dictionary!B659</f>
        <v>Anmerkungen zur Komplexität:</v>
      </c>
      <c r="C57" s="2158"/>
      <c r="D57" s="2158"/>
      <c r="E57" s="2159"/>
    </row>
    <row r="58" spans="2:5">
      <c r="B58" s="2135"/>
      <c r="C58" s="2136"/>
      <c r="D58" s="2136"/>
      <c r="E58" s="2137"/>
    </row>
    <row r="59" spans="2:5">
      <c r="B59" s="2135"/>
      <c r="C59" s="2136"/>
      <c r="D59" s="2136"/>
      <c r="E59" s="2137"/>
    </row>
    <row r="60" spans="2:5" ht="27" customHeight="1">
      <c r="B60" s="2135"/>
      <c r="C60" s="2136"/>
      <c r="D60" s="2136"/>
      <c r="E60" s="2137"/>
    </row>
    <row r="61" spans="2:5" ht="16.5" customHeight="1">
      <c r="B61" s="2139" t="str">
        <f>Dictionary!B660</f>
        <v>Allgemeine Anmerkungen:</v>
      </c>
      <c r="C61" s="2140"/>
      <c r="D61" s="2140"/>
      <c r="E61" s="2141"/>
    </row>
    <row r="62" spans="2:5" ht="15" customHeight="1">
      <c r="B62" s="2135"/>
      <c r="C62" s="2136"/>
      <c r="D62" s="2136"/>
      <c r="E62" s="2137"/>
    </row>
    <row r="63" spans="2:5">
      <c r="B63" s="2135"/>
      <c r="C63" s="2136"/>
      <c r="D63" s="2136"/>
      <c r="E63" s="2137"/>
    </row>
    <row r="64" spans="2:5">
      <c r="B64" s="2135"/>
      <c r="C64" s="2136"/>
      <c r="D64" s="2136"/>
      <c r="E64" s="2137"/>
    </row>
    <row r="65" spans="2:5" ht="41" customHeight="1">
      <c r="B65" s="2146"/>
      <c r="C65" s="2147"/>
      <c r="D65" s="2147"/>
      <c r="E65" s="2148"/>
    </row>
    <row r="67" spans="2:5" ht="17" thickBot="1">
      <c r="B67" s="460"/>
      <c r="C67" s="460"/>
      <c r="D67" s="460"/>
      <c r="E67" s="460"/>
    </row>
    <row r="68" spans="2:5">
      <c r="E68" s="464" t="s">
        <v>105</v>
      </c>
    </row>
  </sheetData>
  <sheetProtection algorithmName="SHA-512" hashValue="MWFnOmTXemYcfQcpYBsApsVqU5a0fkfYyhS+jxqW+KdL70jZkPoZ3RTanxV0/US3+bvxvY3XqK6ecDnZrtaVPw==" saltValue="aCnKmrD3jiPW8+b4qjJdWA==" spinCount="100000" sheet="1" objects="1" scenarios="1" selectLockedCells="1"/>
  <mergeCells count="39">
    <mergeCell ref="B58:E60"/>
    <mergeCell ref="B61:E61"/>
    <mergeCell ref="B62:E65"/>
    <mergeCell ref="D50:E50"/>
    <mergeCell ref="D51:E51"/>
    <mergeCell ref="D52:E52"/>
    <mergeCell ref="D53:E53"/>
    <mergeCell ref="B56:E56"/>
    <mergeCell ref="B57:E57"/>
    <mergeCell ref="D49:E49"/>
    <mergeCell ref="B27:E27"/>
    <mergeCell ref="B29:E29"/>
    <mergeCell ref="B32:C32"/>
    <mergeCell ref="D32:E32"/>
    <mergeCell ref="B33:C42"/>
    <mergeCell ref="D33:E42"/>
    <mergeCell ref="B44:E44"/>
    <mergeCell ref="D45:E45"/>
    <mergeCell ref="D46:E46"/>
    <mergeCell ref="D47:E47"/>
    <mergeCell ref="D48:E48"/>
    <mergeCell ref="B26:E26"/>
    <mergeCell ref="D14:E14"/>
    <mergeCell ref="D15:E15"/>
    <mergeCell ref="D16:E16"/>
    <mergeCell ref="D17:E17"/>
    <mergeCell ref="B18:E18"/>
    <mergeCell ref="B19:E19"/>
    <mergeCell ref="B21:E21"/>
    <mergeCell ref="B22:E22"/>
    <mergeCell ref="B23:E23"/>
    <mergeCell ref="B24:E24"/>
    <mergeCell ref="B25:E25"/>
    <mergeCell ref="D13:E13"/>
    <mergeCell ref="B3:E3"/>
    <mergeCell ref="B7:E7"/>
    <mergeCell ref="C9:D9"/>
    <mergeCell ref="B11:E11"/>
    <mergeCell ref="D12:E12"/>
  </mergeCells>
  <conditionalFormatting sqref="C16:C17">
    <cfRule type="notContainsBlanks" dxfId="373" priority="1">
      <formula>LEN(TRIM(C16))&gt;0</formula>
    </cfRule>
  </conditionalFormatting>
  <conditionalFormatting sqref="E8 C9:D9 B19:E19 B23:E23 B25:E25 B27:E27 C30 E30 B33:E42 C46:D54 B58:E60 B62:E65">
    <cfRule type="notContainsBlanks" dxfId="372" priority="2">
      <formula>LEN(TRIM(B8))&gt;0</formula>
    </cfRule>
  </conditionalFormatting>
  <dataValidations count="7">
    <dataValidation type="whole" allowBlank="1" showInputMessage="1" showErrorMessage="1" error="EN: please enter a whole number_x000a_DE: Bitte geben Sie eine ganze Zahl ein" prompt="EN: please enter a valid number_x000a_DE: Bitte geben Sie eine plausible Zahl ein" sqref="C46" xr:uid="{00000000-0002-0000-3E00-000000000000}">
      <formula1>0</formula1>
      <formula2>1000000</formula2>
    </dataValidation>
    <dataValidation allowBlank="1" showInputMessage="1" showErrorMessage="1" error="EN: please enter a number_x000a_DE: Bitte geben Sie eine Zahl ein" prompt="EN: enter a Euro value_x000a_DE Geben Sie einen Wert in Euro an" sqref="C54" xr:uid="{00000000-0002-0000-3E00-000001000000}"/>
    <dataValidation allowBlank="1" error="EN: Enter a number _x000a_DE: Geben Sie eine Zahl ein" prompt="EN: Effort in person-days_x000a_DE: Aufwand in Personentagen" sqref="D46:E54" xr:uid="{00000000-0002-0000-3E00-000002000000}"/>
    <dataValidation type="whole" allowBlank="1" showInputMessage="1" showErrorMessage="1" error="EN: please enter a whole number_x000a_DE: Bitte geben Sie eine ganze Zahl ein" prompt="EN: please enter a valid number_x000a_DE: Bitte geben Sie eine plausible Zahl ein" sqref="C47" xr:uid="{00000000-0002-0000-3E00-000003000000}">
      <formula1>1</formula1>
      <formula2>1000000</formula2>
    </dataValidation>
    <dataValidation type="decimal" allowBlank="1" showInputMessage="1" showErrorMessage="1" error="EN: please enter a number_x000a_DE: Bitte geben Sie eine Zahl ein" prompt="EN: enter a Euro value_x000a_DE Geben Sie einen Wert in Euro an" sqref="C52:C53" xr:uid="{00000000-0002-0000-3E00-000004000000}">
      <formula1>1</formula1>
      <formula2>1000000000000</formula2>
    </dataValidation>
    <dataValidation type="decimal" allowBlank="1" showInputMessage="1" showErrorMessage="1" error="EN: Enter a number _x000a_DE: Geben Sie eine Zahl ein" prompt="EN: Effort in person-days_x000a_DE: Aufwand in Personentagen" sqref="C48:C49" xr:uid="{00000000-0002-0000-3E00-000005000000}">
      <formula1>1</formula1>
      <formula2>1000000000</formula2>
    </dataValidation>
    <dataValidation type="decimal" allowBlank="1" showInputMessage="1" showErrorMessage="1" error="EN: Enter a number_x000a_DE: Geben Sie eine Zahl ein" prompt="EN: Effort in person-days_x000a_DE: Aufwand in Personentagen" sqref="C49:C51" xr:uid="{00000000-0002-0000-3E00-000006000000}">
      <formula1>1</formula1>
      <formula2>1000000000</formula2>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3E00-000007000000}">
          <x14:formula1>
            <xm:f>'Control Values'!$B$14:$B$15</xm:f>
          </x14:formula1>
          <xm:sqref>E9</xm:sqref>
        </x14:dataValidation>
        <x14:dataValidation type="list" allowBlank="1" showInputMessage="1" showErrorMessage="1" xr:uid="{00000000-0002-0000-3E00-000008000000}">
          <x14:formula1>
            <xm:f>'Control Values'!$B$29:$B$34</xm:f>
          </x14:formula1>
          <xm:sqref>C17</xm:sqref>
        </x14:dataValidation>
        <x14:dataValidation type="list" allowBlank="1" showInputMessage="1" showErrorMessage="1" xr:uid="{00000000-0002-0000-3E00-000009000000}">
          <x14:formula1>
            <xm:f>'Control Values'!$B$23:$B$26</xm:f>
          </x14:formula1>
          <xm:sqref>C16</xm:sqref>
        </x14:dataValidation>
        <x14:dataValidation type="list" allowBlank="1" showInputMessage="1" showErrorMessage="1" xr:uid="{00000000-0002-0000-3E00-00000A000000}">
          <x14:formula1>
            <xm:f>'Control Values'!$B$18:$B$19</xm:f>
          </x14:formula1>
          <xm:sqref>C13:C15</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DE93F-4A3D-4A05-92F4-96CB02C1E463}">
  <sheetPr codeName="Sheet89">
    <tabColor theme="9"/>
  </sheetPr>
  <dimension ref="A1:S60"/>
  <sheetViews>
    <sheetView zoomScale="80" zoomScaleNormal="80" workbookViewId="0">
      <selection activeCell="C10" sqref="C10"/>
    </sheetView>
  </sheetViews>
  <sheetFormatPr baseColWidth="10" defaultColWidth="11.5" defaultRowHeight="15"/>
  <cols>
    <col min="1" max="1" width="8.6640625" style="89" customWidth="1"/>
    <col min="2" max="2" width="11.5" style="89" customWidth="1"/>
    <col min="3" max="3" width="44.33203125" style="89" customWidth="1"/>
    <col min="4" max="4" width="23.1640625" style="89" customWidth="1"/>
    <col min="5" max="5" width="37.5" style="89" customWidth="1"/>
    <col min="6" max="6" width="32" style="89" customWidth="1"/>
    <col min="7" max="7" width="11.6640625" style="89" customWidth="1"/>
    <col min="8" max="11" width="32" style="89" customWidth="1"/>
    <col min="12" max="13" width="32.5" style="89" customWidth="1"/>
    <col min="14" max="14" width="26.1640625" style="89" customWidth="1"/>
    <col min="15" max="15" width="20" style="89" customWidth="1"/>
    <col min="16" max="17" width="11.5" style="89"/>
    <col min="18" max="18" width="8.5" style="89" customWidth="1"/>
    <col min="19" max="16384" width="11.5" style="89"/>
  </cols>
  <sheetData>
    <row r="1" spans="1:19" ht="19.5" customHeight="1" thickBot="1">
      <c r="B1" s="497" t="str">
        <f ca="1">COV!C20</f>
        <v>DECKBLATT BITTE VOLLSTÄNDIG AUSFÜLLEN!</v>
      </c>
      <c r="C1" s="459"/>
      <c r="D1" s="459"/>
      <c r="E1" s="459"/>
      <c r="F1" s="459"/>
      <c r="G1" s="459"/>
      <c r="H1" s="459"/>
      <c r="I1" s="459"/>
      <c r="J1" s="459"/>
      <c r="K1" s="459"/>
      <c r="L1" s="459"/>
      <c r="M1" s="459"/>
    </row>
    <row r="2" spans="1:19" ht="5.25" customHeight="1" thickTop="1"/>
    <row r="3" spans="1:19" ht="21">
      <c r="B3" s="2046" t="str">
        <f>Dictionary!B663&amp;" "&amp;'(7b) Project List'!A25&amp;", "&amp;EXP!D25&amp;": "&amp;EXP!C25</f>
        <v xml:space="preserve">Projektliste für Eintrag 17, : </v>
      </c>
      <c r="C3" s="2046"/>
      <c r="D3" s="2046"/>
      <c r="E3" s="2046"/>
      <c r="F3" s="2046"/>
      <c r="G3" s="2046"/>
      <c r="H3" s="2046"/>
      <c r="I3" s="2046"/>
      <c r="J3" s="2046"/>
      <c r="K3" s="2046"/>
      <c r="L3" s="2046"/>
      <c r="M3" s="2046"/>
    </row>
    <row r="4" spans="1:19" ht="21">
      <c r="B4" s="488"/>
      <c r="C4" s="488"/>
      <c r="D4" s="488"/>
      <c r="E4" s="488"/>
      <c r="F4" s="488"/>
      <c r="G4" s="488"/>
      <c r="H4" s="488"/>
      <c r="I4" s="488"/>
      <c r="J4" s="488"/>
      <c r="K4" s="488"/>
      <c r="L4" s="488"/>
      <c r="M4" s="488"/>
    </row>
    <row r="5" spans="1:19" ht="21">
      <c r="B5" s="489" t="str">
        <f>EXP!B5</f>
        <v xml:space="preserve"> , Level A, Projekt Management, Erstzertifizierung</v>
      </c>
      <c r="C5" s="490"/>
      <c r="D5" s="490"/>
      <c r="E5" s="490"/>
      <c r="F5" s="490"/>
      <c r="G5" s="490"/>
      <c r="H5" s="490"/>
      <c r="I5" s="490"/>
      <c r="J5" s="490"/>
      <c r="K5" s="490"/>
      <c r="L5" s="490"/>
      <c r="M5" s="490"/>
    </row>
    <row r="6" spans="1:19" ht="15" customHeight="1">
      <c r="A6" s="1284"/>
      <c r="B6" s="554"/>
      <c r="C6" s="554"/>
      <c r="D6" s="554"/>
      <c r="E6" s="554"/>
      <c r="F6" s="554"/>
      <c r="G6" s="554"/>
      <c r="H6" s="554"/>
      <c r="I6" s="554"/>
      <c r="J6" s="554"/>
      <c r="K6" s="554"/>
      <c r="L6" s="554"/>
      <c r="M6" s="554"/>
      <c r="N6" s="554"/>
      <c r="O6" s="554"/>
      <c r="P6" s="554"/>
      <c r="Q6" s="554"/>
      <c r="R6" s="554"/>
      <c r="S6" s="554"/>
    </row>
    <row r="7" spans="1:19" ht="24">
      <c r="A7" s="1284"/>
      <c r="B7" s="2171" t="str">
        <f>Dictionary!B665</f>
        <v>Nr.</v>
      </c>
      <c r="C7" s="2166" t="str">
        <f>Dictionary!B666</f>
        <v>Projektname</v>
      </c>
      <c r="D7" s="2166" t="str">
        <f>Dictionary!B667</f>
        <v>PM Domäne</v>
      </c>
      <c r="E7" s="2166" t="s">
        <v>269</v>
      </c>
      <c r="F7" s="2166" t="str">
        <f>Dictionary!B676</f>
        <v>Projekt- / Programm Typ</v>
      </c>
      <c r="G7" s="2173" t="str">
        <f>Dictionary!B677</f>
        <v>Strategisch</v>
      </c>
      <c r="H7" s="2166" t="str">
        <f>Dictionary!B670</f>
        <v>Dauer</v>
      </c>
      <c r="I7" s="2166"/>
      <c r="J7" s="2166" t="str">
        <f>Dictionary!B671</f>
        <v>Gesamtaufwand [Personentage]:</v>
      </c>
      <c r="K7" s="2166"/>
      <c r="L7" s="2166" t="str">
        <f>Dictionary!B672</f>
        <v>Gesamtbudget [€]:</v>
      </c>
      <c r="M7" s="2175"/>
      <c r="N7" s="554"/>
      <c r="O7" s="554"/>
      <c r="P7" s="554"/>
      <c r="Q7" s="554"/>
      <c r="R7" s="554"/>
      <c r="S7" s="554"/>
    </row>
    <row r="8" spans="1:19" ht="24">
      <c r="A8" s="1284"/>
      <c r="B8" s="2172"/>
      <c r="C8" s="2167"/>
      <c r="D8" s="2167"/>
      <c r="E8" s="2167"/>
      <c r="F8" s="2167"/>
      <c r="G8" s="2174"/>
      <c r="H8" s="1305" t="str">
        <f>Dictionary!B668</f>
        <v>Startdatum</v>
      </c>
      <c r="I8" s="1305" t="str">
        <f>Dictionary!B669</f>
        <v>Endtermin</v>
      </c>
      <c r="J8" s="1305" t="str">
        <f>Dictionary!B673</f>
        <v>geplant</v>
      </c>
      <c r="K8" s="1305" t="str">
        <f>Dictionary!B674</f>
        <v>realisiert</v>
      </c>
      <c r="L8" s="1305" t="str">
        <f>Dictionary!B673</f>
        <v>geplant</v>
      </c>
      <c r="M8" s="1306" t="str">
        <f>Dictionary!B674</f>
        <v>realisiert</v>
      </c>
      <c r="N8" s="554"/>
      <c r="O8" s="554"/>
      <c r="P8" s="554"/>
      <c r="Q8" s="554"/>
      <c r="R8" s="554"/>
      <c r="S8" s="554"/>
    </row>
    <row r="9" spans="1:19" ht="24" hidden="1">
      <c r="A9" s="1284"/>
      <c r="B9" s="1304" t="s">
        <v>2826</v>
      </c>
      <c r="C9" s="1297" t="s">
        <v>2827</v>
      </c>
      <c r="D9" s="1297" t="s">
        <v>2837</v>
      </c>
      <c r="E9" s="1297" t="s">
        <v>2828</v>
      </c>
      <c r="F9" s="1297" t="s">
        <v>2829</v>
      </c>
      <c r="G9" s="1298" t="s">
        <v>2830</v>
      </c>
      <c r="H9" s="1299" t="s">
        <v>2831</v>
      </c>
      <c r="I9" s="1299" t="s">
        <v>2832</v>
      </c>
      <c r="J9" s="1300" t="s">
        <v>2833</v>
      </c>
      <c r="K9" s="1300" t="s">
        <v>2834</v>
      </c>
      <c r="L9" s="1300" t="s">
        <v>2835</v>
      </c>
      <c r="M9" s="1300" t="s">
        <v>2836</v>
      </c>
      <c r="N9" s="554"/>
      <c r="O9" s="554"/>
      <c r="P9" s="554"/>
      <c r="Q9" s="554"/>
      <c r="R9" s="554"/>
      <c r="S9" s="554"/>
    </row>
    <row r="10" spans="1:19" ht="24">
      <c r="A10" s="1284"/>
      <c r="B10" s="1292">
        <v>1</v>
      </c>
      <c r="C10" s="1291"/>
      <c r="D10" s="1291"/>
      <c r="E10" s="1291"/>
      <c r="F10" s="1291"/>
      <c r="G10" s="1296"/>
      <c r="H10" s="1307"/>
      <c r="I10" s="1308"/>
      <c r="J10" s="1321"/>
      <c r="K10" s="1321"/>
      <c r="L10" s="1293"/>
      <c r="M10" s="1293"/>
      <c r="N10" s="554"/>
      <c r="O10" s="554"/>
      <c r="P10" s="554"/>
      <c r="Q10" s="554"/>
      <c r="R10" s="554"/>
      <c r="S10" s="554"/>
    </row>
    <row r="11" spans="1:19" ht="24">
      <c r="A11" s="1284"/>
      <c r="B11" s="1292">
        <v>2</v>
      </c>
      <c r="C11" s="1291"/>
      <c r="D11" s="1291"/>
      <c r="E11" s="1291"/>
      <c r="F11" s="1291"/>
      <c r="G11" s="1296"/>
      <c r="H11" s="1309"/>
      <c r="I11" s="1310"/>
      <c r="J11" s="1321"/>
      <c r="K11" s="1321"/>
      <c r="L11" s="1293"/>
      <c r="M11" s="1293"/>
      <c r="N11" s="554"/>
      <c r="O11" s="554"/>
      <c r="P11" s="554"/>
      <c r="Q11" s="554"/>
      <c r="R11" s="554"/>
      <c r="S11" s="554"/>
    </row>
    <row r="12" spans="1:19" ht="24">
      <c r="A12" s="1284"/>
      <c r="B12" s="1292">
        <v>3</v>
      </c>
      <c r="C12" s="1291"/>
      <c r="D12" s="1291"/>
      <c r="E12" s="1291"/>
      <c r="F12" s="1291"/>
      <c r="G12" s="1296"/>
      <c r="H12" s="1309"/>
      <c r="I12" s="1310"/>
      <c r="J12" s="1321"/>
      <c r="K12" s="1321"/>
      <c r="L12" s="1293"/>
      <c r="M12" s="1293"/>
      <c r="N12" s="554"/>
      <c r="O12" s="554"/>
      <c r="P12" s="554"/>
      <c r="Q12" s="554"/>
      <c r="R12" s="554"/>
      <c r="S12" s="554"/>
    </row>
    <row r="13" spans="1:19" ht="24">
      <c r="A13" s="1284"/>
      <c r="B13" s="1292">
        <v>4</v>
      </c>
      <c r="C13" s="1291"/>
      <c r="D13" s="1291"/>
      <c r="E13" s="1291"/>
      <c r="F13" s="1291"/>
      <c r="G13" s="1296"/>
      <c r="H13" s="1309"/>
      <c r="I13" s="1310"/>
      <c r="J13" s="1321"/>
      <c r="K13" s="1321"/>
      <c r="L13" s="1293"/>
      <c r="M13" s="1293"/>
      <c r="N13" s="554"/>
      <c r="O13" s="554"/>
      <c r="P13" s="554"/>
      <c r="Q13" s="554"/>
      <c r="R13" s="554"/>
      <c r="S13" s="554"/>
    </row>
    <row r="14" spans="1:19" ht="24">
      <c r="A14" s="1284"/>
      <c r="B14" s="1292">
        <v>5</v>
      </c>
      <c r="C14" s="1291"/>
      <c r="D14" s="1291"/>
      <c r="E14" s="1291"/>
      <c r="F14" s="1291"/>
      <c r="G14" s="1296"/>
      <c r="H14" s="1309"/>
      <c r="I14" s="1310"/>
      <c r="J14" s="1321"/>
      <c r="K14" s="1321"/>
      <c r="L14" s="1293"/>
      <c r="M14" s="1293"/>
      <c r="N14" s="554"/>
      <c r="O14" s="554"/>
      <c r="P14" s="554"/>
      <c r="Q14" s="554"/>
      <c r="R14" s="554"/>
      <c r="S14" s="554"/>
    </row>
    <row r="15" spans="1:19" ht="24">
      <c r="A15" s="1284"/>
      <c r="B15" s="1292">
        <v>6</v>
      </c>
      <c r="C15" s="1291"/>
      <c r="D15" s="1291"/>
      <c r="E15" s="1291"/>
      <c r="F15" s="1291"/>
      <c r="G15" s="1296"/>
      <c r="H15" s="1309"/>
      <c r="I15" s="1310"/>
      <c r="J15" s="1321"/>
      <c r="K15" s="1321"/>
      <c r="L15" s="1293"/>
      <c r="M15" s="1293"/>
      <c r="N15" s="554"/>
      <c r="O15" s="554"/>
      <c r="P15" s="554"/>
      <c r="Q15" s="554"/>
      <c r="R15" s="554"/>
      <c r="S15" s="554"/>
    </row>
    <row r="16" spans="1:19" ht="24">
      <c r="A16" s="1284"/>
      <c r="B16" s="1292">
        <v>7</v>
      </c>
      <c r="C16" s="1291"/>
      <c r="D16" s="1291"/>
      <c r="E16" s="1291"/>
      <c r="F16" s="1291"/>
      <c r="G16" s="1296"/>
      <c r="H16" s="1309"/>
      <c r="I16" s="1310"/>
      <c r="J16" s="1321"/>
      <c r="K16" s="1321"/>
      <c r="L16" s="1293"/>
      <c r="M16" s="1293"/>
      <c r="N16" s="554"/>
      <c r="O16" s="554"/>
      <c r="P16" s="554"/>
      <c r="Q16" s="554"/>
      <c r="R16" s="554"/>
      <c r="S16" s="554"/>
    </row>
    <row r="17" spans="1:19" ht="24">
      <c r="A17" s="1284"/>
      <c r="B17" s="1292">
        <v>8</v>
      </c>
      <c r="C17" s="1291"/>
      <c r="D17" s="1291"/>
      <c r="E17" s="1291"/>
      <c r="F17" s="1291"/>
      <c r="G17" s="1296"/>
      <c r="H17" s="1309"/>
      <c r="I17" s="1310"/>
      <c r="J17" s="1321"/>
      <c r="K17" s="1321"/>
      <c r="L17" s="1293"/>
      <c r="M17" s="1293"/>
      <c r="N17" s="554"/>
      <c r="O17" s="554"/>
      <c r="P17" s="554"/>
      <c r="Q17" s="554"/>
      <c r="R17" s="554"/>
      <c r="S17" s="554"/>
    </row>
    <row r="18" spans="1:19" ht="24">
      <c r="A18" s="1284"/>
      <c r="B18" s="1292">
        <v>9</v>
      </c>
      <c r="C18" s="1291"/>
      <c r="D18" s="1291"/>
      <c r="E18" s="1291"/>
      <c r="F18" s="1291"/>
      <c r="G18" s="1296"/>
      <c r="H18" s="1309"/>
      <c r="I18" s="1310"/>
      <c r="J18" s="1321"/>
      <c r="K18" s="1321"/>
      <c r="L18" s="1293"/>
      <c r="M18" s="1293"/>
      <c r="N18" s="554"/>
      <c r="O18" s="554"/>
      <c r="P18" s="554"/>
      <c r="Q18" s="554"/>
      <c r="R18" s="554"/>
      <c r="S18" s="554"/>
    </row>
    <row r="19" spans="1:19" ht="24">
      <c r="A19" s="1284"/>
      <c r="B19" s="1292">
        <v>10</v>
      </c>
      <c r="C19" s="1291"/>
      <c r="D19" s="1291"/>
      <c r="E19" s="1291"/>
      <c r="F19" s="1291"/>
      <c r="G19" s="1296"/>
      <c r="H19" s="1309"/>
      <c r="I19" s="1310"/>
      <c r="J19" s="1321"/>
      <c r="K19" s="1321"/>
      <c r="L19" s="1293"/>
      <c r="M19" s="1293"/>
      <c r="N19" s="554"/>
      <c r="O19" s="554"/>
      <c r="P19" s="554"/>
      <c r="Q19" s="554"/>
      <c r="R19" s="554"/>
      <c r="S19" s="554"/>
    </row>
    <row r="20" spans="1:19" ht="24">
      <c r="A20" s="1284"/>
      <c r="B20" s="1292">
        <v>11</v>
      </c>
      <c r="C20" s="1291"/>
      <c r="D20" s="1291"/>
      <c r="E20" s="1291"/>
      <c r="F20" s="1291"/>
      <c r="G20" s="1296"/>
      <c r="H20" s="1309"/>
      <c r="I20" s="1310"/>
      <c r="J20" s="1321"/>
      <c r="K20" s="1321"/>
      <c r="L20" s="1293"/>
      <c r="M20" s="1293"/>
      <c r="N20" s="554"/>
      <c r="O20" s="554"/>
      <c r="P20" s="554"/>
      <c r="Q20" s="554"/>
      <c r="R20" s="554"/>
      <c r="S20" s="554"/>
    </row>
    <row r="21" spans="1:19" ht="24">
      <c r="A21" s="1284"/>
      <c r="B21" s="1292">
        <v>12</v>
      </c>
      <c r="C21" s="1291"/>
      <c r="D21" s="1291"/>
      <c r="E21" s="1291"/>
      <c r="F21" s="1291"/>
      <c r="G21" s="1296"/>
      <c r="H21" s="1309"/>
      <c r="I21" s="1310"/>
      <c r="J21" s="1321"/>
      <c r="K21" s="1321"/>
      <c r="L21" s="1293"/>
      <c r="M21" s="1293"/>
      <c r="N21" s="554"/>
      <c r="O21" s="554"/>
      <c r="P21" s="554"/>
      <c r="Q21" s="554"/>
      <c r="R21" s="554"/>
      <c r="S21" s="554"/>
    </row>
    <row r="22" spans="1:19" ht="24">
      <c r="A22" s="1284"/>
      <c r="B22" s="1292">
        <v>13</v>
      </c>
      <c r="C22" s="1291"/>
      <c r="D22" s="1291"/>
      <c r="E22" s="1291"/>
      <c r="F22" s="1291"/>
      <c r="G22" s="1296"/>
      <c r="H22" s="1309"/>
      <c r="I22" s="1310"/>
      <c r="J22" s="1321"/>
      <c r="K22" s="1321"/>
      <c r="L22" s="1293"/>
      <c r="M22" s="1293"/>
      <c r="N22" s="554"/>
      <c r="O22" s="554"/>
      <c r="P22" s="554"/>
      <c r="Q22" s="554"/>
      <c r="R22" s="554"/>
      <c r="S22" s="554"/>
    </row>
    <row r="23" spans="1:19" ht="24">
      <c r="A23" s="1284"/>
      <c r="B23" s="1292">
        <v>14</v>
      </c>
      <c r="C23" s="1291"/>
      <c r="D23" s="1291"/>
      <c r="E23" s="1291"/>
      <c r="F23" s="1291"/>
      <c r="G23" s="1296"/>
      <c r="H23" s="1309"/>
      <c r="I23" s="1310"/>
      <c r="J23" s="1321"/>
      <c r="K23" s="1321"/>
      <c r="L23" s="1293"/>
      <c r="M23" s="1293"/>
      <c r="N23" s="554"/>
      <c r="O23" s="554"/>
      <c r="P23" s="554"/>
      <c r="Q23" s="554"/>
      <c r="R23" s="554"/>
      <c r="S23" s="554"/>
    </row>
    <row r="24" spans="1:19" ht="24">
      <c r="A24" s="1284"/>
      <c r="B24" s="1292">
        <v>15</v>
      </c>
      <c r="C24" s="1291"/>
      <c r="D24" s="1291"/>
      <c r="E24" s="1291"/>
      <c r="F24" s="1291"/>
      <c r="G24" s="1296"/>
      <c r="H24" s="1309"/>
      <c r="I24" s="1310"/>
      <c r="J24" s="1321"/>
      <c r="K24" s="1321"/>
      <c r="L24" s="1293"/>
      <c r="M24" s="1293"/>
      <c r="N24" s="554"/>
      <c r="O24" s="554"/>
      <c r="P24" s="554"/>
      <c r="Q24" s="554"/>
      <c r="R24" s="554"/>
      <c r="S24" s="554"/>
    </row>
    <row r="25" spans="1:19" ht="24">
      <c r="A25" s="1284"/>
      <c r="B25" s="1292">
        <v>16</v>
      </c>
      <c r="C25" s="1291"/>
      <c r="D25" s="1291"/>
      <c r="E25" s="1291"/>
      <c r="F25" s="1291"/>
      <c r="G25" s="1296"/>
      <c r="H25" s="1309"/>
      <c r="I25" s="1310"/>
      <c r="J25" s="1321"/>
      <c r="K25" s="1321"/>
      <c r="L25" s="1293"/>
      <c r="M25" s="1293"/>
      <c r="N25" s="554"/>
      <c r="O25" s="554"/>
      <c r="P25" s="554"/>
      <c r="Q25" s="554"/>
      <c r="R25" s="554"/>
      <c r="S25" s="554"/>
    </row>
    <row r="26" spans="1:19" ht="24">
      <c r="A26" s="1284"/>
      <c r="B26" s="1292">
        <v>17</v>
      </c>
      <c r="C26" s="1291"/>
      <c r="D26" s="1291"/>
      <c r="E26" s="1291"/>
      <c r="F26" s="1291"/>
      <c r="G26" s="1296"/>
      <c r="H26" s="1309"/>
      <c r="I26" s="1310"/>
      <c r="J26" s="1321"/>
      <c r="K26" s="1321"/>
      <c r="L26" s="1293"/>
      <c r="M26" s="1293"/>
      <c r="N26" s="554"/>
      <c r="O26" s="554"/>
      <c r="P26" s="554"/>
      <c r="Q26" s="554"/>
      <c r="R26" s="554"/>
      <c r="S26" s="554"/>
    </row>
    <row r="27" spans="1:19" ht="24">
      <c r="A27" s="1284"/>
      <c r="B27" s="1292">
        <v>18</v>
      </c>
      <c r="C27" s="1291"/>
      <c r="D27" s="1291"/>
      <c r="E27" s="1291"/>
      <c r="F27" s="1291"/>
      <c r="G27" s="1296"/>
      <c r="H27" s="1309"/>
      <c r="I27" s="1310"/>
      <c r="J27" s="1321"/>
      <c r="K27" s="1321"/>
      <c r="L27" s="1293"/>
      <c r="M27" s="1293"/>
      <c r="N27" s="554"/>
      <c r="O27" s="554"/>
      <c r="P27" s="554"/>
      <c r="Q27" s="554"/>
      <c r="R27" s="554"/>
      <c r="S27" s="554"/>
    </row>
    <row r="28" spans="1:19" ht="24">
      <c r="A28" s="1284"/>
      <c r="B28" s="1292">
        <v>19</v>
      </c>
      <c r="C28" s="1291"/>
      <c r="D28" s="1291"/>
      <c r="E28" s="1291"/>
      <c r="F28" s="1291"/>
      <c r="G28" s="1296"/>
      <c r="H28" s="1309"/>
      <c r="I28" s="1310"/>
      <c r="J28" s="1321"/>
      <c r="K28" s="1321"/>
      <c r="L28" s="1293"/>
      <c r="M28" s="1293"/>
      <c r="N28" s="554"/>
      <c r="O28" s="554"/>
      <c r="P28" s="554"/>
      <c r="Q28" s="554"/>
      <c r="R28" s="554"/>
      <c r="S28" s="554"/>
    </row>
    <row r="29" spans="1:19" ht="24">
      <c r="A29" s="1284"/>
      <c r="B29" s="1292">
        <v>20</v>
      </c>
      <c r="C29" s="1291"/>
      <c r="D29" s="1291"/>
      <c r="E29" s="1291"/>
      <c r="F29" s="1291"/>
      <c r="G29" s="1296"/>
      <c r="H29" s="1309"/>
      <c r="I29" s="1310"/>
      <c r="J29" s="1321"/>
      <c r="K29" s="1321"/>
      <c r="L29" s="1293"/>
      <c r="M29" s="1293"/>
      <c r="N29" s="554"/>
      <c r="O29" s="554"/>
      <c r="P29" s="554"/>
      <c r="Q29" s="554"/>
      <c r="R29" s="554"/>
      <c r="S29" s="554"/>
    </row>
    <row r="30" spans="1:19" ht="24">
      <c r="A30" s="1284"/>
      <c r="B30" s="1292">
        <v>21</v>
      </c>
      <c r="C30" s="1291"/>
      <c r="D30" s="1291"/>
      <c r="E30" s="1291"/>
      <c r="F30" s="1291"/>
      <c r="G30" s="1296"/>
      <c r="H30" s="1309"/>
      <c r="I30" s="1310"/>
      <c r="J30" s="1321"/>
      <c r="K30" s="1321"/>
      <c r="L30" s="1293"/>
      <c r="M30" s="1293"/>
      <c r="N30" s="554"/>
      <c r="O30" s="554"/>
      <c r="P30" s="554"/>
      <c r="Q30" s="554"/>
      <c r="R30" s="554"/>
      <c r="S30" s="554"/>
    </row>
    <row r="31" spans="1:19" ht="24">
      <c r="A31" s="1284"/>
      <c r="B31" s="1292">
        <v>22</v>
      </c>
      <c r="C31" s="1291"/>
      <c r="D31" s="1291"/>
      <c r="E31" s="1291"/>
      <c r="F31" s="1291"/>
      <c r="G31" s="1296"/>
      <c r="H31" s="1309"/>
      <c r="I31" s="1310"/>
      <c r="J31" s="1321"/>
      <c r="K31" s="1321"/>
      <c r="L31" s="1293"/>
      <c r="M31" s="1293"/>
      <c r="N31" s="554"/>
      <c r="O31" s="554"/>
      <c r="P31" s="554"/>
      <c r="Q31" s="554"/>
      <c r="R31" s="554"/>
      <c r="S31" s="554"/>
    </row>
    <row r="32" spans="1:19" ht="24">
      <c r="A32" s="1284"/>
      <c r="B32" s="1292">
        <v>23</v>
      </c>
      <c r="C32" s="1291"/>
      <c r="D32" s="1291"/>
      <c r="E32" s="1291"/>
      <c r="F32" s="1291"/>
      <c r="G32" s="1296"/>
      <c r="H32" s="1309"/>
      <c r="I32" s="1310"/>
      <c r="J32" s="1321"/>
      <c r="K32" s="1321"/>
      <c r="L32" s="1293"/>
      <c r="M32" s="1293"/>
      <c r="N32" s="554"/>
      <c r="O32" s="554"/>
      <c r="P32" s="554"/>
      <c r="Q32" s="554"/>
      <c r="R32" s="554"/>
      <c r="S32" s="554"/>
    </row>
    <row r="33" spans="1:19" ht="24">
      <c r="A33" s="1284"/>
      <c r="B33" s="1292">
        <v>24</v>
      </c>
      <c r="C33" s="1291"/>
      <c r="D33" s="1291"/>
      <c r="E33" s="1291"/>
      <c r="F33" s="1291"/>
      <c r="G33" s="1296"/>
      <c r="H33" s="1309"/>
      <c r="I33" s="1310"/>
      <c r="J33" s="1321"/>
      <c r="K33" s="1321"/>
      <c r="L33" s="1293"/>
      <c r="M33" s="1293"/>
      <c r="N33" s="554"/>
      <c r="O33" s="554"/>
      <c r="P33" s="554"/>
      <c r="Q33" s="554"/>
      <c r="R33" s="554"/>
      <c r="S33" s="554"/>
    </row>
    <row r="34" spans="1:19" ht="24">
      <c r="A34" s="1284"/>
      <c r="B34" s="1292">
        <v>25</v>
      </c>
      <c r="C34" s="1291"/>
      <c r="D34" s="1291"/>
      <c r="E34" s="1291"/>
      <c r="F34" s="1291"/>
      <c r="G34" s="1296"/>
      <c r="H34" s="1309"/>
      <c r="I34" s="1310"/>
      <c r="J34" s="1321"/>
      <c r="K34" s="1321"/>
      <c r="L34" s="1293"/>
      <c r="M34" s="1293"/>
      <c r="N34" s="554"/>
      <c r="O34" s="554"/>
      <c r="P34" s="554"/>
      <c r="Q34" s="554"/>
      <c r="R34" s="554"/>
      <c r="S34" s="554"/>
    </row>
    <row r="35" spans="1:19" ht="24">
      <c r="A35" s="1284"/>
      <c r="B35" s="1292">
        <v>26</v>
      </c>
      <c r="C35" s="1291"/>
      <c r="D35" s="1291"/>
      <c r="E35" s="1291"/>
      <c r="F35" s="1291"/>
      <c r="G35" s="1296"/>
      <c r="H35" s="1309"/>
      <c r="I35" s="1310"/>
      <c r="J35" s="1321"/>
      <c r="K35" s="1321"/>
      <c r="L35" s="1293"/>
      <c r="M35" s="1293"/>
      <c r="N35" s="554"/>
      <c r="O35" s="554"/>
      <c r="P35" s="554"/>
      <c r="Q35" s="554"/>
      <c r="R35" s="554"/>
      <c r="S35" s="554"/>
    </row>
    <row r="36" spans="1:19" ht="24">
      <c r="A36" s="1284"/>
      <c r="B36" s="1292">
        <v>27</v>
      </c>
      <c r="C36" s="1291"/>
      <c r="D36" s="1291"/>
      <c r="E36" s="1291"/>
      <c r="F36" s="1291"/>
      <c r="G36" s="1296"/>
      <c r="H36" s="1309"/>
      <c r="I36" s="1310"/>
      <c r="J36" s="1321"/>
      <c r="K36" s="1321"/>
      <c r="L36" s="1293"/>
      <c r="M36" s="1293"/>
      <c r="N36" s="554"/>
      <c r="O36" s="554"/>
      <c r="P36" s="554"/>
      <c r="Q36" s="554"/>
      <c r="R36" s="554"/>
      <c r="S36" s="554"/>
    </row>
    <row r="37" spans="1:19" ht="24">
      <c r="A37" s="1284"/>
      <c r="B37" s="1292">
        <v>28</v>
      </c>
      <c r="C37" s="1291"/>
      <c r="D37" s="1291"/>
      <c r="E37" s="1291"/>
      <c r="F37" s="1291"/>
      <c r="G37" s="1296"/>
      <c r="H37" s="1309"/>
      <c r="I37" s="1310"/>
      <c r="J37" s="1321"/>
      <c r="K37" s="1321"/>
      <c r="L37" s="1293"/>
      <c r="M37" s="1293"/>
      <c r="N37" s="554"/>
      <c r="O37" s="554"/>
      <c r="P37" s="554"/>
      <c r="Q37" s="554"/>
      <c r="R37" s="554"/>
      <c r="S37" s="554"/>
    </row>
    <row r="38" spans="1:19" ht="24">
      <c r="A38" s="1284"/>
      <c r="B38" s="1292">
        <v>29</v>
      </c>
      <c r="C38" s="1291"/>
      <c r="D38" s="1291"/>
      <c r="E38" s="1291"/>
      <c r="F38" s="1291"/>
      <c r="G38" s="1296"/>
      <c r="H38" s="1309"/>
      <c r="I38" s="1310"/>
      <c r="J38" s="1321"/>
      <c r="K38" s="1321"/>
      <c r="L38" s="1293"/>
      <c r="M38" s="1293"/>
      <c r="N38" s="554"/>
      <c r="O38" s="554"/>
      <c r="P38" s="554"/>
      <c r="Q38" s="554"/>
      <c r="R38" s="554"/>
      <c r="S38" s="554"/>
    </row>
    <row r="39" spans="1:19" ht="24">
      <c r="A39" s="1284"/>
      <c r="B39" s="1292">
        <v>30</v>
      </c>
      <c r="C39" s="1311"/>
      <c r="D39" s="1311"/>
      <c r="E39" s="1311"/>
      <c r="F39" s="1311"/>
      <c r="G39" s="1312"/>
      <c r="H39" s="1313"/>
      <c r="I39" s="1314"/>
      <c r="J39" s="1322"/>
      <c r="K39" s="1322"/>
      <c r="L39" s="1315"/>
      <c r="M39" s="1315"/>
      <c r="N39" s="554"/>
      <c r="O39" s="554"/>
      <c r="P39" s="554"/>
      <c r="Q39" s="554"/>
      <c r="R39" s="554"/>
      <c r="S39" s="554"/>
    </row>
    <row r="40" spans="1:19" ht="24">
      <c r="A40" s="1284"/>
      <c r="B40" s="1301"/>
      <c r="C40" s="2168" t="str">
        <f>Dictionary!B675</f>
        <v xml:space="preserve">Programm / Portfolio Verwaltung </v>
      </c>
      <c r="D40" s="2169"/>
      <c r="E40" s="2169"/>
      <c r="F40" s="2169"/>
      <c r="G40" s="2170"/>
      <c r="H40" s="1319"/>
      <c r="I40" s="1320"/>
      <c r="J40" s="1323"/>
      <c r="K40" s="1323"/>
      <c r="L40" s="1294"/>
      <c r="M40" s="1295"/>
      <c r="N40" s="554"/>
      <c r="O40" s="554"/>
      <c r="P40" s="554"/>
      <c r="Q40" s="554"/>
      <c r="R40" s="554"/>
      <c r="S40" s="554"/>
    </row>
    <row r="41" spans="1:19" ht="24">
      <c r="A41" s="1284"/>
      <c r="B41" s="1302"/>
      <c r="C41" s="1316"/>
      <c r="D41" s="1316"/>
      <c r="E41" s="1316"/>
      <c r="F41" s="1316"/>
      <c r="G41" s="1316"/>
      <c r="H41" s="2176" t="s">
        <v>2825</v>
      </c>
      <c r="I41" s="2176"/>
      <c r="J41" s="1317">
        <f>SUM(J9:J40)</f>
        <v>0</v>
      </c>
      <c r="K41" s="1317">
        <f>SUM(K9:K40)</f>
        <v>0</v>
      </c>
      <c r="L41" s="1318">
        <f>SUM(L9:L40)</f>
        <v>0</v>
      </c>
      <c r="M41" s="1318">
        <f>SUM(M9:M40)</f>
        <v>0</v>
      </c>
      <c r="N41" s="554"/>
      <c r="O41" s="554"/>
      <c r="P41" s="554"/>
      <c r="Q41" s="554"/>
      <c r="R41" s="554"/>
      <c r="S41" s="554"/>
    </row>
    <row r="42" spans="1:19" ht="24">
      <c r="B42" s="554"/>
      <c r="C42" s="554"/>
      <c r="D42" s="554"/>
      <c r="E42" s="554"/>
      <c r="F42" s="554"/>
      <c r="G42" s="554"/>
      <c r="H42" s="554"/>
      <c r="I42" s="554"/>
      <c r="J42" s="554"/>
      <c r="K42" s="554"/>
      <c r="L42" s="554"/>
      <c r="M42" s="554"/>
    </row>
    <row r="43" spans="1:19" ht="17" thickBot="1">
      <c r="B43" s="460"/>
      <c r="C43" s="460"/>
      <c r="D43" s="460"/>
      <c r="E43" s="460"/>
      <c r="F43" s="460"/>
      <c r="G43" s="460"/>
      <c r="H43" s="460"/>
      <c r="I43" s="460"/>
      <c r="J43" s="460"/>
      <c r="K43" s="460"/>
      <c r="L43" s="460"/>
      <c r="M43" s="460"/>
    </row>
    <row r="44" spans="1:19">
      <c r="M44" s="464" t="s">
        <v>105</v>
      </c>
    </row>
    <row r="50" spans="3:6" hidden="1"/>
    <row r="51" spans="3:6" hidden="1">
      <c r="C51" s="2163" t="s">
        <v>249</v>
      </c>
      <c r="D51" s="2164"/>
      <c r="E51" s="2164"/>
      <c r="F51" s="2165"/>
    </row>
    <row r="52" spans="3:6" hidden="1">
      <c r="C52" s="240"/>
      <c r="D52" s="172"/>
      <c r="E52" s="241"/>
      <c r="F52" s="241"/>
    </row>
    <row r="53" spans="3:6" hidden="1">
      <c r="C53" s="1905" t="s">
        <v>970</v>
      </c>
      <c r="D53" s="172" t="s">
        <v>1037</v>
      </c>
      <c r="E53" s="241"/>
      <c r="F53" s="241"/>
    </row>
    <row r="54" spans="3:6" hidden="1">
      <c r="C54" s="1906" t="s">
        <v>1024</v>
      </c>
      <c r="D54" s="172"/>
      <c r="E54" s="241"/>
      <c r="F54" s="241"/>
    </row>
    <row r="55" spans="3:6" hidden="1">
      <c r="C55" s="1907" t="s">
        <v>1025</v>
      </c>
      <c r="D55" s="172"/>
      <c r="E55" s="241"/>
      <c r="F55" s="241"/>
    </row>
    <row r="56" spans="3:6" hidden="1">
      <c r="C56" s="240"/>
      <c r="D56" s="172"/>
      <c r="E56" s="241"/>
      <c r="F56" s="241"/>
    </row>
    <row r="57" spans="3:6" hidden="1">
      <c r="C57" s="240"/>
      <c r="D57" s="172"/>
      <c r="E57" s="241"/>
      <c r="F57" s="241"/>
    </row>
    <row r="58" spans="3:6" hidden="1">
      <c r="C58" s="240"/>
      <c r="D58" s="172"/>
      <c r="E58" s="241"/>
      <c r="F58" s="241"/>
    </row>
    <row r="59" spans="3:6" hidden="1">
      <c r="C59" s="242"/>
      <c r="D59" s="1303"/>
      <c r="E59" s="185"/>
      <c r="F59" s="185"/>
    </row>
    <row r="60" spans="3:6" hidden="1"/>
  </sheetData>
  <sheetProtection algorithmName="SHA-512" hashValue="m4RLFsypJB4cOaAsQpliTWcnHG+iAaPYz1Av4I4DI5X2WeynoBvRLknXzbOKQZu2DKjwuovwDB59K0vE/xECUA==" saltValue="wrbX2iCjPxuTGUtoZOj3mw==" spinCount="100000" sheet="1" objects="1" scenarios="1" selectLockedCells="1"/>
  <mergeCells count="13">
    <mergeCell ref="C40:G40"/>
    <mergeCell ref="H41:I41"/>
    <mergeCell ref="C51:F51"/>
    <mergeCell ref="B3:M3"/>
    <mergeCell ref="B7:B8"/>
    <mergeCell ref="C7:C8"/>
    <mergeCell ref="D7:D8"/>
    <mergeCell ref="E7:E8"/>
    <mergeCell ref="F7:F8"/>
    <mergeCell ref="G7:G8"/>
    <mergeCell ref="H7:I7"/>
    <mergeCell ref="J7:K7"/>
    <mergeCell ref="L7:M7"/>
  </mergeCells>
  <dataValidations count="6">
    <dataValidation type="date" operator="lessThan" allowBlank="1" showInputMessage="1" showErrorMessage="1" error="EN_x000a_End must occur after start._x000a__x000a_DE_x000a_Das Ende muss nach dem Start kommen._x000a_ " sqref="H10:H40" xr:uid="{00000000-0002-0000-3F00-000000000000}">
      <formula1>I10</formula1>
    </dataValidation>
    <dataValidation type="date" operator="greaterThan" allowBlank="1" showInputMessage="1" showErrorMessage="1" error="EN_x000a_End must occur after start._x000a__x000a_DE_x000a_Das Ende muss nach dem Start kommen._x000a_ " sqref="I10:I40" xr:uid="{00000000-0002-0000-3F00-000001000000}">
      <formula1>H10</formula1>
    </dataValidation>
    <dataValidation type="list" allowBlank="1" showInputMessage="1" showErrorMessage="1" sqref="G10:G39" xr:uid="{00000000-0002-0000-3F00-000002000000}">
      <formula1>$D$53:$D$54</formula1>
    </dataValidation>
    <dataValidation type="list" allowBlank="1" showInputMessage="1" showErrorMessage="1" sqref="D10:D39" xr:uid="{00000000-0002-0000-3F00-000003000000}">
      <formula1>$C$53:$C$55</formula1>
    </dataValidation>
    <dataValidation type="whole" operator="greaterThan" allowBlank="1" showInputMessage="1" showErrorMessage="1" error="Bitte eine ganze Zahl grösser als 0 eingeben!" sqref="J9:K40 M9:M40 L10:L40" xr:uid="{00000000-0002-0000-3F00-000004000000}">
      <formula1>0</formula1>
    </dataValidation>
    <dataValidation type="whole" operator="greaterThan" allowBlank="1" showInputMessage="1" showErrorMessage="1" error="Bitte eine ganze Zahl grösser als 0 eingeben!" promptTitle="Investition" prompt="Unter Investition werden die gesamten Kosten verstanden, inkl.der personellen Aufwände." sqref="L9" xr:uid="{00000000-0002-0000-3F00-000005000000}">
      <formula1>0</formula1>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F00-000006000000}">
          <x14:formula1>
            <xm:f>'Control Values'!$B$23:$B$26</xm:f>
          </x14:formula1>
          <xm:sqref>F10:F39</xm:sqref>
        </x14:dataValidation>
      </x14:dataValidation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C2FE6-7847-4CE1-A013-C96C75E95BC1}">
  <sheetPr codeName="Sheet45">
    <tabColor theme="9" tint="-0.24994659260841701"/>
  </sheetPr>
  <dimension ref="B1:L70"/>
  <sheetViews>
    <sheetView showGridLines="0" showZeros="0" workbookViewId="0">
      <pane xSplit="8" ySplit="9" topLeftCell="I10" activePane="bottomRight" state="frozenSplit"/>
      <selection activeCell="B109" sqref="B109"/>
      <selection pane="topRight" activeCell="B109" sqref="B109"/>
      <selection pane="bottomLeft" activeCell="B109" sqref="B109"/>
      <selection pane="bottomRight" activeCell="I11" sqref="I11"/>
    </sheetView>
  </sheetViews>
  <sheetFormatPr baseColWidth="10" defaultColWidth="10" defaultRowHeight="14"/>
  <cols>
    <col min="1" max="1" width="2.6640625" style="472" customWidth="1"/>
    <col min="2" max="2" width="5.5" style="471" customWidth="1"/>
    <col min="3" max="3" width="17.1640625" style="472" customWidth="1"/>
    <col min="4" max="4" width="46.33203125" style="472" customWidth="1"/>
    <col min="5" max="8" width="26.5" style="472" customWidth="1"/>
    <col min="9" max="10" width="11.1640625" style="471" customWidth="1"/>
    <col min="11" max="11" width="55.33203125" style="473" customWidth="1"/>
    <col min="12" max="12" width="9.6640625" style="472" customWidth="1"/>
    <col min="13" max="16384" width="10" style="472"/>
  </cols>
  <sheetData>
    <row r="1" spans="2:11" ht="20.25" customHeight="1" thickBot="1">
      <c r="B1" s="497" t="str">
        <f ca="1">COV!C20</f>
        <v>DECKBLATT BITTE VOLLSTÄNDIG AUSFÜLLEN!</v>
      </c>
      <c r="C1" s="459"/>
      <c r="D1" s="459"/>
      <c r="E1" s="459"/>
      <c r="F1" s="459"/>
      <c r="G1" s="459"/>
      <c r="H1" s="459"/>
      <c r="I1" s="459"/>
      <c r="J1" s="459"/>
      <c r="K1" s="459"/>
    </row>
    <row r="2" spans="2:11" ht="5.25" customHeight="1" thickTop="1"/>
    <row r="3" spans="2:11" ht="21">
      <c r="B3" s="2046" t="str">
        <f>Dictionary!B680&amp;'(7b) Project List'!A25&amp;IF('(7b) Project List'!B25="","",": "&amp;'(7b) Project List'!B25)</f>
        <v>Bewertung der Managementkomplexität für Erfahrung 17</v>
      </c>
      <c r="C3" s="2046"/>
      <c r="D3" s="2046"/>
      <c r="E3" s="2046"/>
      <c r="F3" s="2046"/>
      <c r="G3" s="2046"/>
      <c r="H3" s="2046"/>
      <c r="I3" s="2046"/>
      <c r="J3" s="2046"/>
      <c r="K3" s="2046"/>
    </row>
    <row r="4" spans="2:11" s="498" customFormat="1" ht="21">
      <c r="B4" s="488"/>
      <c r="C4" s="488"/>
      <c r="D4" s="488"/>
      <c r="E4" s="488"/>
      <c r="F4" s="488"/>
      <c r="G4" s="488"/>
      <c r="H4" s="488"/>
      <c r="I4" s="488"/>
      <c r="J4" s="488"/>
      <c r="K4" s="488"/>
    </row>
    <row r="5" spans="2:11" s="467" customFormat="1" ht="22.5" customHeight="1">
      <c r="B5" s="489" t="str">
        <f>EXP!B5</f>
        <v xml:space="preserve"> , Level A, Projekt Management, Erstzertifizierung</v>
      </c>
      <c r="C5" s="491"/>
      <c r="D5" s="491"/>
      <c r="E5" s="492"/>
      <c r="F5" s="491"/>
      <c r="G5" s="493"/>
      <c r="H5" s="492"/>
      <c r="I5" s="492"/>
      <c r="J5" s="492"/>
      <c r="K5" s="494"/>
    </row>
    <row r="6" spans="2:11" s="467" customFormat="1" ht="20" customHeight="1">
      <c r="B6" s="466"/>
      <c r="C6" s="468"/>
      <c r="D6" s="468"/>
      <c r="E6" s="321"/>
      <c r="F6" s="2183"/>
      <c r="G6" s="2183"/>
      <c r="H6" s="2183"/>
      <c r="I6" s="469"/>
      <c r="J6" s="470"/>
    </row>
    <row r="7" spans="2:11" ht="15" customHeight="1"/>
    <row r="8" spans="2:11" s="334" customFormat="1" ht="22.25" customHeight="1">
      <c r="B8" s="2184" t="s">
        <v>294</v>
      </c>
      <c r="C8" s="2187" t="str">
        <f>Dictionary!B681</f>
        <v>Komplexitätsindikatoren und Teilindikatoren</v>
      </c>
      <c r="D8" s="2188"/>
      <c r="E8" s="2186" t="str">
        <f>Dictionary!B682</f>
        <v>Zu bewertende Kriterien:</v>
      </c>
      <c r="F8" s="2186"/>
      <c r="G8" s="2186"/>
      <c r="H8" s="2186"/>
      <c r="I8" s="2177" t="str">
        <f>Dictionary!B683</f>
        <v>Bewertungen und Kommentare</v>
      </c>
      <c r="J8" s="2178"/>
      <c r="K8" s="2179"/>
    </row>
    <row r="9" spans="2:11" s="334" customFormat="1" ht="30" customHeight="1">
      <c r="B9" s="2185"/>
      <c r="C9" s="2189"/>
      <c r="D9" s="2190"/>
      <c r="E9" s="474" t="str">
        <f>Dictionary!B684</f>
        <v>wenig komplex   (1)</v>
      </c>
      <c r="F9" s="474" t="str">
        <f>Dictionary!B685</f>
        <v>begrenzt komplex   (2)</v>
      </c>
      <c r="G9" s="474" t="str">
        <f>Dictionary!B686</f>
        <v>komplex   (3)</v>
      </c>
      <c r="H9" s="474" t="str">
        <f>Dictionary!B687</f>
        <v>sehr komplex   (4)</v>
      </c>
      <c r="I9" s="475" t="str">
        <f>Dictionary!B689</f>
        <v>Bewerber/in</v>
      </c>
      <c r="J9" s="476" t="str">
        <f>Dictionary!B690</f>
        <v>Leitende/r Assessor/in</v>
      </c>
      <c r="K9" s="476" t="str">
        <f>Dictionary!B691</f>
        <v>Anmerkungen, Kommentare, Nachweise (fakultativ)</v>
      </c>
    </row>
    <row r="10" spans="2:11" ht="30" customHeight="1">
      <c r="B10" s="477">
        <v>1</v>
      </c>
      <c r="C10" s="2180" t="str">
        <f>Dictionary!B693</f>
        <v>Indikatoren bezogen auf die technischen Fähigkeiten</v>
      </c>
      <c r="D10" s="2181"/>
      <c r="E10" s="2181"/>
      <c r="F10" s="2181"/>
      <c r="G10" s="2181"/>
      <c r="H10" s="2182"/>
      <c r="K10" s="478"/>
    </row>
    <row r="11" spans="2:11" ht="75">
      <c r="B11" s="479">
        <f>B10+0.1</f>
        <v>1.1000000000000001</v>
      </c>
      <c r="C11" s="558" t="str">
        <f>Dictionary!B694</f>
        <v>Ziele und Ergebnisse</v>
      </c>
      <c r="D11" s="558" t="str">
        <f>Dictionary!B695</f>
        <v>Anzahl und Unterschiedlichkeit der Einzelziele unter Berücksichtigung der Ziele und Erwartungen der relevanten Stakeholder, unterschiedliche Zielkategorien: Prozessziele, Nutzungsziele (Business Case), Operationalisierbarkeit, Transparenz und Abhängigkeiten</v>
      </c>
      <c r="E11" s="557" t="str">
        <f>Dictionary!B696</f>
        <v>sehr wenige klare Ziele, alle quantitativ angegeben, operabel</v>
      </c>
      <c r="F11" s="557" t="str">
        <f>Dictionary!B697</f>
        <v>wenige Ziele, gut formuliert, wenig Zielkonflikte</v>
      </c>
      <c r="G11" s="557" t="str">
        <f>Dictionary!B698</f>
        <v>mehrere Ziele unterschiedlicher Art, teilweise unklar definiert</v>
      </c>
      <c r="H11" s="557" t="str">
        <f>Dictionary!B699</f>
        <v>viele, teilweise konkurrierende  Ziele, strategische und politische Ziele, versteckte Ziele, Nutzungsziele</v>
      </c>
      <c r="I11" s="495"/>
      <c r="J11" s="495"/>
      <c r="K11" s="496"/>
    </row>
    <row r="12" spans="2:11" ht="65">
      <c r="B12" s="479">
        <f>B11+0.1</f>
        <v>1.2000000000000002</v>
      </c>
      <c r="C12" s="558" t="str">
        <f>Dictionary!B701</f>
        <v>Aufgaben und Prozesse</v>
      </c>
      <c r="D12" s="558" t="str">
        <f>Dictionary!B702</f>
        <v>Umfang der Aufgaben, Annahmen und Randbedingungen und deren Abhängigkeiten, eingesetzte Prozesse, Tools und Methoden, eingesetzte Team- und Kommunikationsstrukturen</v>
      </c>
      <c r="E12" s="557" t="str">
        <f>Dictionary!B703</f>
        <v>bekannte Aufgabenstellung und Randbedingungen; wenige Standard-/Reportingverfahren</v>
      </c>
      <c r="F12" s="557" t="str">
        <f>Dictionary!B704</f>
        <v>mehrere Aufgaben, ergänzt durch Annahmen; Einsatz bekannter Prozesse und Tools, einige Reporting-Vorgaben</v>
      </c>
      <c r="G12" s="557" t="str">
        <f>Dictionary!B705</f>
        <v>umfangreiches System von Aufgaben und Annahmen; viele Sachfaktoren; teilweise Einsatz neuartiger Tools und Prozesse, Reporting-Vorgaben</v>
      </c>
      <c r="H12" s="557" t="str">
        <f>Dictionary!B706</f>
        <v>sehr komplexe Aufgabenstellung, umfangreiches sachliches Umfeld; erfordert den Einsatz umfangreicher Prozess- und Toolwelt, strenge Reporting-Vorgaben</v>
      </c>
      <c r="I12" s="495"/>
      <c r="J12" s="495"/>
      <c r="K12" s="496"/>
    </row>
    <row r="13" spans="2:11" ht="65">
      <c r="B13" s="479">
        <f>B12+0.1</f>
        <v>1.3000000000000003</v>
      </c>
      <c r="C13" s="558" t="str">
        <f>Dictionary!B708</f>
        <v>Ressourcen und Finanzen</v>
      </c>
      <c r="D13" s="558" t="str">
        <f>Dictionary!B709</f>
        <v>Akquisition und Bereitstellung der erforderlichen Budgets sowie deren Management; Anzahl der Geldgeber; Verfügbarkeit und Qualität der notwendigen (personellen und sonstigen) Ressourcen; Ressourcen-Management und Beschaffungsprozesse</v>
      </c>
      <c r="E13" s="557" t="str">
        <f>Dictionary!B710</f>
        <v>Budget-Ermittlung ohne Verhandlung, einfache Kostenüberwachung; Ressourcen verfügbar, geringe Ressourcenkonflikte; geringfügige Beschaffungsvorgänge</v>
      </c>
      <c r="F13" s="557" t="str">
        <f>Dictionary!B711</f>
        <v>Budget-Ermittlung und  -Verhandlung; Verhandlung der benötigten Ressourcen, teilweise externe Ressourcen-Beschaffung</v>
      </c>
      <c r="G13" s="557" t="str">
        <f>Dictionary!B712</f>
        <v>Budget- und Ressourcenbeschaffung im Wettbewerb mit anderen Projekten; wesentliche Beschaffungsvorgänge</v>
      </c>
      <c r="H13" s="557" t="str">
        <f>Dictionary!B713</f>
        <v>Beschaffung wesentlicher Finanzmittel, Finanzierung durch unterschiedliche Geldgeber intern und extern; Steuerung wesentlicher Unterauftragnehmer</v>
      </c>
      <c r="I13" s="495"/>
      <c r="J13" s="495"/>
      <c r="K13" s="496"/>
    </row>
    <row r="14" spans="2:11" ht="60">
      <c r="B14" s="479">
        <f>B13+0.1</f>
        <v>1.4000000000000004</v>
      </c>
      <c r="C14" s="558" t="str">
        <f>Dictionary!B715</f>
        <v>Chancen und Risiken</v>
      </c>
      <c r="D14" s="558" t="str">
        <f>Dictionary!B716</f>
        <v xml:space="preserve">Bewertung der Chancen und Risiken im Projekt; Ermittlung und Steuerung des Risikosystems; Ableitung von validen Maßnahmen; Ermittlung und Nutzung von Chancen; Anwendung von Tools zur Steuerung des Risiko-Budgets </v>
      </c>
      <c r="E14" s="557" t="str">
        <f>Dictionary!B717</f>
        <v>wenige Risiken in überschaubarer Höhe, kein Chancen-Management</v>
      </c>
      <c r="F14" s="557" t="str">
        <f>Dictionary!B718</f>
        <v>mehrere Risiken und Chancen; stabiles Risiko-System; Management eines Risiko-Budgets</v>
      </c>
      <c r="G14" s="557" t="str">
        <f>Dictionary!B719</f>
        <v>mehrere Risiken mit begrenzter Schadenshöhe; Möglichkeit der Chancen-Nutzung zur Entlastung des Projektes</v>
      </c>
      <c r="H14" s="557" t="str">
        <f>Dictionary!B720</f>
        <v>Umfangreiches Risiko-Potential inklusive hoher strategischer Risiken; Anwendung valider Steuerungsmöglichkeiten; Meldung nach KONTRAG</v>
      </c>
      <c r="I14" s="495"/>
      <c r="J14" s="495"/>
      <c r="K14" s="496"/>
    </row>
    <row r="15" spans="2:11" s="387" customFormat="1" ht="24" customHeight="1">
      <c r="H15" s="387" t="str">
        <f>Dictionary!B721</f>
        <v>Durchschnitt der eingegebenen Detailbewertungen:</v>
      </c>
      <c r="I15" s="480" t="str">
        <f>IF(SUM(I11:I14)=0,"",ROUNDDOWN(AVERAGE(I11:I14),1))</f>
        <v/>
      </c>
      <c r="J15" s="480" t="str">
        <f>IF(SUM(J11:J14)=0,"",ROUNDDOWN(AVERAGE(J11:J14),1))</f>
        <v/>
      </c>
      <c r="K15" s="481"/>
    </row>
    <row r="16" spans="2:11">
      <c r="C16" s="473"/>
      <c r="D16" s="473"/>
      <c r="E16" s="482"/>
      <c r="F16" s="482"/>
      <c r="G16" s="482"/>
      <c r="H16" s="482"/>
    </row>
    <row r="17" spans="2:11" ht="30" customHeight="1">
      <c r="B17" s="477">
        <v>2</v>
      </c>
      <c r="C17" s="2180" t="str">
        <f>Dictionary!B723</f>
        <v>Indikatoren bezogen auf den Kontext</v>
      </c>
      <c r="D17" s="2181"/>
      <c r="E17" s="2181"/>
      <c r="F17" s="2181"/>
      <c r="G17" s="2181"/>
      <c r="H17" s="2182"/>
    </row>
    <row r="18" spans="2:11" ht="60">
      <c r="B18" s="479">
        <f>B17+0.1</f>
        <v>2.1</v>
      </c>
      <c r="C18" s="558" t="str">
        <f>Dictionary!B724</f>
        <v xml:space="preserve">Strategie, Stakeholder </v>
      </c>
      <c r="D18" s="558" t="str">
        <f>Dictionary!B725</f>
        <v>Einfluss der Unternehmens-Strategie, Auswirkungen des Projektes auf das Unternehmen, Stakeholder-Interessen;
Gesetze und Regularien</v>
      </c>
      <c r="E18" s="559" t="str">
        <f>Dictionary!B726</f>
        <v>wenige strategische Einflüsse; Projekt ist rein operativ ausgerichtet</v>
      </c>
      <c r="F18" s="559" t="str">
        <f>Dictionary!B727</f>
        <v>Stakeholder-Interessen  beeinflussen das Projekt begrenzte Einflüsse aus der Unternehmens-Strategie</v>
      </c>
      <c r="G18" s="559" t="str">
        <f>Dictionary!B728</f>
        <v>Viele Komponenten (?) unterschiedlicher Art</v>
      </c>
      <c r="H18" s="559" t="str">
        <f>Dictionary!B729</f>
        <v>Projekt hat erheblichen Einfluss auf das Unternehmen und seinen Erfolg; starke Auswirkungen von Gesetzen und Regularien</v>
      </c>
      <c r="I18" s="495"/>
      <c r="J18" s="495"/>
      <c r="K18" s="496"/>
    </row>
    <row r="19" spans="2:11" ht="135">
      <c r="B19" s="479">
        <f>B18+0.1</f>
        <v>2.2000000000000002</v>
      </c>
      <c r="C19" s="558" t="str">
        <f>Dictionary!B731</f>
        <v>Stammorganisation</v>
      </c>
      <c r="D19" s="558" t="str">
        <f>Dictionary!B732</f>
        <v>Umfang der Vernetzung über Schnittstellen des Projektes mit den Strukturen, Berichtswesen und Entscheidungswegen der Stammorganisation</v>
      </c>
      <c r="E19" s="559" t="str">
        <f>Dictionary!B733</f>
        <v xml:space="preserve">starke Abgrenzung des Projektes von der Stammorganisation, Entscheidungen fallen wesentlich in der Stammorganisation, viele ähnliche Projekte wurden bereits im Unternehmen durchgeführt </v>
      </c>
      <c r="F19" s="559" t="str">
        <f>Dictionary!B734</f>
        <v>klare Schnittstellen zur Stammorganisation z.B. über Leitungsgremium; Berichtswesen und Entscheidungswege begrenzt und klar definiert Projekt hat geringe Auswirkungen auf Prozesse der Stammorganisation,  ähnliche Projekte wurden bereits im Unternehmen durchgeführt</v>
      </c>
      <c r="G19" s="559" t="str">
        <f>Dictionary!B735</f>
        <v>viele operative Schnittstellen wirken auf  das Projekt ein; Berichte und Entscheidungen machen erheblichen Arbeitsanteil aus, Projekt hat  Auswirkungen auf Prozesse der Stammorganisation, wenige ähnliche Projekte wurden bereits im Unternehmen durchgeführt</v>
      </c>
      <c r="H19" s="559" t="str">
        <f>Dictionary!B736</f>
        <v>Starke Einflüsse der Stammorganisation auf strategischer Ebene; Entscheidungen durch Verhandlungen mit der Stammorganisation, Projekt hat starke Auswirkungen auf Prozesse der Stammorganisation , Projekt ist neuartig für Unternehmen</v>
      </c>
      <c r="I19" s="495"/>
      <c r="J19" s="495"/>
      <c r="K19" s="496"/>
    </row>
    <row r="20" spans="2:11" ht="65">
      <c r="B20" s="479">
        <f>B19+0.1</f>
        <v>2.3000000000000003</v>
      </c>
      <c r="C20" s="558" t="str">
        <f>Dictionary!B738</f>
        <v>Sozio-Kulturelle Einflüsse</v>
      </c>
      <c r="D20" s="558" t="str">
        <f>Dictionary!B739</f>
        <v>Einfluss der sozio-kulturellen Unterschiede im Projektteam, insbesondere bei verteilten oder Firmen-übergreifenden Teams</v>
      </c>
      <c r="E20" s="557" t="str">
        <f>Dictionary!B740</f>
        <v>keine Auswirkungen zu erwarten (Projekt an einem Standort, eine Sprache, homogene Projektgruppe)</v>
      </c>
      <c r="F20" s="557" t="str">
        <f>Dictionary!B741</f>
        <v>wenig Auswirkungen zu erwarten</v>
      </c>
      <c r="G20" s="557" t="str">
        <f>Dictionary!B742</f>
        <v>Auswirkungen infolge lokal verteilter Teams, mehreren Sprachen oder heterogenen Kulturkreisen erfordern in Einzelfällen Führungsmaßnahmen</v>
      </c>
      <c r="H20" s="557" t="str">
        <f>Dictionary!B743</f>
        <v>Auswirkungen infolge lokal verteilter Teams oder großer Teams aus unterschiedlichen Unternehmen und Kulturkreisen erfordern umfangreiche Führungsmaßnahmen</v>
      </c>
      <c r="I20" s="495"/>
      <c r="J20" s="495"/>
      <c r="K20" s="496"/>
    </row>
    <row r="21" spans="2:11" s="387" customFormat="1" ht="24" customHeight="1">
      <c r="H21" s="387" t="str">
        <f>Dictionary!B744</f>
        <v>Durchschnitt der eingegebenen Detailbewertungen:</v>
      </c>
      <c r="I21" s="480" t="str">
        <f>IF(SUM(I18:I20)=0,"",ROUNDDOWN(AVERAGE(I18:I20),1))</f>
        <v/>
      </c>
      <c r="J21" s="480" t="str">
        <f>IF(SUM(J18:J20)=0,"",ROUNDDOWN(AVERAGE(J18:J20),1))</f>
        <v/>
      </c>
      <c r="K21" s="481"/>
    </row>
    <row r="22" spans="2:11">
      <c r="C22" s="473"/>
      <c r="D22" s="473"/>
      <c r="E22" s="482"/>
      <c r="F22" s="482"/>
      <c r="G22" s="482"/>
      <c r="H22" s="482"/>
    </row>
    <row r="23" spans="2:11" ht="30" customHeight="1">
      <c r="B23" s="477">
        <v>3</v>
      </c>
      <c r="C23" s="2180" t="str">
        <f>Dictionary!B746</f>
        <v>Indikatoren bezogen auf Management und Führung</v>
      </c>
      <c r="D23" s="2181"/>
      <c r="E23" s="2181"/>
      <c r="F23" s="2181"/>
      <c r="G23" s="2181"/>
      <c r="H23" s="2182"/>
    </row>
    <row r="24" spans="2:11" ht="90">
      <c r="B24" s="479">
        <f>B23+0.1</f>
        <v>3.1</v>
      </c>
      <c r="C24" s="560" t="str">
        <f>Dictionary!B747</f>
        <v xml:space="preserve">Führung und Teamwork </v>
      </c>
      <c r="D24" s="560" t="str">
        <f>Dictionary!B748</f>
        <v>Umfang der Führungs-, Teambildungs und-Steuerungsmaßnahmen</v>
      </c>
      <c r="E24" s="559" t="str">
        <f>Dictionary!B749</f>
        <v>fast alle Teammitglieder haben bereits mit PL gearbeitet, PL hat Erfahrung im Mgt von Teams über 5 J, Governance Vorgaben sind klar definiert, das Projektteam hat hohe PM Skills</v>
      </c>
      <c r="F24" s="559" t="str">
        <f>Dictionary!B750</f>
        <v>sehr viele Teammitglieder haben bereits mit PL gearbeitet, PL hat Erfahrung im Mgt von Teams über 3 J, governance Vorgaben sind teilweise definiert, das Projektteam hat  PM Skills</v>
      </c>
      <c r="G24" s="559" t="str">
        <f>Dictionary!B751</f>
        <v>viele Teammitglieder haben bereits mit PL gearbeitet, PL hat Erfahrung im Mgt von Teams über 1-2 J, einige Governance Vorgaben sind klar definiert, das Projektteam hat einige PM Skills</v>
      </c>
      <c r="H24" s="559" t="str">
        <f>Dictionary!B752</f>
        <v>wenige Teammitglieder haben bereits mit PL gearbeitet, PL hat Erfahrung im Mgt von Teams weniger 1J, wenige Governance Vorgaben sind definiert, das Projektteam hat sehr wenig PM Skills</v>
      </c>
      <c r="I24" s="495"/>
      <c r="J24" s="495"/>
      <c r="K24" s="496"/>
    </row>
    <row r="25" spans="2:11" ht="91" customHeight="1">
      <c r="B25" s="479">
        <f>B24+0.1</f>
        <v>3.2</v>
      </c>
      <c r="C25" s="558" t="str">
        <f>Dictionary!B754</f>
        <v xml:space="preserve"> Innovation</v>
      </c>
      <c r="D25" s="558" t="str">
        <f>Dictionary!B755</f>
        <v>technische Neuartigkeit des Projektes und seine Auswirkungen auf Ressourcenauswahl und Aus- und Weiterbildung während des Projektes; Umgang mit neuartigen Ansätzen und Ergebnissen</v>
      </c>
      <c r="E25" s="559" t="str">
        <f>Dictionary!B756</f>
        <v>kein Handlungsbedarf infolge geringer Neuartigkeit, z.B. Wiederholprojekte</v>
      </c>
      <c r="F25" s="559" t="str">
        <f>Dictionary!B757</f>
        <v>einige Maßnahmen erforderlich infolge der Neuartigkeit in einzelnen Bereichen</v>
      </c>
      <c r="G25" s="559" t="str">
        <f>Dictionary!B758</f>
        <v>Neuartigkeit des Projektgegenstandes und/oder von Prozessen bedingt vorbereitende Qualifizerungsmaßnahmen</v>
      </c>
      <c r="H25" s="559" t="str">
        <f>Dictionary!B759</f>
        <v xml:space="preserve">Neuartigkeit des Projektgegenstandes und/oder von Prozessen in Verbindung mit großem Projektvolumen bedingt Planung der Qualifizierung, aber auch intensives Risiko-Management </v>
      </c>
      <c r="I25" s="495"/>
      <c r="J25" s="495"/>
      <c r="K25" s="496"/>
    </row>
    <row r="26" spans="2:11" ht="60">
      <c r="B26" s="479">
        <f>B25+0.1</f>
        <v>3.3000000000000003</v>
      </c>
      <c r="C26" s="558" t="str">
        <f>Dictionary!B761</f>
        <v>Autonomie und Verantwortung</v>
      </c>
      <c r="D26" s="558" t="str">
        <f>Dictionary!B762</f>
        <v>Entscheidungs- und Verantwortungsspielraum des Projektleiters; Umfang der Delegation in das Projektteam; Vertretung des Projektes gegenüber dem gesamten sozialen Umfeld</v>
      </c>
      <c r="E26" s="559" t="str">
        <f>Dictionary!B763</f>
        <v xml:space="preserve">wenig Autonomie/Gestaltungsspielräume des PL bzgl. Entscheidungen und Vertretung des Projektes nach aussen </v>
      </c>
      <c r="F26" s="559" t="str">
        <f>Dictionary!B764</f>
        <v>Verhandlung Lasten- und Pflichtenheft; Gesaltungs-spielräume ergeben sich hauptsächlich durch Änderungsprozesse</v>
      </c>
      <c r="G26" s="559" t="str">
        <f>Dictionary!B765</f>
        <v>Projektleiter vertritt das Projekt und damit auch das Unternehmen auch gegenüber externen Stakeholdern</v>
      </c>
      <c r="H26" s="559" t="str">
        <f>Dictionary!B766</f>
        <v>umfangreiche Verantwortungs- und Entscheidungsspielräume, z.B. durch Vollmachts- oder Unterschriftenregelung</v>
      </c>
      <c r="I26" s="495"/>
      <c r="J26" s="495"/>
      <c r="K26" s="496"/>
    </row>
    <row r="27" spans="2:11" s="387" customFormat="1" ht="24" customHeight="1">
      <c r="H27" s="387" t="str">
        <f>Dictionary!B767</f>
        <v>Durchschnitt der eingegebenen Detailbewertungen:</v>
      </c>
      <c r="I27" s="480" t="str">
        <f>IF(SUM(I24:I26)=0,"",ROUNDDOWN(AVERAGE(I24:I26),1))</f>
        <v/>
      </c>
      <c r="J27" s="480" t="str">
        <f>IF(SUM(J24:J26)=0,"",ROUNDDOWN(AVERAGE(J24:J26),1))</f>
        <v/>
      </c>
      <c r="K27" s="481"/>
    </row>
    <row r="28" spans="2:11">
      <c r="C28" s="473"/>
      <c r="D28" s="473"/>
      <c r="E28" s="482"/>
      <c r="F28" s="482"/>
      <c r="G28" s="482"/>
      <c r="H28" s="482"/>
    </row>
    <row r="29" spans="2:11" ht="17" customHeight="1"/>
    <row r="30" spans="2:11" ht="17" customHeight="1">
      <c r="F30" s="334" t="str">
        <f>Dictionary!B768</f>
        <v>Zusammenfassende Bewertungen (gerundet)</v>
      </c>
    </row>
    <row r="31" spans="2:11" ht="17" customHeight="1">
      <c r="G31" s="483" t="str">
        <f>Dictionary!B769</f>
        <v>Indikator</v>
      </c>
      <c r="H31" s="471">
        <v>1</v>
      </c>
      <c r="I31" s="484" t="str">
        <f>IF(I15="","",I15)</f>
        <v/>
      </c>
      <c r="J31" s="484" t="str">
        <f>IF(J15="","",J15)</f>
        <v/>
      </c>
    </row>
    <row r="32" spans="2:11" ht="17" customHeight="1">
      <c r="G32" s="483" t="str">
        <f>Dictionary!B769</f>
        <v>Indikator</v>
      </c>
      <c r="H32" s="471">
        <f>1+H31</f>
        <v>2</v>
      </c>
      <c r="I32" s="485" t="str">
        <f>IF(I21="","",I21)</f>
        <v/>
      </c>
      <c r="J32" s="485" t="str">
        <f>IF(J21="","",J21)</f>
        <v/>
      </c>
    </row>
    <row r="33" spans="2:12" ht="17" customHeight="1">
      <c r="G33" s="483" t="str">
        <f>Dictionary!B769</f>
        <v>Indikator</v>
      </c>
      <c r="H33" s="471">
        <f>1+H32</f>
        <v>3</v>
      </c>
      <c r="I33" s="485" t="str">
        <f>IF(I27="","",I27)</f>
        <v/>
      </c>
      <c r="J33" s="485" t="str">
        <f>IF(J27="","",J27)</f>
        <v/>
      </c>
    </row>
    <row r="34" spans="2:12" s="473" customFormat="1" ht="17" customHeight="1">
      <c r="B34" s="471"/>
      <c r="C34" s="472"/>
      <c r="D34" s="472"/>
      <c r="E34" s="472"/>
      <c r="F34" s="472"/>
      <c r="G34" s="472"/>
      <c r="H34" s="387" t="str">
        <f>Dictionary!B770</f>
        <v xml:space="preserve">Gesamtbewertung   </v>
      </c>
      <c r="I34" s="485">
        <f>SUM(I11:I14)+SUM(I18:I20)+SUM(I24:I26)</f>
        <v>0</v>
      </c>
      <c r="J34" s="485">
        <f>SUM(J11:J14)+SUM(J18:J20)+SUM(J24:J26)</f>
        <v>0</v>
      </c>
      <c r="L34" s="472"/>
    </row>
    <row r="35" spans="2:12" s="473" customFormat="1" ht="17" customHeight="1">
      <c r="B35" s="471"/>
      <c r="C35" s="472"/>
      <c r="D35" s="472"/>
      <c r="E35" s="472"/>
      <c r="F35" s="472"/>
      <c r="G35" s="472"/>
      <c r="H35" s="387"/>
      <c r="I35" s="486"/>
      <c r="J35" s="486"/>
      <c r="L35" s="472"/>
    </row>
    <row r="36" spans="2:12" s="473" customFormat="1" ht="17" customHeight="1">
      <c r="B36" s="471"/>
      <c r="C36" s="487"/>
      <c r="D36" s="487"/>
      <c r="E36" s="472"/>
      <c r="F36" s="472"/>
      <c r="G36" s="472"/>
      <c r="H36" s="472"/>
      <c r="I36" s="471"/>
      <c r="J36" s="471"/>
      <c r="L36" s="472"/>
    </row>
    <row r="37" spans="2:12" s="473" customFormat="1" ht="17" customHeight="1" thickBot="1">
      <c r="B37" s="460"/>
      <c r="C37" s="460"/>
      <c r="D37" s="460"/>
      <c r="E37" s="460"/>
      <c r="F37" s="460"/>
      <c r="G37" s="460"/>
      <c r="H37" s="460"/>
      <c r="I37" s="460"/>
      <c r="J37" s="460"/>
      <c r="K37" s="460"/>
      <c r="L37" s="472"/>
    </row>
    <row r="38" spans="2:12" s="473" customFormat="1" ht="17" customHeight="1">
      <c r="B38" s="89"/>
      <c r="C38" s="89"/>
      <c r="D38" s="89"/>
      <c r="F38" s="472"/>
      <c r="G38" s="472"/>
      <c r="H38" s="472"/>
      <c r="I38" s="471"/>
      <c r="J38" s="471"/>
      <c r="K38" s="464" t="s">
        <v>105</v>
      </c>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ht="17" customHeight="1"/>
    <row r="50" ht="17" customHeight="1"/>
    <row r="51" ht="17" customHeight="1"/>
    <row r="52" ht="17" customHeight="1"/>
    <row r="53" ht="17" customHeight="1"/>
    <row r="54" ht="17" customHeight="1"/>
    <row r="55" ht="17" customHeight="1"/>
    <row r="56" ht="17" customHeight="1"/>
    <row r="57" ht="17" customHeight="1"/>
    <row r="58" ht="17" customHeight="1"/>
    <row r="59" ht="17" customHeight="1"/>
    <row r="60" ht="17" customHeight="1"/>
    <row r="61" ht="17" customHeight="1"/>
    <row r="62" ht="17" customHeight="1"/>
    <row r="63" ht="17" customHeight="1"/>
    <row r="64" ht="17" customHeight="1"/>
    <row r="65" ht="17" customHeight="1"/>
    <row r="66" ht="17" customHeight="1"/>
    <row r="67" ht="17" customHeight="1"/>
    <row r="68" ht="17" customHeight="1"/>
    <row r="69" ht="17" customHeight="1"/>
    <row r="70" ht="17" customHeight="1"/>
  </sheetData>
  <sheetProtection algorithmName="SHA-512" hashValue="L/sF1oLoVOXHxw1NtGzQB4zbrX1JMF/B5vXLRIULIfAfQ8zu3rNbuprxzX8WH81uPbhDZVgNiBlMJ1YDZ9lQIA==" saltValue="hkKHQcgU/Nk40ZpzZUVQ0g==" spinCount="100000" sheet="1" objects="1" scenarios="1" selectLockedCells="1"/>
  <mergeCells count="9">
    <mergeCell ref="C10:H10"/>
    <mergeCell ref="C17:H17"/>
    <mergeCell ref="C23:H23"/>
    <mergeCell ref="B3:K3"/>
    <mergeCell ref="F6:H6"/>
    <mergeCell ref="B8:B9"/>
    <mergeCell ref="C8:D9"/>
    <mergeCell ref="E8:H8"/>
    <mergeCell ref="I8:K8"/>
  </mergeCells>
  <conditionalFormatting sqref="I35:J35">
    <cfRule type="cellIs" dxfId="371" priority="1" operator="equal">
      <formula>"Yes"</formula>
    </cfRule>
    <cfRule type="cellIs" dxfId="370" priority="2" operator="equal">
      <formula>"No"</formula>
    </cfRule>
  </conditionalFormatting>
  <dataValidations count="1">
    <dataValidation type="whole" allowBlank="1" showInputMessage="1" showErrorMessage="1" sqref="I11:J14 I18:J20 I24:J26" xr:uid="{00000000-0002-0000-40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Experience_Eval">
    <tabColor rgb="FFC00000"/>
  </sheetPr>
  <dimension ref="A1:HH69"/>
  <sheetViews>
    <sheetView zoomScale="80" zoomScaleNormal="80" workbookViewId="0">
      <pane xSplit="7" ySplit="6" topLeftCell="H7" activePane="bottomRight" state="frozen"/>
      <selection pane="topRight" activeCell="H1" sqref="H1"/>
      <selection pane="bottomLeft" activeCell="A5" sqref="A5"/>
      <selection pane="bottomRight" activeCell="Z7" sqref="Z7"/>
    </sheetView>
  </sheetViews>
  <sheetFormatPr baseColWidth="10" defaultColWidth="10.83203125" defaultRowHeight="14" outlineLevelCol="1"/>
  <cols>
    <col min="1" max="1" width="10.83203125" style="243"/>
    <col min="2" max="2" width="11.1640625" style="244" customWidth="1"/>
    <col min="3" max="3" width="11.5" style="244" hidden="1" customWidth="1"/>
    <col min="4" max="4" width="11.1640625" style="244" customWidth="1"/>
    <col min="5" max="5" width="11.5" style="244" hidden="1" customWidth="1"/>
    <col min="6" max="7" width="8.83203125" style="244" customWidth="1"/>
    <col min="8" max="8" width="1.33203125" style="244" customWidth="1"/>
    <col min="9" max="9" width="12.83203125" style="244" customWidth="1"/>
    <col min="10" max="14" width="12.83203125" style="244" customWidth="1" outlineLevel="1"/>
    <col min="15" max="15" width="15.83203125" style="244" customWidth="1"/>
    <col min="16" max="18" width="15.83203125" style="244" customWidth="1" outlineLevel="1"/>
    <col min="19" max="19" width="17.6640625" style="244" customWidth="1"/>
    <col min="20" max="20" width="17.6640625" style="244" customWidth="1" outlineLevel="1"/>
    <col min="21" max="22" width="13.83203125" style="244" customWidth="1" outlineLevel="1"/>
    <col min="23" max="23" width="1.33203125" style="244" customWidth="1"/>
    <col min="24" max="24" width="11.83203125" style="244" customWidth="1"/>
    <col min="25" max="25" width="18.1640625" style="244" bestFit="1" customWidth="1"/>
    <col min="26" max="27" width="12.33203125" style="243" customWidth="1"/>
    <col min="28" max="28" width="26.33203125" style="243" customWidth="1"/>
    <col min="29" max="29" width="14.5" style="243" customWidth="1"/>
    <col min="30" max="30" width="11" style="243" customWidth="1"/>
    <col min="31" max="31" width="15.1640625" style="253" customWidth="1"/>
    <col min="32" max="32" width="15.1640625" style="243" customWidth="1"/>
    <col min="33" max="33" width="3" style="248" customWidth="1"/>
    <col min="34" max="34" width="8.1640625" style="255" customWidth="1"/>
    <col min="35" max="37" width="8.1640625" style="243" customWidth="1"/>
    <col min="38" max="38" width="9.83203125" style="248" customWidth="1"/>
    <col min="39" max="183" width="2.5" style="248" customWidth="1"/>
    <col min="184" max="197" width="0" style="248" hidden="1" customWidth="1"/>
    <col min="198" max="200" width="10.83203125" style="248" hidden="1" customWidth="1"/>
    <col min="201" max="16384" width="10.83203125" style="248"/>
  </cols>
  <sheetData>
    <row r="1" spans="1:216" ht="17.25" customHeight="1"/>
    <row r="2" spans="1:216" ht="15">
      <c r="B2" s="2227" t="str">
        <f>Dictionary!B776</f>
        <v>Bewerber/-in:</v>
      </c>
      <c r="C2" s="2227"/>
      <c r="D2" s="2227"/>
      <c r="O2" s="1747"/>
      <c r="P2" s="1747"/>
      <c r="Q2" s="1747"/>
      <c r="R2" s="1747"/>
      <c r="S2" s="156"/>
      <c r="T2" s="156"/>
      <c r="U2" s="156"/>
      <c r="V2" s="1745" t="str">
        <f>COV!$L$26</f>
        <v>PM ZERT</v>
      </c>
      <c r="AB2" s="291" t="str">
        <f>Dictionary!B801</f>
        <v>Auswertung zeigen für:</v>
      </c>
      <c r="AE2" s="668" t="str">
        <f>Dictionary!B813</f>
        <v>Zertifizierungsdatum</v>
      </c>
      <c r="AF2" s="247">
        <f>'(7b) Project List'!F5</f>
        <v>0</v>
      </c>
      <c r="AH2" s="531" t="str">
        <f>'(7c) Project Schedule'!N1</f>
        <v/>
      </c>
      <c r="GQ2" s="1944" t="s">
        <v>4208</v>
      </c>
    </row>
    <row r="3" spans="1:216" ht="15">
      <c r="A3" s="249"/>
      <c r="B3" s="2228" t="str">
        <f>'(7b) Project List'!C4</f>
        <v xml:space="preserve">, </v>
      </c>
      <c r="C3" s="2229"/>
      <c r="D3" s="2230"/>
      <c r="E3" s="250"/>
      <c r="F3" s="250"/>
      <c r="G3" s="250"/>
      <c r="H3" s="250"/>
      <c r="I3" s="2232" t="str">
        <f>Dictionary!B800</f>
        <v>Angenommene VZÄ PT pro Jahr:</v>
      </c>
      <c r="J3" s="2232"/>
      <c r="K3" s="2232"/>
      <c r="L3" s="2232"/>
      <c r="M3" s="534">
        <v>220</v>
      </c>
      <c r="O3" s="250"/>
      <c r="P3" s="250"/>
      <c r="Q3" s="250"/>
      <c r="R3" s="250"/>
      <c r="S3" s="64"/>
      <c r="T3" s="64"/>
      <c r="U3" s="64"/>
      <c r="V3" s="1746" t="str">
        <f>COV!$D$94</f>
        <v/>
      </c>
      <c r="W3" s="250"/>
      <c r="X3" s="250"/>
      <c r="Y3" s="250"/>
      <c r="Z3" s="1945"/>
      <c r="AB3" s="1951" t="s">
        <v>4209</v>
      </c>
      <c r="AF3" s="254" t="str">
        <f>IF(ISERROR('(7c) Project Schedule'!L2),"",'(7c) Project Schedule'!L2)</f>
        <v xml:space="preserve"> </v>
      </c>
      <c r="GQ3" s="1550" t="s">
        <v>4209</v>
      </c>
    </row>
    <row r="4" spans="1:216" ht="15">
      <c r="A4" s="245" t="str">
        <f>Dictionary!B777</f>
        <v>Zert. Typ:</v>
      </c>
      <c r="B4" s="246" t="str">
        <f>IF(RE_CERT="",IF(UPGRADE_FLAG="","E","H"),"R")</f>
        <v>E</v>
      </c>
      <c r="C4" s="532"/>
      <c r="D4" s="250"/>
      <c r="E4" s="250"/>
      <c r="F4" s="250"/>
      <c r="G4" s="250"/>
      <c r="H4" s="250"/>
      <c r="I4" s="250"/>
      <c r="J4" s="250"/>
      <c r="K4" s="250"/>
      <c r="L4" s="250"/>
      <c r="M4" s="250"/>
      <c r="O4" s="250"/>
      <c r="P4" s="250"/>
      <c r="Q4" s="250"/>
      <c r="R4" s="250"/>
      <c r="S4" s="250"/>
      <c r="T4" s="250"/>
      <c r="U4" s="250"/>
      <c r="V4" s="250"/>
      <c r="W4" s="250"/>
      <c r="X4" s="250"/>
      <c r="Y4" s="250"/>
      <c r="Z4" s="1946"/>
      <c r="AA4" s="251"/>
      <c r="AF4" s="253"/>
      <c r="AG4" s="253"/>
      <c r="GQ4" s="1550" t="s">
        <v>4210</v>
      </c>
    </row>
    <row r="5" spans="1:216">
      <c r="A5" s="251" t="str">
        <f>Dictionary!B778</f>
        <v>Level:</v>
      </c>
      <c r="B5" s="252" t="str">
        <f>'(7b) Project List'!C5</f>
        <v>A</v>
      </c>
      <c r="C5" s="532"/>
      <c r="D5" s="263" t="str">
        <f>APPLICATION_DOM</f>
        <v>Projekt</v>
      </c>
      <c r="E5" s="250"/>
      <c r="F5" s="250"/>
      <c r="G5" s="250"/>
      <c r="I5" s="2231" t="str">
        <f>Dictionary!B799</f>
        <v>PM-Inspektor</v>
      </c>
      <c r="J5" s="2231"/>
      <c r="K5" s="2231"/>
      <c r="L5" s="2231"/>
      <c r="M5" s="2231"/>
      <c r="N5" s="2231"/>
      <c r="O5" s="2231"/>
      <c r="P5" s="2231"/>
      <c r="Q5" s="2231"/>
      <c r="R5" s="2231"/>
      <c r="S5" s="2231"/>
      <c r="T5" s="2231"/>
      <c r="U5" s="2231"/>
      <c r="V5" s="2231"/>
      <c r="W5" s="298"/>
      <c r="X5" s="298"/>
      <c r="Y5" s="298"/>
      <c r="Z5" s="1946"/>
      <c r="AA5" s="251"/>
      <c r="AC5" s="533"/>
      <c r="AF5" s="253"/>
      <c r="AG5" s="253"/>
    </row>
    <row r="6" spans="1:216" s="257" customFormat="1" ht="81.75" customHeight="1">
      <c r="A6" s="243" t="str">
        <f>Dictionary!B779</f>
        <v>Projekte</v>
      </c>
      <c r="B6" s="1488" t="str">
        <f>Dictionary!B780</f>
        <v>Beginn der PM-Aktivität
MM.JJJJ</v>
      </c>
      <c r="C6" s="1488"/>
      <c r="D6" s="1488" t="str">
        <f>Dictionary!B781</f>
        <v>Ende der PM-Aktivität
MM.JJJJ</v>
      </c>
      <c r="E6" s="1488"/>
      <c r="F6" s="1488" t="str">
        <f>Dictionary!B782</f>
        <v>Komplex. Bewerber</v>
      </c>
      <c r="G6" s="1488" t="str">
        <f>Dictionary!B783</f>
        <v>Komplex. Assessor</v>
      </c>
      <c r="H6" s="298"/>
      <c r="I6" s="1490" t="str">
        <f>Dictionary!B784</f>
        <v>Laufzeit gemäß Auftrag/ Steckbr. [Monate]</v>
      </c>
      <c r="J6" s="1491" t="str">
        <f>Dictionary!B786</f>
        <v>PM-Aufwand gemäß Auftrag / Steckbr. [PT]</v>
      </c>
      <c r="K6" s="1491" t="str">
        <f>Dictionary!B785</f>
        <v>Angegebene Auslastung</v>
      </c>
      <c r="L6" s="1492" t="str">
        <f>Dictionary!B787</f>
        <v>Erf. PT-Aufwand für angeg. PM-Erfahrung</v>
      </c>
      <c r="M6" s="1492" t="str">
        <f>Dictionary!B788</f>
        <v>Max. mögl. PM-Erfahrung mit angeg. PT-Budget [%]</v>
      </c>
      <c r="N6" s="1492" t="str">
        <f>Dictionary!B789</f>
        <v>Diff. zwischen angegeb. und verfügb. PM-Erfahrung</v>
      </c>
      <c r="O6" s="1491" t="str">
        <f>Dictionary!B790</f>
        <v>angeg. Teamgröße insgesamt</v>
      </c>
      <c r="P6" s="1491" t="str">
        <f>Dictionary!B791</f>
        <v>angeg. Budgetmittel (Aufwand) [EUR]</v>
      </c>
      <c r="Q6" s="1491" t="str">
        <f>Dictionary!B792</f>
        <v>angeg. Budgetmittel (Sachmittel) [EUR]</v>
      </c>
      <c r="R6" s="1491" t="str">
        <f>Dictionary!B794</f>
        <v>angeg. Gesamt- aufwand [PT]</v>
      </c>
      <c r="S6" s="1616" t="str">
        <f>Dictionary!B793</f>
        <v>angeg. Gesamt- budget [EUR]</v>
      </c>
      <c r="T6" s="1492" t="str">
        <f>Dictionary!B795</f>
        <v>Budget (Aufwand) pro PT [EUR]</v>
      </c>
      <c r="U6" s="1492" t="str">
        <f>Dictionary!B797</f>
        <v>Durchschn. Aufwand pro Teammitglied [PT]</v>
      </c>
      <c r="V6" s="1493" t="str">
        <f>Dictionary!B798</f>
        <v>Durchschn. Aufwand pro Teammitglied / Monat [PT]</v>
      </c>
      <c r="W6" s="244"/>
      <c r="X6" s="244" t="str">
        <f>Dictionary!B802</f>
        <v>PM-Rolle</v>
      </c>
      <c r="Y6" s="1488" t="str">
        <f>Dictionary!B803</f>
        <v>Kategorie / Domäne</v>
      </c>
      <c r="Z6" s="1947" t="str">
        <f>Dictionary!B804</f>
        <v>Klassifizierung
Level A-D
Lead A</v>
      </c>
      <c r="AA6" s="1489" t="str">
        <f>Dictionary!B805</f>
        <v>Klassifizierung
Level A-D
Co-A</v>
      </c>
      <c r="AB6" s="1489" t="str">
        <f>Dictionary!B806</f>
        <v>Kommentare</v>
      </c>
      <c r="AC6" s="1489" t="str">
        <f>Dictionary!B807</f>
        <v>pers. Zuordnung %</v>
      </c>
      <c r="AD6" s="1489" t="str">
        <f>Dictionary!B808</f>
        <v>geänderter
pers. Einsatz %</v>
      </c>
      <c r="AE6" s="1494" t="str">
        <f>Dictionary!B809</f>
        <v>Dauer der PM-Tätigkeit [Monate]</v>
      </c>
      <c r="AF6" s="1489" t="str">
        <f>Dictionary!B810</f>
        <v>rel. Dauer in %</v>
      </c>
      <c r="AG6" s="1495" t="str">
        <f>Dictionary!B811</f>
        <v>Status</v>
      </c>
      <c r="AH6" s="1496" t="s">
        <v>136</v>
      </c>
      <c r="AI6" s="1489" t="s">
        <v>135</v>
      </c>
      <c r="AJ6" s="1489" t="s">
        <v>134</v>
      </c>
      <c r="AK6" s="1489" t="s">
        <v>133</v>
      </c>
      <c r="AL6" s="1489" t="str">
        <f>Dictionary!B812</f>
        <v>davon strategisch</v>
      </c>
      <c r="AM6" s="248"/>
      <c r="AN6" s="258" t="str">
        <f>IFERROR('(7c) Project Schedule'!S3,"")</f>
        <v/>
      </c>
      <c r="AO6" s="258" t="str">
        <f>IFERROR('(7c) Project Schedule'!T3,"")</f>
        <v/>
      </c>
      <c r="AP6" s="258" t="str">
        <f>IFERROR('(7c) Project Schedule'!U3,"")</f>
        <v/>
      </c>
      <c r="AQ6" s="258" t="str">
        <f>IFERROR('(7c) Project Schedule'!V3,"")</f>
        <v/>
      </c>
      <c r="AR6" s="258" t="str">
        <f>IFERROR('(7c) Project Schedule'!W3,"")</f>
        <v/>
      </c>
      <c r="AS6" s="258" t="str">
        <f>IFERROR('(7c) Project Schedule'!X3,"")</f>
        <v/>
      </c>
      <c r="AT6" s="258" t="str">
        <f>IFERROR('(7c) Project Schedule'!Y3,"")</f>
        <v/>
      </c>
      <c r="AU6" s="258" t="str">
        <f>IFERROR('(7c) Project Schedule'!Z3,"")</f>
        <v/>
      </c>
      <c r="AV6" s="258" t="str">
        <f>IFERROR('(7c) Project Schedule'!AA3,"")</f>
        <v/>
      </c>
      <c r="AW6" s="258" t="str">
        <f>IFERROR('(7c) Project Schedule'!AB3,"")</f>
        <v/>
      </c>
      <c r="AX6" s="258" t="str">
        <f>IFERROR('(7c) Project Schedule'!AC3,"")</f>
        <v/>
      </c>
      <c r="AY6" s="1953" t="str">
        <f>IFERROR('(7c) Project Schedule'!AD3,"")</f>
        <v/>
      </c>
      <c r="AZ6" s="258" t="str">
        <f>IFERROR('(7c) Project Schedule'!AE3,"")</f>
        <v/>
      </c>
      <c r="BA6" s="258" t="str">
        <f>IFERROR('(7c) Project Schedule'!AF3,"")</f>
        <v/>
      </c>
      <c r="BB6" s="258" t="str">
        <f>IFERROR('(7c) Project Schedule'!AG3,"")</f>
        <v/>
      </c>
      <c r="BC6" s="258" t="str">
        <f>IFERROR('(7c) Project Schedule'!AH3,"")</f>
        <v/>
      </c>
      <c r="BD6" s="258" t="str">
        <f>IFERROR('(7c) Project Schedule'!AI3,"")</f>
        <v/>
      </c>
      <c r="BE6" s="258" t="str">
        <f>IFERROR('(7c) Project Schedule'!AJ3,"")</f>
        <v/>
      </c>
      <c r="BF6" s="258" t="str">
        <f>IFERROR('(7c) Project Schedule'!AK3,"")</f>
        <v/>
      </c>
      <c r="BG6" s="258" t="str">
        <f>IFERROR('(7c) Project Schedule'!AL3,"")</f>
        <v/>
      </c>
      <c r="BH6" s="258" t="str">
        <f>IFERROR('(7c) Project Schedule'!AM3,"")</f>
        <v/>
      </c>
      <c r="BI6" s="258" t="str">
        <f>IFERROR('(7c) Project Schedule'!AN3,"")</f>
        <v/>
      </c>
      <c r="BJ6" s="258" t="str">
        <f>IFERROR('(7c) Project Schedule'!AO3,"")</f>
        <v/>
      </c>
      <c r="BK6" s="1953" t="str">
        <f>IFERROR('(7c) Project Schedule'!AP3,"")</f>
        <v/>
      </c>
      <c r="BL6" s="258" t="str">
        <f>IFERROR('(7c) Project Schedule'!AQ3,"")</f>
        <v/>
      </c>
      <c r="BM6" s="258" t="str">
        <f>IFERROR('(7c) Project Schedule'!AR3,"")</f>
        <v/>
      </c>
      <c r="BN6" s="258" t="str">
        <f>IFERROR('(7c) Project Schedule'!AS3,"")</f>
        <v/>
      </c>
      <c r="BO6" s="258" t="str">
        <f>IFERROR('(7c) Project Schedule'!AT3,"")</f>
        <v/>
      </c>
      <c r="BP6" s="258" t="str">
        <f>IFERROR('(7c) Project Schedule'!AU3,"")</f>
        <v/>
      </c>
      <c r="BQ6" s="258" t="str">
        <f>IFERROR('(7c) Project Schedule'!AV3,"")</f>
        <v/>
      </c>
      <c r="BR6" s="258" t="str">
        <f>IFERROR('(7c) Project Schedule'!AW3,"")</f>
        <v/>
      </c>
      <c r="BS6" s="258" t="str">
        <f>IFERROR('(7c) Project Schedule'!AX3,"")</f>
        <v/>
      </c>
      <c r="BT6" s="258" t="str">
        <f>IFERROR('(7c) Project Schedule'!AY3,"")</f>
        <v/>
      </c>
      <c r="BU6" s="258" t="str">
        <f>IFERROR('(7c) Project Schedule'!AZ3,"")</f>
        <v/>
      </c>
      <c r="BV6" s="258" t="str">
        <f>IFERROR('(7c) Project Schedule'!BA3,"")</f>
        <v/>
      </c>
      <c r="BW6" s="1953" t="str">
        <f>IFERROR('(7c) Project Schedule'!BB3,"")</f>
        <v/>
      </c>
      <c r="BX6" s="258" t="str">
        <f>IFERROR('(7c) Project Schedule'!BC3,"")</f>
        <v/>
      </c>
      <c r="BY6" s="258" t="str">
        <f>IFERROR('(7c) Project Schedule'!BD3,"")</f>
        <v/>
      </c>
      <c r="BZ6" s="258" t="str">
        <f>IFERROR('(7c) Project Schedule'!BE3,"")</f>
        <v/>
      </c>
      <c r="CA6" s="258" t="str">
        <f>IFERROR('(7c) Project Schedule'!BF3,"")</f>
        <v/>
      </c>
      <c r="CB6" s="258" t="str">
        <f>IFERROR('(7c) Project Schedule'!BG3,"")</f>
        <v/>
      </c>
      <c r="CC6" s="258" t="str">
        <f>IFERROR('(7c) Project Schedule'!BH3,"")</f>
        <v/>
      </c>
      <c r="CD6" s="258" t="str">
        <f>IFERROR('(7c) Project Schedule'!BI3,"")</f>
        <v/>
      </c>
      <c r="CE6" s="258" t="str">
        <f>IFERROR('(7c) Project Schedule'!BJ3,"")</f>
        <v/>
      </c>
      <c r="CF6" s="258" t="str">
        <f>IFERROR('(7c) Project Schedule'!BK3,"")</f>
        <v/>
      </c>
      <c r="CG6" s="258" t="str">
        <f>IFERROR('(7c) Project Schedule'!BL3,"")</f>
        <v/>
      </c>
      <c r="CH6" s="258" t="str">
        <f>IFERROR('(7c) Project Schedule'!BM3,"")</f>
        <v/>
      </c>
      <c r="CI6" s="1953" t="str">
        <f>IFERROR('(7c) Project Schedule'!BN3,"")</f>
        <v/>
      </c>
      <c r="CJ6" s="258" t="str">
        <f>IFERROR('(7c) Project Schedule'!BO3,"")</f>
        <v/>
      </c>
      <c r="CK6" s="258" t="str">
        <f>IFERROR('(7c) Project Schedule'!BP3,"")</f>
        <v/>
      </c>
      <c r="CL6" s="258" t="str">
        <f>IFERROR('(7c) Project Schedule'!BQ3,"")</f>
        <v/>
      </c>
      <c r="CM6" s="258" t="str">
        <f>IFERROR('(7c) Project Schedule'!BR3,"")</f>
        <v/>
      </c>
      <c r="CN6" s="258" t="str">
        <f>IFERROR('(7c) Project Schedule'!BS3,"")</f>
        <v/>
      </c>
      <c r="CO6" s="258" t="str">
        <f>IFERROR('(7c) Project Schedule'!BT3,"")</f>
        <v/>
      </c>
      <c r="CP6" s="258" t="str">
        <f>IFERROR('(7c) Project Schedule'!BU3,"")</f>
        <v/>
      </c>
      <c r="CQ6" s="258" t="str">
        <f>IFERROR('(7c) Project Schedule'!BV3,"")</f>
        <v/>
      </c>
      <c r="CR6" s="258" t="str">
        <f>IFERROR('(7c) Project Schedule'!BW3,"")</f>
        <v/>
      </c>
      <c r="CS6" s="258" t="str">
        <f>IFERROR('(7c) Project Schedule'!BX3,"")</f>
        <v/>
      </c>
      <c r="CT6" s="258" t="str">
        <f>IFERROR('(7c) Project Schedule'!BY3,"")</f>
        <v/>
      </c>
      <c r="CU6" s="1953" t="str">
        <f>IFERROR('(7c) Project Schedule'!BZ3,"")</f>
        <v/>
      </c>
      <c r="CV6" s="258" t="str">
        <f>IFERROR('(7c) Project Schedule'!CA3,"")</f>
        <v/>
      </c>
      <c r="CW6" s="258" t="str">
        <f>IFERROR('(7c) Project Schedule'!CB3,"")</f>
        <v/>
      </c>
      <c r="CX6" s="258" t="str">
        <f>IFERROR('(7c) Project Schedule'!CC3,"")</f>
        <v/>
      </c>
      <c r="CY6" s="258" t="str">
        <f>IFERROR('(7c) Project Schedule'!CD3,"")</f>
        <v/>
      </c>
      <c r="CZ6" s="258" t="str">
        <f>IFERROR('(7c) Project Schedule'!CE3,"")</f>
        <v/>
      </c>
      <c r="DA6" s="258" t="str">
        <f>IFERROR('(7c) Project Schedule'!CF3,"")</f>
        <v/>
      </c>
      <c r="DB6" s="258" t="str">
        <f>IFERROR('(7c) Project Schedule'!CG3,"")</f>
        <v/>
      </c>
      <c r="DC6" s="258" t="str">
        <f>IFERROR('(7c) Project Schedule'!CH3,"")</f>
        <v/>
      </c>
      <c r="DD6" s="258" t="str">
        <f>IFERROR('(7c) Project Schedule'!CI3,"")</f>
        <v/>
      </c>
      <c r="DE6" s="258" t="str">
        <f>IFERROR('(7c) Project Schedule'!CJ3,"")</f>
        <v/>
      </c>
      <c r="DF6" s="258" t="str">
        <f>IFERROR('(7c) Project Schedule'!CK3,"")</f>
        <v/>
      </c>
      <c r="DG6" s="1953" t="str">
        <f>IFERROR('(7c) Project Schedule'!CL3,"")</f>
        <v/>
      </c>
      <c r="DH6" s="258" t="str">
        <f>IFERROR('(7c) Project Schedule'!CM3,"")</f>
        <v/>
      </c>
      <c r="DI6" s="258" t="str">
        <f>IFERROR('(7c) Project Schedule'!CN3,"")</f>
        <v/>
      </c>
      <c r="DJ6" s="258" t="str">
        <f>IFERROR('(7c) Project Schedule'!CO3,"")</f>
        <v/>
      </c>
      <c r="DK6" s="258" t="str">
        <f>IFERROR('(7c) Project Schedule'!CP3,"")</f>
        <v/>
      </c>
      <c r="DL6" s="258" t="str">
        <f>IFERROR('(7c) Project Schedule'!CQ3,"")</f>
        <v/>
      </c>
      <c r="DM6" s="258" t="str">
        <f>IFERROR('(7c) Project Schedule'!CR3,"")</f>
        <v/>
      </c>
      <c r="DN6" s="258" t="str">
        <f>IFERROR('(7c) Project Schedule'!CS3,"")</f>
        <v/>
      </c>
      <c r="DO6" s="258" t="str">
        <f>IFERROR('(7c) Project Schedule'!CT3,"")</f>
        <v/>
      </c>
      <c r="DP6" s="258" t="str">
        <f>IFERROR('(7c) Project Schedule'!CU3,"")</f>
        <v/>
      </c>
      <c r="DQ6" s="258" t="str">
        <f>IFERROR('(7c) Project Schedule'!CV3,"")</f>
        <v/>
      </c>
      <c r="DR6" s="258" t="str">
        <f>IFERROR('(7c) Project Schedule'!CW3,"")</f>
        <v/>
      </c>
      <c r="DS6" s="1953" t="str">
        <f>IFERROR('(7c) Project Schedule'!CX3,"")</f>
        <v/>
      </c>
      <c r="DT6" s="258" t="str">
        <f>IFERROR('(7c) Project Schedule'!CY3,"")</f>
        <v/>
      </c>
      <c r="DU6" s="258" t="str">
        <f>IFERROR('(7c) Project Schedule'!CZ3,"")</f>
        <v/>
      </c>
      <c r="DV6" s="258" t="str">
        <f>IFERROR('(7c) Project Schedule'!DA3,"")</f>
        <v/>
      </c>
      <c r="DW6" s="258" t="str">
        <f>IFERROR('(7c) Project Schedule'!DB3,"")</f>
        <v/>
      </c>
      <c r="DX6" s="258" t="str">
        <f>IFERROR('(7c) Project Schedule'!DC3,"")</f>
        <v/>
      </c>
      <c r="DY6" s="258" t="str">
        <f>IFERROR('(7c) Project Schedule'!DD3,"")</f>
        <v/>
      </c>
      <c r="DZ6" s="258" t="str">
        <f>IFERROR('(7c) Project Schedule'!DE3,"")</f>
        <v/>
      </c>
      <c r="EA6" s="258" t="str">
        <f>IFERROR('(7c) Project Schedule'!DF3,"")</f>
        <v/>
      </c>
      <c r="EB6" s="258" t="str">
        <f>IFERROR('(7c) Project Schedule'!DG3,"")</f>
        <v/>
      </c>
      <c r="EC6" s="258" t="str">
        <f>IFERROR('(7c) Project Schedule'!DH3,"")</f>
        <v/>
      </c>
      <c r="ED6" s="258" t="str">
        <f>IFERROR('(7c) Project Schedule'!DI3,"")</f>
        <v/>
      </c>
      <c r="EE6" s="1953" t="str">
        <f>IFERROR('(7c) Project Schedule'!DJ3,"")</f>
        <v/>
      </c>
      <c r="EF6" s="258" t="str">
        <f>IFERROR('(7c) Project Schedule'!DK3,"")</f>
        <v/>
      </c>
      <c r="EG6" s="258" t="str">
        <f>IFERROR('(7c) Project Schedule'!DL3,"")</f>
        <v/>
      </c>
      <c r="EH6" s="258" t="str">
        <f>IFERROR('(7c) Project Schedule'!DM3,"")</f>
        <v/>
      </c>
      <c r="EI6" s="258" t="str">
        <f>IFERROR('(7c) Project Schedule'!DN3,"")</f>
        <v/>
      </c>
      <c r="EJ6" s="258" t="str">
        <f>IFERROR('(7c) Project Schedule'!DO3,"")</f>
        <v/>
      </c>
      <c r="EK6" s="258" t="str">
        <f>IFERROR('(7c) Project Schedule'!DP3,"")</f>
        <v/>
      </c>
      <c r="EL6" s="258" t="str">
        <f>IFERROR('(7c) Project Schedule'!DQ3,"")</f>
        <v/>
      </c>
      <c r="EM6" s="258" t="str">
        <f>IFERROR('(7c) Project Schedule'!DR3,"")</f>
        <v/>
      </c>
      <c r="EN6" s="258" t="str">
        <f>IFERROR('(7c) Project Schedule'!DS3,"")</f>
        <v/>
      </c>
      <c r="EO6" s="258" t="str">
        <f>IFERROR('(7c) Project Schedule'!DT3,"")</f>
        <v/>
      </c>
      <c r="EP6" s="258" t="str">
        <f>IFERROR('(7c) Project Schedule'!DU3,"")</f>
        <v/>
      </c>
      <c r="EQ6" s="1953" t="str">
        <f>IFERROR('(7c) Project Schedule'!DV3,"")</f>
        <v/>
      </c>
      <c r="ER6" s="258" t="str">
        <f>IFERROR('(7c) Project Schedule'!DW3,"")</f>
        <v/>
      </c>
      <c r="ES6" s="258" t="str">
        <f>IFERROR('(7c) Project Schedule'!DX3,"")</f>
        <v/>
      </c>
      <c r="ET6" s="258" t="str">
        <f>IFERROR('(7c) Project Schedule'!DY3,"")</f>
        <v/>
      </c>
      <c r="EU6" s="258" t="str">
        <f>IFERROR('(7c) Project Schedule'!DZ3,"")</f>
        <v/>
      </c>
      <c r="EV6" s="258" t="str">
        <f>IFERROR('(7c) Project Schedule'!EA3,"")</f>
        <v/>
      </c>
      <c r="EW6" s="258" t="str">
        <f>IFERROR('(7c) Project Schedule'!EB3,"")</f>
        <v/>
      </c>
      <c r="EX6" s="258" t="str">
        <f>IFERROR('(7c) Project Schedule'!EC3,"")</f>
        <v/>
      </c>
      <c r="EY6" s="258" t="str">
        <f>IFERROR('(7c) Project Schedule'!ED3,"")</f>
        <v/>
      </c>
      <c r="EZ6" s="258" t="str">
        <f>IFERROR('(7c) Project Schedule'!EE3,"")</f>
        <v/>
      </c>
      <c r="FA6" s="258" t="str">
        <f>IFERROR('(7c) Project Schedule'!EF3,"")</f>
        <v/>
      </c>
      <c r="FB6" s="258" t="str">
        <f>IFERROR('(7c) Project Schedule'!EG3,"")</f>
        <v/>
      </c>
      <c r="FC6" s="1953" t="str">
        <f>IFERROR('(7c) Project Schedule'!EH3,"")</f>
        <v/>
      </c>
      <c r="FD6" s="258" t="str">
        <f>IFERROR('(7c) Project Schedule'!EI3,"")</f>
        <v/>
      </c>
      <c r="FE6" s="258" t="str">
        <f>IFERROR('(7c) Project Schedule'!EJ3,"")</f>
        <v/>
      </c>
      <c r="FF6" s="258" t="str">
        <f>IFERROR('(7c) Project Schedule'!EK3,"")</f>
        <v/>
      </c>
      <c r="FG6" s="258" t="str">
        <f>IFERROR('(7c) Project Schedule'!EL3,"")</f>
        <v/>
      </c>
      <c r="FH6" s="258" t="str">
        <f>IFERROR('(7c) Project Schedule'!EM3,"")</f>
        <v/>
      </c>
      <c r="FI6" s="258" t="str">
        <f>IFERROR('(7c) Project Schedule'!EN3,"")</f>
        <v/>
      </c>
      <c r="FJ6" s="258" t="str">
        <f>IFERROR('(7c) Project Schedule'!EO3,"")</f>
        <v/>
      </c>
      <c r="FK6" s="258" t="str">
        <f>IFERROR('(7c) Project Schedule'!EP3,"")</f>
        <v/>
      </c>
      <c r="FL6" s="258" t="str">
        <f>IFERROR('(7c) Project Schedule'!EQ3,"")</f>
        <v/>
      </c>
      <c r="FM6" s="258" t="str">
        <f>IFERROR('(7c) Project Schedule'!ER3,"")</f>
        <v/>
      </c>
      <c r="FN6" s="258" t="str">
        <f>IFERROR('(7c) Project Schedule'!ES3,"")</f>
        <v/>
      </c>
      <c r="FO6" s="1953" t="str">
        <f>IFERROR('(7c) Project Schedule'!ET3,"")</f>
        <v/>
      </c>
      <c r="FP6" s="258" t="str">
        <f>IFERROR('(7c) Project Schedule'!EU3,"")</f>
        <v/>
      </c>
      <c r="FQ6" s="258" t="str">
        <f>IFERROR('(7c) Project Schedule'!EV3,"")</f>
        <v/>
      </c>
      <c r="FR6" s="258" t="str">
        <f>IFERROR('(7c) Project Schedule'!EW3,"")</f>
        <v/>
      </c>
      <c r="FS6" s="258" t="str">
        <f>IFERROR('(7c) Project Schedule'!EX3,"")</f>
        <v/>
      </c>
      <c r="FT6" s="258" t="str">
        <f>IFERROR('(7c) Project Schedule'!EY3,"")</f>
        <v/>
      </c>
      <c r="FU6" s="258" t="str">
        <f>IFERROR('(7c) Project Schedule'!EZ3,"")</f>
        <v/>
      </c>
      <c r="FV6" s="258" t="str">
        <f>IFERROR('(7c) Project Schedule'!FA3,"")</f>
        <v/>
      </c>
      <c r="FW6" s="258" t="str">
        <f>IFERROR('(7c) Project Schedule'!FB3,"")</f>
        <v/>
      </c>
      <c r="FX6" s="258" t="str">
        <f>IFERROR('(7c) Project Schedule'!FC3,"")</f>
        <v/>
      </c>
      <c r="FY6" s="258" t="str">
        <f>IFERROR('(7c) Project Schedule'!FD3,"")</f>
        <v/>
      </c>
      <c r="FZ6" s="258" t="str">
        <f>IFERROR('(7c) Project Schedule'!FE3,"")</f>
        <v/>
      </c>
      <c r="GA6" s="1953" t="str">
        <f>IFERROR('(7c) Project Schedule'!FF3,"")</f>
        <v/>
      </c>
      <c r="GB6" s="259"/>
      <c r="GC6" s="259"/>
      <c r="GD6" s="259"/>
      <c r="GE6" s="259"/>
      <c r="GF6" s="259"/>
      <c r="GG6" s="259"/>
      <c r="GH6" s="259"/>
      <c r="GI6" s="259"/>
      <c r="GJ6" s="259"/>
      <c r="GK6" s="259"/>
      <c r="GL6" s="259"/>
      <c r="GM6" s="260"/>
      <c r="GN6" s="259"/>
      <c r="GO6" s="261"/>
      <c r="GP6" s="261"/>
      <c r="GQ6" s="1943" t="s">
        <v>4207</v>
      </c>
      <c r="GR6" s="261"/>
      <c r="GS6" s="261"/>
      <c r="GT6" s="261"/>
      <c r="GU6" s="261"/>
      <c r="GV6" s="261"/>
      <c r="GW6" s="261"/>
      <c r="GX6" s="261"/>
      <c r="GY6" s="261"/>
      <c r="GZ6" s="262"/>
      <c r="HA6" s="262"/>
      <c r="HB6" s="262"/>
      <c r="HC6" s="262"/>
      <c r="HD6" s="262"/>
      <c r="HE6" s="262"/>
      <c r="HF6" s="262"/>
      <c r="HG6" s="262"/>
      <c r="HH6" s="262"/>
    </row>
    <row r="7" spans="1:216">
      <c r="A7" s="263">
        <v>1</v>
      </c>
      <c r="B7" s="264" t="str">
        <f>IF('(7b) Project List'!F9&lt;&gt;"",'(7b) Project List'!F9," ")</f>
        <v xml:space="preserve"> </v>
      </c>
      <c r="C7" s="265" t="str">
        <f t="shared" ref="C7:C26" si="0">IF(B7=" "," ",IF(B7&lt;(DATE(YEAR(AF$2),MONTH(AF$2)-AH$2,DAY(AF$2))),(DATE(YEAR(AF$2),MONTH(AF$2)-AH$2,DAY(AF$2))),B7))</f>
        <v xml:space="preserve"> </v>
      </c>
      <c r="D7" s="265" t="str">
        <f>IF('(7b) Project List'!G9&lt;&gt;"",'(7b) Project List'!G9,"")</f>
        <v/>
      </c>
      <c r="E7" s="265" t="str">
        <f t="shared" ref="E7:E26" si="1">IF(D7="","",IF(D7&lt;=C7,"",IF(D7&gt;=AF$2,AF$2,D7)))</f>
        <v/>
      </c>
      <c r="F7" s="588" t="str">
        <f>IF('(7b) Project List'!B9="","",'P1-MCR'!I34)</f>
        <v/>
      </c>
      <c r="G7" s="589" t="str">
        <f>IF('(7b) Project List'!B9="","",'P1-MCR'!J34)</f>
        <v/>
      </c>
      <c r="H7" s="298"/>
      <c r="I7" s="1462" t="str">
        <f>IF(OR('1'!C30="",'1'!E30=""),"",DATEDIF('1'!C30,'1'!E30,"m"))</f>
        <v/>
      </c>
      <c r="J7" s="572" t="str">
        <f>IF('1'!C51="","",'1'!C51)</f>
        <v/>
      </c>
      <c r="K7" s="1468" t="str">
        <f>IF(EXP!I9="","",EXP!I9)</f>
        <v/>
      </c>
      <c r="L7" s="541" t="str">
        <f t="shared" ref="L7:L23" si="2">IF(AE7="","",IF(J7="","",(MAX_PD_PER_YEAR/12*AE7)*(AC7/100)))</f>
        <v/>
      </c>
      <c r="M7" s="541" t="str">
        <f t="shared" ref="M7:M23" si="3">IF(AE7="","",IF(J7="","",J7/(MAX_PD_PER_YEAR/12*AE7)*100))</f>
        <v/>
      </c>
      <c r="N7" s="541" t="str">
        <f>IF(OR(J7="",L7=""),"",J7-L7)</f>
        <v/>
      </c>
      <c r="O7" s="572" t="str">
        <f>IF('1'!C47="","",'1'!C47)</f>
        <v/>
      </c>
      <c r="P7" s="575" t="str">
        <f>IF('1'!C52="","",'1'!C52)</f>
        <v/>
      </c>
      <c r="Q7" s="575" t="str">
        <f>IF('1'!C53="","",'1'!C53)</f>
        <v/>
      </c>
      <c r="R7" s="572" t="str">
        <f>IF('1'!C48="","",'1'!C48)</f>
        <v/>
      </c>
      <c r="S7" s="1617" t="str">
        <f>IF(OR(P7="",Q7=""),"",P7+Q7)</f>
        <v/>
      </c>
      <c r="T7" s="538" t="str">
        <f>IF(OR(P7="",R7="",R7=0),"",P7/R7)</f>
        <v/>
      </c>
      <c r="U7" s="537" t="str">
        <f>IF(OR(R7="",R7=0,O7="",O7=0),"",R7/O7)</f>
        <v/>
      </c>
      <c r="V7" s="1463" t="str">
        <f t="shared" ref="V7:V23" si="4">IF(OR(R7="",R7=0,O7="",O7=0,I7="",I7=0),"",R7/O7/I7)</f>
        <v/>
      </c>
      <c r="W7" s="298"/>
      <c r="X7" s="607" t="str">
        <f>IF(EXP!H9="","",EXP!H9)</f>
        <v/>
      </c>
      <c r="Y7" s="607" t="str">
        <f>IF(EXP!D9="","",EXP!D9)</f>
        <v/>
      </c>
      <c r="Z7" s="266"/>
      <c r="AA7" s="266"/>
      <c r="AB7" s="266"/>
      <c r="AC7" s="267">
        <f>IF('(7b) Project List'!H9&lt;&gt;"",'(7b) Project List'!H9,"")</f>
        <v>0</v>
      </c>
      <c r="AD7" s="268">
        <f t="shared" ref="AD7:AD23" si="5">IF(ISERROR(AVERAGE(AN7:GA7)),AC7,IF(AC7="","",IF(D7&lt;$AF$3,AC7,AVERAGE(AN7:GA7))))</f>
        <v>0</v>
      </c>
      <c r="AE7" s="269" t="str">
        <f>IF(ISERROR('(7c) Project Schedule'!K4),"",'(7c) Project Schedule'!K4)</f>
        <v/>
      </c>
      <c r="AF7" s="270" t="str">
        <f t="shared" ref="AF7:AF26" si="6">IF(AC7=""," ",IF(AE7=""," ",IF(AD7&lt;=AC7,AD7*AE7/(AF$3),AC7*AE7/(AF$3))))</f>
        <v xml:space="preserve"> </v>
      </c>
      <c r="AG7" s="271"/>
      <c r="AH7" s="270" t="str">
        <f t="shared" ref="AH7:AH23" si="7">IF($GQ7="D",$AF7," ")</f>
        <v xml:space="preserve"> </v>
      </c>
      <c r="AI7" s="270" t="str">
        <f t="shared" ref="AI7:AI23" si="8">IF($GQ7="C",$AF7," ")</f>
        <v xml:space="preserve"> </v>
      </c>
      <c r="AJ7" s="270" t="str">
        <f t="shared" ref="AJ7:AJ23" si="9">IF($GQ7="B",$AF7," ")</f>
        <v xml:space="preserve"> </v>
      </c>
      <c r="AK7" s="1561" t="str">
        <f t="shared" ref="AK7:AK23" si="10">IF(OR($GQ7="A",$GQ7="AS"),$AF7," ")</f>
        <v xml:space="preserve"> </v>
      </c>
      <c r="AL7" s="1564" t="str">
        <f t="shared" ref="AL7:AL23" si="11">IF($GQ7="AS",$AF7,"")</f>
        <v/>
      </c>
      <c r="AN7" s="272" t="str">
        <f t="shared" ref="AN7:AW16" si="12">IF($D7&lt;&gt;"",IF(EOMONTH($D7,0)&gt;=AN$6,IF($B7&lt;=AN$6,$AC7,""),""),"")</f>
        <v/>
      </c>
      <c r="AO7" s="273" t="str">
        <f t="shared" si="12"/>
        <v/>
      </c>
      <c r="AP7" s="273" t="str">
        <f t="shared" si="12"/>
        <v/>
      </c>
      <c r="AQ7" s="273" t="str">
        <f t="shared" si="12"/>
        <v/>
      </c>
      <c r="AR7" s="273" t="str">
        <f t="shared" si="12"/>
        <v/>
      </c>
      <c r="AS7" s="273" t="str">
        <f t="shared" si="12"/>
        <v/>
      </c>
      <c r="AT7" s="273" t="str">
        <f t="shared" si="12"/>
        <v/>
      </c>
      <c r="AU7" s="273" t="str">
        <f t="shared" si="12"/>
        <v/>
      </c>
      <c r="AV7" s="273" t="str">
        <f t="shared" si="12"/>
        <v/>
      </c>
      <c r="AW7" s="273" t="str">
        <f t="shared" si="12"/>
        <v/>
      </c>
      <c r="AX7" s="273" t="str">
        <f t="shared" ref="AX7:BG16" si="13">IF($D7&lt;&gt;"",IF(EOMONTH($D7,0)&gt;=AX$6,IF($B7&lt;=AX$6,$AC7,""),""),"")</f>
        <v/>
      </c>
      <c r="AY7" s="274" t="str">
        <f t="shared" si="13"/>
        <v/>
      </c>
      <c r="AZ7" s="273" t="str">
        <f t="shared" si="13"/>
        <v/>
      </c>
      <c r="BA7" s="273" t="str">
        <f t="shared" si="13"/>
        <v/>
      </c>
      <c r="BB7" s="273" t="str">
        <f t="shared" si="13"/>
        <v/>
      </c>
      <c r="BC7" s="273" t="str">
        <f t="shared" si="13"/>
        <v/>
      </c>
      <c r="BD7" s="273" t="str">
        <f t="shared" si="13"/>
        <v/>
      </c>
      <c r="BE7" s="273" t="str">
        <f t="shared" si="13"/>
        <v/>
      </c>
      <c r="BF7" s="273" t="str">
        <f t="shared" si="13"/>
        <v/>
      </c>
      <c r="BG7" s="273" t="str">
        <f t="shared" si="13"/>
        <v/>
      </c>
      <c r="BH7" s="273" t="str">
        <f t="shared" ref="BH7:BQ16" si="14">IF($D7&lt;&gt;"",IF(EOMONTH($D7,0)&gt;=BH$6,IF($B7&lt;=BH$6,$AC7,""),""),"")</f>
        <v/>
      </c>
      <c r="BI7" s="273" t="str">
        <f t="shared" si="14"/>
        <v/>
      </c>
      <c r="BJ7" s="273" t="str">
        <f t="shared" si="14"/>
        <v/>
      </c>
      <c r="BK7" s="274" t="str">
        <f t="shared" si="14"/>
        <v/>
      </c>
      <c r="BL7" s="273" t="str">
        <f t="shared" si="14"/>
        <v/>
      </c>
      <c r="BM7" s="273" t="str">
        <f t="shared" si="14"/>
        <v/>
      </c>
      <c r="BN7" s="273" t="str">
        <f t="shared" si="14"/>
        <v/>
      </c>
      <c r="BO7" s="273" t="str">
        <f t="shared" si="14"/>
        <v/>
      </c>
      <c r="BP7" s="273" t="str">
        <f t="shared" si="14"/>
        <v/>
      </c>
      <c r="BQ7" s="273" t="str">
        <f t="shared" si="14"/>
        <v/>
      </c>
      <c r="BR7" s="273" t="str">
        <f t="shared" ref="BR7:CA16" si="15">IF($D7&lt;&gt;"",IF(EOMONTH($D7,0)&gt;=BR$6,IF($B7&lt;=BR$6,$AC7,""),""),"")</f>
        <v/>
      </c>
      <c r="BS7" s="273" t="str">
        <f t="shared" si="15"/>
        <v/>
      </c>
      <c r="BT7" s="273" t="str">
        <f t="shared" si="15"/>
        <v/>
      </c>
      <c r="BU7" s="273" t="str">
        <f t="shared" si="15"/>
        <v/>
      </c>
      <c r="BV7" s="273" t="str">
        <f t="shared" si="15"/>
        <v/>
      </c>
      <c r="BW7" s="274" t="str">
        <f t="shared" si="15"/>
        <v/>
      </c>
      <c r="BX7" s="273" t="str">
        <f t="shared" si="15"/>
        <v/>
      </c>
      <c r="BY7" s="273" t="str">
        <f t="shared" si="15"/>
        <v/>
      </c>
      <c r="BZ7" s="273" t="str">
        <f t="shared" si="15"/>
        <v/>
      </c>
      <c r="CA7" s="273" t="str">
        <f t="shared" si="15"/>
        <v/>
      </c>
      <c r="CB7" s="273" t="str">
        <f t="shared" ref="CB7:CK16" si="16">IF($D7&lt;&gt;"",IF(EOMONTH($D7,0)&gt;=CB$6,IF($B7&lt;=CB$6,$AC7,""),""),"")</f>
        <v/>
      </c>
      <c r="CC7" s="273" t="str">
        <f t="shared" si="16"/>
        <v/>
      </c>
      <c r="CD7" s="273" t="str">
        <f t="shared" si="16"/>
        <v/>
      </c>
      <c r="CE7" s="273" t="str">
        <f t="shared" si="16"/>
        <v/>
      </c>
      <c r="CF7" s="273" t="str">
        <f t="shared" si="16"/>
        <v/>
      </c>
      <c r="CG7" s="273" t="str">
        <f t="shared" si="16"/>
        <v/>
      </c>
      <c r="CH7" s="273" t="str">
        <f t="shared" si="16"/>
        <v/>
      </c>
      <c r="CI7" s="274" t="str">
        <f t="shared" si="16"/>
        <v/>
      </c>
      <c r="CJ7" s="273" t="str">
        <f t="shared" si="16"/>
        <v/>
      </c>
      <c r="CK7" s="273" t="str">
        <f t="shared" si="16"/>
        <v/>
      </c>
      <c r="CL7" s="273" t="str">
        <f t="shared" ref="CL7:CU16" si="17">IF($D7&lt;&gt;"",IF(EOMONTH($D7,0)&gt;=CL$6,IF($B7&lt;=CL$6,$AC7,""),""),"")</f>
        <v/>
      </c>
      <c r="CM7" s="273" t="str">
        <f t="shared" si="17"/>
        <v/>
      </c>
      <c r="CN7" s="273" t="str">
        <f t="shared" si="17"/>
        <v/>
      </c>
      <c r="CO7" s="273" t="str">
        <f t="shared" si="17"/>
        <v/>
      </c>
      <c r="CP7" s="273" t="str">
        <f t="shared" si="17"/>
        <v/>
      </c>
      <c r="CQ7" s="273" t="str">
        <f t="shared" si="17"/>
        <v/>
      </c>
      <c r="CR7" s="273" t="str">
        <f t="shared" si="17"/>
        <v/>
      </c>
      <c r="CS7" s="273" t="str">
        <f t="shared" si="17"/>
        <v/>
      </c>
      <c r="CT7" s="273" t="str">
        <f t="shared" si="17"/>
        <v/>
      </c>
      <c r="CU7" s="274" t="str">
        <f t="shared" si="17"/>
        <v/>
      </c>
      <c r="CV7" s="273" t="str">
        <f t="shared" ref="CV7:DE16" si="18">IF($D7&lt;&gt;"",IF(EOMONTH($D7,0)&gt;=CV$6,IF($B7&lt;=CV$6,$AC7,""),""),"")</f>
        <v/>
      </c>
      <c r="CW7" s="273" t="str">
        <f t="shared" si="18"/>
        <v/>
      </c>
      <c r="CX7" s="273" t="str">
        <f t="shared" si="18"/>
        <v/>
      </c>
      <c r="CY7" s="273" t="str">
        <f t="shared" si="18"/>
        <v/>
      </c>
      <c r="CZ7" s="273" t="str">
        <f t="shared" si="18"/>
        <v/>
      </c>
      <c r="DA7" s="273" t="str">
        <f t="shared" si="18"/>
        <v/>
      </c>
      <c r="DB7" s="273" t="str">
        <f t="shared" si="18"/>
        <v/>
      </c>
      <c r="DC7" s="273" t="str">
        <f t="shared" si="18"/>
        <v/>
      </c>
      <c r="DD7" s="273" t="str">
        <f t="shared" si="18"/>
        <v/>
      </c>
      <c r="DE7" s="273" t="str">
        <f t="shared" si="18"/>
        <v/>
      </c>
      <c r="DF7" s="273" t="str">
        <f t="shared" ref="DF7:DO16" si="19">IF($D7&lt;&gt;"",IF(EOMONTH($D7,0)&gt;=DF$6,IF($B7&lt;=DF$6,$AC7,""),""),"")</f>
        <v/>
      </c>
      <c r="DG7" s="274" t="str">
        <f t="shared" si="19"/>
        <v/>
      </c>
      <c r="DH7" s="273" t="str">
        <f t="shared" si="19"/>
        <v/>
      </c>
      <c r="DI7" s="273" t="str">
        <f t="shared" si="19"/>
        <v/>
      </c>
      <c r="DJ7" s="273" t="str">
        <f t="shared" si="19"/>
        <v/>
      </c>
      <c r="DK7" s="273" t="str">
        <f t="shared" si="19"/>
        <v/>
      </c>
      <c r="DL7" s="273" t="str">
        <f t="shared" si="19"/>
        <v/>
      </c>
      <c r="DM7" s="273" t="str">
        <f t="shared" si="19"/>
        <v/>
      </c>
      <c r="DN7" s="273" t="str">
        <f t="shared" si="19"/>
        <v/>
      </c>
      <c r="DO7" s="273" t="str">
        <f t="shared" si="19"/>
        <v/>
      </c>
      <c r="DP7" s="273" t="str">
        <f t="shared" ref="DP7:DY16" si="20">IF($D7&lt;&gt;"",IF(EOMONTH($D7,0)&gt;=DP$6,IF($B7&lt;=DP$6,$AC7,""),""),"")</f>
        <v/>
      </c>
      <c r="DQ7" s="273" t="str">
        <f t="shared" si="20"/>
        <v/>
      </c>
      <c r="DR7" s="273" t="str">
        <f t="shared" si="20"/>
        <v/>
      </c>
      <c r="DS7" s="274" t="str">
        <f t="shared" si="20"/>
        <v/>
      </c>
      <c r="DT7" s="273" t="str">
        <f t="shared" si="20"/>
        <v/>
      </c>
      <c r="DU7" s="273" t="str">
        <f t="shared" si="20"/>
        <v/>
      </c>
      <c r="DV7" s="273" t="str">
        <f t="shared" si="20"/>
        <v/>
      </c>
      <c r="DW7" s="273" t="str">
        <f t="shared" si="20"/>
        <v/>
      </c>
      <c r="DX7" s="273" t="str">
        <f t="shared" si="20"/>
        <v/>
      </c>
      <c r="DY7" s="273" t="str">
        <f t="shared" si="20"/>
        <v/>
      </c>
      <c r="DZ7" s="273" t="str">
        <f t="shared" ref="DZ7:EI16" si="21">IF($D7&lt;&gt;"",IF(EOMONTH($D7,0)&gt;=DZ$6,IF($B7&lt;=DZ$6,$AC7,""),""),"")</f>
        <v/>
      </c>
      <c r="EA7" s="273" t="str">
        <f t="shared" si="21"/>
        <v/>
      </c>
      <c r="EB7" s="273" t="str">
        <f t="shared" si="21"/>
        <v/>
      </c>
      <c r="EC7" s="273" t="str">
        <f t="shared" si="21"/>
        <v/>
      </c>
      <c r="ED7" s="273" t="str">
        <f t="shared" si="21"/>
        <v/>
      </c>
      <c r="EE7" s="274" t="str">
        <f t="shared" si="21"/>
        <v/>
      </c>
      <c r="EF7" s="273" t="str">
        <f t="shared" si="21"/>
        <v/>
      </c>
      <c r="EG7" s="273" t="str">
        <f t="shared" si="21"/>
        <v/>
      </c>
      <c r="EH7" s="273" t="str">
        <f t="shared" si="21"/>
        <v/>
      </c>
      <c r="EI7" s="273" t="str">
        <f t="shared" si="21"/>
        <v/>
      </c>
      <c r="EJ7" s="273" t="str">
        <f t="shared" ref="EJ7:ES16" si="22">IF($D7&lt;&gt;"",IF(EOMONTH($D7,0)&gt;=EJ$6,IF($B7&lt;=EJ$6,$AC7,""),""),"")</f>
        <v/>
      </c>
      <c r="EK7" s="273" t="str">
        <f t="shared" si="22"/>
        <v/>
      </c>
      <c r="EL7" s="273" t="str">
        <f t="shared" si="22"/>
        <v/>
      </c>
      <c r="EM7" s="273" t="str">
        <f t="shared" si="22"/>
        <v/>
      </c>
      <c r="EN7" s="273" t="str">
        <f t="shared" si="22"/>
        <v/>
      </c>
      <c r="EO7" s="273" t="str">
        <f t="shared" si="22"/>
        <v/>
      </c>
      <c r="EP7" s="273" t="str">
        <f t="shared" si="22"/>
        <v/>
      </c>
      <c r="EQ7" s="274" t="str">
        <f t="shared" si="22"/>
        <v/>
      </c>
      <c r="ER7" s="273" t="str">
        <f t="shared" si="22"/>
        <v/>
      </c>
      <c r="ES7" s="273" t="str">
        <f t="shared" si="22"/>
        <v/>
      </c>
      <c r="ET7" s="273" t="str">
        <f t="shared" ref="ET7:FC16" si="23">IF($D7&lt;&gt;"",IF(EOMONTH($D7,0)&gt;=ET$6,IF($B7&lt;=ET$6,$AC7,""),""),"")</f>
        <v/>
      </c>
      <c r="EU7" s="273" t="str">
        <f t="shared" si="23"/>
        <v/>
      </c>
      <c r="EV7" s="273" t="str">
        <f t="shared" si="23"/>
        <v/>
      </c>
      <c r="EW7" s="273" t="str">
        <f t="shared" si="23"/>
        <v/>
      </c>
      <c r="EX7" s="273" t="str">
        <f t="shared" si="23"/>
        <v/>
      </c>
      <c r="EY7" s="273" t="str">
        <f t="shared" si="23"/>
        <v/>
      </c>
      <c r="EZ7" s="273" t="str">
        <f t="shared" si="23"/>
        <v/>
      </c>
      <c r="FA7" s="273" t="str">
        <f t="shared" si="23"/>
        <v/>
      </c>
      <c r="FB7" s="273" t="str">
        <f t="shared" si="23"/>
        <v/>
      </c>
      <c r="FC7" s="274" t="str">
        <f t="shared" si="23"/>
        <v/>
      </c>
      <c r="FD7" s="273" t="str">
        <f t="shared" ref="FD7:FM16" si="24">IF($D7&lt;&gt;"",IF(EOMONTH($D7,0)&gt;=FD$6,IF($B7&lt;=FD$6,$AC7,""),""),"")</f>
        <v/>
      </c>
      <c r="FE7" s="273" t="str">
        <f t="shared" si="24"/>
        <v/>
      </c>
      <c r="FF7" s="273" t="str">
        <f t="shared" si="24"/>
        <v/>
      </c>
      <c r="FG7" s="273" t="str">
        <f t="shared" si="24"/>
        <v/>
      </c>
      <c r="FH7" s="273" t="str">
        <f t="shared" si="24"/>
        <v/>
      </c>
      <c r="FI7" s="273" t="str">
        <f t="shared" si="24"/>
        <v/>
      </c>
      <c r="FJ7" s="273" t="str">
        <f t="shared" si="24"/>
        <v/>
      </c>
      <c r="FK7" s="273" t="str">
        <f t="shared" si="24"/>
        <v/>
      </c>
      <c r="FL7" s="273" t="str">
        <f t="shared" si="24"/>
        <v/>
      </c>
      <c r="FM7" s="273" t="str">
        <f t="shared" si="24"/>
        <v/>
      </c>
      <c r="FN7" s="273" t="str">
        <f t="shared" ref="FN7:GA16" si="25">IF($D7&lt;&gt;"",IF(EOMONTH($D7,0)&gt;=FN$6,IF($B7&lt;=FN$6,$AC7,""),""),"")</f>
        <v/>
      </c>
      <c r="FO7" s="274" t="str">
        <f t="shared" si="25"/>
        <v/>
      </c>
      <c r="FP7" s="273" t="str">
        <f t="shared" si="25"/>
        <v/>
      </c>
      <c r="FQ7" s="273" t="str">
        <f t="shared" si="25"/>
        <v/>
      </c>
      <c r="FR7" s="273" t="str">
        <f t="shared" si="25"/>
        <v/>
      </c>
      <c r="FS7" s="273" t="str">
        <f t="shared" si="25"/>
        <v/>
      </c>
      <c r="FT7" s="273" t="str">
        <f t="shared" si="25"/>
        <v/>
      </c>
      <c r="FU7" s="273" t="str">
        <f t="shared" si="25"/>
        <v/>
      </c>
      <c r="FV7" s="273" t="str">
        <f t="shared" si="25"/>
        <v/>
      </c>
      <c r="FW7" s="273" t="str">
        <f t="shared" si="25"/>
        <v/>
      </c>
      <c r="FX7" s="273" t="str">
        <f t="shared" si="25"/>
        <v/>
      </c>
      <c r="FY7" s="273" t="str">
        <f t="shared" si="25"/>
        <v/>
      </c>
      <c r="FZ7" s="273" t="str">
        <f t="shared" si="25"/>
        <v/>
      </c>
      <c r="GA7" s="275" t="str">
        <f t="shared" si="25"/>
        <v/>
      </c>
      <c r="GB7" s="276"/>
      <c r="GC7" s="276"/>
      <c r="GD7" s="276"/>
      <c r="GE7" s="276"/>
      <c r="GF7" s="276"/>
      <c r="GG7" s="276"/>
      <c r="GH7" s="276"/>
      <c r="GI7" s="276"/>
      <c r="GJ7" s="276"/>
      <c r="GK7" s="276"/>
      <c r="GL7" s="276"/>
      <c r="GM7" s="276"/>
      <c r="GN7" s="276"/>
      <c r="GQ7" s="263">
        <f>IF($AB$3=$GQ$3,Z7,AA7)</f>
        <v>0</v>
      </c>
    </row>
    <row r="8" spans="1:216">
      <c r="A8" s="263">
        <v>2</v>
      </c>
      <c r="B8" s="277" t="str">
        <f>IF('(7b) Project List'!F10&lt;&gt;"",'(7b) Project List'!F10," ")</f>
        <v xml:space="preserve"> </v>
      </c>
      <c r="C8" s="278" t="str">
        <f t="shared" si="0"/>
        <v xml:space="preserve"> </v>
      </c>
      <c r="D8" s="278" t="str">
        <f>IF('(7b) Project List'!G10&lt;&gt;"",'(7b) Project List'!G10,"")</f>
        <v/>
      </c>
      <c r="E8" s="278" t="str">
        <f t="shared" si="1"/>
        <v/>
      </c>
      <c r="F8" s="590" t="str">
        <f>IF('(7b) Project List'!B10="","",'P2-MCR'!I34)</f>
        <v/>
      </c>
      <c r="G8" s="591" t="str">
        <f>IF('(7b) Project List'!B10="","",'P2-MCR'!J34)</f>
        <v/>
      </c>
      <c r="H8" s="298"/>
      <c r="I8" s="1464" t="str">
        <f>IF(OR('2'!C30="",'2'!E30=""),"",DATEDIF('2'!C30,'2'!E30,"m"))</f>
        <v/>
      </c>
      <c r="J8" s="573" t="str">
        <f>IF('2'!C51="","",'2'!C51)</f>
        <v/>
      </c>
      <c r="K8" s="1469" t="str">
        <f>IF(EXP!I10="","",EXP!I10)</f>
        <v/>
      </c>
      <c r="L8" s="542" t="str">
        <f t="shared" si="2"/>
        <v/>
      </c>
      <c r="M8" s="542" t="str">
        <f t="shared" si="3"/>
        <v/>
      </c>
      <c r="N8" s="542" t="str">
        <f t="shared" ref="N8:N23" si="26">IF(OR(J8="",L8=""),"",J8-L8)</f>
        <v/>
      </c>
      <c r="O8" s="573" t="str">
        <f>IF('2'!C47="","",'2'!C47)</f>
        <v/>
      </c>
      <c r="P8" s="662" t="str">
        <f>IF('2'!C52="","",'2'!C52)</f>
        <v/>
      </c>
      <c r="Q8" s="662" t="str">
        <f>IF('2'!C53="","",'2'!C53)</f>
        <v/>
      </c>
      <c r="R8" s="573" t="str">
        <f>IF('2'!C48="","",'2'!C48)</f>
        <v/>
      </c>
      <c r="S8" s="1618" t="str">
        <f t="shared" ref="S8:S23" si="27">IF(OR(P8="",Q8=""),"",P8+Q8)</f>
        <v/>
      </c>
      <c r="T8" s="586" t="str">
        <f t="shared" ref="T8:T23" si="28">IF(OR(P8="",R8="",R8=0),"",P8/R8)</f>
        <v/>
      </c>
      <c r="U8" s="539" t="str">
        <f t="shared" ref="U8:U23" si="29">IF(OR(R8="",R8=0,O8="",O8=0),"",R8/O8)</f>
        <v/>
      </c>
      <c r="V8" s="1465" t="str">
        <f t="shared" si="4"/>
        <v/>
      </c>
      <c r="W8" s="298"/>
      <c r="X8" s="608" t="str">
        <f>IF(EXP!H10="","",EXP!H10)</f>
        <v/>
      </c>
      <c r="Y8" s="608" t="str">
        <f>IF(EXP!D10="","",EXP!D10)</f>
        <v/>
      </c>
      <c r="Z8" s="279"/>
      <c r="AA8" s="279"/>
      <c r="AB8" s="279"/>
      <c r="AC8" s="280">
        <f>IF('(7b) Project List'!H10&lt;&gt;"",'(7b) Project List'!H10,"")</f>
        <v>0</v>
      </c>
      <c r="AD8" s="268">
        <f t="shared" si="5"/>
        <v>0</v>
      </c>
      <c r="AE8" s="281" t="str">
        <f>IF(ISERROR('(7c) Project Schedule'!K5),"",'(7c) Project Schedule'!K5)</f>
        <v/>
      </c>
      <c r="AF8" s="282" t="str">
        <f t="shared" si="6"/>
        <v xml:space="preserve"> </v>
      </c>
      <c r="AG8" s="283"/>
      <c r="AH8" s="282" t="str">
        <f t="shared" si="7"/>
        <v xml:space="preserve"> </v>
      </c>
      <c r="AI8" s="282" t="str">
        <f t="shared" si="8"/>
        <v xml:space="preserve"> </v>
      </c>
      <c r="AJ8" s="282" t="str">
        <f t="shared" si="9"/>
        <v xml:space="preserve"> </v>
      </c>
      <c r="AK8" s="1562" t="str">
        <f t="shared" si="10"/>
        <v xml:space="preserve"> </v>
      </c>
      <c r="AL8" s="1565" t="str">
        <f t="shared" si="11"/>
        <v/>
      </c>
      <c r="AN8" s="272" t="str">
        <f t="shared" si="12"/>
        <v/>
      </c>
      <c r="AO8" s="273" t="str">
        <f t="shared" si="12"/>
        <v/>
      </c>
      <c r="AP8" s="273" t="str">
        <f t="shared" si="12"/>
        <v/>
      </c>
      <c r="AQ8" s="273" t="str">
        <f t="shared" si="12"/>
        <v/>
      </c>
      <c r="AR8" s="273" t="str">
        <f t="shared" si="12"/>
        <v/>
      </c>
      <c r="AS8" s="273" t="str">
        <f t="shared" si="12"/>
        <v/>
      </c>
      <c r="AT8" s="273" t="str">
        <f t="shared" si="12"/>
        <v/>
      </c>
      <c r="AU8" s="273" t="str">
        <f t="shared" si="12"/>
        <v/>
      </c>
      <c r="AV8" s="273" t="str">
        <f t="shared" si="12"/>
        <v/>
      </c>
      <c r="AW8" s="273" t="str">
        <f t="shared" si="12"/>
        <v/>
      </c>
      <c r="AX8" s="273" t="str">
        <f t="shared" si="13"/>
        <v/>
      </c>
      <c r="AY8" s="274" t="str">
        <f t="shared" si="13"/>
        <v/>
      </c>
      <c r="AZ8" s="273" t="str">
        <f t="shared" si="13"/>
        <v/>
      </c>
      <c r="BA8" s="273" t="str">
        <f t="shared" si="13"/>
        <v/>
      </c>
      <c r="BB8" s="273" t="str">
        <f t="shared" si="13"/>
        <v/>
      </c>
      <c r="BC8" s="273" t="str">
        <f t="shared" si="13"/>
        <v/>
      </c>
      <c r="BD8" s="273" t="str">
        <f t="shared" si="13"/>
        <v/>
      </c>
      <c r="BE8" s="273" t="str">
        <f t="shared" si="13"/>
        <v/>
      </c>
      <c r="BF8" s="273" t="str">
        <f t="shared" si="13"/>
        <v/>
      </c>
      <c r="BG8" s="273" t="str">
        <f t="shared" si="13"/>
        <v/>
      </c>
      <c r="BH8" s="273" t="str">
        <f t="shared" si="14"/>
        <v/>
      </c>
      <c r="BI8" s="273" t="str">
        <f t="shared" si="14"/>
        <v/>
      </c>
      <c r="BJ8" s="273" t="str">
        <f t="shared" si="14"/>
        <v/>
      </c>
      <c r="BK8" s="274" t="str">
        <f t="shared" si="14"/>
        <v/>
      </c>
      <c r="BL8" s="273" t="str">
        <f t="shared" si="14"/>
        <v/>
      </c>
      <c r="BM8" s="273" t="str">
        <f t="shared" si="14"/>
        <v/>
      </c>
      <c r="BN8" s="273" t="str">
        <f t="shared" si="14"/>
        <v/>
      </c>
      <c r="BO8" s="273" t="str">
        <f t="shared" si="14"/>
        <v/>
      </c>
      <c r="BP8" s="273" t="str">
        <f t="shared" si="14"/>
        <v/>
      </c>
      <c r="BQ8" s="273" t="str">
        <f t="shared" si="14"/>
        <v/>
      </c>
      <c r="BR8" s="273" t="str">
        <f t="shared" si="15"/>
        <v/>
      </c>
      <c r="BS8" s="273" t="str">
        <f t="shared" si="15"/>
        <v/>
      </c>
      <c r="BT8" s="273" t="str">
        <f t="shared" si="15"/>
        <v/>
      </c>
      <c r="BU8" s="273" t="str">
        <f t="shared" si="15"/>
        <v/>
      </c>
      <c r="BV8" s="273" t="str">
        <f t="shared" si="15"/>
        <v/>
      </c>
      <c r="BW8" s="274" t="str">
        <f t="shared" si="15"/>
        <v/>
      </c>
      <c r="BX8" s="273" t="str">
        <f t="shared" si="15"/>
        <v/>
      </c>
      <c r="BY8" s="273" t="str">
        <f t="shared" si="15"/>
        <v/>
      </c>
      <c r="BZ8" s="273" t="str">
        <f t="shared" si="15"/>
        <v/>
      </c>
      <c r="CA8" s="273" t="str">
        <f t="shared" si="15"/>
        <v/>
      </c>
      <c r="CB8" s="273" t="str">
        <f t="shared" si="16"/>
        <v/>
      </c>
      <c r="CC8" s="273" t="str">
        <f t="shared" si="16"/>
        <v/>
      </c>
      <c r="CD8" s="273" t="str">
        <f t="shared" si="16"/>
        <v/>
      </c>
      <c r="CE8" s="273" t="str">
        <f t="shared" si="16"/>
        <v/>
      </c>
      <c r="CF8" s="273" t="str">
        <f t="shared" si="16"/>
        <v/>
      </c>
      <c r="CG8" s="273" t="str">
        <f t="shared" si="16"/>
        <v/>
      </c>
      <c r="CH8" s="273" t="str">
        <f t="shared" si="16"/>
        <v/>
      </c>
      <c r="CI8" s="274" t="str">
        <f t="shared" si="16"/>
        <v/>
      </c>
      <c r="CJ8" s="273" t="str">
        <f t="shared" si="16"/>
        <v/>
      </c>
      <c r="CK8" s="273" t="str">
        <f t="shared" si="16"/>
        <v/>
      </c>
      <c r="CL8" s="273" t="str">
        <f t="shared" si="17"/>
        <v/>
      </c>
      <c r="CM8" s="273" t="str">
        <f t="shared" si="17"/>
        <v/>
      </c>
      <c r="CN8" s="273" t="str">
        <f t="shared" si="17"/>
        <v/>
      </c>
      <c r="CO8" s="273" t="str">
        <f t="shared" si="17"/>
        <v/>
      </c>
      <c r="CP8" s="273" t="str">
        <f t="shared" si="17"/>
        <v/>
      </c>
      <c r="CQ8" s="273" t="str">
        <f t="shared" si="17"/>
        <v/>
      </c>
      <c r="CR8" s="273" t="str">
        <f t="shared" si="17"/>
        <v/>
      </c>
      <c r="CS8" s="273" t="str">
        <f t="shared" si="17"/>
        <v/>
      </c>
      <c r="CT8" s="273" t="str">
        <f t="shared" si="17"/>
        <v/>
      </c>
      <c r="CU8" s="274" t="str">
        <f t="shared" si="17"/>
        <v/>
      </c>
      <c r="CV8" s="273" t="str">
        <f t="shared" si="18"/>
        <v/>
      </c>
      <c r="CW8" s="273" t="str">
        <f t="shared" si="18"/>
        <v/>
      </c>
      <c r="CX8" s="273" t="str">
        <f t="shared" si="18"/>
        <v/>
      </c>
      <c r="CY8" s="273" t="str">
        <f t="shared" si="18"/>
        <v/>
      </c>
      <c r="CZ8" s="273" t="str">
        <f t="shared" si="18"/>
        <v/>
      </c>
      <c r="DA8" s="273" t="str">
        <f t="shared" si="18"/>
        <v/>
      </c>
      <c r="DB8" s="273" t="str">
        <f t="shared" si="18"/>
        <v/>
      </c>
      <c r="DC8" s="273" t="str">
        <f t="shared" si="18"/>
        <v/>
      </c>
      <c r="DD8" s="273" t="str">
        <f t="shared" si="18"/>
        <v/>
      </c>
      <c r="DE8" s="273" t="str">
        <f t="shared" si="18"/>
        <v/>
      </c>
      <c r="DF8" s="273" t="str">
        <f t="shared" si="19"/>
        <v/>
      </c>
      <c r="DG8" s="274" t="str">
        <f t="shared" si="19"/>
        <v/>
      </c>
      <c r="DH8" s="273" t="str">
        <f t="shared" si="19"/>
        <v/>
      </c>
      <c r="DI8" s="273" t="str">
        <f t="shared" si="19"/>
        <v/>
      </c>
      <c r="DJ8" s="273" t="str">
        <f t="shared" si="19"/>
        <v/>
      </c>
      <c r="DK8" s="273" t="str">
        <f t="shared" si="19"/>
        <v/>
      </c>
      <c r="DL8" s="273" t="str">
        <f t="shared" si="19"/>
        <v/>
      </c>
      <c r="DM8" s="273" t="str">
        <f t="shared" si="19"/>
        <v/>
      </c>
      <c r="DN8" s="273" t="str">
        <f t="shared" si="19"/>
        <v/>
      </c>
      <c r="DO8" s="273" t="str">
        <f t="shared" si="19"/>
        <v/>
      </c>
      <c r="DP8" s="273" t="str">
        <f t="shared" si="20"/>
        <v/>
      </c>
      <c r="DQ8" s="273" t="str">
        <f t="shared" si="20"/>
        <v/>
      </c>
      <c r="DR8" s="273" t="str">
        <f t="shared" si="20"/>
        <v/>
      </c>
      <c r="DS8" s="274" t="str">
        <f t="shared" si="20"/>
        <v/>
      </c>
      <c r="DT8" s="273" t="str">
        <f t="shared" si="20"/>
        <v/>
      </c>
      <c r="DU8" s="273" t="str">
        <f t="shared" si="20"/>
        <v/>
      </c>
      <c r="DV8" s="273" t="str">
        <f t="shared" si="20"/>
        <v/>
      </c>
      <c r="DW8" s="273" t="str">
        <f t="shared" si="20"/>
        <v/>
      </c>
      <c r="DX8" s="273" t="str">
        <f t="shared" si="20"/>
        <v/>
      </c>
      <c r="DY8" s="273" t="str">
        <f t="shared" si="20"/>
        <v/>
      </c>
      <c r="DZ8" s="273" t="str">
        <f t="shared" si="21"/>
        <v/>
      </c>
      <c r="EA8" s="273" t="str">
        <f t="shared" si="21"/>
        <v/>
      </c>
      <c r="EB8" s="273" t="str">
        <f t="shared" si="21"/>
        <v/>
      </c>
      <c r="EC8" s="273" t="str">
        <f t="shared" si="21"/>
        <v/>
      </c>
      <c r="ED8" s="273" t="str">
        <f t="shared" si="21"/>
        <v/>
      </c>
      <c r="EE8" s="274" t="str">
        <f t="shared" si="21"/>
        <v/>
      </c>
      <c r="EF8" s="273" t="str">
        <f t="shared" si="21"/>
        <v/>
      </c>
      <c r="EG8" s="273" t="str">
        <f t="shared" si="21"/>
        <v/>
      </c>
      <c r="EH8" s="273" t="str">
        <f t="shared" si="21"/>
        <v/>
      </c>
      <c r="EI8" s="273" t="str">
        <f t="shared" si="21"/>
        <v/>
      </c>
      <c r="EJ8" s="273" t="str">
        <f t="shared" si="22"/>
        <v/>
      </c>
      <c r="EK8" s="273" t="str">
        <f t="shared" si="22"/>
        <v/>
      </c>
      <c r="EL8" s="273" t="str">
        <f t="shared" si="22"/>
        <v/>
      </c>
      <c r="EM8" s="273" t="str">
        <f t="shared" si="22"/>
        <v/>
      </c>
      <c r="EN8" s="273" t="str">
        <f t="shared" si="22"/>
        <v/>
      </c>
      <c r="EO8" s="273" t="str">
        <f t="shared" si="22"/>
        <v/>
      </c>
      <c r="EP8" s="273" t="str">
        <f t="shared" si="22"/>
        <v/>
      </c>
      <c r="EQ8" s="274" t="str">
        <f t="shared" si="22"/>
        <v/>
      </c>
      <c r="ER8" s="273" t="str">
        <f t="shared" si="22"/>
        <v/>
      </c>
      <c r="ES8" s="273" t="str">
        <f t="shared" si="22"/>
        <v/>
      </c>
      <c r="ET8" s="273" t="str">
        <f t="shared" si="23"/>
        <v/>
      </c>
      <c r="EU8" s="273" t="str">
        <f t="shared" si="23"/>
        <v/>
      </c>
      <c r="EV8" s="273" t="str">
        <f t="shared" si="23"/>
        <v/>
      </c>
      <c r="EW8" s="273" t="str">
        <f t="shared" si="23"/>
        <v/>
      </c>
      <c r="EX8" s="273" t="str">
        <f t="shared" si="23"/>
        <v/>
      </c>
      <c r="EY8" s="273" t="str">
        <f t="shared" si="23"/>
        <v/>
      </c>
      <c r="EZ8" s="273" t="str">
        <f t="shared" si="23"/>
        <v/>
      </c>
      <c r="FA8" s="273" t="str">
        <f t="shared" si="23"/>
        <v/>
      </c>
      <c r="FB8" s="273" t="str">
        <f t="shared" si="23"/>
        <v/>
      </c>
      <c r="FC8" s="274" t="str">
        <f t="shared" si="23"/>
        <v/>
      </c>
      <c r="FD8" s="273" t="str">
        <f t="shared" si="24"/>
        <v/>
      </c>
      <c r="FE8" s="273" t="str">
        <f t="shared" si="24"/>
        <v/>
      </c>
      <c r="FF8" s="273" t="str">
        <f t="shared" si="24"/>
        <v/>
      </c>
      <c r="FG8" s="273" t="str">
        <f t="shared" si="24"/>
        <v/>
      </c>
      <c r="FH8" s="273" t="str">
        <f t="shared" si="24"/>
        <v/>
      </c>
      <c r="FI8" s="273" t="str">
        <f t="shared" si="24"/>
        <v/>
      </c>
      <c r="FJ8" s="273" t="str">
        <f t="shared" si="24"/>
        <v/>
      </c>
      <c r="FK8" s="273" t="str">
        <f t="shared" si="24"/>
        <v/>
      </c>
      <c r="FL8" s="273" t="str">
        <f t="shared" si="24"/>
        <v/>
      </c>
      <c r="FM8" s="273" t="str">
        <f t="shared" si="24"/>
        <v/>
      </c>
      <c r="FN8" s="273" t="str">
        <f t="shared" si="25"/>
        <v/>
      </c>
      <c r="FO8" s="274" t="str">
        <f t="shared" si="25"/>
        <v/>
      </c>
      <c r="FP8" s="273" t="str">
        <f t="shared" si="25"/>
        <v/>
      </c>
      <c r="FQ8" s="273" t="str">
        <f t="shared" si="25"/>
        <v/>
      </c>
      <c r="FR8" s="273" t="str">
        <f t="shared" si="25"/>
        <v/>
      </c>
      <c r="FS8" s="273" t="str">
        <f t="shared" si="25"/>
        <v/>
      </c>
      <c r="FT8" s="273" t="str">
        <f t="shared" si="25"/>
        <v/>
      </c>
      <c r="FU8" s="273" t="str">
        <f t="shared" si="25"/>
        <v/>
      </c>
      <c r="FV8" s="273" t="str">
        <f t="shared" si="25"/>
        <v/>
      </c>
      <c r="FW8" s="273" t="str">
        <f t="shared" si="25"/>
        <v/>
      </c>
      <c r="FX8" s="273" t="str">
        <f t="shared" si="25"/>
        <v/>
      </c>
      <c r="FY8" s="273" t="str">
        <f t="shared" si="25"/>
        <v/>
      </c>
      <c r="FZ8" s="273" t="str">
        <f t="shared" si="25"/>
        <v/>
      </c>
      <c r="GA8" s="275" t="str">
        <f t="shared" si="25"/>
        <v/>
      </c>
      <c r="GB8" s="276"/>
      <c r="GC8" s="276"/>
      <c r="GD8" s="276"/>
      <c r="GE8" s="276"/>
      <c r="GF8" s="276"/>
      <c r="GG8" s="276"/>
      <c r="GH8" s="276"/>
      <c r="GI8" s="276"/>
      <c r="GJ8" s="276"/>
      <c r="GK8" s="276"/>
      <c r="GL8" s="276"/>
      <c r="GM8" s="276"/>
      <c r="GN8" s="276"/>
      <c r="GQ8" s="263">
        <f t="shared" ref="GQ8:GQ23" si="30">IF($AB$3=$GQ$3,Z8,AA8)</f>
        <v>0</v>
      </c>
    </row>
    <row r="9" spans="1:216">
      <c r="A9" s="263">
        <v>3</v>
      </c>
      <c r="B9" s="277" t="str">
        <f>IF('(7b) Project List'!F11&lt;&gt;"",'(7b) Project List'!F11," ")</f>
        <v xml:space="preserve"> </v>
      </c>
      <c r="C9" s="278" t="str">
        <f t="shared" si="0"/>
        <v xml:space="preserve"> </v>
      </c>
      <c r="D9" s="278" t="str">
        <f>IF('(7b) Project List'!G11&lt;&gt;"",'(7b) Project List'!G11,"")</f>
        <v/>
      </c>
      <c r="E9" s="278" t="str">
        <f t="shared" si="1"/>
        <v/>
      </c>
      <c r="F9" s="590" t="str">
        <f>IF('(7b) Project List'!B11="","",'P3-MCR'!I34)</f>
        <v/>
      </c>
      <c r="G9" s="591" t="str">
        <f>IF('(7b) Project List'!B11="","",'P3-MCR'!J34)</f>
        <v/>
      </c>
      <c r="H9" s="298"/>
      <c r="I9" s="1464" t="str">
        <f>IF(OR('3'!C30="",'3'!E30=""),"",DATEDIF('3'!C30,'3'!E30,"m"))</f>
        <v/>
      </c>
      <c r="J9" s="573" t="str">
        <f>IF('3'!C51="","",'3'!C51)</f>
        <v/>
      </c>
      <c r="K9" s="1469" t="str">
        <f>IF(EXP!I11="","",EXP!I11)</f>
        <v/>
      </c>
      <c r="L9" s="542" t="str">
        <f t="shared" si="2"/>
        <v/>
      </c>
      <c r="M9" s="542" t="str">
        <f t="shared" si="3"/>
        <v/>
      </c>
      <c r="N9" s="542" t="str">
        <f t="shared" si="26"/>
        <v/>
      </c>
      <c r="O9" s="573" t="str">
        <f>IF('3'!C47="","",'3'!C47)</f>
        <v/>
      </c>
      <c r="P9" s="662" t="str">
        <f>IF('3'!C52="","",'3'!C52)</f>
        <v/>
      </c>
      <c r="Q9" s="662" t="str">
        <f>IF('3'!C53="","",'3'!C53)</f>
        <v/>
      </c>
      <c r="R9" s="573" t="str">
        <f>IF('3'!C48="","",'3'!C48)</f>
        <v/>
      </c>
      <c r="S9" s="1618" t="str">
        <f t="shared" si="27"/>
        <v/>
      </c>
      <c r="T9" s="586" t="str">
        <f t="shared" si="28"/>
        <v/>
      </c>
      <c r="U9" s="539" t="str">
        <f t="shared" si="29"/>
        <v/>
      </c>
      <c r="V9" s="1465" t="str">
        <f t="shared" si="4"/>
        <v/>
      </c>
      <c r="W9" s="298"/>
      <c r="X9" s="608" t="str">
        <f>IF(EXP!H11="","",EXP!H11)</f>
        <v/>
      </c>
      <c r="Y9" s="608" t="str">
        <f>IF(EXP!D11="","",EXP!D11)</f>
        <v/>
      </c>
      <c r="Z9" s="279"/>
      <c r="AA9" s="279"/>
      <c r="AB9" s="279"/>
      <c r="AC9" s="280">
        <f>IF('(7b) Project List'!H11&lt;&gt;"",'(7b) Project List'!H11,"")</f>
        <v>0</v>
      </c>
      <c r="AD9" s="268">
        <f t="shared" si="5"/>
        <v>0</v>
      </c>
      <c r="AE9" s="281" t="str">
        <f>IF(ISERROR('(7c) Project Schedule'!K6),"",'(7c) Project Schedule'!K6)</f>
        <v/>
      </c>
      <c r="AF9" s="282" t="str">
        <f t="shared" si="6"/>
        <v xml:space="preserve"> </v>
      </c>
      <c r="AG9" s="283"/>
      <c r="AH9" s="282" t="str">
        <f t="shared" si="7"/>
        <v xml:space="preserve"> </v>
      </c>
      <c r="AI9" s="282" t="str">
        <f t="shared" si="8"/>
        <v xml:space="preserve"> </v>
      </c>
      <c r="AJ9" s="282" t="str">
        <f t="shared" si="9"/>
        <v xml:space="preserve"> </v>
      </c>
      <c r="AK9" s="1562" t="str">
        <f t="shared" si="10"/>
        <v xml:space="preserve"> </v>
      </c>
      <c r="AL9" s="1565" t="str">
        <f t="shared" si="11"/>
        <v/>
      </c>
      <c r="AN9" s="272" t="str">
        <f t="shared" si="12"/>
        <v/>
      </c>
      <c r="AO9" s="273" t="str">
        <f t="shared" si="12"/>
        <v/>
      </c>
      <c r="AP9" s="273" t="str">
        <f t="shared" si="12"/>
        <v/>
      </c>
      <c r="AQ9" s="273" t="str">
        <f t="shared" si="12"/>
        <v/>
      </c>
      <c r="AR9" s="273" t="str">
        <f t="shared" si="12"/>
        <v/>
      </c>
      <c r="AS9" s="273" t="str">
        <f t="shared" si="12"/>
        <v/>
      </c>
      <c r="AT9" s="273" t="str">
        <f t="shared" si="12"/>
        <v/>
      </c>
      <c r="AU9" s="273" t="str">
        <f t="shared" si="12"/>
        <v/>
      </c>
      <c r="AV9" s="273" t="str">
        <f t="shared" si="12"/>
        <v/>
      </c>
      <c r="AW9" s="273" t="str">
        <f t="shared" si="12"/>
        <v/>
      </c>
      <c r="AX9" s="273" t="str">
        <f t="shared" si="13"/>
        <v/>
      </c>
      <c r="AY9" s="274" t="str">
        <f t="shared" si="13"/>
        <v/>
      </c>
      <c r="AZ9" s="273" t="str">
        <f t="shared" si="13"/>
        <v/>
      </c>
      <c r="BA9" s="273" t="str">
        <f t="shared" si="13"/>
        <v/>
      </c>
      <c r="BB9" s="273" t="str">
        <f t="shared" si="13"/>
        <v/>
      </c>
      <c r="BC9" s="273" t="str">
        <f t="shared" si="13"/>
        <v/>
      </c>
      <c r="BD9" s="273" t="str">
        <f t="shared" si="13"/>
        <v/>
      </c>
      <c r="BE9" s="273" t="str">
        <f t="shared" si="13"/>
        <v/>
      </c>
      <c r="BF9" s="273" t="str">
        <f t="shared" si="13"/>
        <v/>
      </c>
      <c r="BG9" s="273" t="str">
        <f t="shared" si="13"/>
        <v/>
      </c>
      <c r="BH9" s="273" t="str">
        <f t="shared" si="14"/>
        <v/>
      </c>
      <c r="BI9" s="273" t="str">
        <f t="shared" si="14"/>
        <v/>
      </c>
      <c r="BJ9" s="273" t="str">
        <f t="shared" si="14"/>
        <v/>
      </c>
      <c r="BK9" s="274" t="str">
        <f t="shared" si="14"/>
        <v/>
      </c>
      <c r="BL9" s="273" t="str">
        <f t="shared" si="14"/>
        <v/>
      </c>
      <c r="BM9" s="273" t="str">
        <f t="shared" si="14"/>
        <v/>
      </c>
      <c r="BN9" s="273" t="str">
        <f t="shared" si="14"/>
        <v/>
      </c>
      <c r="BO9" s="273" t="str">
        <f t="shared" si="14"/>
        <v/>
      </c>
      <c r="BP9" s="273" t="str">
        <f t="shared" si="14"/>
        <v/>
      </c>
      <c r="BQ9" s="273" t="str">
        <f t="shared" si="14"/>
        <v/>
      </c>
      <c r="BR9" s="273" t="str">
        <f t="shared" si="15"/>
        <v/>
      </c>
      <c r="BS9" s="273" t="str">
        <f t="shared" si="15"/>
        <v/>
      </c>
      <c r="BT9" s="273" t="str">
        <f t="shared" si="15"/>
        <v/>
      </c>
      <c r="BU9" s="273" t="str">
        <f t="shared" si="15"/>
        <v/>
      </c>
      <c r="BV9" s="273" t="str">
        <f t="shared" si="15"/>
        <v/>
      </c>
      <c r="BW9" s="274" t="str">
        <f t="shared" si="15"/>
        <v/>
      </c>
      <c r="BX9" s="273" t="str">
        <f t="shared" si="15"/>
        <v/>
      </c>
      <c r="BY9" s="273" t="str">
        <f t="shared" si="15"/>
        <v/>
      </c>
      <c r="BZ9" s="273" t="str">
        <f t="shared" si="15"/>
        <v/>
      </c>
      <c r="CA9" s="273" t="str">
        <f t="shared" si="15"/>
        <v/>
      </c>
      <c r="CB9" s="273" t="str">
        <f t="shared" si="16"/>
        <v/>
      </c>
      <c r="CC9" s="273" t="str">
        <f t="shared" si="16"/>
        <v/>
      </c>
      <c r="CD9" s="273" t="str">
        <f t="shared" si="16"/>
        <v/>
      </c>
      <c r="CE9" s="273" t="str">
        <f t="shared" si="16"/>
        <v/>
      </c>
      <c r="CF9" s="273" t="str">
        <f t="shared" si="16"/>
        <v/>
      </c>
      <c r="CG9" s="273" t="str">
        <f t="shared" si="16"/>
        <v/>
      </c>
      <c r="CH9" s="273" t="str">
        <f t="shared" si="16"/>
        <v/>
      </c>
      <c r="CI9" s="274" t="str">
        <f t="shared" si="16"/>
        <v/>
      </c>
      <c r="CJ9" s="273" t="str">
        <f t="shared" si="16"/>
        <v/>
      </c>
      <c r="CK9" s="273" t="str">
        <f t="shared" si="16"/>
        <v/>
      </c>
      <c r="CL9" s="273" t="str">
        <f t="shared" si="17"/>
        <v/>
      </c>
      <c r="CM9" s="273" t="str">
        <f t="shared" si="17"/>
        <v/>
      </c>
      <c r="CN9" s="273" t="str">
        <f t="shared" si="17"/>
        <v/>
      </c>
      <c r="CO9" s="273" t="str">
        <f t="shared" si="17"/>
        <v/>
      </c>
      <c r="CP9" s="273" t="str">
        <f t="shared" si="17"/>
        <v/>
      </c>
      <c r="CQ9" s="273" t="str">
        <f t="shared" si="17"/>
        <v/>
      </c>
      <c r="CR9" s="273" t="str">
        <f t="shared" si="17"/>
        <v/>
      </c>
      <c r="CS9" s="273" t="str">
        <f t="shared" si="17"/>
        <v/>
      </c>
      <c r="CT9" s="273" t="str">
        <f t="shared" si="17"/>
        <v/>
      </c>
      <c r="CU9" s="274" t="str">
        <f t="shared" si="17"/>
        <v/>
      </c>
      <c r="CV9" s="273" t="str">
        <f t="shared" si="18"/>
        <v/>
      </c>
      <c r="CW9" s="273" t="str">
        <f t="shared" si="18"/>
        <v/>
      </c>
      <c r="CX9" s="273" t="str">
        <f t="shared" si="18"/>
        <v/>
      </c>
      <c r="CY9" s="273" t="str">
        <f t="shared" si="18"/>
        <v/>
      </c>
      <c r="CZ9" s="273" t="str">
        <f t="shared" si="18"/>
        <v/>
      </c>
      <c r="DA9" s="273" t="str">
        <f t="shared" si="18"/>
        <v/>
      </c>
      <c r="DB9" s="273" t="str">
        <f t="shared" si="18"/>
        <v/>
      </c>
      <c r="DC9" s="273" t="str">
        <f t="shared" si="18"/>
        <v/>
      </c>
      <c r="DD9" s="273" t="str">
        <f t="shared" si="18"/>
        <v/>
      </c>
      <c r="DE9" s="273" t="str">
        <f t="shared" si="18"/>
        <v/>
      </c>
      <c r="DF9" s="273" t="str">
        <f t="shared" si="19"/>
        <v/>
      </c>
      <c r="DG9" s="274" t="str">
        <f t="shared" si="19"/>
        <v/>
      </c>
      <c r="DH9" s="273" t="str">
        <f t="shared" si="19"/>
        <v/>
      </c>
      <c r="DI9" s="273" t="str">
        <f t="shared" si="19"/>
        <v/>
      </c>
      <c r="DJ9" s="273" t="str">
        <f t="shared" si="19"/>
        <v/>
      </c>
      <c r="DK9" s="273" t="str">
        <f t="shared" si="19"/>
        <v/>
      </c>
      <c r="DL9" s="273" t="str">
        <f t="shared" si="19"/>
        <v/>
      </c>
      <c r="DM9" s="273" t="str">
        <f t="shared" si="19"/>
        <v/>
      </c>
      <c r="DN9" s="273" t="str">
        <f t="shared" si="19"/>
        <v/>
      </c>
      <c r="DO9" s="273" t="str">
        <f t="shared" si="19"/>
        <v/>
      </c>
      <c r="DP9" s="273" t="str">
        <f t="shared" si="20"/>
        <v/>
      </c>
      <c r="DQ9" s="273" t="str">
        <f t="shared" si="20"/>
        <v/>
      </c>
      <c r="DR9" s="273" t="str">
        <f t="shared" si="20"/>
        <v/>
      </c>
      <c r="DS9" s="274" t="str">
        <f t="shared" si="20"/>
        <v/>
      </c>
      <c r="DT9" s="273" t="str">
        <f t="shared" si="20"/>
        <v/>
      </c>
      <c r="DU9" s="273" t="str">
        <f t="shared" si="20"/>
        <v/>
      </c>
      <c r="DV9" s="273" t="str">
        <f t="shared" si="20"/>
        <v/>
      </c>
      <c r="DW9" s="273" t="str">
        <f t="shared" si="20"/>
        <v/>
      </c>
      <c r="DX9" s="273" t="str">
        <f t="shared" si="20"/>
        <v/>
      </c>
      <c r="DY9" s="273" t="str">
        <f t="shared" si="20"/>
        <v/>
      </c>
      <c r="DZ9" s="273" t="str">
        <f t="shared" si="21"/>
        <v/>
      </c>
      <c r="EA9" s="273" t="str">
        <f t="shared" si="21"/>
        <v/>
      </c>
      <c r="EB9" s="273" t="str">
        <f t="shared" si="21"/>
        <v/>
      </c>
      <c r="EC9" s="273" t="str">
        <f t="shared" si="21"/>
        <v/>
      </c>
      <c r="ED9" s="273" t="str">
        <f t="shared" si="21"/>
        <v/>
      </c>
      <c r="EE9" s="274" t="str">
        <f t="shared" si="21"/>
        <v/>
      </c>
      <c r="EF9" s="273" t="str">
        <f t="shared" si="21"/>
        <v/>
      </c>
      <c r="EG9" s="273" t="str">
        <f t="shared" si="21"/>
        <v/>
      </c>
      <c r="EH9" s="273" t="str">
        <f t="shared" si="21"/>
        <v/>
      </c>
      <c r="EI9" s="273" t="str">
        <f t="shared" si="21"/>
        <v/>
      </c>
      <c r="EJ9" s="273" t="str">
        <f t="shared" si="22"/>
        <v/>
      </c>
      <c r="EK9" s="273" t="str">
        <f t="shared" si="22"/>
        <v/>
      </c>
      <c r="EL9" s="273" t="str">
        <f t="shared" si="22"/>
        <v/>
      </c>
      <c r="EM9" s="273" t="str">
        <f t="shared" si="22"/>
        <v/>
      </c>
      <c r="EN9" s="273" t="str">
        <f t="shared" si="22"/>
        <v/>
      </c>
      <c r="EO9" s="273" t="str">
        <f t="shared" si="22"/>
        <v/>
      </c>
      <c r="EP9" s="273" t="str">
        <f t="shared" si="22"/>
        <v/>
      </c>
      <c r="EQ9" s="274" t="str">
        <f t="shared" si="22"/>
        <v/>
      </c>
      <c r="ER9" s="273" t="str">
        <f t="shared" si="22"/>
        <v/>
      </c>
      <c r="ES9" s="273" t="str">
        <f t="shared" si="22"/>
        <v/>
      </c>
      <c r="ET9" s="273" t="str">
        <f t="shared" si="23"/>
        <v/>
      </c>
      <c r="EU9" s="273" t="str">
        <f t="shared" si="23"/>
        <v/>
      </c>
      <c r="EV9" s="273" t="str">
        <f t="shared" si="23"/>
        <v/>
      </c>
      <c r="EW9" s="273" t="str">
        <f t="shared" si="23"/>
        <v/>
      </c>
      <c r="EX9" s="273" t="str">
        <f t="shared" si="23"/>
        <v/>
      </c>
      <c r="EY9" s="273" t="str">
        <f t="shared" si="23"/>
        <v/>
      </c>
      <c r="EZ9" s="273" t="str">
        <f t="shared" si="23"/>
        <v/>
      </c>
      <c r="FA9" s="273" t="str">
        <f t="shared" si="23"/>
        <v/>
      </c>
      <c r="FB9" s="273" t="str">
        <f t="shared" si="23"/>
        <v/>
      </c>
      <c r="FC9" s="274" t="str">
        <f t="shared" si="23"/>
        <v/>
      </c>
      <c r="FD9" s="273" t="str">
        <f t="shared" si="24"/>
        <v/>
      </c>
      <c r="FE9" s="273" t="str">
        <f t="shared" si="24"/>
        <v/>
      </c>
      <c r="FF9" s="273" t="str">
        <f t="shared" si="24"/>
        <v/>
      </c>
      <c r="FG9" s="273" t="str">
        <f t="shared" si="24"/>
        <v/>
      </c>
      <c r="FH9" s="273" t="str">
        <f t="shared" si="24"/>
        <v/>
      </c>
      <c r="FI9" s="273" t="str">
        <f t="shared" si="24"/>
        <v/>
      </c>
      <c r="FJ9" s="273" t="str">
        <f t="shared" si="24"/>
        <v/>
      </c>
      <c r="FK9" s="273" t="str">
        <f t="shared" si="24"/>
        <v/>
      </c>
      <c r="FL9" s="273" t="str">
        <f t="shared" si="24"/>
        <v/>
      </c>
      <c r="FM9" s="273" t="str">
        <f t="shared" si="24"/>
        <v/>
      </c>
      <c r="FN9" s="273" t="str">
        <f t="shared" si="25"/>
        <v/>
      </c>
      <c r="FO9" s="274" t="str">
        <f t="shared" si="25"/>
        <v/>
      </c>
      <c r="FP9" s="273" t="str">
        <f t="shared" si="25"/>
        <v/>
      </c>
      <c r="FQ9" s="273" t="str">
        <f t="shared" si="25"/>
        <v/>
      </c>
      <c r="FR9" s="273" t="str">
        <f t="shared" si="25"/>
        <v/>
      </c>
      <c r="FS9" s="273" t="str">
        <f t="shared" si="25"/>
        <v/>
      </c>
      <c r="FT9" s="273" t="str">
        <f t="shared" si="25"/>
        <v/>
      </c>
      <c r="FU9" s="273" t="str">
        <f t="shared" si="25"/>
        <v/>
      </c>
      <c r="FV9" s="273" t="str">
        <f t="shared" si="25"/>
        <v/>
      </c>
      <c r="FW9" s="273" t="str">
        <f t="shared" si="25"/>
        <v/>
      </c>
      <c r="FX9" s="273" t="str">
        <f t="shared" si="25"/>
        <v/>
      </c>
      <c r="FY9" s="273" t="str">
        <f t="shared" si="25"/>
        <v/>
      </c>
      <c r="FZ9" s="273" t="str">
        <f t="shared" si="25"/>
        <v/>
      </c>
      <c r="GA9" s="275" t="str">
        <f t="shared" si="25"/>
        <v/>
      </c>
      <c r="GB9" s="276"/>
      <c r="GC9" s="276"/>
      <c r="GD9" s="276"/>
      <c r="GE9" s="276"/>
      <c r="GF9" s="276"/>
      <c r="GG9" s="276"/>
      <c r="GH9" s="276"/>
      <c r="GI9" s="276"/>
      <c r="GJ9" s="276"/>
      <c r="GK9" s="276"/>
      <c r="GL9" s="276"/>
      <c r="GM9" s="276"/>
      <c r="GN9" s="276"/>
      <c r="GQ9" s="263">
        <f t="shared" si="30"/>
        <v>0</v>
      </c>
    </row>
    <row r="10" spans="1:216">
      <c r="A10" s="263">
        <v>4</v>
      </c>
      <c r="B10" s="277" t="str">
        <f>IF('(7b) Project List'!F12&lt;&gt;"",'(7b) Project List'!F12," ")</f>
        <v xml:space="preserve"> </v>
      </c>
      <c r="C10" s="278" t="str">
        <f t="shared" si="0"/>
        <v xml:space="preserve"> </v>
      </c>
      <c r="D10" s="278" t="str">
        <f>IF('(7b) Project List'!G12&lt;&gt;"",'(7b) Project List'!G12,"")</f>
        <v/>
      </c>
      <c r="E10" s="278" t="str">
        <f t="shared" si="1"/>
        <v/>
      </c>
      <c r="F10" s="590" t="str">
        <f>IF('(7b) Project List'!B12="","",'P4-MCR'!I34)</f>
        <v/>
      </c>
      <c r="G10" s="591" t="str">
        <f>IF('(7b) Project List'!B12="","",'P4-MCR'!J34)</f>
        <v/>
      </c>
      <c r="H10" s="298"/>
      <c r="I10" s="1464" t="str">
        <f>IF(OR('4'!C30="",'4'!E30=""),"",DATEDIF('4'!C30,'4'!E30,"m"))</f>
        <v/>
      </c>
      <c r="J10" s="573" t="str">
        <f>IF('4'!C51="","",'4'!C51)</f>
        <v/>
      </c>
      <c r="K10" s="1469" t="str">
        <f>IF(EXP!I12="","",EXP!I12)</f>
        <v/>
      </c>
      <c r="L10" s="542" t="str">
        <f t="shared" si="2"/>
        <v/>
      </c>
      <c r="M10" s="542" t="str">
        <f t="shared" si="3"/>
        <v/>
      </c>
      <c r="N10" s="542" t="str">
        <f t="shared" si="26"/>
        <v/>
      </c>
      <c r="O10" s="573" t="str">
        <f>IF('4'!C47="","",'4'!C47)</f>
        <v/>
      </c>
      <c r="P10" s="662" t="str">
        <f>IF('4'!C52="","",'4'!C52)</f>
        <v/>
      </c>
      <c r="Q10" s="662" t="str">
        <f>IF('4'!C53="","",'4'!C53)</f>
        <v/>
      </c>
      <c r="R10" s="573" t="str">
        <f>IF('4'!C48="","",'4'!C48)</f>
        <v/>
      </c>
      <c r="S10" s="1618" t="str">
        <f t="shared" si="27"/>
        <v/>
      </c>
      <c r="T10" s="586" t="str">
        <f t="shared" si="28"/>
        <v/>
      </c>
      <c r="U10" s="539" t="str">
        <f t="shared" si="29"/>
        <v/>
      </c>
      <c r="V10" s="1465" t="str">
        <f t="shared" si="4"/>
        <v/>
      </c>
      <c r="W10" s="298"/>
      <c r="X10" s="608" t="str">
        <f>IF(EXP!H12="","",EXP!H12)</f>
        <v/>
      </c>
      <c r="Y10" s="608" t="str">
        <f>IF(EXP!D12="","",EXP!D12)</f>
        <v/>
      </c>
      <c r="Z10" s="279"/>
      <c r="AA10" s="279"/>
      <c r="AB10" s="279"/>
      <c r="AC10" s="280">
        <f>IF('(7b) Project List'!H12&lt;&gt;"",'(7b) Project List'!H12,"")</f>
        <v>0</v>
      </c>
      <c r="AD10" s="268">
        <f t="shared" si="5"/>
        <v>0</v>
      </c>
      <c r="AE10" s="281" t="str">
        <f>IF(ISERROR('(7c) Project Schedule'!K7),"",'(7c) Project Schedule'!K7)</f>
        <v/>
      </c>
      <c r="AF10" s="282" t="str">
        <f t="shared" si="6"/>
        <v xml:space="preserve"> </v>
      </c>
      <c r="AG10" s="283"/>
      <c r="AH10" s="282" t="str">
        <f t="shared" si="7"/>
        <v xml:space="preserve"> </v>
      </c>
      <c r="AI10" s="282" t="str">
        <f t="shared" si="8"/>
        <v xml:space="preserve"> </v>
      </c>
      <c r="AJ10" s="282" t="str">
        <f t="shared" si="9"/>
        <v xml:space="preserve"> </v>
      </c>
      <c r="AK10" s="1562" t="str">
        <f t="shared" si="10"/>
        <v xml:space="preserve"> </v>
      </c>
      <c r="AL10" s="1565" t="str">
        <f t="shared" si="11"/>
        <v/>
      </c>
      <c r="AN10" s="272" t="str">
        <f t="shared" si="12"/>
        <v/>
      </c>
      <c r="AO10" s="273" t="str">
        <f t="shared" si="12"/>
        <v/>
      </c>
      <c r="AP10" s="273" t="str">
        <f t="shared" si="12"/>
        <v/>
      </c>
      <c r="AQ10" s="273" t="str">
        <f t="shared" si="12"/>
        <v/>
      </c>
      <c r="AR10" s="273" t="str">
        <f t="shared" si="12"/>
        <v/>
      </c>
      <c r="AS10" s="273" t="str">
        <f t="shared" si="12"/>
        <v/>
      </c>
      <c r="AT10" s="273" t="str">
        <f t="shared" si="12"/>
        <v/>
      </c>
      <c r="AU10" s="273" t="str">
        <f t="shared" si="12"/>
        <v/>
      </c>
      <c r="AV10" s="273" t="str">
        <f t="shared" si="12"/>
        <v/>
      </c>
      <c r="AW10" s="273" t="str">
        <f t="shared" si="12"/>
        <v/>
      </c>
      <c r="AX10" s="273" t="str">
        <f t="shared" si="13"/>
        <v/>
      </c>
      <c r="AY10" s="274" t="str">
        <f t="shared" si="13"/>
        <v/>
      </c>
      <c r="AZ10" s="273" t="str">
        <f t="shared" si="13"/>
        <v/>
      </c>
      <c r="BA10" s="273" t="str">
        <f t="shared" si="13"/>
        <v/>
      </c>
      <c r="BB10" s="273" t="str">
        <f t="shared" si="13"/>
        <v/>
      </c>
      <c r="BC10" s="273" t="str">
        <f t="shared" si="13"/>
        <v/>
      </c>
      <c r="BD10" s="273" t="str">
        <f t="shared" si="13"/>
        <v/>
      </c>
      <c r="BE10" s="273" t="str">
        <f t="shared" si="13"/>
        <v/>
      </c>
      <c r="BF10" s="273" t="str">
        <f t="shared" si="13"/>
        <v/>
      </c>
      <c r="BG10" s="273" t="str">
        <f t="shared" si="13"/>
        <v/>
      </c>
      <c r="BH10" s="273" t="str">
        <f t="shared" si="14"/>
        <v/>
      </c>
      <c r="BI10" s="273" t="str">
        <f t="shared" si="14"/>
        <v/>
      </c>
      <c r="BJ10" s="273" t="str">
        <f t="shared" si="14"/>
        <v/>
      </c>
      <c r="BK10" s="274" t="str">
        <f t="shared" si="14"/>
        <v/>
      </c>
      <c r="BL10" s="273" t="str">
        <f t="shared" si="14"/>
        <v/>
      </c>
      <c r="BM10" s="273" t="str">
        <f t="shared" si="14"/>
        <v/>
      </c>
      <c r="BN10" s="273" t="str">
        <f t="shared" si="14"/>
        <v/>
      </c>
      <c r="BO10" s="273" t="str">
        <f t="shared" si="14"/>
        <v/>
      </c>
      <c r="BP10" s="273" t="str">
        <f t="shared" si="14"/>
        <v/>
      </c>
      <c r="BQ10" s="273" t="str">
        <f t="shared" si="14"/>
        <v/>
      </c>
      <c r="BR10" s="273" t="str">
        <f t="shared" si="15"/>
        <v/>
      </c>
      <c r="BS10" s="273" t="str">
        <f t="shared" si="15"/>
        <v/>
      </c>
      <c r="BT10" s="273" t="str">
        <f t="shared" si="15"/>
        <v/>
      </c>
      <c r="BU10" s="273" t="str">
        <f t="shared" si="15"/>
        <v/>
      </c>
      <c r="BV10" s="273" t="str">
        <f t="shared" si="15"/>
        <v/>
      </c>
      <c r="BW10" s="274" t="str">
        <f t="shared" si="15"/>
        <v/>
      </c>
      <c r="BX10" s="273" t="str">
        <f t="shared" si="15"/>
        <v/>
      </c>
      <c r="BY10" s="273" t="str">
        <f t="shared" si="15"/>
        <v/>
      </c>
      <c r="BZ10" s="273" t="str">
        <f t="shared" si="15"/>
        <v/>
      </c>
      <c r="CA10" s="273" t="str">
        <f t="shared" si="15"/>
        <v/>
      </c>
      <c r="CB10" s="273" t="str">
        <f t="shared" si="16"/>
        <v/>
      </c>
      <c r="CC10" s="273" t="str">
        <f t="shared" si="16"/>
        <v/>
      </c>
      <c r="CD10" s="273" t="str">
        <f t="shared" si="16"/>
        <v/>
      </c>
      <c r="CE10" s="273" t="str">
        <f t="shared" si="16"/>
        <v/>
      </c>
      <c r="CF10" s="273" t="str">
        <f t="shared" si="16"/>
        <v/>
      </c>
      <c r="CG10" s="273" t="str">
        <f t="shared" si="16"/>
        <v/>
      </c>
      <c r="CH10" s="273" t="str">
        <f t="shared" si="16"/>
        <v/>
      </c>
      <c r="CI10" s="274" t="str">
        <f t="shared" si="16"/>
        <v/>
      </c>
      <c r="CJ10" s="273" t="str">
        <f t="shared" si="16"/>
        <v/>
      </c>
      <c r="CK10" s="273" t="str">
        <f t="shared" si="16"/>
        <v/>
      </c>
      <c r="CL10" s="273" t="str">
        <f t="shared" si="17"/>
        <v/>
      </c>
      <c r="CM10" s="273" t="str">
        <f t="shared" si="17"/>
        <v/>
      </c>
      <c r="CN10" s="273" t="str">
        <f t="shared" si="17"/>
        <v/>
      </c>
      <c r="CO10" s="273" t="str">
        <f t="shared" si="17"/>
        <v/>
      </c>
      <c r="CP10" s="273" t="str">
        <f t="shared" si="17"/>
        <v/>
      </c>
      <c r="CQ10" s="273" t="str">
        <f t="shared" si="17"/>
        <v/>
      </c>
      <c r="CR10" s="273" t="str">
        <f t="shared" si="17"/>
        <v/>
      </c>
      <c r="CS10" s="273" t="str">
        <f t="shared" si="17"/>
        <v/>
      </c>
      <c r="CT10" s="273" t="str">
        <f t="shared" si="17"/>
        <v/>
      </c>
      <c r="CU10" s="274" t="str">
        <f t="shared" si="17"/>
        <v/>
      </c>
      <c r="CV10" s="273" t="str">
        <f t="shared" si="18"/>
        <v/>
      </c>
      <c r="CW10" s="273" t="str">
        <f t="shared" si="18"/>
        <v/>
      </c>
      <c r="CX10" s="273" t="str">
        <f t="shared" si="18"/>
        <v/>
      </c>
      <c r="CY10" s="273" t="str">
        <f t="shared" si="18"/>
        <v/>
      </c>
      <c r="CZ10" s="273" t="str">
        <f t="shared" si="18"/>
        <v/>
      </c>
      <c r="DA10" s="273" t="str">
        <f t="shared" si="18"/>
        <v/>
      </c>
      <c r="DB10" s="273" t="str">
        <f t="shared" si="18"/>
        <v/>
      </c>
      <c r="DC10" s="273" t="str">
        <f t="shared" si="18"/>
        <v/>
      </c>
      <c r="DD10" s="273" t="str">
        <f t="shared" si="18"/>
        <v/>
      </c>
      <c r="DE10" s="273" t="str">
        <f t="shared" si="18"/>
        <v/>
      </c>
      <c r="DF10" s="273" t="str">
        <f t="shared" si="19"/>
        <v/>
      </c>
      <c r="DG10" s="274" t="str">
        <f t="shared" si="19"/>
        <v/>
      </c>
      <c r="DH10" s="273" t="str">
        <f t="shared" si="19"/>
        <v/>
      </c>
      <c r="DI10" s="273" t="str">
        <f t="shared" si="19"/>
        <v/>
      </c>
      <c r="DJ10" s="273" t="str">
        <f t="shared" si="19"/>
        <v/>
      </c>
      <c r="DK10" s="273" t="str">
        <f t="shared" si="19"/>
        <v/>
      </c>
      <c r="DL10" s="273" t="str">
        <f t="shared" si="19"/>
        <v/>
      </c>
      <c r="DM10" s="273" t="str">
        <f t="shared" si="19"/>
        <v/>
      </c>
      <c r="DN10" s="273" t="str">
        <f t="shared" si="19"/>
        <v/>
      </c>
      <c r="DO10" s="273" t="str">
        <f t="shared" si="19"/>
        <v/>
      </c>
      <c r="DP10" s="273" t="str">
        <f t="shared" si="20"/>
        <v/>
      </c>
      <c r="DQ10" s="273" t="str">
        <f t="shared" si="20"/>
        <v/>
      </c>
      <c r="DR10" s="273" t="str">
        <f t="shared" si="20"/>
        <v/>
      </c>
      <c r="DS10" s="274" t="str">
        <f t="shared" si="20"/>
        <v/>
      </c>
      <c r="DT10" s="273" t="str">
        <f t="shared" si="20"/>
        <v/>
      </c>
      <c r="DU10" s="273" t="str">
        <f t="shared" si="20"/>
        <v/>
      </c>
      <c r="DV10" s="273" t="str">
        <f t="shared" si="20"/>
        <v/>
      </c>
      <c r="DW10" s="273" t="str">
        <f t="shared" si="20"/>
        <v/>
      </c>
      <c r="DX10" s="273" t="str">
        <f t="shared" si="20"/>
        <v/>
      </c>
      <c r="DY10" s="273" t="str">
        <f t="shared" si="20"/>
        <v/>
      </c>
      <c r="DZ10" s="273" t="str">
        <f t="shared" si="21"/>
        <v/>
      </c>
      <c r="EA10" s="273" t="str">
        <f t="shared" si="21"/>
        <v/>
      </c>
      <c r="EB10" s="273" t="str">
        <f t="shared" si="21"/>
        <v/>
      </c>
      <c r="EC10" s="273" t="str">
        <f t="shared" si="21"/>
        <v/>
      </c>
      <c r="ED10" s="273" t="str">
        <f t="shared" si="21"/>
        <v/>
      </c>
      <c r="EE10" s="274" t="str">
        <f t="shared" si="21"/>
        <v/>
      </c>
      <c r="EF10" s="273" t="str">
        <f t="shared" si="21"/>
        <v/>
      </c>
      <c r="EG10" s="273" t="str">
        <f t="shared" si="21"/>
        <v/>
      </c>
      <c r="EH10" s="273" t="str">
        <f t="shared" si="21"/>
        <v/>
      </c>
      <c r="EI10" s="273" t="str">
        <f t="shared" si="21"/>
        <v/>
      </c>
      <c r="EJ10" s="273" t="str">
        <f t="shared" si="22"/>
        <v/>
      </c>
      <c r="EK10" s="273" t="str">
        <f t="shared" si="22"/>
        <v/>
      </c>
      <c r="EL10" s="273" t="str">
        <f t="shared" si="22"/>
        <v/>
      </c>
      <c r="EM10" s="273" t="str">
        <f t="shared" si="22"/>
        <v/>
      </c>
      <c r="EN10" s="273" t="str">
        <f t="shared" si="22"/>
        <v/>
      </c>
      <c r="EO10" s="273" t="str">
        <f t="shared" si="22"/>
        <v/>
      </c>
      <c r="EP10" s="273" t="str">
        <f t="shared" si="22"/>
        <v/>
      </c>
      <c r="EQ10" s="274" t="str">
        <f t="shared" si="22"/>
        <v/>
      </c>
      <c r="ER10" s="273" t="str">
        <f t="shared" si="22"/>
        <v/>
      </c>
      <c r="ES10" s="273" t="str">
        <f t="shared" si="22"/>
        <v/>
      </c>
      <c r="ET10" s="273" t="str">
        <f t="shared" si="23"/>
        <v/>
      </c>
      <c r="EU10" s="273" t="str">
        <f t="shared" si="23"/>
        <v/>
      </c>
      <c r="EV10" s="273" t="str">
        <f t="shared" si="23"/>
        <v/>
      </c>
      <c r="EW10" s="273" t="str">
        <f t="shared" si="23"/>
        <v/>
      </c>
      <c r="EX10" s="273" t="str">
        <f t="shared" si="23"/>
        <v/>
      </c>
      <c r="EY10" s="273" t="str">
        <f t="shared" si="23"/>
        <v/>
      </c>
      <c r="EZ10" s="273" t="str">
        <f t="shared" si="23"/>
        <v/>
      </c>
      <c r="FA10" s="273" t="str">
        <f t="shared" si="23"/>
        <v/>
      </c>
      <c r="FB10" s="273" t="str">
        <f t="shared" si="23"/>
        <v/>
      </c>
      <c r="FC10" s="274" t="str">
        <f t="shared" si="23"/>
        <v/>
      </c>
      <c r="FD10" s="273" t="str">
        <f t="shared" si="24"/>
        <v/>
      </c>
      <c r="FE10" s="273" t="str">
        <f t="shared" si="24"/>
        <v/>
      </c>
      <c r="FF10" s="273" t="str">
        <f t="shared" si="24"/>
        <v/>
      </c>
      <c r="FG10" s="273" t="str">
        <f t="shared" si="24"/>
        <v/>
      </c>
      <c r="FH10" s="273" t="str">
        <f t="shared" si="24"/>
        <v/>
      </c>
      <c r="FI10" s="273" t="str">
        <f t="shared" si="24"/>
        <v/>
      </c>
      <c r="FJ10" s="273" t="str">
        <f t="shared" si="24"/>
        <v/>
      </c>
      <c r="FK10" s="273" t="str">
        <f t="shared" si="24"/>
        <v/>
      </c>
      <c r="FL10" s="273" t="str">
        <f t="shared" si="24"/>
        <v/>
      </c>
      <c r="FM10" s="273" t="str">
        <f t="shared" si="24"/>
        <v/>
      </c>
      <c r="FN10" s="273" t="str">
        <f t="shared" si="25"/>
        <v/>
      </c>
      <c r="FO10" s="274" t="str">
        <f t="shared" si="25"/>
        <v/>
      </c>
      <c r="FP10" s="273" t="str">
        <f t="shared" si="25"/>
        <v/>
      </c>
      <c r="FQ10" s="273" t="str">
        <f t="shared" si="25"/>
        <v/>
      </c>
      <c r="FR10" s="273" t="str">
        <f t="shared" si="25"/>
        <v/>
      </c>
      <c r="FS10" s="273" t="str">
        <f t="shared" si="25"/>
        <v/>
      </c>
      <c r="FT10" s="273" t="str">
        <f t="shared" si="25"/>
        <v/>
      </c>
      <c r="FU10" s="273" t="str">
        <f t="shared" si="25"/>
        <v/>
      </c>
      <c r="FV10" s="273" t="str">
        <f t="shared" si="25"/>
        <v/>
      </c>
      <c r="FW10" s="273" t="str">
        <f t="shared" si="25"/>
        <v/>
      </c>
      <c r="FX10" s="273" t="str">
        <f t="shared" si="25"/>
        <v/>
      </c>
      <c r="FY10" s="273" t="str">
        <f t="shared" si="25"/>
        <v/>
      </c>
      <c r="FZ10" s="273" t="str">
        <f t="shared" si="25"/>
        <v/>
      </c>
      <c r="GA10" s="275" t="str">
        <f t="shared" si="25"/>
        <v/>
      </c>
      <c r="GB10" s="276"/>
      <c r="GC10" s="276"/>
      <c r="GD10" s="276"/>
      <c r="GE10" s="276"/>
      <c r="GF10" s="276"/>
      <c r="GG10" s="276"/>
      <c r="GH10" s="276"/>
      <c r="GI10" s="276"/>
      <c r="GJ10" s="276"/>
      <c r="GK10" s="276"/>
      <c r="GL10" s="276"/>
      <c r="GM10" s="276"/>
      <c r="GN10" s="276"/>
      <c r="GQ10" s="263">
        <f t="shared" si="30"/>
        <v>0</v>
      </c>
    </row>
    <row r="11" spans="1:216">
      <c r="A11" s="263">
        <v>5</v>
      </c>
      <c r="B11" s="277" t="str">
        <f>IF('(7b) Project List'!F13&lt;&gt;"",'(7b) Project List'!F13," ")</f>
        <v xml:space="preserve"> </v>
      </c>
      <c r="C11" s="278" t="str">
        <f t="shared" si="0"/>
        <v xml:space="preserve"> </v>
      </c>
      <c r="D11" s="278" t="str">
        <f>IF('(7b) Project List'!G13&lt;&gt;"",'(7b) Project List'!G13,"")</f>
        <v/>
      </c>
      <c r="E11" s="278" t="str">
        <f t="shared" si="1"/>
        <v/>
      </c>
      <c r="F11" s="590" t="str">
        <f>IF('(7b) Project List'!B13="","",'P5-MCR'!I34)</f>
        <v/>
      </c>
      <c r="G11" s="591" t="str">
        <f>IF('(7b) Project List'!B13="","",'P5-MCR'!J34)</f>
        <v/>
      </c>
      <c r="H11" s="298"/>
      <c r="I11" s="1464" t="str">
        <f>IF(OR('5'!C30="",'5'!E30=""),"",DATEDIF('5'!C30,'5'!E30,"m"))</f>
        <v/>
      </c>
      <c r="J11" s="573" t="str">
        <f>IF('5'!C51="","",'5'!C51)</f>
        <v/>
      </c>
      <c r="K11" s="1469" t="str">
        <f>IF(EXP!I13="","",EXP!I13)</f>
        <v/>
      </c>
      <c r="L11" s="542" t="str">
        <f t="shared" si="2"/>
        <v/>
      </c>
      <c r="M11" s="542" t="str">
        <f t="shared" si="3"/>
        <v/>
      </c>
      <c r="N11" s="542" t="str">
        <f t="shared" si="26"/>
        <v/>
      </c>
      <c r="O11" s="573" t="str">
        <f>IF('5'!C47="","",'5'!C47)</f>
        <v/>
      </c>
      <c r="P11" s="662" t="str">
        <f>IF('5'!C52="","",'5'!C52)</f>
        <v/>
      </c>
      <c r="Q11" s="662" t="str">
        <f>IF('5'!C53="","",'5'!C53)</f>
        <v/>
      </c>
      <c r="R11" s="573" t="str">
        <f>IF('5'!C48="","",'5'!C48)</f>
        <v/>
      </c>
      <c r="S11" s="1618" t="str">
        <f t="shared" si="27"/>
        <v/>
      </c>
      <c r="T11" s="586" t="str">
        <f t="shared" si="28"/>
        <v/>
      </c>
      <c r="U11" s="539" t="str">
        <f t="shared" si="29"/>
        <v/>
      </c>
      <c r="V11" s="1465" t="str">
        <f t="shared" si="4"/>
        <v/>
      </c>
      <c r="W11" s="298"/>
      <c r="X11" s="608" t="str">
        <f>IF(EXP!H13="","",EXP!H13)</f>
        <v/>
      </c>
      <c r="Y11" s="608" t="str">
        <f>IF(EXP!D13="","",EXP!D13)</f>
        <v/>
      </c>
      <c r="Z11" s="279"/>
      <c r="AA11" s="279"/>
      <c r="AB11" s="279"/>
      <c r="AC11" s="280">
        <f>IF('(7b) Project List'!H13&lt;&gt;"",'(7b) Project List'!H13,"")</f>
        <v>0</v>
      </c>
      <c r="AD11" s="268">
        <f t="shared" si="5"/>
        <v>0</v>
      </c>
      <c r="AE11" s="281" t="str">
        <f>IF(ISERROR('(7c) Project Schedule'!K8),"",'(7c) Project Schedule'!K8)</f>
        <v/>
      </c>
      <c r="AF11" s="282" t="str">
        <f t="shared" si="6"/>
        <v xml:space="preserve"> </v>
      </c>
      <c r="AG11" s="283"/>
      <c r="AH11" s="282" t="str">
        <f t="shared" si="7"/>
        <v xml:space="preserve"> </v>
      </c>
      <c r="AI11" s="282" t="str">
        <f t="shared" si="8"/>
        <v xml:space="preserve"> </v>
      </c>
      <c r="AJ11" s="282" t="str">
        <f t="shared" si="9"/>
        <v xml:space="preserve"> </v>
      </c>
      <c r="AK11" s="1562" t="str">
        <f t="shared" si="10"/>
        <v xml:space="preserve"> </v>
      </c>
      <c r="AL11" s="1565" t="str">
        <f t="shared" si="11"/>
        <v/>
      </c>
      <c r="AN11" s="272" t="str">
        <f t="shared" si="12"/>
        <v/>
      </c>
      <c r="AO11" s="273" t="str">
        <f t="shared" si="12"/>
        <v/>
      </c>
      <c r="AP11" s="273" t="str">
        <f t="shared" si="12"/>
        <v/>
      </c>
      <c r="AQ11" s="273" t="str">
        <f t="shared" si="12"/>
        <v/>
      </c>
      <c r="AR11" s="273" t="str">
        <f t="shared" si="12"/>
        <v/>
      </c>
      <c r="AS11" s="273" t="str">
        <f t="shared" si="12"/>
        <v/>
      </c>
      <c r="AT11" s="273" t="str">
        <f t="shared" si="12"/>
        <v/>
      </c>
      <c r="AU11" s="273" t="str">
        <f t="shared" si="12"/>
        <v/>
      </c>
      <c r="AV11" s="273" t="str">
        <f t="shared" si="12"/>
        <v/>
      </c>
      <c r="AW11" s="273" t="str">
        <f t="shared" si="12"/>
        <v/>
      </c>
      <c r="AX11" s="273" t="str">
        <f t="shared" si="13"/>
        <v/>
      </c>
      <c r="AY11" s="274" t="str">
        <f t="shared" si="13"/>
        <v/>
      </c>
      <c r="AZ11" s="273" t="str">
        <f t="shared" si="13"/>
        <v/>
      </c>
      <c r="BA11" s="273" t="str">
        <f t="shared" si="13"/>
        <v/>
      </c>
      <c r="BB11" s="273" t="str">
        <f t="shared" si="13"/>
        <v/>
      </c>
      <c r="BC11" s="273" t="str">
        <f t="shared" si="13"/>
        <v/>
      </c>
      <c r="BD11" s="273" t="str">
        <f t="shared" si="13"/>
        <v/>
      </c>
      <c r="BE11" s="273" t="str">
        <f t="shared" si="13"/>
        <v/>
      </c>
      <c r="BF11" s="273" t="str">
        <f t="shared" si="13"/>
        <v/>
      </c>
      <c r="BG11" s="273" t="str">
        <f t="shared" si="13"/>
        <v/>
      </c>
      <c r="BH11" s="273" t="str">
        <f t="shared" si="14"/>
        <v/>
      </c>
      <c r="BI11" s="273" t="str">
        <f t="shared" si="14"/>
        <v/>
      </c>
      <c r="BJ11" s="273" t="str">
        <f t="shared" si="14"/>
        <v/>
      </c>
      <c r="BK11" s="274" t="str">
        <f t="shared" si="14"/>
        <v/>
      </c>
      <c r="BL11" s="273" t="str">
        <f t="shared" si="14"/>
        <v/>
      </c>
      <c r="BM11" s="273" t="str">
        <f t="shared" si="14"/>
        <v/>
      </c>
      <c r="BN11" s="273" t="str">
        <f t="shared" si="14"/>
        <v/>
      </c>
      <c r="BO11" s="273" t="str">
        <f t="shared" si="14"/>
        <v/>
      </c>
      <c r="BP11" s="273" t="str">
        <f t="shared" si="14"/>
        <v/>
      </c>
      <c r="BQ11" s="273" t="str">
        <f t="shared" si="14"/>
        <v/>
      </c>
      <c r="BR11" s="273" t="str">
        <f t="shared" si="15"/>
        <v/>
      </c>
      <c r="BS11" s="273" t="str">
        <f t="shared" si="15"/>
        <v/>
      </c>
      <c r="BT11" s="273" t="str">
        <f t="shared" si="15"/>
        <v/>
      </c>
      <c r="BU11" s="273" t="str">
        <f t="shared" si="15"/>
        <v/>
      </c>
      <c r="BV11" s="273" t="str">
        <f t="shared" si="15"/>
        <v/>
      </c>
      <c r="BW11" s="274" t="str">
        <f t="shared" si="15"/>
        <v/>
      </c>
      <c r="BX11" s="273" t="str">
        <f t="shared" si="15"/>
        <v/>
      </c>
      <c r="BY11" s="273" t="str">
        <f t="shared" si="15"/>
        <v/>
      </c>
      <c r="BZ11" s="273" t="str">
        <f t="shared" si="15"/>
        <v/>
      </c>
      <c r="CA11" s="273" t="str">
        <f t="shared" si="15"/>
        <v/>
      </c>
      <c r="CB11" s="273" t="str">
        <f t="shared" si="16"/>
        <v/>
      </c>
      <c r="CC11" s="273" t="str">
        <f t="shared" si="16"/>
        <v/>
      </c>
      <c r="CD11" s="273" t="str">
        <f t="shared" si="16"/>
        <v/>
      </c>
      <c r="CE11" s="273" t="str">
        <f t="shared" si="16"/>
        <v/>
      </c>
      <c r="CF11" s="273" t="str">
        <f t="shared" si="16"/>
        <v/>
      </c>
      <c r="CG11" s="273" t="str">
        <f t="shared" si="16"/>
        <v/>
      </c>
      <c r="CH11" s="273" t="str">
        <f t="shared" si="16"/>
        <v/>
      </c>
      <c r="CI11" s="274" t="str">
        <f t="shared" si="16"/>
        <v/>
      </c>
      <c r="CJ11" s="273" t="str">
        <f t="shared" si="16"/>
        <v/>
      </c>
      <c r="CK11" s="273" t="str">
        <f t="shared" si="16"/>
        <v/>
      </c>
      <c r="CL11" s="273" t="str">
        <f t="shared" si="17"/>
        <v/>
      </c>
      <c r="CM11" s="273" t="str">
        <f t="shared" si="17"/>
        <v/>
      </c>
      <c r="CN11" s="273" t="str">
        <f t="shared" si="17"/>
        <v/>
      </c>
      <c r="CO11" s="273" t="str">
        <f t="shared" si="17"/>
        <v/>
      </c>
      <c r="CP11" s="273" t="str">
        <f t="shared" si="17"/>
        <v/>
      </c>
      <c r="CQ11" s="273" t="str">
        <f t="shared" si="17"/>
        <v/>
      </c>
      <c r="CR11" s="273" t="str">
        <f t="shared" si="17"/>
        <v/>
      </c>
      <c r="CS11" s="273" t="str">
        <f t="shared" si="17"/>
        <v/>
      </c>
      <c r="CT11" s="273" t="str">
        <f t="shared" si="17"/>
        <v/>
      </c>
      <c r="CU11" s="274" t="str">
        <f t="shared" si="17"/>
        <v/>
      </c>
      <c r="CV11" s="273" t="str">
        <f t="shared" si="18"/>
        <v/>
      </c>
      <c r="CW11" s="273" t="str">
        <f t="shared" si="18"/>
        <v/>
      </c>
      <c r="CX11" s="273" t="str">
        <f t="shared" si="18"/>
        <v/>
      </c>
      <c r="CY11" s="273" t="str">
        <f t="shared" si="18"/>
        <v/>
      </c>
      <c r="CZ11" s="273" t="str">
        <f t="shared" si="18"/>
        <v/>
      </c>
      <c r="DA11" s="273" t="str">
        <f t="shared" si="18"/>
        <v/>
      </c>
      <c r="DB11" s="273" t="str">
        <f t="shared" si="18"/>
        <v/>
      </c>
      <c r="DC11" s="273" t="str">
        <f t="shared" si="18"/>
        <v/>
      </c>
      <c r="DD11" s="273" t="str">
        <f t="shared" si="18"/>
        <v/>
      </c>
      <c r="DE11" s="273" t="str">
        <f t="shared" si="18"/>
        <v/>
      </c>
      <c r="DF11" s="273" t="str">
        <f t="shared" si="19"/>
        <v/>
      </c>
      <c r="DG11" s="274" t="str">
        <f t="shared" si="19"/>
        <v/>
      </c>
      <c r="DH11" s="273" t="str">
        <f t="shared" si="19"/>
        <v/>
      </c>
      <c r="DI11" s="273" t="str">
        <f t="shared" si="19"/>
        <v/>
      </c>
      <c r="DJ11" s="273" t="str">
        <f t="shared" si="19"/>
        <v/>
      </c>
      <c r="DK11" s="273" t="str">
        <f t="shared" si="19"/>
        <v/>
      </c>
      <c r="DL11" s="273" t="str">
        <f t="shared" si="19"/>
        <v/>
      </c>
      <c r="DM11" s="273" t="str">
        <f t="shared" si="19"/>
        <v/>
      </c>
      <c r="DN11" s="273" t="str">
        <f t="shared" si="19"/>
        <v/>
      </c>
      <c r="DO11" s="273" t="str">
        <f t="shared" si="19"/>
        <v/>
      </c>
      <c r="DP11" s="273" t="str">
        <f t="shared" si="20"/>
        <v/>
      </c>
      <c r="DQ11" s="273" t="str">
        <f t="shared" si="20"/>
        <v/>
      </c>
      <c r="DR11" s="273" t="str">
        <f t="shared" si="20"/>
        <v/>
      </c>
      <c r="DS11" s="274" t="str">
        <f t="shared" si="20"/>
        <v/>
      </c>
      <c r="DT11" s="273" t="str">
        <f t="shared" si="20"/>
        <v/>
      </c>
      <c r="DU11" s="273" t="str">
        <f t="shared" si="20"/>
        <v/>
      </c>
      <c r="DV11" s="273" t="str">
        <f t="shared" si="20"/>
        <v/>
      </c>
      <c r="DW11" s="273" t="str">
        <f t="shared" si="20"/>
        <v/>
      </c>
      <c r="DX11" s="273" t="str">
        <f t="shared" si="20"/>
        <v/>
      </c>
      <c r="DY11" s="273" t="str">
        <f t="shared" si="20"/>
        <v/>
      </c>
      <c r="DZ11" s="273" t="str">
        <f t="shared" si="21"/>
        <v/>
      </c>
      <c r="EA11" s="273" t="str">
        <f t="shared" si="21"/>
        <v/>
      </c>
      <c r="EB11" s="273" t="str">
        <f t="shared" si="21"/>
        <v/>
      </c>
      <c r="EC11" s="273" t="str">
        <f t="shared" si="21"/>
        <v/>
      </c>
      <c r="ED11" s="273" t="str">
        <f t="shared" si="21"/>
        <v/>
      </c>
      <c r="EE11" s="274" t="str">
        <f t="shared" si="21"/>
        <v/>
      </c>
      <c r="EF11" s="273" t="str">
        <f t="shared" si="21"/>
        <v/>
      </c>
      <c r="EG11" s="273" t="str">
        <f t="shared" si="21"/>
        <v/>
      </c>
      <c r="EH11" s="273" t="str">
        <f t="shared" si="21"/>
        <v/>
      </c>
      <c r="EI11" s="273" t="str">
        <f t="shared" si="21"/>
        <v/>
      </c>
      <c r="EJ11" s="273" t="str">
        <f t="shared" si="22"/>
        <v/>
      </c>
      <c r="EK11" s="273" t="str">
        <f t="shared" si="22"/>
        <v/>
      </c>
      <c r="EL11" s="273" t="str">
        <f t="shared" si="22"/>
        <v/>
      </c>
      <c r="EM11" s="273" t="str">
        <f t="shared" si="22"/>
        <v/>
      </c>
      <c r="EN11" s="273" t="str">
        <f t="shared" si="22"/>
        <v/>
      </c>
      <c r="EO11" s="273" t="str">
        <f t="shared" si="22"/>
        <v/>
      </c>
      <c r="EP11" s="273" t="str">
        <f t="shared" si="22"/>
        <v/>
      </c>
      <c r="EQ11" s="274" t="str">
        <f t="shared" si="22"/>
        <v/>
      </c>
      <c r="ER11" s="273" t="str">
        <f t="shared" si="22"/>
        <v/>
      </c>
      <c r="ES11" s="273" t="str">
        <f t="shared" si="22"/>
        <v/>
      </c>
      <c r="ET11" s="273" t="str">
        <f t="shared" si="23"/>
        <v/>
      </c>
      <c r="EU11" s="273" t="str">
        <f t="shared" si="23"/>
        <v/>
      </c>
      <c r="EV11" s="273" t="str">
        <f t="shared" si="23"/>
        <v/>
      </c>
      <c r="EW11" s="273" t="str">
        <f t="shared" si="23"/>
        <v/>
      </c>
      <c r="EX11" s="273" t="str">
        <f t="shared" si="23"/>
        <v/>
      </c>
      <c r="EY11" s="273" t="str">
        <f t="shared" si="23"/>
        <v/>
      </c>
      <c r="EZ11" s="273" t="str">
        <f t="shared" si="23"/>
        <v/>
      </c>
      <c r="FA11" s="273" t="str">
        <f t="shared" si="23"/>
        <v/>
      </c>
      <c r="FB11" s="273" t="str">
        <f t="shared" si="23"/>
        <v/>
      </c>
      <c r="FC11" s="274" t="str">
        <f t="shared" si="23"/>
        <v/>
      </c>
      <c r="FD11" s="273" t="str">
        <f t="shared" si="24"/>
        <v/>
      </c>
      <c r="FE11" s="273" t="str">
        <f t="shared" si="24"/>
        <v/>
      </c>
      <c r="FF11" s="273" t="str">
        <f t="shared" si="24"/>
        <v/>
      </c>
      <c r="FG11" s="273" t="str">
        <f t="shared" si="24"/>
        <v/>
      </c>
      <c r="FH11" s="273" t="str">
        <f t="shared" si="24"/>
        <v/>
      </c>
      <c r="FI11" s="273" t="str">
        <f t="shared" si="24"/>
        <v/>
      </c>
      <c r="FJ11" s="273" t="str">
        <f t="shared" si="24"/>
        <v/>
      </c>
      <c r="FK11" s="273" t="str">
        <f t="shared" si="24"/>
        <v/>
      </c>
      <c r="FL11" s="273" t="str">
        <f t="shared" si="24"/>
        <v/>
      </c>
      <c r="FM11" s="273" t="str">
        <f t="shared" si="24"/>
        <v/>
      </c>
      <c r="FN11" s="273" t="str">
        <f t="shared" si="25"/>
        <v/>
      </c>
      <c r="FO11" s="274" t="str">
        <f t="shared" si="25"/>
        <v/>
      </c>
      <c r="FP11" s="273" t="str">
        <f t="shared" si="25"/>
        <v/>
      </c>
      <c r="FQ11" s="273" t="str">
        <f t="shared" si="25"/>
        <v/>
      </c>
      <c r="FR11" s="273" t="str">
        <f t="shared" si="25"/>
        <v/>
      </c>
      <c r="FS11" s="273" t="str">
        <f t="shared" si="25"/>
        <v/>
      </c>
      <c r="FT11" s="273" t="str">
        <f t="shared" si="25"/>
        <v/>
      </c>
      <c r="FU11" s="273" t="str">
        <f t="shared" si="25"/>
        <v/>
      </c>
      <c r="FV11" s="273" t="str">
        <f t="shared" si="25"/>
        <v/>
      </c>
      <c r="FW11" s="273" t="str">
        <f t="shared" si="25"/>
        <v/>
      </c>
      <c r="FX11" s="273" t="str">
        <f t="shared" si="25"/>
        <v/>
      </c>
      <c r="FY11" s="273" t="str">
        <f t="shared" si="25"/>
        <v/>
      </c>
      <c r="FZ11" s="273" t="str">
        <f t="shared" si="25"/>
        <v/>
      </c>
      <c r="GA11" s="275" t="str">
        <f t="shared" si="25"/>
        <v/>
      </c>
      <c r="GB11" s="276"/>
      <c r="GC11" s="276"/>
      <c r="GD11" s="276"/>
      <c r="GE11" s="276"/>
      <c r="GF11" s="276"/>
      <c r="GG11" s="276"/>
      <c r="GH11" s="276"/>
      <c r="GI11" s="276"/>
      <c r="GJ11" s="276"/>
      <c r="GK11" s="276"/>
      <c r="GL11" s="276"/>
      <c r="GM11" s="276"/>
      <c r="GN11" s="276"/>
      <c r="GQ11" s="263">
        <f t="shared" si="30"/>
        <v>0</v>
      </c>
    </row>
    <row r="12" spans="1:216">
      <c r="A12" s="263">
        <v>6</v>
      </c>
      <c r="B12" s="277" t="str">
        <f>IF('(7b) Project List'!F14&lt;&gt;"",'(7b) Project List'!F14," ")</f>
        <v xml:space="preserve"> </v>
      </c>
      <c r="C12" s="278" t="str">
        <f t="shared" si="0"/>
        <v xml:space="preserve"> </v>
      </c>
      <c r="D12" s="278" t="str">
        <f>IF('(7b) Project List'!G14&lt;&gt;"",'(7b) Project List'!G14,"")</f>
        <v/>
      </c>
      <c r="E12" s="278" t="str">
        <f t="shared" si="1"/>
        <v/>
      </c>
      <c r="F12" s="590" t="str">
        <f>IF('(7b) Project List'!B14="","",'P6-MCR'!I34)</f>
        <v/>
      </c>
      <c r="G12" s="591" t="str">
        <f>IF('(7b) Project List'!B14="","",'P6-MCR'!J34)</f>
        <v/>
      </c>
      <c r="H12" s="298"/>
      <c r="I12" s="1464" t="str">
        <f>IF(OR('6'!C30="",'6'!E30=""),"",DATEDIF('6'!C30,'6'!E30,"m"))</f>
        <v/>
      </c>
      <c r="J12" s="573" t="str">
        <f>IF('6'!C51="","",'6'!C51)</f>
        <v/>
      </c>
      <c r="K12" s="1469" t="str">
        <f>IF(EXP!I14="","",EXP!I14)</f>
        <v/>
      </c>
      <c r="L12" s="542" t="str">
        <f t="shared" si="2"/>
        <v/>
      </c>
      <c r="M12" s="542" t="str">
        <f t="shared" si="3"/>
        <v/>
      </c>
      <c r="N12" s="542" t="str">
        <f t="shared" si="26"/>
        <v/>
      </c>
      <c r="O12" s="573" t="str">
        <f>IF('6'!C47="","",'6'!C47)</f>
        <v/>
      </c>
      <c r="P12" s="662" t="str">
        <f>IF('6'!C52="","",'6'!C52)</f>
        <v/>
      </c>
      <c r="Q12" s="662" t="str">
        <f>IF('6'!C53="","",'6'!C53)</f>
        <v/>
      </c>
      <c r="R12" s="573" t="str">
        <f>IF('6'!C48="","",'6'!C48)</f>
        <v/>
      </c>
      <c r="S12" s="1618" t="str">
        <f t="shared" si="27"/>
        <v/>
      </c>
      <c r="T12" s="586" t="str">
        <f t="shared" si="28"/>
        <v/>
      </c>
      <c r="U12" s="539" t="str">
        <f t="shared" si="29"/>
        <v/>
      </c>
      <c r="V12" s="1465" t="str">
        <f t="shared" si="4"/>
        <v/>
      </c>
      <c r="W12" s="298"/>
      <c r="X12" s="608" t="str">
        <f>IF(EXP!H14="","",EXP!H14)</f>
        <v/>
      </c>
      <c r="Y12" s="608" t="str">
        <f>IF(EXP!D14="","",EXP!D14)</f>
        <v/>
      </c>
      <c r="Z12" s="279"/>
      <c r="AA12" s="279"/>
      <c r="AB12" s="279"/>
      <c r="AC12" s="280">
        <f>IF('(7b) Project List'!H14&lt;&gt;"",'(7b) Project List'!H14,"")</f>
        <v>0</v>
      </c>
      <c r="AD12" s="268">
        <f t="shared" si="5"/>
        <v>0</v>
      </c>
      <c r="AE12" s="281" t="str">
        <f>IF(ISERROR('(7c) Project Schedule'!K9),"",'(7c) Project Schedule'!K9)</f>
        <v/>
      </c>
      <c r="AF12" s="282" t="str">
        <f t="shared" si="6"/>
        <v xml:space="preserve"> </v>
      </c>
      <c r="AG12" s="283"/>
      <c r="AH12" s="282" t="str">
        <f t="shared" si="7"/>
        <v xml:space="preserve"> </v>
      </c>
      <c r="AI12" s="282" t="str">
        <f t="shared" si="8"/>
        <v xml:space="preserve"> </v>
      </c>
      <c r="AJ12" s="282" t="str">
        <f t="shared" si="9"/>
        <v xml:space="preserve"> </v>
      </c>
      <c r="AK12" s="1562" t="str">
        <f t="shared" si="10"/>
        <v xml:space="preserve"> </v>
      </c>
      <c r="AL12" s="1565" t="str">
        <f t="shared" si="11"/>
        <v/>
      </c>
      <c r="AN12" s="272" t="str">
        <f t="shared" si="12"/>
        <v/>
      </c>
      <c r="AO12" s="273" t="str">
        <f t="shared" si="12"/>
        <v/>
      </c>
      <c r="AP12" s="273" t="str">
        <f t="shared" si="12"/>
        <v/>
      </c>
      <c r="AQ12" s="273" t="str">
        <f t="shared" si="12"/>
        <v/>
      </c>
      <c r="AR12" s="273" t="str">
        <f t="shared" si="12"/>
        <v/>
      </c>
      <c r="AS12" s="273" t="str">
        <f t="shared" si="12"/>
        <v/>
      </c>
      <c r="AT12" s="273" t="str">
        <f t="shared" si="12"/>
        <v/>
      </c>
      <c r="AU12" s="273" t="str">
        <f t="shared" si="12"/>
        <v/>
      </c>
      <c r="AV12" s="273" t="str">
        <f t="shared" si="12"/>
        <v/>
      </c>
      <c r="AW12" s="273" t="str">
        <f t="shared" si="12"/>
        <v/>
      </c>
      <c r="AX12" s="273" t="str">
        <f t="shared" si="13"/>
        <v/>
      </c>
      <c r="AY12" s="274" t="str">
        <f t="shared" si="13"/>
        <v/>
      </c>
      <c r="AZ12" s="273" t="str">
        <f t="shared" si="13"/>
        <v/>
      </c>
      <c r="BA12" s="273" t="str">
        <f t="shared" si="13"/>
        <v/>
      </c>
      <c r="BB12" s="273" t="str">
        <f t="shared" si="13"/>
        <v/>
      </c>
      <c r="BC12" s="273" t="str">
        <f t="shared" si="13"/>
        <v/>
      </c>
      <c r="BD12" s="273" t="str">
        <f t="shared" si="13"/>
        <v/>
      </c>
      <c r="BE12" s="273" t="str">
        <f t="shared" si="13"/>
        <v/>
      </c>
      <c r="BF12" s="273" t="str">
        <f t="shared" si="13"/>
        <v/>
      </c>
      <c r="BG12" s="273" t="str">
        <f t="shared" si="13"/>
        <v/>
      </c>
      <c r="BH12" s="273" t="str">
        <f t="shared" si="14"/>
        <v/>
      </c>
      <c r="BI12" s="273" t="str">
        <f t="shared" si="14"/>
        <v/>
      </c>
      <c r="BJ12" s="273" t="str">
        <f t="shared" si="14"/>
        <v/>
      </c>
      <c r="BK12" s="274" t="str">
        <f t="shared" si="14"/>
        <v/>
      </c>
      <c r="BL12" s="273" t="str">
        <f t="shared" si="14"/>
        <v/>
      </c>
      <c r="BM12" s="273" t="str">
        <f t="shared" si="14"/>
        <v/>
      </c>
      <c r="BN12" s="273" t="str">
        <f t="shared" si="14"/>
        <v/>
      </c>
      <c r="BO12" s="273" t="str">
        <f t="shared" si="14"/>
        <v/>
      </c>
      <c r="BP12" s="273" t="str">
        <f t="shared" si="14"/>
        <v/>
      </c>
      <c r="BQ12" s="273" t="str">
        <f t="shared" si="14"/>
        <v/>
      </c>
      <c r="BR12" s="273" t="str">
        <f t="shared" si="15"/>
        <v/>
      </c>
      <c r="BS12" s="273" t="str">
        <f t="shared" si="15"/>
        <v/>
      </c>
      <c r="BT12" s="273" t="str">
        <f t="shared" si="15"/>
        <v/>
      </c>
      <c r="BU12" s="273" t="str">
        <f t="shared" si="15"/>
        <v/>
      </c>
      <c r="BV12" s="273" t="str">
        <f t="shared" si="15"/>
        <v/>
      </c>
      <c r="BW12" s="274" t="str">
        <f t="shared" si="15"/>
        <v/>
      </c>
      <c r="BX12" s="273" t="str">
        <f t="shared" si="15"/>
        <v/>
      </c>
      <c r="BY12" s="273" t="str">
        <f t="shared" si="15"/>
        <v/>
      </c>
      <c r="BZ12" s="273" t="str">
        <f t="shared" si="15"/>
        <v/>
      </c>
      <c r="CA12" s="273" t="str">
        <f t="shared" si="15"/>
        <v/>
      </c>
      <c r="CB12" s="273" t="str">
        <f t="shared" si="16"/>
        <v/>
      </c>
      <c r="CC12" s="273" t="str">
        <f t="shared" si="16"/>
        <v/>
      </c>
      <c r="CD12" s="273" t="str">
        <f t="shared" si="16"/>
        <v/>
      </c>
      <c r="CE12" s="273" t="str">
        <f t="shared" si="16"/>
        <v/>
      </c>
      <c r="CF12" s="273" t="str">
        <f t="shared" si="16"/>
        <v/>
      </c>
      <c r="CG12" s="273" t="str">
        <f t="shared" si="16"/>
        <v/>
      </c>
      <c r="CH12" s="273" t="str">
        <f t="shared" si="16"/>
        <v/>
      </c>
      <c r="CI12" s="274" t="str">
        <f t="shared" si="16"/>
        <v/>
      </c>
      <c r="CJ12" s="273" t="str">
        <f t="shared" si="16"/>
        <v/>
      </c>
      <c r="CK12" s="273" t="str">
        <f t="shared" si="16"/>
        <v/>
      </c>
      <c r="CL12" s="273" t="str">
        <f t="shared" si="17"/>
        <v/>
      </c>
      <c r="CM12" s="273" t="str">
        <f t="shared" si="17"/>
        <v/>
      </c>
      <c r="CN12" s="273" t="str">
        <f t="shared" si="17"/>
        <v/>
      </c>
      <c r="CO12" s="273" t="str">
        <f t="shared" si="17"/>
        <v/>
      </c>
      <c r="CP12" s="273" t="str">
        <f t="shared" si="17"/>
        <v/>
      </c>
      <c r="CQ12" s="273" t="str">
        <f t="shared" si="17"/>
        <v/>
      </c>
      <c r="CR12" s="273" t="str">
        <f t="shared" si="17"/>
        <v/>
      </c>
      <c r="CS12" s="273" t="str">
        <f t="shared" si="17"/>
        <v/>
      </c>
      <c r="CT12" s="273" t="str">
        <f t="shared" si="17"/>
        <v/>
      </c>
      <c r="CU12" s="274" t="str">
        <f t="shared" si="17"/>
        <v/>
      </c>
      <c r="CV12" s="273" t="str">
        <f t="shared" si="18"/>
        <v/>
      </c>
      <c r="CW12" s="273" t="str">
        <f t="shared" si="18"/>
        <v/>
      </c>
      <c r="CX12" s="273" t="str">
        <f t="shared" si="18"/>
        <v/>
      </c>
      <c r="CY12" s="273" t="str">
        <f t="shared" si="18"/>
        <v/>
      </c>
      <c r="CZ12" s="273" t="str">
        <f t="shared" si="18"/>
        <v/>
      </c>
      <c r="DA12" s="273" t="str">
        <f t="shared" si="18"/>
        <v/>
      </c>
      <c r="DB12" s="273" t="str">
        <f t="shared" si="18"/>
        <v/>
      </c>
      <c r="DC12" s="273" t="str">
        <f t="shared" si="18"/>
        <v/>
      </c>
      <c r="DD12" s="273" t="str">
        <f t="shared" si="18"/>
        <v/>
      </c>
      <c r="DE12" s="273" t="str">
        <f t="shared" si="18"/>
        <v/>
      </c>
      <c r="DF12" s="273" t="str">
        <f t="shared" si="19"/>
        <v/>
      </c>
      <c r="DG12" s="274" t="str">
        <f t="shared" si="19"/>
        <v/>
      </c>
      <c r="DH12" s="273" t="str">
        <f t="shared" si="19"/>
        <v/>
      </c>
      <c r="DI12" s="273" t="str">
        <f t="shared" si="19"/>
        <v/>
      </c>
      <c r="DJ12" s="273" t="str">
        <f t="shared" si="19"/>
        <v/>
      </c>
      <c r="DK12" s="273" t="str">
        <f t="shared" si="19"/>
        <v/>
      </c>
      <c r="DL12" s="273" t="str">
        <f t="shared" si="19"/>
        <v/>
      </c>
      <c r="DM12" s="273" t="str">
        <f t="shared" si="19"/>
        <v/>
      </c>
      <c r="DN12" s="273" t="str">
        <f t="shared" si="19"/>
        <v/>
      </c>
      <c r="DO12" s="273" t="str">
        <f t="shared" si="19"/>
        <v/>
      </c>
      <c r="DP12" s="273" t="str">
        <f t="shared" si="20"/>
        <v/>
      </c>
      <c r="DQ12" s="273" t="str">
        <f t="shared" si="20"/>
        <v/>
      </c>
      <c r="DR12" s="273" t="str">
        <f t="shared" si="20"/>
        <v/>
      </c>
      <c r="DS12" s="274" t="str">
        <f t="shared" si="20"/>
        <v/>
      </c>
      <c r="DT12" s="273" t="str">
        <f t="shared" si="20"/>
        <v/>
      </c>
      <c r="DU12" s="273" t="str">
        <f t="shared" si="20"/>
        <v/>
      </c>
      <c r="DV12" s="273" t="str">
        <f t="shared" si="20"/>
        <v/>
      </c>
      <c r="DW12" s="273" t="str">
        <f t="shared" si="20"/>
        <v/>
      </c>
      <c r="DX12" s="273" t="str">
        <f t="shared" si="20"/>
        <v/>
      </c>
      <c r="DY12" s="273" t="str">
        <f t="shared" si="20"/>
        <v/>
      </c>
      <c r="DZ12" s="273" t="str">
        <f t="shared" si="21"/>
        <v/>
      </c>
      <c r="EA12" s="273" t="str">
        <f t="shared" si="21"/>
        <v/>
      </c>
      <c r="EB12" s="273" t="str">
        <f t="shared" si="21"/>
        <v/>
      </c>
      <c r="EC12" s="273" t="str">
        <f t="shared" si="21"/>
        <v/>
      </c>
      <c r="ED12" s="273" t="str">
        <f t="shared" si="21"/>
        <v/>
      </c>
      <c r="EE12" s="274" t="str">
        <f t="shared" si="21"/>
        <v/>
      </c>
      <c r="EF12" s="273" t="str">
        <f t="shared" si="21"/>
        <v/>
      </c>
      <c r="EG12" s="273" t="str">
        <f t="shared" si="21"/>
        <v/>
      </c>
      <c r="EH12" s="273" t="str">
        <f t="shared" si="21"/>
        <v/>
      </c>
      <c r="EI12" s="273" t="str">
        <f t="shared" si="21"/>
        <v/>
      </c>
      <c r="EJ12" s="273" t="str">
        <f t="shared" si="22"/>
        <v/>
      </c>
      <c r="EK12" s="273" t="str">
        <f t="shared" si="22"/>
        <v/>
      </c>
      <c r="EL12" s="273" t="str">
        <f t="shared" si="22"/>
        <v/>
      </c>
      <c r="EM12" s="273" t="str">
        <f t="shared" si="22"/>
        <v/>
      </c>
      <c r="EN12" s="273" t="str">
        <f t="shared" si="22"/>
        <v/>
      </c>
      <c r="EO12" s="273" t="str">
        <f t="shared" si="22"/>
        <v/>
      </c>
      <c r="EP12" s="273" t="str">
        <f t="shared" si="22"/>
        <v/>
      </c>
      <c r="EQ12" s="274" t="str">
        <f t="shared" si="22"/>
        <v/>
      </c>
      <c r="ER12" s="273" t="str">
        <f t="shared" si="22"/>
        <v/>
      </c>
      <c r="ES12" s="273" t="str">
        <f t="shared" si="22"/>
        <v/>
      </c>
      <c r="ET12" s="273" t="str">
        <f t="shared" si="23"/>
        <v/>
      </c>
      <c r="EU12" s="273" t="str">
        <f t="shared" si="23"/>
        <v/>
      </c>
      <c r="EV12" s="273" t="str">
        <f t="shared" si="23"/>
        <v/>
      </c>
      <c r="EW12" s="273" t="str">
        <f t="shared" si="23"/>
        <v/>
      </c>
      <c r="EX12" s="273" t="str">
        <f t="shared" si="23"/>
        <v/>
      </c>
      <c r="EY12" s="273" t="str">
        <f t="shared" si="23"/>
        <v/>
      </c>
      <c r="EZ12" s="273" t="str">
        <f t="shared" si="23"/>
        <v/>
      </c>
      <c r="FA12" s="273" t="str">
        <f t="shared" si="23"/>
        <v/>
      </c>
      <c r="FB12" s="273" t="str">
        <f t="shared" si="23"/>
        <v/>
      </c>
      <c r="FC12" s="274" t="str">
        <f t="shared" si="23"/>
        <v/>
      </c>
      <c r="FD12" s="273" t="str">
        <f t="shared" si="24"/>
        <v/>
      </c>
      <c r="FE12" s="273" t="str">
        <f t="shared" si="24"/>
        <v/>
      </c>
      <c r="FF12" s="273" t="str">
        <f t="shared" si="24"/>
        <v/>
      </c>
      <c r="FG12" s="273" t="str">
        <f t="shared" si="24"/>
        <v/>
      </c>
      <c r="FH12" s="273" t="str">
        <f t="shared" si="24"/>
        <v/>
      </c>
      <c r="FI12" s="273" t="str">
        <f t="shared" si="24"/>
        <v/>
      </c>
      <c r="FJ12" s="273" t="str">
        <f t="shared" si="24"/>
        <v/>
      </c>
      <c r="FK12" s="273" t="str">
        <f t="shared" si="24"/>
        <v/>
      </c>
      <c r="FL12" s="273" t="str">
        <f t="shared" si="24"/>
        <v/>
      </c>
      <c r="FM12" s="273" t="str">
        <f t="shared" si="24"/>
        <v/>
      </c>
      <c r="FN12" s="273" t="str">
        <f t="shared" si="25"/>
        <v/>
      </c>
      <c r="FO12" s="274" t="str">
        <f t="shared" si="25"/>
        <v/>
      </c>
      <c r="FP12" s="273" t="str">
        <f t="shared" si="25"/>
        <v/>
      </c>
      <c r="FQ12" s="273" t="str">
        <f t="shared" si="25"/>
        <v/>
      </c>
      <c r="FR12" s="273" t="str">
        <f t="shared" si="25"/>
        <v/>
      </c>
      <c r="FS12" s="273" t="str">
        <f t="shared" si="25"/>
        <v/>
      </c>
      <c r="FT12" s="273" t="str">
        <f t="shared" si="25"/>
        <v/>
      </c>
      <c r="FU12" s="273" t="str">
        <f t="shared" si="25"/>
        <v/>
      </c>
      <c r="FV12" s="273" t="str">
        <f t="shared" si="25"/>
        <v/>
      </c>
      <c r="FW12" s="273" t="str">
        <f t="shared" si="25"/>
        <v/>
      </c>
      <c r="FX12" s="273" t="str">
        <f t="shared" si="25"/>
        <v/>
      </c>
      <c r="FY12" s="273" t="str">
        <f t="shared" si="25"/>
        <v/>
      </c>
      <c r="FZ12" s="273" t="str">
        <f t="shared" si="25"/>
        <v/>
      </c>
      <c r="GA12" s="275" t="str">
        <f t="shared" si="25"/>
        <v/>
      </c>
      <c r="GB12" s="276"/>
      <c r="GC12" s="276"/>
      <c r="GD12" s="276"/>
      <c r="GE12" s="276"/>
      <c r="GF12" s="276"/>
      <c r="GG12" s="276"/>
      <c r="GH12" s="276"/>
      <c r="GI12" s="276"/>
      <c r="GJ12" s="276"/>
      <c r="GK12" s="276"/>
      <c r="GL12" s="276"/>
      <c r="GM12" s="276"/>
      <c r="GN12" s="276"/>
      <c r="GQ12" s="263">
        <f t="shared" si="30"/>
        <v>0</v>
      </c>
    </row>
    <row r="13" spans="1:216">
      <c r="A13" s="263">
        <v>7</v>
      </c>
      <c r="B13" s="277" t="str">
        <f>IF('(7b) Project List'!F15&lt;&gt;"",'(7b) Project List'!F15," ")</f>
        <v xml:space="preserve"> </v>
      </c>
      <c r="C13" s="278" t="str">
        <f t="shared" si="0"/>
        <v xml:space="preserve"> </v>
      </c>
      <c r="D13" s="278" t="str">
        <f>IF('(7b) Project List'!G15&lt;&gt;"",'(7b) Project List'!G15,"")</f>
        <v/>
      </c>
      <c r="E13" s="278" t="str">
        <f t="shared" si="1"/>
        <v/>
      </c>
      <c r="F13" s="590" t="str">
        <f>IF('(7b) Project List'!B15="","",'P7-MCR'!I34)</f>
        <v/>
      </c>
      <c r="G13" s="591" t="str">
        <f>IF('(7b) Project List'!B15="","",'P7-MCR'!J34)</f>
        <v/>
      </c>
      <c r="H13" s="298"/>
      <c r="I13" s="1464" t="str">
        <f>IF(OR('7'!C30="",'7'!E30=""),"",DATEDIF('7'!C30,'7'!E30,"m"))</f>
        <v/>
      </c>
      <c r="J13" s="573" t="str">
        <f>IF('7'!C51="","",'7'!C51)</f>
        <v/>
      </c>
      <c r="K13" s="1469" t="str">
        <f>IF(EXP!I15="","",EXP!I15)</f>
        <v/>
      </c>
      <c r="L13" s="542" t="str">
        <f t="shared" si="2"/>
        <v/>
      </c>
      <c r="M13" s="542" t="str">
        <f t="shared" si="3"/>
        <v/>
      </c>
      <c r="N13" s="542" t="str">
        <f t="shared" si="26"/>
        <v/>
      </c>
      <c r="O13" s="573" t="str">
        <f>IF('7'!C47="","",'7'!C47)</f>
        <v/>
      </c>
      <c r="P13" s="662" t="str">
        <f>IF('7'!C52="","",'7'!C52)</f>
        <v/>
      </c>
      <c r="Q13" s="662" t="str">
        <f>IF('7'!C53="","",'7'!C53)</f>
        <v/>
      </c>
      <c r="R13" s="573" t="str">
        <f>IF('7'!C48="","",'7'!C48)</f>
        <v/>
      </c>
      <c r="S13" s="1618" t="str">
        <f t="shared" si="27"/>
        <v/>
      </c>
      <c r="T13" s="586" t="str">
        <f t="shared" si="28"/>
        <v/>
      </c>
      <c r="U13" s="539" t="str">
        <f t="shared" si="29"/>
        <v/>
      </c>
      <c r="V13" s="1465" t="str">
        <f t="shared" si="4"/>
        <v/>
      </c>
      <c r="W13" s="298"/>
      <c r="X13" s="608" t="str">
        <f>IF(EXP!H15="","",EXP!H15)</f>
        <v/>
      </c>
      <c r="Y13" s="608" t="str">
        <f>IF(EXP!D15="","",EXP!D15)</f>
        <v/>
      </c>
      <c r="Z13" s="279"/>
      <c r="AA13" s="279"/>
      <c r="AB13" s="279"/>
      <c r="AC13" s="280">
        <f>IF('(7b) Project List'!H15&lt;&gt;"",'(7b) Project List'!H15,"")</f>
        <v>0</v>
      </c>
      <c r="AD13" s="268">
        <f t="shared" si="5"/>
        <v>0</v>
      </c>
      <c r="AE13" s="281" t="str">
        <f>IF(ISERROR('(7c) Project Schedule'!K10),"",'(7c) Project Schedule'!K10)</f>
        <v/>
      </c>
      <c r="AF13" s="282" t="str">
        <f t="shared" si="6"/>
        <v xml:space="preserve"> </v>
      </c>
      <c r="AG13" s="283"/>
      <c r="AH13" s="282" t="str">
        <f t="shared" si="7"/>
        <v xml:space="preserve"> </v>
      </c>
      <c r="AI13" s="282" t="str">
        <f t="shared" si="8"/>
        <v xml:space="preserve"> </v>
      </c>
      <c r="AJ13" s="282" t="str">
        <f t="shared" si="9"/>
        <v xml:space="preserve"> </v>
      </c>
      <c r="AK13" s="1562" t="str">
        <f t="shared" si="10"/>
        <v xml:space="preserve"> </v>
      </c>
      <c r="AL13" s="1565" t="str">
        <f t="shared" si="11"/>
        <v/>
      </c>
      <c r="AN13" s="272" t="str">
        <f t="shared" si="12"/>
        <v/>
      </c>
      <c r="AO13" s="273" t="str">
        <f t="shared" si="12"/>
        <v/>
      </c>
      <c r="AP13" s="273" t="str">
        <f t="shared" si="12"/>
        <v/>
      </c>
      <c r="AQ13" s="273" t="str">
        <f t="shared" si="12"/>
        <v/>
      </c>
      <c r="AR13" s="273" t="str">
        <f t="shared" si="12"/>
        <v/>
      </c>
      <c r="AS13" s="273" t="str">
        <f t="shared" si="12"/>
        <v/>
      </c>
      <c r="AT13" s="273" t="str">
        <f t="shared" si="12"/>
        <v/>
      </c>
      <c r="AU13" s="273" t="str">
        <f t="shared" si="12"/>
        <v/>
      </c>
      <c r="AV13" s="273" t="str">
        <f t="shared" si="12"/>
        <v/>
      </c>
      <c r="AW13" s="273" t="str">
        <f t="shared" si="12"/>
        <v/>
      </c>
      <c r="AX13" s="273" t="str">
        <f t="shared" si="13"/>
        <v/>
      </c>
      <c r="AY13" s="274" t="str">
        <f t="shared" si="13"/>
        <v/>
      </c>
      <c r="AZ13" s="273" t="str">
        <f t="shared" si="13"/>
        <v/>
      </c>
      <c r="BA13" s="273" t="str">
        <f t="shared" si="13"/>
        <v/>
      </c>
      <c r="BB13" s="273" t="str">
        <f t="shared" si="13"/>
        <v/>
      </c>
      <c r="BC13" s="273" t="str">
        <f t="shared" si="13"/>
        <v/>
      </c>
      <c r="BD13" s="273" t="str">
        <f t="shared" si="13"/>
        <v/>
      </c>
      <c r="BE13" s="273" t="str">
        <f t="shared" si="13"/>
        <v/>
      </c>
      <c r="BF13" s="273" t="str">
        <f t="shared" si="13"/>
        <v/>
      </c>
      <c r="BG13" s="273" t="str">
        <f t="shared" si="13"/>
        <v/>
      </c>
      <c r="BH13" s="273" t="str">
        <f t="shared" si="14"/>
        <v/>
      </c>
      <c r="BI13" s="273" t="str">
        <f t="shared" si="14"/>
        <v/>
      </c>
      <c r="BJ13" s="273" t="str">
        <f t="shared" si="14"/>
        <v/>
      </c>
      <c r="BK13" s="274" t="str">
        <f t="shared" si="14"/>
        <v/>
      </c>
      <c r="BL13" s="273" t="str">
        <f t="shared" si="14"/>
        <v/>
      </c>
      <c r="BM13" s="273" t="str">
        <f t="shared" si="14"/>
        <v/>
      </c>
      <c r="BN13" s="273" t="str">
        <f t="shared" si="14"/>
        <v/>
      </c>
      <c r="BO13" s="273" t="str">
        <f t="shared" si="14"/>
        <v/>
      </c>
      <c r="BP13" s="273" t="str">
        <f t="shared" si="14"/>
        <v/>
      </c>
      <c r="BQ13" s="273" t="str">
        <f t="shared" si="14"/>
        <v/>
      </c>
      <c r="BR13" s="273" t="str">
        <f t="shared" si="15"/>
        <v/>
      </c>
      <c r="BS13" s="273" t="str">
        <f t="shared" si="15"/>
        <v/>
      </c>
      <c r="BT13" s="273" t="str">
        <f t="shared" si="15"/>
        <v/>
      </c>
      <c r="BU13" s="273" t="str">
        <f t="shared" si="15"/>
        <v/>
      </c>
      <c r="BV13" s="273" t="str">
        <f t="shared" si="15"/>
        <v/>
      </c>
      <c r="BW13" s="274" t="str">
        <f t="shared" si="15"/>
        <v/>
      </c>
      <c r="BX13" s="273" t="str">
        <f t="shared" si="15"/>
        <v/>
      </c>
      <c r="BY13" s="273" t="str">
        <f t="shared" si="15"/>
        <v/>
      </c>
      <c r="BZ13" s="273" t="str">
        <f t="shared" si="15"/>
        <v/>
      </c>
      <c r="CA13" s="273" t="str">
        <f t="shared" si="15"/>
        <v/>
      </c>
      <c r="CB13" s="273" t="str">
        <f t="shared" si="16"/>
        <v/>
      </c>
      <c r="CC13" s="273" t="str">
        <f t="shared" si="16"/>
        <v/>
      </c>
      <c r="CD13" s="273" t="str">
        <f t="shared" si="16"/>
        <v/>
      </c>
      <c r="CE13" s="273" t="str">
        <f t="shared" si="16"/>
        <v/>
      </c>
      <c r="CF13" s="273" t="str">
        <f t="shared" si="16"/>
        <v/>
      </c>
      <c r="CG13" s="273" t="str">
        <f t="shared" si="16"/>
        <v/>
      </c>
      <c r="CH13" s="273" t="str">
        <f t="shared" si="16"/>
        <v/>
      </c>
      <c r="CI13" s="274" t="str">
        <f t="shared" si="16"/>
        <v/>
      </c>
      <c r="CJ13" s="273" t="str">
        <f t="shared" si="16"/>
        <v/>
      </c>
      <c r="CK13" s="273" t="str">
        <f t="shared" si="16"/>
        <v/>
      </c>
      <c r="CL13" s="273" t="str">
        <f t="shared" si="17"/>
        <v/>
      </c>
      <c r="CM13" s="273" t="str">
        <f t="shared" si="17"/>
        <v/>
      </c>
      <c r="CN13" s="273" t="str">
        <f t="shared" si="17"/>
        <v/>
      </c>
      <c r="CO13" s="273" t="str">
        <f t="shared" si="17"/>
        <v/>
      </c>
      <c r="CP13" s="273" t="str">
        <f t="shared" si="17"/>
        <v/>
      </c>
      <c r="CQ13" s="273" t="str">
        <f t="shared" si="17"/>
        <v/>
      </c>
      <c r="CR13" s="273" t="str">
        <f t="shared" si="17"/>
        <v/>
      </c>
      <c r="CS13" s="273" t="str">
        <f t="shared" si="17"/>
        <v/>
      </c>
      <c r="CT13" s="273" t="str">
        <f t="shared" si="17"/>
        <v/>
      </c>
      <c r="CU13" s="274" t="str">
        <f t="shared" si="17"/>
        <v/>
      </c>
      <c r="CV13" s="273" t="str">
        <f t="shared" si="18"/>
        <v/>
      </c>
      <c r="CW13" s="273" t="str">
        <f t="shared" si="18"/>
        <v/>
      </c>
      <c r="CX13" s="273" t="str">
        <f t="shared" si="18"/>
        <v/>
      </c>
      <c r="CY13" s="273" t="str">
        <f t="shared" si="18"/>
        <v/>
      </c>
      <c r="CZ13" s="273" t="str">
        <f t="shared" si="18"/>
        <v/>
      </c>
      <c r="DA13" s="273" t="str">
        <f t="shared" si="18"/>
        <v/>
      </c>
      <c r="DB13" s="273" t="str">
        <f t="shared" si="18"/>
        <v/>
      </c>
      <c r="DC13" s="273" t="str">
        <f t="shared" si="18"/>
        <v/>
      </c>
      <c r="DD13" s="273" t="str">
        <f t="shared" si="18"/>
        <v/>
      </c>
      <c r="DE13" s="273" t="str">
        <f t="shared" si="18"/>
        <v/>
      </c>
      <c r="DF13" s="273" t="str">
        <f t="shared" si="19"/>
        <v/>
      </c>
      <c r="DG13" s="274" t="str">
        <f t="shared" si="19"/>
        <v/>
      </c>
      <c r="DH13" s="273" t="str">
        <f t="shared" si="19"/>
        <v/>
      </c>
      <c r="DI13" s="273" t="str">
        <f t="shared" si="19"/>
        <v/>
      </c>
      <c r="DJ13" s="273" t="str">
        <f t="shared" si="19"/>
        <v/>
      </c>
      <c r="DK13" s="273" t="str">
        <f t="shared" si="19"/>
        <v/>
      </c>
      <c r="DL13" s="273" t="str">
        <f t="shared" si="19"/>
        <v/>
      </c>
      <c r="DM13" s="273" t="str">
        <f t="shared" si="19"/>
        <v/>
      </c>
      <c r="DN13" s="273" t="str">
        <f t="shared" si="19"/>
        <v/>
      </c>
      <c r="DO13" s="273" t="str">
        <f t="shared" si="19"/>
        <v/>
      </c>
      <c r="DP13" s="273" t="str">
        <f t="shared" si="20"/>
        <v/>
      </c>
      <c r="DQ13" s="273" t="str">
        <f t="shared" si="20"/>
        <v/>
      </c>
      <c r="DR13" s="273" t="str">
        <f t="shared" si="20"/>
        <v/>
      </c>
      <c r="DS13" s="274" t="str">
        <f t="shared" si="20"/>
        <v/>
      </c>
      <c r="DT13" s="273" t="str">
        <f t="shared" si="20"/>
        <v/>
      </c>
      <c r="DU13" s="273" t="str">
        <f t="shared" si="20"/>
        <v/>
      </c>
      <c r="DV13" s="273" t="str">
        <f t="shared" si="20"/>
        <v/>
      </c>
      <c r="DW13" s="273" t="str">
        <f t="shared" si="20"/>
        <v/>
      </c>
      <c r="DX13" s="273" t="str">
        <f t="shared" si="20"/>
        <v/>
      </c>
      <c r="DY13" s="273" t="str">
        <f t="shared" si="20"/>
        <v/>
      </c>
      <c r="DZ13" s="273" t="str">
        <f t="shared" si="21"/>
        <v/>
      </c>
      <c r="EA13" s="273" t="str">
        <f t="shared" si="21"/>
        <v/>
      </c>
      <c r="EB13" s="273" t="str">
        <f t="shared" si="21"/>
        <v/>
      </c>
      <c r="EC13" s="273" t="str">
        <f t="shared" si="21"/>
        <v/>
      </c>
      <c r="ED13" s="273" t="str">
        <f t="shared" si="21"/>
        <v/>
      </c>
      <c r="EE13" s="274" t="str">
        <f t="shared" si="21"/>
        <v/>
      </c>
      <c r="EF13" s="273" t="str">
        <f t="shared" si="21"/>
        <v/>
      </c>
      <c r="EG13" s="273" t="str">
        <f t="shared" si="21"/>
        <v/>
      </c>
      <c r="EH13" s="273" t="str">
        <f t="shared" si="21"/>
        <v/>
      </c>
      <c r="EI13" s="273" t="str">
        <f t="shared" si="21"/>
        <v/>
      </c>
      <c r="EJ13" s="273" t="str">
        <f t="shared" si="22"/>
        <v/>
      </c>
      <c r="EK13" s="273" t="str">
        <f t="shared" si="22"/>
        <v/>
      </c>
      <c r="EL13" s="273" t="str">
        <f t="shared" si="22"/>
        <v/>
      </c>
      <c r="EM13" s="273" t="str">
        <f t="shared" si="22"/>
        <v/>
      </c>
      <c r="EN13" s="273" t="str">
        <f t="shared" si="22"/>
        <v/>
      </c>
      <c r="EO13" s="273" t="str">
        <f t="shared" si="22"/>
        <v/>
      </c>
      <c r="EP13" s="273" t="str">
        <f t="shared" si="22"/>
        <v/>
      </c>
      <c r="EQ13" s="274" t="str">
        <f t="shared" si="22"/>
        <v/>
      </c>
      <c r="ER13" s="273" t="str">
        <f t="shared" si="22"/>
        <v/>
      </c>
      <c r="ES13" s="273" t="str">
        <f t="shared" si="22"/>
        <v/>
      </c>
      <c r="ET13" s="273" t="str">
        <f t="shared" si="23"/>
        <v/>
      </c>
      <c r="EU13" s="273" t="str">
        <f t="shared" si="23"/>
        <v/>
      </c>
      <c r="EV13" s="273" t="str">
        <f t="shared" si="23"/>
        <v/>
      </c>
      <c r="EW13" s="273" t="str">
        <f t="shared" si="23"/>
        <v/>
      </c>
      <c r="EX13" s="273" t="str">
        <f t="shared" si="23"/>
        <v/>
      </c>
      <c r="EY13" s="273" t="str">
        <f t="shared" si="23"/>
        <v/>
      </c>
      <c r="EZ13" s="273" t="str">
        <f t="shared" si="23"/>
        <v/>
      </c>
      <c r="FA13" s="273" t="str">
        <f t="shared" si="23"/>
        <v/>
      </c>
      <c r="FB13" s="273" t="str">
        <f t="shared" si="23"/>
        <v/>
      </c>
      <c r="FC13" s="274" t="str">
        <f t="shared" si="23"/>
        <v/>
      </c>
      <c r="FD13" s="273" t="str">
        <f t="shared" si="24"/>
        <v/>
      </c>
      <c r="FE13" s="273" t="str">
        <f t="shared" si="24"/>
        <v/>
      </c>
      <c r="FF13" s="273" t="str">
        <f t="shared" si="24"/>
        <v/>
      </c>
      <c r="FG13" s="273" t="str">
        <f t="shared" si="24"/>
        <v/>
      </c>
      <c r="FH13" s="273" t="str">
        <f t="shared" si="24"/>
        <v/>
      </c>
      <c r="FI13" s="273" t="str">
        <f t="shared" si="24"/>
        <v/>
      </c>
      <c r="FJ13" s="273" t="str">
        <f t="shared" si="24"/>
        <v/>
      </c>
      <c r="FK13" s="273" t="str">
        <f t="shared" si="24"/>
        <v/>
      </c>
      <c r="FL13" s="273" t="str">
        <f t="shared" si="24"/>
        <v/>
      </c>
      <c r="FM13" s="273" t="str">
        <f t="shared" si="24"/>
        <v/>
      </c>
      <c r="FN13" s="273" t="str">
        <f t="shared" si="25"/>
        <v/>
      </c>
      <c r="FO13" s="274" t="str">
        <f t="shared" si="25"/>
        <v/>
      </c>
      <c r="FP13" s="273" t="str">
        <f t="shared" si="25"/>
        <v/>
      </c>
      <c r="FQ13" s="273" t="str">
        <f t="shared" si="25"/>
        <v/>
      </c>
      <c r="FR13" s="273" t="str">
        <f t="shared" si="25"/>
        <v/>
      </c>
      <c r="FS13" s="273" t="str">
        <f t="shared" si="25"/>
        <v/>
      </c>
      <c r="FT13" s="273" t="str">
        <f t="shared" si="25"/>
        <v/>
      </c>
      <c r="FU13" s="273" t="str">
        <f t="shared" si="25"/>
        <v/>
      </c>
      <c r="FV13" s="273" t="str">
        <f t="shared" si="25"/>
        <v/>
      </c>
      <c r="FW13" s="273" t="str">
        <f t="shared" si="25"/>
        <v/>
      </c>
      <c r="FX13" s="273" t="str">
        <f t="shared" si="25"/>
        <v/>
      </c>
      <c r="FY13" s="273" t="str">
        <f t="shared" si="25"/>
        <v/>
      </c>
      <c r="FZ13" s="273" t="str">
        <f t="shared" si="25"/>
        <v/>
      </c>
      <c r="GA13" s="275" t="str">
        <f t="shared" si="25"/>
        <v/>
      </c>
      <c r="GB13" s="276"/>
      <c r="GC13" s="276"/>
      <c r="GD13" s="276"/>
      <c r="GE13" s="276"/>
      <c r="GF13" s="276"/>
      <c r="GG13" s="276"/>
      <c r="GH13" s="276"/>
      <c r="GI13" s="276"/>
      <c r="GJ13" s="276"/>
      <c r="GK13" s="276"/>
      <c r="GL13" s="276"/>
      <c r="GM13" s="276"/>
      <c r="GN13" s="276"/>
      <c r="GQ13" s="263">
        <f t="shared" si="30"/>
        <v>0</v>
      </c>
    </row>
    <row r="14" spans="1:216">
      <c r="A14" s="263">
        <v>8</v>
      </c>
      <c r="B14" s="277" t="str">
        <f>IF('(7b) Project List'!F16&lt;&gt;"",'(7b) Project List'!F16," ")</f>
        <v xml:space="preserve"> </v>
      </c>
      <c r="C14" s="278" t="str">
        <f t="shared" si="0"/>
        <v xml:space="preserve"> </v>
      </c>
      <c r="D14" s="278" t="str">
        <f>IF('(7b) Project List'!G16&lt;&gt;"",'(7b) Project List'!G16,"")</f>
        <v/>
      </c>
      <c r="E14" s="278" t="str">
        <f t="shared" si="1"/>
        <v/>
      </c>
      <c r="F14" s="590" t="str">
        <f>IF('(7b) Project List'!B16="","",'P8-MCR'!I34)</f>
        <v/>
      </c>
      <c r="G14" s="591" t="str">
        <f>IF('(7b) Project List'!B16="","",'P8-MCR'!J34)</f>
        <v/>
      </c>
      <c r="H14" s="298"/>
      <c r="I14" s="1464" t="str">
        <f>IF(OR('8'!C30="",'8'!E30=""),"",DATEDIF('8'!C30,'8'!E30,"m"))</f>
        <v/>
      </c>
      <c r="J14" s="573" t="str">
        <f>IF('8'!C51="","",'8'!C51)</f>
        <v/>
      </c>
      <c r="K14" s="1469" t="str">
        <f>IF(EXP!I16="","",EXP!I16)</f>
        <v/>
      </c>
      <c r="L14" s="542" t="str">
        <f t="shared" si="2"/>
        <v/>
      </c>
      <c r="M14" s="542" t="str">
        <f t="shared" si="3"/>
        <v/>
      </c>
      <c r="N14" s="542" t="str">
        <f t="shared" si="26"/>
        <v/>
      </c>
      <c r="O14" s="573" t="str">
        <f>IF('8'!C47="","",'8'!C47)</f>
        <v/>
      </c>
      <c r="P14" s="662" t="str">
        <f>IF('8'!C52="","",'8'!C52)</f>
        <v/>
      </c>
      <c r="Q14" s="662" t="str">
        <f>IF('8'!C53="","",'8'!C53)</f>
        <v/>
      </c>
      <c r="R14" s="573" t="str">
        <f>IF('8'!C48="","",'8'!C48)</f>
        <v/>
      </c>
      <c r="S14" s="1618" t="str">
        <f t="shared" si="27"/>
        <v/>
      </c>
      <c r="T14" s="586" t="str">
        <f t="shared" si="28"/>
        <v/>
      </c>
      <c r="U14" s="539" t="str">
        <f t="shared" si="29"/>
        <v/>
      </c>
      <c r="V14" s="1465" t="str">
        <f t="shared" si="4"/>
        <v/>
      </c>
      <c r="W14" s="298"/>
      <c r="X14" s="608" t="str">
        <f>IF(EXP!H16="","",EXP!H16)</f>
        <v/>
      </c>
      <c r="Y14" s="608" t="str">
        <f>IF(EXP!D16="","",EXP!D16)</f>
        <v/>
      </c>
      <c r="Z14" s="279"/>
      <c r="AA14" s="279"/>
      <c r="AB14" s="279"/>
      <c r="AC14" s="280">
        <f>IF('(7b) Project List'!H16&lt;&gt;"",'(7b) Project List'!H16,"")</f>
        <v>0</v>
      </c>
      <c r="AD14" s="268">
        <f t="shared" si="5"/>
        <v>0</v>
      </c>
      <c r="AE14" s="281" t="str">
        <f>IF(ISERROR('(7c) Project Schedule'!K11),"",'(7c) Project Schedule'!K11)</f>
        <v/>
      </c>
      <c r="AF14" s="282" t="str">
        <f t="shared" si="6"/>
        <v xml:space="preserve"> </v>
      </c>
      <c r="AG14" s="283"/>
      <c r="AH14" s="282" t="str">
        <f t="shared" si="7"/>
        <v xml:space="preserve"> </v>
      </c>
      <c r="AI14" s="282" t="str">
        <f t="shared" si="8"/>
        <v xml:space="preserve"> </v>
      </c>
      <c r="AJ14" s="282" t="str">
        <f t="shared" si="9"/>
        <v xml:space="preserve"> </v>
      </c>
      <c r="AK14" s="1562" t="str">
        <f t="shared" si="10"/>
        <v xml:space="preserve"> </v>
      </c>
      <c r="AL14" s="1565" t="str">
        <f t="shared" si="11"/>
        <v/>
      </c>
      <c r="AN14" s="272" t="str">
        <f t="shared" si="12"/>
        <v/>
      </c>
      <c r="AO14" s="273" t="str">
        <f t="shared" si="12"/>
        <v/>
      </c>
      <c r="AP14" s="273" t="str">
        <f t="shared" si="12"/>
        <v/>
      </c>
      <c r="AQ14" s="273" t="str">
        <f t="shared" si="12"/>
        <v/>
      </c>
      <c r="AR14" s="273" t="str">
        <f t="shared" si="12"/>
        <v/>
      </c>
      <c r="AS14" s="273" t="str">
        <f t="shared" si="12"/>
        <v/>
      </c>
      <c r="AT14" s="273" t="str">
        <f t="shared" si="12"/>
        <v/>
      </c>
      <c r="AU14" s="273" t="str">
        <f t="shared" si="12"/>
        <v/>
      </c>
      <c r="AV14" s="273" t="str">
        <f t="shared" si="12"/>
        <v/>
      </c>
      <c r="AW14" s="273" t="str">
        <f t="shared" si="12"/>
        <v/>
      </c>
      <c r="AX14" s="273" t="str">
        <f t="shared" si="13"/>
        <v/>
      </c>
      <c r="AY14" s="274" t="str">
        <f t="shared" si="13"/>
        <v/>
      </c>
      <c r="AZ14" s="273" t="str">
        <f t="shared" si="13"/>
        <v/>
      </c>
      <c r="BA14" s="273" t="str">
        <f t="shared" si="13"/>
        <v/>
      </c>
      <c r="BB14" s="273" t="str">
        <f t="shared" si="13"/>
        <v/>
      </c>
      <c r="BC14" s="273" t="str">
        <f t="shared" si="13"/>
        <v/>
      </c>
      <c r="BD14" s="273" t="str">
        <f t="shared" si="13"/>
        <v/>
      </c>
      <c r="BE14" s="273" t="str">
        <f t="shared" si="13"/>
        <v/>
      </c>
      <c r="BF14" s="273" t="str">
        <f t="shared" si="13"/>
        <v/>
      </c>
      <c r="BG14" s="273" t="str">
        <f t="shared" si="13"/>
        <v/>
      </c>
      <c r="BH14" s="273" t="str">
        <f t="shared" si="14"/>
        <v/>
      </c>
      <c r="BI14" s="273" t="str">
        <f t="shared" si="14"/>
        <v/>
      </c>
      <c r="BJ14" s="273" t="str">
        <f t="shared" si="14"/>
        <v/>
      </c>
      <c r="BK14" s="274" t="str">
        <f t="shared" si="14"/>
        <v/>
      </c>
      <c r="BL14" s="273" t="str">
        <f t="shared" si="14"/>
        <v/>
      </c>
      <c r="BM14" s="273" t="str">
        <f t="shared" si="14"/>
        <v/>
      </c>
      <c r="BN14" s="273" t="str">
        <f t="shared" si="14"/>
        <v/>
      </c>
      <c r="BO14" s="273" t="str">
        <f t="shared" si="14"/>
        <v/>
      </c>
      <c r="BP14" s="273" t="str">
        <f t="shared" si="14"/>
        <v/>
      </c>
      <c r="BQ14" s="273" t="str">
        <f t="shared" si="14"/>
        <v/>
      </c>
      <c r="BR14" s="273" t="str">
        <f t="shared" si="15"/>
        <v/>
      </c>
      <c r="BS14" s="273" t="str">
        <f t="shared" si="15"/>
        <v/>
      </c>
      <c r="BT14" s="273" t="str">
        <f t="shared" si="15"/>
        <v/>
      </c>
      <c r="BU14" s="273" t="str">
        <f t="shared" si="15"/>
        <v/>
      </c>
      <c r="BV14" s="273" t="str">
        <f t="shared" si="15"/>
        <v/>
      </c>
      <c r="BW14" s="274" t="str">
        <f t="shared" si="15"/>
        <v/>
      </c>
      <c r="BX14" s="273" t="str">
        <f t="shared" si="15"/>
        <v/>
      </c>
      <c r="BY14" s="273" t="str">
        <f t="shared" si="15"/>
        <v/>
      </c>
      <c r="BZ14" s="273" t="str">
        <f t="shared" si="15"/>
        <v/>
      </c>
      <c r="CA14" s="273" t="str">
        <f t="shared" si="15"/>
        <v/>
      </c>
      <c r="CB14" s="273" t="str">
        <f t="shared" si="16"/>
        <v/>
      </c>
      <c r="CC14" s="273" t="str">
        <f t="shared" si="16"/>
        <v/>
      </c>
      <c r="CD14" s="273" t="str">
        <f t="shared" si="16"/>
        <v/>
      </c>
      <c r="CE14" s="273" t="str">
        <f t="shared" si="16"/>
        <v/>
      </c>
      <c r="CF14" s="273" t="str">
        <f t="shared" si="16"/>
        <v/>
      </c>
      <c r="CG14" s="273" t="str">
        <f t="shared" si="16"/>
        <v/>
      </c>
      <c r="CH14" s="273" t="str">
        <f t="shared" si="16"/>
        <v/>
      </c>
      <c r="CI14" s="274" t="str">
        <f t="shared" si="16"/>
        <v/>
      </c>
      <c r="CJ14" s="273" t="str">
        <f t="shared" si="16"/>
        <v/>
      </c>
      <c r="CK14" s="273" t="str">
        <f t="shared" si="16"/>
        <v/>
      </c>
      <c r="CL14" s="273" t="str">
        <f t="shared" si="17"/>
        <v/>
      </c>
      <c r="CM14" s="273" t="str">
        <f t="shared" si="17"/>
        <v/>
      </c>
      <c r="CN14" s="273" t="str">
        <f t="shared" si="17"/>
        <v/>
      </c>
      <c r="CO14" s="273" t="str">
        <f t="shared" si="17"/>
        <v/>
      </c>
      <c r="CP14" s="273" t="str">
        <f t="shared" si="17"/>
        <v/>
      </c>
      <c r="CQ14" s="273" t="str">
        <f t="shared" si="17"/>
        <v/>
      </c>
      <c r="CR14" s="273" t="str">
        <f t="shared" si="17"/>
        <v/>
      </c>
      <c r="CS14" s="273" t="str">
        <f t="shared" si="17"/>
        <v/>
      </c>
      <c r="CT14" s="273" t="str">
        <f t="shared" si="17"/>
        <v/>
      </c>
      <c r="CU14" s="274" t="str">
        <f t="shared" si="17"/>
        <v/>
      </c>
      <c r="CV14" s="273" t="str">
        <f t="shared" si="18"/>
        <v/>
      </c>
      <c r="CW14" s="273" t="str">
        <f t="shared" si="18"/>
        <v/>
      </c>
      <c r="CX14" s="273" t="str">
        <f t="shared" si="18"/>
        <v/>
      </c>
      <c r="CY14" s="273" t="str">
        <f t="shared" si="18"/>
        <v/>
      </c>
      <c r="CZ14" s="273" t="str">
        <f t="shared" si="18"/>
        <v/>
      </c>
      <c r="DA14" s="273" t="str">
        <f t="shared" si="18"/>
        <v/>
      </c>
      <c r="DB14" s="273" t="str">
        <f t="shared" si="18"/>
        <v/>
      </c>
      <c r="DC14" s="273" t="str">
        <f t="shared" si="18"/>
        <v/>
      </c>
      <c r="DD14" s="273" t="str">
        <f t="shared" si="18"/>
        <v/>
      </c>
      <c r="DE14" s="273" t="str">
        <f t="shared" si="18"/>
        <v/>
      </c>
      <c r="DF14" s="273" t="str">
        <f t="shared" si="19"/>
        <v/>
      </c>
      <c r="DG14" s="274" t="str">
        <f t="shared" si="19"/>
        <v/>
      </c>
      <c r="DH14" s="273" t="str">
        <f t="shared" si="19"/>
        <v/>
      </c>
      <c r="DI14" s="273" t="str">
        <f t="shared" si="19"/>
        <v/>
      </c>
      <c r="DJ14" s="273" t="str">
        <f t="shared" si="19"/>
        <v/>
      </c>
      <c r="DK14" s="273" t="str">
        <f t="shared" si="19"/>
        <v/>
      </c>
      <c r="DL14" s="273" t="str">
        <f t="shared" si="19"/>
        <v/>
      </c>
      <c r="DM14" s="273" t="str">
        <f t="shared" si="19"/>
        <v/>
      </c>
      <c r="DN14" s="273" t="str">
        <f t="shared" si="19"/>
        <v/>
      </c>
      <c r="DO14" s="273" t="str">
        <f t="shared" si="19"/>
        <v/>
      </c>
      <c r="DP14" s="273" t="str">
        <f t="shared" si="20"/>
        <v/>
      </c>
      <c r="DQ14" s="273" t="str">
        <f t="shared" si="20"/>
        <v/>
      </c>
      <c r="DR14" s="273" t="str">
        <f t="shared" si="20"/>
        <v/>
      </c>
      <c r="DS14" s="274" t="str">
        <f t="shared" si="20"/>
        <v/>
      </c>
      <c r="DT14" s="273" t="str">
        <f t="shared" si="20"/>
        <v/>
      </c>
      <c r="DU14" s="273" t="str">
        <f t="shared" si="20"/>
        <v/>
      </c>
      <c r="DV14" s="273" t="str">
        <f t="shared" si="20"/>
        <v/>
      </c>
      <c r="DW14" s="273" t="str">
        <f t="shared" si="20"/>
        <v/>
      </c>
      <c r="DX14" s="273" t="str">
        <f t="shared" si="20"/>
        <v/>
      </c>
      <c r="DY14" s="273" t="str">
        <f t="shared" si="20"/>
        <v/>
      </c>
      <c r="DZ14" s="273" t="str">
        <f t="shared" si="21"/>
        <v/>
      </c>
      <c r="EA14" s="273" t="str">
        <f t="shared" si="21"/>
        <v/>
      </c>
      <c r="EB14" s="273" t="str">
        <f t="shared" si="21"/>
        <v/>
      </c>
      <c r="EC14" s="273" t="str">
        <f t="shared" si="21"/>
        <v/>
      </c>
      <c r="ED14" s="273" t="str">
        <f t="shared" si="21"/>
        <v/>
      </c>
      <c r="EE14" s="274" t="str">
        <f t="shared" si="21"/>
        <v/>
      </c>
      <c r="EF14" s="273" t="str">
        <f t="shared" si="21"/>
        <v/>
      </c>
      <c r="EG14" s="273" t="str">
        <f t="shared" si="21"/>
        <v/>
      </c>
      <c r="EH14" s="273" t="str">
        <f t="shared" si="21"/>
        <v/>
      </c>
      <c r="EI14" s="273" t="str">
        <f t="shared" si="21"/>
        <v/>
      </c>
      <c r="EJ14" s="273" t="str">
        <f t="shared" si="22"/>
        <v/>
      </c>
      <c r="EK14" s="273" t="str">
        <f t="shared" si="22"/>
        <v/>
      </c>
      <c r="EL14" s="273" t="str">
        <f t="shared" si="22"/>
        <v/>
      </c>
      <c r="EM14" s="273" t="str">
        <f t="shared" si="22"/>
        <v/>
      </c>
      <c r="EN14" s="273" t="str">
        <f t="shared" si="22"/>
        <v/>
      </c>
      <c r="EO14" s="273" t="str">
        <f t="shared" si="22"/>
        <v/>
      </c>
      <c r="EP14" s="273" t="str">
        <f t="shared" si="22"/>
        <v/>
      </c>
      <c r="EQ14" s="274" t="str">
        <f t="shared" si="22"/>
        <v/>
      </c>
      <c r="ER14" s="273" t="str">
        <f t="shared" si="22"/>
        <v/>
      </c>
      <c r="ES14" s="273" t="str">
        <f t="shared" si="22"/>
        <v/>
      </c>
      <c r="ET14" s="273" t="str">
        <f t="shared" si="23"/>
        <v/>
      </c>
      <c r="EU14" s="273" t="str">
        <f t="shared" si="23"/>
        <v/>
      </c>
      <c r="EV14" s="273" t="str">
        <f t="shared" si="23"/>
        <v/>
      </c>
      <c r="EW14" s="273" t="str">
        <f t="shared" si="23"/>
        <v/>
      </c>
      <c r="EX14" s="273" t="str">
        <f t="shared" si="23"/>
        <v/>
      </c>
      <c r="EY14" s="273" t="str">
        <f t="shared" si="23"/>
        <v/>
      </c>
      <c r="EZ14" s="273" t="str">
        <f t="shared" si="23"/>
        <v/>
      </c>
      <c r="FA14" s="273" t="str">
        <f t="shared" si="23"/>
        <v/>
      </c>
      <c r="FB14" s="273" t="str">
        <f t="shared" si="23"/>
        <v/>
      </c>
      <c r="FC14" s="274" t="str">
        <f t="shared" si="23"/>
        <v/>
      </c>
      <c r="FD14" s="273" t="str">
        <f t="shared" si="24"/>
        <v/>
      </c>
      <c r="FE14" s="273" t="str">
        <f t="shared" si="24"/>
        <v/>
      </c>
      <c r="FF14" s="273" t="str">
        <f t="shared" si="24"/>
        <v/>
      </c>
      <c r="FG14" s="273" t="str">
        <f t="shared" si="24"/>
        <v/>
      </c>
      <c r="FH14" s="273" t="str">
        <f t="shared" si="24"/>
        <v/>
      </c>
      <c r="FI14" s="273" t="str">
        <f t="shared" si="24"/>
        <v/>
      </c>
      <c r="FJ14" s="273" t="str">
        <f t="shared" si="24"/>
        <v/>
      </c>
      <c r="FK14" s="273" t="str">
        <f t="shared" si="24"/>
        <v/>
      </c>
      <c r="FL14" s="273" t="str">
        <f t="shared" si="24"/>
        <v/>
      </c>
      <c r="FM14" s="273" t="str">
        <f t="shared" si="24"/>
        <v/>
      </c>
      <c r="FN14" s="273" t="str">
        <f t="shared" si="25"/>
        <v/>
      </c>
      <c r="FO14" s="274" t="str">
        <f t="shared" si="25"/>
        <v/>
      </c>
      <c r="FP14" s="273" t="str">
        <f t="shared" si="25"/>
        <v/>
      </c>
      <c r="FQ14" s="273" t="str">
        <f t="shared" si="25"/>
        <v/>
      </c>
      <c r="FR14" s="273" t="str">
        <f t="shared" si="25"/>
        <v/>
      </c>
      <c r="FS14" s="273" t="str">
        <f t="shared" si="25"/>
        <v/>
      </c>
      <c r="FT14" s="273" t="str">
        <f t="shared" si="25"/>
        <v/>
      </c>
      <c r="FU14" s="273" t="str">
        <f t="shared" si="25"/>
        <v/>
      </c>
      <c r="FV14" s="273" t="str">
        <f t="shared" si="25"/>
        <v/>
      </c>
      <c r="FW14" s="273" t="str">
        <f t="shared" si="25"/>
        <v/>
      </c>
      <c r="FX14" s="273" t="str">
        <f t="shared" si="25"/>
        <v/>
      </c>
      <c r="FY14" s="273" t="str">
        <f t="shared" si="25"/>
        <v/>
      </c>
      <c r="FZ14" s="273" t="str">
        <f t="shared" si="25"/>
        <v/>
      </c>
      <c r="GA14" s="275" t="str">
        <f t="shared" si="25"/>
        <v/>
      </c>
      <c r="GB14" s="276"/>
      <c r="GC14" s="276"/>
      <c r="GD14" s="276"/>
      <c r="GE14" s="276"/>
      <c r="GF14" s="276"/>
      <c r="GG14" s="276"/>
      <c r="GH14" s="276"/>
      <c r="GI14" s="276"/>
      <c r="GJ14" s="276"/>
      <c r="GK14" s="276"/>
      <c r="GL14" s="276"/>
      <c r="GM14" s="276"/>
      <c r="GN14" s="276"/>
      <c r="GQ14" s="263">
        <f t="shared" si="30"/>
        <v>0</v>
      </c>
    </row>
    <row r="15" spans="1:216">
      <c r="A15" s="263">
        <v>9</v>
      </c>
      <c r="B15" s="277" t="str">
        <f>IF('(7b) Project List'!F17&lt;&gt;"",'(7b) Project List'!F17," ")</f>
        <v xml:space="preserve"> </v>
      </c>
      <c r="C15" s="278" t="str">
        <f t="shared" si="0"/>
        <v xml:space="preserve"> </v>
      </c>
      <c r="D15" s="278" t="str">
        <f>IF('(7b) Project List'!G17&lt;&gt;"",'(7b) Project List'!G17,"")</f>
        <v/>
      </c>
      <c r="E15" s="278" t="str">
        <f t="shared" si="1"/>
        <v/>
      </c>
      <c r="F15" s="590" t="str">
        <f>IF('(7b) Project List'!B17="","",'P9-MCR'!I34)</f>
        <v/>
      </c>
      <c r="G15" s="591" t="str">
        <f>IF('(7b) Project List'!B17="","",'P9-MCR'!J34)</f>
        <v/>
      </c>
      <c r="H15" s="298"/>
      <c r="I15" s="1464" t="str">
        <f>IF(OR('9'!C30="",'9'!E30=""),"",DATEDIF('9'!C30,'9'!E30,"m"))</f>
        <v/>
      </c>
      <c r="J15" s="573" t="str">
        <f>IF('9'!C51="","",'9'!C51)</f>
        <v/>
      </c>
      <c r="K15" s="1469" t="str">
        <f>IF(EXP!I17="","",EXP!I17)</f>
        <v/>
      </c>
      <c r="L15" s="542" t="str">
        <f t="shared" si="2"/>
        <v/>
      </c>
      <c r="M15" s="542" t="str">
        <f t="shared" si="3"/>
        <v/>
      </c>
      <c r="N15" s="542" t="str">
        <f t="shared" si="26"/>
        <v/>
      </c>
      <c r="O15" s="573" t="str">
        <f>IF('9'!C47="","",'9'!C47)</f>
        <v/>
      </c>
      <c r="P15" s="662" t="str">
        <f>IF('9'!C52="","",'9'!C52)</f>
        <v/>
      </c>
      <c r="Q15" s="662" t="str">
        <f>IF('9'!C53="","",'9'!C53)</f>
        <v/>
      </c>
      <c r="R15" s="573" t="str">
        <f>IF('9'!C48="","",'9'!C48)</f>
        <v/>
      </c>
      <c r="S15" s="1618" t="str">
        <f t="shared" si="27"/>
        <v/>
      </c>
      <c r="T15" s="586" t="str">
        <f t="shared" si="28"/>
        <v/>
      </c>
      <c r="U15" s="539" t="str">
        <f t="shared" si="29"/>
        <v/>
      </c>
      <c r="V15" s="1465" t="str">
        <f t="shared" si="4"/>
        <v/>
      </c>
      <c r="W15" s="298"/>
      <c r="X15" s="608" t="str">
        <f>IF(EXP!H17="","",EXP!H17)</f>
        <v/>
      </c>
      <c r="Y15" s="608" t="str">
        <f>IF(EXP!D17="","",EXP!D17)</f>
        <v/>
      </c>
      <c r="Z15" s="279"/>
      <c r="AA15" s="279"/>
      <c r="AB15" s="279"/>
      <c r="AC15" s="280">
        <f>IF('(7b) Project List'!H17&lt;&gt;"",'(7b) Project List'!H17,"")</f>
        <v>0</v>
      </c>
      <c r="AD15" s="268">
        <f t="shared" si="5"/>
        <v>0</v>
      </c>
      <c r="AE15" s="281" t="str">
        <f>IF(ISERROR('(7c) Project Schedule'!K12),"",'(7c) Project Schedule'!K12)</f>
        <v/>
      </c>
      <c r="AF15" s="282" t="str">
        <f t="shared" si="6"/>
        <v xml:space="preserve"> </v>
      </c>
      <c r="AG15" s="283"/>
      <c r="AH15" s="282" t="str">
        <f t="shared" si="7"/>
        <v xml:space="preserve"> </v>
      </c>
      <c r="AI15" s="282" t="str">
        <f t="shared" si="8"/>
        <v xml:space="preserve"> </v>
      </c>
      <c r="AJ15" s="282" t="str">
        <f t="shared" si="9"/>
        <v xml:space="preserve"> </v>
      </c>
      <c r="AK15" s="1562" t="str">
        <f t="shared" si="10"/>
        <v xml:space="preserve"> </v>
      </c>
      <c r="AL15" s="1565" t="str">
        <f t="shared" si="11"/>
        <v/>
      </c>
      <c r="AN15" s="272" t="str">
        <f t="shared" si="12"/>
        <v/>
      </c>
      <c r="AO15" s="273" t="str">
        <f t="shared" si="12"/>
        <v/>
      </c>
      <c r="AP15" s="273" t="str">
        <f t="shared" si="12"/>
        <v/>
      </c>
      <c r="AQ15" s="273" t="str">
        <f t="shared" si="12"/>
        <v/>
      </c>
      <c r="AR15" s="273" t="str">
        <f t="shared" si="12"/>
        <v/>
      </c>
      <c r="AS15" s="273" t="str">
        <f t="shared" si="12"/>
        <v/>
      </c>
      <c r="AT15" s="273" t="str">
        <f t="shared" si="12"/>
        <v/>
      </c>
      <c r="AU15" s="273" t="str">
        <f t="shared" si="12"/>
        <v/>
      </c>
      <c r="AV15" s="273" t="str">
        <f t="shared" si="12"/>
        <v/>
      </c>
      <c r="AW15" s="273" t="str">
        <f t="shared" si="12"/>
        <v/>
      </c>
      <c r="AX15" s="273" t="str">
        <f t="shared" si="13"/>
        <v/>
      </c>
      <c r="AY15" s="274" t="str">
        <f t="shared" si="13"/>
        <v/>
      </c>
      <c r="AZ15" s="273" t="str">
        <f t="shared" si="13"/>
        <v/>
      </c>
      <c r="BA15" s="273" t="str">
        <f t="shared" si="13"/>
        <v/>
      </c>
      <c r="BB15" s="273" t="str">
        <f t="shared" si="13"/>
        <v/>
      </c>
      <c r="BC15" s="273" t="str">
        <f t="shared" si="13"/>
        <v/>
      </c>
      <c r="BD15" s="273" t="str">
        <f t="shared" si="13"/>
        <v/>
      </c>
      <c r="BE15" s="273" t="str">
        <f t="shared" si="13"/>
        <v/>
      </c>
      <c r="BF15" s="273" t="str">
        <f t="shared" si="13"/>
        <v/>
      </c>
      <c r="BG15" s="273" t="str">
        <f t="shared" si="13"/>
        <v/>
      </c>
      <c r="BH15" s="273" t="str">
        <f t="shared" si="14"/>
        <v/>
      </c>
      <c r="BI15" s="273" t="str">
        <f t="shared" si="14"/>
        <v/>
      </c>
      <c r="BJ15" s="273" t="str">
        <f t="shared" si="14"/>
        <v/>
      </c>
      <c r="BK15" s="274" t="str">
        <f t="shared" si="14"/>
        <v/>
      </c>
      <c r="BL15" s="273" t="str">
        <f t="shared" si="14"/>
        <v/>
      </c>
      <c r="BM15" s="273" t="str">
        <f t="shared" si="14"/>
        <v/>
      </c>
      <c r="BN15" s="273" t="str">
        <f t="shared" si="14"/>
        <v/>
      </c>
      <c r="BO15" s="273" t="str">
        <f t="shared" si="14"/>
        <v/>
      </c>
      <c r="BP15" s="273" t="str">
        <f t="shared" si="14"/>
        <v/>
      </c>
      <c r="BQ15" s="273" t="str">
        <f t="shared" si="14"/>
        <v/>
      </c>
      <c r="BR15" s="273" t="str">
        <f t="shared" si="15"/>
        <v/>
      </c>
      <c r="BS15" s="273" t="str">
        <f t="shared" si="15"/>
        <v/>
      </c>
      <c r="BT15" s="273" t="str">
        <f t="shared" si="15"/>
        <v/>
      </c>
      <c r="BU15" s="273" t="str">
        <f t="shared" si="15"/>
        <v/>
      </c>
      <c r="BV15" s="273" t="str">
        <f t="shared" si="15"/>
        <v/>
      </c>
      <c r="BW15" s="274" t="str">
        <f t="shared" si="15"/>
        <v/>
      </c>
      <c r="BX15" s="273" t="str">
        <f t="shared" si="15"/>
        <v/>
      </c>
      <c r="BY15" s="273" t="str">
        <f t="shared" si="15"/>
        <v/>
      </c>
      <c r="BZ15" s="273" t="str">
        <f t="shared" si="15"/>
        <v/>
      </c>
      <c r="CA15" s="273" t="str">
        <f t="shared" si="15"/>
        <v/>
      </c>
      <c r="CB15" s="273" t="str">
        <f t="shared" si="16"/>
        <v/>
      </c>
      <c r="CC15" s="273" t="str">
        <f t="shared" si="16"/>
        <v/>
      </c>
      <c r="CD15" s="273" t="str">
        <f t="shared" si="16"/>
        <v/>
      </c>
      <c r="CE15" s="273" t="str">
        <f t="shared" si="16"/>
        <v/>
      </c>
      <c r="CF15" s="273" t="str">
        <f t="shared" si="16"/>
        <v/>
      </c>
      <c r="CG15" s="273" t="str">
        <f t="shared" si="16"/>
        <v/>
      </c>
      <c r="CH15" s="273" t="str">
        <f t="shared" si="16"/>
        <v/>
      </c>
      <c r="CI15" s="274" t="str">
        <f t="shared" si="16"/>
        <v/>
      </c>
      <c r="CJ15" s="273" t="str">
        <f t="shared" si="16"/>
        <v/>
      </c>
      <c r="CK15" s="273" t="str">
        <f t="shared" si="16"/>
        <v/>
      </c>
      <c r="CL15" s="273" t="str">
        <f t="shared" si="17"/>
        <v/>
      </c>
      <c r="CM15" s="273" t="str">
        <f t="shared" si="17"/>
        <v/>
      </c>
      <c r="CN15" s="273" t="str">
        <f t="shared" si="17"/>
        <v/>
      </c>
      <c r="CO15" s="273" t="str">
        <f t="shared" si="17"/>
        <v/>
      </c>
      <c r="CP15" s="273" t="str">
        <f t="shared" si="17"/>
        <v/>
      </c>
      <c r="CQ15" s="273" t="str">
        <f t="shared" si="17"/>
        <v/>
      </c>
      <c r="CR15" s="273" t="str">
        <f t="shared" si="17"/>
        <v/>
      </c>
      <c r="CS15" s="273" t="str">
        <f t="shared" si="17"/>
        <v/>
      </c>
      <c r="CT15" s="273" t="str">
        <f t="shared" si="17"/>
        <v/>
      </c>
      <c r="CU15" s="274" t="str">
        <f t="shared" si="17"/>
        <v/>
      </c>
      <c r="CV15" s="273" t="str">
        <f t="shared" si="18"/>
        <v/>
      </c>
      <c r="CW15" s="273" t="str">
        <f t="shared" si="18"/>
        <v/>
      </c>
      <c r="CX15" s="273" t="str">
        <f t="shared" si="18"/>
        <v/>
      </c>
      <c r="CY15" s="273" t="str">
        <f t="shared" si="18"/>
        <v/>
      </c>
      <c r="CZ15" s="273" t="str">
        <f t="shared" si="18"/>
        <v/>
      </c>
      <c r="DA15" s="273" t="str">
        <f t="shared" si="18"/>
        <v/>
      </c>
      <c r="DB15" s="273" t="str">
        <f t="shared" si="18"/>
        <v/>
      </c>
      <c r="DC15" s="273" t="str">
        <f t="shared" si="18"/>
        <v/>
      </c>
      <c r="DD15" s="273" t="str">
        <f t="shared" si="18"/>
        <v/>
      </c>
      <c r="DE15" s="273" t="str">
        <f t="shared" si="18"/>
        <v/>
      </c>
      <c r="DF15" s="273" t="str">
        <f t="shared" si="19"/>
        <v/>
      </c>
      <c r="DG15" s="274" t="str">
        <f t="shared" si="19"/>
        <v/>
      </c>
      <c r="DH15" s="273" t="str">
        <f t="shared" si="19"/>
        <v/>
      </c>
      <c r="DI15" s="273" t="str">
        <f t="shared" si="19"/>
        <v/>
      </c>
      <c r="DJ15" s="273" t="str">
        <f t="shared" si="19"/>
        <v/>
      </c>
      <c r="DK15" s="273" t="str">
        <f t="shared" si="19"/>
        <v/>
      </c>
      <c r="DL15" s="273" t="str">
        <f t="shared" si="19"/>
        <v/>
      </c>
      <c r="DM15" s="273" t="str">
        <f t="shared" si="19"/>
        <v/>
      </c>
      <c r="DN15" s="273" t="str">
        <f t="shared" si="19"/>
        <v/>
      </c>
      <c r="DO15" s="273" t="str">
        <f t="shared" si="19"/>
        <v/>
      </c>
      <c r="DP15" s="273" t="str">
        <f t="shared" si="20"/>
        <v/>
      </c>
      <c r="DQ15" s="273" t="str">
        <f t="shared" si="20"/>
        <v/>
      </c>
      <c r="DR15" s="273" t="str">
        <f t="shared" si="20"/>
        <v/>
      </c>
      <c r="DS15" s="274" t="str">
        <f t="shared" si="20"/>
        <v/>
      </c>
      <c r="DT15" s="273" t="str">
        <f t="shared" si="20"/>
        <v/>
      </c>
      <c r="DU15" s="273" t="str">
        <f t="shared" si="20"/>
        <v/>
      </c>
      <c r="DV15" s="273" t="str">
        <f t="shared" si="20"/>
        <v/>
      </c>
      <c r="DW15" s="273" t="str">
        <f t="shared" si="20"/>
        <v/>
      </c>
      <c r="DX15" s="273" t="str">
        <f t="shared" si="20"/>
        <v/>
      </c>
      <c r="DY15" s="273" t="str">
        <f t="shared" si="20"/>
        <v/>
      </c>
      <c r="DZ15" s="273" t="str">
        <f t="shared" si="21"/>
        <v/>
      </c>
      <c r="EA15" s="273" t="str">
        <f t="shared" si="21"/>
        <v/>
      </c>
      <c r="EB15" s="273" t="str">
        <f t="shared" si="21"/>
        <v/>
      </c>
      <c r="EC15" s="273" t="str">
        <f t="shared" si="21"/>
        <v/>
      </c>
      <c r="ED15" s="273" t="str">
        <f t="shared" si="21"/>
        <v/>
      </c>
      <c r="EE15" s="274" t="str">
        <f t="shared" si="21"/>
        <v/>
      </c>
      <c r="EF15" s="273" t="str">
        <f t="shared" si="21"/>
        <v/>
      </c>
      <c r="EG15" s="273" t="str">
        <f t="shared" si="21"/>
        <v/>
      </c>
      <c r="EH15" s="273" t="str">
        <f t="shared" si="21"/>
        <v/>
      </c>
      <c r="EI15" s="273" t="str">
        <f t="shared" si="21"/>
        <v/>
      </c>
      <c r="EJ15" s="273" t="str">
        <f t="shared" si="22"/>
        <v/>
      </c>
      <c r="EK15" s="273" t="str">
        <f t="shared" si="22"/>
        <v/>
      </c>
      <c r="EL15" s="273" t="str">
        <f t="shared" si="22"/>
        <v/>
      </c>
      <c r="EM15" s="273" t="str">
        <f t="shared" si="22"/>
        <v/>
      </c>
      <c r="EN15" s="273" t="str">
        <f t="shared" si="22"/>
        <v/>
      </c>
      <c r="EO15" s="273" t="str">
        <f t="shared" si="22"/>
        <v/>
      </c>
      <c r="EP15" s="273" t="str">
        <f t="shared" si="22"/>
        <v/>
      </c>
      <c r="EQ15" s="274" t="str">
        <f t="shared" si="22"/>
        <v/>
      </c>
      <c r="ER15" s="273" t="str">
        <f t="shared" si="22"/>
        <v/>
      </c>
      <c r="ES15" s="273" t="str">
        <f t="shared" si="22"/>
        <v/>
      </c>
      <c r="ET15" s="273" t="str">
        <f t="shared" si="23"/>
        <v/>
      </c>
      <c r="EU15" s="273" t="str">
        <f t="shared" si="23"/>
        <v/>
      </c>
      <c r="EV15" s="273" t="str">
        <f t="shared" si="23"/>
        <v/>
      </c>
      <c r="EW15" s="273" t="str">
        <f t="shared" si="23"/>
        <v/>
      </c>
      <c r="EX15" s="273" t="str">
        <f t="shared" si="23"/>
        <v/>
      </c>
      <c r="EY15" s="273" t="str">
        <f t="shared" si="23"/>
        <v/>
      </c>
      <c r="EZ15" s="273" t="str">
        <f t="shared" si="23"/>
        <v/>
      </c>
      <c r="FA15" s="273" t="str">
        <f t="shared" si="23"/>
        <v/>
      </c>
      <c r="FB15" s="273" t="str">
        <f t="shared" si="23"/>
        <v/>
      </c>
      <c r="FC15" s="274" t="str">
        <f t="shared" si="23"/>
        <v/>
      </c>
      <c r="FD15" s="273" t="str">
        <f t="shared" si="24"/>
        <v/>
      </c>
      <c r="FE15" s="273" t="str">
        <f t="shared" si="24"/>
        <v/>
      </c>
      <c r="FF15" s="273" t="str">
        <f t="shared" si="24"/>
        <v/>
      </c>
      <c r="FG15" s="273" t="str">
        <f t="shared" si="24"/>
        <v/>
      </c>
      <c r="FH15" s="273" t="str">
        <f t="shared" si="24"/>
        <v/>
      </c>
      <c r="FI15" s="273" t="str">
        <f t="shared" si="24"/>
        <v/>
      </c>
      <c r="FJ15" s="273" t="str">
        <f t="shared" si="24"/>
        <v/>
      </c>
      <c r="FK15" s="273" t="str">
        <f t="shared" si="24"/>
        <v/>
      </c>
      <c r="FL15" s="273" t="str">
        <f t="shared" si="24"/>
        <v/>
      </c>
      <c r="FM15" s="273" t="str">
        <f t="shared" si="24"/>
        <v/>
      </c>
      <c r="FN15" s="273" t="str">
        <f t="shared" si="25"/>
        <v/>
      </c>
      <c r="FO15" s="274" t="str">
        <f t="shared" si="25"/>
        <v/>
      </c>
      <c r="FP15" s="273" t="str">
        <f t="shared" si="25"/>
        <v/>
      </c>
      <c r="FQ15" s="273" t="str">
        <f t="shared" si="25"/>
        <v/>
      </c>
      <c r="FR15" s="273" t="str">
        <f t="shared" si="25"/>
        <v/>
      </c>
      <c r="FS15" s="273" t="str">
        <f t="shared" si="25"/>
        <v/>
      </c>
      <c r="FT15" s="273" t="str">
        <f t="shared" si="25"/>
        <v/>
      </c>
      <c r="FU15" s="273" t="str">
        <f t="shared" si="25"/>
        <v/>
      </c>
      <c r="FV15" s="273" t="str">
        <f t="shared" si="25"/>
        <v/>
      </c>
      <c r="FW15" s="273" t="str">
        <f t="shared" si="25"/>
        <v/>
      </c>
      <c r="FX15" s="273" t="str">
        <f t="shared" si="25"/>
        <v/>
      </c>
      <c r="FY15" s="273" t="str">
        <f t="shared" si="25"/>
        <v/>
      </c>
      <c r="FZ15" s="273" t="str">
        <f t="shared" si="25"/>
        <v/>
      </c>
      <c r="GA15" s="275" t="str">
        <f t="shared" si="25"/>
        <v/>
      </c>
      <c r="GB15" s="276"/>
      <c r="GC15" s="276"/>
      <c r="GD15" s="276"/>
      <c r="GE15" s="276"/>
      <c r="GF15" s="276"/>
      <c r="GG15" s="276"/>
      <c r="GH15" s="276"/>
      <c r="GI15" s="276"/>
      <c r="GJ15" s="276"/>
      <c r="GK15" s="276"/>
      <c r="GL15" s="276"/>
      <c r="GM15" s="276"/>
      <c r="GN15" s="276"/>
      <c r="GQ15" s="263">
        <f t="shared" si="30"/>
        <v>0</v>
      </c>
    </row>
    <row r="16" spans="1:216">
      <c r="A16" s="263">
        <v>10</v>
      </c>
      <c r="B16" s="277" t="str">
        <f>IF('(7b) Project List'!F18&lt;&gt;"",'(7b) Project List'!F18," ")</f>
        <v xml:space="preserve"> </v>
      </c>
      <c r="C16" s="278" t="str">
        <f t="shared" si="0"/>
        <v xml:space="preserve"> </v>
      </c>
      <c r="D16" s="278" t="str">
        <f>IF('(7b) Project List'!G18&lt;&gt;"",'(7b) Project List'!G18,"")</f>
        <v/>
      </c>
      <c r="E16" s="278" t="str">
        <f t="shared" si="1"/>
        <v/>
      </c>
      <c r="F16" s="590" t="str">
        <f>IF('(7b) Project List'!B18="","",'P10-MCR'!I34)</f>
        <v/>
      </c>
      <c r="G16" s="591" t="str">
        <f>IF('(7b) Project List'!B18="","",'P10-MCR'!J34)</f>
        <v/>
      </c>
      <c r="H16" s="298"/>
      <c r="I16" s="1464" t="str">
        <f>IF(OR('10'!C30="",'10'!E30=""),"",DATEDIF('10'!C30,'10'!E30,"m"))</f>
        <v/>
      </c>
      <c r="J16" s="573" t="str">
        <f>IF('10'!C51="","",'10'!C51)</f>
        <v/>
      </c>
      <c r="K16" s="1469" t="str">
        <f>IF(EXP!I18="","",EXP!I18)</f>
        <v/>
      </c>
      <c r="L16" s="542" t="str">
        <f t="shared" si="2"/>
        <v/>
      </c>
      <c r="M16" s="542" t="str">
        <f t="shared" si="3"/>
        <v/>
      </c>
      <c r="N16" s="542" t="str">
        <f t="shared" si="26"/>
        <v/>
      </c>
      <c r="O16" s="573" t="str">
        <f>IF('10'!C47="","",'10'!C47)</f>
        <v/>
      </c>
      <c r="P16" s="662" t="str">
        <f>IF('10'!C52="","",'10'!C52)</f>
        <v/>
      </c>
      <c r="Q16" s="662" t="str">
        <f>IF('10'!C53="","",'10'!C53)</f>
        <v/>
      </c>
      <c r="R16" s="573" t="str">
        <f>IF('10'!C48="","",'10'!C48)</f>
        <v/>
      </c>
      <c r="S16" s="1618" t="str">
        <f t="shared" si="27"/>
        <v/>
      </c>
      <c r="T16" s="586" t="str">
        <f t="shared" si="28"/>
        <v/>
      </c>
      <c r="U16" s="539" t="str">
        <f t="shared" si="29"/>
        <v/>
      </c>
      <c r="V16" s="1465" t="str">
        <f t="shared" si="4"/>
        <v/>
      </c>
      <c r="W16" s="298"/>
      <c r="X16" s="608" t="str">
        <f>IF(EXP!H18="","",EXP!H18)</f>
        <v/>
      </c>
      <c r="Y16" s="608" t="str">
        <f>IF(EXP!D18="","",EXP!D18)</f>
        <v/>
      </c>
      <c r="Z16" s="279"/>
      <c r="AA16" s="279"/>
      <c r="AB16" s="279"/>
      <c r="AC16" s="280">
        <f>IF('(7b) Project List'!H18&lt;&gt;"",'(7b) Project List'!H18,"")</f>
        <v>0</v>
      </c>
      <c r="AD16" s="268">
        <f t="shared" si="5"/>
        <v>0</v>
      </c>
      <c r="AE16" s="281" t="str">
        <f>IF(ISERROR('(7c) Project Schedule'!K13),"",'(7c) Project Schedule'!K13)</f>
        <v/>
      </c>
      <c r="AF16" s="282" t="str">
        <f t="shared" si="6"/>
        <v xml:space="preserve"> </v>
      </c>
      <c r="AG16" s="283"/>
      <c r="AH16" s="282" t="str">
        <f t="shared" si="7"/>
        <v xml:space="preserve"> </v>
      </c>
      <c r="AI16" s="282" t="str">
        <f t="shared" si="8"/>
        <v xml:space="preserve"> </v>
      </c>
      <c r="AJ16" s="282" t="str">
        <f t="shared" si="9"/>
        <v xml:space="preserve"> </v>
      </c>
      <c r="AK16" s="1562" t="str">
        <f t="shared" si="10"/>
        <v xml:space="preserve"> </v>
      </c>
      <c r="AL16" s="1565" t="str">
        <f t="shared" si="11"/>
        <v/>
      </c>
      <c r="AN16" s="272" t="str">
        <f t="shared" si="12"/>
        <v/>
      </c>
      <c r="AO16" s="273" t="str">
        <f t="shared" si="12"/>
        <v/>
      </c>
      <c r="AP16" s="273" t="str">
        <f t="shared" si="12"/>
        <v/>
      </c>
      <c r="AQ16" s="273" t="str">
        <f t="shared" si="12"/>
        <v/>
      </c>
      <c r="AR16" s="273" t="str">
        <f t="shared" si="12"/>
        <v/>
      </c>
      <c r="AS16" s="273" t="str">
        <f t="shared" si="12"/>
        <v/>
      </c>
      <c r="AT16" s="273" t="str">
        <f t="shared" si="12"/>
        <v/>
      </c>
      <c r="AU16" s="273" t="str">
        <f t="shared" si="12"/>
        <v/>
      </c>
      <c r="AV16" s="273" t="str">
        <f t="shared" si="12"/>
        <v/>
      </c>
      <c r="AW16" s="273" t="str">
        <f t="shared" si="12"/>
        <v/>
      </c>
      <c r="AX16" s="273" t="str">
        <f t="shared" si="13"/>
        <v/>
      </c>
      <c r="AY16" s="274" t="str">
        <f t="shared" si="13"/>
        <v/>
      </c>
      <c r="AZ16" s="273" t="str">
        <f t="shared" si="13"/>
        <v/>
      </c>
      <c r="BA16" s="273" t="str">
        <f t="shared" si="13"/>
        <v/>
      </c>
      <c r="BB16" s="273" t="str">
        <f t="shared" si="13"/>
        <v/>
      </c>
      <c r="BC16" s="273" t="str">
        <f t="shared" si="13"/>
        <v/>
      </c>
      <c r="BD16" s="273" t="str">
        <f t="shared" si="13"/>
        <v/>
      </c>
      <c r="BE16" s="273" t="str">
        <f t="shared" si="13"/>
        <v/>
      </c>
      <c r="BF16" s="273" t="str">
        <f t="shared" si="13"/>
        <v/>
      </c>
      <c r="BG16" s="273" t="str">
        <f t="shared" si="13"/>
        <v/>
      </c>
      <c r="BH16" s="273" t="str">
        <f t="shared" si="14"/>
        <v/>
      </c>
      <c r="BI16" s="273" t="str">
        <f t="shared" si="14"/>
        <v/>
      </c>
      <c r="BJ16" s="273" t="str">
        <f t="shared" si="14"/>
        <v/>
      </c>
      <c r="BK16" s="274" t="str">
        <f t="shared" si="14"/>
        <v/>
      </c>
      <c r="BL16" s="273" t="str">
        <f t="shared" si="14"/>
        <v/>
      </c>
      <c r="BM16" s="273" t="str">
        <f t="shared" si="14"/>
        <v/>
      </c>
      <c r="BN16" s="273" t="str">
        <f t="shared" si="14"/>
        <v/>
      </c>
      <c r="BO16" s="273" t="str">
        <f t="shared" si="14"/>
        <v/>
      </c>
      <c r="BP16" s="273" t="str">
        <f t="shared" si="14"/>
        <v/>
      </c>
      <c r="BQ16" s="273" t="str">
        <f t="shared" si="14"/>
        <v/>
      </c>
      <c r="BR16" s="273" t="str">
        <f t="shared" si="15"/>
        <v/>
      </c>
      <c r="BS16" s="273" t="str">
        <f t="shared" si="15"/>
        <v/>
      </c>
      <c r="BT16" s="273" t="str">
        <f t="shared" si="15"/>
        <v/>
      </c>
      <c r="BU16" s="273" t="str">
        <f t="shared" si="15"/>
        <v/>
      </c>
      <c r="BV16" s="273" t="str">
        <f t="shared" si="15"/>
        <v/>
      </c>
      <c r="BW16" s="274" t="str">
        <f t="shared" si="15"/>
        <v/>
      </c>
      <c r="BX16" s="273" t="str">
        <f t="shared" si="15"/>
        <v/>
      </c>
      <c r="BY16" s="273" t="str">
        <f t="shared" si="15"/>
        <v/>
      </c>
      <c r="BZ16" s="273" t="str">
        <f t="shared" si="15"/>
        <v/>
      </c>
      <c r="CA16" s="273" t="str">
        <f t="shared" si="15"/>
        <v/>
      </c>
      <c r="CB16" s="273" t="str">
        <f t="shared" si="16"/>
        <v/>
      </c>
      <c r="CC16" s="273" t="str">
        <f t="shared" si="16"/>
        <v/>
      </c>
      <c r="CD16" s="273" t="str">
        <f t="shared" si="16"/>
        <v/>
      </c>
      <c r="CE16" s="273" t="str">
        <f t="shared" si="16"/>
        <v/>
      </c>
      <c r="CF16" s="273" t="str">
        <f t="shared" si="16"/>
        <v/>
      </c>
      <c r="CG16" s="273" t="str">
        <f t="shared" si="16"/>
        <v/>
      </c>
      <c r="CH16" s="273" t="str">
        <f t="shared" si="16"/>
        <v/>
      </c>
      <c r="CI16" s="274" t="str">
        <f t="shared" si="16"/>
        <v/>
      </c>
      <c r="CJ16" s="273" t="str">
        <f t="shared" si="16"/>
        <v/>
      </c>
      <c r="CK16" s="273" t="str">
        <f t="shared" si="16"/>
        <v/>
      </c>
      <c r="CL16" s="273" t="str">
        <f t="shared" si="17"/>
        <v/>
      </c>
      <c r="CM16" s="273" t="str">
        <f t="shared" si="17"/>
        <v/>
      </c>
      <c r="CN16" s="273" t="str">
        <f t="shared" si="17"/>
        <v/>
      </c>
      <c r="CO16" s="273" t="str">
        <f t="shared" si="17"/>
        <v/>
      </c>
      <c r="CP16" s="273" t="str">
        <f t="shared" si="17"/>
        <v/>
      </c>
      <c r="CQ16" s="273" t="str">
        <f t="shared" si="17"/>
        <v/>
      </c>
      <c r="CR16" s="273" t="str">
        <f t="shared" si="17"/>
        <v/>
      </c>
      <c r="CS16" s="273" t="str">
        <f t="shared" si="17"/>
        <v/>
      </c>
      <c r="CT16" s="273" t="str">
        <f t="shared" si="17"/>
        <v/>
      </c>
      <c r="CU16" s="274" t="str">
        <f t="shared" si="17"/>
        <v/>
      </c>
      <c r="CV16" s="273" t="str">
        <f t="shared" si="18"/>
        <v/>
      </c>
      <c r="CW16" s="273" t="str">
        <f t="shared" si="18"/>
        <v/>
      </c>
      <c r="CX16" s="273" t="str">
        <f t="shared" si="18"/>
        <v/>
      </c>
      <c r="CY16" s="273" t="str">
        <f t="shared" si="18"/>
        <v/>
      </c>
      <c r="CZ16" s="273" t="str">
        <f t="shared" si="18"/>
        <v/>
      </c>
      <c r="DA16" s="273" t="str">
        <f t="shared" si="18"/>
        <v/>
      </c>
      <c r="DB16" s="273" t="str">
        <f t="shared" si="18"/>
        <v/>
      </c>
      <c r="DC16" s="273" t="str">
        <f t="shared" si="18"/>
        <v/>
      </c>
      <c r="DD16" s="273" t="str">
        <f t="shared" si="18"/>
        <v/>
      </c>
      <c r="DE16" s="273" t="str">
        <f t="shared" si="18"/>
        <v/>
      </c>
      <c r="DF16" s="273" t="str">
        <f t="shared" si="19"/>
        <v/>
      </c>
      <c r="DG16" s="274" t="str">
        <f t="shared" si="19"/>
        <v/>
      </c>
      <c r="DH16" s="273" t="str">
        <f t="shared" si="19"/>
        <v/>
      </c>
      <c r="DI16" s="273" t="str">
        <f t="shared" si="19"/>
        <v/>
      </c>
      <c r="DJ16" s="273" t="str">
        <f t="shared" si="19"/>
        <v/>
      </c>
      <c r="DK16" s="273" t="str">
        <f t="shared" si="19"/>
        <v/>
      </c>
      <c r="DL16" s="273" t="str">
        <f t="shared" si="19"/>
        <v/>
      </c>
      <c r="DM16" s="273" t="str">
        <f t="shared" si="19"/>
        <v/>
      </c>
      <c r="DN16" s="273" t="str">
        <f t="shared" si="19"/>
        <v/>
      </c>
      <c r="DO16" s="273" t="str">
        <f t="shared" si="19"/>
        <v/>
      </c>
      <c r="DP16" s="273" t="str">
        <f t="shared" si="20"/>
        <v/>
      </c>
      <c r="DQ16" s="273" t="str">
        <f t="shared" si="20"/>
        <v/>
      </c>
      <c r="DR16" s="273" t="str">
        <f t="shared" si="20"/>
        <v/>
      </c>
      <c r="DS16" s="274" t="str">
        <f t="shared" si="20"/>
        <v/>
      </c>
      <c r="DT16" s="273" t="str">
        <f t="shared" si="20"/>
        <v/>
      </c>
      <c r="DU16" s="273" t="str">
        <f t="shared" si="20"/>
        <v/>
      </c>
      <c r="DV16" s="273" t="str">
        <f t="shared" si="20"/>
        <v/>
      </c>
      <c r="DW16" s="273" t="str">
        <f t="shared" si="20"/>
        <v/>
      </c>
      <c r="DX16" s="273" t="str">
        <f t="shared" si="20"/>
        <v/>
      </c>
      <c r="DY16" s="273" t="str">
        <f t="shared" si="20"/>
        <v/>
      </c>
      <c r="DZ16" s="273" t="str">
        <f t="shared" si="21"/>
        <v/>
      </c>
      <c r="EA16" s="273" t="str">
        <f t="shared" si="21"/>
        <v/>
      </c>
      <c r="EB16" s="273" t="str">
        <f t="shared" si="21"/>
        <v/>
      </c>
      <c r="EC16" s="273" t="str">
        <f t="shared" si="21"/>
        <v/>
      </c>
      <c r="ED16" s="273" t="str">
        <f t="shared" si="21"/>
        <v/>
      </c>
      <c r="EE16" s="274" t="str">
        <f t="shared" si="21"/>
        <v/>
      </c>
      <c r="EF16" s="273" t="str">
        <f t="shared" si="21"/>
        <v/>
      </c>
      <c r="EG16" s="273" t="str">
        <f t="shared" si="21"/>
        <v/>
      </c>
      <c r="EH16" s="273" t="str">
        <f t="shared" si="21"/>
        <v/>
      </c>
      <c r="EI16" s="273" t="str">
        <f t="shared" si="21"/>
        <v/>
      </c>
      <c r="EJ16" s="273" t="str">
        <f t="shared" si="22"/>
        <v/>
      </c>
      <c r="EK16" s="273" t="str">
        <f t="shared" si="22"/>
        <v/>
      </c>
      <c r="EL16" s="273" t="str">
        <f t="shared" si="22"/>
        <v/>
      </c>
      <c r="EM16" s="273" t="str">
        <f t="shared" si="22"/>
        <v/>
      </c>
      <c r="EN16" s="273" t="str">
        <f t="shared" si="22"/>
        <v/>
      </c>
      <c r="EO16" s="273" t="str">
        <f t="shared" si="22"/>
        <v/>
      </c>
      <c r="EP16" s="273" t="str">
        <f t="shared" si="22"/>
        <v/>
      </c>
      <c r="EQ16" s="274" t="str">
        <f t="shared" si="22"/>
        <v/>
      </c>
      <c r="ER16" s="273" t="str">
        <f t="shared" si="22"/>
        <v/>
      </c>
      <c r="ES16" s="273" t="str">
        <f t="shared" si="22"/>
        <v/>
      </c>
      <c r="ET16" s="273" t="str">
        <f t="shared" si="23"/>
        <v/>
      </c>
      <c r="EU16" s="273" t="str">
        <f t="shared" si="23"/>
        <v/>
      </c>
      <c r="EV16" s="273" t="str">
        <f t="shared" si="23"/>
        <v/>
      </c>
      <c r="EW16" s="273" t="str">
        <f t="shared" si="23"/>
        <v/>
      </c>
      <c r="EX16" s="273" t="str">
        <f t="shared" si="23"/>
        <v/>
      </c>
      <c r="EY16" s="273" t="str">
        <f t="shared" si="23"/>
        <v/>
      </c>
      <c r="EZ16" s="273" t="str">
        <f t="shared" si="23"/>
        <v/>
      </c>
      <c r="FA16" s="273" t="str">
        <f t="shared" si="23"/>
        <v/>
      </c>
      <c r="FB16" s="273" t="str">
        <f t="shared" si="23"/>
        <v/>
      </c>
      <c r="FC16" s="274" t="str">
        <f t="shared" si="23"/>
        <v/>
      </c>
      <c r="FD16" s="273" t="str">
        <f t="shared" si="24"/>
        <v/>
      </c>
      <c r="FE16" s="273" t="str">
        <f t="shared" si="24"/>
        <v/>
      </c>
      <c r="FF16" s="273" t="str">
        <f t="shared" si="24"/>
        <v/>
      </c>
      <c r="FG16" s="273" t="str">
        <f t="shared" si="24"/>
        <v/>
      </c>
      <c r="FH16" s="273" t="str">
        <f t="shared" si="24"/>
        <v/>
      </c>
      <c r="FI16" s="273" t="str">
        <f t="shared" si="24"/>
        <v/>
      </c>
      <c r="FJ16" s="273" t="str">
        <f t="shared" si="24"/>
        <v/>
      </c>
      <c r="FK16" s="273" t="str">
        <f t="shared" si="24"/>
        <v/>
      </c>
      <c r="FL16" s="273" t="str">
        <f t="shared" si="24"/>
        <v/>
      </c>
      <c r="FM16" s="273" t="str">
        <f t="shared" si="24"/>
        <v/>
      </c>
      <c r="FN16" s="273" t="str">
        <f t="shared" si="25"/>
        <v/>
      </c>
      <c r="FO16" s="274" t="str">
        <f t="shared" si="25"/>
        <v/>
      </c>
      <c r="FP16" s="273" t="str">
        <f t="shared" si="25"/>
        <v/>
      </c>
      <c r="FQ16" s="273" t="str">
        <f t="shared" si="25"/>
        <v/>
      </c>
      <c r="FR16" s="273" t="str">
        <f t="shared" si="25"/>
        <v/>
      </c>
      <c r="FS16" s="273" t="str">
        <f t="shared" si="25"/>
        <v/>
      </c>
      <c r="FT16" s="273" t="str">
        <f t="shared" si="25"/>
        <v/>
      </c>
      <c r="FU16" s="273" t="str">
        <f t="shared" si="25"/>
        <v/>
      </c>
      <c r="FV16" s="273" t="str">
        <f t="shared" si="25"/>
        <v/>
      </c>
      <c r="FW16" s="273" t="str">
        <f t="shared" si="25"/>
        <v/>
      </c>
      <c r="FX16" s="273" t="str">
        <f t="shared" si="25"/>
        <v/>
      </c>
      <c r="FY16" s="273" t="str">
        <f t="shared" si="25"/>
        <v/>
      </c>
      <c r="FZ16" s="273" t="str">
        <f t="shared" si="25"/>
        <v/>
      </c>
      <c r="GA16" s="275" t="str">
        <f t="shared" si="25"/>
        <v/>
      </c>
      <c r="GB16" s="276"/>
      <c r="GC16" s="276"/>
      <c r="GD16" s="276"/>
      <c r="GE16" s="276"/>
      <c r="GF16" s="276"/>
      <c r="GG16" s="276"/>
      <c r="GH16" s="276"/>
      <c r="GI16" s="276"/>
      <c r="GJ16" s="276"/>
      <c r="GK16" s="276"/>
      <c r="GL16" s="276"/>
      <c r="GM16" s="276"/>
      <c r="GN16" s="276"/>
      <c r="GQ16" s="263">
        <f t="shared" si="30"/>
        <v>0</v>
      </c>
    </row>
    <row r="17" spans="1:199">
      <c r="A17" s="263">
        <v>11</v>
      </c>
      <c r="B17" s="277" t="str">
        <f>IF('(7b) Project List'!F19&lt;&gt;"",'(7b) Project List'!F19," ")</f>
        <v xml:space="preserve"> </v>
      </c>
      <c r="C17" s="278" t="str">
        <f t="shared" si="0"/>
        <v xml:space="preserve"> </v>
      </c>
      <c r="D17" s="278" t="str">
        <f>IF('(7b) Project List'!G19&lt;&gt;"",'(7b) Project List'!G19,"")</f>
        <v/>
      </c>
      <c r="E17" s="278" t="str">
        <f t="shared" si="1"/>
        <v/>
      </c>
      <c r="F17" s="590" t="str">
        <f>IF('(7b) Project List'!B19="","",'P11-MCR'!I34)</f>
        <v/>
      </c>
      <c r="G17" s="591" t="str">
        <f>IF('(7b) Project List'!B19="","",'P11-MCR'!J34)</f>
        <v/>
      </c>
      <c r="H17" s="298"/>
      <c r="I17" s="1464" t="str">
        <f>IF(OR('11'!C30="",'11'!E30=""),"",DATEDIF('11'!C30,'11'!E30,"m"))</f>
        <v/>
      </c>
      <c r="J17" s="573" t="str">
        <f>IF('11'!C51="","",'11'!C51)</f>
        <v/>
      </c>
      <c r="K17" s="1469" t="str">
        <f>IF(EXP!I19="","",EXP!I19)</f>
        <v/>
      </c>
      <c r="L17" s="542" t="str">
        <f t="shared" si="2"/>
        <v/>
      </c>
      <c r="M17" s="542" t="str">
        <f t="shared" si="3"/>
        <v/>
      </c>
      <c r="N17" s="542" t="str">
        <f t="shared" si="26"/>
        <v/>
      </c>
      <c r="O17" s="573" t="str">
        <f>IF('11'!C47="","",'11'!C47)</f>
        <v/>
      </c>
      <c r="P17" s="662" t="str">
        <f>IF('11'!C52="","",'11'!C52)</f>
        <v/>
      </c>
      <c r="Q17" s="662" t="str">
        <f>IF('11'!C53="","",'11'!C53)</f>
        <v/>
      </c>
      <c r="R17" s="573" t="str">
        <f>IF('11'!C48="","",'11'!C48)</f>
        <v/>
      </c>
      <c r="S17" s="1618" t="str">
        <f t="shared" si="27"/>
        <v/>
      </c>
      <c r="T17" s="586" t="str">
        <f t="shared" si="28"/>
        <v/>
      </c>
      <c r="U17" s="539" t="str">
        <f t="shared" si="29"/>
        <v/>
      </c>
      <c r="V17" s="1465" t="str">
        <f t="shared" si="4"/>
        <v/>
      </c>
      <c r="W17" s="298"/>
      <c r="X17" s="608" t="str">
        <f>IF(EXP!H19="","",EXP!H19)</f>
        <v/>
      </c>
      <c r="Y17" s="608" t="str">
        <f>IF(EXP!D19="","",EXP!D19)</f>
        <v/>
      </c>
      <c r="Z17" s="279"/>
      <c r="AA17" s="279"/>
      <c r="AB17" s="279"/>
      <c r="AC17" s="280">
        <f>IF('(7b) Project List'!H19&lt;&gt;"",'(7b) Project List'!H19,"")</f>
        <v>0</v>
      </c>
      <c r="AD17" s="268">
        <f t="shared" si="5"/>
        <v>0</v>
      </c>
      <c r="AE17" s="281" t="str">
        <f>IF(ISERROR('(7c) Project Schedule'!K14),"",'(7c) Project Schedule'!K14)</f>
        <v/>
      </c>
      <c r="AF17" s="282" t="str">
        <f t="shared" si="6"/>
        <v xml:space="preserve"> </v>
      </c>
      <c r="AG17" s="283"/>
      <c r="AH17" s="282" t="str">
        <f t="shared" si="7"/>
        <v xml:space="preserve"> </v>
      </c>
      <c r="AI17" s="282" t="str">
        <f t="shared" si="8"/>
        <v xml:space="preserve"> </v>
      </c>
      <c r="AJ17" s="282" t="str">
        <f t="shared" si="9"/>
        <v xml:space="preserve"> </v>
      </c>
      <c r="AK17" s="1562" t="str">
        <f t="shared" si="10"/>
        <v xml:space="preserve"> </v>
      </c>
      <c r="AL17" s="1565" t="str">
        <f t="shared" si="11"/>
        <v/>
      </c>
      <c r="AN17" s="272" t="str">
        <f t="shared" ref="AN17:AW26" si="31">IF($D17&lt;&gt;"",IF(EOMONTH($D17,0)&gt;=AN$6,IF($B17&lt;=AN$6,$AC17,""),""),"")</f>
        <v/>
      </c>
      <c r="AO17" s="273" t="str">
        <f t="shared" si="31"/>
        <v/>
      </c>
      <c r="AP17" s="273" t="str">
        <f t="shared" si="31"/>
        <v/>
      </c>
      <c r="AQ17" s="273" t="str">
        <f t="shared" si="31"/>
        <v/>
      </c>
      <c r="AR17" s="273" t="str">
        <f t="shared" si="31"/>
        <v/>
      </c>
      <c r="AS17" s="273" t="str">
        <f t="shared" si="31"/>
        <v/>
      </c>
      <c r="AT17" s="273" t="str">
        <f t="shared" si="31"/>
        <v/>
      </c>
      <c r="AU17" s="273" t="str">
        <f t="shared" si="31"/>
        <v/>
      </c>
      <c r="AV17" s="273" t="str">
        <f t="shared" si="31"/>
        <v/>
      </c>
      <c r="AW17" s="273" t="str">
        <f t="shared" si="31"/>
        <v/>
      </c>
      <c r="AX17" s="273" t="str">
        <f t="shared" ref="AX17:BG26" si="32">IF($D17&lt;&gt;"",IF(EOMONTH($D17,0)&gt;=AX$6,IF($B17&lt;=AX$6,$AC17,""),""),"")</f>
        <v/>
      </c>
      <c r="AY17" s="274" t="str">
        <f t="shared" si="32"/>
        <v/>
      </c>
      <c r="AZ17" s="273" t="str">
        <f t="shared" si="32"/>
        <v/>
      </c>
      <c r="BA17" s="273" t="str">
        <f t="shared" si="32"/>
        <v/>
      </c>
      <c r="BB17" s="273" t="str">
        <f t="shared" si="32"/>
        <v/>
      </c>
      <c r="BC17" s="273" t="str">
        <f t="shared" si="32"/>
        <v/>
      </c>
      <c r="BD17" s="273" t="str">
        <f t="shared" si="32"/>
        <v/>
      </c>
      <c r="BE17" s="273" t="str">
        <f t="shared" si="32"/>
        <v/>
      </c>
      <c r="BF17" s="273" t="str">
        <f t="shared" si="32"/>
        <v/>
      </c>
      <c r="BG17" s="273" t="str">
        <f t="shared" si="32"/>
        <v/>
      </c>
      <c r="BH17" s="273" t="str">
        <f t="shared" ref="BH17:BQ26" si="33">IF($D17&lt;&gt;"",IF(EOMONTH($D17,0)&gt;=BH$6,IF($B17&lt;=BH$6,$AC17,""),""),"")</f>
        <v/>
      </c>
      <c r="BI17" s="273" t="str">
        <f t="shared" si="33"/>
        <v/>
      </c>
      <c r="BJ17" s="273" t="str">
        <f t="shared" si="33"/>
        <v/>
      </c>
      <c r="BK17" s="274" t="str">
        <f t="shared" si="33"/>
        <v/>
      </c>
      <c r="BL17" s="273" t="str">
        <f t="shared" si="33"/>
        <v/>
      </c>
      <c r="BM17" s="273" t="str">
        <f t="shared" si="33"/>
        <v/>
      </c>
      <c r="BN17" s="273" t="str">
        <f t="shared" si="33"/>
        <v/>
      </c>
      <c r="BO17" s="273" t="str">
        <f t="shared" si="33"/>
        <v/>
      </c>
      <c r="BP17" s="273" t="str">
        <f t="shared" si="33"/>
        <v/>
      </c>
      <c r="BQ17" s="273" t="str">
        <f t="shared" si="33"/>
        <v/>
      </c>
      <c r="BR17" s="273" t="str">
        <f t="shared" ref="BR17:CA26" si="34">IF($D17&lt;&gt;"",IF(EOMONTH($D17,0)&gt;=BR$6,IF($B17&lt;=BR$6,$AC17,""),""),"")</f>
        <v/>
      </c>
      <c r="BS17" s="273" t="str">
        <f t="shared" si="34"/>
        <v/>
      </c>
      <c r="BT17" s="273" t="str">
        <f t="shared" si="34"/>
        <v/>
      </c>
      <c r="BU17" s="273" t="str">
        <f t="shared" si="34"/>
        <v/>
      </c>
      <c r="BV17" s="273" t="str">
        <f t="shared" si="34"/>
        <v/>
      </c>
      <c r="BW17" s="274" t="str">
        <f t="shared" si="34"/>
        <v/>
      </c>
      <c r="BX17" s="273" t="str">
        <f t="shared" si="34"/>
        <v/>
      </c>
      <c r="BY17" s="273" t="str">
        <f t="shared" si="34"/>
        <v/>
      </c>
      <c r="BZ17" s="273" t="str">
        <f t="shared" si="34"/>
        <v/>
      </c>
      <c r="CA17" s="273" t="str">
        <f t="shared" si="34"/>
        <v/>
      </c>
      <c r="CB17" s="273" t="str">
        <f t="shared" ref="CB17:CK26" si="35">IF($D17&lt;&gt;"",IF(EOMONTH($D17,0)&gt;=CB$6,IF($B17&lt;=CB$6,$AC17,""),""),"")</f>
        <v/>
      </c>
      <c r="CC17" s="273" t="str">
        <f t="shared" si="35"/>
        <v/>
      </c>
      <c r="CD17" s="273" t="str">
        <f t="shared" si="35"/>
        <v/>
      </c>
      <c r="CE17" s="273" t="str">
        <f t="shared" si="35"/>
        <v/>
      </c>
      <c r="CF17" s="273" t="str">
        <f t="shared" si="35"/>
        <v/>
      </c>
      <c r="CG17" s="273" t="str">
        <f t="shared" si="35"/>
        <v/>
      </c>
      <c r="CH17" s="273" t="str">
        <f t="shared" si="35"/>
        <v/>
      </c>
      <c r="CI17" s="274" t="str">
        <f t="shared" si="35"/>
        <v/>
      </c>
      <c r="CJ17" s="273" t="str">
        <f t="shared" si="35"/>
        <v/>
      </c>
      <c r="CK17" s="273" t="str">
        <f t="shared" si="35"/>
        <v/>
      </c>
      <c r="CL17" s="273" t="str">
        <f t="shared" ref="CL17:CU26" si="36">IF($D17&lt;&gt;"",IF(EOMONTH($D17,0)&gt;=CL$6,IF($B17&lt;=CL$6,$AC17,""),""),"")</f>
        <v/>
      </c>
      <c r="CM17" s="273" t="str">
        <f t="shared" si="36"/>
        <v/>
      </c>
      <c r="CN17" s="273" t="str">
        <f t="shared" si="36"/>
        <v/>
      </c>
      <c r="CO17" s="273" t="str">
        <f t="shared" si="36"/>
        <v/>
      </c>
      <c r="CP17" s="273" t="str">
        <f t="shared" si="36"/>
        <v/>
      </c>
      <c r="CQ17" s="273" t="str">
        <f t="shared" si="36"/>
        <v/>
      </c>
      <c r="CR17" s="273" t="str">
        <f t="shared" si="36"/>
        <v/>
      </c>
      <c r="CS17" s="273" t="str">
        <f t="shared" si="36"/>
        <v/>
      </c>
      <c r="CT17" s="273" t="str">
        <f t="shared" si="36"/>
        <v/>
      </c>
      <c r="CU17" s="274" t="str">
        <f t="shared" si="36"/>
        <v/>
      </c>
      <c r="CV17" s="273" t="str">
        <f t="shared" ref="CV17:DE26" si="37">IF($D17&lt;&gt;"",IF(EOMONTH($D17,0)&gt;=CV$6,IF($B17&lt;=CV$6,$AC17,""),""),"")</f>
        <v/>
      </c>
      <c r="CW17" s="273" t="str">
        <f t="shared" si="37"/>
        <v/>
      </c>
      <c r="CX17" s="273" t="str">
        <f t="shared" si="37"/>
        <v/>
      </c>
      <c r="CY17" s="273" t="str">
        <f t="shared" si="37"/>
        <v/>
      </c>
      <c r="CZ17" s="273" t="str">
        <f t="shared" si="37"/>
        <v/>
      </c>
      <c r="DA17" s="273" t="str">
        <f t="shared" si="37"/>
        <v/>
      </c>
      <c r="DB17" s="273" t="str">
        <f t="shared" si="37"/>
        <v/>
      </c>
      <c r="DC17" s="273" t="str">
        <f t="shared" si="37"/>
        <v/>
      </c>
      <c r="DD17" s="273" t="str">
        <f t="shared" si="37"/>
        <v/>
      </c>
      <c r="DE17" s="273" t="str">
        <f t="shared" si="37"/>
        <v/>
      </c>
      <c r="DF17" s="273" t="str">
        <f t="shared" ref="DF17:DO26" si="38">IF($D17&lt;&gt;"",IF(EOMONTH($D17,0)&gt;=DF$6,IF($B17&lt;=DF$6,$AC17,""),""),"")</f>
        <v/>
      </c>
      <c r="DG17" s="274" t="str">
        <f t="shared" si="38"/>
        <v/>
      </c>
      <c r="DH17" s="273" t="str">
        <f t="shared" si="38"/>
        <v/>
      </c>
      <c r="DI17" s="273" t="str">
        <f t="shared" si="38"/>
        <v/>
      </c>
      <c r="DJ17" s="273" t="str">
        <f t="shared" si="38"/>
        <v/>
      </c>
      <c r="DK17" s="273" t="str">
        <f t="shared" si="38"/>
        <v/>
      </c>
      <c r="DL17" s="273" t="str">
        <f t="shared" si="38"/>
        <v/>
      </c>
      <c r="DM17" s="273" t="str">
        <f t="shared" si="38"/>
        <v/>
      </c>
      <c r="DN17" s="273" t="str">
        <f t="shared" si="38"/>
        <v/>
      </c>
      <c r="DO17" s="273" t="str">
        <f t="shared" si="38"/>
        <v/>
      </c>
      <c r="DP17" s="273" t="str">
        <f t="shared" ref="DP17:DY26" si="39">IF($D17&lt;&gt;"",IF(EOMONTH($D17,0)&gt;=DP$6,IF($B17&lt;=DP$6,$AC17,""),""),"")</f>
        <v/>
      </c>
      <c r="DQ17" s="273" t="str">
        <f t="shared" si="39"/>
        <v/>
      </c>
      <c r="DR17" s="273" t="str">
        <f t="shared" si="39"/>
        <v/>
      </c>
      <c r="DS17" s="274" t="str">
        <f t="shared" si="39"/>
        <v/>
      </c>
      <c r="DT17" s="273" t="str">
        <f t="shared" si="39"/>
        <v/>
      </c>
      <c r="DU17" s="273" t="str">
        <f t="shared" si="39"/>
        <v/>
      </c>
      <c r="DV17" s="273" t="str">
        <f t="shared" si="39"/>
        <v/>
      </c>
      <c r="DW17" s="273" t="str">
        <f t="shared" si="39"/>
        <v/>
      </c>
      <c r="DX17" s="273" t="str">
        <f t="shared" si="39"/>
        <v/>
      </c>
      <c r="DY17" s="273" t="str">
        <f t="shared" si="39"/>
        <v/>
      </c>
      <c r="DZ17" s="273" t="str">
        <f t="shared" ref="DZ17:EI26" si="40">IF($D17&lt;&gt;"",IF(EOMONTH($D17,0)&gt;=DZ$6,IF($B17&lt;=DZ$6,$AC17,""),""),"")</f>
        <v/>
      </c>
      <c r="EA17" s="273" t="str">
        <f t="shared" si="40"/>
        <v/>
      </c>
      <c r="EB17" s="273" t="str">
        <f t="shared" si="40"/>
        <v/>
      </c>
      <c r="EC17" s="273" t="str">
        <f t="shared" si="40"/>
        <v/>
      </c>
      <c r="ED17" s="273" t="str">
        <f t="shared" si="40"/>
        <v/>
      </c>
      <c r="EE17" s="274" t="str">
        <f t="shared" si="40"/>
        <v/>
      </c>
      <c r="EF17" s="273" t="str">
        <f t="shared" si="40"/>
        <v/>
      </c>
      <c r="EG17" s="273" t="str">
        <f t="shared" si="40"/>
        <v/>
      </c>
      <c r="EH17" s="273" t="str">
        <f t="shared" si="40"/>
        <v/>
      </c>
      <c r="EI17" s="273" t="str">
        <f t="shared" si="40"/>
        <v/>
      </c>
      <c r="EJ17" s="273" t="str">
        <f t="shared" ref="EJ17:ES26" si="41">IF($D17&lt;&gt;"",IF(EOMONTH($D17,0)&gt;=EJ$6,IF($B17&lt;=EJ$6,$AC17,""),""),"")</f>
        <v/>
      </c>
      <c r="EK17" s="273" t="str">
        <f t="shared" si="41"/>
        <v/>
      </c>
      <c r="EL17" s="273" t="str">
        <f t="shared" si="41"/>
        <v/>
      </c>
      <c r="EM17" s="273" t="str">
        <f t="shared" si="41"/>
        <v/>
      </c>
      <c r="EN17" s="273" t="str">
        <f t="shared" si="41"/>
        <v/>
      </c>
      <c r="EO17" s="273" t="str">
        <f t="shared" si="41"/>
        <v/>
      </c>
      <c r="EP17" s="273" t="str">
        <f t="shared" si="41"/>
        <v/>
      </c>
      <c r="EQ17" s="274" t="str">
        <f t="shared" si="41"/>
        <v/>
      </c>
      <c r="ER17" s="273" t="str">
        <f t="shared" si="41"/>
        <v/>
      </c>
      <c r="ES17" s="273" t="str">
        <f t="shared" si="41"/>
        <v/>
      </c>
      <c r="ET17" s="273" t="str">
        <f t="shared" ref="ET17:FC26" si="42">IF($D17&lt;&gt;"",IF(EOMONTH($D17,0)&gt;=ET$6,IF($B17&lt;=ET$6,$AC17,""),""),"")</f>
        <v/>
      </c>
      <c r="EU17" s="273" t="str">
        <f t="shared" si="42"/>
        <v/>
      </c>
      <c r="EV17" s="273" t="str">
        <f t="shared" si="42"/>
        <v/>
      </c>
      <c r="EW17" s="273" t="str">
        <f t="shared" si="42"/>
        <v/>
      </c>
      <c r="EX17" s="273" t="str">
        <f t="shared" si="42"/>
        <v/>
      </c>
      <c r="EY17" s="273" t="str">
        <f t="shared" si="42"/>
        <v/>
      </c>
      <c r="EZ17" s="273" t="str">
        <f t="shared" si="42"/>
        <v/>
      </c>
      <c r="FA17" s="273" t="str">
        <f t="shared" si="42"/>
        <v/>
      </c>
      <c r="FB17" s="273" t="str">
        <f t="shared" si="42"/>
        <v/>
      </c>
      <c r="FC17" s="274" t="str">
        <f t="shared" si="42"/>
        <v/>
      </c>
      <c r="FD17" s="273" t="str">
        <f t="shared" ref="FD17:FM26" si="43">IF($D17&lt;&gt;"",IF(EOMONTH($D17,0)&gt;=FD$6,IF($B17&lt;=FD$6,$AC17,""),""),"")</f>
        <v/>
      </c>
      <c r="FE17" s="273" t="str">
        <f t="shared" si="43"/>
        <v/>
      </c>
      <c r="FF17" s="273" t="str">
        <f t="shared" si="43"/>
        <v/>
      </c>
      <c r="FG17" s="273" t="str">
        <f t="shared" si="43"/>
        <v/>
      </c>
      <c r="FH17" s="273" t="str">
        <f t="shared" si="43"/>
        <v/>
      </c>
      <c r="FI17" s="273" t="str">
        <f t="shared" si="43"/>
        <v/>
      </c>
      <c r="FJ17" s="273" t="str">
        <f t="shared" si="43"/>
        <v/>
      </c>
      <c r="FK17" s="273" t="str">
        <f t="shared" si="43"/>
        <v/>
      </c>
      <c r="FL17" s="273" t="str">
        <f t="shared" si="43"/>
        <v/>
      </c>
      <c r="FM17" s="273" t="str">
        <f t="shared" si="43"/>
        <v/>
      </c>
      <c r="FN17" s="273" t="str">
        <f t="shared" ref="FN17:GA26" si="44">IF($D17&lt;&gt;"",IF(EOMONTH($D17,0)&gt;=FN$6,IF($B17&lt;=FN$6,$AC17,""),""),"")</f>
        <v/>
      </c>
      <c r="FO17" s="274" t="str">
        <f t="shared" si="44"/>
        <v/>
      </c>
      <c r="FP17" s="273" t="str">
        <f t="shared" si="44"/>
        <v/>
      </c>
      <c r="FQ17" s="273" t="str">
        <f t="shared" si="44"/>
        <v/>
      </c>
      <c r="FR17" s="273" t="str">
        <f t="shared" si="44"/>
        <v/>
      </c>
      <c r="FS17" s="273" t="str">
        <f t="shared" si="44"/>
        <v/>
      </c>
      <c r="FT17" s="273" t="str">
        <f t="shared" si="44"/>
        <v/>
      </c>
      <c r="FU17" s="273" t="str">
        <f t="shared" si="44"/>
        <v/>
      </c>
      <c r="FV17" s="273" t="str">
        <f t="shared" si="44"/>
        <v/>
      </c>
      <c r="FW17" s="273" t="str">
        <f t="shared" si="44"/>
        <v/>
      </c>
      <c r="FX17" s="273" t="str">
        <f t="shared" si="44"/>
        <v/>
      </c>
      <c r="FY17" s="273" t="str">
        <f t="shared" si="44"/>
        <v/>
      </c>
      <c r="FZ17" s="273" t="str">
        <f t="shared" si="44"/>
        <v/>
      </c>
      <c r="GA17" s="275" t="str">
        <f t="shared" si="44"/>
        <v/>
      </c>
      <c r="GB17" s="276"/>
      <c r="GC17" s="276"/>
      <c r="GD17" s="276"/>
      <c r="GE17" s="276"/>
      <c r="GF17" s="276"/>
      <c r="GG17" s="276"/>
      <c r="GH17" s="276"/>
      <c r="GI17" s="276"/>
      <c r="GJ17" s="276"/>
      <c r="GK17" s="276"/>
      <c r="GL17" s="276"/>
      <c r="GM17" s="276"/>
      <c r="GN17" s="276"/>
      <c r="GQ17" s="263">
        <f t="shared" si="30"/>
        <v>0</v>
      </c>
    </row>
    <row r="18" spans="1:199">
      <c r="A18" s="263">
        <v>12</v>
      </c>
      <c r="B18" s="277" t="str">
        <f>IF('(7b) Project List'!F20&lt;&gt;"",'(7b) Project List'!F20," ")</f>
        <v xml:space="preserve"> </v>
      </c>
      <c r="C18" s="278" t="str">
        <f t="shared" si="0"/>
        <v xml:space="preserve"> </v>
      </c>
      <c r="D18" s="278" t="str">
        <f>IF('(7b) Project List'!G20&lt;&gt;"",'(7b) Project List'!G20,"")</f>
        <v/>
      </c>
      <c r="E18" s="278" t="str">
        <f t="shared" si="1"/>
        <v/>
      </c>
      <c r="F18" s="590" t="str">
        <f>IF('(7b) Project List'!B20="","",'P12-MCR'!I34)</f>
        <v/>
      </c>
      <c r="G18" s="591" t="str">
        <f>IF('(7b) Project List'!B20="","",'P12-MCR'!J34)</f>
        <v/>
      </c>
      <c r="H18" s="298"/>
      <c r="I18" s="1464" t="str">
        <f>IF(OR('12'!C30="",'12'!E30=""),"",DATEDIF('12'!C30,'12'!E30,"m"))</f>
        <v/>
      </c>
      <c r="J18" s="573" t="str">
        <f>IF('12'!C51="","",'12'!C51)</f>
        <v/>
      </c>
      <c r="K18" s="1469" t="str">
        <f>IF(EXP!I20="","",EXP!I20)</f>
        <v/>
      </c>
      <c r="L18" s="542" t="str">
        <f t="shared" si="2"/>
        <v/>
      </c>
      <c r="M18" s="542" t="str">
        <f t="shared" si="3"/>
        <v/>
      </c>
      <c r="N18" s="542" t="str">
        <f t="shared" si="26"/>
        <v/>
      </c>
      <c r="O18" s="573" t="str">
        <f>IF('12'!C47="","",'12'!C47)</f>
        <v/>
      </c>
      <c r="P18" s="662" t="str">
        <f>IF('12'!C52="","",'12'!C52)</f>
        <v/>
      </c>
      <c r="Q18" s="662" t="str">
        <f>IF('12'!C53="","",'12'!C53)</f>
        <v/>
      </c>
      <c r="R18" s="573" t="str">
        <f>IF('12'!C48="","",'12'!C48)</f>
        <v/>
      </c>
      <c r="S18" s="1618" t="str">
        <f t="shared" si="27"/>
        <v/>
      </c>
      <c r="T18" s="586" t="str">
        <f t="shared" si="28"/>
        <v/>
      </c>
      <c r="U18" s="539" t="str">
        <f t="shared" si="29"/>
        <v/>
      </c>
      <c r="V18" s="1465" t="str">
        <f t="shared" si="4"/>
        <v/>
      </c>
      <c r="W18" s="298"/>
      <c r="X18" s="608" t="str">
        <f>IF(EXP!H20="","",EXP!H20)</f>
        <v/>
      </c>
      <c r="Y18" s="608" t="str">
        <f>IF(EXP!D20="","",EXP!D20)</f>
        <v/>
      </c>
      <c r="Z18" s="279"/>
      <c r="AA18" s="279"/>
      <c r="AB18" s="279"/>
      <c r="AC18" s="280">
        <f>IF('(7b) Project List'!H20&lt;&gt;"",'(7b) Project List'!H20,"")</f>
        <v>0</v>
      </c>
      <c r="AD18" s="268">
        <f t="shared" si="5"/>
        <v>0</v>
      </c>
      <c r="AE18" s="281" t="str">
        <f>IF(ISERROR('(7c) Project Schedule'!K15),"",'(7c) Project Schedule'!K15)</f>
        <v/>
      </c>
      <c r="AF18" s="282" t="str">
        <f t="shared" si="6"/>
        <v xml:space="preserve"> </v>
      </c>
      <c r="AG18" s="283"/>
      <c r="AH18" s="282" t="str">
        <f t="shared" si="7"/>
        <v xml:space="preserve"> </v>
      </c>
      <c r="AI18" s="282" t="str">
        <f t="shared" si="8"/>
        <v xml:space="preserve"> </v>
      </c>
      <c r="AJ18" s="282" t="str">
        <f t="shared" si="9"/>
        <v xml:space="preserve"> </v>
      </c>
      <c r="AK18" s="1562" t="str">
        <f t="shared" si="10"/>
        <v xml:space="preserve"> </v>
      </c>
      <c r="AL18" s="1565" t="str">
        <f t="shared" si="11"/>
        <v/>
      </c>
      <c r="AN18" s="272" t="str">
        <f t="shared" si="31"/>
        <v/>
      </c>
      <c r="AO18" s="273" t="str">
        <f t="shared" si="31"/>
        <v/>
      </c>
      <c r="AP18" s="273" t="str">
        <f t="shared" si="31"/>
        <v/>
      </c>
      <c r="AQ18" s="273" t="str">
        <f t="shared" si="31"/>
        <v/>
      </c>
      <c r="AR18" s="273" t="str">
        <f t="shared" si="31"/>
        <v/>
      </c>
      <c r="AS18" s="273" t="str">
        <f t="shared" si="31"/>
        <v/>
      </c>
      <c r="AT18" s="273" t="str">
        <f t="shared" si="31"/>
        <v/>
      </c>
      <c r="AU18" s="273" t="str">
        <f t="shared" si="31"/>
        <v/>
      </c>
      <c r="AV18" s="273" t="str">
        <f t="shared" si="31"/>
        <v/>
      </c>
      <c r="AW18" s="273" t="str">
        <f t="shared" si="31"/>
        <v/>
      </c>
      <c r="AX18" s="273" t="str">
        <f t="shared" si="32"/>
        <v/>
      </c>
      <c r="AY18" s="274" t="str">
        <f t="shared" si="32"/>
        <v/>
      </c>
      <c r="AZ18" s="273" t="str">
        <f t="shared" si="32"/>
        <v/>
      </c>
      <c r="BA18" s="273" t="str">
        <f t="shared" si="32"/>
        <v/>
      </c>
      <c r="BB18" s="273" t="str">
        <f t="shared" si="32"/>
        <v/>
      </c>
      <c r="BC18" s="273" t="str">
        <f t="shared" si="32"/>
        <v/>
      </c>
      <c r="BD18" s="273" t="str">
        <f t="shared" si="32"/>
        <v/>
      </c>
      <c r="BE18" s="273" t="str">
        <f t="shared" si="32"/>
        <v/>
      </c>
      <c r="BF18" s="273" t="str">
        <f t="shared" si="32"/>
        <v/>
      </c>
      <c r="BG18" s="273" t="str">
        <f t="shared" si="32"/>
        <v/>
      </c>
      <c r="BH18" s="273" t="str">
        <f t="shared" si="33"/>
        <v/>
      </c>
      <c r="BI18" s="273" t="str">
        <f t="shared" si="33"/>
        <v/>
      </c>
      <c r="BJ18" s="273" t="str">
        <f t="shared" si="33"/>
        <v/>
      </c>
      <c r="BK18" s="274" t="str">
        <f t="shared" si="33"/>
        <v/>
      </c>
      <c r="BL18" s="273" t="str">
        <f t="shared" si="33"/>
        <v/>
      </c>
      <c r="BM18" s="273" t="str">
        <f t="shared" si="33"/>
        <v/>
      </c>
      <c r="BN18" s="273" t="str">
        <f t="shared" si="33"/>
        <v/>
      </c>
      <c r="BO18" s="273" t="str">
        <f t="shared" si="33"/>
        <v/>
      </c>
      <c r="BP18" s="273" t="str">
        <f t="shared" si="33"/>
        <v/>
      </c>
      <c r="BQ18" s="273" t="str">
        <f t="shared" si="33"/>
        <v/>
      </c>
      <c r="BR18" s="273" t="str">
        <f t="shared" si="34"/>
        <v/>
      </c>
      <c r="BS18" s="273" t="str">
        <f t="shared" si="34"/>
        <v/>
      </c>
      <c r="BT18" s="273" t="str">
        <f t="shared" si="34"/>
        <v/>
      </c>
      <c r="BU18" s="273" t="str">
        <f t="shared" si="34"/>
        <v/>
      </c>
      <c r="BV18" s="273" t="str">
        <f t="shared" si="34"/>
        <v/>
      </c>
      <c r="BW18" s="274" t="str">
        <f t="shared" si="34"/>
        <v/>
      </c>
      <c r="BX18" s="273" t="str">
        <f t="shared" si="34"/>
        <v/>
      </c>
      <c r="BY18" s="273" t="str">
        <f t="shared" si="34"/>
        <v/>
      </c>
      <c r="BZ18" s="273" t="str">
        <f t="shared" si="34"/>
        <v/>
      </c>
      <c r="CA18" s="273" t="str">
        <f t="shared" si="34"/>
        <v/>
      </c>
      <c r="CB18" s="273" t="str">
        <f t="shared" si="35"/>
        <v/>
      </c>
      <c r="CC18" s="273" t="str">
        <f t="shared" si="35"/>
        <v/>
      </c>
      <c r="CD18" s="273" t="str">
        <f t="shared" si="35"/>
        <v/>
      </c>
      <c r="CE18" s="273" t="str">
        <f t="shared" si="35"/>
        <v/>
      </c>
      <c r="CF18" s="273" t="str">
        <f t="shared" si="35"/>
        <v/>
      </c>
      <c r="CG18" s="273" t="str">
        <f t="shared" si="35"/>
        <v/>
      </c>
      <c r="CH18" s="273" t="str">
        <f t="shared" si="35"/>
        <v/>
      </c>
      <c r="CI18" s="274" t="str">
        <f t="shared" si="35"/>
        <v/>
      </c>
      <c r="CJ18" s="273" t="str">
        <f t="shared" si="35"/>
        <v/>
      </c>
      <c r="CK18" s="273" t="str">
        <f t="shared" si="35"/>
        <v/>
      </c>
      <c r="CL18" s="273" t="str">
        <f t="shared" si="36"/>
        <v/>
      </c>
      <c r="CM18" s="273" t="str">
        <f t="shared" si="36"/>
        <v/>
      </c>
      <c r="CN18" s="273" t="str">
        <f t="shared" si="36"/>
        <v/>
      </c>
      <c r="CO18" s="273" t="str">
        <f t="shared" si="36"/>
        <v/>
      </c>
      <c r="CP18" s="273" t="str">
        <f t="shared" si="36"/>
        <v/>
      </c>
      <c r="CQ18" s="273" t="str">
        <f t="shared" si="36"/>
        <v/>
      </c>
      <c r="CR18" s="273" t="str">
        <f t="shared" si="36"/>
        <v/>
      </c>
      <c r="CS18" s="273" t="str">
        <f t="shared" si="36"/>
        <v/>
      </c>
      <c r="CT18" s="273" t="str">
        <f t="shared" si="36"/>
        <v/>
      </c>
      <c r="CU18" s="274" t="str">
        <f t="shared" si="36"/>
        <v/>
      </c>
      <c r="CV18" s="273" t="str">
        <f t="shared" si="37"/>
        <v/>
      </c>
      <c r="CW18" s="273" t="str">
        <f t="shared" si="37"/>
        <v/>
      </c>
      <c r="CX18" s="273" t="str">
        <f t="shared" si="37"/>
        <v/>
      </c>
      <c r="CY18" s="273" t="str">
        <f t="shared" si="37"/>
        <v/>
      </c>
      <c r="CZ18" s="273" t="str">
        <f t="shared" si="37"/>
        <v/>
      </c>
      <c r="DA18" s="273" t="str">
        <f t="shared" si="37"/>
        <v/>
      </c>
      <c r="DB18" s="273" t="str">
        <f t="shared" si="37"/>
        <v/>
      </c>
      <c r="DC18" s="273" t="str">
        <f t="shared" si="37"/>
        <v/>
      </c>
      <c r="DD18" s="273" t="str">
        <f t="shared" si="37"/>
        <v/>
      </c>
      <c r="DE18" s="273" t="str">
        <f t="shared" si="37"/>
        <v/>
      </c>
      <c r="DF18" s="273" t="str">
        <f t="shared" si="38"/>
        <v/>
      </c>
      <c r="DG18" s="274" t="str">
        <f t="shared" si="38"/>
        <v/>
      </c>
      <c r="DH18" s="273" t="str">
        <f t="shared" si="38"/>
        <v/>
      </c>
      <c r="DI18" s="273" t="str">
        <f t="shared" si="38"/>
        <v/>
      </c>
      <c r="DJ18" s="273" t="str">
        <f t="shared" si="38"/>
        <v/>
      </c>
      <c r="DK18" s="273" t="str">
        <f t="shared" si="38"/>
        <v/>
      </c>
      <c r="DL18" s="273" t="str">
        <f t="shared" si="38"/>
        <v/>
      </c>
      <c r="DM18" s="273" t="str">
        <f t="shared" si="38"/>
        <v/>
      </c>
      <c r="DN18" s="273" t="str">
        <f t="shared" si="38"/>
        <v/>
      </c>
      <c r="DO18" s="273" t="str">
        <f t="shared" si="38"/>
        <v/>
      </c>
      <c r="DP18" s="273" t="str">
        <f t="shared" si="39"/>
        <v/>
      </c>
      <c r="DQ18" s="273" t="str">
        <f t="shared" si="39"/>
        <v/>
      </c>
      <c r="DR18" s="273" t="str">
        <f t="shared" si="39"/>
        <v/>
      </c>
      <c r="DS18" s="274" t="str">
        <f t="shared" si="39"/>
        <v/>
      </c>
      <c r="DT18" s="273" t="str">
        <f t="shared" si="39"/>
        <v/>
      </c>
      <c r="DU18" s="273" t="str">
        <f t="shared" si="39"/>
        <v/>
      </c>
      <c r="DV18" s="273" t="str">
        <f t="shared" si="39"/>
        <v/>
      </c>
      <c r="DW18" s="273" t="str">
        <f t="shared" si="39"/>
        <v/>
      </c>
      <c r="DX18" s="273" t="str">
        <f t="shared" si="39"/>
        <v/>
      </c>
      <c r="DY18" s="273" t="str">
        <f t="shared" si="39"/>
        <v/>
      </c>
      <c r="DZ18" s="273" t="str">
        <f t="shared" si="40"/>
        <v/>
      </c>
      <c r="EA18" s="273" t="str">
        <f t="shared" si="40"/>
        <v/>
      </c>
      <c r="EB18" s="273" t="str">
        <f t="shared" si="40"/>
        <v/>
      </c>
      <c r="EC18" s="273" t="str">
        <f t="shared" si="40"/>
        <v/>
      </c>
      <c r="ED18" s="273" t="str">
        <f t="shared" si="40"/>
        <v/>
      </c>
      <c r="EE18" s="274" t="str">
        <f t="shared" si="40"/>
        <v/>
      </c>
      <c r="EF18" s="273" t="str">
        <f t="shared" si="40"/>
        <v/>
      </c>
      <c r="EG18" s="273" t="str">
        <f t="shared" si="40"/>
        <v/>
      </c>
      <c r="EH18" s="273" t="str">
        <f t="shared" si="40"/>
        <v/>
      </c>
      <c r="EI18" s="273" t="str">
        <f t="shared" si="40"/>
        <v/>
      </c>
      <c r="EJ18" s="273" t="str">
        <f t="shared" si="41"/>
        <v/>
      </c>
      <c r="EK18" s="273" t="str">
        <f t="shared" si="41"/>
        <v/>
      </c>
      <c r="EL18" s="273" t="str">
        <f t="shared" si="41"/>
        <v/>
      </c>
      <c r="EM18" s="273" t="str">
        <f t="shared" si="41"/>
        <v/>
      </c>
      <c r="EN18" s="273" t="str">
        <f t="shared" si="41"/>
        <v/>
      </c>
      <c r="EO18" s="273" t="str">
        <f t="shared" si="41"/>
        <v/>
      </c>
      <c r="EP18" s="273" t="str">
        <f t="shared" si="41"/>
        <v/>
      </c>
      <c r="EQ18" s="274" t="str">
        <f t="shared" si="41"/>
        <v/>
      </c>
      <c r="ER18" s="273" t="str">
        <f t="shared" si="41"/>
        <v/>
      </c>
      <c r="ES18" s="273" t="str">
        <f t="shared" si="41"/>
        <v/>
      </c>
      <c r="ET18" s="273" t="str">
        <f t="shared" si="42"/>
        <v/>
      </c>
      <c r="EU18" s="273" t="str">
        <f t="shared" si="42"/>
        <v/>
      </c>
      <c r="EV18" s="273" t="str">
        <f t="shared" si="42"/>
        <v/>
      </c>
      <c r="EW18" s="273" t="str">
        <f t="shared" si="42"/>
        <v/>
      </c>
      <c r="EX18" s="273" t="str">
        <f t="shared" si="42"/>
        <v/>
      </c>
      <c r="EY18" s="273" t="str">
        <f t="shared" si="42"/>
        <v/>
      </c>
      <c r="EZ18" s="273" t="str">
        <f t="shared" si="42"/>
        <v/>
      </c>
      <c r="FA18" s="273" t="str">
        <f t="shared" si="42"/>
        <v/>
      </c>
      <c r="FB18" s="273" t="str">
        <f t="shared" si="42"/>
        <v/>
      </c>
      <c r="FC18" s="274" t="str">
        <f t="shared" si="42"/>
        <v/>
      </c>
      <c r="FD18" s="273" t="str">
        <f t="shared" si="43"/>
        <v/>
      </c>
      <c r="FE18" s="273" t="str">
        <f t="shared" si="43"/>
        <v/>
      </c>
      <c r="FF18" s="273" t="str">
        <f t="shared" si="43"/>
        <v/>
      </c>
      <c r="FG18" s="273" t="str">
        <f t="shared" si="43"/>
        <v/>
      </c>
      <c r="FH18" s="273" t="str">
        <f t="shared" si="43"/>
        <v/>
      </c>
      <c r="FI18" s="273" t="str">
        <f t="shared" si="43"/>
        <v/>
      </c>
      <c r="FJ18" s="273" t="str">
        <f t="shared" si="43"/>
        <v/>
      </c>
      <c r="FK18" s="273" t="str">
        <f t="shared" si="43"/>
        <v/>
      </c>
      <c r="FL18" s="273" t="str">
        <f t="shared" si="43"/>
        <v/>
      </c>
      <c r="FM18" s="273" t="str">
        <f t="shared" si="43"/>
        <v/>
      </c>
      <c r="FN18" s="273" t="str">
        <f t="shared" si="44"/>
        <v/>
      </c>
      <c r="FO18" s="274" t="str">
        <f t="shared" si="44"/>
        <v/>
      </c>
      <c r="FP18" s="273" t="str">
        <f t="shared" si="44"/>
        <v/>
      </c>
      <c r="FQ18" s="273" t="str">
        <f t="shared" si="44"/>
        <v/>
      </c>
      <c r="FR18" s="273" t="str">
        <f t="shared" si="44"/>
        <v/>
      </c>
      <c r="FS18" s="273" t="str">
        <f t="shared" si="44"/>
        <v/>
      </c>
      <c r="FT18" s="273" t="str">
        <f t="shared" si="44"/>
        <v/>
      </c>
      <c r="FU18" s="273" t="str">
        <f t="shared" si="44"/>
        <v/>
      </c>
      <c r="FV18" s="273" t="str">
        <f t="shared" si="44"/>
        <v/>
      </c>
      <c r="FW18" s="273" t="str">
        <f t="shared" si="44"/>
        <v/>
      </c>
      <c r="FX18" s="273" t="str">
        <f t="shared" si="44"/>
        <v/>
      </c>
      <c r="FY18" s="273" t="str">
        <f t="shared" si="44"/>
        <v/>
      </c>
      <c r="FZ18" s="273" t="str">
        <f t="shared" si="44"/>
        <v/>
      </c>
      <c r="GA18" s="275" t="str">
        <f t="shared" si="44"/>
        <v/>
      </c>
      <c r="GB18" s="276"/>
      <c r="GC18" s="276"/>
      <c r="GD18" s="276"/>
      <c r="GE18" s="276"/>
      <c r="GF18" s="276"/>
      <c r="GG18" s="276"/>
      <c r="GH18" s="276"/>
      <c r="GI18" s="276"/>
      <c r="GJ18" s="276"/>
      <c r="GK18" s="276"/>
      <c r="GL18" s="276"/>
      <c r="GM18" s="276"/>
      <c r="GN18" s="276"/>
      <c r="GQ18" s="263">
        <f t="shared" si="30"/>
        <v>0</v>
      </c>
    </row>
    <row r="19" spans="1:199">
      <c r="A19" s="263">
        <v>13</v>
      </c>
      <c r="B19" s="277" t="str">
        <f>IF('(7b) Project List'!F21&lt;&gt;"",'(7b) Project List'!F21," ")</f>
        <v xml:space="preserve"> </v>
      </c>
      <c r="C19" s="278" t="str">
        <f t="shared" si="0"/>
        <v xml:space="preserve"> </v>
      </c>
      <c r="D19" s="278" t="str">
        <f>IF('(7b) Project List'!G21&lt;&gt;"",'(7b) Project List'!G21,"")</f>
        <v/>
      </c>
      <c r="E19" s="278" t="str">
        <f t="shared" si="1"/>
        <v/>
      </c>
      <c r="F19" s="590" t="str">
        <f>IF('(7b) Project List'!B21="","",'P13-MCR'!I34)</f>
        <v/>
      </c>
      <c r="G19" s="591" t="str">
        <f>IF('(7b) Project List'!B21="","",'P13-MCR'!J34)</f>
        <v/>
      </c>
      <c r="H19" s="298"/>
      <c r="I19" s="1464" t="str">
        <f>IF(OR('13'!C30="",'13'!E30=""),"",DATEDIF('13'!C30,'13'!E30,"m"))</f>
        <v/>
      </c>
      <c r="J19" s="573" t="str">
        <f>IF('13'!C51="","",'13'!C51)</f>
        <v/>
      </c>
      <c r="K19" s="1469" t="str">
        <f>IF(EXP!I21="","",EXP!I21)</f>
        <v/>
      </c>
      <c r="L19" s="542" t="str">
        <f t="shared" si="2"/>
        <v/>
      </c>
      <c r="M19" s="542" t="str">
        <f t="shared" si="3"/>
        <v/>
      </c>
      <c r="N19" s="542" t="str">
        <f t="shared" si="26"/>
        <v/>
      </c>
      <c r="O19" s="573" t="str">
        <f>IF('13'!C47="","",'13'!C47)</f>
        <v/>
      </c>
      <c r="P19" s="662" t="str">
        <f>IF('13'!C52="","",'13'!C52)</f>
        <v/>
      </c>
      <c r="Q19" s="662" t="str">
        <f>IF('13'!C53="","",'13'!C53)</f>
        <v/>
      </c>
      <c r="R19" s="573" t="str">
        <f>IF('13'!C48="","",'13'!C48)</f>
        <v/>
      </c>
      <c r="S19" s="1618" t="str">
        <f t="shared" si="27"/>
        <v/>
      </c>
      <c r="T19" s="586" t="str">
        <f t="shared" si="28"/>
        <v/>
      </c>
      <c r="U19" s="539" t="str">
        <f t="shared" si="29"/>
        <v/>
      </c>
      <c r="V19" s="1465" t="str">
        <f t="shared" si="4"/>
        <v/>
      </c>
      <c r="W19" s="298"/>
      <c r="X19" s="608" t="str">
        <f>IF(EXP!H21="","",EXP!H21)</f>
        <v/>
      </c>
      <c r="Y19" s="608" t="str">
        <f>IF(EXP!D21="","",EXP!D21)</f>
        <v/>
      </c>
      <c r="Z19" s="279"/>
      <c r="AA19" s="279"/>
      <c r="AB19" s="279"/>
      <c r="AC19" s="280">
        <f>IF('(7b) Project List'!H21&lt;&gt;"",'(7b) Project List'!H21,"")</f>
        <v>0</v>
      </c>
      <c r="AD19" s="268">
        <f t="shared" si="5"/>
        <v>0</v>
      </c>
      <c r="AE19" s="281" t="str">
        <f>IF(ISERROR('(7c) Project Schedule'!K16),"",'(7c) Project Schedule'!K16)</f>
        <v/>
      </c>
      <c r="AF19" s="282" t="str">
        <f t="shared" si="6"/>
        <v xml:space="preserve"> </v>
      </c>
      <c r="AG19" s="283"/>
      <c r="AH19" s="282" t="str">
        <f t="shared" si="7"/>
        <v xml:space="preserve"> </v>
      </c>
      <c r="AI19" s="282" t="str">
        <f t="shared" si="8"/>
        <v xml:space="preserve"> </v>
      </c>
      <c r="AJ19" s="282" t="str">
        <f t="shared" si="9"/>
        <v xml:space="preserve"> </v>
      </c>
      <c r="AK19" s="1562" t="str">
        <f t="shared" si="10"/>
        <v xml:space="preserve"> </v>
      </c>
      <c r="AL19" s="1565" t="str">
        <f t="shared" si="11"/>
        <v/>
      </c>
      <c r="AN19" s="272" t="str">
        <f t="shared" si="31"/>
        <v/>
      </c>
      <c r="AO19" s="273" t="str">
        <f t="shared" si="31"/>
        <v/>
      </c>
      <c r="AP19" s="273" t="str">
        <f t="shared" si="31"/>
        <v/>
      </c>
      <c r="AQ19" s="273" t="str">
        <f t="shared" si="31"/>
        <v/>
      </c>
      <c r="AR19" s="273" t="str">
        <f t="shared" si="31"/>
        <v/>
      </c>
      <c r="AS19" s="273" t="str">
        <f t="shared" si="31"/>
        <v/>
      </c>
      <c r="AT19" s="273" t="str">
        <f t="shared" si="31"/>
        <v/>
      </c>
      <c r="AU19" s="273" t="str">
        <f t="shared" si="31"/>
        <v/>
      </c>
      <c r="AV19" s="273" t="str">
        <f t="shared" si="31"/>
        <v/>
      </c>
      <c r="AW19" s="273" t="str">
        <f t="shared" si="31"/>
        <v/>
      </c>
      <c r="AX19" s="273" t="str">
        <f t="shared" si="32"/>
        <v/>
      </c>
      <c r="AY19" s="274" t="str">
        <f t="shared" si="32"/>
        <v/>
      </c>
      <c r="AZ19" s="273" t="str">
        <f t="shared" si="32"/>
        <v/>
      </c>
      <c r="BA19" s="273" t="str">
        <f t="shared" si="32"/>
        <v/>
      </c>
      <c r="BB19" s="273" t="str">
        <f t="shared" si="32"/>
        <v/>
      </c>
      <c r="BC19" s="273" t="str">
        <f t="shared" si="32"/>
        <v/>
      </c>
      <c r="BD19" s="273" t="str">
        <f t="shared" si="32"/>
        <v/>
      </c>
      <c r="BE19" s="273" t="str">
        <f t="shared" si="32"/>
        <v/>
      </c>
      <c r="BF19" s="273" t="str">
        <f t="shared" si="32"/>
        <v/>
      </c>
      <c r="BG19" s="273" t="str">
        <f t="shared" si="32"/>
        <v/>
      </c>
      <c r="BH19" s="273" t="str">
        <f t="shared" si="33"/>
        <v/>
      </c>
      <c r="BI19" s="273" t="str">
        <f t="shared" si="33"/>
        <v/>
      </c>
      <c r="BJ19" s="273" t="str">
        <f t="shared" si="33"/>
        <v/>
      </c>
      <c r="BK19" s="274" t="str">
        <f t="shared" si="33"/>
        <v/>
      </c>
      <c r="BL19" s="273" t="str">
        <f t="shared" si="33"/>
        <v/>
      </c>
      <c r="BM19" s="273" t="str">
        <f t="shared" si="33"/>
        <v/>
      </c>
      <c r="BN19" s="273" t="str">
        <f t="shared" si="33"/>
        <v/>
      </c>
      <c r="BO19" s="273" t="str">
        <f t="shared" si="33"/>
        <v/>
      </c>
      <c r="BP19" s="273" t="str">
        <f t="shared" si="33"/>
        <v/>
      </c>
      <c r="BQ19" s="273" t="str">
        <f t="shared" si="33"/>
        <v/>
      </c>
      <c r="BR19" s="273" t="str">
        <f t="shared" si="34"/>
        <v/>
      </c>
      <c r="BS19" s="273" t="str">
        <f t="shared" si="34"/>
        <v/>
      </c>
      <c r="BT19" s="273" t="str">
        <f t="shared" si="34"/>
        <v/>
      </c>
      <c r="BU19" s="273" t="str">
        <f t="shared" si="34"/>
        <v/>
      </c>
      <c r="BV19" s="273" t="str">
        <f t="shared" si="34"/>
        <v/>
      </c>
      <c r="BW19" s="274" t="str">
        <f t="shared" si="34"/>
        <v/>
      </c>
      <c r="BX19" s="273" t="str">
        <f t="shared" si="34"/>
        <v/>
      </c>
      <c r="BY19" s="273" t="str">
        <f t="shared" si="34"/>
        <v/>
      </c>
      <c r="BZ19" s="273" t="str">
        <f t="shared" si="34"/>
        <v/>
      </c>
      <c r="CA19" s="273" t="str">
        <f t="shared" si="34"/>
        <v/>
      </c>
      <c r="CB19" s="273" t="str">
        <f t="shared" si="35"/>
        <v/>
      </c>
      <c r="CC19" s="273" t="str">
        <f t="shared" si="35"/>
        <v/>
      </c>
      <c r="CD19" s="273" t="str">
        <f t="shared" si="35"/>
        <v/>
      </c>
      <c r="CE19" s="273" t="str">
        <f t="shared" si="35"/>
        <v/>
      </c>
      <c r="CF19" s="273" t="str">
        <f t="shared" si="35"/>
        <v/>
      </c>
      <c r="CG19" s="273" t="str">
        <f t="shared" si="35"/>
        <v/>
      </c>
      <c r="CH19" s="273" t="str">
        <f t="shared" si="35"/>
        <v/>
      </c>
      <c r="CI19" s="274" t="str">
        <f t="shared" si="35"/>
        <v/>
      </c>
      <c r="CJ19" s="273" t="str">
        <f t="shared" si="35"/>
        <v/>
      </c>
      <c r="CK19" s="273" t="str">
        <f t="shared" si="35"/>
        <v/>
      </c>
      <c r="CL19" s="273" t="str">
        <f t="shared" si="36"/>
        <v/>
      </c>
      <c r="CM19" s="273" t="str">
        <f t="shared" si="36"/>
        <v/>
      </c>
      <c r="CN19" s="273" t="str">
        <f t="shared" si="36"/>
        <v/>
      </c>
      <c r="CO19" s="273" t="str">
        <f t="shared" si="36"/>
        <v/>
      </c>
      <c r="CP19" s="273" t="str">
        <f t="shared" si="36"/>
        <v/>
      </c>
      <c r="CQ19" s="273" t="str">
        <f t="shared" si="36"/>
        <v/>
      </c>
      <c r="CR19" s="273" t="str">
        <f t="shared" si="36"/>
        <v/>
      </c>
      <c r="CS19" s="273" t="str">
        <f t="shared" si="36"/>
        <v/>
      </c>
      <c r="CT19" s="273" t="str">
        <f t="shared" si="36"/>
        <v/>
      </c>
      <c r="CU19" s="274" t="str">
        <f t="shared" si="36"/>
        <v/>
      </c>
      <c r="CV19" s="273" t="str">
        <f t="shared" si="37"/>
        <v/>
      </c>
      <c r="CW19" s="273" t="str">
        <f t="shared" si="37"/>
        <v/>
      </c>
      <c r="CX19" s="273" t="str">
        <f t="shared" si="37"/>
        <v/>
      </c>
      <c r="CY19" s="273" t="str">
        <f t="shared" si="37"/>
        <v/>
      </c>
      <c r="CZ19" s="273" t="str">
        <f t="shared" si="37"/>
        <v/>
      </c>
      <c r="DA19" s="273" t="str">
        <f t="shared" si="37"/>
        <v/>
      </c>
      <c r="DB19" s="273" t="str">
        <f t="shared" si="37"/>
        <v/>
      </c>
      <c r="DC19" s="273" t="str">
        <f t="shared" si="37"/>
        <v/>
      </c>
      <c r="DD19" s="273" t="str">
        <f t="shared" si="37"/>
        <v/>
      </c>
      <c r="DE19" s="273" t="str">
        <f t="shared" si="37"/>
        <v/>
      </c>
      <c r="DF19" s="273" t="str">
        <f t="shared" si="38"/>
        <v/>
      </c>
      <c r="DG19" s="274" t="str">
        <f t="shared" si="38"/>
        <v/>
      </c>
      <c r="DH19" s="273" t="str">
        <f t="shared" si="38"/>
        <v/>
      </c>
      <c r="DI19" s="273" t="str">
        <f t="shared" si="38"/>
        <v/>
      </c>
      <c r="DJ19" s="273" t="str">
        <f t="shared" si="38"/>
        <v/>
      </c>
      <c r="DK19" s="273" t="str">
        <f t="shared" si="38"/>
        <v/>
      </c>
      <c r="DL19" s="273" t="str">
        <f t="shared" si="38"/>
        <v/>
      </c>
      <c r="DM19" s="273" t="str">
        <f t="shared" si="38"/>
        <v/>
      </c>
      <c r="DN19" s="273" t="str">
        <f t="shared" si="38"/>
        <v/>
      </c>
      <c r="DO19" s="273" t="str">
        <f t="shared" si="38"/>
        <v/>
      </c>
      <c r="DP19" s="273" t="str">
        <f t="shared" si="39"/>
        <v/>
      </c>
      <c r="DQ19" s="273" t="str">
        <f t="shared" si="39"/>
        <v/>
      </c>
      <c r="DR19" s="273" t="str">
        <f t="shared" si="39"/>
        <v/>
      </c>
      <c r="DS19" s="274" t="str">
        <f t="shared" si="39"/>
        <v/>
      </c>
      <c r="DT19" s="273" t="str">
        <f t="shared" si="39"/>
        <v/>
      </c>
      <c r="DU19" s="273" t="str">
        <f t="shared" si="39"/>
        <v/>
      </c>
      <c r="DV19" s="273" t="str">
        <f t="shared" si="39"/>
        <v/>
      </c>
      <c r="DW19" s="273" t="str">
        <f t="shared" si="39"/>
        <v/>
      </c>
      <c r="DX19" s="273" t="str">
        <f t="shared" si="39"/>
        <v/>
      </c>
      <c r="DY19" s="273" t="str">
        <f t="shared" si="39"/>
        <v/>
      </c>
      <c r="DZ19" s="273" t="str">
        <f t="shared" si="40"/>
        <v/>
      </c>
      <c r="EA19" s="273" t="str">
        <f t="shared" si="40"/>
        <v/>
      </c>
      <c r="EB19" s="273" t="str">
        <f t="shared" si="40"/>
        <v/>
      </c>
      <c r="EC19" s="273" t="str">
        <f t="shared" si="40"/>
        <v/>
      </c>
      <c r="ED19" s="273" t="str">
        <f t="shared" si="40"/>
        <v/>
      </c>
      <c r="EE19" s="274" t="str">
        <f t="shared" si="40"/>
        <v/>
      </c>
      <c r="EF19" s="273" t="str">
        <f t="shared" si="40"/>
        <v/>
      </c>
      <c r="EG19" s="273" t="str">
        <f t="shared" si="40"/>
        <v/>
      </c>
      <c r="EH19" s="273" t="str">
        <f t="shared" si="40"/>
        <v/>
      </c>
      <c r="EI19" s="273" t="str">
        <f t="shared" si="40"/>
        <v/>
      </c>
      <c r="EJ19" s="273" t="str">
        <f t="shared" si="41"/>
        <v/>
      </c>
      <c r="EK19" s="273" t="str">
        <f t="shared" si="41"/>
        <v/>
      </c>
      <c r="EL19" s="273" t="str">
        <f t="shared" si="41"/>
        <v/>
      </c>
      <c r="EM19" s="273" t="str">
        <f t="shared" si="41"/>
        <v/>
      </c>
      <c r="EN19" s="273" t="str">
        <f t="shared" si="41"/>
        <v/>
      </c>
      <c r="EO19" s="273" t="str">
        <f t="shared" si="41"/>
        <v/>
      </c>
      <c r="EP19" s="273" t="str">
        <f t="shared" si="41"/>
        <v/>
      </c>
      <c r="EQ19" s="274" t="str">
        <f t="shared" si="41"/>
        <v/>
      </c>
      <c r="ER19" s="273" t="str">
        <f t="shared" si="41"/>
        <v/>
      </c>
      <c r="ES19" s="273" t="str">
        <f t="shared" si="41"/>
        <v/>
      </c>
      <c r="ET19" s="273" t="str">
        <f t="shared" si="42"/>
        <v/>
      </c>
      <c r="EU19" s="273" t="str">
        <f t="shared" si="42"/>
        <v/>
      </c>
      <c r="EV19" s="273" t="str">
        <f t="shared" si="42"/>
        <v/>
      </c>
      <c r="EW19" s="273" t="str">
        <f t="shared" si="42"/>
        <v/>
      </c>
      <c r="EX19" s="273" t="str">
        <f t="shared" si="42"/>
        <v/>
      </c>
      <c r="EY19" s="273" t="str">
        <f t="shared" si="42"/>
        <v/>
      </c>
      <c r="EZ19" s="273" t="str">
        <f t="shared" si="42"/>
        <v/>
      </c>
      <c r="FA19" s="273" t="str">
        <f t="shared" si="42"/>
        <v/>
      </c>
      <c r="FB19" s="273" t="str">
        <f t="shared" si="42"/>
        <v/>
      </c>
      <c r="FC19" s="274" t="str">
        <f t="shared" si="42"/>
        <v/>
      </c>
      <c r="FD19" s="273" t="str">
        <f t="shared" si="43"/>
        <v/>
      </c>
      <c r="FE19" s="273" t="str">
        <f t="shared" si="43"/>
        <v/>
      </c>
      <c r="FF19" s="273" t="str">
        <f t="shared" si="43"/>
        <v/>
      </c>
      <c r="FG19" s="273" t="str">
        <f t="shared" si="43"/>
        <v/>
      </c>
      <c r="FH19" s="273" t="str">
        <f t="shared" si="43"/>
        <v/>
      </c>
      <c r="FI19" s="273" t="str">
        <f t="shared" si="43"/>
        <v/>
      </c>
      <c r="FJ19" s="273" t="str">
        <f t="shared" si="43"/>
        <v/>
      </c>
      <c r="FK19" s="273" t="str">
        <f t="shared" si="43"/>
        <v/>
      </c>
      <c r="FL19" s="273" t="str">
        <f t="shared" si="43"/>
        <v/>
      </c>
      <c r="FM19" s="273" t="str">
        <f t="shared" si="43"/>
        <v/>
      </c>
      <c r="FN19" s="273" t="str">
        <f t="shared" si="44"/>
        <v/>
      </c>
      <c r="FO19" s="274" t="str">
        <f t="shared" si="44"/>
        <v/>
      </c>
      <c r="FP19" s="273" t="str">
        <f t="shared" si="44"/>
        <v/>
      </c>
      <c r="FQ19" s="273" t="str">
        <f t="shared" si="44"/>
        <v/>
      </c>
      <c r="FR19" s="273" t="str">
        <f t="shared" si="44"/>
        <v/>
      </c>
      <c r="FS19" s="273" t="str">
        <f t="shared" si="44"/>
        <v/>
      </c>
      <c r="FT19" s="273" t="str">
        <f t="shared" si="44"/>
        <v/>
      </c>
      <c r="FU19" s="273" t="str">
        <f t="shared" si="44"/>
        <v/>
      </c>
      <c r="FV19" s="273" t="str">
        <f t="shared" si="44"/>
        <v/>
      </c>
      <c r="FW19" s="273" t="str">
        <f t="shared" si="44"/>
        <v/>
      </c>
      <c r="FX19" s="273" t="str">
        <f t="shared" si="44"/>
        <v/>
      </c>
      <c r="FY19" s="273" t="str">
        <f t="shared" si="44"/>
        <v/>
      </c>
      <c r="FZ19" s="273" t="str">
        <f t="shared" si="44"/>
        <v/>
      </c>
      <c r="GA19" s="275" t="str">
        <f t="shared" si="44"/>
        <v/>
      </c>
      <c r="GB19" s="276"/>
      <c r="GC19" s="276"/>
      <c r="GD19" s="276"/>
      <c r="GE19" s="276"/>
      <c r="GF19" s="276"/>
      <c r="GG19" s="276"/>
      <c r="GH19" s="276"/>
      <c r="GI19" s="276"/>
      <c r="GJ19" s="276"/>
      <c r="GK19" s="276"/>
      <c r="GL19" s="276"/>
      <c r="GM19" s="276"/>
      <c r="GN19" s="276"/>
      <c r="GQ19" s="263">
        <f t="shared" si="30"/>
        <v>0</v>
      </c>
    </row>
    <row r="20" spans="1:199">
      <c r="A20" s="263">
        <v>14</v>
      </c>
      <c r="B20" s="277" t="str">
        <f>IF('(7b) Project List'!F22&lt;&gt;"",'(7b) Project List'!F22," ")</f>
        <v xml:space="preserve"> </v>
      </c>
      <c r="C20" s="278" t="str">
        <f t="shared" si="0"/>
        <v xml:space="preserve"> </v>
      </c>
      <c r="D20" s="278" t="str">
        <f>IF('(7b) Project List'!G22&lt;&gt;"",'(7b) Project List'!G22,"")</f>
        <v/>
      </c>
      <c r="E20" s="278" t="str">
        <f t="shared" si="1"/>
        <v/>
      </c>
      <c r="F20" s="590" t="str">
        <f>IF('(7b) Project List'!B22="","",'P14-MCR'!I34)</f>
        <v/>
      </c>
      <c r="G20" s="591" t="str">
        <f>IF('(7b) Project List'!B22="","",'P14-MCR'!J34)</f>
        <v/>
      </c>
      <c r="H20" s="298"/>
      <c r="I20" s="1464" t="str">
        <f>IF(OR('14'!C30="",'14'!E30=""),"",DATEDIF('14'!C30,'14'!E30,"m"))</f>
        <v/>
      </c>
      <c r="J20" s="573" t="str">
        <f>IF('14'!C51="","",'14'!C51)</f>
        <v/>
      </c>
      <c r="K20" s="1469" t="str">
        <f>IF(EXP!I22="","",EXP!I22)</f>
        <v/>
      </c>
      <c r="L20" s="542" t="str">
        <f t="shared" si="2"/>
        <v/>
      </c>
      <c r="M20" s="542" t="str">
        <f t="shared" si="3"/>
        <v/>
      </c>
      <c r="N20" s="542" t="str">
        <f t="shared" si="26"/>
        <v/>
      </c>
      <c r="O20" s="573" t="str">
        <f>IF('14'!C47="","",'14'!C47)</f>
        <v/>
      </c>
      <c r="P20" s="662" t="str">
        <f>IF('14'!C52="","",'14'!C52)</f>
        <v/>
      </c>
      <c r="Q20" s="662" t="str">
        <f>IF('14'!C53="","",'14'!C53)</f>
        <v/>
      </c>
      <c r="R20" s="573" t="str">
        <f>IF('14'!C48="","",'14'!C48)</f>
        <v/>
      </c>
      <c r="S20" s="1618" t="str">
        <f t="shared" si="27"/>
        <v/>
      </c>
      <c r="T20" s="586" t="str">
        <f t="shared" si="28"/>
        <v/>
      </c>
      <c r="U20" s="539" t="str">
        <f t="shared" si="29"/>
        <v/>
      </c>
      <c r="V20" s="1465" t="str">
        <f t="shared" si="4"/>
        <v/>
      </c>
      <c r="W20" s="298"/>
      <c r="X20" s="608" t="str">
        <f>IF(EXP!H22="","",EXP!H22)</f>
        <v/>
      </c>
      <c r="Y20" s="608" t="str">
        <f>IF(EXP!D22="","",EXP!D22)</f>
        <v/>
      </c>
      <c r="Z20" s="279"/>
      <c r="AA20" s="279"/>
      <c r="AB20" s="279"/>
      <c r="AC20" s="280">
        <f>IF('(7b) Project List'!H22&lt;&gt;"",'(7b) Project List'!H22,"")</f>
        <v>0</v>
      </c>
      <c r="AD20" s="268">
        <f t="shared" si="5"/>
        <v>0</v>
      </c>
      <c r="AE20" s="281" t="str">
        <f>IF(ISERROR('(7c) Project Schedule'!K17),"",'(7c) Project Schedule'!K17)</f>
        <v/>
      </c>
      <c r="AF20" s="282" t="str">
        <f t="shared" si="6"/>
        <v xml:space="preserve"> </v>
      </c>
      <c r="AG20" s="283"/>
      <c r="AH20" s="282" t="str">
        <f t="shared" si="7"/>
        <v xml:space="preserve"> </v>
      </c>
      <c r="AI20" s="282" t="str">
        <f t="shared" si="8"/>
        <v xml:space="preserve"> </v>
      </c>
      <c r="AJ20" s="282" t="str">
        <f t="shared" si="9"/>
        <v xml:space="preserve"> </v>
      </c>
      <c r="AK20" s="1562" t="str">
        <f t="shared" si="10"/>
        <v xml:space="preserve"> </v>
      </c>
      <c r="AL20" s="1565" t="str">
        <f t="shared" si="11"/>
        <v/>
      </c>
      <c r="AN20" s="272" t="str">
        <f t="shared" si="31"/>
        <v/>
      </c>
      <c r="AO20" s="273" t="str">
        <f t="shared" si="31"/>
        <v/>
      </c>
      <c r="AP20" s="273" t="str">
        <f t="shared" si="31"/>
        <v/>
      </c>
      <c r="AQ20" s="273" t="str">
        <f t="shared" si="31"/>
        <v/>
      </c>
      <c r="AR20" s="273" t="str">
        <f t="shared" si="31"/>
        <v/>
      </c>
      <c r="AS20" s="273" t="str">
        <f t="shared" si="31"/>
        <v/>
      </c>
      <c r="AT20" s="273" t="str">
        <f t="shared" si="31"/>
        <v/>
      </c>
      <c r="AU20" s="273" t="str">
        <f t="shared" si="31"/>
        <v/>
      </c>
      <c r="AV20" s="273" t="str">
        <f t="shared" si="31"/>
        <v/>
      </c>
      <c r="AW20" s="273" t="str">
        <f t="shared" si="31"/>
        <v/>
      </c>
      <c r="AX20" s="273" t="str">
        <f t="shared" si="32"/>
        <v/>
      </c>
      <c r="AY20" s="274" t="str">
        <f t="shared" si="32"/>
        <v/>
      </c>
      <c r="AZ20" s="273" t="str">
        <f t="shared" si="32"/>
        <v/>
      </c>
      <c r="BA20" s="273" t="str">
        <f t="shared" si="32"/>
        <v/>
      </c>
      <c r="BB20" s="273" t="str">
        <f t="shared" si="32"/>
        <v/>
      </c>
      <c r="BC20" s="273" t="str">
        <f t="shared" si="32"/>
        <v/>
      </c>
      <c r="BD20" s="273" t="str">
        <f t="shared" si="32"/>
        <v/>
      </c>
      <c r="BE20" s="273" t="str">
        <f t="shared" si="32"/>
        <v/>
      </c>
      <c r="BF20" s="273" t="str">
        <f t="shared" si="32"/>
        <v/>
      </c>
      <c r="BG20" s="273" t="str">
        <f t="shared" si="32"/>
        <v/>
      </c>
      <c r="BH20" s="273" t="str">
        <f t="shared" si="33"/>
        <v/>
      </c>
      <c r="BI20" s="273" t="str">
        <f t="shared" si="33"/>
        <v/>
      </c>
      <c r="BJ20" s="273" t="str">
        <f t="shared" si="33"/>
        <v/>
      </c>
      <c r="BK20" s="274" t="str">
        <f t="shared" si="33"/>
        <v/>
      </c>
      <c r="BL20" s="273" t="str">
        <f t="shared" si="33"/>
        <v/>
      </c>
      <c r="BM20" s="273" t="str">
        <f t="shared" si="33"/>
        <v/>
      </c>
      <c r="BN20" s="273" t="str">
        <f t="shared" si="33"/>
        <v/>
      </c>
      <c r="BO20" s="273" t="str">
        <f t="shared" si="33"/>
        <v/>
      </c>
      <c r="BP20" s="273" t="str">
        <f t="shared" si="33"/>
        <v/>
      </c>
      <c r="BQ20" s="273" t="str">
        <f t="shared" si="33"/>
        <v/>
      </c>
      <c r="BR20" s="273" t="str">
        <f t="shared" si="34"/>
        <v/>
      </c>
      <c r="BS20" s="273" t="str">
        <f t="shared" si="34"/>
        <v/>
      </c>
      <c r="BT20" s="273" t="str">
        <f t="shared" si="34"/>
        <v/>
      </c>
      <c r="BU20" s="273" t="str">
        <f t="shared" si="34"/>
        <v/>
      </c>
      <c r="BV20" s="273" t="str">
        <f t="shared" si="34"/>
        <v/>
      </c>
      <c r="BW20" s="274" t="str">
        <f t="shared" si="34"/>
        <v/>
      </c>
      <c r="BX20" s="273" t="str">
        <f t="shared" si="34"/>
        <v/>
      </c>
      <c r="BY20" s="273" t="str">
        <f t="shared" si="34"/>
        <v/>
      </c>
      <c r="BZ20" s="273" t="str">
        <f t="shared" si="34"/>
        <v/>
      </c>
      <c r="CA20" s="273" t="str">
        <f t="shared" si="34"/>
        <v/>
      </c>
      <c r="CB20" s="273" t="str">
        <f t="shared" si="35"/>
        <v/>
      </c>
      <c r="CC20" s="273" t="str">
        <f t="shared" si="35"/>
        <v/>
      </c>
      <c r="CD20" s="273" t="str">
        <f t="shared" si="35"/>
        <v/>
      </c>
      <c r="CE20" s="273" t="str">
        <f t="shared" si="35"/>
        <v/>
      </c>
      <c r="CF20" s="273" t="str">
        <f t="shared" si="35"/>
        <v/>
      </c>
      <c r="CG20" s="273" t="str">
        <f t="shared" si="35"/>
        <v/>
      </c>
      <c r="CH20" s="273" t="str">
        <f t="shared" si="35"/>
        <v/>
      </c>
      <c r="CI20" s="274" t="str">
        <f t="shared" si="35"/>
        <v/>
      </c>
      <c r="CJ20" s="273" t="str">
        <f t="shared" si="35"/>
        <v/>
      </c>
      <c r="CK20" s="273" t="str">
        <f t="shared" si="35"/>
        <v/>
      </c>
      <c r="CL20" s="273" t="str">
        <f t="shared" si="36"/>
        <v/>
      </c>
      <c r="CM20" s="273" t="str">
        <f t="shared" si="36"/>
        <v/>
      </c>
      <c r="CN20" s="273" t="str">
        <f t="shared" si="36"/>
        <v/>
      </c>
      <c r="CO20" s="273" t="str">
        <f t="shared" si="36"/>
        <v/>
      </c>
      <c r="CP20" s="273" t="str">
        <f t="shared" si="36"/>
        <v/>
      </c>
      <c r="CQ20" s="273" t="str">
        <f t="shared" si="36"/>
        <v/>
      </c>
      <c r="CR20" s="273" t="str">
        <f t="shared" si="36"/>
        <v/>
      </c>
      <c r="CS20" s="273" t="str">
        <f t="shared" si="36"/>
        <v/>
      </c>
      <c r="CT20" s="273" t="str">
        <f t="shared" si="36"/>
        <v/>
      </c>
      <c r="CU20" s="274" t="str">
        <f t="shared" si="36"/>
        <v/>
      </c>
      <c r="CV20" s="273" t="str">
        <f t="shared" si="37"/>
        <v/>
      </c>
      <c r="CW20" s="273" t="str">
        <f t="shared" si="37"/>
        <v/>
      </c>
      <c r="CX20" s="273" t="str">
        <f t="shared" si="37"/>
        <v/>
      </c>
      <c r="CY20" s="273" t="str">
        <f t="shared" si="37"/>
        <v/>
      </c>
      <c r="CZ20" s="273" t="str">
        <f t="shared" si="37"/>
        <v/>
      </c>
      <c r="DA20" s="273" t="str">
        <f t="shared" si="37"/>
        <v/>
      </c>
      <c r="DB20" s="273" t="str">
        <f t="shared" si="37"/>
        <v/>
      </c>
      <c r="DC20" s="273" t="str">
        <f t="shared" si="37"/>
        <v/>
      </c>
      <c r="DD20" s="273" t="str">
        <f t="shared" si="37"/>
        <v/>
      </c>
      <c r="DE20" s="273" t="str">
        <f t="shared" si="37"/>
        <v/>
      </c>
      <c r="DF20" s="273" t="str">
        <f t="shared" si="38"/>
        <v/>
      </c>
      <c r="DG20" s="274" t="str">
        <f t="shared" si="38"/>
        <v/>
      </c>
      <c r="DH20" s="273" t="str">
        <f t="shared" si="38"/>
        <v/>
      </c>
      <c r="DI20" s="273" t="str">
        <f t="shared" si="38"/>
        <v/>
      </c>
      <c r="DJ20" s="273" t="str">
        <f t="shared" si="38"/>
        <v/>
      </c>
      <c r="DK20" s="273" t="str">
        <f t="shared" si="38"/>
        <v/>
      </c>
      <c r="DL20" s="273" t="str">
        <f t="shared" si="38"/>
        <v/>
      </c>
      <c r="DM20" s="273" t="str">
        <f t="shared" si="38"/>
        <v/>
      </c>
      <c r="DN20" s="273" t="str">
        <f t="shared" si="38"/>
        <v/>
      </c>
      <c r="DO20" s="273" t="str">
        <f t="shared" si="38"/>
        <v/>
      </c>
      <c r="DP20" s="273" t="str">
        <f t="shared" si="39"/>
        <v/>
      </c>
      <c r="DQ20" s="273" t="str">
        <f t="shared" si="39"/>
        <v/>
      </c>
      <c r="DR20" s="273" t="str">
        <f t="shared" si="39"/>
        <v/>
      </c>
      <c r="DS20" s="274" t="str">
        <f t="shared" si="39"/>
        <v/>
      </c>
      <c r="DT20" s="273" t="str">
        <f t="shared" si="39"/>
        <v/>
      </c>
      <c r="DU20" s="273" t="str">
        <f t="shared" si="39"/>
        <v/>
      </c>
      <c r="DV20" s="273" t="str">
        <f t="shared" si="39"/>
        <v/>
      </c>
      <c r="DW20" s="273" t="str">
        <f t="shared" si="39"/>
        <v/>
      </c>
      <c r="DX20" s="273" t="str">
        <f t="shared" si="39"/>
        <v/>
      </c>
      <c r="DY20" s="273" t="str">
        <f t="shared" si="39"/>
        <v/>
      </c>
      <c r="DZ20" s="273" t="str">
        <f t="shared" si="40"/>
        <v/>
      </c>
      <c r="EA20" s="273" t="str">
        <f t="shared" si="40"/>
        <v/>
      </c>
      <c r="EB20" s="273" t="str">
        <f t="shared" si="40"/>
        <v/>
      </c>
      <c r="EC20" s="273" t="str">
        <f t="shared" si="40"/>
        <v/>
      </c>
      <c r="ED20" s="273" t="str">
        <f t="shared" si="40"/>
        <v/>
      </c>
      <c r="EE20" s="274" t="str">
        <f t="shared" si="40"/>
        <v/>
      </c>
      <c r="EF20" s="273" t="str">
        <f t="shared" si="40"/>
        <v/>
      </c>
      <c r="EG20" s="273" t="str">
        <f t="shared" si="40"/>
        <v/>
      </c>
      <c r="EH20" s="273" t="str">
        <f t="shared" si="40"/>
        <v/>
      </c>
      <c r="EI20" s="273" t="str">
        <f t="shared" si="40"/>
        <v/>
      </c>
      <c r="EJ20" s="273" t="str">
        <f t="shared" si="41"/>
        <v/>
      </c>
      <c r="EK20" s="273" t="str">
        <f t="shared" si="41"/>
        <v/>
      </c>
      <c r="EL20" s="273" t="str">
        <f t="shared" si="41"/>
        <v/>
      </c>
      <c r="EM20" s="273" t="str">
        <f t="shared" si="41"/>
        <v/>
      </c>
      <c r="EN20" s="273" t="str">
        <f t="shared" si="41"/>
        <v/>
      </c>
      <c r="EO20" s="273" t="str">
        <f t="shared" si="41"/>
        <v/>
      </c>
      <c r="EP20" s="273" t="str">
        <f t="shared" si="41"/>
        <v/>
      </c>
      <c r="EQ20" s="274" t="str">
        <f t="shared" si="41"/>
        <v/>
      </c>
      <c r="ER20" s="273" t="str">
        <f t="shared" si="41"/>
        <v/>
      </c>
      <c r="ES20" s="273" t="str">
        <f t="shared" si="41"/>
        <v/>
      </c>
      <c r="ET20" s="273" t="str">
        <f t="shared" si="42"/>
        <v/>
      </c>
      <c r="EU20" s="273" t="str">
        <f t="shared" si="42"/>
        <v/>
      </c>
      <c r="EV20" s="273" t="str">
        <f t="shared" si="42"/>
        <v/>
      </c>
      <c r="EW20" s="273" t="str">
        <f t="shared" si="42"/>
        <v/>
      </c>
      <c r="EX20" s="273" t="str">
        <f t="shared" si="42"/>
        <v/>
      </c>
      <c r="EY20" s="273" t="str">
        <f t="shared" si="42"/>
        <v/>
      </c>
      <c r="EZ20" s="273" t="str">
        <f t="shared" si="42"/>
        <v/>
      </c>
      <c r="FA20" s="273" t="str">
        <f t="shared" si="42"/>
        <v/>
      </c>
      <c r="FB20" s="273" t="str">
        <f t="shared" si="42"/>
        <v/>
      </c>
      <c r="FC20" s="274" t="str">
        <f t="shared" si="42"/>
        <v/>
      </c>
      <c r="FD20" s="273" t="str">
        <f t="shared" si="43"/>
        <v/>
      </c>
      <c r="FE20" s="273" t="str">
        <f t="shared" si="43"/>
        <v/>
      </c>
      <c r="FF20" s="273" t="str">
        <f t="shared" si="43"/>
        <v/>
      </c>
      <c r="FG20" s="273" t="str">
        <f t="shared" si="43"/>
        <v/>
      </c>
      <c r="FH20" s="273" t="str">
        <f t="shared" si="43"/>
        <v/>
      </c>
      <c r="FI20" s="273" t="str">
        <f t="shared" si="43"/>
        <v/>
      </c>
      <c r="FJ20" s="273" t="str">
        <f t="shared" si="43"/>
        <v/>
      </c>
      <c r="FK20" s="273" t="str">
        <f t="shared" si="43"/>
        <v/>
      </c>
      <c r="FL20" s="273" t="str">
        <f t="shared" si="43"/>
        <v/>
      </c>
      <c r="FM20" s="273" t="str">
        <f t="shared" si="43"/>
        <v/>
      </c>
      <c r="FN20" s="273" t="str">
        <f t="shared" si="44"/>
        <v/>
      </c>
      <c r="FO20" s="274" t="str">
        <f t="shared" si="44"/>
        <v/>
      </c>
      <c r="FP20" s="273" t="str">
        <f t="shared" si="44"/>
        <v/>
      </c>
      <c r="FQ20" s="273" t="str">
        <f t="shared" si="44"/>
        <v/>
      </c>
      <c r="FR20" s="273" t="str">
        <f t="shared" si="44"/>
        <v/>
      </c>
      <c r="FS20" s="273" t="str">
        <f t="shared" si="44"/>
        <v/>
      </c>
      <c r="FT20" s="273" t="str">
        <f t="shared" si="44"/>
        <v/>
      </c>
      <c r="FU20" s="273" t="str">
        <f t="shared" si="44"/>
        <v/>
      </c>
      <c r="FV20" s="273" t="str">
        <f t="shared" si="44"/>
        <v/>
      </c>
      <c r="FW20" s="273" t="str">
        <f t="shared" si="44"/>
        <v/>
      </c>
      <c r="FX20" s="273" t="str">
        <f t="shared" si="44"/>
        <v/>
      </c>
      <c r="FY20" s="273" t="str">
        <f t="shared" si="44"/>
        <v/>
      </c>
      <c r="FZ20" s="273" t="str">
        <f t="shared" si="44"/>
        <v/>
      </c>
      <c r="GA20" s="275" t="str">
        <f t="shared" si="44"/>
        <v/>
      </c>
      <c r="GB20" s="276"/>
      <c r="GC20" s="276"/>
      <c r="GD20" s="276"/>
      <c r="GE20" s="276"/>
      <c r="GF20" s="276"/>
      <c r="GG20" s="276"/>
      <c r="GH20" s="276"/>
      <c r="GI20" s="276"/>
      <c r="GJ20" s="276"/>
      <c r="GK20" s="276"/>
      <c r="GL20" s="276"/>
      <c r="GM20" s="276"/>
      <c r="GN20" s="276"/>
      <c r="GQ20" s="263">
        <f t="shared" si="30"/>
        <v>0</v>
      </c>
    </row>
    <row r="21" spans="1:199">
      <c r="A21" s="263">
        <v>15</v>
      </c>
      <c r="B21" s="277" t="str">
        <f>IF('(7b) Project List'!F23&lt;&gt;"",'(7b) Project List'!F23," ")</f>
        <v xml:space="preserve"> </v>
      </c>
      <c r="C21" s="278" t="str">
        <f t="shared" si="0"/>
        <v xml:space="preserve"> </v>
      </c>
      <c r="D21" s="278" t="str">
        <f>IF('(7b) Project List'!G23&lt;&gt;"",'(7b) Project List'!G23,"")</f>
        <v/>
      </c>
      <c r="E21" s="278" t="str">
        <f t="shared" si="1"/>
        <v/>
      </c>
      <c r="F21" s="590" t="str">
        <f>IF('(7b) Project List'!B23="","",'P15-MCR'!I34)</f>
        <v/>
      </c>
      <c r="G21" s="591" t="str">
        <f>IF('(7b) Project List'!B23="","",'P15-MCR'!J34)</f>
        <v/>
      </c>
      <c r="H21" s="298"/>
      <c r="I21" s="1464" t="str">
        <f>IF(OR('15'!C30="",'15'!E30=""),"",DATEDIF('15'!C30,'15'!E30,"m"))</f>
        <v/>
      </c>
      <c r="J21" s="573" t="str">
        <f>IF('15'!C51="","",'15'!C51)</f>
        <v/>
      </c>
      <c r="K21" s="1469" t="str">
        <f>IF(EXP!I23="","",EXP!I23)</f>
        <v/>
      </c>
      <c r="L21" s="542" t="str">
        <f t="shared" si="2"/>
        <v/>
      </c>
      <c r="M21" s="542" t="str">
        <f t="shared" si="3"/>
        <v/>
      </c>
      <c r="N21" s="542" t="str">
        <f t="shared" si="26"/>
        <v/>
      </c>
      <c r="O21" s="573" t="str">
        <f>IF('15'!C47="","",'15'!C47)</f>
        <v/>
      </c>
      <c r="P21" s="662" t="str">
        <f>IF('15'!C52="","",'15'!C52)</f>
        <v/>
      </c>
      <c r="Q21" s="662" t="str">
        <f>IF('15'!C53="","",'15'!C53)</f>
        <v/>
      </c>
      <c r="R21" s="573" t="str">
        <f>IF('15'!C48="","",'15'!C48)</f>
        <v/>
      </c>
      <c r="S21" s="1618" t="str">
        <f t="shared" si="27"/>
        <v/>
      </c>
      <c r="T21" s="586" t="str">
        <f t="shared" si="28"/>
        <v/>
      </c>
      <c r="U21" s="539" t="str">
        <f t="shared" si="29"/>
        <v/>
      </c>
      <c r="V21" s="1465" t="str">
        <f t="shared" si="4"/>
        <v/>
      </c>
      <c r="W21" s="298"/>
      <c r="X21" s="608" t="str">
        <f>IF(EXP!H23="","",EXP!H23)</f>
        <v/>
      </c>
      <c r="Y21" s="608" t="str">
        <f>IF(EXP!D23="","",EXP!D23)</f>
        <v/>
      </c>
      <c r="Z21" s="279"/>
      <c r="AA21" s="279"/>
      <c r="AB21" s="279"/>
      <c r="AC21" s="280">
        <f>IF('(7b) Project List'!H23&lt;&gt;"",'(7b) Project List'!H23,"")</f>
        <v>0</v>
      </c>
      <c r="AD21" s="268">
        <f t="shared" si="5"/>
        <v>0</v>
      </c>
      <c r="AE21" s="281" t="str">
        <f>IF(ISERROR('(7c) Project Schedule'!K18),"",'(7c) Project Schedule'!K18)</f>
        <v/>
      </c>
      <c r="AF21" s="282" t="str">
        <f t="shared" si="6"/>
        <v xml:space="preserve"> </v>
      </c>
      <c r="AG21" s="283"/>
      <c r="AH21" s="282" t="str">
        <f t="shared" si="7"/>
        <v xml:space="preserve"> </v>
      </c>
      <c r="AI21" s="282" t="str">
        <f t="shared" si="8"/>
        <v xml:space="preserve"> </v>
      </c>
      <c r="AJ21" s="282" t="str">
        <f t="shared" si="9"/>
        <v xml:space="preserve"> </v>
      </c>
      <c r="AK21" s="1562" t="str">
        <f t="shared" si="10"/>
        <v xml:space="preserve"> </v>
      </c>
      <c r="AL21" s="1565" t="str">
        <f t="shared" si="11"/>
        <v/>
      </c>
      <c r="AN21" s="272" t="str">
        <f t="shared" si="31"/>
        <v/>
      </c>
      <c r="AO21" s="273" t="str">
        <f t="shared" si="31"/>
        <v/>
      </c>
      <c r="AP21" s="273" t="str">
        <f t="shared" si="31"/>
        <v/>
      </c>
      <c r="AQ21" s="273" t="str">
        <f t="shared" si="31"/>
        <v/>
      </c>
      <c r="AR21" s="273" t="str">
        <f t="shared" si="31"/>
        <v/>
      </c>
      <c r="AS21" s="273" t="str">
        <f t="shared" si="31"/>
        <v/>
      </c>
      <c r="AT21" s="273" t="str">
        <f t="shared" si="31"/>
        <v/>
      </c>
      <c r="AU21" s="273" t="str">
        <f t="shared" si="31"/>
        <v/>
      </c>
      <c r="AV21" s="273" t="str">
        <f t="shared" si="31"/>
        <v/>
      </c>
      <c r="AW21" s="273" t="str">
        <f t="shared" si="31"/>
        <v/>
      </c>
      <c r="AX21" s="273" t="str">
        <f t="shared" si="32"/>
        <v/>
      </c>
      <c r="AY21" s="274" t="str">
        <f t="shared" si="32"/>
        <v/>
      </c>
      <c r="AZ21" s="273" t="str">
        <f t="shared" si="32"/>
        <v/>
      </c>
      <c r="BA21" s="273" t="str">
        <f t="shared" si="32"/>
        <v/>
      </c>
      <c r="BB21" s="273" t="str">
        <f t="shared" si="32"/>
        <v/>
      </c>
      <c r="BC21" s="273" t="str">
        <f t="shared" si="32"/>
        <v/>
      </c>
      <c r="BD21" s="273" t="str">
        <f t="shared" si="32"/>
        <v/>
      </c>
      <c r="BE21" s="273" t="str">
        <f t="shared" si="32"/>
        <v/>
      </c>
      <c r="BF21" s="273" t="str">
        <f t="shared" si="32"/>
        <v/>
      </c>
      <c r="BG21" s="273" t="str">
        <f t="shared" si="32"/>
        <v/>
      </c>
      <c r="BH21" s="273" t="str">
        <f t="shared" si="33"/>
        <v/>
      </c>
      <c r="BI21" s="273" t="str">
        <f t="shared" si="33"/>
        <v/>
      </c>
      <c r="BJ21" s="273" t="str">
        <f t="shared" si="33"/>
        <v/>
      </c>
      <c r="BK21" s="274" t="str">
        <f t="shared" si="33"/>
        <v/>
      </c>
      <c r="BL21" s="273" t="str">
        <f t="shared" si="33"/>
        <v/>
      </c>
      <c r="BM21" s="273" t="str">
        <f t="shared" si="33"/>
        <v/>
      </c>
      <c r="BN21" s="273" t="str">
        <f t="shared" si="33"/>
        <v/>
      </c>
      <c r="BO21" s="273" t="str">
        <f t="shared" si="33"/>
        <v/>
      </c>
      <c r="BP21" s="273" t="str">
        <f t="shared" si="33"/>
        <v/>
      </c>
      <c r="BQ21" s="273" t="str">
        <f t="shared" si="33"/>
        <v/>
      </c>
      <c r="BR21" s="273" t="str">
        <f t="shared" si="34"/>
        <v/>
      </c>
      <c r="BS21" s="273" t="str">
        <f t="shared" si="34"/>
        <v/>
      </c>
      <c r="BT21" s="273" t="str">
        <f t="shared" si="34"/>
        <v/>
      </c>
      <c r="BU21" s="273" t="str">
        <f t="shared" si="34"/>
        <v/>
      </c>
      <c r="BV21" s="273" t="str">
        <f t="shared" si="34"/>
        <v/>
      </c>
      <c r="BW21" s="274" t="str">
        <f t="shared" si="34"/>
        <v/>
      </c>
      <c r="BX21" s="273" t="str">
        <f t="shared" si="34"/>
        <v/>
      </c>
      <c r="BY21" s="273" t="str">
        <f t="shared" si="34"/>
        <v/>
      </c>
      <c r="BZ21" s="273" t="str">
        <f t="shared" si="34"/>
        <v/>
      </c>
      <c r="CA21" s="273" t="str">
        <f t="shared" si="34"/>
        <v/>
      </c>
      <c r="CB21" s="273" t="str">
        <f t="shared" si="35"/>
        <v/>
      </c>
      <c r="CC21" s="273" t="str">
        <f t="shared" si="35"/>
        <v/>
      </c>
      <c r="CD21" s="273" t="str">
        <f t="shared" si="35"/>
        <v/>
      </c>
      <c r="CE21" s="273" t="str">
        <f t="shared" si="35"/>
        <v/>
      </c>
      <c r="CF21" s="273" t="str">
        <f t="shared" si="35"/>
        <v/>
      </c>
      <c r="CG21" s="273" t="str">
        <f t="shared" si="35"/>
        <v/>
      </c>
      <c r="CH21" s="273" t="str">
        <f t="shared" si="35"/>
        <v/>
      </c>
      <c r="CI21" s="274" t="str">
        <f t="shared" si="35"/>
        <v/>
      </c>
      <c r="CJ21" s="273" t="str">
        <f t="shared" si="35"/>
        <v/>
      </c>
      <c r="CK21" s="273" t="str">
        <f t="shared" si="35"/>
        <v/>
      </c>
      <c r="CL21" s="273" t="str">
        <f t="shared" si="36"/>
        <v/>
      </c>
      <c r="CM21" s="273" t="str">
        <f t="shared" si="36"/>
        <v/>
      </c>
      <c r="CN21" s="273" t="str">
        <f t="shared" si="36"/>
        <v/>
      </c>
      <c r="CO21" s="273" t="str">
        <f t="shared" si="36"/>
        <v/>
      </c>
      <c r="CP21" s="273" t="str">
        <f t="shared" si="36"/>
        <v/>
      </c>
      <c r="CQ21" s="273" t="str">
        <f t="shared" si="36"/>
        <v/>
      </c>
      <c r="CR21" s="273" t="str">
        <f t="shared" si="36"/>
        <v/>
      </c>
      <c r="CS21" s="273" t="str">
        <f t="shared" si="36"/>
        <v/>
      </c>
      <c r="CT21" s="273" t="str">
        <f t="shared" si="36"/>
        <v/>
      </c>
      <c r="CU21" s="274" t="str">
        <f t="shared" si="36"/>
        <v/>
      </c>
      <c r="CV21" s="273" t="str">
        <f t="shared" si="37"/>
        <v/>
      </c>
      <c r="CW21" s="273" t="str">
        <f t="shared" si="37"/>
        <v/>
      </c>
      <c r="CX21" s="273" t="str">
        <f t="shared" si="37"/>
        <v/>
      </c>
      <c r="CY21" s="273" t="str">
        <f t="shared" si="37"/>
        <v/>
      </c>
      <c r="CZ21" s="273" t="str">
        <f t="shared" si="37"/>
        <v/>
      </c>
      <c r="DA21" s="273" t="str">
        <f t="shared" si="37"/>
        <v/>
      </c>
      <c r="DB21" s="273" t="str">
        <f t="shared" si="37"/>
        <v/>
      </c>
      <c r="DC21" s="273" t="str">
        <f t="shared" si="37"/>
        <v/>
      </c>
      <c r="DD21" s="273" t="str">
        <f t="shared" si="37"/>
        <v/>
      </c>
      <c r="DE21" s="273" t="str">
        <f t="shared" si="37"/>
        <v/>
      </c>
      <c r="DF21" s="273" t="str">
        <f t="shared" si="38"/>
        <v/>
      </c>
      <c r="DG21" s="274" t="str">
        <f t="shared" si="38"/>
        <v/>
      </c>
      <c r="DH21" s="273" t="str">
        <f t="shared" si="38"/>
        <v/>
      </c>
      <c r="DI21" s="273" t="str">
        <f t="shared" si="38"/>
        <v/>
      </c>
      <c r="DJ21" s="273" t="str">
        <f t="shared" si="38"/>
        <v/>
      </c>
      <c r="DK21" s="273" t="str">
        <f t="shared" si="38"/>
        <v/>
      </c>
      <c r="DL21" s="273" t="str">
        <f t="shared" si="38"/>
        <v/>
      </c>
      <c r="DM21" s="273" t="str">
        <f t="shared" si="38"/>
        <v/>
      </c>
      <c r="DN21" s="273" t="str">
        <f t="shared" si="38"/>
        <v/>
      </c>
      <c r="DO21" s="273" t="str">
        <f t="shared" si="38"/>
        <v/>
      </c>
      <c r="DP21" s="273" t="str">
        <f t="shared" si="39"/>
        <v/>
      </c>
      <c r="DQ21" s="273" t="str">
        <f t="shared" si="39"/>
        <v/>
      </c>
      <c r="DR21" s="273" t="str">
        <f t="shared" si="39"/>
        <v/>
      </c>
      <c r="DS21" s="274" t="str">
        <f t="shared" si="39"/>
        <v/>
      </c>
      <c r="DT21" s="273" t="str">
        <f t="shared" si="39"/>
        <v/>
      </c>
      <c r="DU21" s="273" t="str">
        <f t="shared" si="39"/>
        <v/>
      </c>
      <c r="DV21" s="273" t="str">
        <f t="shared" si="39"/>
        <v/>
      </c>
      <c r="DW21" s="273" t="str">
        <f t="shared" si="39"/>
        <v/>
      </c>
      <c r="DX21" s="273" t="str">
        <f t="shared" si="39"/>
        <v/>
      </c>
      <c r="DY21" s="273" t="str">
        <f t="shared" si="39"/>
        <v/>
      </c>
      <c r="DZ21" s="273" t="str">
        <f t="shared" si="40"/>
        <v/>
      </c>
      <c r="EA21" s="273" t="str">
        <f t="shared" si="40"/>
        <v/>
      </c>
      <c r="EB21" s="273" t="str">
        <f t="shared" si="40"/>
        <v/>
      </c>
      <c r="EC21" s="273" t="str">
        <f t="shared" si="40"/>
        <v/>
      </c>
      <c r="ED21" s="273" t="str">
        <f t="shared" si="40"/>
        <v/>
      </c>
      <c r="EE21" s="274" t="str">
        <f t="shared" si="40"/>
        <v/>
      </c>
      <c r="EF21" s="273" t="str">
        <f t="shared" si="40"/>
        <v/>
      </c>
      <c r="EG21" s="273" t="str">
        <f t="shared" si="40"/>
        <v/>
      </c>
      <c r="EH21" s="273" t="str">
        <f t="shared" si="40"/>
        <v/>
      </c>
      <c r="EI21" s="273" t="str">
        <f t="shared" si="40"/>
        <v/>
      </c>
      <c r="EJ21" s="273" t="str">
        <f t="shared" si="41"/>
        <v/>
      </c>
      <c r="EK21" s="273" t="str">
        <f t="shared" si="41"/>
        <v/>
      </c>
      <c r="EL21" s="273" t="str">
        <f t="shared" si="41"/>
        <v/>
      </c>
      <c r="EM21" s="273" t="str">
        <f t="shared" si="41"/>
        <v/>
      </c>
      <c r="EN21" s="273" t="str">
        <f t="shared" si="41"/>
        <v/>
      </c>
      <c r="EO21" s="273" t="str">
        <f t="shared" si="41"/>
        <v/>
      </c>
      <c r="EP21" s="273" t="str">
        <f t="shared" si="41"/>
        <v/>
      </c>
      <c r="EQ21" s="274" t="str">
        <f t="shared" si="41"/>
        <v/>
      </c>
      <c r="ER21" s="273" t="str">
        <f t="shared" si="41"/>
        <v/>
      </c>
      <c r="ES21" s="273" t="str">
        <f t="shared" si="41"/>
        <v/>
      </c>
      <c r="ET21" s="273" t="str">
        <f t="shared" si="42"/>
        <v/>
      </c>
      <c r="EU21" s="273" t="str">
        <f t="shared" si="42"/>
        <v/>
      </c>
      <c r="EV21" s="273" t="str">
        <f t="shared" si="42"/>
        <v/>
      </c>
      <c r="EW21" s="273" t="str">
        <f t="shared" si="42"/>
        <v/>
      </c>
      <c r="EX21" s="273" t="str">
        <f t="shared" si="42"/>
        <v/>
      </c>
      <c r="EY21" s="273" t="str">
        <f t="shared" si="42"/>
        <v/>
      </c>
      <c r="EZ21" s="273" t="str">
        <f t="shared" si="42"/>
        <v/>
      </c>
      <c r="FA21" s="273" t="str">
        <f t="shared" si="42"/>
        <v/>
      </c>
      <c r="FB21" s="273" t="str">
        <f t="shared" si="42"/>
        <v/>
      </c>
      <c r="FC21" s="274" t="str">
        <f t="shared" si="42"/>
        <v/>
      </c>
      <c r="FD21" s="273" t="str">
        <f t="shared" si="43"/>
        <v/>
      </c>
      <c r="FE21" s="273" t="str">
        <f t="shared" si="43"/>
        <v/>
      </c>
      <c r="FF21" s="273" t="str">
        <f t="shared" si="43"/>
        <v/>
      </c>
      <c r="FG21" s="273" t="str">
        <f t="shared" si="43"/>
        <v/>
      </c>
      <c r="FH21" s="273" t="str">
        <f t="shared" si="43"/>
        <v/>
      </c>
      <c r="FI21" s="273" t="str">
        <f t="shared" si="43"/>
        <v/>
      </c>
      <c r="FJ21" s="273" t="str">
        <f t="shared" si="43"/>
        <v/>
      </c>
      <c r="FK21" s="273" t="str">
        <f t="shared" si="43"/>
        <v/>
      </c>
      <c r="FL21" s="273" t="str">
        <f t="shared" si="43"/>
        <v/>
      </c>
      <c r="FM21" s="273" t="str">
        <f t="shared" si="43"/>
        <v/>
      </c>
      <c r="FN21" s="273" t="str">
        <f t="shared" si="44"/>
        <v/>
      </c>
      <c r="FO21" s="274" t="str">
        <f t="shared" si="44"/>
        <v/>
      </c>
      <c r="FP21" s="273" t="str">
        <f t="shared" si="44"/>
        <v/>
      </c>
      <c r="FQ21" s="273" t="str">
        <f t="shared" si="44"/>
        <v/>
      </c>
      <c r="FR21" s="273" t="str">
        <f t="shared" si="44"/>
        <v/>
      </c>
      <c r="FS21" s="273" t="str">
        <f t="shared" si="44"/>
        <v/>
      </c>
      <c r="FT21" s="273" t="str">
        <f t="shared" si="44"/>
        <v/>
      </c>
      <c r="FU21" s="273" t="str">
        <f t="shared" si="44"/>
        <v/>
      </c>
      <c r="FV21" s="273" t="str">
        <f t="shared" si="44"/>
        <v/>
      </c>
      <c r="FW21" s="273" t="str">
        <f t="shared" si="44"/>
        <v/>
      </c>
      <c r="FX21" s="273" t="str">
        <f t="shared" si="44"/>
        <v/>
      </c>
      <c r="FY21" s="273" t="str">
        <f t="shared" si="44"/>
        <v/>
      </c>
      <c r="FZ21" s="273" t="str">
        <f t="shared" si="44"/>
        <v/>
      </c>
      <c r="GA21" s="275" t="str">
        <f t="shared" si="44"/>
        <v/>
      </c>
      <c r="GB21" s="276"/>
      <c r="GC21" s="276"/>
      <c r="GD21" s="276"/>
      <c r="GE21" s="276"/>
      <c r="GF21" s="276"/>
      <c r="GG21" s="276"/>
      <c r="GH21" s="276"/>
      <c r="GI21" s="276"/>
      <c r="GJ21" s="276"/>
      <c r="GK21" s="276"/>
      <c r="GL21" s="276"/>
      <c r="GM21" s="276"/>
      <c r="GN21" s="276"/>
      <c r="GQ21" s="263">
        <f t="shared" si="30"/>
        <v>0</v>
      </c>
    </row>
    <row r="22" spans="1:199">
      <c r="A22" s="263">
        <v>16</v>
      </c>
      <c r="B22" s="277" t="str">
        <f>IF('(7b) Project List'!F24&lt;&gt;"",'(7b) Project List'!F24," ")</f>
        <v xml:space="preserve"> </v>
      </c>
      <c r="C22" s="278" t="str">
        <f t="shared" si="0"/>
        <v xml:space="preserve"> </v>
      </c>
      <c r="D22" s="278" t="str">
        <f>IF('(7b) Project List'!G24&lt;&gt;"",'(7b) Project List'!G24,"")</f>
        <v/>
      </c>
      <c r="E22" s="278" t="str">
        <f t="shared" si="1"/>
        <v/>
      </c>
      <c r="F22" s="590" t="str">
        <f>IF('(7b) Project List'!B24="","",'P16-MCR'!I34)</f>
        <v/>
      </c>
      <c r="G22" s="591" t="str">
        <f>IF('(7b) Project List'!B24="","",'P16-MCR'!J34)</f>
        <v/>
      </c>
      <c r="H22" s="298"/>
      <c r="I22" s="1464" t="str">
        <f>IF(OR('16'!C30="",'16'!E30=""),"",DATEDIF('16'!C30,'16'!E30,"m"))</f>
        <v/>
      </c>
      <c r="J22" s="573" t="str">
        <f>IF('16'!C51="","",'16'!C51)</f>
        <v/>
      </c>
      <c r="K22" s="1469" t="str">
        <f>IF(EXP!I24="","",EXP!I24)</f>
        <v/>
      </c>
      <c r="L22" s="542" t="str">
        <f t="shared" si="2"/>
        <v/>
      </c>
      <c r="M22" s="542" t="str">
        <f t="shared" si="3"/>
        <v/>
      </c>
      <c r="N22" s="542" t="str">
        <f t="shared" si="26"/>
        <v/>
      </c>
      <c r="O22" s="573" t="str">
        <f>IF('16'!C47="","",'16'!C47)</f>
        <v/>
      </c>
      <c r="P22" s="662" t="str">
        <f>IF('16'!C52="","",'16'!C52)</f>
        <v/>
      </c>
      <c r="Q22" s="662" t="str">
        <f>IF('16'!C53="","",'16'!C53)</f>
        <v/>
      </c>
      <c r="R22" s="573" t="str">
        <f>IF('16'!C48="","",'16'!C48)</f>
        <v/>
      </c>
      <c r="S22" s="1618" t="str">
        <f t="shared" si="27"/>
        <v/>
      </c>
      <c r="T22" s="586" t="str">
        <f t="shared" si="28"/>
        <v/>
      </c>
      <c r="U22" s="539" t="str">
        <f t="shared" si="29"/>
        <v/>
      </c>
      <c r="V22" s="1465" t="str">
        <f t="shared" si="4"/>
        <v/>
      </c>
      <c r="W22" s="298"/>
      <c r="X22" s="608" t="str">
        <f>IF(EXP!H24="","",EXP!H24)</f>
        <v/>
      </c>
      <c r="Y22" s="608" t="str">
        <f>IF(EXP!D24="","",EXP!D24)</f>
        <v/>
      </c>
      <c r="Z22" s="279"/>
      <c r="AA22" s="279"/>
      <c r="AB22" s="279"/>
      <c r="AC22" s="280">
        <f>IF('(7b) Project List'!H24&lt;&gt;"",'(7b) Project List'!H24,"")</f>
        <v>0</v>
      </c>
      <c r="AD22" s="268">
        <f t="shared" si="5"/>
        <v>0</v>
      </c>
      <c r="AE22" s="281" t="str">
        <f>IF(ISERROR('(7c) Project Schedule'!K19),"",'(7c) Project Schedule'!K19)</f>
        <v/>
      </c>
      <c r="AF22" s="282" t="str">
        <f t="shared" si="6"/>
        <v xml:space="preserve"> </v>
      </c>
      <c r="AG22" s="283"/>
      <c r="AH22" s="282" t="str">
        <f t="shared" si="7"/>
        <v xml:space="preserve"> </v>
      </c>
      <c r="AI22" s="282" t="str">
        <f t="shared" si="8"/>
        <v xml:space="preserve"> </v>
      </c>
      <c r="AJ22" s="282" t="str">
        <f t="shared" si="9"/>
        <v xml:space="preserve"> </v>
      </c>
      <c r="AK22" s="1562" t="str">
        <f t="shared" si="10"/>
        <v xml:space="preserve"> </v>
      </c>
      <c r="AL22" s="1565" t="str">
        <f t="shared" si="11"/>
        <v/>
      </c>
      <c r="AN22" s="272" t="str">
        <f t="shared" si="31"/>
        <v/>
      </c>
      <c r="AO22" s="273" t="str">
        <f t="shared" si="31"/>
        <v/>
      </c>
      <c r="AP22" s="273" t="str">
        <f t="shared" si="31"/>
        <v/>
      </c>
      <c r="AQ22" s="273" t="str">
        <f t="shared" si="31"/>
        <v/>
      </c>
      <c r="AR22" s="273" t="str">
        <f t="shared" si="31"/>
        <v/>
      </c>
      <c r="AS22" s="273" t="str">
        <f t="shared" si="31"/>
        <v/>
      </c>
      <c r="AT22" s="273" t="str">
        <f t="shared" si="31"/>
        <v/>
      </c>
      <c r="AU22" s="273" t="str">
        <f t="shared" si="31"/>
        <v/>
      </c>
      <c r="AV22" s="273" t="str">
        <f t="shared" si="31"/>
        <v/>
      </c>
      <c r="AW22" s="273" t="str">
        <f t="shared" si="31"/>
        <v/>
      </c>
      <c r="AX22" s="273" t="str">
        <f t="shared" si="32"/>
        <v/>
      </c>
      <c r="AY22" s="274" t="str">
        <f t="shared" si="32"/>
        <v/>
      </c>
      <c r="AZ22" s="273" t="str">
        <f t="shared" si="32"/>
        <v/>
      </c>
      <c r="BA22" s="273" t="str">
        <f t="shared" si="32"/>
        <v/>
      </c>
      <c r="BB22" s="273" t="str">
        <f t="shared" si="32"/>
        <v/>
      </c>
      <c r="BC22" s="273" t="str">
        <f t="shared" si="32"/>
        <v/>
      </c>
      <c r="BD22" s="273" t="str">
        <f t="shared" si="32"/>
        <v/>
      </c>
      <c r="BE22" s="273" t="str">
        <f t="shared" si="32"/>
        <v/>
      </c>
      <c r="BF22" s="273" t="str">
        <f t="shared" si="32"/>
        <v/>
      </c>
      <c r="BG22" s="273" t="str">
        <f t="shared" si="32"/>
        <v/>
      </c>
      <c r="BH22" s="273" t="str">
        <f t="shared" si="33"/>
        <v/>
      </c>
      <c r="BI22" s="273" t="str">
        <f t="shared" si="33"/>
        <v/>
      </c>
      <c r="BJ22" s="273" t="str">
        <f t="shared" si="33"/>
        <v/>
      </c>
      <c r="BK22" s="274" t="str">
        <f t="shared" si="33"/>
        <v/>
      </c>
      <c r="BL22" s="273" t="str">
        <f t="shared" si="33"/>
        <v/>
      </c>
      <c r="BM22" s="273" t="str">
        <f t="shared" si="33"/>
        <v/>
      </c>
      <c r="BN22" s="273" t="str">
        <f t="shared" si="33"/>
        <v/>
      </c>
      <c r="BO22" s="273" t="str">
        <f t="shared" si="33"/>
        <v/>
      </c>
      <c r="BP22" s="273" t="str">
        <f t="shared" si="33"/>
        <v/>
      </c>
      <c r="BQ22" s="273" t="str">
        <f t="shared" si="33"/>
        <v/>
      </c>
      <c r="BR22" s="273" t="str">
        <f t="shared" si="34"/>
        <v/>
      </c>
      <c r="BS22" s="273" t="str">
        <f t="shared" si="34"/>
        <v/>
      </c>
      <c r="BT22" s="273" t="str">
        <f t="shared" si="34"/>
        <v/>
      </c>
      <c r="BU22" s="273" t="str">
        <f t="shared" si="34"/>
        <v/>
      </c>
      <c r="BV22" s="273" t="str">
        <f t="shared" si="34"/>
        <v/>
      </c>
      <c r="BW22" s="274" t="str">
        <f t="shared" si="34"/>
        <v/>
      </c>
      <c r="BX22" s="273" t="str">
        <f t="shared" si="34"/>
        <v/>
      </c>
      <c r="BY22" s="273" t="str">
        <f t="shared" si="34"/>
        <v/>
      </c>
      <c r="BZ22" s="273" t="str">
        <f t="shared" si="34"/>
        <v/>
      </c>
      <c r="CA22" s="273" t="str">
        <f t="shared" si="34"/>
        <v/>
      </c>
      <c r="CB22" s="273" t="str">
        <f t="shared" si="35"/>
        <v/>
      </c>
      <c r="CC22" s="273" t="str">
        <f t="shared" si="35"/>
        <v/>
      </c>
      <c r="CD22" s="273" t="str">
        <f t="shared" si="35"/>
        <v/>
      </c>
      <c r="CE22" s="273" t="str">
        <f t="shared" si="35"/>
        <v/>
      </c>
      <c r="CF22" s="273" t="str">
        <f t="shared" si="35"/>
        <v/>
      </c>
      <c r="CG22" s="273" t="str">
        <f t="shared" si="35"/>
        <v/>
      </c>
      <c r="CH22" s="273" t="str">
        <f t="shared" si="35"/>
        <v/>
      </c>
      <c r="CI22" s="274" t="str">
        <f t="shared" si="35"/>
        <v/>
      </c>
      <c r="CJ22" s="273" t="str">
        <f t="shared" si="35"/>
        <v/>
      </c>
      <c r="CK22" s="273" t="str">
        <f t="shared" si="35"/>
        <v/>
      </c>
      <c r="CL22" s="273" t="str">
        <f t="shared" si="36"/>
        <v/>
      </c>
      <c r="CM22" s="273" t="str">
        <f t="shared" si="36"/>
        <v/>
      </c>
      <c r="CN22" s="273" t="str">
        <f t="shared" si="36"/>
        <v/>
      </c>
      <c r="CO22" s="273" t="str">
        <f t="shared" si="36"/>
        <v/>
      </c>
      <c r="CP22" s="273" t="str">
        <f t="shared" si="36"/>
        <v/>
      </c>
      <c r="CQ22" s="273" t="str">
        <f t="shared" si="36"/>
        <v/>
      </c>
      <c r="CR22" s="273" t="str">
        <f t="shared" si="36"/>
        <v/>
      </c>
      <c r="CS22" s="273" t="str">
        <f t="shared" si="36"/>
        <v/>
      </c>
      <c r="CT22" s="273" t="str">
        <f t="shared" si="36"/>
        <v/>
      </c>
      <c r="CU22" s="274" t="str">
        <f t="shared" si="36"/>
        <v/>
      </c>
      <c r="CV22" s="273" t="str">
        <f t="shared" si="37"/>
        <v/>
      </c>
      <c r="CW22" s="273" t="str">
        <f t="shared" si="37"/>
        <v/>
      </c>
      <c r="CX22" s="273" t="str">
        <f t="shared" si="37"/>
        <v/>
      </c>
      <c r="CY22" s="273" t="str">
        <f t="shared" si="37"/>
        <v/>
      </c>
      <c r="CZ22" s="273" t="str">
        <f t="shared" si="37"/>
        <v/>
      </c>
      <c r="DA22" s="273" t="str">
        <f t="shared" si="37"/>
        <v/>
      </c>
      <c r="DB22" s="273" t="str">
        <f t="shared" si="37"/>
        <v/>
      </c>
      <c r="DC22" s="273" t="str">
        <f t="shared" si="37"/>
        <v/>
      </c>
      <c r="DD22" s="273" t="str">
        <f t="shared" si="37"/>
        <v/>
      </c>
      <c r="DE22" s="273" t="str">
        <f t="shared" si="37"/>
        <v/>
      </c>
      <c r="DF22" s="273" t="str">
        <f t="shared" si="38"/>
        <v/>
      </c>
      <c r="DG22" s="274" t="str">
        <f t="shared" si="38"/>
        <v/>
      </c>
      <c r="DH22" s="273" t="str">
        <f t="shared" si="38"/>
        <v/>
      </c>
      <c r="DI22" s="273" t="str">
        <f t="shared" si="38"/>
        <v/>
      </c>
      <c r="DJ22" s="273" t="str">
        <f t="shared" si="38"/>
        <v/>
      </c>
      <c r="DK22" s="273" t="str">
        <f t="shared" si="38"/>
        <v/>
      </c>
      <c r="DL22" s="273" t="str">
        <f t="shared" si="38"/>
        <v/>
      </c>
      <c r="DM22" s="273" t="str">
        <f t="shared" si="38"/>
        <v/>
      </c>
      <c r="DN22" s="273" t="str">
        <f t="shared" si="38"/>
        <v/>
      </c>
      <c r="DO22" s="273" t="str">
        <f t="shared" si="38"/>
        <v/>
      </c>
      <c r="DP22" s="273" t="str">
        <f t="shared" si="39"/>
        <v/>
      </c>
      <c r="DQ22" s="273" t="str">
        <f t="shared" si="39"/>
        <v/>
      </c>
      <c r="DR22" s="273" t="str">
        <f t="shared" si="39"/>
        <v/>
      </c>
      <c r="DS22" s="274" t="str">
        <f t="shared" si="39"/>
        <v/>
      </c>
      <c r="DT22" s="273" t="str">
        <f t="shared" si="39"/>
        <v/>
      </c>
      <c r="DU22" s="273" t="str">
        <f t="shared" si="39"/>
        <v/>
      </c>
      <c r="DV22" s="273" t="str">
        <f t="shared" si="39"/>
        <v/>
      </c>
      <c r="DW22" s="273" t="str">
        <f t="shared" si="39"/>
        <v/>
      </c>
      <c r="DX22" s="273" t="str">
        <f t="shared" si="39"/>
        <v/>
      </c>
      <c r="DY22" s="273" t="str">
        <f t="shared" si="39"/>
        <v/>
      </c>
      <c r="DZ22" s="273" t="str">
        <f t="shared" si="40"/>
        <v/>
      </c>
      <c r="EA22" s="273" t="str">
        <f t="shared" si="40"/>
        <v/>
      </c>
      <c r="EB22" s="273" t="str">
        <f t="shared" si="40"/>
        <v/>
      </c>
      <c r="EC22" s="273" t="str">
        <f t="shared" si="40"/>
        <v/>
      </c>
      <c r="ED22" s="273" t="str">
        <f t="shared" si="40"/>
        <v/>
      </c>
      <c r="EE22" s="274" t="str">
        <f t="shared" si="40"/>
        <v/>
      </c>
      <c r="EF22" s="273" t="str">
        <f t="shared" si="40"/>
        <v/>
      </c>
      <c r="EG22" s="273" t="str">
        <f t="shared" si="40"/>
        <v/>
      </c>
      <c r="EH22" s="273" t="str">
        <f t="shared" si="40"/>
        <v/>
      </c>
      <c r="EI22" s="273" t="str">
        <f t="shared" si="40"/>
        <v/>
      </c>
      <c r="EJ22" s="273" t="str">
        <f t="shared" si="41"/>
        <v/>
      </c>
      <c r="EK22" s="273" t="str">
        <f t="shared" si="41"/>
        <v/>
      </c>
      <c r="EL22" s="273" t="str">
        <f t="shared" si="41"/>
        <v/>
      </c>
      <c r="EM22" s="273" t="str">
        <f t="shared" si="41"/>
        <v/>
      </c>
      <c r="EN22" s="273" t="str">
        <f t="shared" si="41"/>
        <v/>
      </c>
      <c r="EO22" s="273" t="str">
        <f t="shared" si="41"/>
        <v/>
      </c>
      <c r="EP22" s="273" t="str">
        <f t="shared" si="41"/>
        <v/>
      </c>
      <c r="EQ22" s="274" t="str">
        <f t="shared" si="41"/>
        <v/>
      </c>
      <c r="ER22" s="273" t="str">
        <f t="shared" si="41"/>
        <v/>
      </c>
      <c r="ES22" s="273" t="str">
        <f t="shared" si="41"/>
        <v/>
      </c>
      <c r="ET22" s="273" t="str">
        <f t="shared" si="42"/>
        <v/>
      </c>
      <c r="EU22" s="273" t="str">
        <f t="shared" si="42"/>
        <v/>
      </c>
      <c r="EV22" s="273" t="str">
        <f t="shared" si="42"/>
        <v/>
      </c>
      <c r="EW22" s="273" t="str">
        <f t="shared" si="42"/>
        <v/>
      </c>
      <c r="EX22" s="273" t="str">
        <f t="shared" si="42"/>
        <v/>
      </c>
      <c r="EY22" s="273" t="str">
        <f t="shared" si="42"/>
        <v/>
      </c>
      <c r="EZ22" s="273" t="str">
        <f t="shared" si="42"/>
        <v/>
      </c>
      <c r="FA22" s="273" t="str">
        <f t="shared" si="42"/>
        <v/>
      </c>
      <c r="FB22" s="273" t="str">
        <f t="shared" si="42"/>
        <v/>
      </c>
      <c r="FC22" s="274" t="str">
        <f t="shared" si="42"/>
        <v/>
      </c>
      <c r="FD22" s="273" t="str">
        <f t="shared" si="43"/>
        <v/>
      </c>
      <c r="FE22" s="273" t="str">
        <f t="shared" si="43"/>
        <v/>
      </c>
      <c r="FF22" s="273" t="str">
        <f t="shared" si="43"/>
        <v/>
      </c>
      <c r="FG22" s="273" t="str">
        <f t="shared" si="43"/>
        <v/>
      </c>
      <c r="FH22" s="273" t="str">
        <f t="shared" si="43"/>
        <v/>
      </c>
      <c r="FI22" s="273" t="str">
        <f t="shared" si="43"/>
        <v/>
      </c>
      <c r="FJ22" s="273" t="str">
        <f t="shared" si="43"/>
        <v/>
      </c>
      <c r="FK22" s="273" t="str">
        <f t="shared" si="43"/>
        <v/>
      </c>
      <c r="FL22" s="273" t="str">
        <f t="shared" si="43"/>
        <v/>
      </c>
      <c r="FM22" s="273" t="str">
        <f t="shared" si="43"/>
        <v/>
      </c>
      <c r="FN22" s="273" t="str">
        <f t="shared" si="44"/>
        <v/>
      </c>
      <c r="FO22" s="274" t="str">
        <f t="shared" si="44"/>
        <v/>
      </c>
      <c r="FP22" s="273" t="str">
        <f t="shared" si="44"/>
        <v/>
      </c>
      <c r="FQ22" s="273" t="str">
        <f t="shared" si="44"/>
        <v/>
      </c>
      <c r="FR22" s="273" t="str">
        <f t="shared" si="44"/>
        <v/>
      </c>
      <c r="FS22" s="273" t="str">
        <f t="shared" si="44"/>
        <v/>
      </c>
      <c r="FT22" s="273" t="str">
        <f t="shared" si="44"/>
        <v/>
      </c>
      <c r="FU22" s="273" t="str">
        <f t="shared" si="44"/>
        <v/>
      </c>
      <c r="FV22" s="273" t="str">
        <f t="shared" si="44"/>
        <v/>
      </c>
      <c r="FW22" s="273" t="str">
        <f t="shared" si="44"/>
        <v/>
      </c>
      <c r="FX22" s="273" t="str">
        <f t="shared" si="44"/>
        <v/>
      </c>
      <c r="FY22" s="273" t="str">
        <f t="shared" si="44"/>
        <v/>
      </c>
      <c r="FZ22" s="273" t="str">
        <f t="shared" si="44"/>
        <v/>
      </c>
      <c r="GA22" s="275" t="str">
        <f t="shared" si="44"/>
        <v/>
      </c>
      <c r="GB22" s="276"/>
      <c r="GC22" s="276"/>
      <c r="GD22" s="276"/>
      <c r="GE22" s="276"/>
      <c r="GF22" s="276"/>
      <c r="GG22" s="276"/>
      <c r="GH22" s="276"/>
      <c r="GI22" s="276"/>
      <c r="GJ22" s="276"/>
      <c r="GK22" s="276"/>
      <c r="GL22" s="276"/>
      <c r="GM22" s="276"/>
      <c r="GN22" s="276"/>
      <c r="GQ22" s="263">
        <f t="shared" si="30"/>
        <v>0</v>
      </c>
    </row>
    <row r="23" spans="1:199">
      <c r="A23" s="263">
        <v>17</v>
      </c>
      <c r="B23" s="284" t="str">
        <f>IF('(7b) Project List'!F25&lt;&gt;"",'(7b) Project List'!F25," ")</f>
        <v xml:space="preserve"> </v>
      </c>
      <c r="C23" s="285" t="str">
        <f t="shared" si="0"/>
        <v xml:space="preserve"> </v>
      </c>
      <c r="D23" s="285" t="str">
        <f>IF('(7b) Project List'!G25&lt;&gt;"",'(7b) Project List'!G25,"")</f>
        <v/>
      </c>
      <c r="E23" s="285" t="str">
        <f t="shared" si="1"/>
        <v/>
      </c>
      <c r="F23" s="592" t="str">
        <f>IF('(7b) Project List'!B25="","",'P17-MCR'!I34)</f>
        <v/>
      </c>
      <c r="G23" s="593" t="str">
        <f>IF('(7b) Project List'!B25="","",'P17-MCR'!J34)</f>
        <v/>
      </c>
      <c r="H23" s="298"/>
      <c r="I23" s="1466" t="str">
        <f>IF(OR('17'!C30="",'17'!E30=""),"",DATEDIF('17'!C30,'17'!E30,"m"))</f>
        <v/>
      </c>
      <c r="J23" s="574" t="str">
        <f>IF('17'!C51="","",'17'!C51)</f>
        <v/>
      </c>
      <c r="K23" s="1470" t="str">
        <f>IF(EXP!I25="","",EXP!I25)</f>
        <v/>
      </c>
      <c r="L23" s="543" t="str">
        <f t="shared" si="2"/>
        <v/>
      </c>
      <c r="M23" s="543" t="str">
        <f t="shared" si="3"/>
        <v/>
      </c>
      <c r="N23" s="543" t="str">
        <f t="shared" si="26"/>
        <v/>
      </c>
      <c r="O23" s="574" t="str">
        <f>IF('17'!C47="","",'17'!C47)</f>
        <v/>
      </c>
      <c r="P23" s="663" t="str">
        <f>IF('17'!C52="","",'17'!C52)</f>
        <v/>
      </c>
      <c r="Q23" s="663" t="str">
        <f>IF('17'!C53="","",'17'!C53)</f>
        <v/>
      </c>
      <c r="R23" s="574" t="str">
        <f>IF('17'!C48="","",'17'!C48)</f>
        <v/>
      </c>
      <c r="S23" s="1619" t="str">
        <f t="shared" si="27"/>
        <v/>
      </c>
      <c r="T23" s="587" t="str">
        <f t="shared" si="28"/>
        <v/>
      </c>
      <c r="U23" s="540" t="str">
        <f t="shared" si="29"/>
        <v/>
      </c>
      <c r="V23" s="1467" t="str">
        <f t="shared" si="4"/>
        <v/>
      </c>
      <c r="W23" s="298"/>
      <c r="X23" s="609" t="str">
        <f>IF(EXP!H25="","",EXP!H25)</f>
        <v/>
      </c>
      <c r="Y23" s="609" t="str">
        <f>IF(EXP!D25="","",EXP!D25)</f>
        <v/>
      </c>
      <c r="Z23" s="286"/>
      <c r="AA23" s="286"/>
      <c r="AB23" s="286"/>
      <c r="AC23" s="287">
        <f>IF('(7b) Project List'!H25&lt;&gt;"",'(7b) Project List'!H25,"")</f>
        <v>0</v>
      </c>
      <c r="AD23" s="288">
        <f t="shared" si="5"/>
        <v>0</v>
      </c>
      <c r="AE23" s="288" t="str">
        <f>IF(ISERROR('(7c) Project Schedule'!K20),"",'(7c) Project Schedule'!K20)</f>
        <v/>
      </c>
      <c r="AF23" s="289" t="str">
        <f t="shared" si="6"/>
        <v xml:space="preserve"> </v>
      </c>
      <c r="AG23" s="290"/>
      <c r="AH23" s="289" t="str">
        <f t="shared" si="7"/>
        <v xml:space="preserve"> </v>
      </c>
      <c r="AI23" s="289" t="str">
        <f t="shared" si="8"/>
        <v xml:space="preserve"> </v>
      </c>
      <c r="AJ23" s="289" t="str">
        <f t="shared" si="9"/>
        <v xml:space="preserve"> </v>
      </c>
      <c r="AK23" s="1563" t="str">
        <f t="shared" si="10"/>
        <v xml:space="preserve"> </v>
      </c>
      <c r="AL23" s="1566" t="str">
        <f t="shared" si="11"/>
        <v/>
      </c>
      <c r="AN23" s="272" t="str">
        <f t="shared" si="31"/>
        <v/>
      </c>
      <c r="AO23" s="273" t="str">
        <f t="shared" si="31"/>
        <v/>
      </c>
      <c r="AP23" s="273" t="str">
        <f t="shared" si="31"/>
        <v/>
      </c>
      <c r="AQ23" s="273" t="str">
        <f t="shared" si="31"/>
        <v/>
      </c>
      <c r="AR23" s="273" t="str">
        <f t="shared" si="31"/>
        <v/>
      </c>
      <c r="AS23" s="273" t="str">
        <f t="shared" si="31"/>
        <v/>
      </c>
      <c r="AT23" s="273" t="str">
        <f t="shared" si="31"/>
        <v/>
      </c>
      <c r="AU23" s="273" t="str">
        <f t="shared" si="31"/>
        <v/>
      </c>
      <c r="AV23" s="273" t="str">
        <f t="shared" si="31"/>
        <v/>
      </c>
      <c r="AW23" s="273" t="str">
        <f t="shared" si="31"/>
        <v/>
      </c>
      <c r="AX23" s="273" t="str">
        <f t="shared" si="32"/>
        <v/>
      </c>
      <c r="AY23" s="274" t="str">
        <f t="shared" si="32"/>
        <v/>
      </c>
      <c r="AZ23" s="273" t="str">
        <f t="shared" si="32"/>
        <v/>
      </c>
      <c r="BA23" s="273" t="str">
        <f t="shared" si="32"/>
        <v/>
      </c>
      <c r="BB23" s="273" t="str">
        <f t="shared" si="32"/>
        <v/>
      </c>
      <c r="BC23" s="273" t="str">
        <f t="shared" si="32"/>
        <v/>
      </c>
      <c r="BD23" s="273" t="str">
        <f t="shared" si="32"/>
        <v/>
      </c>
      <c r="BE23" s="273" t="str">
        <f t="shared" si="32"/>
        <v/>
      </c>
      <c r="BF23" s="273" t="str">
        <f t="shared" si="32"/>
        <v/>
      </c>
      <c r="BG23" s="273" t="str">
        <f t="shared" si="32"/>
        <v/>
      </c>
      <c r="BH23" s="273" t="str">
        <f t="shared" si="33"/>
        <v/>
      </c>
      <c r="BI23" s="273" t="str">
        <f t="shared" si="33"/>
        <v/>
      </c>
      <c r="BJ23" s="273" t="str">
        <f t="shared" si="33"/>
        <v/>
      </c>
      <c r="BK23" s="274" t="str">
        <f t="shared" si="33"/>
        <v/>
      </c>
      <c r="BL23" s="273" t="str">
        <f t="shared" si="33"/>
        <v/>
      </c>
      <c r="BM23" s="273" t="str">
        <f t="shared" si="33"/>
        <v/>
      </c>
      <c r="BN23" s="273" t="str">
        <f t="shared" si="33"/>
        <v/>
      </c>
      <c r="BO23" s="273" t="str">
        <f t="shared" si="33"/>
        <v/>
      </c>
      <c r="BP23" s="273" t="str">
        <f t="shared" si="33"/>
        <v/>
      </c>
      <c r="BQ23" s="273" t="str">
        <f t="shared" si="33"/>
        <v/>
      </c>
      <c r="BR23" s="273" t="str">
        <f t="shared" si="34"/>
        <v/>
      </c>
      <c r="BS23" s="273" t="str">
        <f t="shared" si="34"/>
        <v/>
      </c>
      <c r="BT23" s="273" t="str">
        <f t="shared" si="34"/>
        <v/>
      </c>
      <c r="BU23" s="273" t="str">
        <f t="shared" si="34"/>
        <v/>
      </c>
      <c r="BV23" s="273" t="str">
        <f t="shared" si="34"/>
        <v/>
      </c>
      <c r="BW23" s="274" t="str">
        <f t="shared" si="34"/>
        <v/>
      </c>
      <c r="BX23" s="273" t="str">
        <f t="shared" si="34"/>
        <v/>
      </c>
      <c r="BY23" s="273" t="str">
        <f t="shared" si="34"/>
        <v/>
      </c>
      <c r="BZ23" s="273" t="str">
        <f t="shared" si="34"/>
        <v/>
      </c>
      <c r="CA23" s="273" t="str">
        <f t="shared" si="34"/>
        <v/>
      </c>
      <c r="CB23" s="273" t="str">
        <f t="shared" si="35"/>
        <v/>
      </c>
      <c r="CC23" s="273" t="str">
        <f t="shared" si="35"/>
        <v/>
      </c>
      <c r="CD23" s="273" t="str">
        <f t="shared" si="35"/>
        <v/>
      </c>
      <c r="CE23" s="273" t="str">
        <f t="shared" si="35"/>
        <v/>
      </c>
      <c r="CF23" s="273" t="str">
        <f t="shared" si="35"/>
        <v/>
      </c>
      <c r="CG23" s="273" t="str">
        <f t="shared" si="35"/>
        <v/>
      </c>
      <c r="CH23" s="273" t="str">
        <f t="shared" si="35"/>
        <v/>
      </c>
      <c r="CI23" s="274" t="str">
        <f t="shared" si="35"/>
        <v/>
      </c>
      <c r="CJ23" s="273" t="str">
        <f t="shared" si="35"/>
        <v/>
      </c>
      <c r="CK23" s="273" t="str">
        <f t="shared" si="35"/>
        <v/>
      </c>
      <c r="CL23" s="273" t="str">
        <f t="shared" si="36"/>
        <v/>
      </c>
      <c r="CM23" s="273" t="str">
        <f t="shared" si="36"/>
        <v/>
      </c>
      <c r="CN23" s="273" t="str">
        <f t="shared" si="36"/>
        <v/>
      </c>
      <c r="CO23" s="273" t="str">
        <f t="shared" si="36"/>
        <v/>
      </c>
      <c r="CP23" s="273" t="str">
        <f t="shared" si="36"/>
        <v/>
      </c>
      <c r="CQ23" s="273" t="str">
        <f t="shared" si="36"/>
        <v/>
      </c>
      <c r="CR23" s="273" t="str">
        <f t="shared" si="36"/>
        <v/>
      </c>
      <c r="CS23" s="273" t="str">
        <f t="shared" si="36"/>
        <v/>
      </c>
      <c r="CT23" s="273" t="str">
        <f t="shared" si="36"/>
        <v/>
      </c>
      <c r="CU23" s="274" t="str">
        <f t="shared" si="36"/>
        <v/>
      </c>
      <c r="CV23" s="273" t="str">
        <f t="shared" si="37"/>
        <v/>
      </c>
      <c r="CW23" s="273" t="str">
        <f t="shared" si="37"/>
        <v/>
      </c>
      <c r="CX23" s="273" t="str">
        <f t="shared" si="37"/>
        <v/>
      </c>
      <c r="CY23" s="273" t="str">
        <f t="shared" si="37"/>
        <v/>
      </c>
      <c r="CZ23" s="273" t="str">
        <f t="shared" si="37"/>
        <v/>
      </c>
      <c r="DA23" s="273" t="str">
        <f t="shared" si="37"/>
        <v/>
      </c>
      <c r="DB23" s="273" t="str">
        <f t="shared" si="37"/>
        <v/>
      </c>
      <c r="DC23" s="273" t="str">
        <f t="shared" si="37"/>
        <v/>
      </c>
      <c r="DD23" s="273" t="str">
        <f t="shared" si="37"/>
        <v/>
      </c>
      <c r="DE23" s="273" t="str">
        <f t="shared" si="37"/>
        <v/>
      </c>
      <c r="DF23" s="273" t="str">
        <f t="shared" si="38"/>
        <v/>
      </c>
      <c r="DG23" s="274" t="str">
        <f t="shared" si="38"/>
        <v/>
      </c>
      <c r="DH23" s="273" t="str">
        <f t="shared" si="38"/>
        <v/>
      </c>
      <c r="DI23" s="273" t="str">
        <f t="shared" si="38"/>
        <v/>
      </c>
      <c r="DJ23" s="273" t="str">
        <f t="shared" si="38"/>
        <v/>
      </c>
      <c r="DK23" s="273" t="str">
        <f t="shared" si="38"/>
        <v/>
      </c>
      <c r="DL23" s="273" t="str">
        <f t="shared" si="38"/>
        <v/>
      </c>
      <c r="DM23" s="273" t="str">
        <f t="shared" si="38"/>
        <v/>
      </c>
      <c r="DN23" s="273" t="str">
        <f t="shared" si="38"/>
        <v/>
      </c>
      <c r="DO23" s="273" t="str">
        <f t="shared" si="38"/>
        <v/>
      </c>
      <c r="DP23" s="273" t="str">
        <f t="shared" si="39"/>
        <v/>
      </c>
      <c r="DQ23" s="273" t="str">
        <f t="shared" si="39"/>
        <v/>
      </c>
      <c r="DR23" s="273" t="str">
        <f t="shared" si="39"/>
        <v/>
      </c>
      <c r="DS23" s="274" t="str">
        <f t="shared" si="39"/>
        <v/>
      </c>
      <c r="DT23" s="273" t="str">
        <f t="shared" si="39"/>
        <v/>
      </c>
      <c r="DU23" s="273" t="str">
        <f t="shared" si="39"/>
        <v/>
      </c>
      <c r="DV23" s="273" t="str">
        <f t="shared" si="39"/>
        <v/>
      </c>
      <c r="DW23" s="273" t="str">
        <f t="shared" si="39"/>
        <v/>
      </c>
      <c r="DX23" s="273" t="str">
        <f t="shared" si="39"/>
        <v/>
      </c>
      <c r="DY23" s="273" t="str">
        <f t="shared" si="39"/>
        <v/>
      </c>
      <c r="DZ23" s="273" t="str">
        <f t="shared" si="40"/>
        <v/>
      </c>
      <c r="EA23" s="273" t="str">
        <f t="shared" si="40"/>
        <v/>
      </c>
      <c r="EB23" s="273" t="str">
        <f t="shared" si="40"/>
        <v/>
      </c>
      <c r="EC23" s="273" t="str">
        <f t="shared" si="40"/>
        <v/>
      </c>
      <c r="ED23" s="273" t="str">
        <f t="shared" si="40"/>
        <v/>
      </c>
      <c r="EE23" s="274" t="str">
        <f t="shared" si="40"/>
        <v/>
      </c>
      <c r="EF23" s="273" t="str">
        <f t="shared" si="40"/>
        <v/>
      </c>
      <c r="EG23" s="273" t="str">
        <f t="shared" si="40"/>
        <v/>
      </c>
      <c r="EH23" s="273" t="str">
        <f t="shared" si="40"/>
        <v/>
      </c>
      <c r="EI23" s="273" t="str">
        <f t="shared" si="40"/>
        <v/>
      </c>
      <c r="EJ23" s="273" t="str">
        <f t="shared" si="41"/>
        <v/>
      </c>
      <c r="EK23" s="273" t="str">
        <f t="shared" si="41"/>
        <v/>
      </c>
      <c r="EL23" s="273" t="str">
        <f t="shared" si="41"/>
        <v/>
      </c>
      <c r="EM23" s="273" t="str">
        <f t="shared" si="41"/>
        <v/>
      </c>
      <c r="EN23" s="273" t="str">
        <f t="shared" si="41"/>
        <v/>
      </c>
      <c r="EO23" s="273" t="str">
        <f t="shared" si="41"/>
        <v/>
      </c>
      <c r="EP23" s="273" t="str">
        <f t="shared" si="41"/>
        <v/>
      </c>
      <c r="EQ23" s="274" t="str">
        <f t="shared" si="41"/>
        <v/>
      </c>
      <c r="ER23" s="273" t="str">
        <f t="shared" si="41"/>
        <v/>
      </c>
      <c r="ES23" s="273" t="str">
        <f t="shared" si="41"/>
        <v/>
      </c>
      <c r="ET23" s="273" t="str">
        <f t="shared" si="42"/>
        <v/>
      </c>
      <c r="EU23" s="273" t="str">
        <f t="shared" si="42"/>
        <v/>
      </c>
      <c r="EV23" s="273" t="str">
        <f t="shared" si="42"/>
        <v/>
      </c>
      <c r="EW23" s="273" t="str">
        <f t="shared" si="42"/>
        <v/>
      </c>
      <c r="EX23" s="273" t="str">
        <f t="shared" si="42"/>
        <v/>
      </c>
      <c r="EY23" s="273" t="str">
        <f t="shared" si="42"/>
        <v/>
      </c>
      <c r="EZ23" s="273" t="str">
        <f t="shared" si="42"/>
        <v/>
      </c>
      <c r="FA23" s="273" t="str">
        <f t="shared" si="42"/>
        <v/>
      </c>
      <c r="FB23" s="273" t="str">
        <f t="shared" si="42"/>
        <v/>
      </c>
      <c r="FC23" s="274" t="str">
        <f t="shared" si="42"/>
        <v/>
      </c>
      <c r="FD23" s="273" t="str">
        <f t="shared" si="43"/>
        <v/>
      </c>
      <c r="FE23" s="273" t="str">
        <f t="shared" si="43"/>
        <v/>
      </c>
      <c r="FF23" s="273" t="str">
        <f t="shared" si="43"/>
        <v/>
      </c>
      <c r="FG23" s="273" t="str">
        <f t="shared" si="43"/>
        <v/>
      </c>
      <c r="FH23" s="273" t="str">
        <f t="shared" si="43"/>
        <v/>
      </c>
      <c r="FI23" s="273" t="str">
        <f t="shared" si="43"/>
        <v/>
      </c>
      <c r="FJ23" s="273" t="str">
        <f t="shared" si="43"/>
        <v/>
      </c>
      <c r="FK23" s="273" t="str">
        <f t="shared" si="43"/>
        <v/>
      </c>
      <c r="FL23" s="273" t="str">
        <f t="shared" si="43"/>
        <v/>
      </c>
      <c r="FM23" s="273" t="str">
        <f t="shared" si="43"/>
        <v/>
      </c>
      <c r="FN23" s="273" t="str">
        <f t="shared" si="44"/>
        <v/>
      </c>
      <c r="FO23" s="274" t="str">
        <f t="shared" si="44"/>
        <v/>
      </c>
      <c r="FP23" s="273" t="str">
        <f t="shared" si="44"/>
        <v/>
      </c>
      <c r="FQ23" s="273" t="str">
        <f t="shared" si="44"/>
        <v/>
      </c>
      <c r="FR23" s="273" t="str">
        <f t="shared" si="44"/>
        <v/>
      </c>
      <c r="FS23" s="273" t="str">
        <f t="shared" si="44"/>
        <v/>
      </c>
      <c r="FT23" s="273" t="str">
        <f t="shared" si="44"/>
        <v/>
      </c>
      <c r="FU23" s="273" t="str">
        <f t="shared" si="44"/>
        <v/>
      </c>
      <c r="FV23" s="273" t="str">
        <f t="shared" si="44"/>
        <v/>
      </c>
      <c r="FW23" s="273" t="str">
        <f t="shared" si="44"/>
        <v/>
      </c>
      <c r="FX23" s="273" t="str">
        <f t="shared" si="44"/>
        <v/>
      </c>
      <c r="FY23" s="273" t="str">
        <f t="shared" si="44"/>
        <v/>
      </c>
      <c r="FZ23" s="273" t="str">
        <f t="shared" si="44"/>
        <v/>
      </c>
      <c r="GA23" s="275" t="str">
        <f t="shared" si="44"/>
        <v/>
      </c>
      <c r="GB23" s="276"/>
      <c r="GC23" s="276"/>
      <c r="GD23" s="276"/>
      <c r="GE23" s="276"/>
      <c r="GF23" s="276"/>
      <c r="GG23" s="276"/>
      <c r="GH23" s="276"/>
      <c r="GI23" s="276"/>
      <c r="GJ23" s="276"/>
      <c r="GK23" s="276"/>
      <c r="GL23" s="276"/>
      <c r="GM23" s="276"/>
      <c r="GN23" s="276"/>
      <c r="GQ23" s="263">
        <f t="shared" si="30"/>
        <v>0</v>
      </c>
    </row>
    <row r="24" spans="1:199" hidden="1">
      <c r="A24" s="263">
        <v>18</v>
      </c>
      <c r="B24" s="291" t="str">
        <f>IF('(7b) Project List'!F26&lt;&gt;"",'(7b) Project List'!F26," ")</f>
        <v xml:space="preserve"> </v>
      </c>
      <c r="C24" s="291" t="str">
        <f t="shared" si="0"/>
        <v xml:space="preserve"> </v>
      </c>
      <c r="D24" s="291" t="str">
        <f>IF('(7b) Project List'!G26&lt;&gt;"",'(7b) Project List'!G26,"")</f>
        <v/>
      </c>
      <c r="E24" s="291" t="str">
        <f t="shared" si="1"/>
        <v/>
      </c>
      <c r="F24" s="291"/>
      <c r="G24" s="291"/>
      <c r="H24" s="298"/>
      <c r="I24" s="291"/>
      <c r="J24" s="291"/>
      <c r="K24" s="291"/>
      <c r="L24" s="291"/>
      <c r="M24" s="291"/>
      <c r="N24" s="291"/>
      <c r="O24" s="291"/>
      <c r="P24" s="291"/>
      <c r="Q24" s="291"/>
      <c r="R24" s="535"/>
      <c r="S24" s="535"/>
      <c r="T24" s="291"/>
      <c r="U24" s="291"/>
      <c r="V24" s="291"/>
      <c r="W24" s="298"/>
      <c r="X24" s="298"/>
      <c r="Y24" s="298"/>
      <c r="Z24" s="263"/>
      <c r="AA24" s="263"/>
      <c r="AB24" s="263"/>
      <c r="AC24" s="263" t="str">
        <f>IF('(7b) Project List'!H26&lt;&gt;"",'(7b) Project List'!H26,"")</f>
        <v/>
      </c>
      <c r="AD24" s="253" t="str">
        <f>IF((AE24&lt;&gt;MIN($AF$3,COUNTIF(AN24:GA24,"&gt;0")))*(AE24&gt;0)*(AE24&lt;&gt;""),MIN($AF$3,COUNTIF(AN24:GA24,"&gt;0"))/AE24*SUM(AN24:GA24)/COUNTIF(AN24:GA24,"&gt;0"),IF(ISERROR(AVERAGE(AN24:GA24)),AC24,IF(AC24="","",IF(D24&lt;$C$6,AC24,AVERAGE(AN24:GA24)))))</f>
        <v/>
      </c>
      <c r="AE24" s="253">
        <f>'(7c) Project Schedule'!K21</f>
        <v>0</v>
      </c>
      <c r="AF24" s="255" t="str">
        <f t="shared" si="6"/>
        <v xml:space="preserve"> </v>
      </c>
      <c r="AH24" s="255" t="str">
        <f t="shared" ref="AH24:AH26" si="45">IF($Z24="D",$AF24," ")</f>
        <v xml:space="preserve"> </v>
      </c>
      <c r="AI24" s="255" t="str">
        <f t="shared" ref="AI24:AI26" si="46">IF($Z24="C",$AF24," ")</f>
        <v xml:space="preserve"> </v>
      </c>
      <c r="AJ24" s="255" t="str">
        <f t="shared" ref="AJ24:AJ26" si="47">IF($Z24="B",$AF24," ")</f>
        <v xml:space="preserve"> </v>
      </c>
      <c r="AK24" s="255" t="str">
        <f t="shared" ref="AK24:AK26" si="48">IF($Z24="A",$AF24," ")</f>
        <v xml:space="preserve"> </v>
      </c>
      <c r="AN24" s="272" t="str">
        <f t="shared" si="31"/>
        <v/>
      </c>
      <c r="AO24" s="273" t="str">
        <f t="shared" si="31"/>
        <v/>
      </c>
      <c r="AP24" s="273" t="str">
        <f t="shared" si="31"/>
        <v/>
      </c>
      <c r="AQ24" s="273" t="str">
        <f t="shared" si="31"/>
        <v/>
      </c>
      <c r="AR24" s="273" t="str">
        <f t="shared" si="31"/>
        <v/>
      </c>
      <c r="AS24" s="273" t="str">
        <f t="shared" si="31"/>
        <v/>
      </c>
      <c r="AT24" s="273" t="str">
        <f t="shared" si="31"/>
        <v/>
      </c>
      <c r="AU24" s="273" t="str">
        <f t="shared" si="31"/>
        <v/>
      </c>
      <c r="AV24" s="273" t="str">
        <f t="shared" si="31"/>
        <v/>
      </c>
      <c r="AW24" s="273" t="str">
        <f t="shared" si="31"/>
        <v/>
      </c>
      <c r="AX24" s="273" t="str">
        <f t="shared" si="32"/>
        <v/>
      </c>
      <c r="AY24" s="274" t="str">
        <f t="shared" si="32"/>
        <v/>
      </c>
      <c r="AZ24" s="273" t="str">
        <f t="shared" si="32"/>
        <v/>
      </c>
      <c r="BA24" s="273" t="str">
        <f t="shared" si="32"/>
        <v/>
      </c>
      <c r="BB24" s="273" t="str">
        <f t="shared" si="32"/>
        <v/>
      </c>
      <c r="BC24" s="273" t="str">
        <f t="shared" si="32"/>
        <v/>
      </c>
      <c r="BD24" s="273" t="str">
        <f t="shared" si="32"/>
        <v/>
      </c>
      <c r="BE24" s="273" t="str">
        <f t="shared" si="32"/>
        <v/>
      </c>
      <c r="BF24" s="273" t="str">
        <f t="shared" si="32"/>
        <v/>
      </c>
      <c r="BG24" s="273" t="str">
        <f t="shared" si="32"/>
        <v/>
      </c>
      <c r="BH24" s="273" t="str">
        <f t="shared" si="33"/>
        <v/>
      </c>
      <c r="BI24" s="273" t="str">
        <f t="shared" si="33"/>
        <v/>
      </c>
      <c r="BJ24" s="273" t="str">
        <f t="shared" si="33"/>
        <v/>
      </c>
      <c r="BK24" s="274" t="str">
        <f t="shared" si="33"/>
        <v/>
      </c>
      <c r="BL24" s="273" t="str">
        <f t="shared" si="33"/>
        <v/>
      </c>
      <c r="BM24" s="273" t="str">
        <f t="shared" si="33"/>
        <v/>
      </c>
      <c r="BN24" s="273" t="str">
        <f t="shared" si="33"/>
        <v/>
      </c>
      <c r="BO24" s="273" t="str">
        <f t="shared" si="33"/>
        <v/>
      </c>
      <c r="BP24" s="273" t="str">
        <f t="shared" si="33"/>
        <v/>
      </c>
      <c r="BQ24" s="273" t="str">
        <f t="shared" si="33"/>
        <v/>
      </c>
      <c r="BR24" s="273" t="str">
        <f t="shared" si="34"/>
        <v/>
      </c>
      <c r="BS24" s="273" t="str">
        <f t="shared" si="34"/>
        <v/>
      </c>
      <c r="BT24" s="273" t="str">
        <f t="shared" si="34"/>
        <v/>
      </c>
      <c r="BU24" s="273" t="str">
        <f t="shared" si="34"/>
        <v/>
      </c>
      <c r="BV24" s="273" t="str">
        <f t="shared" si="34"/>
        <v/>
      </c>
      <c r="BW24" s="274" t="str">
        <f t="shared" si="34"/>
        <v/>
      </c>
      <c r="BX24" s="273" t="str">
        <f t="shared" si="34"/>
        <v/>
      </c>
      <c r="BY24" s="273" t="str">
        <f t="shared" si="34"/>
        <v/>
      </c>
      <c r="BZ24" s="273" t="str">
        <f t="shared" si="34"/>
        <v/>
      </c>
      <c r="CA24" s="273" t="str">
        <f t="shared" si="34"/>
        <v/>
      </c>
      <c r="CB24" s="273" t="str">
        <f t="shared" si="35"/>
        <v/>
      </c>
      <c r="CC24" s="273" t="str">
        <f t="shared" si="35"/>
        <v/>
      </c>
      <c r="CD24" s="273" t="str">
        <f t="shared" si="35"/>
        <v/>
      </c>
      <c r="CE24" s="273" t="str">
        <f t="shared" si="35"/>
        <v/>
      </c>
      <c r="CF24" s="273" t="str">
        <f t="shared" si="35"/>
        <v/>
      </c>
      <c r="CG24" s="273" t="str">
        <f t="shared" si="35"/>
        <v/>
      </c>
      <c r="CH24" s="273" t="str">
        <f t="shared" si="35"/>
        <v/>
      </c>
      <c r="CI24" s="274" t="str">
        <f t="shared" si="35"/>
        <v/>
      </c>
      <c r="CJ24" s="273" t="str">
        <f t="shared" si="35"/>
        <v/>
      </c>
      <c r="CK24" s="273" t="str">
        <f t="shared" si="35"/>
        <v/>
      </c>
      <c r="CL24" s="273" t="str">
        <f t="shared" si="36"/>
        <v/>
      </c>
      <c r="CM24" s="273" t="str">
        <f t="shared" si="36"/>
        <v/>
      </c>
      <c r="CN24" s="273" t="str">
        <f t="shared" si="36"/>
        <v/>
      </c>
      <c r="CO24" s="273" t="str">
        <f t="shared" si="36"/>
        <v/>
      </c>
      <c r="CP24" s="273" t="str">
        <f t="shared" si="36"/>
        <v/>
      </c>
      <c r="CQ24" s="273" t="str">
        <f t="shared" si="36"/>
        <v/>
      </c>
      <c r="CR24" s="273" t="str">
        <f t="shared" si="36"/>
        <v/>
      </c>
      <c r="CS24" s="273" t="str">
        <f t="shared" si="36"/>
        <v/>
      </c>
      <c r="CT24" s="273" t="str">
        <f t="shared" si="36"/>
        <v/>
      </c>
      <c r="CU24" s="274" t="str">
        <f t="shared" si="36"/>
        <v/>
      </c>
      <c r="CV24" s="273" t="str">
        <f t="shared" si="37"/>
        <v/>
      </c>
      <c r="CW24" s="273" t="str">
        <f t="shared" si="37"/>
        <v/>
      </c>
      <c r="CX24" s="273" t="str">
        <f t="shared" si="37"/>
        <v/>
      </c>
      <c r="CY24" s="273" t="str">
        <f t="shared" si="37"/>
        <v/>
      </c>
      <c r="CZ24" s="273" t="str">
        <f t="shared" si="37"/>
        <v/>
      </c>
      <c r="DA24" s="273" t="str">
        <f t="shared" si="37"/>
        <v/>
      </c>
      <c r="DB24" s="273" t="str">
        <f t="shared" si="37"/>
        <v/>
      </c>
      <c r="DC24" s="273" t="str">
        <f t="shared" si="37"/>
        <v/>
      </c>
      <c r="DD24" s="273" t="str">
        <f t="shared" si="37"/>
        <v/>
      </c>
      <c r="DE24" s="273" t="str">
        <f t="shared" si="37"/>
        <v/>
      </c>
      <c r="DF24" s="273" t="str">
        <f t="shared" si="38"/>
        <v/>
      </c>
      <c r="DG24" s="274" t="str">
        <f t="shared" si="38"/>
        <v/>
      </c>
      <c r="DH24" s="273" t="str">
        <f t="shared" si="38"/>
        <v/>
      </c>
      <c r="DI24" s="273" t="str">
        <f t="shared" si="38"/>
        <v/>
      </c>
      <c r="DJ24" s="273" t="str">
        <f t="shared" si="38"/>
        <v/>
      </c>
      <c r="DK24" s="273" t="str">
        <f t="shared" si="38"/>
        <v/>
      </c>
      <c r="DL24" s="273" t="str">
        <f t="shared" si="38"/>
        <v/>
      </c>
      <c r="DM24" s="273" t="str">
        <f t="shared" si="38"/>
        <v/>
      </c>
      <c r="DN24" s="273" t="str">
        <f t="shared" si="38"/>
        <v/>
      </c>
      <c r="DO24" s="273" t="str">
        <f t="shared" si="38"/>
        <v/>
      </c>
      <c r="DP24" s="273" t="str">
        <f t="shared" si="39"/>
        <v/>
      </c>
      <c r="DQ24" s="273" t="str">
        <f t="shared" si="39"/>
        <v/>
      </c>
      <c r="DR24" s="273" t="str">
        <f t="shared" si="39"/>
        <v/>
      </c>
      <c r="DS24" s="274" t="str">
        <f t="shared" si="39"/>
        <v/>
      </c>
      <c r="DT24" s="273" t="str">
        <f t="shared" si="39"/>
        <v/>
      </c>
      <c r="DU24" s="273" t="str">
        <f t="shared" si="39"/>
        <v/>
      </c>
      <c r="DV24" s="273" t="str">
        <f t="shared" si="39"/>
        <v/>
      </c>
      <c r="DW24" s="273" t="str">
        <f t="shared" si="39"/>
        <v/>
      </c>
      <c r="DX24" s="273" t="str">
        <f t="shared" si="39"/>
        <v/>
      </c>
      <c r="DY24" s="273" t="str">
        <f t="shared" si="39"/>
        <v/>
      </c>
      <c r="DZ24" s="273" t="str">
        <f t="shared" si="40"/>
        <v/>
      </c>
      <c r="EA24" s="273" t="str">
        <f t="shared" si="40"/>
        <v/>
      </c>
      <c r="EB24" s="273" t="str">
        <f t="shared" si="40"/>
        <v/>
      </c>
      <c r="EC24" s="273" t="str">
        <f t="shared" si="40"/>
        <v/>
      </c>
      <c r="ED24" s="273" t="str">
        <f t="shared" si="40"/>
        <v/>
      </c>
      <c r="EE24" s="274" t="str">
        <f t="shared" si="40"/>
        <v/>
      </c>
      <c r="EF24" s="273" t="str">
        <f t="shared" si="40"/>
        <v/>
      </c>
      <c r="EG24" s="273" t="str">
        <f t="shared" si="40"/>
        <v/>
      </c>
      <c r="EH24" s="273" t="str">
        <f t="shared" si="40"/>
        <v/>
      </c>
      <c r="EI24" s="273" t="str">
        <f t="shared" si="40"/>
        <v/>
      </c>
      <c r="EJ24" s="273" t="str">
        <f t="shared" si="41"/>
        <v/>
      </c>
      <c r="EK24" s="273" t="str">
        <f t="shared" si="41"/>
        <v/>
      </c>
      <c r="EL24" s="273" t="str">
        <f t="shared" si="41"/>
        <v/>
      </c>
      <c r="EM24" s="273" t="str">
        <f t="shared" si="41"/>
        <v/>
      </c>
      <c r="EN24" s="273" t="str">
        <f t="shared" si="41"/>
        <v/>
      </c>
      <c r="EO24" s="273" t="str">
        <f t="shared" si="41"/>
        <v/>
      </c>
      <c r="EP24" s="273" t="str">
        <f t="shared" si="41"/>
        <v/>
      </c>
      <c r="EQ24" s="274" t="str">
        <f t="shared" si="41"/>
        <v/>
      </c>
      <c r="ER24" s="273" t="str">
        <f t="shared" si="41"/>
        <v/>
      </c>
      <c r="ES24" s="273" t="str">
        <f t="shared" si="41"/>
        <v/>
      </c>
      <c r="ET24" s="273" t="str">
        <f t="shared" si="42"/>
        <v/>
      </c>
      <c r="EU24" s="273" t="str">
        <f t="shared" si="42"/>
        <v/>
      </c>
      <c r="EV24" s="273" t="str">
        <f t="shared" si="42"/>
        <v/>
      </c>
      <c r="EW24" s="273" t="str">
        <f t="shared" si="42"/>
        <v/>
      </c>
      <c r="EX24" s="273" t="str">
        <f t="shared" si="42"/>
        <v/>
      </c>
      <c r="EY24" s="273" t="str">
        <f t="shared" si="42"/>
        <v/>
      </c>
      <c r="EZ24" s="273" t="str">
        <f t="shared" si="42"/>
        <v/>
      </c>
      <c r="FA24" s="273" t="str">
        <f t="shared" si="42"/>
        <v/>
      </c>
      <c r="FB24" s="273" t="str">
        <f t="shared" si="42"/>
        <v/>
      </c>
      <c r="FC24" s="274" t="str">
        <f t="shared" si="42"/>
        <v/>
      </c>
      <c r="FD24" s="273" t="str">
        <f t="shared" si="43"/>
        <v/>
      </c>
      <c r="FE24" s="273" t="str">
        <f t="shared" si="43"/>
        <v/>
      </c>
      <c r="FF24" s="273" t="str">
        <f t="shared" si="43"/>
        <v/>
      </c>
      <c r="FG24" s="273" t="str">
        <f t="shared" si="43"/>
        <v/>
      </c>
      <c r="FH24" s="273" t="str">
        <f t="shared" si="43"/>
        <v/>
      </c>
      <c r="FI24" s="273" t="str">
        <f t="shared" si="43"/>
        <v/>
      </c>
      <c r="FJ24" s="273" t="str">
        <f t="shared" si="43"/>
        <v/>
      </c>
      <c r="FK24" s="273" t="str">
        <f t="shared" si="43"/>
        <v/>
      </c>
      <c r="FL24" s="273" t="str">
        <f t="shared" si="43"/>
        <v/>
      </c>
      <c r="FM24" s="273" t="str">
        <f t="shared" si="43"/>
        <v/>
      </c>
      <c r="FN24" s="273" t="str">
        <f t="shared" si="44"/>
        <v/>
      </c>
      <c r="FO24" s="274" t="str">
        <f t="shared" si="44"/>
        <v/>
      </c>
      <c r="FP24" s="273" t="str">
        <f t="shared" si="44"/>
        <v/>
      </c>
      <c r="FQ24" s="273" t="str">
        <f t="shared" si="44"/>
        <v/>
      </c>
      <c r="FR24" s="273" t="str">
        <f t="shared" si="44"/>
        <v/>
      </c>
      <c r="FS24" s="273" t="str">
        <f t="shared" si="44"/>
        <v/>
      </c>
      <c r="FT24" s="273" t="str">
        <f t="shared" si="44"/>
        <v/>
      </c>
      <c r="FU24" s="273" t="str">
        <f t="shared" si="44"/>
        <v/>
      </c>
      <c r="FV24" s="273" t="str">
        <f t="shared" si="44"/>
        <v/>
      </c>
      <c r="FW24" s="273" t="str">
        <f t="shared" si="44"/>
        <v/>
      </c>
      <c r="FX24" s="273" t="str">
        <f t="shared" si="44"/>
        <v/>
      </c>
      <c r="FY24" s="273" t="str">
        <f t="shared" si="44"/>
        <v/>
      </c>
      <c r="FZ24" s="273" t="str">
        <f t="shared" si="44"/>
        <v/>
      </c>
      <c r="GA24" s="275" t="str">
        <f t="shared" si="44"/>
        <v/>
      </c>
      <c r="GB24" s="276"/>
      <c r="GC24" s="276"/>
      <c r="GD24" s="276"/>
      <c r="GE24" s="276"/>
      <c r="GF24" s="276"/>
      <c r="GG24" s="276"/>
      <c r="GH24" s="276"/>
      <c r="GI24" s="276"/>
      <c r="GJ24" s="276"/>
      <c r="GK24" s="276"/>
      <c r="GL24" s="276"/>
      <c r="GM24" s="276"/>
      <c r="GN24" s="276"/>
    </row>
    <row r="25" spans="1:199" hidden="1">
      <c r="A25" s="263">
        <v>19</v>
      </c>
      <c r="B25" s="291" t="str">
        <f>IF('(7b) Project List'!F27&lt;&gt;"",'(7b) Project List'!F27," ")</f>
        <v xml:space="preserve"> </v>
      </c>
      <c r="C25" s="291" t="str">
        <f t="shared" si="0"/>
        <v xml:space="preserve"> </v>
      </c>
      <c r="D25" s="291" t="str">
        <f>IF('(7b) Project List'!G27&lt;&gt;"",'(7b) Project List'!G27,"")</f>
        <v/>
      </c>
      <c r="E25" s="291" t="str">
        <f t="shared" si="1"/>
        <v/>
      </c>
      <c r="F25" s="291"/>
      <c r="G25" s="291"/>
      <c r="H25" s="298"/>
      <c r="I25" s="291"/>
      <c r="J25" s="291"/>
      <c r="K25" s="291"/>
      <c r="L25" s="291"/>
      <c r="M25" s="291"/>
      <c r="N25" s="291"/>
      <c r="O25" s="291"/>
      <c r="P25" s="291"/>
      <c r="Q25" s="291"/>
      <c r="R25" s="535"/>
      <c r="S25" s="535"/>
      <c r="T25" s="291"/>
      <c r="U25" s="291"/>
      <c r="V25" s="291"/>
      <c r="W25" s="298"/>
      <c r="X25" s="298"/>
      <c r="Y25" s="298"/>
      <c r="Z25" s="263"/>
      <c r="AA25" s="263"/>
      <c r="AB25" s="263"/>
      <c r="AC25" s="263" t="str">
        <f>IF('(7b) Project List'!H27&lt;&gt;"",'(7b) Project List'!H27,"")</f>
        <v/>
      </c>
      <c r="AD25" s="253" t="str">
        <f>IF((AE25&lt;&gt;MIN($AF$3,COUNTIF(AN25:GA25,"&gt;0")))*(AE25&gt;0)*(AE25&lt;&gt;""),MIN($AF$3,COUNTIF(AN25:GA25,"&gt;0"))/AE25*SUM(AN25:GA25)/COUNTIF(AN25:GA25,"&gt;0"),IF(ISERROR(AVERAGE(AN25:GA25)),AC25,IF(AC25="","",IF(D25&lt;$C$6,AC25,AVERAGE(AN25:GA25)))))</f>
        <v/>
      </c>
      <c r="AE25" s="253">
        <f>'(7c) Project Schedule'!K22</f>
        <v>0</v>
      </c>
      <c r="AF25" s="255" t="str">
        <f t="shared" si="6"/>
        <v xml:space="preserve"> </v>
      </c>
      <c r="AH25" s="255" t="str">
        <f t="shared" si="45"/>
        <v xml:space="preserve"> </v>
      </c>
      <c r="AI25" s="255" t="str">
        <f t="shared" si="46"/>
        <v xml:space="preserve"> </v>
      </c>
      <c r="AJ25" s="255" t="str">
        <f t="shared" si="47"/>
        <v xml:space="preserve"> </v>
      </c>
      <c r="AK25" s="255" t="str">
        <f t="shared" si="48"/>
        <v xml:space="preserve"> </v>
      </c>
      <c r="AN25" s="272" t="str">
        <f t="shared" si="31"/>
        <v/>
      </c>
      <c r="AO25" s="273" t="str">
        <f t="shared" si="31"/>
        <v/>
      </c>
      <c r="AP25" s="273" t="str">
        <f t="shared" si="31"/>
        <v/>
      </c>
      <c r="AQ25" s="273" t="str">
        <f t="shared" si="31"/>
        <v/>
      </c>
      <c r="AR25" s="273" t="str">
        <f t="shared" si="31"/>
        <v/>
      </c>
      <c r="AS25" s="273" t="str">
        <f t="shared" si="31"/>
        <v/>
      </c>
      <c r="AT25" s="273" t="str">
        <f t="shared" si="31"/>
        <v/>
      </c>
      <c r="AU25" s="273" t="str">
        <f t="shared" si="31"/>
        <v/>
      </c>
      <c r="AV25" s="273" t="str">
        <f t="shared" si="31"/>
        <v/>
      </c>
      <c r="AW25" s="273" t="str">
        <f t="shared" si="31"/>
        <v/>
      </c>
      <c r="AX25" s="273" t="str">
        <f t="shared" si="32"/>
        <v/>
      </c>
      <c r="AY25" s="274" t="str">
        <f t="shared" si="32"/>
        <v/>
      </c>
      <c r="AZ25" s="273" t="str">
        <f t="shared" si="32"/>
        <v/>
      </c>
      <c r="BA25" s="273" t="str">
        <f t="shared" si="32"/>
        <v/>
      </c>
      <c r="BB25" s="273" t="str">
        <f t="shared" si="32"/>
        <v/>
      </c>
      <c r="BC25" s="273" t="str">
        <f t="shared" si="32"/>
        <v/>
      </c>
      <c r="BD25" s="273" t="str">
        <f t="shared" si="32"/>
        <v/>
      </c>
      <c r="BE25" s="273" t="str">
        <f t="shared" si="32"/>
        <v/>
      </c>
      <c r="BF25" s="273" t="str">
        <f t="shared" si="32"/>
        <v/>
      </c>
      <c r="BG25" s="273" t="str">
        <f t="shared" si="32"/>
        <v/>
      </c>
      <c r="BH25" s="273" t="str">
        <f t="shared" si="33"/>
        <v/>
      </c>
      <c r="BI25" s="273" t="str">
        <f t="shared" si="33"/>
        <v/>
      </c>
      <c r="BJ25" s="273" t="str">
        <f t="shared" si="33"/>
        <v/>
      </c>
      <c r="BK25" s="274" t="str">
        <f t="shared" si="33"/>
        <v/>
      </c>
      <c r="BL25" s="273" t="str">
        <f t="shared" si="33"/>
        <v/>
      </c>
      <c r="BM25" s="273" t="str">
        <f t="shared" si="33"/>
        <v/>
      </c>
      <c r="BN25" s="273" t="str">
        <f t="shared" si="33"/>
        <v/>
      </c>
      <c r="BO25" s="273" t="str">
        <f t="shared" si="33"/>
        <v/>
      </c>
      <c r="BP25" s="273" t="str">
        <f t="shared" si="33"/>
        <v/>
      </c>
      <c r="BQ25" s="273" t="str">
        <f t="shared" si="33"/>
        <v/>
      </c>
      <c r="BR25" s="273" t="str">
        <f t="shared" si="34"/>
        <v/>
      </c>
      <c r="BS25" s="273" t="str">
        <f t="shared" si="34"/>
        <v/>
      </c>
      <c r="BT25" s="273" t="str">
        <f t="shared" si="34"/>
        <v/>
      </c>
      <c r="BU25" s="273" t="str">
        <f t="shared" si="34"/>
        <v/>
      </c>
      <c r="BV25" s="273" t="str">
        <f t="shared" si="34"/>
        <v/>
      </c>
      <c r="BW25" s="274" t="str">
        <f t="shared" si="34"/>
        <v/>
      </c>
      <c r="BX25" s="273" t="str">
        <f t="shared" si="34"/>
        <v/>
      </c>
      <c r="BY25" s="273" t="str">
        <f t="shared" si="34"/>
        <v/>
      </c>
      <c r="BZ25" s="273" t="str">
        <f t="shared" si="34"/>
        <v/>
      </c>
      <c r="CA25" s="273" t="str">
        <f t="shared" si="34"/>
        <v/>
      </c>
      <c r="CB25" s="273" t="str">
        <f t="shared" si="35"/>
        <v/>
      </c>
      <c r="CC25" s="273" t="str">
        <f t="shared" si="35"/>
        <v/>
      </c>
      <c r="CD25" s="273" t="str">
        <f t="shared" si="35"/>
        <v/>
      </c>
      <c r="CE25" s="273" t="str">
        <f t="shared" si="35"/>
        <v/>
      </c>
      <c r="CF25" s="273" t="str">
        <f t="shared" si="35"/>
        <v/>
      </c>
      <c r="CG25" s="273" t="str">
        <f t="shared" si="35"/>
        <v/>
      </c>
      <c r="CH25" s="273" t="str">
        <f t="shared" si="35"/>
        <v/>
      </c>
      <c r="CI25" s="274" t="str">
        <f t="shared" si="35"/>
        <v/>
      </c>
      <c r="CJ25" s="273" t="str">
        <f t="shared" si="35"/>
        <v/>
      </c>
      <c r="CK25" s="273" t="str">
        <f t="shared" si="35"/>
        <v/>
      </c>
      <c r="CL25" s="273" t="str">
        <f t="shared" si="36"/>
        <v/>
      </c>
      <c r="CM25" s="273" t="str">
        <f t="shared" si="36"/>
        <v/>
      </c>
      <c r="CN25" s="273" t="str">
        <f t="shared" si="36"/>
        <v/>
      </c>
      <c r="CO25" s="273" t="str">
        <f t="shared" si="36"/>
        <v/>
      </c>
      <c r="CP25" s="273" t="str">
        <f t="shared" si="36"/>
        <v/>
      </c>
      <c r="CQ25" s="273" t="str">
        <f t="shared" si="36"/>
        <v/>
      </c>
      <c r="CR25" s="273" t="str">
        <f t="shared" si="36"/>
        <v/>
      </c>
      <c r="CS25" s="273" t="str">
        <f t="shared" si="36"/>
        <v/>
      </c>
      <c r="CT25" s="273" t="str">
        <f t="shared" si="36"/>
        <v/>
      </c>
      <c r="CU25" s="274" t="str">
        <f t="shared" si="36"/>
        <v/>
      </c>
      <c r="CV25" s="273" t="str">
        <f t="shared" si="37"/>
        <v/>
      </c>
      <c r="CW25" s="273" t="str">
        <f t="shared" si="37"/>
        <v/>
      </c>
      <c r="CX25" s="273" t="str">
        <f t="shared" si="37"/>
        <v/>
      </c>
      <c r="CY25" s="273" t="str">
        <f t="shared" si="37"/>
        <v/>
      </c>
      <c r="CZ25" s="273" t="str">
        <f t="shared" si="37"/>
        <v/>
      </c>
      <c r="DA25" s="273" t="str">
        <f t="shared" si="37"/>
        <v/>
      </c>
      <c r="DB25" s="273" t="str">
        <f t="shared" si="37"/>
        <v/>
      </c>
      <c r="DC25" s="273" t="str">
        <f t="shared" si="37"/>
        <v/>
      </c>
      <c r="DD25" s="273" t="str">
        <f t="shared" si="37"/>
        <v/>
      </c>
      <c r="DE25" s="273" t="str">
        <f t="shared" si="37"/>
        <v/>
      </c>
      <c r="DF25" s="273" t="str">
        <f t="shared" si="38"/>
        <v/>
      </c>
      <c r="DG25" s="274" t="str">
        <f t="shared" si="38"/>
        <v/>
      </c>
      <c r="DH25" s="273" t="str">
        <f t="shared" si="38"/>
        <v/>
      </c>
      <c r="DI25" s="273" t="str">
        <f t="shared" si="38"/>
        <v/>
      </c>
      <c r="DJ25" s="273" t="str">
        <f t="shared" si="38"/>
        <v/>
      </c>
      <c r="DK25" s="273" t="str">
        <f t="shared" si="38"/>
        <v/>
      </c>
      <c r="DL25" s="273" t="str">
        <f t="shared" si="38"/>
        <v/>
      </c>
      <c r="DM25" s="273" t="str">
        <f t="shared" si="38"/>
        <v/>
      </c>
      <c r="DN25" s="273" t="str">
        <f t="shared" si="38"/>
        <v/>
      </c>
      <c r="DO25" s="273" t="str">
        <f t="shared" si="38"/>
        <v/>
      </c>
      <c r="DP25" s="273" t="str">
        <f t="shared" si="39"/>
        <v/>
      </c>
      <c r="DQ25" s="273" t="str">
        <f t="shared" si="39"/>
        <v/>
      </c>
      <c r="DR25" s="273" t="str">
        <f t="shared" si="39"/>
        <v/>
      </c>
      <c r="DS25" s="274" t="str">
        <f t="shared" si="39"/>
        <v/>
      </c>
      <c r="DT25" s="273" t="str">
        <f t="shared" si="39"/>
        <v/>
      </c>
      <c r="DU25" s="273" t="str">
        <f t="shared" si="39"/>
        <v/>
      </c>
      <c r="DV25" s="273" t="str">
        <f t="shared" si="39"/>
        <v/>
      </c>
      <c r="DW25" s="273" t="str">
        <f t="shared" si="39"/>
        <v/>
      </c>
      <c r="DX25" s="273" t="str">
        <f t="shared" si="39"/>
        <v/>
      </c>
      <c r="DY25" s="273" t="str">
        <f t="shared" si="39"/>
        <v/>
      </c>
      <c r="DZ25" s="273" t="str">
        <f t="shared" si="40"/>
        <v/>
      </c>
      <c r="EA25" s="273" t="str">
        <f t="shared" si="40"/>
        <v/>
      </c>
      <c r="EB25" s="273" t="str">
        <f t="shared" si="40"/>
        <v/>
      </c>
      <c r="EC25" s="273" t="str">
        <f t="shared" si="40"/>
        <v/>
      </c>
      <c r="ED25" s="273" t="str">
        <f t="shared" si="40"/>
        <v/>
      </c>
      <c r="EE25" s="274" t="str">
        <f t="shared" si="40"/>
        <v/>
      </c>
      <c r="EF25" s="273" t="str">
        <f t="shared" si="40"/>
        <v/>
      </c>
      <c r="EG25" s="273" t="str">
        <f t="shared" si="40"/>
        <v/>
      </c>
      <c r="EH25" s="273" t="str">
        <f t="shared" si="40"/>
        <v/>
      </c>
      <c r="EI25" s="273" t="str">
        <f t="shared" si="40"/>
        <v/>
      </c>
      <c r="EJ25" s="273" t="str">
        <f t="shared" si="41"/>
        <v/>
      </c>
      <c r="EK25" s="273" t="str">
        <f t="shared" si="41"/>
        <v/>
      </c>
      <c r="EL25" s="273" t="str">
        <f t="shared" si="41"/>
        <v/>
      </c>
      <c r="EM25" s="273" t="str">
        <f t="shared" si="41"/>
        <v/>
      </c>
      <c r="EN25" s="273" t="str">
        <f t="shared" si="41"/>
        <v/>
      </c>
      <c r="EO25" s="273" t="str">
        <f t="shared" si="41"/>
        <v/>
      </c>
      <c r="EP25" s="273" t="str">
        <f t="shared" si="41"/>
        <v/>
      </c>
      <c r="EQ25" s="274" t="str">
        <f t="shared" si="41"/>
        <v/>
      </c>
      <c r="ER25" s="273" t="str">
        <f t="shared" si="41"/>
        <v/>
      </c>
      <c r="ES25" s="273" t="str">
        <f t="shared" si="41"/>
        <v/>
      </c>
      <c r="ET25" s="273" t="str">
        <f t="shared" si="42"/>
        <v/>
      </c>
      <c r="EU25" s="273" t="str">
        <f t="shared" si="42"/>
        <v/>
      </c>
      <c r="EV25" s="273" t="str">
        <f t="shared" si="42"/>
        <v/>
      </c>
      <c r="EW25" s="273" t="str">
        <f t="shared" si="42"/>
        <v/>
      </c>
      <c r="EX25" s="273" t="str">
        <f t="shared" si="42"/>
        <v/>
      </c>
      <c r="EY25" s="273" t="str">
        <f t="shared" si="42"/>
        <v/>
      </c>
      <c r="EZ25" s="273" t="str">
        <f t="shared" si="42"/>
        <v/>
      </c>
      <c r="FA25" s="273" t="str">
        <f t="shared" si="42"/>
        <v/>
      </c>
      <c r="FB25" s="273" t="str">
        <f t="shared" si="42"/>
        <v/>
      </c>
      <c r="FC25" s="274" t="str">
        <f t="shared" si="42"/>
        <v/>
      </c>
      <c r="FD25" s="273" t="str">
        <f t="shared" si="43"/>
        <v/>
      </c>
      <c r="FE25" s="273" t="str">
        <f t="shared" si="43"/>
        <v/>
      </c>
      <c r="FF25" s="273" t="str">
        <f t="shared" si="43"/>
        <v/>
      </c>
      <c r="FG25" s="273" t="str">
        <f t="shared" si="43"/>
        <v/>
      </c>
      <c r="FH25" s="273" t="str">
        <f t="shared" si="43"/>
        <v/>
      </c>
      <c r="FI25" s="273" t="str">
        <f t="shared" si="43"/>
        <v/>
      </c>
      <c r="FJ25" s="273" t="str">
        <f t="shared" si="43"/>
        <v/>
      </c>
      <c r="FK25" s="273" t="str">
        <f t="shared" si="43"/>
        <v/>
      </c>
      <c r="FL25" s="273" t="str">
        <f t="shared" si="43"/>
        <v/>
      </c>
      <c r="FM25" s="273" t="str">
        <f t="shared" si="43"/>
        <v/>
      </c>
      <c r="FN25" s="273" t="str">
        <f t="shared" si="44"/>
        <v/>
      </c>
      <c r="FO25" s="274" t="str">
        <f t="shared" si="44"/>
        <v/>
      </c>
      <c r="FP25" s="273" t="str">
        <f t="shared" si="44"/>
        <v/>
      </c>
      <c r="FQ25" s="273" t="str">
        <f t="shared" si="44"/>
        <v/>
      </c>
      <c r="FR25" s="273" t="str">
        <f t="shared" si="44"/>
        <v/>
      </c>
      <c r="FS25" s="273" t="str">
        <f t="shared" si="44"/>
        <v/>
      </c>
      <c r="FT25" s="273" t="str">
        <f t="shared" si="44"/>
        <v/>
      </c>
      <c r="FU25" s="273" t="str">
        <f t="shared" si="44"/>
        <v/>
      </c>
      <c r="FV25" s="273" t="str">
        <f t="shared" si="44"/>
        <v/>
      </c>
      <c r="FW25" s="273" t="str">
        <f t="shared" si="44"/>
        <v/>
      </c>
      <c r="FX25" s="273" t="str">
        <f t="shared" si="44"/>
        <v/>
      </c>
      <c r="FY25" s="273" t="str">
        <f t="shared" si="44"/>
        <v/>
      </c>
      <c r="FZ25" s="273" t="str">
        <f t="shared" si="44"/>
        <v/>
      </c>
      <c r="GA25" s="275" t="str">
        <f t="shared" si="44"/>
        <v/>
      </c>
      <c r="GB25" s="276"/>
      <c r="GC25" s="276"/>
      <c r="GD25" s="276"/>
      <c r="GE25" s="276"/>
      <c r="GF25" s="276"/>
      <c r="GG25" s="276"/>
      <c r="GH25" s="276"/>
      <c r="GI25" s="276"/>
      <c r="GJ25" s="276"/>
      <c r="GK25" s="276"/>
      <c r="GL25" s="276"/>
      <c r="GM25" s="276"/>
      <c r="GN25" s="276"/>
    </row>
    <row r="26" spans="1:199" hidden="1">
      <c r="A26" s="263">
        <v>20</v>
      </c>
      <c r="B26" s="291" t="str">
        <f>IF('(7b) Project List'!F28&lt;&gt;"",'(7b) Project List'!F28," ")</f>
        <v xml:space="preserve"> </v>
      </c>
      <c r="C26" s="291" t="str">
        <f t="shared" si="0"/>
        <v xml:space="preserve"> </v>
      </c>
      <c r="D26" s="291" t="str">
        <f>IF('(7b) Project List'!G28&lt;&gt;"",'(7b) Project List'!G28,"")</f>
        <v/>
      </c>
      <c r="E26" s="291" t="str">
        <f t="shared" si="1"/>
        <v/>
      </c>
      <c r="F26" s="291"/>
      <c r="G26" s="291"/>
      <c r="H26" s="298"/>
      <c r="I26" s="291"/>
      <c r="J26" s="291"/>
      <c r="K26" s="291"/>
      <c r="L26" s="291"/>
      <c r="M26" s="291"/>
      <c r="N26" s="291"/>
      <c r="O26" s="291"/>
      <c r="P26" s="291"/>
      <c r="Q26" s="291"/>
      <c r="R26" s="535"/>
      <c r="S26" s="535"/>
      <c r="T26" s="291"/>
      <c r="U26" s="291"/>
      <c r="V26" s="291"/>
      <c r="W26" s="298"/>
      <c r="X26" s="298"/>
      <c r="Y26" s="298"/>
      <c r="Z26" s="263"/>
      <c r="AA26" s="263"/>
      <c r="AB26" s="263"/>
      <c r="AC26" s="263" t="str">
        <f>IF('(7b) Project List'!H28&lt;&gt;"",'(7b) Project List'!H28,"")</f>
        <v/>
      </c>
      <c r="AD26" s="253" t="str">
        <f>IF((AE26&lt;&gt;MIN($AF$3,COUNTIF(AN26:GA26,"&gt;0")))*(AE26&gt;0)*(AE26&lt;&gt;""),MIN($AF$3,COUNTIF(AN26:GA26,"&gt;0"))/AE26*SUM(AN26:GA26)/COUNTIF(AN26:GA26,"&gt;0"),IF(ISERROR(AVERAGE(AN26:GA26)),AC26,IF(AC26="","",IF(D26&lt;$C$6,AC26,AVERAGE(AN26:GA26)))))</f>
        <v/>
      </c>
      <c r="AE26" s="253">
        <f>'(7c) Project Schedule'!K23</f>
        <v>0</v>
      </c>
      <c r="AF26" s="255" t="str">
        <f t="shared" si="6"/>
        <v xml:space="preserve"> </v>
      </c>
      <c r="AH26" s="255" t="str">
        <f t="shared" si="45"/>
        <v xml:space="preserve"> </v>
      </c>
      <c r="AI26" s="255" t="str">
        <f t="shared" si="46"/>
        <v xml:space="preserve"> </v>
      </c>
      <c r="AJ26" s="255" t="str">
        <f t="shared" si="47"/>
        <v xml:space="preserve"> </v>
      </c>
      <c r="AK26" s="255" t="str">
        <f t="shared" si="48"/>
        <v xml:space="preserve"> </v>
      </c>
      <c r="AN26" s="272" t="str">
        <f t="shared" si="31"/>
        <v/>
      </c>
      <c r="AO26" s="273" t="str">
        <f t="shared" si="31"/>
        <v/>
      </c>
      <c r="AP26" s="273" t="str">
        <f t="shared" si="31"/>
        <v/>
      </c>
      <c r="AQ26" s="273" t="str">
        <f t="shared" si="31"/>
        <v/>
      </c>
      <c r="AR26" s="273" t="str">
        <f t="shared" si="31"/>
        <v/>
      </c>
      <c r="AS26" s="273" t="str">
        <f t="shared" si="31"/>
        <v/>
      </c>
      <c r="AT26" s="273" t="str">
        <f t="shared" si="31"/>
        <v/>
      </c>
      <c r="AU26" s="273" t="str">
        <f t="shared" si="31"/>
        <v/>
      </c>
      <c r="AV26" s="273" t="str">
        <f t="shared" si="31"/>
        <v/>
      </c>
      <c r="AW26" s="273" t="str">
        <f t="shared" si="31"/>
        <v/>
      </c>
      <c r="AX26" s="273" t="str">
        <f t="shared" si="32"/>
        <v/>
      </c>
      <c r="AY26" s="274" t="str">
        <f t="shared" si="32"/>
        <v/>
      </c>
      <c r="AZ26" s="273" t="str">
        <f t="shared" si="32"/>
        <v/>
      </c>
      <c r="BA26" s="273" t="str">
        <f t="shared" si="32"/>
        <v/>
      </c>
      <c r="BB26" s="273" t="str">
        <f t="shared" si="32"/>
        <v/>
      </c>
      <c r="BC26" s="273" t="str">
        <f t="shared" si="32"/>
        <v/>
      </c>
      <c r="BD26" s="273" t="str">
        <f t="shared" si="32"/>
        <v/>
      </c>
      <c r="BE26" s="273" t="str">
        <f t="shared" si="32"/>
        <v/>
      </c>
      <c r="BF26" s="273" t="str">
        <f t="shared" si="32"/>
        <v/>
      </c>
      <c r="BG26" s="273" t="str">
        <f t="shared" si="32"/>
        <v/>
      </c>
      <c r="BH26" s="273" t="str">
        <f t="shared" si="33"/>
        <v/>
      </c>
      <c r="BI26" s="273" t="str">
        <f t="shared" si="33"/>
        <v/>
      </c>
      <c r="BJ26" s="273" t="str">
        <f t="shared" si="33"/>
        <v/>
      </c>
      <c r="BK26" s="274" t="str">
        <f t="shared" si="33"/>
        <v/>
      </c>
      <c r="BL26" s="273" t="str">
        <f t="shared" si="33"/>
        <v/>
      </c>
      <c r="BM26" s="273" t="str">
        <f t="shared" si="33"/>
        <v/>
      </c>
      <c r="BN26" s="273" t="str">
        <f t="shared" si="33"/>
        <v/>
      </c>
      <c r="BO26" s="273" t="str">
        <f t="shared" si="33"/>
        <v/>
      </c>
      <c r="BP26" s="273" t="str">
        <f t="shared" si="33"/>
        <v/>
      </c>
      <c r="BQ26" s="273" t="str">
        <f t="shared" si="33"/>
        <v/>
      </c>
      <c r="BR26" s="273" t="str">
        <f t="shared" si="34"/>
        <v/>
      </c>
      <c r="BS26" s="273" t="str">
        <f t="shared" si="34"/>
        <v/>
      </c>
      <c r="BT26" s="273" t="str">
        <f t="shared" si="34"/>
        <v/>
      </c>
      <c r="BU26" s="273" t="str">
        <f t="shared" si="34"/>
        <v/>
      </c>
      <c r="BV26" s="273" t="str">
        <f t="shared" si="34"/>
        <v/>
      </c>
      <c r="BW26" s="274" t="str">
        <f t="shared" si="34"/>
        <v/>
      </c>
      <c r="BX26" s="273" t="str">
        <f t="shared" si="34"/>
        <v/>
      </c>
      <c r="BY26" s="273" t="str">
        <f t="shared" si="34"/>
        <v/>
      </c>
      <c r="BZ26" s="273" t="str">
        <f t="shared" si="34"/>
        <v/>
      </c>
      <c r="CA26" s="273" t="str">
        <f t="shared" si="34"/>
        <v/>
      </c>
      <c r="CB26" s="273" t="str">
        <f t="shared" si="35"/>
        <v/>
      </c>
      <c r="CC26" s="273" t="str">
        <f t="shared" si="35"/>
        <v/>
      </c>
      <c r="CD26" s="273" t="str">
        <f t="shared" si="35"/>
        <v/>
      </c>
      <c r="CE26" s="273" t="str">
        <f t="shared" si="35"/>
        <v/>
      </c>
      <c r="CF26" s="273" t="str">
        <f t="shared" si="35"/>
        <v/>
      </c>
      <c r="CG26" s="273" t="str">
        <f t="shared" si="35"/>
        <v/>
      </c>
      <c r="CH26" s="273" t="str">
        <f t="shared" si="35"/>
        <v/>
      </c>
      <c r="CI26" s="274" t="str">
        <f t="shared" si="35"/>
        <v/>
      </c>
      <c r="CJ26" s="273" t="str">
        <f t="shared" si="35"/>
        <v/>
      </c>
      <c r="CK26" s="273" t="str">
        <f t="shared" si="35"/>
        <v/>
      </c>
      <c r="CL26" s="273" t="str">
        <f t="shared" si="36"/>
        <v/>
      </c>
      <c r="CM26" s="273" t="str">
        <f t="shared" si="36"/>
        <v/>
      </c>
      <c r="CN26" s="273" t="str">
        <f t="shared" si="36"/>
        <v/>
      </c>
      <c r="CO26" s="273" t="str">
        <f t="shared" si="36"/>
        <v/>
      </c>
      <c r="CP26" s="273" t="str">
        <f t="shared" si="36"/>
        <v/>
      </c>
      <c r="CQ26" s="273" t="str">
        <f t="shared" si="36"/>
        <v/>
      </c>
      <c r="CR26" s="273" t="str">
        <f t="shared" si="36"/>
        <v/>
      </c>
      <c r="CS26" s="273" t="str">
        <f t="shared" si="36"/>
        <v/>
      </c>
      <c r="CT26" s="273" t="str">
        <f t="shared" si="36"/>
        <v/>
      </c>
      <c r="CU26" s="274" t="str">
        <f t="shared" si="36"/>
        <v/>
      </c>
      <c r="CV26" s="273" t="str">
        <f t="shared" si="37"/>
        <v/>
      </c>
      <c r="CW26" s="273" t="str">
        <f t="shared" si="37"/>
        <v/>
      </c>
      <c r="CX26" s="273" t="str">
        <f t="shared" si="37"/>
        <v/>
      </c>
      <c r="CY26" s="273" t="str">
        <f t="shared" si="37"/>
        <v/>
      </c>
      <c r="CZ26" s="273" t="str">
        <f t="shared" si="37"/>
        <v/>
      </c>
      <c r="DA26" s="273" t="str">
        <f t="shared" si="37"/>
        <v/>
      </c>
      <c r="DB26" s="273" t="str">
        <f t="shared" si="37"/>
        <v/>
      </c>
      <c r="DC26" s="273" t="str">
        <f t="shared" si="37"/>
        <v/>
      </c>
      <c r="DD26" s="273" t="str">
        <f t="shared" si="37"/>
        <v/>
      </c>
      <c r="DE26" s="273" t="str">
        <f t="shared" si="37"/>
        <v/>
      </c>
      <c r="DF26" s="273" t="str">
        <f t="shared" si="38"/>
        <v/>
      </c>
      <c r="DG26" s="274" t="str">
        <f t="shared" si="38"/>
        <v/>
      </c>
      <c r="DH26" s="273" t="str">
        <f t="shared" si="38"/>
        <v/>
      </c>
      <c r="DI26" s="273" t="str">
        <f t="shared" si="38"/>
        <v/>
      </c>
      <c r="DJ26" s="273" t="str">
        <f t="shared" si="38"/>
        <v/>
      </c>
      <c r="DK26" s="273" t="str">
        <f t="shared" si="38"/>
        <v/>
      </c>
      <c r="DL26" s="273" t="str">
        <f t="shared" si="38"/>
        <v/>
      </c>
      <c r="DM26" s="273" t="str">
        <f t="shared" si="38"/>
        <v/>
      </c>
      <c r="DN26" s="273" t="str">
        <f t="shared" si="38"/>
        <v/>
      </c>
      <c r="DO26" s="273" t="str">
        <f t="shared" si="38"/>
        <v/>
      </c>
      <c r="DP26" s="273" t="str">
        <f t="shared" si="39"/>
        <v/>
      </c>
      <c r="DQ26" s="273" t="str">
        <f t="shared" si="39"/>
        <v/>
      </c>
      <c r="DR26" s="273" t="str">
        <f t="shared" si="39"/>
        <v/>
      </c>
      <c r="DS26" s="274" t="str">
        <f t="shared" si="39"/>
        <v/>
      </c>
      <c r="DT26" s="273" t="str">
        <f t="shared" si="39"/>
        <v/>
      </c>
      <c r="DU26" s="273" t="str">
        <f t="shared" si="39"/>
        <v/>
      </c>
      <c r="DV26" s="273" t="str">
        <f t="shared" si="39"/>
        <v/>
      </c>
      <c r="DW26" s="273" t="str">
        <f t="shared" si="39"/>
        <v/>
      </c>
      <c r="DX26" s="273" t="str">
        <f t="shared" si="39"/>
        <v/>
      </c>
      <c r="DY26" s="273" t="str">
        <f t="shared" si="39"/>
        <v/>
      </c>
      <c r="DZ26" s="273" t="str">
        <f t="shared" si="40"/>
        <v/>
      </c>
      <c r="EA26" s="273" t="str">
        <f t="shared" si="40"/>
        <v/>
      </c>
      <c r="EB26" s="273" t="str">
        <f t="shared" si="40"/>
        <v/>
      </c>
      <c r="EC26" s="273" t="str">
        <f t="shared" si="40"/>
        <v/>
      </c>
      <c r="ED26" s="273" t="str">
        <f t="shared" si="40"/>
        <v/>
      </c>
      <c r="EE26" s="274" t="str">
        <f t="shared" si="40"/>
        <v/>
      </c>
      <c r="EF26" s="273" t="str">
        <f t="shared" si="40"/>
        <v/>
      </c>
      <c r="EG26" s="273" t="str">
        <f t="shared" si="40"/>
        <v/>
      </c>
      <c r="EH26" s="273" t="str">
        <f t="shared" si="40"/>
        <v/>
      </c>
      <c r="EI26" s="273" t="str">
        <f t="shared" si="40"/>
        <v/>
      </c>
      <c r="EJ26" s="273" t="str">
        <f t="shared" si="41"/>
        <v/>
      </c>
      <c r="EK26" s="273" t="str">
        <f t="shared" si="41"/>
        <v/>
      </c>
      <c r="EL26" s="273" t="str">
        <f t="shared" si="41"/>
        <v/>
      </c>
      <c r="EM26" s="273" t="str">
        <f t="shared" si="41"/>
        <v/>
      </c>
      <c r="EN26" s="273" t="str">
        <f t="shared" si="41"/>
        <v/>
      </c>
      <c r="EO26" s="273" t="str">
        <f t="shared" si="41"/>
        <v/>
      </c>
      <c r="EP26" s="273" t="str">
        <f t="shared" si="41"/>
        <v/>
      </c>
      <c r="EQ26" s="274" t="str">
        <f t="shared" si="41"/>
        <v/>
      </c>
      <c r="ER26" s="273" t="str">
        <f t="shared" si="41"/>
        <v/>
      </c>
      <c r="ES26" s="273" t="str">
        <f t="shared" si="41"/>
        <v/>
      </c>
      <c r="ET26" s="273" t="str">
        <f t="shared" si="42"/>
        <v/>
      </c>
      <c r="EU26" s="273" t="str">
        <f t="shared" si="42"/>
        <v/>
      </c>
      <c r="EV26" s="273" t="str">
        <f t="shared" si="42"/>
        <v/>
      </c>
      <c r="EW26" s="273" t="str">
        <f t="shared" si="42"/>
        <v/>
      </c>
      <c r="EX26" s="273" t="str">
        <f t="shared" si="42"/>
        <v/>
      </c>
      <c r="EY26" s="273" t="str">
        <f t="shared" si="42"/>
        <v/>
      </c>
      <c r="EZ26" s="273" t="str">
        <f t="shared" si="42"/>
        <v/>
      </c>
      <c r="FA26" s="273" t="str">
        <f t="shared" si="42"/>
        <v/>
      </c>
      <c r="FB26" s="273" t="str">
        <f t="shared" si="42"/>
        <v/>
      </c>
      <c r="FC26" s="274" t="str">
        <f t="shared" si="42"/>
        <v/>
      </c>
      <c r="FD26" s="273" t="str">
        <f t="shared" si="43"/>
        <v/>
      </c>
      <c r="FE26" s="273" t="str">
        <f t="shared" si="43"/>
        <v/>
      </c>
      <c r="FF26" s="273" t="str">
        <f t="shared" si="43"/>
        <v/>
      </c>
      <c r="FG26" s="273" t="str">
        <f t="shared" si="43"/>
        <v/>
      </c>
      <c r="FH26" s="273" t="str">
        <f t="shared" si="43"/>
        <v/>
      </c>
      <c r="FI26" s="273" t="str">
        <f t="shared" si="43"/>
        <v/>
      </c>
      <c r="FJ26" s="273" t="str">
        <f t="shared" si="43"/>
        <v/>
      </c>
      <c r="FK26" s="273" t="str">
        <f t="shared" si="43"/>
        <v/>
      </c>
      <c r="FL26" s="273" t="str">
        <f t="shared" si="43"/>
        <v/>
      </c>
      <c r="FM26" s="273" t="str">
        <f t="shared" si="43"/>
        <v/>
      </c>
      <c r="FN26" s="273" t="str">
        <f t="shared" si="44"/>
        <v/>
      </c>
      <c r="FO26" s="274" t="str">
        <f t="shared" si="44"/>
        <v/>
      </c>
      <c r="FP26" s="273" t="str">
        <f t="shared" si="44"/>
        <v/>
      </c>
      <c r="FQ26" s="273" t="str">
        <f t="shared" si="44"/>
        <v/>
      </c>
      <c r="FR26" s="273" t="str">
        <f t="shared" si="44"/>
        <v/>
      </c>
      <c r="FS26" s="273" t="str">
        <f t="shared" si="44"/>
        <v/>
      </c>
      <c r="FT26" s="273" t="str">
        <f t="shared" si="44"/>
        <v/>
      </c>
      <c r="FU26" s="273" t="str">
        <f t="shared" si="44"/>
        <v/>
      </c>
      <c r="FV26" s="273" t="str">
        <f t="shared" si="44"/>
        <v/>
      </c>
      <c r="FW26" s="273" t="str">
        <f t="shared" si="44"/>
        <v/>
      </c>
      <c r="FX26" s="273" t="str">
        <f t="shared" si="44"/>
        <v/>
      </c>
      <c r="FY26" s="273" t="str">
        <f t="shared" si="44"/>
        <v/>
      </c>
      <c r="FZ26" s="273" t="str">
        <f t="shared" si="44"/>
        <v/>
      </c>
      <c r="GA26" s="275" t="str">
        <f t="shared" si="44"/>
        <v/>
      </c>
      <c r="GB26" s="276"/>
      <c r="GC26" s="276"/>
      <c r="GD26" s="276"/>
      <c r="GE26" s="276"/>
      <c r="GF26" s="276"/>
      <c r="GG26" s="276"/>
      <c r="GH26" s="276"/>
      <c r="GI26" s="276"/>
      <c r="GJ26" s="276"/>
      <c r="GK26" s="276"/>
      <c r="GL26" s="276"/>
      <c r="GM26" s="276"/>
      <c r="GN26" s="276"/>
    </row>
    <row r="27" spans="1:199">
      <c r="H27" s="298"/>
      <c r="R27" s="536"/>
      <c r="S27" s="536"/>
      <c r="W27" s="298"/>
      <c r="X27" s="298"/>
      <c r="Y27" s="298"/>
      <c r="Z27" s="1555"/>
      <c r="AF27" s="255" t="str">
        <f>IF(AC27=""," ",AC27*AE27/(AF24*100))</f>
        <v xml:space="preserve"> </v>
      </c>
      <c r="AN27" s="292"/>
      <c r="AO27" s="293"/>
      <c r="AP27" s="293"/>
      <c r="AQ27" s="293"/>
      <c r="AR27" s="293"/>
      <c r="AS27" s="293"/>
      <c r="AT27" s="293"/>
      <c r="AU27" s="293"/>
      <c r="AV27" s="293"/>
      <c r="AW27" s="293"/>
      <c r="AX27" s="293"/>
      <c r="AY27" s="293"/>
      <c r="AZ27" s="293"/>
      <c r="BA27" s="293"/>
      <c r="BB27" s="293"/>
      <c r="BC27" s="293"/>
      <c r="BD27" s="293"/>
      <c r="BE27" s="293"/>
      <c r="BF27" s="293"/>
      <c r="BG27" s="293"/>
      <c r="BH27" s="293"/>
      <c r="BI27" s="293"/>
      <c r="BJ27" s="293"/>
      <c r="BK27" s="293"/>
      <c r="BL27" s="293"/>
      <c r="BM27" s="293"/>
      <c r="BN27" s="293"/>
      <c r="BO27" s="293"/>
      <c r="BP27" s="293"/>
      <c r="BQ27" s="293"/>
      <c r="BR27" s="293"/>
      <c r="BS27" s="293"/>
      <c r="BT27" s="293"/>
      <c r="BU27" s="293"/>
      <c r="BV27" s="293"/>
      <c r="BW27" s="293"/>
      <c r="BX27" s="293"/>
      <c r="BY27" s="293"/>
      <c r="BZ27" s="293"/>
      <c r="CA27" s="293"/>
      <c r="CB27" s="293"/>
      <c r="CC27" s="293"/>
      <c r="CD27" s="293"/>
      <c r="CE27" s="293"/>
      <c r="CF27" s="293"/>
      <c r="CG27" s="293"/>
      <c r="CH27" s="293"/>
      <c r="CI27" s="293"/>
      <c r="CJ27" s="293"/>
      <c r="CK27" s="293"/>
      <c r="CL27" s="293"/>
      <c r="CM27" s="293"/>
      <c r="CN27" s="293"/>
      <c r="CO27" s="293"/>
      <c r="CP27" s="293"/>
      <c r="CQ27" s="293"/>
      <c r="CR27" s="293"/>
      <c r="CS27" s="293"/>
      <c r="CT27" s="293"/>
      <c r="CU27" s="293"/>
      <c r="CV27" s="293"/>
      <c r="CW27" s="293"/>
      <c r="CX27" s="293"/>
      <c r="CY27" s="293"/>
      <c r="CZ27" s="293"/>
      <c r="DA27" s="293"/>
      <c r="DB27" s="293"/>
      <c r="DC27" s="293"/>
      <c r="DD27" s="293"/>
      <c r="DE27" s="293"/>
      <c r="DF27" s="293"/>
      <c r="DG27" s="293"/>
      <c r="DH27" s="293"/>
      <c r="DI27" s="293"/>
      <c r="DJ27" s="293"/>
      <c r="DK27" s="293"/>
      <c r="DL27" s="293"/>
      <c r="DM27" s="293"/>
      <c r="DN27" s="293"/>
      <c r="DO27" s="293"/>
      <c r="DP27" s="293"/>
      <c r="DQ27" s="293"/>
      <c r="DR27" s="293"/>
      <c r="DS27" s="293"/>
      <c r="DT27" s="293"/>
      <c r="DU27" s="293"/>
      <c r="DV27" s="293"/>
      <c r="DW27" s="293"/>
      <c r="DX27" s="293"/>
      <c r="DY27" s="293"/>
      <c r="DZ27" s="293"/>
      <c r="EA27" s="293"/>
      <c r="EB27" s="293"/>
      <c r="EC27" s="293"/>
      <c r="ED27" s="293"/>
      <c r="EE27" s="293"/>
      <c r="EF27" s="293"/>
      <c r="EG27" s="293"/>
      <c r="EH27" s="293"/>
      <c r="EI27" s="293"/>
      <c r="EJ27" s="293"/>
      <c r="EK27" s="293"/>
      <c r="EL27" s="293"/>
      <c r="EM27" s="293"/>
      <c r="EN27" s="293"/>
      <c r="EO27" s="293"/>
      <c r="EP27" s="293"/>
      <c r="EQ27" s="293"/>
      <c r="ER27" s="293"/>
      <c r="ES27" s="293"/>
      <c r="ET27" s="293"/>
      <c r="EU27" s="293"/>
      <c r="EV27" s="293"/>
      <c r="EW27" s="293"/>
      <c r="EX27" s="293"/>
      <c r="EY27" s="293"/>
      <c r="EZ27" s="293"/>
      <c r="FA27" s="293"/>
      <c r="FB27" s="293"/>
      <c r="FC27" s="293"/>
      <c r="FD27" s="293"/>
      <c r="FE27" s="293"/>
      <c r="FF27" s="293"/>
      <c r="FG27" s="293"/>
      <c r="FH27" s="293"/>
      <c r="FI27" s="293"/>
      <c r="FJ27" s="293"/>
      <c r="FK27" s="293"/>
      <c r="FL27" s="293"/>
      <c r="FM27" s="293"/>
      <c r="FN27" s="293"/>
      <c r="FO27" s="293"/>
      <c r="FP27" s="293"/>
      <c r="FQ27" s="293"/>
      <c r="FR27" s="293"/>
      <c r="FS27" s="293"/>
      <c r="FT27" s="293"/>
      <c r="FU27" s="293"/>
      <c r="FV27" s="293"/>
      <c r="FW27" s="293"/>
      <c r="FX27" s="293"/>
      <c r="FY27" s="293"/>
      <c r="FZ27" s="293"/>
      <c r="GA27" s="294"/>
      <c r="GB27" s="276"/>
      <c r="GC27" s="276"/>
      <c r="GD27" s="276"/>
      <c r="GE27" s="276"/>
      <c r="GF27" s="276"/>
      <c r="GG27" s="276"/>
      <c r="GH27" s="276"/>
      <c r="GI27" s="276"/>
      <c r="GJ27" s="276"/>
      <c r="GK27" s="276"/>
      <c r="GL27" s="276"/>
      <c r="GM27" s="276"/>
      <c r="GN27" s="276"/>
    </row>
    <row r="28" spans="1:199" s="257" customFormat="1" ht="24.75" customHeight="1">
      <c r="A28" s="256"/>
      <c r="B28" s="295" t="str">
        <f>'(7c) Project Schedule'!B25</f>
        <v/>
      </c>
      <c r="C28" s="296"/>
      <c r="D28" s="297" t="str">
        <f>'(7c) Project Schedule'!D25</f>
        <v/>
      </c>
      <c r="E28" s="298"/>
      <c r="F28" s="298"/>
      <c r="G28" s="298"/>
      <c r="H28" s="298"/>
      <c r="I28" s="2234" t="str">
        <f>IF(D29&gt;1.2,Dictionary!B774,"OK")</f>
        <v>OK</v>
      </c>
      <c r="J28" s="2234"/>
      <c r="K28" s="2234"/>
      <c r="L28" s="2234"/>
      <c r="M28" s="2234"/>
      <c r="N28" s="2234"/>
      <c r="O28" s="2234"/>
      <c r="P28" s="2234"/>
      <c r="Q28" s="2234"/>
      <c r="R28" s="2234"/>
      <c r="S28" s="2234"/>
      <c r="T28" s="2234"/>
      <c r="U28" s="2234"/>
      <c r="V28" s="2234"/>
      <c r="W28" s="298"/>
      <c r="X28" s="298"/>
      <c r="Y28" s="298"/>
      <c r="Z28" s="256"/>
      <c r="AA28" s="256"/>
      <c r="AB28" s="1949"/>
      <c r="AC28" s="299" t="str">
        <f>IF(SUM(AC7:AC26)&lt;&gt;SUM(AD7:AD26),Dictionary!B818,"")</f>
        <v/>
      </c>
      <c r="AD28" s="1948"/>
      <c r="AE28" s="1950" t="str">
        <f>Dictionary!B814</f>
        <v>in Prozent</v>
      </c>
      <c r="AF28" s="301">
        <f>SUM(AF7:AF26)</f>
        <v>0</v>
      </c>
      <c r="AG28" s="302"/>
      <c r="AH28" s="303">
        <f>SUM(AH7:AH26)</f>
        <v>0</v>
      </c>
      <c r="AI28" s="304">
        <f>SUM(AI7:AI26)</f>
        <v>0</v>
      </c>
      <c r="AJ28" s="304">
        <f>SUM(AJ7:AJ26)</f>
        <v>0</v>
      </c>
      <c r="AK28" s="305">
        <f>SUM(AK7:AK26)</f>
        <v>0</v>
      </c>
      <c r="AL28" s="1567">
        <f>SUM(AL7:AL26)</f>
        <v>0</v>
      </c>
      <c r="AN28" s="306">
        <f t="shared" ref="AN28:BS28" si="49">SUM(AN7:AN26)</f>
        <v>0</v>
      </c>
      <c r="AO28" s="306">
        <f t="shared" si="49"/>
        <v>0</v>
      </c>
      <c r="AP28" s="306">
        <f t="shared" si="49"/>
        <v>0</v>
      </c>
      <c r="AQ28" s="306">
        <f t="shared" si="49"/>
        <v>0</v>
      </c>
      <c r="AR28" s="306">
        <f t="shared" si="49"/>
        <v>0</v>
      </c>
      <c r="AS28" s="306">
        <f t="shared" si="49"/>
        <v>0</v>
      </c>
      <c r="AT28" s="306">
        <f t="shared" si="49"/>
        <v>0</v>
      </c>
      <c r="AU28" s="306">
        <f t="shared" si="49"/>
        <v>0</v>
      </c>
      <c r="AV28" s="306">
        <f t="shared" si="49"/>
        <v>0</v>
      </c>
      <c r="AW28" s="306">
        <f t="shared" si="49"/>
        <v>0</v>
      </c>
      <c r="AX28" s="306">
        <f t="shared" si="49"/>
        <v>0</v>
      </c>
      <c r="AY28" s="306">
        <f t="shared" si="49"/>
        <v>0</v>
      </c>
      <c r="AZ28" s="306">
        <f t="shared" si="49"/>
        <v>0</v>
      </c>
      <c r="BA28" s="306">
        <f t="shared" si="49"/>
        <v>0</v>
      </c>
      <c r="BB28" s="306">
        <f t="shared" si="49"/>
        <v>0</v>
      </c>
      <c r="BC28" s="306">
        <f t="shared" si="49"/>
        <v>0</v>
      </c>
      <c r="BD28" s="306">
        <f t="shared" si="49"/>
        <v>0</v>
      </c>
      <c r="BE28" s="306">
        <f t="shared" si="49"/>
        <v>0</v>
      </c>
      <c r="BF28" s="306">
        <f t="shared" si="49"/>
        <v>0</v>
      </c>
      <c r="BG28" s="306">
        <f t="shared" si="49"/>
        <v>0</v>
      </c>
      <c r="BH28" s="306">
        <f t="shared" si="49"/>
        <v>0</v>
      </c>
      <c r="BI28" s="306">
        <f t="shared" si="49"/>
        <v>0</v>
      </c>
      <c r="BJ28" s="306">
        <f t="shared" si="49"/>
        <v>0</v>
      </c>
      <c r="BK28" s="306">
        <f t="shared" si="49"/>
        <v>0</v>
      </c>
      <c r="BL28" s="306">
        <f t="shared" si="49"/>
        <v>0</v>
      </c>
      <c r="BM28" s="306">
        <f t="shared" si="49"/>
        <v>0</v>
      </c>
      <c r="BN28" s="306">
        <f t="shared" si="49"/>
        <v>0</v>
      </c>
      <c r="BO28" s="306">
        <f t="shared" si="49"/>
        <v>0</v>
      </c>
      <c r="BP28" s="306">
        <f t="shared" si="49"/>
        <v>0</v>
      </c>
      <c r="BQ28" s="306">
        <f t="shared" si="49"/>
        <v>0</v>
      </c>
      <c r="BR28" s="306">
        <f t="shared" si="49"/>
        <v>0</v>
      </c>
      <c r="BS28" s="306">
        <f t="shared" si="49"/>
        <v>0</v>
      </c>
      <c r="BT28" s="306">
        <f t="shared" ref="BT28:CY28" si="50">SUM(BT7:BT26)</f>
        <v>0</v>
      </c>
      <c r="BU28" s="306">
        <f t="shared" si="50"/>
        <v>0</v>
      </c>
      <c r="BV28" s="306">
        <f t="shared" si="50"/>
        <v>0</v>
      </c>
      <c r="BW28" s="306">
        <f t="shared" si="50"/>
        <v>0</v>
      </c>
      <c r="BX28" s="306">
        <f t="shared" si="50"/>
        <v>0</v>
      </c>
      <c r="BY28" s="306">
        <f t="shared" si="50"/>
        <v>0</v>
      </c>
      <c r="BZ28" s="306">
        <f t="shared" si="50"/>
        <v>0</v>
      </c>
      <c r="CA28" s="306">
        <f t="shared" si="50"/>
        <v>0</v>
      </c>
      <c r="CB28" s="306">
        <f t="shared" si="50"/>
        <v>0</v>
      </c>
      <c r="CC28" s="306">
        <f t="shared" si="50"/>
        <v>0</v>
      </c>
      <c r="CD28" s="306">
        <f t="shared" si="50"/>
        <v>0</v>
      </c>
      <c r="CE28" s="306">
        <f t="shared" si="50"/>
        <v>0</v>
      </c>
      <c r="CF28" s="306">
        <f t="shared" si="50"/>
        <v>0</v>
      </c>
      <c r="CG28" s="306">
        <f t="shared" si="50"/>
        <v>0</v>
      </c>
      <c r="CH28" s="306">
        <f t="shared" si="50"/>
        <v>0</v>
      </c>
      <c r="CI28" s="306">
        <f t="shared" si="50"/>
        <v>0</v>
      </c>
      <c r="CJ28" s="306">
        <f t="shared" si="50"/>
        <v>0</v>
      </c>
      <c r="CK28" s="306">
        <f t="shared" si="50"/>
        <v>0</v>
      </c>
      <c r="CL28" s="306">
        <f t="shared" si="50"/>
        <v>0</v>
      </c>
      <c r="CM28" s="306">
        <f t="shared" si="50"/>
        <v>0</v>
      </c>
      <c r="CN28" s="306">
        <f t="shared" si="50"/>
        <v>0</v>
      </c>
      <c r="CO28" s="306">
        <f t="shared" si="50"/>
        <v>0</v>
      </c>
      <c r="CP28" s="306">
        <f t="shared" si="50"/>
        <v>0</v>
      </c>
      <c r="CQ28" s="306">
        <f t="shared" si="50"/>
        <v>0</v>
      </c>
      <c r="CR28" s="306">
        <f t="shared" si="50"/>
        <v>0</v>
      </c>
      <c r="CS28" s="306">
        <f t="shared" si="50"/>
        <v>0</v>
      </c>
      <c r="CT28" s="306">
        <f t="shared" si="50"/>
        <v>0</v>
      </c>
      <c r="CU28" s="306">
        <f t="shared" si="50"/>
        <v>0</v>
      </c>
      <c r="CV28" s="306">
        <f t="shared" si="50"/>
        <v>0</v>
      </c>
      <c r="CW28" s="306">
        <f t="shared" si="50"/>
        <v>0</v>
      </c>
      <c r="CX28" s="306">
        <f t="shared" si="50"/>
        <v>0</v>
      </c>
      <c r="CY28" s="306">
        <f t="shared" si="50"/>
        <v>0</v>
      </c>
      <c r="CZ28" s="306">
        <f t="shared" ref="CZ28:EE28" si="51">SUM(CZ7:CZ26)</f>
        <v>0</v>
      </c>
      <c r="DA28" s="306">
        <f t="shared" si="51"/>
        <v>0</v>
      </c>
      <c r="DB28" s="306">
        <f t="shared" si="51"/>
        <v>0</v>
      </c>
      <c r="DC28" s="306">
        <f t="shared" si="51"/>
        <v>0</v>
      </c>
      <c r="DD28" s="306">
        <f t="shared" si="51"/>
        <v>0</v>
      </c>
      <c r="DE28" s="306">
        <f t="shared" si="51"/>
        <v>0</v>
      </c>
      <c r="DF28" s="306">
        <f t="shared" si="51"/>
        <v>0</v>
      </c>
      <c r="DG28" s="306">
        <f t="shared" si="51"/>
        <v>0</v>
      </c>
      <c r="DH28" s="306">
        <f t="shared" si="51"/>
        <v>0</v>
      </c>
      <c r="DI28" s="306">
        <f t="shared" si="51"/>
        <v>0</v>
      </c>
      <c r="DJ28" s="306">
        <f t="shared" si="51"/>
        <v>0</v>
      </c>
      <c r="DK28" s="306">
        <f t="shared" si="51"/>
        <v>0</v>
      </c>
      <c r="DL28" s="306">
        <f t="shared" si="51"/>
        <v>0</v>
      </c>
      <c r="DM28" s="306">
        <f t="shared" si="51"/>
        <v>0</v>
      </c>
      <c r="DN28" s="306">
        <f t="shared" si="51"/>
        <v>0</v>
      </c>
      <c r="DO28" s="306">
        <f t="shared" si="51"/>
        <v>0</v>
      </c>
      <c r="DP28" s="306">
        <f t="shared" si="51"/>
        <v>0</v>
      </c>
      <c r="DQ28" s="306">
        <f t="shared" si="51"/>
        <v>0</v>
      </c>
      <c r="DR28" s="306">
        <f t="shared" si="51"/>
        <v>0</v>
      </c>
      <c r="DS28" s="306">
        <f t="shared" si="51"/>
        <v>0</v>
      </c>
      <c r="DT28" s="306">
        <f t="shared" si="51"/>
        <v>0</v>
      </c>
      <c r="DU28" s="306">
        <f t="shared" si="51"/>
        <v>0</v>
      </c>
      <c r="DV28" s="306">
        <f t="shared" si="51"/>
        <v>0</v>
      </c>
      <c r="DW28" s="306">
        <f t="shared" si="51"/>
        <v>0</v>
      </c>
      <c r="DX28" s="306">
        <f t="shared" si="51"/>
        <v>0</v>
      </c>
      <c r="DY28" s="306">
        <f t="shared" si="51"/>
        <v>0</v>
      </c>
      <c r="DZ28" s="306">
        <f t="shared" si="51"/>
        <v>0</v>
      </c>
      <c r="EA28" s="306">
        <f t="shared" si="51"/>
        <v>0</v>
      </c>
      <c r="EB28" s="306">
        <f t="shared" si="51"/>
        <v>0</v>
      </c>
      <c r="EC28" s="306">
        <f t="shared" si="51"/>
        <v>0</v>
      </c>
      <c r="ED28" s="306">
        <f t="shared" si="51"/>
        <v>0</v>
      </c>
      <c r="EE28" s="306">
        <f t="shared" si="51"/>
        <v>0</v>
      </c>
      <c r="EF28" s="306">
        <f t="shared" ref="EF28:FK28" si="52">SUM(EF7:EF26)</f>
        <v>0</v>
      </c>
      <c r="EG28" s="306">
        <f t="shared" si="52"/>
        <v>0</v>
      </c>
      <c r="EH28" s="306">
        <f t="shared" si="52"/>
        <v>0</v>
      </c>
      <c r="EI28" s="306">
        <f t="shared" si="52"/>
        <v>0</v>
      </c>
      <c r="EJ28" s="306">
        <f t="shared" si="52"/>
        <v>0</v>
      </c>
      <c r="EK28" s="306">
        <f t="shared" si="52"/>
        <v>0</v>
      </c>
      <c r="EL28" s="306">
        <f t="shared" si="52"/>
        <v>0</v>
      </c>
      <c r="EM28" s="306">
        <f t="shared" si="52"/>
        <v>0</v>
      </c>
      <c r="EN28" s="306">
        <f t="shared" si="52"/>
        <v>0</v>
      </c>
      <c r="EO28" s="306">
        <f t="shared" si="52"/>
        <v>0</v>
      </c>
      <c r="EP28" s="306">
        <f t="shared" si="52"/>
        <v>0</v>
      </c>
      <c r="EQ28" s="306">
        <f t="shared" si="52"/>
        <v>0</v>
      </c>
      <c r="ER28" s="306">
        <f t="shared" si="52"/>
        <v>0</v>
      </c>
      <c r="ES28" s="306">
        <f t="shared" si="52"/>
        <v>0</v>
      </c>
      <c r="ET28" s="306">
        <f t="shared" si="52"/>
        <v>0</v>
      </c>
      <c r="EU28" s="306">
        <f t="shared" si="52"/>
        <v>0</v>
      </c>
      <c r="EV28" s="306">
        <f t="shared" si="52"/>
        <v>0</v>
      </c>
      <c r="EW28" s="306">
        <f t="shared" si="52"/>
        <v>0</v>
      </c>
      <c r="EX28" s="306">
        <f t="shared" si="52"/>
        <v>0</v>
      </c>
      <c r="EY28" s="306">
        <f t="shared" si="52"/>
        <v>0</v>
      </c>
      <c r="EZ28" s="306">
        <f t="shared" si="52"/>
        <v>0</v>
      </c>
      <c r="FA28" s="306">
        <f t="shared" si="52"/>
        <v>0</v>
      </c>
      <c r="FB28" s="306">
        <f t="shared" si="52"/>
        <v>0</v>
      </c>
      <c r="FC28" s="306">
        <f t="shared" si="52"/>
        <v>0</v>
      </c>
      <c r="FD28" s="306">
        <f t="shared" si="52"/>
        <v>0</v>
      </c>
      <c r="FE28" s="306">
        <f t="shared" si="52"/>
        <v>0</v>
      </c>
      <c r="FF28" s="306">
        <f t="shared" si="52"/>
        <v>0</v>
      </c>
      <c r="FG28" s="306">
        <f t="shared" si="52"/>
        <v>0</v>
      </c>
      <c r="FH28" s="306">
        <f t="shared" si="52"/>
        <v>0</v>
      </c>
      <c r="FI28" s="306">
        <f t="shared" si="52"/>
        <v>0</v>
      </c>
      <c r="FJ28" s="306">
        <f t="shared" si="52"/>
        <v>0</v>
      </c>
      <c r="FK28" s="306">
        <f t="shared" si="52"/>
        <v>0</v>
      </c>
      <c r="FL28" s="306">
        <f t="shared" ref="FL28:GA28" si="53">SUM(FL7:FL26)</f>
        <v>0</v>
      </c>
      <c r="FM28" s="306">
        <f t="shared" si="53"/>
        <v>0</v>
      </c>
      <c r="FN28" s="306">
        <f t="shared" si="53"/>
        <v>0</v>
      </c>
      <c r="FO28" s="306">
        <f t="shared" si="53"/>
        <v>0</v>
      </c>
      <c r="FP28" s="306">
        <f t="shared" si="53"/>
        <v>0</v>
      </c>
      <c r="FQ28" s="306">
        <f t="shared" si="53"/>
        <v>0</v>
      </c>
      <c r="FR28" s="306">
        <f t="shared" si="53"/>
        <v>0</v>
      </c>
      <c r="FS28" s="306">
        <f t="shared" si="53"/>
        <v>0</v>
      </c>
      <c r="FT28" s="306">
        <f t="shared" si="53"/>
        <v>0</v>
      </c>
      <c r="FU28" s="306">
        <f t="shared" si="53"/>
        <v>0</v>
      </c>
      <c r="FV28" s="306">
        <f t="shared" si="53"/>
        <v>0</v>
      </c>
      <c r="FW28" s="306">
        <f t="shared" si="53"/>
        <v>0</v>
      </c>
      <c r="FX28" s="306">
        <f t="shared" si="53"/>
        <v>0</v>
      </c>
      <c r="FY28" s="306">
        <f t="shared" si="53"/>
        <v>0</v>
      </c>
      <c r="FZ28" s="306">
        <f t="shared" si="53"/>
        <v>0</v>
      </c>
      <c r="GA28" s="306">
        <f t="shared" si="53"/>
        <v>0</v>
      </c>
      <c r="GB28" s="307"/>
      <c r="GC28" s="307"/>
      <c r="GD28" s="307"/>
      <c r="GE28" s="307"/>
      <c r="GF28" s="307"/>
      <c r="GG28" s="307"/>
      <c r="GH28" s="307"/>
      <c r="GI28" s="307"/>
      <c r="GJ28" s="307"/>
      <c r="GK28" s="307"/>
      <c r="GL28" s="307"/>
      <c r="GM28" s="307"/>
      <c r="GN28" s="307"/>
    </row>
    <row r="29" spans="1:199" ht="24.75" customHeight="1">
      <c r="B29" s="2233" t="str">
        <f>Dictionary!B775</f>
        <v xml:space="preserve">Max. Auslastung: </v>
      </c>
      <c r="C29" s="2233"/>
      <c r="D29" s="610">
        <f>MAX(AN28:XFD28)/100</f>
        <v>0</v>
      </c>
      <c r="AE29" s="300" t="str">
        <f>Dictionary!B815</f>
        <v>in Monaten</v>
      </c>
      <c r="AF29" s="611" t="str">
        <f>IF(AF28&gt;0,AF28*$AF3/100," ")</f>
        <v xml:space="preserve"> </v>
      </c>
      <c r="AG29" s="257"/>
      <c r="AH29" s="612">
        <f>IF(AH28&gt;0,AH28*$AF3/100,0)</f>
        <v>0</v>
      </c>
      <c r="AI29" s="613">
        <f>IF(AI28&gt;0,AI28*$AF3/100,0)</f>
        <v>0</v>
      </c>
      <c r="AJ29" s="613">
        <f>IF(AJ28&gt;0,AJ28*$AF3/100,0)</f>
        <v>0</v>
      </c>
      <c r="AK29" s="614">
        <f>IF(AK28&gt;0,AK28*$AF3/100,0)</f>
        <v>0</v>
      </c>
      <c r="AL29" s="1568">
        <f>IF(AL28&gt;0,AL28*$AF3/100,0)</f>
        <v>0</v>
      </c>
      <c r="AN29" s="248">
        <f t="shared" ref="AN29:BS29" si="54">IF(AN28&gt;89,20/12,IF(AN28&gt;79,16/12,IF(AN28&gt;69,12/12,IF(AN28&gt;59,8/12,IF(AN28&gt;49,4/12,0)))))</f>
        <v>0</v>
      </c>
      <c r="AO29" s="248">
        <f t="shared" si="54"/>
        <v>0</v>
      </c>
      <c r="AP29" s="248">
        <f t="shared" si="54"/>
        <v>0</v>
      </c>
      <c r="AQ29" s="248">
        <f t="shared" si="54"/>
        <v>0</v>
      </c>
      <c r="AR29" s="248">
        <f t="shared" si="54"/>
        <v>0</v>
      </c>
      <c r="AS29" s="248">
        <f t="shared" si="54"/>
        <v>0</v>
      </c>
      <c r="AT29" s="248">
        <f t="shared" si="54"/>
        <v>0</v>
      </c>
      <c r="AU29" s="248">
        <f t="shared" si="54"/>
        <v>0</v>
      </c>
      <c r="AV29" s="248">
        <f t="shared" si="54"/>
        <v>0</v>
      </c>
      <c r="AW29" s="248">
        <f t="shared" si="54"/>
        <v>0</v>
      </c>
      <c r="AX29" s="248">
        <f t="shared" si="54"/>
        <v>0</v>
      </c>
      <c r="AY29" s="248">
        <f t="shared" si="54"/>
        <v>0</v>
      </c>
      <c r="AZ29" s="248">
        <f t="shared" si="54"/>
        <v>0</v>
      </c>
      <c r="BA29" s="248">
        <f t="shared" si="54"/>
        <v>0</v>
      </c>
      <c r="BB29" s="248">
        <f t="shared" si="54"/>
        <v>0</v>
      </c>
      <c r="BC29" s="248">
        <f t="shared" si="54"/>
        <v>0</v>
      </c>
      <c r="BD29" s="248">
        <f t="shared" si="54"/>
        <v>0</v>
      </c>
      <c r="BE29" s="248">
        <f t="shared" si="54"/>
        <v>0</v>
      </c>
      <c r="BF29" s="248">
        <f t="shared" si="54"/>
        <v>0</v>
      </c>
      <c r="BG29" s="248">
        <f t="shared" si="54"/>
        <v>0</v>
      </c>
      <c r="BH29" s="248">
        <f t="shared" si="54"/>
        <v>0</v>
      </c>
      <c r="BI29" s="248">
        <f t="shared" si="54"/>
        <v>0</v>
      </c>
      <c r="BJ29" s="248">
        <f t="shared" si="54"/>
        <v>0</v>
      </c>
      <c r="BK29" s="248">
        <f t="shared" si="54"/>
        <v>0</v>
      </c>
      <c r="BL29" s="248">
        <f t="shared" si="54"/>
        <v>0</v>
      </c>
      <c r="BM29" s="248">
        <f t="shared" si="54"/>
        <v>0</v>
      </c>
      <c r="BN29" s="248">
        <f t="shared" si="54"/>
        <v>0</v>
      </c>
      <c r="BO29" s="248">
        <f t="shared" si="54"/>
        <v>0</v>
      </c>
      <c r="BP29" s="248">
        <f t="shared" si="54"/>
        <v>0</v>
      </c>
      <c r="BQ29" s="248">
        <f t="shared" si="54"/>
        <v>0</v>
      </c>
      <c r="BR29" s="248">
        <f t="shared" si="54"/>
        <v>0</v>
      </c>
      <c r="BS29" s="248">
        <f t="shared" si="54"/>
        <v>0</v>
      </c>
      <c r="BT29" s="248">
        <f t="shared" ref="BT29:CY29" si="55">IF(BT28&gt;89,20/12,IF(BT28&gt;79,16/12,IF(BT28&gt;69,12/12,IF(BT28&gt;59,8/12,IF(BT28&gt;49,4/12,0)))))</f>
        <v>0</v>
      </c>
      <c r="BU29" s="248">
        <f t="shared" si="55"/>
        <v>0</v>
      </c>
      <c r="BV29" s="248">
        <f t="shared" si="55"/>
        <v>0</v>
      </c>
      <c r="BW29" s="248">
        <f t="shared" si="55"/>
        <v>0</v>
      </c>
      <c r="BX29" s="248">
        <f t="shared" si="55"/>
        <v>0</v>
      </c>
      <c r="BY29" s="248">
        <f t="shared" si="55"/>
        <v>0</v>
      </c>
      <c r="BZ29" s="248">
        <f t="shared" si="55"/>
        <v>0</v>
      </c>
      <c r="CA29" s="248">
        <f t="shared" si="55"/>
        <v>0</v>
      </c>
      <c r="CB29" s="248">
        <f t="shared" si="55"/>
        <v>0</v>
      </c>
      <c r="CC29" s="248">
        <f t="shared" si="55"/>
        <v>0</v>
      </c>
      <c r="CD29" s="248">
        <f t="shared" si="55"/>
        <v>0</v>
      </c>
      <c r="CE29" s="248">
        <f t="shared" si="55"/>
        <v>0</v>
      </c>
      <c r="CF29" s="248">
        <f t="shared" si="55"/>
        <v>0</v>
      </c>
      <c r="CG29" s="248">
        <f t="shared" si="55"/>
        <v>0</v>
      </c>
      <c r="CH29" s="248">
        <f t="shared" si="55"/>
        <v>0</v>
      </c>
      <c r="CI29" s="248">
        <f t="shared" si="55"/>
        <v>0</v>
      </c>
      <c r="CJ29" s="248">
        <f t="shared" si="55"/>
        <v>0</v>
      </c>
      <c r="CK29" s="248">
        <f t="shared" si="55"/>
        <v>0</v>
      </c>
      <c r="CL29" s="248">
        <f t="shared" si="55"/>
        <v>0</v>
      </c>
      <c r="CM29" s="248">
        <f t="shared" si="55"/>
        <v>0</v>
      </c>
      <c r="CN29" s="248">
        <f t="shared" si="55"/>
        <v>0</v>
      </c>
      <c r="CO29" s="248">
        <f t="shared" si="55"/>
        <v>0</v>
      </c>
      <c r="CP29" s="248">
        <f t="shared" si="55"/>
        <v>0</v>
      </c>
      <c r="CQ29" s="248">
        <f t="shared" si="55"/>
        <v>0</v>
      </c>
      <c r="CR29" s="248">
        <f t="shared" si="55"/>
        <v>0</v>
      </c>
      <c r="CS29" s="248">
        <f t="shared" si="55"/>
        <v>0</v>
      </c>
      <c r="CT29" s="248">
        <f t="shared" si="55"/>
        <v>0</v>
      </c>
      <c r="CU29" s="248">
        <f t="shared" si="55"/>
        <v>0</v>
      </c>
      <c r="CV29" s="248">
        <f t="shared" si="55"/>
        <v>0</v>
      </c>
      <c r="CW29" s="248">
        <f t="shared" si="55"/>
        <v>0</v>
      </c>
      <c r="CX29" s="248">
        <f t="shared" si="55"/>
        <v>0</v>
      </c>
      <c r="CY29" s="248">
        <f t="shared" si="55"/>
        <v>0</v>
      </c>
      <c r="CZ29" s="248">
        <f t="shared" ref="CZ29:EE29" si="56">IF(CZ28&gt;89,20/12,IF(CZ28&gt;79,16/12,IF(CZ28&gt;69,12/12,IF(CZ28&gt;59,8/12,IF(CZ28&gt;49,4/12,0)))))</f>
        <v>0</v>
      </c>
      <c r="DA29" s="248">
        <f t="shared" si="56"/>
        <v>0</v>
      </c>
      <c r="DB29" s="248">
        <f t="shared" si="56"/>
        <v>0</v>
      </c>
      <c r="DC29" s="248">
        <f t="shared" si="56"/>
        <v>0</v>
      </c>
      <c r="DD29" s="248">
        <f t="shared" si="56"/>
        <v>0</v>
      </c>
      <c r="DE29" s="248">
        <f t="shared" si="56"/>
        <v>0</v>
      </c>
      <c r="DF29" s="248">
        <f t="shared" si="56"/>
        <v>0</v>
      </c>
      <c r="DG29" s="248">
        <f t="shared" si="56"/>
        <v>0</v>
      </c>
      <c r="DH29" s="248">
        <f t="shared" si="56"/>
        <v>0</v>
      </c>
      <c r="DI29" s="248">
        <f t="shared" si="56"/>
        <v>0</v>
      </c>
      <c r="DJ29" s="248">
        <f t="shared" si="56"/>
        <v>0</v>
      </c>
      <c r="DK29" s="248">
        <f t="shared" si="56"/>
        <v>0</v>
      </c>
      <c r="DL29" s="248">
        <f t="shared" si="56"/>
        <v>0</v>
      </c>
      <c r="DM29" s="248">
        <f t="shared" si="56"/>
        <v>0</v>
      </c>
      <c r="DN29" s="248">
        <f t="shared" si="56"/>
        <v>0</v>
      </c>
      <c r="DO29" s="248">
        <f t="shared" si="56"/>
        <v>0</v>
      </c>
      <c r="DP29" s="248">
        <f t="shared" si="56"/>
        <v>0</v>
      </c>
      <c r="DQ29" s="248">
        <f t="shared" si="56"/>
        <v>0</v>
      </c>
      <c r="DR29" s="248">
        <f t="shared" si="56"/>
        <v>0</v>
      </c>
      <c r="DS29" s="248">
        <f t="shared" si="56"/>
        <v>0</v>
      </c>
      <c r="DT29" s="248">
        <f t="shared" si="56"/>
        <v>0</v>
      </c>
      <c r="DU29" s="248">
        <f t="shared" si="56"/>
        <v>0</v>
      </c>
      <c r="DV29" s="248">
        <f t="shared" si="56"/>
        <v>0</v>
      </c>
      <c r="DW29" s="248">
        <f t="shared" si="56"/>
        <v>0</v>
      </c>
      <c r="DX29" s="248">
        <f t="shared" si="56"/>
        <v>0</v>
      </c>
      <c r="DY29" s="248">
        <f t="shared" si="56"/>
        <v>0</v>
      </c>
      <c r="DZ29" s="248">
        <f t="shared" si="56"/>
        <v>0</v>
      </c>
      <c r="EA29" s="248">
        <f t="shared" si="56"/>
        <v>0</v>
      </c>
      <c r="EB29" s="248">
        <f t="shared" si="56"/>
        <v>0</v>
      </c>
      <c r="EC29" s="248">
        <f t="shared" si="56"/>
        <v>0</v>
      </c>
      <c r="ED29" s="248">
        <f t="shared" si="56"/>
        <v>0</v>
      </c>
      <c r="EE29" s="248">
        <f t="shared" si="56"/>
        <v>0</v>
      </c>
      <c r="EF29" s="248">
        <f t="shared" ref="EF29:FK29" si="57">IF(EF28&gt;89,20/12,IF(EF28&gt;79,16/12,IF(EF28&gt;69,12/12,IF(EF28&gt;59,8/12,IF(EF28&gt;49,4/12,0)))))</f>
        <v>0</v>
      </c>
      <c r="EG29" s="248">
        <f t="shared" si="57"/>
        <v>0</v>
      </c>
      <c r="EH29" s="248">
        <f t="shared" si="57"/>
        <v>0</v>
      </c>
      <c r="EI29" s="248">
        <f t="shared" si="57"/>
        <v>0</v>
      </c>
      <c r="EJ29" s="248">
        <f t="shared" si="57"/>
        <v>0</v>
      </c>
      <c r="EK29" s="248">
        <f t="shared" si="57"/>
        <v>0</v>
      </c>
      <c r="EL29" s="248">
        <f t="shared" si="57"/>
        <v>0</v>
      </c>
      <c r="EM29" s="248">
        <f t="shared" si="57"/>
        <v>0</v>
      </c>
      <c r="EN29" s="248">
        <f t="shared" si="57"/>
        <v>0</v>
      </c>
      <c r="EO29" s="248">
        <f t="shared" si="57"/>
        <v>0</v>
      </c>
      <c r="EP29" s="248">
        <f t="shared" si="57"/>
        <v>0</v>
      </c>
      <c r="EQ29" s="248">
        <f t="shared" si="57"/>
        <v>0</v>
      </c>
      <c r="ER29" s="248">
        <f t="shared" si="57"/>
        <v>0</v>
      </c>
      <c r="ES29" s="248">
        <f t="shared" si="57"/>
        <v>0</v>
      </c>
      <c r="ET29" s="248">
        <f t="shared" si="57"/>
        <v>0</v>
      </c>
      <c r="EU29" s="248">
        <f t="shared" si="57"/>
        <v>0</v>
      </c>
      <c r="EV29" s="248">
        <f t="shared" si="57"/>
        <v>0</v>
      </c>
      <c r="EW29" s="248">
        <f t="shared" si="57"/>
        <v>0</v>
      </c>
      <c r="EX29" s="248">
        <f t="shared" si="57"/>
        <v>0</v>
      </c>
      <c r="EY29" s="248">
        <f t="shared" si="57"/>
        <v>0</v>
      </c>
      <c r="EZ29" s="248">
        <f t="shared" si="57"/>
        <v>0</v>
      </c>
      <c r="FA29" s="248">
        <f t="shared" si="57"/>
        <v>0</v>
      </c>
      <c r="FB29" s="248">
        <f t="shared" si="57"/>
        <v>0</v>
      </c>
      <c r="FC29" s="248">
        <f t="shared" si="57"/>
        <v>0</v>
      </c>
      <c r="FD29" s="248">
        <f t="shared" si="57"/>
        <v>0</v>
      </c>
      <c r="FE29" s="248">
        <f t="shared" si="57"/>
        <v>0</v>
      </c>
      <c r="FF29" s="248">
        <f t="shared" si="57"/>
        <v>0</v>
      </c>
      <c r="FG29" s="248">
        <f t="shared" si="57"/>
        <v>0</v>
      </c>
      <c r="FH29" s="248">
        <f t="shared" si="57"/>
        <v>0</v>
      </c>
      <c r="FI29" s="248">
        <f t="shared" si="57"/>
        <v>0</v>
      </c>
      <c r="FJ29" s="248">
        <f t="shared" si="57"/>
        <v>0</v>
      </c>
      <c r="FK29" s="248">
        <f t="shared" si="57"/>
        <v>0</v>
      </c>
      <c r="FL29" s="248">
        <f t="shared" ref="FL29:GA29" si="58">IF(FL28&gt;89,20/12,IF(FL28&gt;79,16/12,IF(FL28&gt;69,12/12,IF(FL28&gt;59,8/12,IF(FL28&gt;49,4/12,0)))))</f>
        <v>0</v>
      </c>
      <c r="FM29" s="248">
        <f t="shared" si="58"/>
        <v>0</v>
      </c>
      <c r="FN29" s="248">
        <f t="shared" si="58"/>
        <v>0</v>
      </c>
      <c r="FO29" s="248">
        <f t="shared" si="58"/>
        <v>0</v>
      </c>
      <c r="FP29" s="248">
        <f t="shared" si="58"/>
        <v>0</v>
      </c>
      <c r="FQ29" s="248">
        <f t="shared" si="58"/>
        <v>0</v>
      </c>
      <c r="FR29" s="248">
        <f t="shared" si="58"/>
        <v>0</v>
      </c>
      <c r="FS29" s="248">
        <f t="shared" si="58"/>
        <v>0</v>
      </c>
      <c r="FT29" s="248">
        <f t="shared" si="58"/>
        <v>0</v>
      </c>
      <c r="FU29" s="248">
        <f t="shared" si="58"/>
        <v>0</v>
      </c>
      <c r="FV29" s="248">
        <f t="shared" si="58"/>
        <v>0</v>
      </c>
      <c r="FW29" s="248">
        <f t="shared" si="58"/>
        <v>0</v>
      </c>
      <c r="FX29" s="248">
        <f t="shared" si="58"/>
        <v>0</v>
      </c>
      <c r="FY29" s="248">
        <f t="shared" si="58"/>
        <v>0</v>
      </c>
      <c r="FZ29" s="248">
        <f t="shared" si="58"/>
        <v>0</v>
      </c>
      <c r="GA29" s="248">
        <f t="shared" si="58"/>
        <v>0</v>
      </c>
    </row>
    <row r="31" spans="1:199">
      <c r="AE31" s="1570"/>
      <c r="AF31" s="1571"/>
      <c r="AG31" s="1572" t="str">
        <f>Dictionary!B819</f>
        <v>Erfahrung ausreichend für</v>
      </c>
      <c r="AH31" s="1573" t="str">
        <f>AH6</f>
        <v>Level D</v>
      </c>
      <c r="AI31" s="1573" t="str">
        <f t="shared" ref="AI31:AK31" si="59">AI6</f>
        <v>Level C</v>
      </c>
      <c r="AJ31" s="1573" t="str">
        <f t="shared" si="59"/>
        <v>Level B</v>
      </c>
      <c r="AK31" s="1580" t="str">
        <f t="shared" si="59"/>
        <v>Level A</v>
      </c>
      <c r="AN31" s="306"/>
      <c r="AO31" s="309" t="s">
        <v>125</v>
      </c>
      <c r="AP31" s="248" t="str">
        <f>Dictionary!B825</f>
        <v>Prozentsatz pro Monat &lt;= 80%</v>
      </c>
    </row>
    <row r="32" spans="1:199">
      <c r="AE32" s="1574"/>
      <c r="AF32" s="1575"/>
      <c r="AG32" s="1576" t="str">
        <f>Dictionary!B820</f>
        <v>Erstzertifizierung</v>
      </c>
      <c r="AH32" s="1581" t="s">
        <v>3402</v>
      </c>
      <c r="AI32" s="1582" t="str">
        <f>IF(AI35&gt;=AH52,"OK","NOK")</f>
        <v>NOK</v>
      </c>
      <c r="AJ32" s="1582" t="str">
        <f>IF(AND(AI35&gt;=AH52,(AJ29+AK29)&gt;=AJ53),"OK","NOK")</f>
        <v>NOK</v>
      </c>
      <c r="AK32" s="1582" t="str">
        <f>IF(AND(AK29&gt;=AK54,AL29&gt;=AL54),"OK","NOK")</f>
        <v>NOK</v>
      </c>
      <c r="AN32" s="310"/>
      <c r="AO32" s="309" t="s">
        <v>125</v>
      </c>
      <c r="AP32" s="248" t="str">
        <f>Dictionary!B826</f>
        <v>Prozentsatz pro Monat &gt; 80% und &lt;= 120%</v>
      </c>
    </row>
    <row r="33" spans="1:42">
      <c r="A33" s="251" t="str">
        <f>Dictionary!B822</f>
        <v>Gelb markierte Zellen können ausgefüllt werden.</v>
      </c>
      <c r="AE33" s="1577"/>
      <c r="AF33" s="1578"/>
      <c r="AG33" s="1579" t="str">
        <f>Dictionary!B821</f>
        <v>Rezertifizierung</v>
      </c>
      <c r="AH33" s="1581" t="s">
        <v>3402</v>
      </c>
      <c r="AI33" s="1582" t="str">
        <f>IF(AI35&gt;=AH57,"OK","NOK")</f>
        <v>NOK</v>
      </c>
      <c r="AJ33" s="1582" t="str">
        <f>IF((AJ29+AK29)&gt;=AH57,"OK","NOK")</f>
        <v>NOK</v>
      </c>
      <c r="AK33" s="1582" t="str">
        <f>IF(AK29&gt;=AH57,"OK","NOK")</f>
        <v>NOK</v>
      </c>
      <c r="AN33" s="311"/>
      <c r="AO33" s="309" t="s">
        <v>125</v>
      </c>
      <c r="AP33" s="248" t="str">
        <f>Dictionary!B827</f>
        <v>Prozentsatz pro Monat &gt; 120%</v>
      </c>
    </row>
    <row r="34" spans="1:42">
      <c r="A34" s="250" t="str">
        <f>Dictionary!B823</f>
        <v>Die anderen Zellen werden automatisch ausgefüllt.</v>
      </c>
    </row>
    <row r="35" spans="1:42">
      <c r="AH35" s="683" t="str">
        <f>Dictionary!B816</f>
        <v>CBA-Erfahrung insgesamt (Monate)</v>
      </c>
      <c r="AI35" s="308">
        <f>AI29+AJ29+AK29</f>
        <v>0</v>
      </c>
      <c r="AN35" s="248" t="str">
        <f>Dictionary!B828</f>
        <v>max. Wert pro Monat = 120%</v>
      </c>
    </row>
    <row r="36" spans="1:42">
      <c r="A36" s="312" t="s">
        <v>105</v>
      </c>
    </row>
    <row r="37" spans="1:42">
      <c r="AH37" s="683" t="str">
        <f>IF(RE_CERT="","",Dictionary!B817)</f>
        <v/>
      </c>
      <c r="AI37" s="308" t="str">
        <f>IF(RE_CERT="","",SUM(AM29:GM29))</f>
        <v/>
      </c>
    </row>
    <row r="41" spans="1:42">
      <c r="A41" s="248"/>
    </row>
    <row r="48" spans="1:42">
      <c r="AM48" s="243"/>
    </row>
    <row r="51" spans="32:38" hidden="1">
      <c r="AF51" s="1551" t="s">
        <v>3747</v>
      </c>
      <c r="AG51" s="1552"/>
      <c r="AH51" s="1553" t="s">
        <v>303</v>
      </c>
      <c r="AI51" s="1554" t="s">
        <v>119</v>
      </c>
      <c r="AJ51" s="1554" t="s">
        <v>7</v>
      </c>
      <c r="AK51" s="1555" t="s">
        <v>229</v>
      </c>
      <c r="AL51" s="263" t="s">
        <v>3748</v>
      </c>
    </row>
    <row r="52" spans="32:38" hidden="1">
      <c r="AF52" s="1556" t="s">
        <v>119</v>
      </c>
      <c r="AH52" s="1559">
        <v>36</v>
      </c>
      <c r="AI52" s="1559"/>
      <c r="AJ52" s="1559"/>
      <c r="AK52" s="1559"/>
      <c r="AL52" s="1550"/>
    </row>
    <row r="53" spans="32:38" hidden="1">
      <c r="AF53" s="1556" t="s">
        <v>7</v>
      </c>
      <c r="AH53" s="1559">
        <v>60</v>
      </c>
      <c r="AI53" s="1559"/>
      <c r="AJ53" s="1559">
        <v>36</v>
      </c>
      <c r="AK53" s="1559"/>
      <c r="AL53" s="1550"/>
    </row>
    <row r="54" spans="32:38" hidden="1">
      <c r="AF54" s="1557" t="s">
        <v>229</v>
      </c>
      <c r="AG54" s="1558"/>
      <c r="AH54" s="1559">
        <v>60</v>
      </c>
      <c r="AI54" s="1559"/>
      <c r="AJ54" s="1559"/>
      <c r="AK54" s="1559">
        <v>60</v>
      </c>
      <c r="AL54" s="1550">
        <v>36</v>
      </c>
    </row>
    <row r="55" spans="32:38" hidden="1"/>
    <row r="56" spans="32:38" hidden="1">
      <c r="AF56" s="1560" t="str">
        <f>COV!V63</f>
        <v>Level</v>
      </c>
      <c r="AH56" s="1569" t="s">
        <v>3752</v>
      </c>
    </row>
    <row r="57" spans="32:38" hidden="1">
      <c r="AF57" s="263" t="s">
        <v>3749</v>
      </c>
      <c r="AH57" s="1549">
        <v>30</v>
      </c>
    </row>
    <row r="58" spans="32:38" hidden="1">
      <c r="AF58" s="263" t="str">
        <f>COV!V64</f>
        <v>A</v>
      </c>
    </row>
    <row r="59" spans="32:38" hidden="1">
      <c r="AF59" s="263" t="str">
        <f>COV!V65</f>
        <v>B</v>
      </c>
    </row>
    <row r="60" spans="32:38" hidden="1">
      <c r="AF60" s="263" t="str">
        <f>COV!V66</f>
        <v>C</v>
      </c>
    </row>
    <row r="61" spans="32:38" hidden="1">
      <c r="AF61" s="263" t="str">
        <f>COV!V67</f>
        <v>D</v>
      </c>
    </row>
    <row r="62" spans="32:38" hidden="1"/>
    <row r="63" spans="32:38" hidden="1"/>
    <row r="64" spans="32:38" hidden="1"/>
    <row r="65" hidden="1"/>
    <row r="66" hidden="1"/>
    <row r="67" hidden="1"/>
    <row r="68" hidden="1"/>
    <row r="69" hidden="1"/>
  </sheetData>
  <sheetProtection algorithmName="SHA-512" hashValue="rD66y+JehOi1shH5dzQ4aDFMCY7+R8UM71b6TRvWz5gdq8Vxqyt+FRU3E/VFJZ4Vbiq/JD6tfp1Ik+OZhi311A==" saltValue="z34QYPsxrZhM+E8g+344/g==" spinCount="100000" sheet="1" objects="1" scenarios="1" formatColumns="0" selectLockedCells="1"/>
  <mergeCells count="6">
    <mergeCell ref="B2:D2"/>
    <mergeCell ref="B3:D3"/>
    <mergeCell ref="I5:V5"/>
    <mergeCell ref="I3:L3"/>
    <mergeCell ref="B29:C29"/>
    <mergeCell ref="I28:V28"/>
  </mergeCells>
  <conditionalFormatting sqref="F7:F23">
    <cfRule type="iconSet" priority="16">
      <iconSet iconSet="3Symbols">
        <cfvo type="percent" val="0"/>
        <cfvo type="num" val="0"/>
        <cfvo type="num" val="16"/>
      </iconSet>
    </cfRule>
  </conditionalFormatting>
  <conditionalFormatting sqref="G7:G23">
    <cfRule type="iconSet" priority="15">
      <iconSet iconSet="3Symbols">
        <cfvo type="percent" val="0"/>
        <cfvo type="num" val="0"/>
        <cfvo type="num" val="16"/>
      </iconSet>
    </cfRule>
  </conditionalFormatting>
  <conditionalFormatting sqref="I28 D29">
    <cfRule type="iconSet" priority="198">
      <iconSet iconSet="3Symbols" reverse="1">
        <cfvo type="percent" val="0"/>
        <cfvo type="num" val="1"/>
        <cfvo type="num" val="1.1000000000000001" gte="0"/>
      </iconSet>
    </cfRule>
    <cfRule type="expression" dxfId="369" priority="197">
      <formula>1.2&gt;=$D$29&gt;=1</formula>
    </cfRule>
    <cfRule type="expression" dxfId="368" priority="196">
      <formula>$D$29&gt;1.2</formula>
    </cfRule>
    <cfRule type="expression" dxfId="367" priority="195">
      <formula>$D$29&lt;1</formula>
    </cfRule>
  </conditionalFormatting>
  <conditionalFormatting sqref="L7:M23">
    <cfRule type="iconSet" priority="9">
      <iconSet iconSet="3Symbols">
        <cfvo type="percent" val="0"/>
        <cfvo type="num" val="-5"/>
        <cfvo type="num" val="5"/>
      </iconSet>
    </cfRule>
  </conditionalFormatting>
  <conditionalFormatting sqref="N7:N23">
    <cfRule type="iconSet" priority="17">
      <iconSet iconSet="3Symbols">
        <cfvo type="percent" val="0"/>
        <cfvo type="num" val="-5"/>
        <cfvo type="num" val="5"/>
      </iconSet>
    </cfRule>
  </conditionalFormatting>
  <conditionalFormatting sqref="Z7:Z23">
    <cfRule type="expression" dxfId="366" priority="6">
      <formula>$AB$3=$GQ$3</formula>
    </cfRule>
  </conditionalFormatting>
  <conditionalFormatting sqref="Z27:Z28 Z3:Z6">
    <cfRule type="expression" dxfId="365" priority="4">
      <formula>$AB$3=$GQ$3</formula>
    </cfRule>
  </conditionalFormatting>
  <conditionalFormatting sqref="Z2:AA2 Z28:AA28">
    <cfRule type="expression" dxfId="364" priority="2">
      <formula>$AB$3=$GQ$3</formula>
    </cfRule>
  </conditionalFormatting>
  <conditionalFormatting sqref="AA2 AA28">
    <cfRule type="expression" dxfId="363" priority="1">
      <formula>$AB$3=$GQ$4</formula>
    </cfRule>
  </conditionalFormatting>
  <conditionalFormatting sqref="AA3:AA6 AA27:AA28">
    <cfRule type="expression" dxfId="362" priority="3">
      <formula>$AB$3=$GQ$4</formula>
    </cfRule>
  </conditionalFormatting>
  <conditionalFormatting sqref="AA7:AA23">
    <cfRule type="expression" dxfId="361" priority="5">
      <formula>$AB$3=$GQ$4</formula>
    </cfRule>
  </conditionalFormatting>
  <conditionalFormatting sqref="AC28">
    <cfRule type="notContainsBlanks" dxfId="360" priority="24">
      <formula>LEN(TRIM(AC28))&gt;0</formula>
    </cfRule>
    <cfRule type="cellIs" dxfId="359" priority="41" stopIfTrue="1" operator="equal">
      <formula>"geändert"</formula>
    </cfRule>
  </conditionalFormatting>
  <conditionalFormatting sqref="AG7:AG26">
    <cfRule type="expression" dxfId="358" priority="42" stopIfTrue="1">
      <formula>#REF!=""</formula>
    </cfRule>
    <cfRule type="expression" dxfId="357" priority="43" stopIfTrue="1">
      <formula>#REF!=""</formula>
    </cfRule>
    <cfRule type="expression" dxfId="356" priority="44" stopIfTrue="1">
      <formula>#REF!&lt;&gt;#REF!</formula>
    </cfRule>
  </conditionalFormatting>
  <conditionalFormatting sqref="AI32:AK33">
    <cfRule type="cellIs" dxfId="355" priority="8" operator="equal">
      <formula>"OK"</formula>
    </cfRule>
  </conditionalFormatting>
  <conditionalFormatting sqref="AN31">
    <cfRule type="cellIs" dxfId="354" priority="29" stopIfTrue="1" operator="lessThanOrEqual">
      <formula>80</formula>
    </cfRule>
    <cfRule type="cellIs" dxfId="353" priority="30" stopIfTrue="1" operator="lessThanOrEqual">
      <formula>120</formula>
    </cfRule>
    <cfRule type="cellIs" dxfId="352" priority="31" stopIfTrue="1" operator="greaterThan">
      <formula>120</formula>
    </cfRule>
  </conditionalFormatting>
  <conditionalFormatting sqref="AN28:GA28">
    <cfRule type="cellIs" dxfId="351" priority="26" stopIfTrue="1" operator="lessThanOrEqual">
      <formula>80</formula>
    </cfRule>
    <cfRule type="cellIs" dxfId="350" priority="28" stopIfTrue="1" operator="greaterThan">
      <formula>120</formula>
    </cfRule>
    <cfRule type="cellIs" dxfId="349" priority="27" stopIfTrue="1" operator="lessThanOrEqual">
      <formula>120</formula>
    </cfRule>
  </conditionalFormatting>
  <dataValidations count="3">
    <dataValidation type="list" allowBlank="1" showErrorMessage="1" errorTitle="IPMA Level" error="IPMA Level invalid!_x000a__x000a_IPMA Level Ungültig!" prompt="AS: A Level " sqref="Z7:AA23" xr:uid="{00000000-0002-0000-4100-000000000000}">
      <formula1>$AF$57:$AF$61</formula1>
    </dataValidation>
    <dataValidation allowBlank="1" showErrorMessage="1" errorTitle="IPMA Level" error="IPMA Level invalid!_x000a__x000a_IPMA Level Ungültig!" prompt="AS: A Level " sqref="GQ7:GQ23" xr:uid="{00000000-0002-0000-4100-000001000000}"/>
    <dataValidation type="list" showInputMessage="1" showErrorMessage="1" sqref="AB3" xr:uid="{00000000-0002-0000-4100-000002000000}">
      <formula1>$GQ$3:$GQ$4</formula1>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legacy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CE58F-AD64-44BF-8C3C-2E8098C5F6B6}">
  <sheetPr codeName="Recert_Learning_Eval">
    <tabColor rgb="FFC00000"/>
  </sheetPr>
  <dimension ref="A1:L124"/>
  <sheetViews>
    <sheetView zoomScale="80" zoomScaleNormal="80" workbookViewId="0">
      <pane ySplit="8" topLeftCell="A9" activePane="bottomLeft" state="frozen"/>
      <selection activeCell="B109" sqref="B109"/>
      <selection pane="bottomLeft" activeCell="G8" sqref="G8"/>
    </sheetView>
  </sheetViews>
  <sheetFormatPr baseColWidth="10" defaultColWidth="11.5" defaultRowHeight="14"/>
  <cols>
    <col min="1" max="1" width="11.5" style="64"/>
    <col min="2" max="2" width="26.1640625" style="64" customWidth="1"/>
    <col min="3" max="3" width="32.5" style="64" customWidth="1"/>
    <col min="4" max="4" width="16" style="64" customWidth="1"/>
    <col min="5" max="5" width="31.6640625" style="64" customWidth="1"/>
    <col min="6" max="7" width="45.6640625" style="64" customWidth="1"/>
    <col min="8" max="8" width="5.5" style="64" customWidth="1"/>
    <col min="9" max="9" width="12.6640625" style="64" customWidth="1"/>
    <col min="10" max="10" width="6.5" style="64" customWidth="1"/>
    <col min="11" max="11" width="15" style="64" customWidth="1"/>
    <col min="12" max="12" width="9" style="64" customWidth="1"/>
    <col min="13" max="13" width="26.5" style="64" customWidth="1"/>
    <col min="14" max="14" width="35.5" style="64" customWidth="1"/>
    <col min="15" max="255" width="11.5" style="64"/>
    <col min="256" max="256" width="18" style="64" customWidth="1"/>
    <col min="257" max="258" width="32.5" style="64" customWidth="1"/>
    <col min="259" max="259" width="11.5" style="64"/>
    <col min="260" max="260" width="4.5" style="64" customWidth="1"/>
    <col min="261" max="261" width="11.5" style="64"/>
    <col min="262" max="262" width="4.5" style="64" customWidth="1"/>
    <col min="263" max="511" width="11.5" style="64"/>
    <col min="512" max="512" width="18" style="64" customWidth="1"/>
    <col min="513" max="514" width="32.5" style="64" customWidth="1"/>
    <col min="515" max="515" width="11.5" style="64"/>
    <col min="516" max="516" width="4.5" style="64" customWidth="1"/>
    <col min="517" max="517" width="11.5" style="64"/>
    <col min="518" max="518" width="4.5" style="64" customWidth="1"/>
    <col min="519" max="767" width="11.5" style="64"/>
    <col min="768" max="768" width="18" style="64" customWidth="1"/>
    <col min="769" max="770" width="32.5" style="64" customWidth="1"/>
    <col min="771" max="771" width="11.5" style="64"/>
    <col min="772" max="772" width="4.5" style="64" customWidth="1"/>
    <col min="773" max="773" width="11.5" style="64"/>
    <col min="774" max="774" width="4.5" style="64" customWidth="1"/>
    <col min="775" max="1023" width="11.5" style="64"/>
    <col min="1024" max="1024" width="18" style="64" customWidth="1"/>
    <col min="1025" max="1026" width="32.5" style="64" customWidth="1"/>
    <col min="1027" max="1027" width="11.5" style="64"/>
    <col min="1028" max="1028" width="4.5" style="64" customWidth="1"/>
    <col min="1029" max="1029" width="11.5" style="64"/>
    <col min="1030" max="1030" width="4.5" style="64" customWidth="1"/>
    <col min="1031" max="1279" width="11.5" style="64"/>
    <col min="1280" max="1280" width="18" style="64" customWidth="1"/>
    <col min="1281" max="1282" width="32.5" style="64" customWidth="1"/>
    <col min="1283" max="1283" width="11.5" style="64"/>
    <col min="1284" max="1284" width="4.5" style="64" customWidth="1"/>
    <col min="1285" max="1285" width="11.5" style="64"/>
    <col min="1286" max="1286" width="4.5" style="64" customWidth="1"/>
    <col min="1287" max="1535" width="11.5" style="64"/>
    <col min="1536" max="1536" width="18" style="64" customWidth="1"/>
    <col min="1537" max="1538" width="32.5" style="64" customWidth="1"/>
    <col min="1539" max="1539" width="11.5" style="64"/>
    <col min="1540" max="1540" width="4.5" style="64" customWidth="1"/>
    <col min="1541" max="1541" width="11.5" style="64"/>
    <col min="1542" max="1542" width="4.5" style="64" customWidth="1"/>
    <col min="1543" max="1791" width="11.5" style="64"/>
    <col min="1792" max="1792" width="18" style="64" customWidth="1"/>
    <col min="1793" max="1794" width="32.5" style="64" customWidth="1"/>
    <col min="1795" max="1795" width="11.5" style="64"/>
    <col min="1796" max="1796" width="4.5" style="64" customWidth="1"/>
    <col min="1797" max="1797" width="11.5" style="64"/>
    <col min="1798" max="1798" width="4.5" style="64" customWidth="1"/>
    <col min="1799" max="2047" width="11.5" style="64"/>
    <col min="2048" max="2048" width="18" style="64" customWidth="1"/>
    <col min="2049" max="2050" width="32.5" style="64" customWidth="1"/>
    <col min="2051" max="2051" width="11.5" style="64"/>
    <col min="2052" max="2052" width="4.5" style="64" customWidth="1"/>
    <col min="2053" max="2053" width="11.5" style="64"/>
    <col min="2054" max="2054" width="4.5" style="64" customWidth="1"/>
    <col min="2055" max="2303" width="11.5" style="64"/>
    <col min="2304" max="2304" width="18" style="64" customWidth="1"/>
    <col min="2305" max="2306" width="32.5" style="64" customWidth="1"/>
    <col min="2307" max="2307" width="11.5" style="64"/>
    <col min="2308" max="2308" width="4.5" style="64" customWidth="1"/>
    <col min="2309" max="2309" width="11.5" style="64"/>
    <col min="2310" max="2310" width="4.5" style="64" customWidth="1"/>
    <col min="2311" max="2559" width="11.5" style="64"/>
    <col min="2560" max="2560" width="18" style="64" customWidth="1"/>
    <col min="2561" max="2562" width="32.5" style="64" customWidth="1"/>
    <col min="2563" max="2563" width="11.5" style="64"/>
    <col min="2564" max="2564" width="4.5" style="64" customWidth="1"/>
    <col min="2565" max="2565" width="11.5" style="64"/>
    <col min="2566" max="2566" width="4.5" style="64" customWidth="1"/>
    <col min="2567" max="2815" width="11.5" style="64"/>
    <col min="2816" max="2816" width="18" style="64" customWidth="1"/>
    <col min="2817" max="2818" width="32.5" style="64" customWidth="1"/>
    <col min="2819" max="2819" width="11.5" style="64"/>
    <col min="2820" max="2820" width="4.5" style="64" customWidth="1"/>
    <col min="2821" max="2821" width="11.5" style="64"/>
    <col min="2822" max="2822" width="4.5" style="64" customWidth="1"/>
    <col min="2823" max="3071" width="11.5" style="64"/>
    <col min="3072" max="3072" width="18" style="64" customWidth="1"/>
    <col min="3073" max="3074" width="32.5" style="64" customWidth="1"/>
    <col min="3075" max="3075" width="11.5" style="64"/>
    <col min="3076" max="3076" width="4.5" style="64" customWidth="1"/>
    <col min="3077" max="3077" width="11.5" style="64"/>
    <col min="3078" max="3078" width="4.5" style="64" customWidth="1"/>
    <col min="3079" max="3327" width="11.5" style="64"/>
    <col min="3328" max="3328" width="18" style="64" customWidth="1"/>
    <col min="3329" max="3330" width="32.5" style="64" customWidth="1"/>
    <col min="3331" max="3331" width="11.5" style="64"/>
    <col min="3332" max="3332" width="4.5" style="64" customWidth="1"/>
    <col min="3333" max="3333" width="11.5" style="64"/>
    <col min="3334" max="3334" width="4.5" style="64" customWidth="1"/>
    <col min="3335" max="3583" width="11.5" style="64"/>
    <col min="3584" max="3584" width="18" style="64" customWidth="1"/>
    <col min="3585" max="3586" width="32.5" style="64" customWidth="1"/>
    <col min="3587" max="3587" width="11.5" style="64"/>
    <col min="3588" max="3588" width="4.5" style="64" customWidth="1"/>
    <col min="3589" max="3589" width="11.5" style="64"/>
    <col min="3590" max="3590" width="4.5" style="64" customWidth="1"/>
    <col min="3591" max="3839" width="11.5" style="64"/>
    <col min="3840" max="3840" width="18" style="64" customWidth="1"/>
    <col min="3841" max="3842" width="32.5" style="64" customWidth="1"/>
    <col min="3843" max="3843" width="11.5" style="64"/>
    <col min="3844" max="3844" width="4.5" style="64" customWidth="1"/>
    <col min="3845" max="3845" width="11.5" style="64"/>
    <col min="3846" max="3846" width="4.5" style="64" customWidth="1"/>
    <col min="3847" max="4095" width="11.5" style="64"/>
    <col min="4096" max="4096" width="18" style="64" customWidth="1"/>
    <col min="4097" max="4098" width="32.5" style="64" customWidth="1"/>
    <col min="4099" max="4099" width="11.5" style="64"/>
    <col min="4100" max="4100" width="4.5" style="64" customWidth="1"/>
    <col min="4101" max="4101" width="11.5" style="64"/>
    <col min="4102" max="4102" width="4.5" style="64" customWidth="1"/>
    <col min="4103" max="4351" width="11.5" style="64"/>
    <col min="4352" max="4352" width="18" style="64" customWidth="1"/>
    <col min="4353" max="4354" width="32.5" style="64" customWidth="1"/>
    <col min="4355" max="4355" width="11.5" style="64"/>
    <col min="4356" max="4356" width="4.5" style="64" customWidth="1"/>
    <col min="4357" max="4357" width="11.5" style="64"/>
    <col min="4358" max="4358" width="4.5" style="64" customWidth="1"/>
    <col min="4359" max="4607" width="11.5" style="64"/>
    <col min="4608" max="4608" width="18" style="64" customWidth="1"/>
    <col min="4609" max="4610" width="32.5" style="64" customWidth="1"/>
    <col min="4611" max="4611" width="11.5" style="64"/>
    <col min="4612" max="4612" width="4.5" style="64" customWidth="1"/>
    <col min="4613" max="4613" width="11.5" style="64"/>
    <col min="4614" max="4614" width="4.5" style="64" customWidth="1"/>
    <col min="4615" max="4863" width="11.5" style="64"/>
    <col min="4864" max="4864" width="18" style="64" customWidth="1"/>
    <col min="4865" max="4866" width="32.5" style="64" customWidth="1"/>
    <col min="4867" max="4867" width="11.5" style="64"/>
    <col min="4868" max="4868" width="4.5" style="64" customWidth="1"/>
    <col min="4869" max="4869" width="11.5" style="64"/>
    <col min="4870" max="4870" width="4.5" style="64" customWidth="1"/>
    <col min="4871" max="5119" width="11.5" style="64"/>
    <col min="5120" max="5120" width="18" style="64" customWidth="1"/>
    <col min="5121" max="5122" width="32.5" style="64" customWidth="1"/>
    <col min="5123" max="5123" width="11.5" style="64"/>
    <col min="5124" max="5124" width="4.5" style="64" customWidth="1"/>
    <col min="5125" max="5125" width="11.5" style="64"/>
    <col min="5126" max="5126" width="4.5" style="64" customWidth="1"/>
    <col min="5127" max="5375" width="11.5" style="64"/>
    <col min="5376" max="5376" width="18" style="64" customWidth="1"/>
    <col min="5377" max="5378" width="32.5" style="64" customWidth="1"/>
    <col min="5379" max="5379" width="11.5" style="64"/>
    <col min="5380" max="5380" width="4.5" style="64" customWidth="1"/>
    <col min="5381" max="5381" width="11.5" style="64"/>
    <col min="5382" max="5382" width="4.5" style="64" customWidth="1"/>
    <col min="5383" max="5631" width="11.5" style="64"/>
    <col min="5632" max="5632" width="18" style="64" customWidth="1"/>
    <col min="5633" max="5634" width="32.5" style="64" customWidth="1"/>
    <col min="5635" max="5635" width="11.5" style="64"/>
    <col min="5636" max="5636" width="4.5" style="64" customWidth="1"/>
    <col min="5637" max="5637" width="11.5" style="64"/>
    <col min="5638" max="5638" width="4.5" style="64" customWidth="1"/>
    <col min="5639" max="5887" width="11.5" style="64"/>
    <col min="5888" max="5888" width="18" style="64" customWidth="1"/>
    <col min="5889" max="5890" width="32.5" style="64" customWidth="1"/>
    <col min="5891" max="5891" width="11.5" style="64"/>
    <col min="5892" max="5892" width="4.5" style="64" customWidth="1"/>
    <col min="5893" max="5893" width="11.5" style="64"/>
    <col min="5894" max="5894" width="4.5" style="64" customWidth="1"/>
    <col min="5895" max="6143" width="11.5" style="64"/>
    <col min="6144" max="6144" width="18" style="64" customWidth="1"/>
    <col min="6145" max="6146" width="32.5" style="64" customWidth="1"/>
    <col min="6147" max="6147" width="11.5" style="64"/>
    <col min="6148" max="6148" width="4.5" style="64" customWidth="1"/>
    <col min="6149" max="6149" width="11.5" style="64"/>
    <col min="6150" max="6150" width="4.5" style="64" customWidth="1"/>
    <col min="6151" max="6399" width="11.5" style="64"/>
    <col min="6400" max="6400" width="18" style="64" customWidth="1"/>
    <col min="6401" max="6402" width="32.5" style="64" customWidth="1"/>
    <col min="6403" max="6403" width="11.5" style="64"/>
    <col min="6404" max="6404" width="4.5" style="64" customWidth="1"/>
    <col min="6405" max="6405" width="11.5" style="64"/>
    <col min="6406" max="6406" width="4.5" style="64" customWidth="1"/>
    <col min="6407" max="6655" width="11.5" style="64"/>
    <col min="6656" max="6656" width="18" style="64" customWidth="1"/>
    <col min="6657" max="6658" width="32.5" style="64" customWidth="1"/>
    <col min="6659" max="6659" width="11.5" style="64"/>
    <col min="6660" max="6660" width="4.5" style="64" customWidth="1"/>
    <col min="6661" max="6661" width="11.5" style="64"/>
    <col min="6662" max="6662" width="4.5" style="64" customWidth="1"/>
    <col min="6663" max="6911" width="11.5" style="64"/>
    <col min="6912" max="6912" width="18" style="64" customWidth="1"/>
    <col min="6913" max="6914" width="32.5" style="64" customWidth="1"/>
    <col min="6915" max="6915" width="11.5" style="64"/>
    <col min="6916" max="6916" width="4.5" style="64" customWidth="1"/>
    <col min="6917" max="6917" width="11.5" style="64"/>
    <col min="6918" max="6918" width="4.5" style="64" customWidth="1"/>
    <col min="6919" max="7167" width="11.5" style="64"/>
    <col min="7168" max="7168" width="18" style="64" customWidth="1"/>
    <col min="7169" max="7170" width="32.5" style="64" customWidth="1"/>
    <col min="7171" max="7171" width="11.5" style="64"/>
    <col min="7172" max="7172" width="4.5" style="64" customWidth="1"/>
    <col min="7173" max="7173" width="11.5" style="64"/>
    <col min="7174" max="7174" width="4.5" style="64" customWidth="1"/>
    <col min="7175" max="7423" width="11.5" style="64"/>
    <col min="7424" max="7424" width="18" style="64" customWidth="1"/>
    <col min="7425" max="7426" width="32.5" style="64" customWidth="1"/>
    <col min="7427" max="7427" width="11.5" style="64"/>
    <col min="7428" max="7428" width="4.5" style="64" customWidth="1"/>
    <col min="7429" max="7429" width="11.5" style="64"/>
    <col min="7430" max="7430" width="4.5" style="64" customWidth="1"/>
    <col min="7431" max="7679" width="11.5" style="64"/>
    <col min="7680" max="7680" width="18" style="64" customWidth="1"/>
    <col min="7681" max="7682" width="32.5" style="64" customWidth="1"/>
    <col min="7683" max="7683" width="11.5" style="64"/>
    <col min="7684" max="7684" width="4.5" style="64" customWidth="1"/>
    <col min="7685" max="7685" width="11.5" style="64"/>
    <col min="7686" max="7686" width="4.5" style="64" customWidth="1"/>
    <col min="7687" max="7935" width="11.5" style="64"/>
    <col min="7936" max="7936" width="18" style="64" customWidth="1"/>
    <col min="7937" max="7938" width="32.5" style="64" customWidth="1"/>
    <col min="7939" max="7939" width="11.5" style="64"/>
    <col min="7940" max="7940" width="4.5" style="64" customWidth="1"/>
    <col min="7941" max="7941" width="11.5" style="64"/>
    <col min="7942" max="7942" width="4.5" style="64" customWidth="1"/>
    <col min="7943" max="8191" width="11.5" style="64"/>
    <col min="8192" max="8192" width="18" style="64" customWidth="1"/>
    <col min="8193" max="8194" width="32.5" style="64" customWidth="1"/>
    <col min="8195" max="8195" width="11.5" style="64"/>
    <col min="8196" max="8196" width="4.5" style="64" customWidth="1"/>
    <col min="8197" max="8197" width="11.5" style="64"/>
    <col min="8198" max="8198" width="4.5" style="64" customWidth="1"/>
    <col min="8199" max="8447" width="11.5" style="64"/>
    <col min="8448" max="8448" width="18" style="64" customWidth="1"/>
    <col min="8449" max="8450" width="32.5" style="64" customWidth="1"/>
    <col min="8451" max="8451" width="11.5" style="64"/>
    <col min="8452" max="8452" width="4.5" style="64" customWidth="1"/>
    <col min="8453" max="8453" width="11.5" style="64"/>
    <col min="8454" max="8454" width="4.5" style="64" customWidth="1"/>
    <col min="8455" max="8703" width="11.5" style="64"/>
    <col min="8704" max="8704" width="18" style="64" customWidth="1"/>
    <col min="8705" max="8706" width="32.5" style="64" customWidth="1"/>
    <col min="8707" max="8707" width="11.5" style="64"/>
    <col min="8708" max="8708" width="4.5" style="64" customWidth="1"/>
    <col min="8709" max="8709" width="11.5" style="64"/>
    <col min="8710" max="8710" width="4.5" style="64" customWidth="1"/>
    <col min="8711" max="8959" width="11.5" style="64"/>
    <col min="8960" max="8960" width="18" style="64" customWidth="1"/>
    <col min="8961" max="8962" width="32.5" style="64" customWidth="1"/>
    <col min="8963" max="8963" width="11.5" style="64"/>
    <col min="8964" max="8964" width="4.5" style="64" customWidth="1"/>
    <col min="8965" max="8965" width="11.5" style="64"/>
    <col min="8966" max="8966" width="4.5" style="64" customWidth="1"/>
    <col min="8967" max="9215" width="11.5" style="64"/>
    <col min="9216" max="9216" width="18" style="64" customWidth="1"/>
    <col min="9217" max="9218" width="32.5" style="64" customWidth="1"/>
    <col min="9219" max="9219" width="11.5" style="64"/>
    <col min="9220" max="9220" width="4.5" style="64" customWidth="1"/>
    <col min="9221" max="9221" width="11.5" style="64"/>
    <col min="9222" max="9222" width="4.5" style="64" customWidth="1"/>
    <col min="9223" max="9471" width="11.5" style="64"/>
    <col min="9472" max="9472" width="18" style="64" customWidth="1"/>
    <col min="9473" max="9474" width="32.5" style="64" customWidth="1"/>
    <col min="9475" max="9475" width="11.5" style="64"/>
    <col min="9476" max="9476" width="4.5" style="64" customWidth="1"/>
    <col min="9477" max="9477" width="11.5" style="64"/>
    <col min="9478" max="9478" width="4.5" style="64" customWidth="1"/>
    <col min="9479" max="9727" width="11.5" style="64"/>
    <col min="9728" max="9728" width="18" style="64" customWidth="1"/>
    <col min="9729" max="9730" width="32.5" style="64" customWidth="1"/>
    <col min="9731" max="9731" width="11.5" style="64"/>
    <col min="9732" max="9732" width="4.5" style="64" customWidth="1"/>
    <col min="9733" max="9733" width="11.5" style="64"/>
    <col min="9734" max="9734" width="4.5" style="64" customWidth="1"/>
    <col min="9735" max="9983" width="11.5" style="64"/>
    <col min="9984" max="9984" width="18" style="64" customWidth="1"/>
    <col min="9985" max="9986" width="32.5" style="64" customWidth="1"/>
    <col min="9987" max="9987" width="11.5" style="64"/>
    <col min="9988" max="9988" width="4.5" style="64" customWidth="1"/>
    <col min="9989" max="9989" width="11.5" style="64"/>
    <col min="9990" max="9990" width="4.5" style="64" customWidth="1"/>
    <col min="9991" max="10239" width="11.5" style="64"/>
    <col min="10240" max="10240" width="18" style="64" customWidth="1"/>
    <col min="10241" max="10242" width="32.5" style="64" customWidth="1"/>
    <col min="10243" max="10243" width="11.5" style="64"/>
    <col min="10244" max="10244" width="4.5" style="64" customWidth="1"/>
    <col min="10245" max="10245" width="11.5" style="64"/>
    <col min="10246" max="10246" width="4.5" style="64" customWidth="1"/>
    <col min="10247" max="10495" width="11.5" style="64"/>
    <col min="10496" max="10496" width="18" style="64" customWidth="1"/>
    <col min="10497" max="10498" width="32.5" style="64" customWidth="1"/>
    <col min="10499" max="10499" width="11.5" style="64"/>
    <col min="10500" max="10500" width="4.5" style="64" customWidth="1"/>
    <col min="10501" max="10501" width="11.5" style="64"/>
    <col min="10502" max="10502" width="4.5" style="64" customWidth="1"/>
    <col min="10503" max="10751" width="11.5" style="64"/>
    <col min="10752" max="10752" width="18" style="64" customWidth="1"/>
    <col min="10753" max="10754" width="32.5" style="64" customWidth="1"/>
    <col min="10755" max="10755" width="11.5" style="64"/>
    <col min="10756" max="10756" width="4.5" style="64" customWidth="1"/>
    <col min="10757" max="10757" width="11.5" style="64"/>
    <col min="10758" max="10758" width="4.5" style="64" customWidth="1"/>
    <col min="10759" max="11007" width="11.5" style="64"/>
    <col min="11008" max="11008" width="18" style="64" customWidth="1"/>
    <col min="11009" max="11010" width="32.5" style="64" customWidth="1"/>
    <col min="11011" max="11011" width="11.5" style="64"/>
    <col min="11012" max="11012" width="4.5" style="64" customWidth="1"/>
    <col min="11013" max="11013" width="11.5" style="64"/>
    <col min="11014" max="11014" width="4.5" style="64" customWidth="1"/>
    <col min="11015" max="11263" width="11.5" style="64"/>
    <col min="11264" max="11264" width="18" style="64" customWidth="1"/>
    <col min="11265" max="11266" width="32.5" style="64" customWidth="1"/>
    <col min="11267" max="11267" width="11.5" style="64"/>
    <col min="11268" max="11268" width="4.5" style="64" customWidth="1"/>
    <col min="11269" max="11269" width="11.5" style="64"/>
    <col min="11270" max="11270" width="4.5" style="64" customWidth="1"/>
    <col min="11271" max="11519" width="11.5" style="64"/>
    <col min="11520" max="11520" width="18" style="64" customWidth="1"/>
    <col min="11521" max="11522" width="32.5" style="64" customWidth="1"/>
    <col min="11523" max="11523" width="11.5" style="64"/>
    <col min="11524" max="11524" width="4.5" style="64" customWidth="1"/>
    <col min="11525" max="11525" width="11.5" style="64"/>
    <col min="11526" max="11526" width="4.5" style="64" customWidth="1"/>
    <col min="11527" max="11775" width="11.5" style="64"/>
    <col min="11776" max="11776" width="18" style="64" customWidth="1"/>
    <col min="11777" max="11778" width="32.5" style="64" customWidth="1"/>
    <col min="11779" max="11779" width="11.5" style="64"/>
    <col min="11780" max="11780" width="4.5" style="64" customWidth="1"/>
    <col min="11781" max="11781" width="11.5" style="64"/>
    <col min="11782" max="11782" width="4.5" style="64" customWidth="1"/>
    <col min="11783" max="12031" width="11.5" style="64"/>
    <col min="12032" max="12032" width="18" style="64" customWidth="1"/>
    <col min="12033" max="12034" width="32.5" style="64" customWidth="1"/>
    <col min="12035" max="12035" width="11.5" style="64"/>
    <col min="12036" max="12036" width="4.5" style="64" customWidth="1"/>
    <col min="12037" max="12037" width="11.5" style="64"/>
    <col min="12038" max="12038" width="4.5" style="64" customWidth="1"/>
    <col min="12039" max="12287" width="11.5" style="64"/>
    <col min="12288" max="12288" width="18" style="64" customWidth="1"/>
    <col min="12289" max="12290" width="32.5" style="64" customWidth="1"/>
    <col min="12291" max="12291" width="11.5" style="64"/>
    <col min="12292" max="12292" width="4.5" style="64" customWidth="1"/>
    <col min="12293" max="12293" width="11.5" style="64"/>
    <col min="12294" max="12294" width="4.5" style="64" customWidth="1"/>
    <col min="12295" max="12543" width="11.5" style="64"/>
    <col min="12544" max="12544" width="18" style="64" customWidth="1"/>
    <col min="12545" max="12546" width="32.5" style="64" customWidth="1"/>
    <col min="12547" max="12547" width="11.5" style="64"/>
    <col min="12548" max="12548" width="4.5" style="64" customWidth="1"/>
    <col min="12549" max="12549" width="11.5" style="64"/>
    <col min="12550" max="12550" width="4.5" style="64" customWidth="1"/>
    <col min="12551" max="12799" width="11.5" style="64"/>
    <col min="12800" max="12800" width="18" style="64" customWidth="1"/>
    <col min="12801" max="12802" width="32.5" style="64" customWidth="1"/>
    <col min="12803" max="12803" width="11.5" style="64"/>
    <col min="12804" max="12804" width="4.5" style="64" customWidth="1"/>
    <col min="12805" max="12805" width="11.5" style="64"/>
    <col min="12806" max="12806" width="4.5" style="64" customWidth="1"/>
    <col min="12807" max="13055" width="11.5" style="64"/>
    <col min="13056" max="13056" width="18" style="64" customWidth="1"/>
    <col min="13057" max="13058" width="32.5" style="64" customWidth="1"/>
    <col min="13059" max="13059" width="11.5" style="64"/>
    <col min="13060" max="13060" width="4.5" style="64" customWidth="1"/>
    <col min="13061" max="13061" width="11.5" style="64"/>
    <col min="13062" max="13062" width="4.5" style="64" customWidth="1"/>
    <col min="13063" max="13311" width="11.5" style="64"/>
    <col min="13312" max="13312" width="18" style="64" customWidth="1"/>
    <col min="13313" max="13314" width="32.5" style="64" customWidth="1"/>
    <col min="13315" max="13315" width="11.5" style="64"/>
    <col min="13316" max="13316" width="4.5" style="64" customWidth="1"/>
    <col min="13317" max="13317" width="11.5" style="64"/>
    <col min="13318" max="13318" width="4.5" style="64" customWidth="1"/>
    <col min="13319" max="13567" width="11.5" style="64"/>
    <col min="13568" max="13568" width="18" style="64" customWidth="1"/>
    <col min="13569" max="13570" width="32.5" style="64" customWidth="1"/>
    <col min="13571" max="13571" width="11.5" style="64"/>
    <col min="13572" max="13572" width="4.5" style="64" customWidth="1"/>
    <col min="13573" max="13573" width="11.5" style="64"/>
    <col min="13574" max="13574" width="4.5" style="64" customWidth="1"/>
    <col min="13575" max="13823" width="11.5" style="64"/>
    <col min="13824" max="13824" width="18" style="64" customWidth="1"/>
    <col min="13825" max="13826" width="32.5" style="64" customWidth="1"/>
    <col min="13827" max="13827" width="11.5" style="64"/>
    <col min="13828" max="13828" width="4.5" style="64" customWidth="1"/>
    <col min="13829" max="13829" width="11.5" style="64"/>
    <col min="13830" max="13830" width="4.5" style="64" customWidth="1"/>
    <col min="13831" max="14079" width="11.5" style="64"/>
    <col min="14080" max="14080" width="18" style="64" customWidth="1"/>
    <col min="14081" max="14082" width="32.5" style="64" customWidth="1"/>
    <col min="14083" max="14083" width="11.5" style="64"/>
    <col min="14084" max="14084" width="4.5" style="64" customWidth="1"/>
    <col min="14085" max="14085" width="11.5" style="64"/>
    <col min="14086" max="14086" width="4.5" style="64" customWidth="1"/>
    <col min="14087" max="14335" width="11.5" style="64"/>
    <col min="14336" max="14336" width="18" style="64" customWidth="1"/>
    <col min="14337" max="14338" width="32.5" style="64" customWidth="1"/>
    <col min="14339" max="14339" width="11.5" style="64"/>
    <col min="14340" max="14340" width="4.5" style="64" customWidth="1"/>
    <col min="14341" max="14341" width="11.5" style="64"/>
    <col min="14342" max="14342" width="4.5" style="64" customWidth="1"/>
    <col min="14343" max="14591" width="11.5" style="64"/>
    <col min="14592" max="14592" width="18" style="64" customWidth="1"/>
    <col min="14593" max="14594" width="32.5" style="64" customWidth="1"/>
    <col min="14595" max="14595" width="11.5" style="64"/>
    <col min="14596" max="14596" width="4.5" style="64" customWidth="1"/>
    <col min="14597" max="14597" width="11.5" style="64"/>
    <col min="14598" max="14598" width="4.5" style="64" customWidth="1"/>
    <col min="14599" max="14847" width="11.5" style="64"/>
    <col min="14848" max="14848" width="18" style="64" customWidth="1"/>
    <col min="14849" max="14850" width="32.5" style="64" customWidth="1"/>
    <col min="14851" max="14851" width="11.5" style="64"/>
    <col min="14852" max="14852" width="4.5" style="64" customWidth="1"/>
    <col min="14853" max="14853" width="11.5" style="64"/>
    <col min="14854" max="14854" width="4.5" style="64" customWidth="1"/>
    <col min="14855" max="15103" width="11.5" style="64"/>
    <col min="15104" max="15104" width="18" style="64" customWidth="1"/>
    <col min="15105" max="15106" width="32.5" style="64" customWidth="1"/>
    <col min="15107" max="15107" width="11.5" style="64"/>
    <col min="15108" max="15108" width="4.5" style="64" customWidth="1"/>
    <col min="15109" max="15109" width="11.5" style="64"/>
    <col min="15110" max="15110" width="4.5" style="64" customWidth="1"/>
    <col min="15111" max="15359" width="11.5" style="64"/>
    <col min="15360" max="15360" width="18" style="64" customWidth="1"/>
    <col min="15361" max="15362" width="32.5" style="64" customWidth="1"/>
    <col min="15363" max="15363" width="11.5" style="64"/>
    <col min="15364" max="15364" width="4.5" style="64" customWidth="1"/>
    <col min="15365" max="15365" width="11.5" style="64"/>
    <col min="15366" max="15366" width="4.5" style="64" customWidth="1"/>
    <col min="15367" max="15615" width="11.5" style="64"/>
    <col min="15616" max="15616" width="18" style="64" customWidth="1"/>
    <col min="15617" max="15618" width="32.5" style="64" customWidth="1"/>
    <col min="15619" max="15619" width="11.5" style="64"/>
    <col min="15620" max="15620" width="4.5" style="64" customWidth="1"/>
    <col min="15621" max="15621" width="11.5" style="64"/>
    <col min="15622" max="15622" width="4.5" style="64" customWidth="1"/>
    <col min="15623" max="15871" width="11.5" style="64"/>
    <col min="15872" max="15872" width="18" style="64" customWidth="1"/>
    <col min="15873" max="15874" width="32.5" style="64" customWidth="1"/>
    <col min="15875" max="15875" width="11.5" style="64"/>
    <col min="15876" max="15876" width="4.5" style="64" customWidth="1"/>
    <col min="15877" max="15877" width="11.5" style="64"/>
    <col min="15878" max="15878" width="4.5" style="64" customWidth="1"/>
    <col min="15879" max="16127" width="11.5" style="64"/>
    <col min="16128" max="16128" width="18" style="64" customWidth="1"/>
    <col min="16129" max="16130" width="32.5" style="64" customWidth="1"/>
    <col min="16131" max="16131" width="11.5" style="64"/>
    <col min="16132" max="16132" width="4.5" style="64" customWidth="1"/>
    <col min="16133" max="16133" width="11.5" style="64"/>
    <col min="16134" max="16134" width="4.5" style="64" customWidth="1"/>
    <col min="16135" max="16384" width="11.5" style="64"/>
  </cols>
  <sheetData>
    <row r="1" spans="1:12">
      <c r="B1" s="160"/>
      <c r="C1" s="160"/>
      <c r="D1" s="160"/>
    </row>
    <row r="2" spans="1:12" ht="17" thickBot="1">
      <c r="B2" s="166">
        <f>COV!E6</f>
        <v>0</v>
      </c>
      <c r="C2" s="165">
        <f>COV!E7</f>
        <v>0</v>
      </c>
      <c r="D2" s="164"/>
      <c r="E2" s="2236" t="s">
        <v>662</v>
      </c>
      <c r="F2" s="2236"/>
      <c r="G2" s="2236"/>
      <c r="I2" s="156"/>
      <c r="J2" s="156"/>
      <c r="K2" s="156"/>
      <c r="L2" s="1745" t="str">
        <f>COV!$L$26</f>
        <v>PM ZERT</v>
      </c>
    </row>
    <row r="3" spans="1:12">
      <c r="B3" s="160" t="str">
        <f>Dictionary!B1133</f>
        <v>Name</v>
      </c>
      <c r="C3" s="160" t="str">
        <f>Dictionary!B1134</f>
        <v>Vorname</v>
      </c>
      <c r="D3" s="160"/>
      <c r="E3" s="88"/>
      <c r="F3" s="163" t="s">
        <v>661</v>
      </c>
      <c r="G3" s="162" t="s">
        <v>660</v>
      </c>
      <c r="L3" s="1746" t="str">
        <f>COV!$D$94</f>
        <v/>
      </c>
    </row>
    <row r="4" spans="1:12" ht="15">
      <c r="B4" s="160"/>
      <c r="C4" s="160"/>
      <c r="D4" s="160"/>
      <c r="E4" s="161" t="str">
        <f>Dictionary!B1135</f>
        <v>Kand. Angabe (Std.)</v>
      </c>
      <c r="F4" s="161" t="str">
        <f>Dictionary!B1136</f>
        <v>Evaluierungs Ergebnis (Std.)</v>
      </c>
      <c r="G4" s="161" t="str">
        <f>Dictionary!B1136</f>
        <v>Evaluierungs Ergebnis (Std.)</v>
      </c>
    </row>
    <row r="5" spans="1:12">
      <c r="B5" s="160"/>
      <c r="C5" s="160"/>
      <c r="D5" s="160"/>
      <c r="E5" s="159">
        <f>SUM(D35:D76)+SUM(D80:D99)+SUM(D12:D31)+SUM(D103:D109)+SUM(D113:D115)</f>
        <v>0</v>
      </c>
      <c r="F5" s="158">
        <f>SUM(I35:I76)+SUM(I80:I99)+SUM(I12:I31)+SUM(I103:I109)+SUM(I113:I115)</f>
        <v>0</v>
      </c>
      <c r="G5" s="158">
        <f>SUM(K35:K76)+SUM(K80:K99)+SUM(K12:K31)+SUM(K103:K109)+SUM(K113:K115)</f>
        <v>0</v>
      </c>
    </row>
    <row r="6" spans="1:12">
      <c r="B6" s="157" t="str">
        <f>Dictionary!B1137</f>
        <v>(1)  Besuchte Trainings. Z.B. Kurse, Seminare, oder als Mentee</v>
      </c>
    </row>
    <row r="7" spans="1:12" ht="15">
      <c r="E7" s="1731"/>
      <c r="F7" s="172" t="str">
        <f>IF(GC_Flag="",Dictionary!B1138,"")</f>
        <v>GPM Mitgliedschaft angegeben</v>
      </c>
      <c r="G7" s="1732" t="str">
        <f>IF(GC_Flag="",Dictionary!B1139,"")</f>
        <v>Lead Assessor: gültige Angabe bestätigt</v>
      </c>
      <c r="I7" s="2243" t="str">
        <f>Dictionary!B1136</f>
        <v>Evaluierungs Ergebnis (Std.)</v>
      </c>
      <c r="J7" s="2243"/>
      <c r="K7" s="2243"/>
      <c r="L7" s="2243"/>
    </row>
    <row r="8" spans="1:12" s="156" customFormat="1" ht="15">
      <c r="E8" s="1731"/>
      <c r="F8" s="1733" t="str">
        <f>IF(RCL!D8="","",RCL!D8)</f>
        <v/>
      </c>
      <c r="G8" s="1735"/>
      <c r="I8" s="2235" t="s">
        <v>288</v>
      </c>
      <c r="J8" s="2235"/>
      <c r="K8" s="2235" t="s">
        <v>656</v>
      </c>
      <c r="L8" s="2235"/>
    </row>
    <row r="9" spans="1:12">
      <c r="B9" s="155"/>
      <c r="C9" s="155"/>
    </row>
    <row r="10" spans="1:12">
      <c r="B10" s="2241" t="str">
        <f>Dictionary!B1174</f>
        <v>(3)  Teilnahme an Konferenzen, Sumposien, etc.</v>
      </c>
      <c r="C10" s="2242"/>
      <c r="D10" s="2242"/>
      <c r="E10" s="2242"/>
      <c r="F10" s="2242"/>
      <c r="G10" s="2242"/>
      <c r="H10" s="2240"/>
    </row>
    <row r="11" spans="1:12" ht="15.75" customHeight="1">
      <c r="B11" s="1530" t="str">
        <f>Dictionary!B1175</f>
        <v>Titel</v>
      </c>
      <c r="C11" s="1530" t="str">
        <f>Dictionary!B1177</f>
        <v>Veranstalter</v>
      </c>
      <c r="D11" s="1530" t="str">
        <f>Dictionary!B1178</f>
        <v>Dauer (Std.)</v>
      </c>
      <c r="E11" s="1530" t="str">
        <f>Dictionary!B1179</f>
        <v>Datum</v>
      </c>
      <c r="F11" s="1530" t="str">
        <f>Dictionary!B1180</f>
        <v>Referenzierte ICB Elemente</v>
      </c>
      <c r="G11" s="1530" t="str">
        <f>RCL!K10</f>
        <v>Nachweis der Teilnahme</v>
      </c>
      <c r="I11" s="2"/>
      <c r="J11" s="2"/>
      <c r="K11" s="2"/>
      <c r="L11" s="2"/>
    </row>
    <row r="12" spans="1:12" ht="17">
      <c r="A12" s="64">
        <v>1</v>
      </c>
      <c r="B12" s="1531" t="str">
        <f>IF(RCL!C11="","",RCL!C11)</f>
        <v/>
      </c>
      <c r="C12" s="1532" t="str">
        <f>IF(RCL!D11="","",RCL!D11)</f>
        <v/>
      </c>
      <c r="D12" s="1533" t="str">
        <f>IF(RCL!L11="","",IF(ISNUMBER(RCL!L11),RCL!L11,0))</f>
        <v/>
      </c>
      <c r="E12" s="1534" t="str">
        <f>IF(RCL!F11="","",IF(RCL!F11=RCL!G11,DAY(RCL!F11)&amp;"."&amp;MONTH(RCL!F11)&amp;"."&amp;YEAR(RCL!F11),DAY(RCL!F11)&amp;"."&amp;MONTH(RCL!F11)&amp;"."&amp;YEAR(RCL!F11)&amp;" - "&amp;DAY(RCL!G11)&amp;"."&amp;MONTH(RCL!G11)&amp;"."&amp;YEAR(RCL!G11)))</f>
        <v/>
      </c>
      <c r="F12" s="1532" t="str">
        <f>IF(RCL!I11="","",RCL!I11)&amp;IF(RCL!J11="","","; "&amp;RCL!J11)</f>
        <v/>
      </c>
      <c r="G12" s="1546">
        <f>RCL!K11</f>
        <v>0</v>
      </c>
      <c r="I12" s="772">
        <f t="shared" ref="I12:I31" si="0">IF(J12&lt;&gt;"",D12,0)</f>
        <v>0</v>
      </c>
      <c r="J12" s="794"/>
      <c r="K12" s="761">
        <f t="shared" ref="K12:K31" si="1">IF(L12&lt;&gt;"",D12,0)</f>
        <v>0</v>
      </c>
      <c r="L12" s="797"/>
    </row>
    <row r="13" spans="1:12" ht="17">
      <c r="A13" s="64">
        <v>2</v>
      </c>
      <c r="B13" s="1536" t="str">
        <f>IF(RCL!C12="","",RCL!C12)</f>
        <v/>
      </c>
      <c r="C13" s="769" t="str">
        <f>IF(RCL!D12="","",RCL!D12)</f>
        <v/>
      </c>
      <c r="D13" s="770" t="str">
        <f>IF(RCL!L12="","",IF(ISNUMBER(RCL!L12),RCL!L12,0))</f>
        <v/>
      </c>
      <c r="E13" s="771" t="str">
        <f>IF(RCL!F12="","",IF(RCL!F12=RCL!G12,DAY(RCL!F12)&amp;"."&amp;MONTH(RCL!F12)&amp;"."&amp;YEAR(RCL!F12),DAY(RCL!F12)&amp;"."&amp;MONTH(RCL!F12)&amp;"."&amp;YEAR(RCL!F12)&amp;" - "&amp;DAY(RCL!G12)&amp;"."&amp;MONTH(RCL!G12)&amp;"."&amp;YEAR(RCL!G12)))</f>
        <v/>
      </c>
      <c r="F13" s="769" t="str">
        <f>IF(RCL!I12="","",RCL!I12)&amp;IF(RCL!J12="","","; "&amp;RCL!J12)</f>
        <v/>
      </c>
      <c r="G13" s="1547">
        <f>RCL!K12</f>
        <v>0</v>
      </c>
      <c r="I13" s="773">
        <f t="shared" si="0"/>
        <v>0</v>
      </c>
      <c r="J13" s="795"/>
      <c r="K13" s="762">
        <f t="shared" si="1"/>
        <v>0</v>
      </c>
      <c r="L13" s="798"/>
    </row>
    <row r="14" spans="1:12" ht="17">
      <c r="A14" s="64">
        <v>3</v>
      </c>
      <c r="B14" s="1536" t="str">
        <f>IF(RCL!C13="","",RCL!C13)</f>
        <v/>
      </c>
      <c r="C14" s="769" t="str">
        <f>IF(RCL!D13="","",RCL!D13)</f>
        <v/>
      </c>
      <c r="D14" s="770" t="str">
        <f>IF(RCL!L13="","",IF(ISNUMBER(RCL!L13),RCL!L13,0))</f>
        <v/>
      </c>
      <c r="E14" s="771" t="str">
        <f>IF(RCL!F13="","",IF(RCL!F13=RCL!G13,DAY(RCL!F13)&amp;"."&amp;MONTH(RCL!F13)&amp;"."&amp;YEAR(RCL!F13),DAY(RCL!F13)&amp;"."&amp;MONTH(RCL!F13)&amp;"."&amp;YEAR(RCL!F13)&amp;" - "&amp;DAY(RCL!G13)&amp;"."&amp;MONTH(RCL!G13)&amp;"."&amp;YEAR(RCL!G13)))</f>
        <v/>
      </c>
      <c r="F14" s="769" t="str">
        <f>IF(RCL!I13="","",RCL!I13)&amp;IF(RCL!J13="","","; "&amp;RCL!J13)</f>
        <v/>
      </c>
      <c r="G14" s="1547">
        <f>RCL!K13</f>
        <v>0</v>
      </c>
      <c r="I14" s="773">
        <f t="shared" si="0"/>
        <v>0</v>
      </c>
      <c r="J14" s="795"/>
      <c r="K14" s="762">
        <f t="shared" si="1"/>
        <v>0</v>
      </c>
      <c r="L14" s="798"/>
    </row>
    <row r="15" spans="1:12" ht="17">
      <c r="A15" s="64">
        <v>4</v>
      </c>
      <c r="B15" s="1536" t="str">
        <f>IF(RCL!C14="","",RCL!C14)</f>
        <v/>
      </c>
      <c r="C15" s="769" t="str">
        <f>IF(RCL!D14="","",RCL!D14)</f>
        <v/>
      </c>
      <c r="D15" s="770" t="str">
        <f>IF(RCL!L14="","",IF(ISNUMBER(RCL!L14),RCL!L14,0))</f>
        <v/>
      </c>
      <c r="E15" s="771" t="str">
        <f>IF(RCL!F14="","",IF(RCL!F14=RCL!G14,DAY(RCL!F14)&amp;"."&amp;MONTH(RCL!F14)&amp;"."&amp;YEAR(RCL!F14),DAY(RCL!F14)&amp;"."&amp;MONTH(RCL!F14)&amp;"."&amp;YEAR(RCL!F14)&amp;" - "&amp;DAY(RCL!G14)&amp;"."&amp;MONTH(RCL!G14)&amp;"."&amp;YEAR(RCL!G14)))</f>
        <v/>
      </c>
      <c r="F15" s="769" t="str">
        <f>IF(RCL!I14="","",RCL!I14)&amp;IF(RCL!J14="","","; "&amp;RCL!J14)</f>
        <v/>
      </c>
      <c r="G15" s="1547">
        <f>RCL!K14</f>
        <v>0</v>
      </c>
      <c r="I15" s="773">
        <f t="shared" si="0"/>
        <v>0</v>
      </c>
      <c r="J15" s="795"/>
      <c r="K15" s="762">
        <f t="shared" si="1"/>
        <v>0</v>
      </c>
      <c r="L15" s="798"/>
    </row>
    <row r="16" spans="1:12" ht="17">
      <c r="A16" s="64">
        <v>5</v>
      </c>
      <c r="B16" s="1536" t="str">
        <f>IF(RCL!C15="","",RCL!C15)</f>
        <v/>
      </c>
      <c r="C16" s="769" t="str">
        <f>IF(RCL!D15="","",RCL!D15)</f>
        <v/>
      </c>
      <c r="D16" s="770" t="str">
        <f>IF(RCL!L15="","",IF(ISNUMBER(RCL!L15),RCL!L15,0))</f>
        <v/>
      </c>
      <c r="E16" s="771" t="str">
        <f>IF(RCL!F15="","",IF(RCL!F15=RCL!G15,DAY(RCL!F15)&amp;"."&amp;MONTH(RCL!F15)&amp;"."&amp;YEAR(RCL!F15),DAY(RCL!F15)&amp;"."&amp;MONTH(RCL!F15)&amp;"."&amp;YEAR(RCL!F15)&amp;" - "&amp;DAY(RCL!G15)&amp;"."&amp;MONTH(RCL!G15)&amp;"."&amp;YEAR(RCL!G15)))</f>
        <v/>
      </c>
      <c r="F16" s="769" t="str">
        <f>IF(RCL!I15="","",RCL!I15)&amp;IF(RCL!J15="","","; "&amp;RCL!J15)</f>
        <v/>
      </c>
      <c r="G16" s="1547">
        <f>RCL!K15</f>
        <v>0</v>
      </c>
      <c r="I16" s="773">
        <f t="shared" si="0"/>
        <v>0</v>
      </c>
      <c r="J16" s="795"/>
      <c r="K16" s="762">
        <f t="shared" si="1"/>
        <v>0</v>
      </c>
      <c r="L16" s="798"/>
    </row>
    <row r="17" spans="1:12" ht="17">
      <c r="A17" s="64">
        <v>6</v>
      </c>
      <c r="B17" s="1536" t="str">
        <f>IF(RCL!C16="","",RCL!C16)</f>
        <v/>
      </c>
      <c r="C17" s="769" t="str">
        <f>IF(RCL!D16="","",RCL!D16)</f>
        <v/>
      </c>
      <c r="D17" s="770" t="str">
        <f>IF(RCL!L16="","",IF(ISNUMBER(RCL!L16),RCL!L16,0))</f>
        <v/>
      </c>
      <c r="E17" s="771" t="str">
        <f>IF(RCL!F16="","",IF(RCL!F16=RCL!G16,DAY(RCL!F16)&amp;"."&amp;MONTH(RCL!F16)&amp;"."&amp;YEAR(RCL!F16),DAY(RCL!F16)&amp;"."&amp;MONTH(RCL!F16)&amp;"."&amp;YEAR(RCL!F16)&amp;" - "&amp;DAY(RCL!G16)&amp;"."&amp;MONTH(RCL!G16)&amp;"."&amp;YEAR(RCL!G16)))</f>
        <v/>
      </c>
      <c r="F17" s="769" t="str">
        <f>IF(RCL!I16="","",RCL!I16)&amp;IF(RCL!J16="","","; "&amp;RCL!J16)</f>
        <v/>
      </c>
      <c r="G17" s="1547">
        <f>RCL!K16</f>
        <v>0</v>
      </c>
      <c r="I17" s="773">
        <f t="shared" si="0"/>
        <v>0</v>
      </c>
      <c r="J17" s="795"/>
      <c r="K17" s="762">
        <f t="shared" si="1"/>
        <v>0</v>
      </c>
      <c r="L17" s="798"/>
    </row>
    <row r="18" spans="1:12" ht="17">
      <c r="A18" s="64">
        <v>7</v>
      </c>
      <c r="B18" s="1536" t="str">
        <f>IF(RCL!C17="","",RCL!C17)</f>
        <v/>
      </c>
      <c r="C18" s="769" t="str">
        <f>IF(RCL!D17="","",RCL!D17)</f>
        <v/>
      </c>
      <c r="D18" s="770" t="str">
        <f>IF(RCL!L17="","",IF(ISNUMBER(RCL!L17),RCL!L17,0))</f>
        <v/>
      </c>
      <c r="E18" s="771" t="str">
        <f>IF(RCL!F17="","",IF(RCL!F17=RCL!G17,DAY(RCL!F17)&amp;"."&amp;MONTH(RCL!F17)&amp;"."&amp;YEAR(RCL!F17),DAY(RCL!F17)&amp;"."&amp;MONTH(RCL!F17)&amp;"."&amp;YEAR(RCL!F17)&amp;" - "&amp;DAY(RCL!G17)&amp;"."&amp;MONTH(RCL!G17)&amp;"."&amp;YEAR(RCL!G17)))</f>
        <v/>
      </c>
      <c r="F18" s="769" t="str">
        <f>IF(RCL!I17="","",RCL!I17)&amp;IF(RCL!J17="","","; "&amp;RCL!J17)</f>
        <v/>
      </c>
      <c r="G18" s="1547">
        <f>RCL!K17</f>
        <v>0</v>
      </c>
      <c r="I18" s="773">
        <f t="shared" si="0"/>
        <v>0</v>
      </c>
      <c r="J18" s="795"/>
      <c r="K18" s="762">
        <f t="shared" si="1"/>
        <v>0</v>
      </c>
      <c r="L18" s="798"/>
    </row>
    <row r="19" spans="1:12" ht="17">
      <c r="A19" s="64">
        <v>8</v>
      </c>
      <c r="B19" s="1536" t="str">
        <f>IF(RCL!C18="","",RCL!C18)</f>
        <v/>
      </c>
      <c r="C19" s="769" t="str">
        <f>IF(RCL!D18="","",RCL!D18)</f>
        <v/>
      </c>
      <c r="D19" s="770" t="str">
        <f>IF(RCL!L18="","",IF(ISNUMBER(RCL!L18),RCL!L18,0))</f>
        <v/>
      </c>
      <c r="E19" s="771" t="str">
        <f>IF(RCL!F18="","",IF(RCL!F18=RCL!G18,DAY(RCL!F18)&amp;"."&amp;MONTH(RCL!F18)&amp;"."&amp;YEAR(RCL!F18),DAY(RCL!F18)&amp;"."&amp;MONTH(RCL!F18)&amp;"."&amp;YEAR(RCL!F18)&amp;" - "&amp;DAY(RCL!G18)&amp;"."&amp;MONTH(RCL!G18)&amp;"."&amp;YEAR(RCL!G18)))</f>
        <v/>
      </c>
      <c r="F19" s="769" t="str">
        <f>IF(RCL!I18="","",RCL!I18)&amp;IF(RCL!J18="","","; "&amp;RCL!J18)</f>
        <v/>
      </c>
      <c r="G19" s="1547">
        <f>RCL!K18</f>
        <v>0</v>
      </c>
      <c r="I19" s="773">
        <f t="shared" si="0"/>
        <v>0</v>
      </c>
      <c r="J19" s="795"/>
      <c r="K19" s="762">
        <f t="shared" si="1"/>
        <v>0</v>
      </c>
      <c r="L19" s="798"/>
    </row>
    <row r="20" spans="1:12" ht="17">
      <c r="A20" s="64">
        <v>9</v>
      </c>
      <c r="B20" s="1536" t="str">
        <f>IF(RCL!C19="","",RCL!C19)</f>
        <v/>
      </c>
      <c r="C20" s="769" t="str">
        <f>IF(RCL!D19="","",RCL!D19)</f>
        <v/>
      </c>
      <c r="D20" s="770" t="str">
        <f>IF(RCL!L19="","",IF(ISNUMBER(RCL!L19),RCL!L19,0))</f>
        <v/>
      </c>
      <c r="E20" s="771" t="str">
        <f>IF(RCL!F19="","",IF(RCL!F19=RCL!G19,DAY(RCL!F19)&amp;"."&amp;MONTH(RCL!F19)&amp;"."&amp;YEAR(RCL!F19),DAY(RCL!F19)&amp;"."&amp;MONTH(RCL!F19)&amp;"."&amp;YEAR(RCL!F19)&amp;" - "&amp;DAY(RCL!G19)&amp;"."&amp;MONTH(RCL!G19)&amp;"."&amp;YEAR(RCL!G19)))</f>
        <v/>
      </c>
      <c r="F20" s="769" t="str">
        <f>IF(RCL!I19="","",RCL!I19)&amp;IF(RCL!J19="","","; "&amp;RCL!J19)</f>
        <v/>
      </c>
      <c r="G20" s="1547">
        <f>RCL!K19</f>
        <v>0</v>
      </c>
      <c r="I20" s="773">
        <f t="shared" si="0"/>
        <v>0</v>
      </c>
      <c r="J20" s="795"/>
      <c r="K20" s="762">
        <f t="shared" si="1"/>
        <v>0</v>
      </c>
      <c r="L20" s="798"/>
    </row>
    <row r="21" spans="1:12" ht="17">
      <c r="A21" s="64">
        <v>10</v>
      </c>
      <c r="B21" s="1536" t="str">
        <f>IF(RCL!C20="","",RCL!C20)</f>
        <v/>
      </c>
      <c r="C21" s="769" t="str">
        <f>IF(RCL!D20="","",RCL!D20)</f>
        <v/>
      </c>
      <c r="D21" s="770" t="str">
        <f>IF(RCL!L20="","",IF(ISNUMBER(RCL!L20),RCL!L20,0))</f>
        <v/>
      </c>
      <c r="E21" s="771" t="str">
        <f>IF(RCL!F20="","",IF(RCL!F20=RCL!G20,DAY(RCL!F20)&amp;"."&amp;MONTH(RCL!F20)&amp;"."&amp;YEAR(RCL!F20),DAY(RCL!F20)&amp;"."&amp;MONTH(RCL!F20)&amp;"."&amp;YEAR(RCL!F20)&amp;" - "&amp;DAY(RCL!G20)&amp;"."&amp;MONTH(RCL!G20)&amp;"."&amp;YEAR(RCL!G20)))</f>
        <v/>
      </c>
      <c r="F21" s="769" t="str">
        <f>IF(RCL!I20="","",RCL!I20)&amp;IF(RCL!J20="","","; "&amp;RCL!J20)</f>
        <v/>
      </c>
      <c r="G21" s="1547">
        <f>RCL!K20</f>
        <v>0</v>
      </c>
      <c r="I21" s="773">
        <f t="shared" si="0"/>
        <v>0</v>
      </c>
      <c r="J21" s="795"/>
      <c r="K21" s="762">
        <f t="shared" si="1"/>
        <v>0</v>
      </c>
      <c r="L21" s="798"/>
    </row>
    <row r="22" spans="1:12" ht="17">
      <c r="A22" s="64">
        <v>11</v>
      </c>
      <c r="B22" s="1536" t="str">
        <f>IF(RCL!C21="","",RCL!C21)</f>
        <v/>
      </c>
      <c r="C22" s="769" t="str">
        <f>IF(RCL!D21="","",RCL!D21)</f>
        <v/>
      </c>
      <c r="D22" s="770" t="str">
        <f>IF(RCL!L21="","",IF(ISNUMBER(RCL!L21),RCL!L21,0))</f>
        <v/>
      </c>
      <c r="E22" s="771" t="str">
        <f>IF(RCL!F21="","",IF(RCL!F21=RCL!G21,DAY(RCL!F21)&amp;"."&amp;MONTH(RCL!F21)&amp;"."&amp;YEAR(RCL!F21),DAY(RCL!F21)&amp;"."&amp;MONTH(RCL!F21)&amp;"."&amp;YEAR(RCL!F21)&amp;" - "&amp;DAY(RCL!G21)&amp;"."&amp;MONTH(RCL!G21)&amp;"."&amp;YEAR(RCL!G21)))</f>
        <v/>
      </c>
      <c r="F22" s="769" t="str">
        <f>IF(RCL!I21="","",RCL!I21)&amp;IF(RCL!J21="","","; "&amp;RCL!J21)</f>
        <v/>
      </c>
      <c r="G22" s="1547">
        <f>RCL!K21</f>
        <v>0</v>
      </c>
      <c r="I22" s="773">
        <f t="shared" si="0"/>
        <v>0</v>
      </c>
      <c r="J22" s="795"/>
      <c r="K22" s="762">
        <f t="shared" si="1"/>
        <v>0</v>
      </c>
      <c r="L22" s="798"/>
    </row>
    <row r="23" spans="1:12" ht="17">
      <c r="A23" s="64">
        <v>12</v>
      </c>
      <c r="B23" s="1536" t="str">
        <f>IF(RCL!C22="","",RCL!C22)</f>
        <v/>
      </c>
      <c r="C23" s="769" t="str">
        <f>IF(RCL!D22="","",RCL!D22)</f>
        <v/>
      </c>
      <c r="D23" s="770" t="str">
        <f>IF(RCL!L22="","",IF(ISNUMBER(RCL!L22),RCL!L22,0))</f>
        <v/>
      </c>
      <c r="E23" s="771" t="str">
        <f>IF(RCL!F22="","",IF(RCL!F22=RCL!G22,DAY(RCL!F22)&amp;"."&amp;MONTH(RCL!F22)&amp;"."&amp;YEAR(RCL!F22),DAY(RCL!F22)&amp;"."&amp;MONTH(RCL!F22)&amp;"."&amp;YEAR(RCL!F22)&amp;" - "&amp;DAY(RCL!G22)&amp;"."&amp;MONTH(RCL!G22)&amp;"."&amp;YEAR(RCL!G22)))</f>
        <v/>
      </c>
      <c r="F23" s="769" t="str">
        <f>IF(RCL!I22="","",RCL!I22)&amp;IF(RCL!J22="","","; "&amp;RCL!J22)</f>
        <v/>
      </c>
      <c r="G23" s="1547">
        <f>RCL!K22</f>
        <v>0</v>
      </c>
      <c r="I23" s="773">
        <f t="shared" si="0"/>
        <v>0</v>
      </c>
      <c r="J23" s="795"/>
      <c r="K23" s="762">
        <f t="shared" si="1"/>
        <v>0</v>
      </c>
      <c r="L23" s="798"/>
    </row>
    <row r="24" spans="1:12" ht="17">
      <c r="A24" s="64">
        <v>13</v>
      </c>
      <c r="B24" s="1536" t="str">
        <f>IF(RCL!C23="","",RCL!C23)</f>
        <v/>
      </c>
      <c r="C24" s="769" t="str">
        <f>IF(RCL!D23="","",RCL!D23)</f>
        <v/>
      </c>
      <c r="D24" s="770" t="str">
        <f>IF(RCL!L23="","",IF(ISNUMBER(RCL!L23),RCL!L23,0))</f>
        <v/>
      </c>
      <c r="E24" s="771" t="str">
        <f>IF(RCL!F23="","",IF(RCL!F23=RCL!G23,DAY(RCL!F23)&amp;"."&amp;MONTH(RCL!F23)&amp;"."&amp;YEAR(RCL!F23),DAY(RCL!F23)&amp;"."&amp;MONTH(RCL!F23)&amp;"."&amp;YEAR(RCL!F23)&amp;" - "&amp;DAY(RCL!G23)&amp;"."&amp;MONTH(RCL!G23)&amp;"."&amp;YEAR(RCL!G23)))</f>
        <v/>
      </c>
      <c r="F24" s="769" t="str">
        <f>IF(RCL!I23="","",RCL!I23)&amp;IF(RCL!J23="","","; "&amp;RCL!J23)</f>
        <v/>
      </c>
      <c r="G24" s="1547">
        <f>RCL!K23</f>
        <v>0</v>
      </c>
      <c r="I24" s="773">
        <f t="shared" si="0"/>
        <v>0</v>
      </c>
      <c r="J24" s="795"/>
      <c r="K24" s="762">
        <f t="shared" si="1"/>
        <v>0</v>
      </c>
      <c r="L24" s="798"/>
    </row>
    <row r="25" spans="1:12" ht="17">
      <c r="A25" s="64">
        <v>14</v>
      </c>
      <c r="B25" s="1536" t="str">
        <f>IF(RCL!C24="","",RCL!C24)</f>
        <v/>
      </c>
      <c r="C25" s="769" t="str">
        <f>IF(RCL!D24="","",RCL!D24)</f>
        <v/>
      </c>
      <c r="D25" s="770" t="str">
        <f>IF(RCL!L24="","",IF(ISNUMBER(RCL!L24),RCL!L24,0))</f>
        <v/>
      </c>
      <c r="E25" s="771" t="str">
        <f>IF(RCL!F24="","",IF(RCL!F24=RCL!G24,DAY(RCL!F24)&amp;"."&amp;MONTH(RCL!F24)&amp;"."&amp;YEAR(RCL!F24),DAY(RCL!F24)&amp;"."&amp;MONTH(RCL!F24)&amp;"."&amp;YEAR(RCL!F24)&amp;" - "&amp;DAY(RCL!G24)&amp;"."&amp;MONTH(RCL!G24)&amp;"."&amp;YEAR(RCL!G24)))</f>
        <v/>
      </c>
      <c r="F25" s="769" t="str">
        <f>IF(RCL!I24="","",RCL!I24)&amp;IF(RCL!J24="","","; "&amp;RCL!J24)</f>
        <v/>
      </c>
      <c r="G25" s="1547">
        <f>RCL!K24</f>
        <v>0</v>
      </c>
      <c r="I25" s="773">
        <f t="shared" si="0"/>
        <v>0</v>
      </c>
      <c r="J25" s="795"/>
      <c r="K25" s="762">
        <f t="shared" si="1"/>
        <v>0</v>
      </c>
      <c r="L25" s="798"/>
    </row>
    <row r="26" spans="1:12" ht="17">
      <c r="A26" s="64">
        <v>15</v>
      </c>
      <c r="B26" s="1536" t="str">
        <f>IF(RCL!C25="","",RCL!C25)</f>
        <v/>
      </c>
      <c r="C26" s="769" t="str">
        <f>IF(RCL!D25="","",RCL!D25)</f>
        <v/>
      </c>
      <c r="D26" s="770" t="str">
        <f>IF(RCL!L25="","",IF(ISNUMBER(RCL!L25),RCL!L25,0))</f>
        <v/>
      </c>
      <c r="E26" s="771" t="str">
        <f>IF(RCL!F25="","",IF(RCL!F25=RCL!G25,DAY(RCL!F25)&amp;"."&amp;MONTH(RCL!F25)&amp;"."&amp;YEAR(RCL!F25),DAY(RCL!F25)&amp;"."&amp;MONTH(RCL!F25)&amp;"."&amp;YEAR(RCL!F25)&amp;" - "&amp;DAY(RCL!G25)&amp;"."&amp;MONTH(RCL!G25)&amp;"."&amp;YEAR(RCL!G25)))</f>
        <v/>
      </c>
      <c r="F26" s="769" t="str">
        <f>IF(RCL!I25="","",RCL!I25)&amp;IF(RCL!J25="","","; "&amp;RCL!J25)</f>
        <v/>
      </c>
      <c r="G26" s="1547">
        <f>RCL!K25</f>
        <v>0</v>
      </c>
      <c r="I26" s="773">
        <f t="shared" si="0"/>
        <v>0</v>
      </c>
      <c r="J26" s="795"/>
      <c r="K26" s="762">
        <f t="shared" si="1"/>
        <v>0</v>
      </c>
      <c r="L26" s="798"/>
    </row>
    <row r="27" spans="1:12" ht="17">
      <c r="A27" s="64">
        <v>16</v>
      </c>
      <c r="B27" s="1536" t="str">
        <f>IF(RCL!C26="","",RCL!C26)</f>
        <v/>
      </c>
      <c r="C27" s="769" t="str">
        <f>IF(RCL!D26="","",RCL!D26)</f>
        <v/>
      </c>
      <c r="D27" s="770" t="str">
        <f>IF(RCL!L26="","",IF(ISNUMBER(RCL!L26),RCL!L26,0))</f>
        <v/>
      </c>
      <c r="E27" s="771" t="str">
        <f>IF(RCL!F26="","",IF(RCL!F26=RCL!G26,DAY(RCL!F26)&amp;"."&amp;MONTH(RCL!F26)&amp;"."&amp;YEAR(RCL!F26),DAY(RCL!F26)&amp;"."&amp;MONTH(RCL!F26)&amp;"."&amp;YEAR(RCL!F26)&amp;" - "&amp;DAY(RCL!G26)&amp;"."&amp;MONTH(RCL!G26)&amp;"."&amp;YEAR(RCL!G26)))</f>
        <v/>
      </c>
      <c r="F27" s="769" t="str">
        <f>IF(RCL!I26="","",RCL!I26)&amp;IF(RCL!J26="","","; "&amp;RCL!J26)</f>
        <v/>
      </c>
      <c r="G27" s="1547">
        <f>RCL!K26</f>
        <v>0</v>
      </c>
      <c r="I27" s="773">
        <f t="shared" si="0"/>
        <v>0</v>
      </c>
      <c r="J27" s="795"/>
      <c r="K27" s="762">
        <f t="shared" si="1"/>
        <v>0</v>
      </c>
      <c r="L27" s="798"/>
    </row>
    <row r="28" spans="1:12" ht="17">
      <c r="A28" s="64">
        <v>17</v>
      </c>
      <c r="B28" s="1536" t="str">
        <f>IF(RCL!C27="","",RCL!C27)</f>
        <v/>
      </c>
      <c r="C28" s="769" t="str">
        <f>IF(RCL!D27="","",RCL!D27)</f>
        <v/>
      </c>
      <c r="D28" s="770" t="str">
        <f>IF(RCL!L27="","",IF(ISNUMBER(RCL!L27),RCL!L27,0))</f>
        <v/>
      </c>
      <c r="E28" s="771" t="str">
        <f>IF(RCL!F27="","",IF(RCL!F27=RCL!G27,DAY(RCL!F27)&amp;"."&amp;MONTH(RCL!F27)&amp;"."&amp;YEAR(RCL!F27),DAY(RCL!F27)&amp;"."&amp;MONTH(RCL!F27)&amp;"."&amp;YEAR(RCL!F27)&amp;" - "&amp;DAY(RCL!G27)&amp;"."&amp;MONTH(RCL!G27)&amp;"."&amp;YEAR(RCL!G27)))</f>
        <v/>
      </c>
      <c r="F28" s="769" t="str">
        <f>IF(RCL!I27="","",RCL!I27)&amp;IF(RCL!J27="","","; "&amp;RCL!J27)</f>
        <v/>
      </c>
      <c r="G28" s="1547">
        <f>RCL!K27</f>
        <v>0</v>
      </c>
      <c r="I28" s="773">
        <f t="shared" si="0"/>
        <v>0</v>
      </c>
      <c r="J28" s="795"/>
      <c r="K28" s="762">
        <f t="shared" si="1"/>
        <v>0</v>
      </c>
      <c r="L28" s="798"/>
    </row>
    <row r="29" spans="1:12" ht="17">
      <c r="A29" s="64">
        <v>18</v>
      </c>
      <c r="B29" s="1536" t="str">
        <f>IF(RCL!C28="","",RCL!C28)</f>
        <v/>
      </c>
      <c r="C29" s="769" t="str">
        <f>IF(RCL!D28="","",RCL!D28)</f>
        <v/>
      </c>
      <c r="D29" s="770" t="str">
        <f>IF(RCL!L28="","",IF(ISNUMBER(RCL!L28),RCL!L28,0))</f>
        <v/>
      </c>
      <c r="E29" s="771" t="str">
        <f>IF(RCL!F28="","",IF(RCL!F28=RCL!G28,DAY(RCL!F28)&amp;"."&amp;MONTH(RCL!F28)&amp;"."&amp;YEAR(RCL!F28),DAY(RCL!F28)&amp;"."&amp;MONTH(RCL!F28)&amp;"."&amp;YEAR(RCL!F28)&amp;" - "&amp;DAY(RCL!G28)&amp;"."&amp;MONTH(RCL!G28)&amp;"."&amp;YEAR(RCL!G28)))</f>
        <v/>
      </c>
      <c r="F29" s="769" t="str">
        <f>IF(RCL!I28="","",RCL!I28)&amp;IF(RCL!J28="","","; "&amp;RCL!J28)</f>
        <v/>
      </c>
      <c r="G29" s="1547">
        <f>RCL!K28</f>
        <v>0</v>
      </c>
      <c r="I29" s="773">
        <f t="shared" si="0"/>
        <v>0</v>
      </c>
      <c r="J29" s="795"/>
      <c r="K29" s="762">
        <f t="shared" si="1"/>
        <v>0</v>
      </c>
      <c r="L29" s="798"/>
    </row>
    <row r="30" spans="1:12" ht="17">
      <c r="A30" s="64">
        <v>19</v>
      </c>
      <c r="B30" s="1536" t="str">
        <f>IF(RCL!C29="","",RCL!C29)</f>
        <v/>
      </c>
      <c r="C30" s="769" t="str">
        <f>IF(RCL!D29="","",RCL!D29)</f>
        <v/>
      </c>
      <c r="D30" s="770" t="str">
        <f>IF(RCL!L29="","",IF(ISNUMBER(RCL!L29),RCL!L29,0))</f>
        <v/>
      </c>
      <c r="E30" s="771" t="str">
        <f>IF(RCL!F29="","",IF(RCL!F29=RCL!G29,DAY(RCL!F29)&amp;"."&amp;MONTH(RCL!F29)&amp;"."&amp;YEAR(RCL!F29),DAY(RCL!F29)&amp;"."&amp;MONTH(RCL!F29)&amp;"."&amp;YEAR(RCL!F29)&amp;" - "&amp;DAY(RCL!G29)&amp;"."&amp;MONTH(RCL!G29)&amp;"."&amp;YEAR(RCL!G29)))</f>
        <v/>
      </c>
      <c r="F30" s="769" t="str">
        <f>IF(RCL!I29="","",RCL!I29)&amp;IF(RCL!J29="","","; "&amp;RCL!J29)</f>
        <v/>
      </c>
      <c r="G30" s="1547">
        <f>RCL!K29</f>
        <v>0</v>
      </c>
      <c r="I30" s="773">
        <f t="shared" si="0"/>
        <v>0</v>
      </c>
      <c r="J30" s="795"/>
      <c r="K30" s="762">
        <f t="shared" si="1"/>
        <v>0</v>
      </c>
      <c r="L30" s="798"/>
    </row>
    <row r="31" spans="1:12" ht="17">
      <c r="A31" s="64">
        <v>20</v>
      </c>
      <c r="B31" s="1538" t="str">
        <f>IF(RCL!C30="","",RCL!C30)</f>
        <v/>
      </c>
      <c r="C31" s="1539" t="str">
        <f>IF(RCL!D30="","",RCL!D30)</f>
        <v/>
      </c>
      <c r="D31" s="1540" t="str">
        <f>IF(RCL!L30="","",IF(ISNUMBER(RCL!L30),RCL!L30,0))</f>
        <v/>
      </c>
      <c r="E31" s="1541" t="str">
        <f>IF(RCL!F30="","",IF(RCL!F30=RCL!G30,DAY(RCL!F30)&amp;"."&amp;MONTH(RCL!F30)&amp;"."&amp;YEAR(RCL!F30),DAY(RCL!F30)&amp;"."&amp;MONTH(RCL!F30)&amp;"."&amp;YEAR(RCL!F30)&amp;" - "&amp;DAY(RCL!G30)&amp;"."&amp;MONTH(RCL!G30)&amp;"."&amp;YEAR(RCL!G30)))</f>
        <v/>
      </c>
      <c r="F31" s="1539" t="str">
        <f>IF(RCL!I30="","",RCL!I30)&amp;IF(RCL!J30="","","; "&amp;RCL!J30)</f>
        <v/>
      </c>
      <c r="G31" s="1548">
        <f>RCL!K30</f>
        <v>0</v>
      </c>
      <c r="I31" s="774">
        <f t="shared" si="0"/>
        <v>0</v>
      </c>
      <c r="J31" s="796"/>
      <c r="K31" s="763">
        <f t="shared" si="1"/>
        <v>0</v>
      </c>
      <c r="L31" s="799"/>
    </row>
    <row r="33" spans="1:12" ht="14.5" customHeight="1">
      <c r="B33" s="2241" t="str">
        <f>Dictionary!B1140</f>
        <v>Besuchte Trainings</v>
      </c>
      <c r="C33" s="2242"/>
      <c r="D33" s="2242"/>
      <c r="E33" s="2242"/>
      <c r="F33" s="2242"/>
      <c r="G33" s="2242"/>
      <c r="H33" s="2240"/>
    </row>
    <row r="34" spans="1:12">
      <c r="B34" s="1530" t="str">
        <f>Dictionary!B1142</f>
        <v>Thema</v>
      </c>
      <c r="C34" s="1530" t="str">
        <f>Dictionary!B1143</f>
        <v>Organisation</v>
      </c>
      <c r="D34" s="1530" t="str">
        <f>Dictionary!B1144</f>
        <v>Dauer (Std.)</v>
      </c>
      <c r="E34" s="1530" t="str">
        <f>Dictionary!B1145</f>
        <v>Datum</v>
      </c>
      <c r="F34" s="1530" t="str">
        <f>Dictionary!B1180</f>
        <v>Referenzierte ICB Elemente</v>
      </c>
      <c r="G34" s="1530" t="str">
        <f>RCL!K33</f>
        <v>Nachweis der Teilnahme</v>
      </c>
      <c r="I34" s="2"/>
      <c r="J34" s="2"/>
      <c r="K34" s="2"/>
      <c r="L34" s="2"/>
    </row>
    <row r="35" spans="1:12" ht="17">
      <c r="A35" s="64">
        <v>1</v>
      </c>
      <c r="B35" s="1531" t="str">
        <f>IF(RCL!C34="","",RCL!C34)</f>
        <v/>
      </c>
      <c r="C35" s="1532" t="str">
        <f>IF(RCL!D34="","",RCL!D34)</f>
        <v/>
      </c>
      <c r="D35" s="1533" t="str">
        <f>IF(RCL!L34="","",IF(ISNUMBER(RCL!L34),RCL!L34,0))</f>
        <v/>
      </c>
      <c r="E35" s="1534" t="str">
        <f>IF(RCL!F34="","",IF(RCL!F34=RCL!G34,DAY(RCL!F34)&amp;"."&amp;MONTH(RCL!F34)&amp;"."&amp;YEAR(RCL!F34),DAY(RCL!F34)&amp;"."&amp;MONTH(RCL!F34)&amp;"."&amp;YEAR(RCL!F34)&amp;" - "&amp;DAY(RCL!G34)&amp;"."&amp;MONTH(RCL!G34)&amp;"."&amp;YEAR(RCL!G34)))</f>
        <v/>
      </c>
      <c r="F35" s="1532" t="str">
        <f>IF(RCL!I34="","",RCL!I34)&amp;IF(RCL!J34="","","; "&amp;RCL!J34)</f>
        <v/>
      </c>
      <c r="G35" s="1546">
        <f>RCL!K34</f>
        <v>0</v>
      </c>
      <c r="I35" s="772">
        <f t="shared" ref="I35:I43" si="2">IF(J35&lt;&gt;"",D35,0)</f>
        <v>0</v>
      </c>
      <c r="J35" s="794"/>
      <c r="K35" s="761">
        <f t="shared" ref="K35:K43" si="3">IF(L35&lt;&gt;"",D35,0)</f>
        <v>0</v>
      </c>
      <c r="L35" s="797"/>
    </row>
    <row r="36" spans="1:12" ht="17">
      <c r="A36" s="64">
        <v>2</v>
      </c>
      <c r="B36" s="1536" t="str">
        <f>IF(RCL!C35="","",RCL!C35)</f>
        <v/>
      </c>
      <c r="C36" s="769" t="str">
        <f>IF(RCL!D35="","",RCL!D35)</f>
        <v/>
      </c>
      <c r="D36" s="770" t="str">
        <f>IF(RCL!L35="","",IF(ISNUMBER(RCL!L35),RCL!L35,0))</f>
        <v/>
      </c>
      <c r="E36" s="771" t="str">
        <f>IF(RCL!F35="","",IF(RCL!F35=RCL!G35,DAY(RCL!F35)&amp;"."&amp;MONTH(RCL!F35)&amp;"."&amp;YEAR(RCL!F35),DAY(RCL!F35)&amp;"."&amp;MONTH(RCL!F35)&amp;"."&amp;YEAR(RCL!F35)&amp;" - "&amp;DAY(RCL!G35)&amp;"."&amp;MONTH(RCL!G35)&amp;"."&amp;YEAR(RCL!G35)))</f>
        <v/>
      </c>
      <c r="F36" s="769" t="str">
        <f>IF(RCL!I35="","",RCL!I35)&amp;IF(RCL!J35="","","; "&amp;RCL!J35)</f>
        <v/>
      </c>
      <c r="G36" s="1547">
        <f>RCL!K35</f>
        <v>0</v>
      </c>
      <c r="I36" s="773">
        <f>IF(J36&lt;&gt;"",D36,0)</f>
        <v>0</v>
      </c>
      <c r="J36" s="795"/>
      <c r="K36" s="762">
        <f t="shared" si="3"/>
        <v>0</v>
      </c>
      <c r="L36" s="798"/>
    </row>
    <row r="37" spans="1:12" ht="17">
      <c r="A37" s="64">
        <v>3</v>
      </c>
      <c r="B37" s="1536" t="str">
        <f>IF(RCL!C36="","",RCL!C36)</f>
        <v/>
      </c>
      <c r="C37" s="769" t="str">
        <f>IF(RCL!D36="","",RCL!D36)</f>
        <v/>
      </c>
      <c r="D37" s="770" t="str">
        <f>IF(RCL!L36="","",IF(ISNUMBER(RCL!L36),RCL!L36,0))</f>
        <v/>
      </c>
      <c r="E37" s="771" t="str">
        <f>IF(RCL!F36="","",IF(RCL!F36=RCL!G36,DAY(RCL!F36)&amp;"."&amp;MONTH(RCL!F36)&amp;"."&amp;YEAR(RCL!F36),DAY(RCL!F36)&amp;"."&amp;MONTH(RCL!F36)&amp;"."&amp;YEAR(RCL!F36)&amp;" - "&amp;DAY(RCL!G36)&amp;"."&amp;MONTH(RCL!G36)&amp;"."&amp;YEAR(RCL!G36)))</f>
        <v/>
      </c>
      <c r="F37" s="769" t="str">
        <f>IF(RCL!I36="","",RCL!I36)&amp;IF(RCL!J36="","","; "&amp;RCL!J36)</f>
        <v/>
      </c>
      <c r="G37" s="1547">
        <f>RCL!K36</f>
        <v>0</v>
      </c>
      <c r="I37" s="773">
        <f t="shared" si="2"/>
        <v>0</v>
      </c>
      <c r="J37" s="795"/>
      <c r="K37" s="762">
        <f t="shared" si="3"/>
        <v>0</v>
      </c>
      <c r="L37" s="798"/>
    </row>
    <row r="38" spans="1:12" ht="17">
      <c r="A38" s="64">
        <v>4</v>
      </c>
      <c r="B38" s="1536" t="str">
        <f>IF(RCL!C37="","",RCL!C37)</f>
        <v/>
      </c>
      <c r="C38" s="769" t="str">
        <f>IF(RCL!D37="","",RCL!D37)</f>
        <v/>
      </c>
      <c r="D38" s="770" t="str">
        <f>IF(RCL!L37="","",IF(ISNUMBER(RCL!L37),RCL!L37,0))</f>
        <v/>
      </c>
      <c r="E38" s="771" t="str">
        <f>IF(RCL!F37="","",IF(RCL!F37=RCL!G37,DAY(RCL!F37)&amp;"."&amp;MONTH(RCL!F37)&amp;"."&amp;YEAR(RCL!F37),DAY(RCL!F37)&amp;"."&amp;MONTH(RCL!F37)&amp;"."&amp;YEAR(RCL!F37)&amp;" - "&amp;DAY(RCL!G37)&amp;"."&amp;MONTH(RCL!G37)&amp;"."&amp;YEAR(RCL!G37)))</f>
        <v/>
      </c>
      <c r="F38" s="769" t="str">
        <f>IF(RCL!I37="","",RCL!I37)&amp;IF(RCL!J37="","","; "&amp;RCL!J37)</f>
        <v/>
      </c>
      <c r="G38" s="1547">
        <f>RCL!K37</f>
        <v>0</v>
      </c>
      <c r="I38" s="773">
        <f t="shared" si="2"/>
        <v>0</v>
      </c>
      <c r="J38" s="795"/>
      <c r="K38" s="762">
        <f t="shared" si="3"/>
        <v>0</v>
      </c>
      <c r="L38" s="798"/>
    </row>
    <row r="39" spans="1:12" ht="17">
      <c r="A39" s="64">
        <v>5</v>
      </c>
      <c r="B39" s="1536" t="str">
        <f>IF(RCL!C38="","",RCL!C38)</f>
        <v/>
      </c>
      <c r="C39" s="769" t="str">
        <f>IF(RCL!D38="","",RCL!D38)</f>
        <v/>
      </c>
      <c r="D39" s="770" t="str">
        <f>IF(RCL!L38="","",IF(ISNUMBER(RCL!L38),RCL!L38,0))</f>
        <v/>
      </c>
      <c r="E39" s="771" t="str">
        <f>IF(RCL!F38="","",IF(RCL!F38=RCL!G38,DAY(RCL!F38)&amp;"."&amp;MONTH(RCL!F38)&amp;"."&amp;YEAR(RCL!F38),DAY(RCL!F38)&amp;"."&amp;MONTH(RCL!F38)&amp;"."&amp;YEAR(RCL!F38)&amp;" - "&amp;DAY(RCL!G38)&amp;"."&amp;MONTH(RCL!G38)&amp;"."&amp;YEAR(RCL!G38)))</f>
        <v/>
      </c>
      <c r="F39" s="769" t="str">
        <f>IF(RCL!I38="","",RCL!I38)&amp;IF(RCL!J38="","","; "&amp;RCL!J38)</f>
        <v/>
      </c>
      <c r="G39" s="1547">
        <f>RCL!K38</f>
        <v>0</v>
      </c>
      <c r="I39" s="773">
        <f t="shared" si="2"/>
        <v>0</v>
      </c>
      <c r="J39" s="795"/>
      <c r="K39" s="762">
        <f t="shared" si="3"/>
        <v>0</v>
      </c>
      <c r="L39" s="798"/>
    </row>
    <row r="40" spans="1:12" ht="17">
      <c r="A40" s="64">
        <v>6</v>
      </c>
      <c r="B40" s="1536" t="str">
        <f>IF(RCL!C39="","",RCL!C39)</f>
        <v/>
      </c>
      <c r="C40" s="769" t="str">
        <f>IF(RCL!D39="","",RCL!D39)</f>
        <v/>
      </c>
      <c r="D40" s="770" t="str">
        <f>IF(RCL!L39="","",IF(ISNUMBER(RCL!L39),RCL!L39,0))</f>
        <v/>
      </c>
      <c r="E40" s="771" t="str">
        <f>IF(RCL!F39="","",IF(RCL!F39=RCL!G39,DAY(RCL!F39)&amp;"."&amp;MONTH(RCL!F39)&amp;"."&amp;YEAR(RCL!F39),DAY(RCL!F39)&amp;"."&amp;MONTH(RCL!F39)&amp;"."&amp;YEAR(RCL!F39)&amp;" - "&amp;DAY(RCL!G39)&amp;"."&amp;MONTH(RCL!G39)&amp;"."&amp;YEAR(RCL!G39)))</f>
        <v/>
      </c>
      <c r="F40" s="769" t="str">
        <f>IF(RCL!I39="","",RCL!I39)&amp;IF(RCL!J39="","","; "&amp;RCL!J39)</f>
        <v/>
      </c>
      <c r="G40" s="1547">
        <f>RCL!K39</f>
        <v>0</v>
      </c>
      <c r="I40" s="773">
        <f t="shared" si="2"/>
        <v>0</v>
      </c>
      <c r="J40" s="795"/>
      <c r="K40" s="762">
        <f t="shared" si="3"/>
        <v>0</v>
      </c>
      <c r="L40" s="798"/>
    </row>
    <row r="41" spans="1:12" ht="17">
      <c r="A41" s="64">
        <v>7</v>
      </c>
      <c r="B41" s="1536" t="str">
        <f>IF(RCL!C40="","",RCL!C40)</f>
        <v/>
      </c>
      <c r="C41" s="769" t="str">
        <f>IF(RCL!D40="","",RCL!D40)</f>
        <v/>
      </c>
      <c r="D41" s="770" t="str">
        <f>IF(RCL!L40="","",IF(ISNUMBER(RCL!L40),RCL!L40,0))</f>
        <v/>
      </c>
      <c r="E41" s="771" t="str">
        <f>IF(RCL!F40="","",IF(RCL!F40=RCL!G40,DAY(RCL!F40)&amp;"."&amp;MONTH(RCL!F40)&amp;"."&amp;YEAR(RCL!F40),DAY(RCL!F40)&amp;"."&amp;MONTH(RCL!F40)&amp;"."&amp;YEAR(RCL!F40)&amp;" - "&amp;DAY(RCL!G40)&amp;"."&amp;MONTH(RCL!G40)&amp;"."&amp;YEAR(RCL!G40)))</f>
        <v/>
      </c>
      <c r="F41" s="769" t="str">
        <f>IF(RCL!I40="","",RCL!I40)&amp;IF(RCL!J40="","","; "&amp;RCL!J40)</f>
        <v/>
      </c>
      <c r="G41" s="1547">
        <f>RCL!K40</f>
        <v>0</v>
      </c>
      <c r="I41" s="773">
        <f t="shared" si="2"/>
        <v>0</v>
      </c>
      <c r="J41" s="795"/>
      <c r="K41" s="762">
        <f t="shared" si="3"/>
        <v>0</v>
      </c>
      <c r="L41" s="798"/>
    </row>
    <row r="42" spans="1:12" ht="17">
      <c r="A42" s="64">
        <v>8</v>
      </c>
      <c r="B42" s="1536" t="str">
        <f>IF(RCL!C41="","",RCL!C41)</f>
        <v/>
      </c>
      <c r="C42" s="769" t="str">
        <f>IF(RCL!D41="","",RCL!D41)</f>
        <v/>
      </c>
      <c r="D42" s="770" t="str">
        <f>IF(RCL!L41="","",IF(ISNUMBER(RCL!L41),RCL!L41,0))</f>
        <v/>
      </c>
      <c r="E42" s="771" t="str">
        <f>IF(RCL!F41="","",IF(RCL!F41=RCL!G41,DAY(RCL!F41)&amp;"."&amp;MONTH(RCL!F41)&amp;"."&amp;YEAR(RCL!F41),DAY(RCL!F41)&amp;"."&amp;MONTH(RCL!F41)&amp;"."&amp;YEAR(RCL!F41)&amp;" - "&amp;DAY(RCL!G41)&amp;"."&amp;MONTH(RCL!G41)&amp;"."&amp;YEAR(RCL!G41)))</f>
        <v/>
      </c>
      <c r="F42" s="769" t="str">
        <f>IF(RCL!I41="","",RCL!I41)&amp;IF(RCL!J41="","","; "&amp;RCL!J41)</f>
        <v/>
      </c>
      <c r="G42" s="1547">
        <f>RCL!K41</f>
        <v>0</v>
      </c>
      <c r="I42" s="773">
        <f t="shared" si="2"/>
        <v>0</v>
      </c>
      <c r="J42" s="795"/>
      <c r="K42" s="762">
        <f t="shared" si="3"/>
        <v>0</v>
      </c>
      <c r="L42" s="798"/>
    </row>
    <row r="43" spans="1:12" ht="17">
      <c r="A43" s="64">
        <v>9</v>
      </c>
      <c r="B43" s="1536" t="str">
        <f>IF(RCL!C42="","",RCL!C42)</f>
        <v/>
      </c>
      <c r="C43" s="769" t="str">
        <f>IF(RCL!D42="","",RCL!D42)</f>
        <v/>
      </c>
      <c r="D43" s="770" t="str">
        <f>IF(RCL!L42="","",IF(ISNUMBER(RCL!L42),RCL!L42,0))</f>
        <v/>
      </c>
      <c r="E43" s="771" t="str">
        <f>IF(RCL!F42="","",IF(RCL!F42=RCL!G42,DAY(RCL!F42)&amp;"."&amp;MONTH(RCL!F42)&amp;"."&amp;YEAR(RCL!F42),DAY(RCL!F42)&amp;"."&amp;MONTH(RCL!F42)&amp;"."&amp;YEAR(RCL!F42)&amp;" - "&amp;DAY(RCL!G42)&amp;"."&amp;MONTH(RCL!G42)&amp;"."&amp;YEAR(RCL!G42)))</f>
        <v/>
      </c>
      <c r="F43" s="769" t="str">
        <f>IF(RCL!I42="","",RCL!I42)&amp;IF(RCL!J42="","","; "&amp;RCL!J42)</f>
        <v/>
      </c>
      <c r="G43" s="1547">
        <f>RCL!K42</f>
        <v>0</v>
      </c>
      <c r="I43" s="773">
        <f t="shared" si="2"/>
        <v>0</v>
      </c>
      <c r="J43" s="795"/>
      <c r="K43" s="762">
        <f t="shared" si="3"/>
        <v>0</v>
      </c>
      <c r="L43" s="798"/>
    </row>
    <row r="44" spans="1:12" ht="17">
      <c r="A44" s="64">
        <v>10</v>
      </c>
      <c r="B44" s="1536" t="str">
        <f>IF(RCL!C43="","",RCL!C43)</f>
        <v/>
      </c>
      <c r="C44" s="769" t="str">
        <f>IF(RCL!D43="","",RCL!D43)</f>
        <v/>
      </c>
      <c r="D44" s="770" t="str">
        <f>IF(RCL!L43="","",IF(ISNUMBER(RCL!L43),RCL!L43,0))</f>
        <v/>
      </c>
      <c r="E44" s="771" t="str">
        <f>IF(RCL!F43="","",IF(RCL!F43=RCL!G43,DAY(RCL!F43)&amp;"."&amp;MONTH(RCL!F43)&amp;"."&amp;YEAR(RCL!F43),DAY(RCL!F43)&amp;"."&amp;MONTH(RCL!F43)&amp;"."&amp;YEAR(RCL!F43)&amp;" - "&amp;DAY(RCL!G43)&amp;"."&amp;MONTH(RCL!G43)&amp;"."&amp;YEAR(RCL!G43)))</f>
        <v/>
      </c>
      <c r="F44" s="769" t="str">
        <f>IF(RCL!I43="","",RCL!I43)&amp;IF(RCL!J43="","","; "&amp;RCL!J43)</f>
        <v/>
      </c>
      <c r="G44" s="1547">
        <f>RCL!K43</f>
        <v>0</v>
      </c>
      <c r="I44" s="773">
        <f t="shared" ref="I44:I76" si="4">IF(J44&lt;&gt;"",D44,0)</f>
        <v>0</v>
      </c>
      <c r="J44" s="795"/>
      <c r="K44" s="762">
        <f t="shared" ref="K44:K76" si="5">IF(L44&lt;&gt;"",D44,0)</f>
        <v>0</v>
      </c>
      <c r="L44" s="798"/>
    </row>
    <row r="45" spans="1:12" ht="17">
      <c r="A45" s="64">
        <v>11</v>
      </c>
      <c r="B45" s="1536" t="str">
        <f>IF(RCL!C44="","",RCL!C44)</f>
        <v/>
      </c>
      <c r="C45" s="769" t="str">
        <f>IF(RCL!D44="","",RCL!D44)</f>
        <v/>
      </c>
      <c r="D45" s="770" t="str">
        <f>IF(RCL!L44="","",IF(ISNUMBER(RCL!L44),RCL!L44,0))</f>
        <v/>
      </c>
      <c r="E45" s="771" t="str">
        <f>IF(RCL!F44="","",IF(RCL!F44=RCL!G44,DAY(RCL!F44)&amp;"."&amp;MONTH(RCL!F44)&amp;"."&amp;YEAR(RCL!F44),DAY(RCL!F44)&amp;"."&amp;MONTH(RCL!F44)&amp;"."&amp;YEAR(RCL!F44)&amp;" - "&amp;DAY(RCL!G44)&amp;"."&amp;MONTH(RCL!G44)&amp;"."&amp;YEAR(RCL!G44)))</f>
        <v/>
      </c>
      <c r="F45" s="769" t="str">
        <f>IF(RCL!I44="","",RCL!I44)&amp;IF(RCL!J44="","","; "&amp;RCL!J44)</f>
        <v/>
      </c>
      <c r="G45" s="1547">
        <f>RCL!K44</f>
        <v>0</v>
      </c>
      <c r="I45" s="773">
        <f t="shared" si="4"/>
        <v>0</v>
      </c>
      <c r="J45" s="795"/>
      <c r="K45" s="762">
        <f t="shared" si="5"/>
        <v>0</v>
      </c>
      <c r="L45" s="798"/>
    </row>
    <row r="46" spans="1:12" ht="17">
      <c r="A46" s="64">
        <v>12</v>
      </c>
      <c r="B46" s="1536" t="str">
        <f>IF(RCL!C45="","",RCL!C45)</f>
        <v/>
      </c>
      <c r="C46" s="769" t="str">
        <f>IF(RCL!D45="","",RCL!D45)</f>
        <v/>
      </c>
      <c r="D46" s="770" t="str">
        <f>IF(RCL!L45="","",IF(ISNUMBER(RCL!L45),RCL!L45,0))</f>
        <v/>
      </c>
      <c r="E46" s="771" t="str">
        <f>IF(RCL!F45="","",IF(RCL!F45=RCL!G45,DAY(RCL!F45)&amp;"."&amp;MONTH(RCL!F45)&amp;"."&amp;YEAR(RCL!F45),DAY(RCL!F45)&amp;"."&amp;MONTH(RCL!F45)&amp;"."&amp;YEAR(RCL!F45)&amp;" - "&amp;DAY(RCL!G45)&amp;"."&amp;MONTH(RCL!G45)&amp;"."&amp;YEAR(RCL!G45)))</f>
        <v/>
      </c>
      <c r="F46" s="769" t="str">
        <f>IF(RCL!I45="","",RCL!I45)&amp;IF(RCL!J45="","","; "&amp;RCL!J45)</f>
        <v/>
      </c>
      <c r="G46" s="1547">
        <f>RCL!K45</f>
        <v>0</v>
      </c>
      <c r="I46" s="773">
        <f t="shared" si="4"/>
        <v>0</v>
      </c>
      <c r="J46" s="795"/>
      <c r="K46" s="762">
        <f t="shared" si="5"/>
        <v>0</v>
      </c>
      <c r="L46" s="798"/>
    </row>
    <row r="47" spans="1:12" ht="17">
      <c r="A47" s="64">
        <v>13</v>
      </c>
      <c r="B47" s="1536" t="str">
        <f>IF(RCL!C46="","",RCL!C46)</f>
        <v/>
      </c>
      <c r="C47" s="769" t="str">
        <f>IF(RCL!D46="","",RCL!D46)</f>
        <v/>
      </c>
      <c r="D47" s="770" t="str">
        <f>IF(RCL!L46="","",IF(ISNUMBER(RCL!L46),RCL!L46,0))</f>
        <v/>
      </c>
      <c r="E47" s="771" t="str">
        <f>IF(RCL!F46="","",IF(RCL!F46=RCL!G46,DAY(RCL!F46)&amp;"."&amp;MONTH(RCL!F46)&amp;"."&amp;YEAR(RCL!F46),DAY(RCL!F46)&amp;"."&amp;MONTH(RCL!F46)&amp;"."&amp;YEAR(RCL!F46)&amp;" - "&amp;DAY(RCL!G46)&amp;"."&amp;MONTH(RCL!G46)&amp;"."&amp;YEAR(RCL!G46)))</f>
        <v/>
      </c>
      <c r="F47" s="769" t="str">
        <f>IF(RCL!I46="","",RCL!I46)&amp;IF(RCL!J46="","","; "&amp;RCL!J46)</f>
        <v/>
      </c>
      <c r="G47" s="1547">
        <f>RCL!K46</f>
        <v>0</v>
      </c>
      <c r="I47" s="773">
        <f t="shared" si="4"/>
        <v>0</v>
      </c>
      <c r="J47" s="795"/>
      <c r="K47" s="762">
        <f t="shared" si="5"/>
        <v>0</v>
      </c>
      <c r="L47" s="798"/>
    </row>
    <row r="48" spans="1:12" ht="17">
      <c r="A48" s="64">
        <v>14</v>
      </c>
      <c r="B48" s="1536" t="str">
        <f>IF(RCL!C47="","",RCL!C47)</f>
        <v/>
      </c>
      <c r="C48" s="769" t="str">
        <f>IF(RCL!D47="","",RCL!D47)</f>
        <v/>
      </c>
      <c r="D48" s="770" t="str">
        <f>IF(RCL!L47="","",IF(ISNUMBER(RCL!L47),RCL!L47,0))</f>
        <v/>
      </c>
      <c r="E48" s="771" t="str">
        <f>IF(RCL!F47="","",IF(RCL!F47=RCL!G47,DAY(RCL!F47)&amp;"."&amp;MONTH(RCL!F47)&amp;"."&amp;YEAR(RCL!F47),DAY(RCL!F47)&amp;"."&amp;MONTH(RCL!F47)&amp;"."&amp;YEAR(RCL!F47)&amp;" - "&amp;DAY(RCL!G47)&amp;"."&amp;MONTH(RCL!G47)&amp;"."&amp;YEAR(RCL!G47)))</f>
        <v/>
      </c>
      <c r="F48" s="769" t="str">
        <f>IF(RCL!I47="","",RCL!I47)&amp;IF(RCL!J47="","","; "&amp;RCL!J47)</f>
        <v/>
      </c>
      <c r="G48" s="1547">
        <f>RCL!K47</f>
        <v>0</v>
      </c>
      <c r="I48" s="773">
        <f t="shared" si="4"/>
        <v>0</v>
      </c>
      <c r="J48" s="795"/>
      <c r="K48" s="762">
        <f t="shared" si="5"/>
        <v>0</v>
      </c>
      <c r="L48" s="798"/>
    </row>
    <row r="49" spans="1:12" ht="17">
      <c r="A49" s="64">
        <v>15</v>
      </c>
      <c r="B49" s="1536" t="str">
        <f>IF(RCL!C48="","",RCL!C48)</f>
        <v/>
      </c>
      <c r="C49" s="769" t="str">
        <f>IF(RCL!D48="","",RCL!D48)</f>
        <v/>
      </c>
      <c r="D49" s="770" t="str">
        <f>IF(RCL!L48="","",IF(ISNUMBER(RCL!L48),RCL!L48,0))</f>
        <v/>
      </c>
      <c r="E49" s="771" t="str">
        <f>IF(RCL!F48="","",IF(RCL!F48=RCL!G48,DAY(RCL!F48)&amp;"."&amp;MONTH(RCL!F48)&amp;"."&amp;YEAR(RCL!F48),DAY(RCL!F48)&amp;"."&amp;MONTH(RCL!F48)&amp;"."&amp;YEAR(RCL!F48)&amp;" - "&amp;DAY(RCL!G48)&amp;"."&amp;MONTH(RCL!G48)&amp;"."&amp;YEAR(RCL!G48)))</f>
        <v/>
      </c>
      <c r="F49" s="769" t="str">
        <f>IF(RCL!I48="","",RCL!I48)&amp;IF(RCL!J48="","","; "&amp;RCL!J48)</f>
        <v/>
      </c>
      <c r="G49" s="1547">
        <f>RCL!K48</f>
        <v>0</v>
      </c>
      <c r="I49" s="773">
        <f t="shared" si="4"/>
        <v>0</v>
      </c>
      <c r="J49" s="795"/>
      <c r="K49" s="762">
        <f t="shared" si="5"/>
        <v>0</v>
      </c>
      <c r="L49" s="798"/>
    </row>
    <row r="50" spans="1:12" ht="17">
      <c r="A50" s="64">
        <v>16</v>
      </c>
      <c r="B50" s="1536" t="str">
        <f>IF(RCL!C49="","",RCL!C49)</f>
        <v/>
      </c>
      <c r="C50" s="769" t="str">
        <f>IF(RCL!D49="","",RCL!D49)</f>
        <v/>
      </c>
      <c r="D50" s="770" t="str">
        <f>IF(RCL!L49="","",IF(ISNUMBER(RCL!L49),RCL!L49,0))</f>
        <v/>
      </c>
      <c r="E50" s="771" t="str">
        <f>IF(RCL!F49="","",IF(RCL!F49=RCL!G49,DAY(RCL!F49)&amp;"."&amp;MONTH(RCL!F49)&amp;"."&amp;YEAR(RCL!F49),DAY(RCL!F49)&amp;"."&amp;MONTH(RCL!F49)&amp;"."&amp;YEAR(RCL!F49)&amp;" - "&amp;DAY(RCL!G49)&amp;"."&amp;MONTH(RCL!G49)&amp;"."&amp;YEAR(RCL!G49)))</f>
        <v/>
      </c>
      <c r="F50" s="769" t="str">
        <f>IF(RCL!I49="","",RCL!I49)&amp;IF(RCL!J49="","","; "&amp;RCL!J49)</f>
        <v/>
      </c>
      <c r="G50" s="1547">
        <f>RCL!K49</f>
        <v>0</v>
      </c>
      <c r="I50" s="773">
        <f t="shared" si="4"/>
        <v>0</v>
      </c>
      <c r="J50" s="795"/>
      <c r="K50" s="762">
        <f t="shared" si="5"/>
        <v>0</v>
      </c>
      <c r="L50" s="798"/>
    </row>
    <row r="51" spans="1:12" ht="17">
      <c r="A51" s="64">
        <v>17</v>
      </c>
      <c r="B51" s="1536" t="str">
        <f>IF(RCL!C50="","",RCL!C50)</f>
        <v/>
      </c>
      <c r="C51" s="769" t="str">
        <f>IF(RCL!D50="","",RCL!D50)</f>
        <v/>
      </c>
      <c r="D51" s="770" t="str">
        <f>IF(RCL!L50="","",IF(ISNUMBER(RCL!L50),RCL!L50,0))</f>
        <v/>
      </c>
      <c r="E51" s="771" t="str">
        <f>IF(RCL!F50="","",IF(RCL!F50=RCL!G50,DAY(RCL!F50)&amp;"."&amp;MONTH(RCL!F50)&amp;"."&amp;YEAR(RCL!F50),DAY(RCL!F50)&amp;"."&amp;MONTH(RCL!F50)&amp;"."&amp;YEAR(RCL!F50)&amp;" - "&amp;DAY(RCL!G50)&amp;"."&amp;MONTH(RCL!G50)&amp;"."&amp;YEAR(RCL!G50)))</f>
        <v/>
      </c>
      <c r="F51" s="769" t="str">
        <f>IF(RCL!I50="","",RCL!I50)&amp;IF(RCL!J50="","","; "&amp;RCL!J50)</f>
        <v/>
      </c>
      <c r="G51" s="1547">
        <f>RCL!K50</f>
        <v>0</v>
      </c>
      <c r="I51" s="773">
        <f t="shared" si="4"/>
        <v>0</v>
      </c>
      <c r="J51" s="795"/>
      <c r="K51" s="762">
        <f t="shared" si="5"/>
        <v>0</v>
      </c>
      <c r="L51" s="798"/>
    </row>
    <row r="52" spans="1:12" ht="17">
      <c r="A52" s="64">
        <v>18</v>
      </c>
      <c r="B52" s="1536" t="str">
        <f>IF(RCL!C51="","",RCL!C51)</f>
        <v/>
      </c>
      <c r="C52" s="769" t="str">
        <f>IF(RCL!D51="","",RCL!D51)</f>
        <v/>
      </c>
      <c r="D52" s="770" t="str">
        <f>IF(RCL!L51="","",IF(ISNUMBER(RCL!L51),RCL!L51,0))</f>
        <v/>
      </c>
      <c r="E52" s="771" t="str">
        <f>IF(RCL!F51="","",IF(RCL!F51=RCL!G51,DAY(RCL!F51)&amp;"."&amp;MONTH(RCL!F51)&amp;"."&amp;YEAR(RCL!F51),DAY(RCL!F51)&amp;"."&amp;MONTH(RCL!F51)&amp;"."&amp;YEAR(RCL!F51)&amp;" - "&amp;DAY(RCL!G51)&amp;"."&amp;MONTH(RCL!G51)&amp;"."&amp;YEAR(RCL!G51)))</f>
        <v/>
      </c>
      <c r="F52" s="769" t="str">
        <f>IF(RCL!I51="","",RCL!I51)&amp;IF(RCL!J51="","","; "&amp;RCL!J51)</f>
        <v/>
      </c>
      <c r="G52" s="1547">
        <f>RCL!K51</f>
        <v>0</v>
      </c>
      <c r="I52" s="773">
        <f t="shared" si="4"/>
        <v>0</v>
      </c>
      <c r="J52" s="795"/>
      <c r="K52" s="762">
        <f t="shared" si="5"/>
        <v>0</v>
      </c>
      <c r="L52" s="798"/>
    </row>
    <row r="53" spans="1:12" ht="17">
      <c r="A53" s="64">
        <v>19</v>
      </c>
      <c r="B53" s="1536" t="str">
        <f>IF(RCL!C52="","",RCL!C52)</f>
        <v/>
      </c>
      <c r="C53" s="769" t="str">
        <f>IF(RCL!D52="","",RCL!D52)</f>
        <v/>
      </c>
      <c r="D53" s="770" t="str">
        <f>IF(RCL!L52="","",IF(ISNUMBER(RCL!L52),RCL!L52,0))</f>
        <v/>
      </c>
      <c r="E53" s="771" t="str">
        <f>IF(RCL!F52="","",IF(RCL!F52=RCL!G52,DAY(RCL!F52)&amp;"."&amp;MONTH(RCL!F52)&amp;"."&amp;YEAR(RCL!F52),DAY(RCL!F52)&amp;"."&amp;MONTH(RCL!F52)&amp;"."&amp;YEAR(RCL!F52)&amp;" - "&amp;DAY(RCL!G52)&amp;"."&amp;MONTH(RCL!G52)&amp;"."&amp;YEAR(RCL!G52)))</f>
        <v/>
      </c>
      <c r="F53" s="769" t="str">
        <f>IF(RCL!I52="","",RCL!I52)&amp;IF(RCL!J52="","","; "&amp;RCL!J52)</f>
        <v/>
      </c>
      <c r="G53" s="1547">
        <f>RCL!K52</f>
        <v>0</v>
      </c>
      <c r="I53" s="773">
        <f t="shared" si="4"/>
        <v>0</v>
      </c>
      <c r="J53" s="795"/>
      <c r="K53" s="762">
        <f t="shared" si="5"/>
        <v>0</v>
      </c>
      <c r="L53" s="798"/>
    </row>
    <row r="54" spans="1:12" ht="17">
      <c r="A54" s="64">
        <v>20</v>
      </c>
      <c r="B54" s="1536" t="str">
        <f>IF(RCL!C53="","",RCL!C53)</f>
        <v/>
      </c>
      <c r="C54" s="769" t="str">
        <f>IF(RCL!D53="","",RCL!D53)</f>
        <v/>
      </c>
      <c r="D54" s="770" t="str">
        <f>IF(RCL!L53="","",IF(ISNUMBER(RCL!L53),RCL!L53,0))</f>
        <v/>
      </c>
      <c r="E54" s="771" t="str">
        <f>IF(RCL!F53="","",IF(RCL!F53=RCL!G53,DAY(RCL!F53)&amp;"."&amp;MONTH(RCL!F53)&amp;"."&amp;YEAR(RCL!F53),DAY(RCL!F53)&amp;"."&amp;MONTH(RCL!F53)&amp;"."&amp;YEAR(RCL!F53)&amp;" - "&amp;DAY(RCL!G53)&amp;"."&amp;MONTH(RCL!G53)&amp;"."&amp;YEAR(RCL!G53)))</f>
        <v/>
      </c>
      <c r="F54" s="769" t="str">
        <f>IF(RCL!I53="","",RCL!I53)&amp;IF(RCL!J53="","","; "&amp;RCL!J53)</f>
        <v/>
      </c>
      <c r="G54" s="1547">
        <f>RCL!K53</f>
        <v>0</v>
      </c>
      <c r="I54" s="773">
        <f t="shared" si="4"/>
        <v>0</v>
      </c>
      <c r="J54" s="795"/>
      <c r="K54" s="762">
        <f t="shared" si="5"/>
        <v>0</v>
      </c>
      <c r="L54" s="798"/>
    </row>
    <row r="55" spans="1:12" ht="17">
      <c r="A55" s="64">
        <v>21</v>
      </c>
      <c r="B55" s="1536" t="str">
        <f>IF(RCL!C54="","",RCL!C54)</f>
        <v/>
      </c>
      <c r="C55" s="769" t="str">
        <f>IF(RCL!D54="","",RCL!D54)</f>
        <v/>
      </c>
      <c r="D55" s="770" t="str">
        <f>IF(RCL!L54="","",IF(ISNUMBER(RCL!L54),RCL!L54,0))</f>
        <v/>
      </c>
      <c r="E55" s="771" t="str">
        <f>IF(RCL!F54="","",IF(RCL!F54=RCL!G54,DAY(RCL!F54)&amp;"."&amp;MONTH(RCL!F54)&amp;"."&amp;YEAR(RCL!F54),DAY(RCL!F54)&amp;"."&amp;MONTH(RCL!F54)&amp;"."&amp;YEAR(RCL!F54)&amp;" - "&amp;DAY(RCL!G54)&amp;"."&amp;MONTH(RCL!G54)&amp;"."&amp;YEAR(RCL!G54)))</f>
        <v/>
      </c>
      <c r="F55" s="769" t="str">
        <f>IF(RCL!I54="","",RCL!I54)&amp;IF(RCL!J54="","","; "&amp;RCL!J54)</f>
        <v/>
      </c>
      <c r="G55" s="1547">
        <f>RCL!K54</f>
        <v>0</v>
      </c>
      <c r="I55" s="773">
        <f t="shared" si="4"/>
        <v>0</v>
      </c>
      <c r="J55" s="795"/>
      <c r="K55" s="762">
        <f t="shared" si="5"/>
        <v>0</v>
      </c>
      <c r="L55" s="798"/>
    </row>
    <row r="56" spans="1:12" ht="17">
      <c r="A56" s="64">
        <v>22</v>
      </c>
      <c r="B56" s="1536" t="str">
        <f>IF(RCL!C55="","",RCL!C55)</f>
        <v/>
      </c>
      <c r="C56" s="769" t="str">
        <f>IF(RCL!D55="","",RCL!D55)</f>
        <v/>
      </c>
      <c r="D56" s="770" t="str">
        <f>IF(RCL!L55="","",IF(ISNUMBER(RCL!L55),RCL!L55,0))</f>
        <v/>
      </c>
      <c r="E56" s="771" t="str">
        <f>IF(RCL!F55="","",IF(RCL!F55=RCL!G55,DAY(RCL!F55)&amp;"."&amp;MONTH(RCL!F55)&amp;"."&amp;YEAR(RCL!F55),DAY(RCL!F55)&amp;"."&amp;MONTH(RCL!F55)&amp;"."&amp;YEAR(RCL!F55)&amp;" - "&amp;DAY(RCL!G55)&amp;"."&amp;MONTH(RCL!G55)&amp;"."&amp;YEAR(RCL!G55)))</f>
        <v/>
      </c>
      <c r="F56" s="769" t="str">
        <f>IF(RCL!I55="","",RCL!I55)&amp;IF(RCL!J55="","","; "&amp;RCL!J55)</f>
        <v/>
      </c>
      <c r="G56" s="1547">
        <f>RCL!K55</f>
        <v>0</v>
      </c>
      <c r="I56" s="773">
        <f t="shared" si="4"/>
        <v>0</v>
      </c>
      <c r="J56" s="795"/>
      <c r="K56" s="762">
        <f t="shared" si="5"/>
        <v>0</v>
      </c>
      <c r="L56" s="798"/>
    </row>
    <row r="57" spans="1:12" ht="17">
      <c r="A57" s="64">
        <v>23</v>
      </c>
      <c r="B57" s="1536" t="str">
        <f>IF(RCL!C56="","",RCL!C56)</f>
        <v/>
      </c>
      <c r="C57" s="769" t="str">
        <f>IF(RCL!D56="","",RCL!D56)</f>
        <v/>
      </c>
      <c r="D57" s="770" t="str">
        <f>IF(RCL!L56="","",IF(ISNUMBER(RCL!L56),RCL!L56,0))</f>
        <v/>
      </c>
      <c r="E57" s="771" t="str">
        <f>IF(RCL!F56="","",IF(RCL!F56=RCL!G56,DAY(RCL!F56)&amp;"."&amp;MONTH(RCL!F56)&amp;"."&amp;YEAR(RCL!F56),DAY(RCL!F56)&amp;"."&amp;MONTH(RCL!F56)&amp;"."&amp;YEAR(RCL!F56)&amp;" - "&amp;DAY(RCL!G56)&amp;"."&amp;MONTH(RCL!G56)&amp;"."&amp;YEAR(RCL!G56)))</f>
        <v/>
      </c>
      <c r="F57" s="769" t="str">
        <f>IF(RCL!I56="","",RCL!I56)&amp;IF(RCL!J56="","","; "&amp;RCL!J56)</f>
        <v/>
      </c>
      <c r="G57" s="1547">
        <f>RCL!K56</f>
        <v>0</v>
      </c>
      <c r="I57" s="773">
        <f t="shared" si="4"/>
        <v>0</v>
      </c>
      <c r="J57" s="795"/>
      <c r="K57" s="762">
        <f t="shared" si="5"/>
        <v>0</v>
      </c>
      <c r="L57" s="798"/>
    </row>
    <row r="58" spans="1:12" ht="17">
      <c r="A58" s="64">
        <v>24</v>
      </c>
      <c r="B58" s="1536" t="str">
        <f>IF(RCL!C57="","",RCL!C57)</f>
        <v/>
      </c>
      <c r="C58" s="769" t="str">
        <f>IF(RCL!D57="","",RCL!D57)</f>
        <v/>
      </c>
      <c r="D58" s="770" t="str">
        <f>IF(RCL!L57="","",IF(ISNUMBER(RCL!L57),RCL!L57,0))</f>
        <v/>
      </c>
      <c r="E58" s="771" t="str">
        <f>IF(RCL!F57="","",IF(RCL!F57=RCL!G57,DAY(RCL!F57)&amp;"."&amp;MONTH(RCL!F57)&amp;"."&amp;YEAR(RCL!F57),DAY(RCL!F57)&amp;"."&amp;MONTH(RCL!F57)&amp;"."&amp;YEAR(RCL!F57)&amp;" - "&amp;DAY(RCL!G57)&amp;"."&amp;MONTH(RCL!G57)&amp;"."&amp;YEAR(RCL!G57)))</f>
        <v/>
      </c>
      <c r="F58" s="769" t="str">
        <f>IF(RCL!I57="","",RCL!I57)&amp;IF(RCL!J57="","","; "&amp;RCL!J57)</f>
        <v/>
      </c>
      <c r="G58" s="1547">
        <f>RCL!K57</f>
        <v>0</v>
      </c>
      <c r="I58" s="773">
        <f t="shared" si="4"/>
        <v>0</v>
      </c>
      <c r="J58" s="795"/>
      <c r="K58" s="762">
        <f t="shared" si="5"/>
        <v>0</v>
      </c>
      <c r="L58" s="798"/>
    </row>
    <row r="59" spans="1:12" ht="17">
      <c r="A59" s="64">
        <v>25</v>
      </c>
      <c r="B59" s="1536" t="str">
        <f>IF(RCL!C58="","",RCL!C58)</f>
        <v/>
      </c>
      <c r="C59" s="769" t="str">
        <f>IF(RCL!D58="","",RCL!D58)</f>
        <v/>
      </c>
      <c r="D59" s="770" t="str">
        <f>IF(RCL!L58="","",IF(ISNUMBER(RCL!L58),RCL!L58,0))</f>
        <v/>
      </c>
      <c r="E59" s="771" t="str">
        <f>IF(RCL!F58="","",IF(RCL!F58=RCL!G58,DAY(RCL!F58)&amp;"."&amp;MONTH(RCL!F58)&amp;"."&amp;YEAR(RCL!F58),DAY(RCL!F58)&amp;"."&amp;MONTH(RCL!F58)&amp;"."&amp;YEAR(RCL!F58)&amp;" - "&amp;DAY(RCL!G58)&amp;"."&amp;MONTH(RCL!G58)&amp;"."&amp;YEAR(RCL!G58)))</f>
        <v/>
      </c>
      <c r="F59" s="769" t="str">
        <f>IF(RCL!I58="","",RCL!I58)&amp;IF(RCL!J58="","","; "&amp;RCL!J58)</f>
        <v/>
      </c>
      <c r="G59" s="1547">
        <f>RCL!K58</f>
        <v>0</v>
      </c>
      <c r="I59" s="773">
        <f t="shared" si="4"/>
        <v>0</v>
      </c>
      <c r="J59" s="795"/>
      <c r="K59" s="762">
        <f t="shared" si="5"/>
        <v>0</v>
      </c>
      <c r="L59" s="798"/>
    </row>
    <row r="60" spans="1:12" ht="17">
      <c r="A60" s="64">
        <v>26</v>
      </c>
      <c r="B60" s="1536" t="str">
        <f>IF(RCL!C59="","",RCL!C59)</f>
        <v/>
      </c>
      <c r="C60" s="769" t="str">
        <f>IF(RCL!D59="","",RCL!D59)</f>
        <v/>
      </c>
      <c r="D60" s="770" t="str">
        <f>IF(RCL!L59="","",IF(ISNUMBER(RCL!L59),RCL!L59,0))</f>
        <v/>
      </c>
      <c r="E60" s="771" t="str">
        <f>IF(RCL!F59="","",IF(RCL!F59=RCL!G59,DAY(RCL!F59)&amp;"."&amp;MONTH(RCL!F59)&amp;"."&amp;YEAR(RCL!F59),DAY(RCL!F59)&amp;"."&amp;MONTH(RCL!F59)&amp;"."&amp;YEAR(RCL!F59)&amp;" - "&amp;DAY(RCL!G59)&amp;"."&amp;MONTH(RCL!G59)&amp;"."&amp;YEAR(RCL!G59)))</f>
        <v/>
      </c>
      <c r="F60" s="769" t="str">
        <f>IF(RCL!I59="","",RCL!I59)&amp;IF(RCL!J59="","","; "&amp;RCL!J59)</f>
        <v/>
      </c>
      <c r="G60" s="1547">
        <f>RCL!K59</f>
        <v>0</v>
      </c>
      <c r="I60" s="773">
        <f t="shared" si="4"/>
        <v>0</v>
      </c>
      <c r="J60" s="795"/>
      <c r="K60" s="762">
        <f t="shared" si="5"/>
        <v>0</v>
      </c>
      <c r="L60" s="798"/>
    </row>
    <row r="61" spans="1:12" ht="17">
      <c r="A61" s="64">
        <v>27</v>
      </c>
      <c r="B61" s="1536" t="str">
        <f>IF(RCL!C60="","",RCL!C60)</f>
        <v/>
      </c>
      <c r="C61" s="769" t="str">
        <f>IF(RCL!D60="","",RCL!D60)</f>
        <v/>
      </c>
      <c r="D61" s="770" t="str">
        <f>IF(RCL!L60="","",IF(ISNUMBER(RCL!L60),RCL!L60,0))</f>
        <v/>
      </c>
      <c r="E61" s="771" t="str">
        <f>IF(RCL!F60="","",IF(RCL!F60=RCL!G60,DAY(RCL!F60)&amp;"."&amp;MONTH(RCL!F60)&amp;"."&amp;YEAR(RCL!F60),DAY(RCL!F60)&amp;"."&amp;MONTH(RCL!F60)&amp;"."&amp;YEAR(RCL!F60)&amp;" - "&amp;DAY(RCL!G60)&amp;"."&amp;MONTH(RCL!G60)&amp;"."&amp;YEAR(RCL!G60)))</f>
        <v/>
      </c>
      <c r="F61" s="769" t="str">
        <f>IF(RCL!I60="","",RCL!I60)&amp;IF(RCL!J60="","","; "&amp;RCL!J60)</f>
        <v/>
      </c>
      <c r="G61" s="1547">
        <f>RCL!K60</f>
        <v>0</v>
      </c>
      <c r="I61" s="773">
        <f t="shared" si="4"/>
        <v>0</v>
      </c>
      <c r="J61" s="795"/>
      <c r="K61" s="762">
        <f t="shared" si="5"/>
        <v>0</v>
      </c>
      <c r="L61" s="798"/>
    </row>
    <row r="62" spans="1:12" ht="17">
      <c r="A62" s="64">
        <v>28</v>
      </c>
      <c r="B62" s="1536" t="str">
        <f>IF(RCL!C61="","",RCL!C61)</f>
        <v/>
      </c>
      <c r="C62" s="769" t="str">
        <f>IF(RCL!D61="","",RCL!D61)</f>
        <v/>
      </c>
      <c r="D62" s="770" t="str">
        <f>IF(RCL!L61="","",IF(ISNUMBER(RCL!L61),RCL!L61,0))</f>
        <v/>
      </c>
      <c r="E62" s="771" t="str">
        <f>IF(RCL!F61="","",IF(RCL!F61=RCL!G61,DAY(RCL!F61)&amp;"."&amp;MONTH(RCL!F61)&amp;"."&amp;YEAR(RCL!F61),DAY(RCL!F61)&amp;"."&amp;MONTH(RCL!F61)&amp;"."&amp;YEAR(RCL!F61)&amp;" - "&amp;DAY(RCL!G61)&amp;"."&amp;MONTH(RCL!G61)&amp;"."&amp;YEAR(RCL!G61)))</f>
        <v/>
      </c>
      <c r="F62" s="769" t="str">
        <f>IF(RCL!I61="","",RCL!I61)&amp;IF(RCL!J61="","","; "&amp;RCL!J61)</f>
        <v/>
      </c>
      <c r="G62" s="1547">
        <f>RCL!K61</f>
        <v>0</v>
      </c>
      <c r="I62" s="773">
        <f t="shared" si="4"/>
        <v>0</v>
      </c>
      <c r="J62" s="795"/>
      <c r="K62" s="762">
        <f t="shared" si="5"/>
        <v>0</v>
      </c>
      <c r="L62" s="798"/>
    </row>
    <row r="63" spans="1:12" ht="17">
      <c r="A63" s="64">
        <v>29</v>
      </c>
      <c r="B63" s="1536" t="str">
        <f>IF(RCL!C62="","",RCL!C62)</f>
        <v/>
      </c>
      <c r="C63" s="769" t="str">
        <f>IF(RCL!D62="","",RCL!D62)</f>
        <v/>
      </c>
      <c r="D63" s="770" t="str">
        <f>IF(RCL!L62="","",IF(ISNUMBER(RCL!L62),RCL!L62,0))</f>
        <v/>
      </c>
      <c r="E63" s="771" t="str">
        <f>IF(RCL!F62="","",IF(RCL!F62=RCL!G62,DAY(RCL!F62)&amp;"."&amp;MONTH(RCL!F62)&amp;"."&amp;YEAR(RCL!F62),DAY(RCL!F62)&amp;"."&amp;MONTH(RCL!F62)&amp;"."&amp;YEAR(RCL!F62)&amp;" - "&amp;DAY(RCL!G62)&amp;"."&amp;MONTH(RCL!G62)&amp;"."&amp;YEAR(RCL!G62)))</f>
        <v/>
      </c>
      <c r="F63" s="769" t="str">
        <f>IF(RCL!I62="","",RCL!I62)&amp;IF(RCL!J62="","","; "&amp;RCL!J62)</f>
        <v/>
      </c>
      <c r="G63" s="1547">
        <f>RCL!K62</f>
        <v>0</v>
      </c>
      <c r="I63" s="773">
        <f t="shared" si="4"/>
        <v>0</v>
      </c>
      <c r="J63" s="795"/>
      <c r="K63" s="762">
        <f t="shared" si="5"/>
        <v>0</v>
      </c>
      <c r="L63" s="798"/>
    </row>
    <row r="64" spans="1:12" ht="17">
      <c r="A64" s="64">
        <v>30</v>
      </c>
      <c r="B64" s="1536" t="str">
        <f>IF(RCL!C63="","",RCL!C63)</f>
        <v/>
      </c>
      <c r="C64" s="769" t="str">
        <f>IF(RCL!D63="","",RCL!D63)</f>
        <v/>
      </c>
      <c r="D64" s="770" t="str">
        <f>IF(RCL!L63="","",IF(ISNUMBER(RCL!L63),RCL!L63,0))</f>
        <v/>
      </c>
      <c r="E64" s="771" t="str">
        <f>IF(RCL!F63="","",IF(RCL!F63=RCL!G63,DAY(RCL!F63)&amp;"."&amp;MONTH(RCL!F63)&amp;"."&amp;YEAR(RCL!F63),DAY(RCL!F63)&amp;"."&amp;MONTH(RCL!F63)&amp;"."&amp;YEAR(RCL!F63)&amp;" - "&amp;DAY(RCL!G63)&amp;"."&amp;MONTH(RCL!G63)&amp;"."&amp;YEAR(RCL!G63)))</f>
        <v/>
      </c>
      <c r="F64" s="769" t="str">
        <f>IF(RCL!I63="","",RCL!I63)&amp;IF(RCL!J63="","","; "&amp;RCL!J63)</f>
        <v/>
      </c>
      <c r="G64" s="1547">
        <f>RCL!K63</f>
        <v>0</v>
      </c>
      <c r="I64" s="773">
        <f t="shared" si="4"/>
        <v>0</v>
      </c>
      <c r="J64" s="795"/>
      <c r="K64" s="762">
        <f t="shared" si="5"/>
        <v>0</v>
      </c>
      <c r="L64" s="798"/>
    </row>
    <row r="65" spans="1:12" ht="17">
      <c r="A65" s="64">
        <v>31</v>
      </c>
      <c r="B65" s="1536" t="str">
        <f>IF(RCL!C64="","",RCL!C64)</f>
        <v/>
      </c>
      <c r="C65" s="769" t="str">
        <f>IF(RCL!D64="","",RCL!D64)</f>
        <v/>
      </c>
      <c r="D65" s="770" t="str">
        <f>IF(RCL!L64="","",IF(ISNUMBER(RCL!L64),RCL!L64,0))</f>
        <v/>
      </c>
      <c r="E65" s="771" t="str">
        <f>IF(RCL!F64="","",IF(RCL!F64=RCL!G64,DAY(RCL!F64)&amp;"."&amp;MONTH(RCL!F64)&amp;"."&amp;YEAR(RCL!F64),DAY(RCL!F64)&amp;"."&amp;MONTH(RCL!F64)&amp;"."&amp;YEAR(RCL!F64)&amp;" - "&amp;DAY(RCL!G64)&amp;"."&amp;MONTH(RCL!G64)&amp;"."&amp;YEAR(RCL!G64)))</f>
        <v/>
      </c>
      <c r="F65" s="769" t="str">
        <f>IF(RCL!I64="","",RCL!I64)&amp;IF(RCL!J64="","","; "&amp;RCL!J64)</f>
        <v/>
      </c>
      <c r="G65" s="1547">
        <f>RCL!K64</f>
        <v>0</v>
      </c>
      <c r="I65" s="773">
        <f t="shared" si="4"/>
        <v>0</v>
      </c>
      <c r="J65" s="795"/>
      <c r="K65" s="762">
        <f t="shared" si="5"/>
        <v>0</v>
      </c>
      <c r="L65" s="798"/>
    </row>
    <row r="66" spans="1:12" ht="17">
      <c r="A66" s="64">
        <v>32</v>
      </c>
      <c r="B66" s="1536" t="str">
        <f>IF(RCL!C65="","",RCL!C65)</f>
        <v/>
      </c>
      <c r="C66" s="769" t="str">
        <f>IF(RCL!D65="","",RCL!D65)</f>
        <v/>
      </c>
      <c r="D66" s="770" t="str">
        <f>IF(RCL!L65="","",IF(ISNUMBER(RCL!L65),RCL!L65,0))</f>
        <v/>
      </c>
      <c r="E66" s="771" t="str">
        <f>IF(RCL!F65="","",IF(RCL!F65=RCL!G65,DAY(RCL!F65)&amp;"."&amp;MONTH(RCL!F65)&amp;"."&amp;YEAR(RCL!F65),DAY(RCL!F65)&amp;"."&amp;MONTH(RCL!F65)&amp;"."&amp;YEAR(RCL!F65)&amp;" - "&amp;DAY(RCL!G65)&amp;"."&amp;MONTH(RCL!G65)&amp;"."&amp;YEAR(RCL!G65)))</f>
        <v/>
      </c>
      <c r="F66" s="769" t="str">
        <f>IF(RCL!I65="","",RCL!I65)&amp;IF(RCL!J65="","","; "&amp;RCL!J65)</f>
        <v/>
      </c>
      <c r="G66" s="1547">
        <f>RCL!K65</f>
        <v>0</v>
      </c>
      <c r="I66" s="773">
        <f t="shared" si="4"/>
        <v>0</v>
      </c>
      <c r="J66" s="795"/>
      <c r="K66" s="762">
        <f t="shared" si="5"/>
        <v>0</v>
      </c>
      <c r="L66" s="798"/>
    </row>
    <row r="67" spans="1:12" ht="17">
      <c r="A67" s="64">
        <v>33</v>
      </c>
      <c r="B67" s="1536" t="str">
        <f>IF(RCL!C66="","",RCL!C66)</f>
        <v/>
      </c>
      <c r="C67" s="769" t="str">
        <f>IF(RCL!D66="","",RCL!D66)</f>
        <v/>
      </c>
      <c r="D67" s="770" t="str">
        <f>IF(RCL!L66="","",IF(ISNUMBER(RCL!L66),RCL!L66,0))</f>
        <v/>
      </c>
      <c r="E67" s="771" t="str">
        <f>IF(RCL!F66="","",IF(RCL!F66=RCL!G66,DAY(RCL!F66)&amp;"."&amp;MONTH(RCL!F66)&amp;"."&amp;YEAR(RCL!F66),DAY(RCL!F66)&amp;"."&amp;MONTH(RCL!F66)&amp;"."&amp;YEAR(RCL!F66)&amp;" - "&amp;DAY(RCL!G66)&amp;"."&amp;MONTH(RCL!G66)&amp;"."&amp;YEAR(RCL!G66)))</f>
        <v/>
      </c>
      <c r="F67" s="769" t="str">
        <f>IF(RCL!I66="","",RCL!I66)&amp;IF(RCL!J66="","","; "&amp;RCL!J66)</f>
        <v/>
      </c>
      <c r="G67" s="1547">
        <f>RCL!K66</f>
        <v>0</v>
      </c>
      <c r="I67" s="773">
        <f t="shared" si="4"/>
        <v>0</v>
      </c>
      <c r="J67" s="795"/>
      <c r="K67" s="762">
        <f t="shared" si="5"/>
        <v>0</v>
      </c>
      <c r="L67" s="798"/>
    </row>
    <row r="68" spans="1:12" ht="17">
      <c r="A68" s="64">
        <v>34</v>
      </c>
      <c r="B68" s="1536" t="str">
        <f>IF(RCL!C67="","",RCL!C67)</f>
        <v/>
      </c>
      <c r="C68" s="769" t="str">
        <f>IF(RCL!D67="","",RCL!D67)</f>
        <v/>
      </c>
      <c r="D68" s="770" t="str">
        <f>IF(RCL!L67="","",IF(ISNUMBER(RCL!L67),RCL!L67,0))</f>
        <v/>
      </c>
      <c r="E68" s="771" t="str">
        <f>IF(RCL!F67="","",IF(RCL!F67=RCL!G67,DAY(RCL!F67)&amp;"."&amp;MONTH(RCL!F67)&amp;"."&amp;YEAR(RCL!F67),DAY(RCL!F67)&amp;"."&amp;MONTH(RCL!F67)&amp;"."&amp;YEAR(RCL!F67)&amp;" - "&amp;DAY(RCL!G67)&amp;"."&amp;MONTH(RCL!G67)&amp;"."&amp;YEAR(RCL!G67)))</f>
        <v/>
      </c>
      <c r="F68" s="769" t="str">
        <f>IF(RCL!I67="","",RCL!I67)&amp;IF(RCL!J67="","","; "&amp;RCL!J67)</f>
        <v/>
      </c>
      <c r="G68" s="1547">
        <f>RCL!K67</f>
        <v>0</v>
      </c>
      <c r="I68" s="773">
        <f t="shared" si="4"/>
        <v>0</v>
      </c>
      <c r="J68" s="795"/>
      <c r="K68" s="762">
        <f t="shared" si="5"/>
        <v>0</v>
      </c>
      <c r="L68" s="798"/>
    </row>
    <row r="69" spans="1:12" ht="17">
      <c r="A69" s="64">
        <v>35</v>
      </c>
      <c r="B69" s="1536" t="str">
        <f>IF(RCL!C68="","",RCL!C68)</f>
        <v/>
      </c>
      <c r="C69" s="769" t="str">
        <f>IF(RCL!D68="","",RCL!D68)</f>
        <v/>
      </c>
      <c r="D69" s="770" t="str">
        <f>IF(RCL!L68="","",IF(ISNUMBER(RCL!L68),RCL!L68,0))</f>
        <v/>
      </c>
      <c r="E69" s="771" t="str">
        <f>IF(RCL!F68="","",IF(RCL!F68=RCL!G68,DAY(RCL!F68)&amp;"."&amp;MONTH(RCL!F68)&amp;"."&amp;YEAR(RCL!F68),DAY(RCL!F68)&amp;"."&amp;MONTH(RCL!F68)&amp;"."&amp;YEAR(RCL!F68)&amp;" - "&amp;DAY(RCL!G68)&amp;"."&amp;MONTH(RCL!G68)&amp;"."&amp;YEAR(RCL!G68)))</f>
        <v/>
      </c>
      <c r="F69" s="769" t="str">
        <f>IF(RCL!I68="","",RCL!I68)&amp;IF(RCL!J68="","","; "&amp;RCL!J68)</f>
        <v/>
      </c>
      <c r="G69" s="1547">
        <f>RCL!K68</f>
        <v>0</v>
      </c>
      <c r="I69" s="773">
        <f t="shared" si="4"/>
        <v>0</v>
      </c>
      <c r="J69" s="795"/>
      <c r="K69" s="762">
        <f t="shared" si="5"/>
        <v>0</v>
      </c>
      <c r="L69" s="798"/>
    </row>
    <row r="70" spans="1:12" ht="17">
      <c r="A70" s="64">
        <v>36</v>
      </c>
      <c r="B70" s="1536" t="str">
        <f>IF(RCL!C69="","",RCL!C69)</f>
        <v/>
      </c>
      <c r="C70" s="769" t="str">
        <f>IF(RCL!D69="","",RCL!D69)</f>
        <v/>
      </c>
      <c r="D70" s="770" t="str">
        <f>IF(RCL!L69="","",IF(ISNUMBER(RCL!L69),RCL!L69,0))</f>
        <v/>
      </c>
      <c r="E70" s="771" t="str">
        <f>IF(RCL!F69="","",IF(RCL!F69=RCL!G69,DAY(RCL!F69)&amp;"."&amp;MONTH(RCL!F69)&amp;"."&amp;YEAR(RCL!F69),DAY(RCL!F69)&amp;"."&amp;MONTH(RCL!F69)&amp;"."&amp;YEAR(RCL!F69)&amp;" - "&amp;DAY(RCL!G69)&amp;"."&amp;MONTH(RCL!G69)&amp;"."&amp;YEAR(RCL!G69)))</f>
        <v/>
      </c>
      <c r="F70" s="769" t="str">
        <f>IF(RCL!I69="","",RCL!I69)&amp;IF(RCL!J69="","","; "&amp;RCL!J69)</f>
        <v/>
      </c>
      <c r="G70" s="1547">
        <f>RCL!K69</f>
        <v>0</v>
      </c>
      <c r="I70" s="773">
        <f t="shared" si="4"/>
        <v>0</v>
      </c>
      <c r="J70" s="795"/>
      <c r="K70" s="762">
        <f t="shared" si="5"/>
        <v>0</v>
      </c>
      <c r="L70" s="798"/>
    </row>
    <row r="71" spans="1:12" ht="17">
      <c r="A71" s="64">
        <v>37</v>
      </c>
      <c r="B71" s="1536" t="str">
        <f>IF(RCL!C70="","",RCL!C70)</f>
        <v/>
      </c>
      <c r="C71" s="769" t="str">
        <f>IF(RCL!D70="","",RCL!D70)</f>
        <v/>
      </c>
      <c r="D71" s="770" t="str">
        <f>IF(RCL!L70="","",IF(ISNUMBER(RCL!L70),RCL!L70,0))</f>
        <v/>
      </c>
      <c r="E71" s="771" t="str">
        <f>IF(RCL!F70="","",IF(RCL!F70=RCL!G70,DAY(RCL!F70)&amp;"."&amp;MONTH(RCL!F70)&amp;"."&amp;YEAR(RCL!F70),DAY(RCL!F70)&amp;"."&amp;MONTH(RCL!F70)&amp;"."&amp;YEAR(RCL!F70)&amp;" - "&amp;DAY(RCL!G70)&amp;"."&amp;MONTH(RCL!G70)&amp;"."&amp;YEAR(RCL!G70)))</f>
        <v/>
      </c>
      <c r="F71" s="769" t="str">
        <f>IF(RCL!I70="","",RCL!I70)&amp;IF(RCL!J70="","","; "&amp;RCL!J70)</f>
        <v/>
      </c>
      <c r="G71" s="1547">
        <f>RCL!K70</f>
        <v>0</v>
      </c>
      <c r="I71" s="773">
        <f t="shared" si="4"/>
        <v>0</v>
      </c>
      <c r="J71" s="795"/>
      <c r="K71" s="762">
        <f t="shared" si="5"/>
        <v>0</v>
      </c>
      <c r="L71" s="798"/>
    </row>
    <row r="72" spans="1:12" ht="17">
      <c r="A72" s="64">
        <v>38</v>
      </c>
      <c r="B72" s="1536" t="str">
        <f>IF(RCL!C71="","",RCL!C71)</f>
        <v/>
      </c>
      <c r="C72" s="769" t="str">
        <f>IF(RCL!D71="","",RCL!D71)</f>
        <v/>
      </c>
      <c r="D72" s="770" t="str">
        <f>IF(RCL!L71="","",IF(ISNUMBER(RCL!L71),RCL!L71,0))</f>
        <v/>
      </c>
      <c r="E72" s="771" t="str">
        <f>IF(RCL!F71="","",IF(RCL!F71=RCL!G71,DAY(RCL!F71)&amp;"."&amp;MONTH(RCL!F71)&amp;"."&amp;YEAR(RCL!F71),DAY(RCL!F71)&amp;"."&amp;MONTH(RCL!F71)&amp;"."&amp;YEAR(RCL!F71)&amp;" - "&amp;DAY(RCL!G71)&amp;"."&amp;MONTH(RCL!G71)&amp;"."&amp;YEAR(RCL!G71)))</f>
        <v/>
      </c>
      <c r="F72" s="769" t="str">
        <f>IF(RCL!I71="","",RCL!I71)&amp;IF(RCL!J71="","","; "&amp;RCL!J71)</f>
        <v/>
      </c>
      <c r="G72" s="1547">
        <f>RCL!K71</f>
        <v>0</v>
      </c>
      <c r="I72" s="773">
        <f t="shared" si="4"/>
        <v>0</v>
      </c>
      <c r="J72" s="795"/>
      <c r="K72" s="762">
        <f t="shared" si="5"/>
        <v>0</v>
      </c>
      <c r="L72" s="798"/>
    </row>
    <row r="73" spans="1:12" ht="17">
      <c r="A73" s="64">
        <v>39</v>
      </c>
      <c r="B73" s="1536" t="str">
        <f>IF(RCL!C72="","",RCL!C72)</f>
        <v/>
      </c>
      <c r="C73" s="769" t="str">
        <f>IF(RCL!D72="","",RCL!D72)</f>
        <v/>
      </c>
      <c r="D73" s="770" t="str">
        <f>IF(RCL!L72="","",IF(ISNUMBER(RCL!L72),RCL!L72,0))</f>
        <v/>
      </c>
      <c r="E73" s="771" t="str">
        <f>IF(RCL!F72="","",IF(RCL!F72=RCL!G72,DAY(RCL!F72)&amp;"."&amp;MONTH(RCL!F72)&amp;"."&amp;YEAR(RCL!F72),DAY(RCL!F72)&amp;"."&amp;MONTH(RCL!F72)&amp;"."&amp;YEAR(RCL!F72)&amp;" - "&amp;DAY(RCL!G72)&amp;"."&amp;MONTH(RCL!G72)&amp;"."&amp;YEAR(RCL!G72)))</f>
        <v/>
      </c>
      <c r="F73" s="769" t="str">
        <f>IF(RCL!I72="","",RCL!I72)&amp;IF(RCL!J72="","","; "&amp;RCL!J72)</f>
        <v/>
      </c>
      <c r="G73" s="1547">
        <f>RCL!K72</f>
        <v>0</v>
      </c>
      <c r="I73" s="773">
        <f t="shared" si="4"/>
        <v>0</v>
      </c>
      <c r="J73" s="795"/>
      <c r="K73" s="762">
        <f t="shared" si="5"/>
        <v>0</v>
      </c>
      <c r="L73" s="798"/>
    </row>
    <row r="74" spans="1:12" ht="17">
      <c r="A74" s="64">
        <v>40</v>
      </c>
      <c r="B74" s="1536" t="str">
        <f>IF(RCL!C73="","",RCL!C73)</f>
        <v/>
      </c>
      <c r="C74" s="769" t="str">
        <f>IF(RCL!D73="","",RCL!D73)</f>
        <v/>
      </c>
      <c r="D74" s="770" t="str">
        <f>IF(RCL!L73="","",IF(ISNUMBER(RCL!L73),RCL!L73,0))</f>
        <v/>
      </c>
      <c r="E74" s="771" t="str">
        <f>IF(RCL!F73="","",IF(RCL!F73=RCL!G73,DAY(RCL!F73)&amp;"."&amp;MONTH(RCL!F73)&amp;"."&amp;YEAR(RCL!F73),DAY(RCL!F73)&amp;"."&amp;MONTH(RCL!F73)&amp;"."&amp;YEAR(RCL!F73)&amp;" - "&amp;DAY(RCL!G73)&amp;"."&amp;MONTH(RCL!G73)&amp;"."&amp;YEAR(RCL!G73)))</f>
        <v/>
      </c>
      <c r="F74" s="769" t="str">
        <f>IF(RCL!I73="","",RCL!I73)&amp;IF(RCL!J73="","","; "&amp;RCL!J73)</f>
        <v/>
      </c>
      <c r="G74" s="1547">
        <f>RCL!K73</f>
        <v>0</v>
      </c>
      <c r="I74" s="773">
        <f t="shared" si="4"/>
        <v>0</v>
      </c>
      <c r="J74" s="795"/>
      <c r="K74" s="762">
        <f t="shared" si="5"/>
        <v>0</v>
      </c>
      <c r="L74" s="798"/>
    </row>
    <row r="75" spans="1:12" ht="17">
      <c r="A75" s="64">
        <v>41</v>
      </c>
      <c r="B75" s="1536" t="str">
        <f>IF(RCL!C74="","",RCL!C74)</f>
        <v/>
      </c>
      <c r="C75" s="769" t="str">
        <f>IF(RCL!D74="","",RCL!D74)</f>
        <v/>
      </c>
      <c r="D75" s="770" t="str">
        <f>IF(RCL!L74="","",IF(ISNUMBER(RCL!L74),RCL!L74,0))</f>
        <v/>
      </c>
      <c r="E75" s="771" t="str">
        <f>IF(RCL!F74="","",IF(RCL!F74=RCL!G74,DAY(RCL!F74)&amp;"."&amp;MONTH(RCL!F74)&amp;"."&amp;YEAR(RCL!F74),DAY(RCL!F74)&amp;"."&amp;MONTH(RCL!F74)&amp;"."&amp;YEAR(RCL!F74)&amp;" - "&amp;DAY(RCL!G74)&amp;"."&amp;MONTH(RCL!G74)&amp;"."&amp;YEAR(RCL!G74)))</f>
        <v/>
      </c>
      <c r="F75" s="769" t="str">
        <f>IF(RCL!I74="","",RCL!I74)&amp;IF(RCL!J74="","","; "&amp;RCL!J74)</f>
        <v/>
      </c>
      <c r="G75" s="1547">
        <f>RCL!K74</f>
        <v>0</v>
      </c>
      <c r="I75" s="773">
        <f t="shared" si="4"/>
        <v>0</v>
      </c>
      <c r="J75" s="795"/>
      <c r="K75" s="762">
        <f t="shared" si="5"/>
        <v>0</v>
      </c>
      <c r="L75" s="798"/>
    </row>
    <row r="76" spans="1:12" ht="17">
      <c r="A76" s="64">
        <v>42</v>
      </c>
      <c r="B76" s="1538" t="str">
        <f>IF(RCL!C75="","",RCL!C75)</f>
        <v/>
      </c>
      <c r="C76" s="1539" t="str">
        <f>IF(RCL!D75="","",RCL!D75)</f>
        <v/>
      </c>
      <c r="D76" s="1540" t="str">
        <f>IF(RCL!L75="","",IF(ISNUMBER(RCL!L75),RCL!L75,0))</f>
        <v/>
      </c>
      <c r="E76" s="1541" t="str">
        <f>IF(RCL!F75="","",IF(RCL!F75=RCL!G75,DAY(RCL!F75)&amp;"."&amp;MONTH(RCL!F75)&amp;"."&amp;YEAR(RCL!F75),DAY(RCL!F75)&amp;"."&amp;MONTH(RCL!F75)&amp;"."&amp;YEAR(RCL!F75)&amp;" - "&amp;DAY(RCL!G75)&amp;"."&amp;MONTH(RCL!G75)&amp;"."&amp;YEAR(RCL!G75)))</f>
        <v/>
      </c>
      <c r="F76" s="1539" t="str">
        <f>IF(RCL!I75="","",RCL!I75)&amp;IF(RCL!J75="","","; "&amp;RCL!J75)</f>
        <v/>
      </c>
      <c r="G76" s="1548">
        <f>RCL!K75</f>
        <v>0</v>
      </c>
      <c r="I76" s="774">
        <f t="shared" si="4"/>
        <v>0</v>
      </c>
      <c r="J76" s="796"/>
      <c r="K76" s="763">
        <f t="shared" si="5"/>
        <v>0</v>
      </c>
      <c r="L76" s="799"/>
    </row>
    <row r="78" spans="1:12">
      <c r="B78" s="2238" t="str">
        <f>Dictionary!B1141</f>
        <v>Mentee sein</v>
      </c>
      <c r="C78" s="2239"/>
      <c r="D78" s="2239"/>
      <c r="E78" s="2239"/>
      <c r="F78" s="2239"/>
      <c r="G78" s="2239"/>
      <c r="H78" s="2240"/>
    </row>
    <row r="79" spans="1:12">
      <c r="B79" s="1543" t="str">
        <f>Dictionary!B1148</f>
        <v>Name des Mentors</v>
      </c>
      <c r="C79" s="1544" t="str">
        <f>Dictionary!B1149</f>
        <v>Organisation des Mentors</v>
      </c>
      <c r="D79" s="1544" t="str">
        <f>Dictionary!B1144</f>
        <v>Dauer (Std.)</v>
      </c>
      <c r="E79" s="1544" t="str">
        <f>Dictionary!B1145</f>
        <v>Datum</v>
      </c>
      <c r="F79" s="1544" t="str">
        <f>RCL!I78</f>
        <v>Mentoring Thema</v>
      </c>
      <c r="G79" s="1545" t="str">
        <f>Dictionary!B1180</f>
        <v>Referenzierte ICB Elemente</v>
      </c>
    </row>
    <row r="80" spans="1:12" ht="17">
      <c r="A80" s="64">
        <v>1</v>
      </c>
      <c r="B80" s="1536" t="str">
        <f>IF(RCL!C79="","",RCL!C79)</f>
        <v/>
      </c>
      <c r="C80" s="769" t="str">
        <f>IF(RCL!D79="","",RCL!D79)</f>
        <v/>
      </c>
      <c r="D80" s="770" t="str">
        <f>IF(RCL!L79="","",IF(ISNUMBER(RCL!L79),RCL!L79,0))</f>
        <v/>
      </c>
      <c r="E80" s="771" t="str">
        <f>IF(RCL!F79="","",IF(RCL!F79=RCL!G79,DAY(RCL!F79)&amp;"."&amp;MONTH(RCL!F79)&amp;"."&amp;YEAR(RCL!F79),DAY(RCL!F79)&amp;"."&amp;MONTH(RCL!F79)&amp;"."&amp;YEAR(RCL!F79)&amp;" - "&amp;DAY(RCL!G79)&amp;"."&amp;MONTH(RCL!G79)&amp;"."&amp;YEAR(RCL!G79)))</f>
        <v/>
      </c>
      <c r="F80" s="769" t="str">
        <f>IF(RCL!I79="","",RCL!I79)</f>
        <v/>
      </c>
      <c r="G80" s="1537" t="str">
        <f>IF(RCL!J79="","",RCL!J79)&amp;IF(RCL!K79="","","; "&amp;RCL!K79)</f>
        <v/>
      </c>
      <c r="I80" s="772">
        <f t="shared" ref="I80:I99" si="6">IF(J80&lt;&gt;"",D80,0)</f>
        <v>0</v>
      </c>
      <c r="J80" s="794"/>
      <c r="K80" s="761">
        <f t="shared" ref="K80:K99" si="7">IF(L80&lt;&gt;"",D80,0)</f>
        <v>0</v>
      </c>
      <c r="L80" s="797"/>
    </row>
    <row r="81" spans="1:12" ht="17">
      <c r="A81" s="64">
        <v>2</v>
      </c>
      <c r="B81" s="1536" t="str">
        <f>IF(RCL!C80="","",RCL!C80)</f>
        <v/>
      </c>
      <c r="C81" s="769" t="str">
        <f>IF(RCL!D80="","",RCL!D80)</f>
        <v/>
      </c>
      <c r="D81" s="770" t="str">
        <f>IF(RCL!L80="","",IF(ISNUMBER(RCL!L80),RCL!L80,0))</f>
        <v/>
      </c>
      <c r="E81" s="771" t="str">
        <f>IF(RCL!F80="","",IF(RCL!F80=RCL!G80,DAY(RCL!F80)&amp;"."&amp;MONTH(RCL!F80)&amp;"."&amp;YEAR(RCL!F80),DAY(RCL!F80)&amp;"."&amp;MONTH(RCL!F80)&amp;"."&amp;YEAR(RCL!F80)&amp;" - "&amp;DAY(RCL!G80)&amp;"."&amp;MONTH(RCL!G80)&amp;"."&amp;YEAR(RCL!G80)))</f>
        <v/>
      </c>
      <c r="F81" s="769" t="str">
        <f>IF(RCL!I80="","",RCL!I80)</f>
        <v/>
      </c>
      <c r="G81" s="1537" t="str">
        <f>IF(RCL!J80="","",RCL!J80)&amp;IF(RCL!K80="","","; "&amp;RCL!K80)</f>
        <v/>
      </c>
      <c r="I81" s="773">
        <f t="shared" si="6"/>
        <v>0</v>
      </c>
      <c r="J81" s="795"/>
      <c r="K81" s="762">
        <f t="shared" si="7"/>
        <v>0</v>
      </c>
      <c r="L81" s="798"/>
    </row>
    <row r="82" spans="1:12" ht="17">
      <c r="A82" s="64">
        <v>3</v>
      </c>
      <c r="B82" s="1536" t="str">
        <f>IF(RCL!C81="","",RCL!C81)</f>
        <v/>
      </c>
      <c r="C82" s="769" t="str">
        <f>IF(RCL!D81="","",RCL!D81)</f>
        <v/>
      </c>
      <c r="D82" s="770" t="str">
        <f>IF(RCL!L81="","",IF(ISNUMBER(RCL!L81),RCL!L81,0))</f>
        <v/>
      </c>
      <c r="E82" s="771" t="str">
        <f>IF(RCL!F81="","",IF(RCL!F81=RCL!G81,DAY(RCL!F81)&amp;"."&amp;MONTH(RCL!F81)&amp;"."&amp;YEAR(RCL!F81),DAY(RCL!F81)&amp;"."&amp;MONTH(RCL!F81)&amp;"."&amp;YEAR(RCL!F81)&amp;" - "&amp;DAY(RCL!G81)&amp;"."&amp;MONTH(RCL!G81)&amp;"."&amp;YEAR(RCL!G81)))</f>
        <v/>
      </c>
      <c r="F82" s="769" t="str">
        <f>IF(RCL!I81="","",RCL!I81)</f>
        <v/>
      </c>
      <c r="G82" s="1537" t="str">
        <f>IF(RCL!J81="","",RCL!J81)&amp;IF(RCL!K81="","","; "&amp;RCL!K81)</f>
        <v/>
      </c>
      <c r="I82" s="773">
        <f t="shared" si="6"/>
        <v>0</v>
      </c>
      <c r="J82" s="795"/>
      <c r="K82" s="762">
        <f t="shared" si="7"/>
        <v>0</v>
      </c>
      <c r="L82" s="798"/>
    </row>
    <row r="83" spans="1:12" ht="17">
      <c r="A83" s="64">
        <v>4</v>
      </c>
      <c r="B83" s="1536" t="str">
        <f>IF(RCL!C82="","",RCL!C82)</f>
        <v/>
      </c>
      <c r="C83" s="769" t="str">
        <f>IF(RCL!D82="","",RCL!D82)</f>
        <v/>
      </c>
      <c r="D83" s="770" t="str">
        <f>IF(RCL!L82="","",IF(ISNUMBER(RCL!L82),RCL!L82,0))</f>
        <v/>
      </c>
      <c r="E83" s="771" t="str">
        <f>IF(RCL!F82="","",IF(RCL!F82=RCL!G82,DAY(RCL!F82)&amp;"."&amp;MONTH(RCL!F82)&amp;"."&amp;YEAR(RCL!F82),DAY(RCL!F82)&amp;"."&amp;MONTH(RCL!F82)&amp;"."&amp;YEAR(RCL!F82)&amp;" - "&amp;DAY(RCL!G82)&amp;"."&amp;MONTH(RCL!G82)&amp;"."&amp;YEAR(RCL!G82)))</f>
        <v/>
      </c>
      <c r="F83" s="769" t="str">
        <f>IF(RCL!I82="","",RCL!I82)</f>
        <v/>
      </c>
      <c r="G83" s="1537" t="str">
        <f>IF(RCL!J82="","",RCL!J82)&amp;IF(RCL!K82="","","; "&amp;RCL!K82)</f>
        <v/>
      </c>
      <c r="I83" s="773">
        <f t="shared" si="6"/>
        <v>0</v>
      </c>
      <c r="J83" s="795"/>
      <c r="K83" s="762">
        <f t="shared" si="7"/>
        <v>0</v>
      </c>
      <c r="L83" s="798"/>
    </row>
    <row r="84" spans="1:12" ht="17">
      <c r="A84" s="64">
        <v>5</v>
      </c>
      <c r="B84" s="1536" t="str">
        <f>IF(RCL!C83="","",RCL!C83)</f>
        <v/>
      </c>
      <c r="C84" s="769" t="str">
        <f>IF(RCL!D83="","",RCL!D83)</f>
        <v/>
      </c>
      <c r="D84" s="770" t="str">
        <f>IF(RCL!L83="","",IF(ISNUMBER(RCL!L83),RCL!L83,0))</f>
        <v/>
      </c>
      <c r="E84" s="771" t="str">
        <f>IF(RCL!F83="","",IF(RCL!F83=RCL!G83,DAY(RCL!F83)&amp;"."&amp;MONTH(RCL!F83)&amp;"."&amp;YEAR(RCL!F83),DAY(RCL!F83)&amp;"."&amp;MONTH(RCL!F83)&amp;"."&amp;YEAR(RCL!F83)&amp;" - "&amp;DAY(RCL!G83)&amp;"."&amp;MONTH(RCL!G83)&amp;"."&amp;YEAR(RCL!G83)))</f>
        <v/>
      </c>
      <c r="F84" s="769" t="str">
        <f>IF(RCL!I83="","",RCL!I83)</f>
        <v/>
      </c>
      <c r="G84" s="1537" t="str">
        <f>IF(RCL!J83="","",RCL!J83)&amp;IF(RCL!K83="","","; "&amp;RCL!K83)</f>
        <v/>
      </c>
      <c r="I84" s="773">
        <f t="shared" si="6"/>
        <v>0</v>
      </c>
      <c r="J84" s="795"/>
      <c r="K84" s="762">
        <f t="shared" si="7"/>
        <v>0</v>
      </c>
      <c r="L84" s="798"/>
    </row>
    <row r="85" spans="1:12" ht="17">
      <c r="A85" s="64">
        <v>6</v>
      </c>
      <c r="B85" s="1536" t="str">
        <f>IF(RCL!C84="","",RCL!C84)</f>
        <v/>
      </c>
      <c r="C85" s="769" t="str">
        <f>IF(RCL!D84="","",RCL!D84)</f>
        <v/>
      </c>
      <c r="D85" s="770" t="str">
        <f>IF(RCL!L84="","",IF(ISNUMBER(RCL!L84),RCL!L84,0))</f>
        <v/>
      </c>
      <c r="E85" s="771" t="str">
        <f>IF(RCL!F84="","",IF(RCL!F84=RCL!G84,DAY(RCL!F84)&amp;"."&amp;MONTH(RCL!F84)&amp;"."&amp;YEAR(RCL!F84),DAY(RCL!F84)&amp;"."&amp;MONTH(RCL!F84)&amp;"."&amp;YEAR(RCL!F84)&amp;" - "&amp;DAY(RCL!G84)&amp;"."&amp;MONTH(RCL!G84)&amp;"."&amp;YEAR(RCL!G84)))</f>
        <v/>
      </c>
      <c r="F85" s="769" t="str">
        <f>IF(RCL!I84="","",RCL!I84)</f>
        <v/>
      </c>
      <c r="G85" s="1537" t="str">
        <f>IF(RCL!J84="","",RCL!J84)&amp;IF(RCL!K84="","","; "&amp;RCL!K84)</f>
        <v/>
      </c>
      <c r="I85" s="773">
        <f t="shared" si="6"/>
        <v>0</v>
      </c>
      <c r="J85" s="795"/>
      <c r="K85" s="762">
        <f t="shared" si="7"/>
        <v>0</v>
      </c>
      <c r="L85" s="798"/>
    </row>
    <row r="86" spans="1:12" ht="17">
      <c r="A86" s="64">
        <v>7</v>
      </c>
      <c r="B86" s="1536" t="str">
        <f>IF(RCL!C85="","",RCL!C85)</f>
        <v/>
      </c>
      <c r="C86" s="769" t="str">
        <f>IF(RCL!D85="","",RCL!D85)</f>
        <v/>
      </c>
      <c r="D86" s="770" t="str">
        <f>IF(RCL!L85="","",IF(ISNUMBER(RCL!L85),RCL!L85,0))</f>
        <v/>
      </c>
      <c r="E86" s="771" t="str">
        <f>IF(RCL!F85="","",IF(RCL!F85=RCL!G85,DAY(RCL!F85)&amp;"."&amp;MONTH(RCL!F85)&amp;"."&amp;YEAR(RCL!F85),DAY(RCL!F85)&amp;"."&amp;MONTH(RCL!F85)&amp;"."&amp;YEAR(RCL!F85)&amp;" - "&amp;DAY(RCL!G85)&amp;"."&amp;MONTH(RCL!G85)&amp;"."&amp;YEAR(RCL!G85)))</f>
        <v/>
      </c>
      <c r="F86" s="769" t="str">
        <f>IF(RCL!I85="","",RCL!I85)</f>
        <v/>
      </c>
      <c r="G86" s="1537" t="str">
        <f>IF(RCL!J85="","",RCL!J85)&amp;IF(RCL!K85="","","; "&amp;RCL!K85)</f>
        <v/>
      </c>
      <c r="I86" s="773">
        <f t="shared" si="6"/>
        <v>0</v>
      </c>
      <c r="J86" s="795"/>
      <c r="K86" s="762">
        <f t="shared" si="7"/>
        <v>0</v>
      </c>
      <c r="L86" s="798"/>
    </row>
    <row r="87" spans="1:12" ht="17">
      <c r="A87" s="64">
        <v>8</v>
      </c>
      <c r="B87" s="1536" t="str">
        <f>IF(RCL!C86="","",RCL!C86)</f>
        <v/>
      </c>
      <c r="C87" s="769" t="str">
        <f>IF(RCL!D86="","",RCL!D86)</f>
        <v/>
      </c>
      <c r="D87" s="770" t="str">
        <f>IF(RCL!L86="","",IF(ISNUMBER(RCL!L86),RCL!L86,0))</f>
        <v/>
      </c>
      <c r="E87" s="771" t="str">
        <f>IF(RCL!F86="","",IF(RCL!F86=RCL!G86,DAY(RCL!F86)&amp;"."&amp;MONTH(RCL!F86)&amp;"."&amp;YEAR(RCL!F86),DAY(RCL!F86)&amp;"."&amp;MONTH(RCL!F86)&amp;"."&amp;YEAR(RCL!F86)&amp;" - "&amp;DAY(RCL!G86)&amp;"."&amp;MONTH(RCL!G86)&amp;"."&amp;YEAR(RCL!G86)))</f>
        <v/>
      </c>
      <c r="F87" s="769" t="str">
        <f>IF(RCL!I86="","",RCL!I86)</f>
        <v/>
      </c>
      <c r="G87" s="1537" t="str">
        <f>IF(RCL!J86="","",RCL!J86)&amp;IF(RCL!K86="","","; "&amp;RCL!K86)</f>
        <v/>
      </c>
      <c r="I87" s="773">
        <f t="shared" si="6"/>
        <v>0</v>
      </c>
      <c r="J87" s="795"/>
      <c r="K87" s="762">
        <f t="shared" si="7"/>
        <v>0</v>
      </c>
      <c r="L87" s="798"/>
    </row>
    <row r="88" spans="1:12" ht="17">
      <c r="A88" s="64">
        <v>9</v>
      </c>
      <c r="B88" s="1536" t="str">
        <f>IF(RCL!C87="","",RCL!C87)</f>
        <v/>
      </c>
      <c r="C88" s="769" t="str">
        <f>IF(RCL!D87="","",RCL!D87)</f>
        <v/>
      </c>
      <c r="D88" s="770" t="str">
        <f>IF(RCL!L87="","",IF(ISNUMBER(RCL!L87),RCL!L87,0))</f>
        <v/>
      </c>
      <c r="E88" s="771" t="str">
        <f>IF(RCL!F87="","",IF(RCL!F87=RCL!G87,DAY(RCL!F87)&amp;"."&amp;MONTH(RCL!F87)&amp;"."&amp;YEAR(RCL!F87),DAY(RCL!F87)&amp;"."&amp;MONTH(RCL!F87)&amp;"."&amp;YEAR(RCL!F87)&amp;" - "&amp;DAY(RCL!G87)&amp;"."&amp;MONTH(RCL!G87)&amp;"."&amp;YEAR(RCL!G87)))</f>
        <v/>
      </c>
      <c r="F88" s="769" t="str">
        <f>IF(RCL!I87="","",RCL!I87)</f>
        <v/>
      </c>
      <c r="G88" s="1537" t="str">
        <f>IF(RCL!J87="","",RCL!J87)&amp;IF(RCL!K87="","","; "&amp;RCL!K87)</f>
        <v/>
      </c>
      <c r="I88" s="773">
        <f t="shared" si="6"/>
        <v>0</v>
      </c>
      <c r="J88" s="795"/>
      <c r="K88" s="762">
        <f t="shared" si="7"/>
        <v>0</v>
      </c>
      <c r="L88" s="798"/>
    </row>
    <row r="89" spans="1:12" ht="17">
      <c r="A89" s="64">
        <v>10</v>
      </c>
      <c r="B89" s="1536" t="str">
        <f>IF(RCL!C88="","",RCL!C88)</f>
        <v/>
      </c>
      <c r="C89" s="769" t="str">
        <f>IF(RCL!D88="","",RCL!D88)</f>
        <v/>
      </c>
      <c r="D89" s="770" t="str">
        <f>IF(RCL!L88="","",IF(ISNUMBER(RCL!L88),RCL!L88,0))</f>
        <v/>
      </c>
      <c r="E89" s="771" t="str">
        <f>IF(RCL!F88="","",IF(RCL!F88=RCL!G88,DAY(RCL!F88)&amp;"."&amp;MONTH(RCL!F88)&amp;"."&amp;YEAR(RCL!F88),DAY(RCL!F88)&amp;"."&amp;MONTH(RCL!F88)&amp;"."&amp;YEAR(RCL!F88)&amp;" - "&amp;DAY(RCL!G88)&amp;"."&amp;MONTH(RCL!G88)&amp;"."&amp;YEAR(RCL!G88)))</f>
        <v/>
      </c>
      <c r="F89" s="769" t="str">
        <f>IF(RCL!I88="","",RCL!I88)</f>
        <v/>
      </c>
      <c r="G89" s="1537" t="str">
        <f>IF(RCL!J88="","",RCL!J88)&amp;IF(RCL!K88="","","; "&amp;RCL!K88)</f>
        <v/>
      </c>
      <c r="I89" s="773">
        <f t="shared" si="6"/>
        <v>0</v>
      </c>
      <c r="J89" s="795"/>
      <c r="K89" s="762">
        <f t="shared" si="7"/>
        <v>0</v>
      </c>
      <c r="L89" s="798"/>
    </row>
    <row r="90" spans="1:12" ht="17">
      <c r="A90" s="64">
        <v>11</v>
      </c>
      <c r="B90" s="1536" t="str">
        <f>IF(RCL!C89="","",RCL!C89)</f>
        <v/>
      </c>
      <c r="C90" s="769" t="str">
        <f>IF(RCL!D89="","",RCL!D89)</f>
        <v/>
      </c>
      <c r="D90" s="770" t="str">
        <f>IF(RCL!L89="","",IF(ISNUMBER(RCL!L89),RCL!L89,0))</f>
        <v/>
      </c>
      <c r="E90" s="771" t="str">
        <f>IF(RCL!F89="","",IF(RCL!F89=RCL!G89,DAY(RCL!F89)&amp;"."&amp;MONTH(RCL!F89)&amp;"."&amp;YEAR(RCL!F89),DAY(RCL!F89)&amp;"."&amp;MONTH(RCL!F89)&amp;"."&amp;YEAR(RCL!F89)&amp;" - "&amp;DAY(RCL!G89)&amp;"."&amp;MONTH(RCL!G89)&amp;"."&amp;YEAR(RCL!G89)))</f>
        <v/>
      </c>
      <c r="F90" s="769" t="str">
        <f>IF(RCL!I89="","",RCL!I89)</f>
        <v/>
      </c>
      <c r="G90" s="1537" t="str">
        <f>IF(RCL!J89="","",RCL!J89)&amp;IF(RCL!K89="","","; "&amp;RCL!K89)</f>
        <v/>
      </c>
      <c r="I90" s="773">
        <f t="shared" si="6"/>
        <v>0</v>
      </c>
      <c r="J90" s="795"/>
      <c r="K90" s="762">
        <f t="shared" si="7"/>
        <v>0</v>
      </c>
      <c r="L90" s="798"/>
    </row>
    <row r="91" spans="1:12" ht="17">
      <c r="A91" s="64">
        <v>12</v>
      </c>
      <c r="B91" s="1536" t="str">
        <f>IF(RCL!C90="","",RCL!C90)</f>
        <v/>
      </c>
      <c r="C91" s="769" t="str">
        <f>IF(RCL!D90="","",RCL!D90)</f>
        <v/>
      </c>
      <c r="D91" s="770" t="str">
        <f>IF(RCL!L90="","",IF(ISNUMBER(RCL!L90),RCL!L90,0))</f>
        <v/>
      </c>
      <c r="E91" s="771" t="str">
        <f>IF(RCL!F90="","",IF(RCL!F90=RCL!G90,DAY(RCL!F90)&amp;"."&amp;MONTH(RCL!F90)&amp;"."&amp;YEAR(RCL!F90),DAY(RCL!F90)&amp;"."&amp;MONTH(RCL!F90)&amp;"."&amp;YEAR(RCL!F90)&amp;" - "&amp;DAY(RCL!G90)&amp;"."&amp;MONTH(RCL!G90)&amp;"."&amp;YEAR(RCL!G90)))</f>
        <v/>
      </c>
      <c r="F91" s="769" t="str">
        <f>IF(RCL!I90="","",RCL!I90)</f>
        <v/>
      </c>
      <c r="G91" s="1537" t="str">
        <f>IF(RCL!J90="","",RCL!J90)&amp;IF(RCL!K90="","","; "&amp;RCL!K90)</f>
        <v/>
      </c>
      <c r="I91" s="773">
        <f t="shared" si="6"/>
        <v>0</v>
      </c>
      <c r="J91" s="795"/>
      <c r="K91" s="762">
        <f t="shared" si="7"/>
        <v>0</v>
      </c>
      <c r="L91" s="798"/>
    </row>
    <row r="92" spans="1:12" ht="17">
      <c r="A92" s="64">
        <v>13</v>
      </c>
      <c r="B92" s="1536" t="str">
        <f>IF(RCL!C91="","",RCL!C91)</f>
        <v/>
      </c>
      <c r="C92" s="769" t="str">
        <f>IF(RCL!D91="","",RCL!D91)</f>
        <v/>
      </c>
      <c r="D92" s="770" t="str">
        <f>IF(RCL!L91="","",IF(ISNUMBER(RCL!L91),RCL!L91,0))</f>
        <v/>
      </c>
      <c r="E92" s="771" t="str">
        <f>IF(RCL!F91="","",IF(RCL!F91=RCL!G91,DAY(RCL!F91)&amp;"."&amp;MONTH(RCL!F91)&amp;"."&amp;YEAR(RCL!F91),DAY(RCL!F91)&amp;"."&amp;MONTH(RCL!F91)&amp;"."&amp;YEAR(RCL!F91)&amp;" - "&amp;DAY(RCL!G91)&amp;"."&amp;MONTH(RCL!G91)&amp;"."&amp;YEAR(RCL!G91)))</f>
        <v/>
      </c>
      <c r="F92" s="769" t="str">
        <f>IF(RCL!I91="","",RCL!I91)</f>
        <v/>
      </c>
      <c r="G92" s="1537" t="str">
        <f>IF(RCL!J91="","",RCL!J91)&amp;IF(RCL!K91="","","; "&amp;RCL!K91)</f>
        <v/>
      </c>
      <c r="I92" s="773">
        <f t="shared" si="6"/>
        <v>0</v>
      </c>
      <c r="J92" s="795"/>
      <c r="K92" s="762">
        <f t="shared" si="7"/>
        <v>0</v>
      </c>
      <c r="L92" s="798"/>
    </row>
    <row r="93" spans="1:12" ht="17">
      <c r="A93" s="64">
        <v>14</v>
      </c>
      <c r="B93" s="1536" t="str">
        <f>IF(RCL!C92="","",RCL!C92)</f>
        <v/>
      </c>
      <c r="C93" s="769" t="str">
        <f>IF(RCL!D92="","",RCL!D92)</f>
        <v/>
      </c>
      <c r="D93" s="770" t="str">
        <f>IF(RCL!L92="","",IF(ISNUMBER(RCL!L92),RCL!L92,0))</f>
        <v/>
      </c>
      <c r="E93" s="771" t="str">
        <f>IF(RCL!F92="","",IF(RCL!F92=RCL!G92,DAY(RCL!F92)&amp;"."&amp;MONTH(RCL!F92)&amp;"."&amp;YEAR(RCL!F92),DAY(RCL!F92)&amp;"."&amp;MONTH(RCL!F92)&amp;"."&amp;YEAR(RCL!F92)&amp;" - "&amp;DAY(RCL!G92)&amp;"."&amp;MONTH(RCL!G92)&amp;"."&amp;YEAR(RCL!G92)))</f>
        <v/>
      </c>
      <c r="F93" s="769" t="str">
        <f>IF(RCL!I92="","",RCL!I92)</f>
        <v/>
      </c>
      <c r="G93" s="1537" t="str">
        <f>IF(RCL!J92="","",RCL!J92)&amp;IF(RCL!K92="","","; "&amp;RCL!K92)</f>
        <v/>
      </c>
      <c r="I93" s="773">
        <f t="shared" si="6"/>
        <v>0</v>
      </c>
      <c r="J93" s="795"/>
      <c r="K93" s="762">
        <f t="shared" si="7"/>
        <v>0</v>
      </c>
      <c r="L93" s="798"/>
    </row>
    <row r="94" spans="1:12" ht="17">
      <c r="A94" s="64">
        <v>15</v>
      </c>
      <c r="B94" s="1536" t="str">
        <f>IF(RCL!C93="","",RCL!C93)</f>
        <v/>
      </c>
      <c r="C94" s="769" t="str">
        <f>IF(RCL!D93="","",RCL!D93)</f>
        <v/>
      </c>
      <c r="D94" s="770" t="str">
        <f>IF(RCL!L93="","",IF(ISNUMBER(RCL!L93),RCL!L93,0))</f>
        <v/>
      </c>
      <c r="E94" s="771" t="str">
        <f>IF(RCL!F93="","",IF(RCL!F93=RCL!G93,DAY(RCL!F93)&amp;"."&amp;MONTH(RCL!F93)&amp;"."&amp;YEAR(RCL!F93),DAY(RCL!F93)&amp;"."&amp;MONTH(RCL!F93)&amp;"."&amp;YEAR(RCL!F93)&amp;" - "&amp;DAY(RCL!G93)&amp;"."&amp;MONTH(RCL!G93)&amp;"."&amp;YEAR(RCL!G93)))</f>
        <v/>
      </c>
      <c r="F94" s="769" t="str">
        <f>IF(RCL!I93="","",RCL!I93)</f>
        <v/>
      </c>
      <c r="G94" s="1537" t="str">
        <f>IF(RCL!J93="","",RCL!J93)&amp;IF(RCL!K93="","","; "&amp;RCL!K93)</f>
        <v/>
      </c>
      <c r="I94" s="773">
        <f t="shared" si="6"/>
        <v>0</v>
      </c>
      <c r="J94" s="795"/>
      <c r="K94" s="762">
        <f t="shared" si="7"/>
        <v>0</v>
      </c>
      <c r="L94" s="798"/>
    </row>
    <row r="95" spans="1:12" ht="17">
      <c r="A95" s="64">
        <v>16</v>
      </c>
      <c r="B95" s="1536" t="str">
        <f>IF(RCL!C94="","",RCL!C94)</f>
        <v/>
      </c>
      <c r="C95" s="769" t="str">
        <f>IF(RCL!D94="","",RCL!D94)</f>
        <v/>
      </c>
      <c r="D95" s="770" t="str">
        <f>IF(RCL!L94="","",IF(ISNUMBER(RCL!L94),RCL!L94,0))</f>
        <v/>
      </c>
      <c r="E95" s="771" t="str">
        <f>IF(RCL!F94="","",IF(RCL!F94=RCL!G94,DAY(RCL!F94)&amp;"."&amp;MONTH(RCL!F94)&amp;"."&amp;YEAR(RCL!F94),DAY(RCL!F94)&amp;"."&amp;MONTH(RCL!F94)&amp;"."&amp;YEAR(RCL!F94)&amp;" - "&amp;DAY(RCL!G94)&amp;"."&amp;MONTH(RCL!G94)&amp;"."&amp;YEAR(RCL!G94)))</f>
        <v/>
      </c>
      <c r="F95" s="769" t="str">
        <f>IF(RCL!I94="","",RCL!I94)</f>
        <v/>
      </c>
      <c r="G95" s="1537" t="str">
        <f>IF(RCL!J94="","",RCL!J94)&amp;IF(RCL!K94="","","; "&amp;RCL!K94)</f>
        <v/>
      </c>
      <c r="I95" s="773">
        <f t="shared" si="6"/>
        <v>0</v>
      </c>
      <c r="J95" s="795"/>
      <c r="K95" s="762">
        <f t="shared" si="7"/>
        <v>0</v>
      </c>
      <c r="L95" s="798"/>
    </row>
    <row r="96" spans="1:12" ht="17">
      <c r="A96" s="64">
        <v>17</v>
      </c>
      <c r="B96" s="1536" t="str">
        <f>IF(RCL!C95="","",RCL!C95)</f>
        <v/>
      </c>
      <c r="C96" s="769" t="str">
        <f>IF(RCL!D95="","",RCL!D95)</f>
        <v/>
      </c>
      <c r="D96" s="770" t="str">
        <f>IF(RCL!L95="","",IF(ISNUMBER(RCL!L95),RCL!L95,0))</f>
        <v/>
      </c>
      <c r="E96" s="771" t="str">
        <f>IF(RCL!F95="","",IF(RCL!F95=RCL!G95,DAY(RCL!F95)&amp;"."&amp;MONTH(RCL!F95)&amp;"."&amp;YEAR(RCL!F95),DAY(RCL!F95)&amp;"."&amp;MONTH(RCL!F95)&amp;"."&amp;YEAR(RCL!F95)&amp;" - "&amp;DAY(RCL!G95)&amp;"."&amp;MONTH(RCL!G95)&amp;"."&amp;YEAR(RCL!G95)))</f>
        <v/>
      </c>
      <c r="F96" s="769" t="str">
        <f>IF(RCL!I95="","",RCL!I95)</f>
        <v/>
      </c>
      <c r="G96" s="1537" t="str">
        <f>IF(RCL!J95="","",RCL!J95)&amp;IF(RCL!K95="","","; "&amp;RCL!K95)</f>
        <v/>
      </c>
      <c r="I96" s="773">
        <f t="shared" si="6"/>
        <v>0</v>
      </c>
      <c r="J96" s="795"/>
      <c r="K96" s="762">
        <f t="shared" si="7"/>
        <v>0</v>
      </c>
      <c r="L96" s="798"/>
    </row>
    <row r="97" spans="1:12" ht="17">
      <c r="A97" s="64">
        <v>18</v>
      </c>
      <c r="B97" s="1536" t="str">
        <f>IF(RCL!C96="","",RCL!C96)</f>
        <v/>
      </c>
      <c r="C97" s="769" t="str">
        <f>IF(RCL!D96="","",RCL!D96)</f>
        <v/>
      </c>
      <c r="D97" s="770" t="str">
        <f>IF(RCL!L96="","",IF(ISNUMBER(RCL!L96),RCL!L96,0))</f>
        <v/>
      </c>
      <c r="E97" s="771" t="str">
        <f>IF(RCL!F96="","",IF(RCL!F96=RCL!G96,DAY(RCL!F96)&amp;"."&amp;MONTH(RCL!F96)&amp;"."&amp;YEAR(RCL!F96),DAY(RCL!F96)&amp;"."&amp;MONTH(RCL!F96)&amp;"."&amp;YEAR(RCL!F96)&amp;" - "&amp;DAY(RCL!G96)&amp;"."&amp;MONTH(RCL!G96)&amp;"."&amp;YEAR(RCL!G96)))</f>
        <v/>
      </c>
      <c r="F97" s="769" t="str">
        <f>IF(RCL!I96="","",RCL!I96)</f>
        <v/>
      </c>
      <c r="G97" s="1537" t="str">
        <f>IF(RCL!J96="","",RCL!J96)&amp;IF(RCL!K96="","","; "&amp;RCL!K96)</f>
        <v/>
      </c>
      <c r="I97" s="773">
        <f t="shared" si="6"/>
        <v>0</v>
      </c>
      <c r="J97" s="795"/>
      <c r="K97" s="762">
        <f t="shared" si="7"/>
        <v>0</v>
      </c>
      <c r="L97" s="798"/>
    </row>
    <row r="98" spans="1:12" ht="17">
      <c r="A98" s="64">
        <v>19</v>
      </c>
      <c r="B98" s="1536" t="str">
        <f>IF(RCL!C97="","",RCL!C97)</f>
        <v/>
      </c>
      <c r="C98" s="769" t="str">
        <f>IF(RCL!D97="","",RCL!D97)</f>
        <v/>
      </c>
      <c r="D98" s="770" t="str">
        <f>IF(RCL!L97="","",IF(ISNUMBER(RCL!L97),RCL!L97,0))</f>
        <v/>
      </c>
      <c r="E98" s="771" t="str">
        <f>IF(RCL!F97="","",IF(RCL!F97=RCL!G97,DAY(RCL!F97)&amp;"."&amp;MONTH(RCL!F97)&amp;"."&amp;YEAR(RCL!F97),DAY(RCL!F97)&amp;"."&amp;MONTH(RCL!F97)&amp;"."&amp;YEAR(RCL!F97)&amp;" - "&amp;DAY(RCL!G97)&amp;"."&amp;MONTH(RCL!G97)&amp;"."&amp;YEAR(RCL!G97)))</f>
        <v/>
      </c>
      <c r="F98" s="769" t="str">
        <f>IF(RCL!I97="","",RCL!I97)</f>
        <v/>
      </c>
      <c r="G98" s="1537" t="str">
        <f>IF(RCL!J97="","",RCL!J97)&amp;IF(RCL!K97="","","; "&amp;RCL!K97)</f>
        <v/>
      </c>
      <c r="I98" s="773">
        <f t="shared" si="6"/>
        <v>0</v>
      </c>
      <c r="J98" s="795"/>
      <c r="K98" s="762">
        <f t="shared" si="7"/>
        <v>0</v>
      </c>
      <c r="L98" s="798"/>
    </row>
    <row r="99" spans="1:12" ht="17">
      <c r="A99" s="64">
        <v>20</v>
      </c>
      <c r="B99" s="1538" t="str">
        <f>IF(RCL!C98="","",RCL!C98)</f>
        <v/>
      </c>
      <c r="C99" s="1539" t="str">
        <f>IF(RCL!D98="","",RCL!D98)</f>
        <v/>
      </c>
      <c r="D99" s="1540" t="str">
        <f>IF(RCL!L98="","",IF(ISNUMBER(RCL!L98),RCL!L98,0))</f>
        <v/>
      </c>
      <c r="E99" s="1541" t="str">
        <f>IF(RCL!F98="","",IF(RCL!F98=RCL!G98,DAY(RCL!F98)&amp;"."&amp;MONTH(RCL!F98)&amp;"."&amp;YEAR(RCL!F98),DAY(RCL!F98)&amp;"."&amp;MONTH(RCL!F98)&amp;"."&amp;YEAR(RCL!F98)&amp;" - "&amp;DAY(RCL!G98)&amp;"."&amp;MONTH(RCL!G98)&amp;"."&amp;YEAR(RCL!G98)))</f>
        <v/>
      </c>
      <c r="F99" s="1539" t="str">
        <f>IF(RCL!I98="","",RCL!I98)</f>
        <v/>
      </c>
      <c r="G99" s="1542" t="str">
        <f>IF(RCL!J98="","",RCL!J98)&amp;IF(RCL!K98="","","; "&amp;RCL!K98)</f>
        <v/>
      </c>
      <c r="I99" s="774">
        <f t="shared" si="6"/>
        <v>0</v>
      </c>
      <c r="J99" s="796"/>
      <c r="K99" s="763">
        <f t="shared" si="7"/>
        <v>0</v>
      </c>
      <c r="L99" s="799"/>
    </row>
    <row r="101" spans="1:12">
      <c r="B101" s="2241" t="str">
        <f>Dictionary!B1166</f>
        <v>Lesen von Literatur und Veröffentlichungen</v>
      </c>
      <c r="C101" s="2242"/>
      <c r="D101" s="2242"/>
      <c r="E101" s="2242"/>
      <c r="F101" s="2242"/>
      <c r="G101" s="2242"/>
      <c r="H101" s="2240"/>
    </row>
    <row r="102" spans="1:12">
      <c r="B102" s="1530" t="str">
        <f>RCL!C101</f>
        <v>Titel / Thema</v>
      </c>
      <c r="C102" s="1530" t="str">
        <f>RCL!D101</f>
        <v>Verlag</v>
      </c>
      <c r="D102" s="1530" t="str">
        <f>Dictionary!B1144</f>
        <v>Dauer (Std.)</v>
      </c>
      <c r="E102" s="1530" t="str">
        <f>RCL!G101</f>
        <v>Lese-Datum</v>
      </c>
      <c r="F102" s="1530" t="str">
        <f>RCL!I101</f>
        <v>ICB Element Referenz 1</v>
      </c>
      <c r="G102" s="1530" t="str">
        <f>RCL!J101</f>
        <v>ICB Element Referenz 2</v>
      </c>
      <c r="I102" s="2"/>
      <c r="J102" s="2"/>
      <c r="K102" s="2"/>
      <c r="L102" s="2"/>
    </row>
    <row r="103" spans="1:12" ht="17">
      <c r="A103" s="64">
        <v>1</v>
      </c>
      <c r="B103" s="1531" t="str">
        <f>IF(RCL!C102="","",RCL!C102)</f>
        <v/>
      </c>
      <c r="C103" s="1532" t="str">
        <f>IF(RCL!D102="","",RCL!D102)</f>
        <v/>
      </c>
      <c r="D103" s="1533" t="str">
        <f>IF(RCL!L102="","",IF(ISNUMBER(RCL!L102),RCL!L102,0))</f>
        <v/>
      </c>
      <c r="E103" s="1534" t="str">
        <f>IF(RCL!G102="","",RCL!G102)</f>
        <v/>
      </c>
      <c r="F103" s="1532" t="str">
        <f>IF(RCL!I102="","",RCL!I102)</f>
        <v/>
      </c>
      <c r="G103" s="1535" t="str">
        <f>IF(RCL!J102="","",RCL!J102)</f>
        <v/>
      </c>
      <c r="I103" s="772">
        <f t="shared" ref="I103" si="8">IF(J103&lt;&gt;"",D103,0)</f>
        <v>0</v>
      </c>
      <c r="J103" s="794"/>
      <c r="K103" s="761">
        <f t="shared" ref="K103" si="9">IF(L103&lt;&gt;"",D103,0)</f>
        <v>0</v>
      </c>
      <c r="L103" s="797"/>
    </row>
    <row r="104" spans="1:12" ht="17">
      <c r="A104" s="64">
        <v>2</v>
      </c>
      <c r="B104" s="1536" t="str">
        <f>IF(RCL!C103="","",RCL!C103)</f>
        <v/>
      </c>
      <c r="C104" s="769" t="str">
        <f>IF(RCL!D103="","",RCL!D103)</f>
        <v/>
      </c>
      <c r="D104" s="770" t="str">
        <f>IF(RCL!L103="","",IF(ISNUMBER(RCL!L103),RCL!L103,0))</f>
        <v/>
      </c>
      <c r="E104" s="771" t="str">
        <f>IF(RCL!G103="","",RCL!G103)</f>
        <v/>
      </c>
      <c r="F104" s="769" t="str">
        <f>IF(RCL!I103="","",RCL!I103)</f>
        <v/>
      </c>
      <c r="G104" s="1537" t="str">
        <f>IF(RCL!J103="","",RCL!J103)</f>
        <v/>
      </c>
      <c r="I104" s="773">
        <f t="shared" ref="I104:I109" si="10">IF(J104&lt;&gt;"",D104,0)</f>
        <v>0</v>
      </c>
      <c r="J104" s="795"/>
      <c r="K104" s="762">
        <f t="shared" ref="K104:K109" si="11">IF(L104&lt;&gt;"",D104,0)</f>
        <v>0</v>
      </c>
      <c r="L104" s="798"/>
    </row>
    <row r="105" spans="1:12" ht="17">
      <c r="A105" s="64">
        <v>3</v>
      </c>
      <c r="B105" s="1536" t="str">
        <f>IF(RCL!C104="","",RCL!C104)</f>
        <v/>
      </c>
      <c r="C105" s="769" t="str">
        <f>IF(RCL!D104="","",RCL!D104)</f>
        <v/>
      </c>
      <c r="D105" s="770" t="str">
        <f>IF(RCL!L104="","",IF(ISNUMBER(RCL!L104),RCL!L104,0))</f>
        <v/>
      </c>
      <c r="E105" s="771" t="str">
        <f>IF(RCL!G104="","",RCL!G104)</f>
        <v/>
      </c>
      <c r="F105" s="769" t="str">
        <f>IF(RCL!I104="","",RCL!I104)</f>
        <v/>
      </c>
      <c r="G105" s="1537" t="str">
        <f>IF(RCL!J104="","",RCL!J104)</f>
        <v/>
      </c>
      <c r="I105" s="773">
        <f t="shared" si="10"/>
        <v>0</v>
      </c>
      <c r="J105" s="795"/>
      <c r="K105" s="762">
        <f t="shared" si="11"/>
        <v>0</v>
      </c>
      <c r="L105" s="798"/>
    </row>
    <row r="106" spans="1:12" ht="17">
      <c r="A106" s="64">
        <v>4</v>
      </c>
      <c r="B106" s="1536" t="str">
        <f>IF(RCL!C105="","",RCL!C105)</f>
        <v/>
      </c>
      <c r="C106" s="769" t="str">
        <f>IF(RCL!D105="","",RCL!D105)</f>
        <v/>
      </c>
      <c r="D106" s="770" t="str">
        <f>IF(RCL!L105="","",IF(ISNUMBER(RCL!L105),RCL!L105,0))</f>
        <v/>
      </c>
      <c r="E106" s="771" t="str">
        <f>IF(RCL!G105="","",RCL!G105)</f>
        <v/>
      </c>
      <c r="F106" s="769" t="str">
        <f>IF(RCL!I105="","",RCL!I105)</f>
        <v/>
      </c>
      <c r="G106" s="1537" t="str">
        <f>IF(RCL!J105="","",RCL!J105)</f>
        <v/>
      </c>
      <c r="I106" s="773">
        <f t="shared" si="10"/>
        <v>0</v>
      </c>
      <c r="J106" s="795"/>
      <c r="K106" s="762">
        <f t="shared" si="11"/>
        <v>0</v>
      </c>
      <c r="L106" s="798"/>
    </row>
    <row r="107" spans="1:12" ht="17">
      <c r="A107" s="64">
        <v>5</v>
      </c>
      <c r="B107" s="1536" t="str">
        <f>IF(RCL!C106="","",RCL!C106)</f>
        <v/>
      </c>
      <c r="C107" s="769" t="str">
        <f>IF(RCL!D106="","",RCL!D106)</f>
        <v/>
      </c>
      <c r="D107" s="770" t="str">
        <f>IF(RCL!L106="","",IF(ISNUMBER(RCL!L106),RCL!L106,0))</f>
        <v/>
      </c>
      <c r="E107" s="771" t="str">
        <f>IF(RCL!G106="","",RCL!G106)</f>
        <v/>
      </c>
      <c r="F107" s="769" t="str">
        <f>IF(RCL!I106="","",RCL!I106)</f>
        <v/>
      </c>
      <c r="G107" s="1537" t="str">
        <f>IF(RCL!J106="","",RCL!J106)</f>
        <v/>
      </c>
      <c r="I107" s="773">
        <f t="shared" si="10"/>
        <v>0</v>
      </c>
      <c r="J107" s="795"/>
      <c r="K107" s="762">
        <f t="shared" si="11"/>
        <v>0</v>
      </c>
      <c r="L107" s="798"/>
    </row>
    <row r="108" spans="1:12" ht="17">
      <c r="A108" s="64">
        <v>6</v>
      </c>
      <c r="B108" s="1536" t="str">
        <f>IF(RCL!C107="","",RCL!C107)</f>
        <v/>
      </c>
      <c r="C108" s="769" t="str">
        <f>IF(RCL!D107="","",RCL!D107)</f>
        <v/>
      </c>
      <c r="D108" s="770" t="str">
        <f>IF(RCL!L107="","",IF(ISNUMBER(RCL!L107),RCL!L107,0))</f>
        <v/>
      </c>
      <c r="E108" s="771" t="str">
        <f>IF(RCL!G107="","",RCL!G107)</f>
        <v/>
      </c>
      <c r="F108" s="769" t="str">
        <f>IF(RCL!I107="","",RCL!I107)</f>
        <v/>
      </c>
      <c r="G108" s="1537" t="str">
        <f>IF(RCL!J107="","",RCL!J107)</f>
        <v/>
      </c>
      <c r="I108" s="773">
        <f t="shared" si="10"/>
        <v>0</v>
      </c>
      <c r="J108" s="795"/>
      <c r="K108" s="762">
        <f t="shared" si="11"/>
        <v>0</v>
      </c>
      <c r="L108" s="798"/>
    </row>
    <row r="109" spans="1:12" ht="17">
      <c r="A109" s="64">
        <v>7</v>
      </c>
      <c r="B109" s="1538" t="str">
        <f>IF(RCL!C108="","",RCL!C108)</f>
        <v/>
      </c>
      <c r="C109" s="1539" t="str">
        <f>IF(RCL!D108="","",RCL!D108)</f>
        <v/>
      </c>
      <c r="D109" s="1540" t="str">
        <f>IF(RCL!L108="","",IF(ISNUMBER(RCL!L108),RCL!L108,0))</f>
        <v/>
      </c>
      <c r="E109" s="1541" t="str">
        <f>IF(RCL!G108="","",RCL!G108)</f>
        <v/>
      </c>
      <c r="F109" s="1539" t="str">
        <f>IF(RCL!I108="","",RCL!I108)</f>
        <v/>
      </c>
      <c r="G109" s="1542" t="str">
        <f>IF(RCL!J108="","",RCL!J108)</f>
        <v/>
      </c>
      <c r="I109" s="774">
        <f t="shared" si="10"/>
        <v>0</v>
      </c>
      <c r="J109" s="796"/>
      <c r="K109" s="763">
        <f t="shared" si="11"/>
        <v>0</v>
      </c>
      <c r="L109" s="799"/>
    </row>
    <row r="111" spans="1:12">
      <c r="B111" s="2241" t="str">
        <f>Dictionary!B1167</f>
        <v>Lesen von abonierten PM Zeitschriften</v>
      </c>
      <c r="C111" s="2242"/>
      <c r="D111" s="2242"/>
      <c r="E111" s="2242"/>
      <c r="F111" s="2242"/>
      <c r="G111" s="2242"/>
      <c r="H111" s="2240"/>
    </row>
    <row r="112" spans="1:12">
      <c r="B112" s="1530" t="str">
        <f>RCL!C111</f>
        <v>Titel / Thema</v>
      </c>
      <c r="C112" s="1530" t="str">
        <f>RCL!D111</f>
        <v>Herausgeber</v>
      </c>
      <c r="D112" s="1530" t="str">
        <f>Dictionary!B1144</f>
        <v>Dauer (Std.)</v>
      </c>
      <c r="E112" s="1530" t="str">
        <f>RCL!G111</f>
        <v>End Datum</v>
      </c>
      <c r="F112" s="1530" t="str">
        <f>RCL!I111</f>
        <v>ICB Element Referenz 1</v>
      </c>
      <c r="G112" s="1530" t="str">
        <f>RCL!J111</f>
        <v>ICB Element Referenz 2</v>
      </c>
      <c r="I112" s="2"/>
      <c r="J112" s="2"/>
      <c r="K112" s="2"/>
      <c r="L112" s="2"/>
    </row>
    <row r="113" spans="1:12" ht="17">
      <c r="A113" s="64">
        <v>1</v>
      </c>
      <c r="B113" s="1531" t="str">
        <f>IF(RCL!C112="","",RCL!C112)</f>
        <v/>
      </c>
      <c r="C113" s="1532" t="str">
        <f>IF(RCL!D112="","",RCL!D112)</f>
        <v/>
      </c>
      <c r="D113" s="1533" t="str">
        <f>IF(RCL!L112="","",IF(ISNUMBER(RCL!L112),RCL!L112,0))</f>
        <v/>
      </c>
      <c r="E113" s="1534" t="str">
        <f>IF(RCL!G112="","",RCL!G112)</f>
        <v/>
      </c>
      <c r="F113" s="1532" t="str">
        <f>IF(RCL!I112="","",RCL!I112)</f>
        <v/>
      </c>
      <c r="G113" s="1535" t="str">
        <f>IF(RCL!J112="","",RCL!J112)</f>
        <v/>
      </c>
      <c r="I113" s="772">
        <f t="shared" ref="I113:I115" si="12">IF(J113&lt;&gt;"",D113,0)</f>
        <v>0</v>
      </c>
      <c r="J113" s="794"/>
      <c r="K113" s="761">
        <f t="shared" ref="K113:K115" si="13">IF(L113&lt;&gt;"",D113,0)</f>
        <v>0</v>
      </c>
      <c r="L113" s="797"/>
    </row>
    <row r="114" spans="1:12" ht="17">
      <c r="A114" s="64">
        <v>2</v>
      </c>
      <c r="B114" s="1536" t="str">
        <f>IF(RCL!C113="","",RCL!C113)</f>
        <v/>
      </c>
      <c r="C114" s="769" t="str">
        <f>IF(RCL!D113="","",RCL!D113)</f>
        <v/>
      </c>
      <c r="D114" s="770" t="str">
        <f>IF(RCL!L113="","",IF(ISNUMBER(RCL!L113),RCL!L113,0))</f>
        <v/>
      </c>
      <c r="E114" s="771" t="str">
        <f>IF(RCL!G113="","",RCL!G113)</f>
        <v/>
      </c>
      <c r="F114" s="769" t="str">
        <f>IF(RCL!I113="","",RCL!I113)</f>
        <v/>
      </c>
      <c r="G114" s="1537" t="str">
        <f>IF(RCL!J113="","",RCL!J113)</f>
        <v/>
      </c>
      <c r="I114" s="773">
        <f t="shared" si="12"/>
        <v>0</v>
      </c>
      <c r="J114" s="795"/>
      <c r="K114" s="762">
        <f t="shared" si="13"/>
        <v>0</v>
      </c>
      <c r="L114" s="798"/>
    </row>
    <row r="115" spans="1:12" ht="17">
      <c r="A115" s="64">
        <v>3</v>
      </c>
      <c r="B115" s="1538" t="str">
        <f>IF(RCL!C114="","",RCL!C114)</f>
        <v/>
      </c>
      <c r="C115" s="1539" t="str">
        <f>IF(RCL!D114="","",RCL!D114)</f>
        <v/>
      </c>
      <c r="D115" s="1540" t="str">
        <f>IF(RCL!L114="","",IF(ISNUMBER(RCL!L114),RCL!L114,0))</f>
        <v/>
      </c>
      <c r="E115" s="1541" t="str">
        <f>IF(RCL!G114="","",RCL!G114)</f>
        <v/>
      </c>
      <c r="F115" s="1539" t="str">
        <f>IF(RCL!I114="","",RCL!I114)</f>
        <v/>
      </c>
      <c r="G115" s="1542" t="str">
        <f>IF(RCL!J114="","",RCL!J114)</f>
        <v/>
      </c>
      <c r="I115" s="774">
        <f t="shared" si="12"/>
        <v>0</v>
      </c>
      <c r="J115" s="796"/>
      <c r="K115" s="763">
        <f t="shared" si="13"/>
        <v>0</v>
      </c>
      <c r="L115" s="799"/>
    </row>
    <row r="118" spans="1:12">
      <c r="B118" s="64" t="str">
        <f>Feedback_Remark_String</f>
        <v>Feedback Kommentar</v>
      </c>
    </row>
    <row r="119" spans="1:12" ht="14" customHeight="1">
      <c r="B119" s="2237"/>
      <c r="C119" s="2237"/>
      <c r="D119" s="2237"/>
      <c r="E119" s="2237"/>
      <c r="F119" s="2237"/>
      <c r="G119" s="2237"/>
      <c r="H119" s="2237"/>
    </row>
    <row r="120" spans="1:12" ht="14" customHeight="1">
      <c r="B120" s="2237"/>
      <c r="C120" s="2237"/>
      <c r="D120" s="2237"/>
      <c r="E120" s="2237"/>
      <c r="F120" s="2237"/>
      <c r="G120" s="2237"/>
      <c r="H120" s="2237"/>
    </row>
    <row r="121" spans="1:12" ht="14" customHeight="1">
      <c r="B121" s="2237"/>
      <c r="C121" s="2237"/>
      <c r="D121" s="2237"/>
      <c r="E121" s="2237"/>
      <c r="F121" s="2237"/>
      <c r="G121" s="2237"/>
      <c r="H121" s="2237"/>
    </row>
    <row r="122" spans="1:12" ht="14" customHeight="1">
      <c r="B122" s="2237"/>
      <c r="C122" s="2237"/>
      <c r="D122" s="2237"/>
      <c r="E122" s="2237"/>
      <c r="F122" s="2237"/>
      <c r="G122" s="2237"/>
      <c r="H122" s="2237"/>
    </row>
    <row r="123" spans="1:12" ht="14" customHeight="1">
      <c r="B123" s="2237"/>
      <c r="C123" s="2237"/>
      <c r="D123" s="2237"/>
      <c r="E123" s="2237"/>
      <c r="F123" s="2237"/>
      <c r="G123" s="2237"/>
      <c r="H123" s="2237"/>
    </row>
    <row r="124" spans="1:12" ht="14" customHeight="1">
      <c r="B124" s="2237"/>
      <c r="C124" s="2237"/>
      <c r="D124" s="2237"/>
      <c r="E124" s="2237"/>
      <c r="F124" s="2237"/>
      <c r="G124" s="2237"/>
      <c r="H124" s="2237"/>
    </row>
  </sheetData>
  <sheetProtection algorithmName="SHA-512" hashValue="dog+VvwEJ2QbTPVb3DHmUgAP6o3QY17Z7BMg6P6Vvjtj8D/euuNvKOcE7i7wulGcQbRcgK6WIaqD9goQ72I/tQ==" saltValue="rVo+q6PXpgY66uzO/0UVMA==" spinCount="100000" sheet="1" objects="1" scenarios="1" formatColumns="0" selectLockedCells="1"/>
  <mergeCells count="10">
    <mergeCell ref="K8:L8"/>
    <mergeCell ref="E2:G2"/>
    <mergeCell ref="B119:H124"/>
    <mergeCell ref="B78:H78"/>
    <mergeCell ref="B33:H33"/>
    <mergeCell ref="I7:L7"/>
    <mergeCell ref="I8:J8"/>
    <mergeCell ref="B10:H10"/>
    <mergeCell ref="B101:H101"/>
    <mergeCell ref="B111:H111"/>
  </mergeCells>
  <pageMargins left="0.7" right="0.7" top="0.78740157499999996" bottom="0.78740157499999996" header="0.3" footer="0.3"/>
  <pageSetup paperSize="9" scale="46" orientation="portrait" r:id="rId1"/>
  <headerFooter>
    <oddFooter>&amp;LDok.-Nr./Rev./Datum
F01         /  03   / 04.12.2020
&amp;F&amp;C&amp;U&amp;A&amp;RSeite &amp;P / &amp;N</oddFooter>
  </headerFooter>
  <extLst>
    <ext xmlns:x14="http://schemas.microsoft.com/office/spreadsheetml/2009/9/main" uri="{78C0D931-6437-407d-A8EE-F0AAD7539E65}">
      <x14:conditionalFormattings>
        <x14:conditionalFormatting xmlns:xm="http://schemas.microsoft.com/office/excel/2006/main">
          <x14:cfRule type="expression" priority="1" id="{00000000-000E-0000-4200-000001000000}">
            <xm:f>COV!$D$93&lt;&gt;""</xm:f>
            <x14:dxf>
              <font>
                <color theme="0"/>
              </font>
              <fill>
                <patternFill>
                  <bgColor theme="0"/>
                </patternFill>
              </fill>
              <border>
                <left/>
                <right/>
                <top/>
                <bottom/>
              </border>
            </x14:dxf>
          </x14:cfRule>
          <xm:sqref>F7:G8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4200-000000000000}">
          <x14:formula1>
            <xm:f>'Control Values'!$B$54:$B$55</xm:f>
          </x14:formula1>
          <xm:sqref>G8</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871DA-F226-409B-955B-75A020DC2AF7}">
  <sheetPr codeName="Recert_Teaching_Eval">
    <tabColor rgb="FFC00000"/>
  </sheetPr>
  <dimension ref="A1:L71"/>
  <sheetViews>
    <sheetView zoomScale="80" zoomScaleNormal="80" workbookViewId="0">
      <pane ySplit="8" topLeftCell="A9" activePane="bottomLeft" state="frozen"/>
      <selection activeCell="L66" sqref="L66"/>
      <selection pane="bottomLeft" activeCell="J12" sqref="J12"/>
    </sheetView>
  </sheetViews>
  <sheetFormatPr baseColWidth="10" defaultColWidth="11.5" defaultRowHeight="14"/>
  <cols>
    <col min="1" max="1" width="11.5" style="64"/>
    <col min="2" max="2" width="31.6640625" style="64" customWidth="1"/>
    <col min="3" max="3" width="32.5" style="64" customWidth="1"/>
    <col min="4" max="4" width="20.83203125" style="64" customWidth="1"/>
    <col min="5" max="5" width="28.5" style="64" customWidth="1"/>
    <col min="6" max="7" width="47.1640625" style="64" customWidth="1"/>
    <col min="8" max="8" width="5.5" style="64" customWidth="1"/>
    <col min="9" max="9" width="12.6640625" style="64" customWidth="1"/>
    <col min="10" max="10" width="6.5" style="64" customWidth="1"/>
    <col min="11" max="11" width="15" style="64" customWidth="1"/>
    <col min="12" max="12" width="9" style="64" customWidth="1"/>
    <col min="13" max="13" width="26.5" style="64" customWidth="1"/>
    <col min="14" max="14" width="35.5" style="64" customWidth="1"/>
    <col min="15" max="255" width="11.5" style="64"/>
    <col min="256" max="256" width="18" style="64" customWidth="1"/>
    <col min="257" max="258" width="32.5" style="64" customWidth="1"/>
    <col min="259" max="259" width="11.5" style="64"/>
    <col min="260" max="260" width="4.5" style="64" customWidth="1"/>
    <col min="261" max="261" width="11.5" style="64"/>
    <col min="262" max="262" width="4.5" style="64" customWidth="1"/>
    <col min="263" max="511" width="11.5" style="64"/>
    <col min="512" max="512" width="18" style="64" customWidth="1"/>
    <col min="513" max="514" width="32.5" style="64" customWidth="1"/>
    <col min="515" max="515" width="11.5" style="64"/>
    <col min="516" max="516" width="4.5" style="64" customWidth="1"/>
    <col min="517" max="517" width="11.5" style="64"/>
    <col min="518" max="518" width="4.5" style="64" customWidth="1"/>
    <col min="519" max="767" width="11.5" style="64"/>
    <col min="768" max="768" width="18" style="64" customWidth="1"/>
    <col min="769" max="770" width="32.5" style="64" customWidth="1"/>
    <col min="771" max="771" width="11.5" style="64"/>
    <col min="772" max="772" width="4.5" style="64" customWidth="1"/>
    <col min="773" max="773" width="11.5" style="64"/>
    <col min="774" max="774" width="4.5" style="64" customWidth="1"/>
    <col min="775" max="1023" width="11.5" style="64"/>
    <col min="1024" max="1024" width="18" style="64" customWidth="1"/>
    <col min="1025" max="1026" width="32.5" style="64" customWidth="1"/>
    <col min="1027" max="1027" width="11.5" style="64"/>
    <col min="1028" max="1028" width="4.5" style="64" customWidth="1"/>
    <col min="1029" max="1029" width="11.5" style="64"/>
    <col min="1030" max="1030" width="4.5" style="64" customWidth="1"/>
    <col min="1031" max="1279" width="11.5" style="64"/>
    <col min="1280" max="1280" width="18" style="64" customWidth="1"/>
    <col min="1281" max="1282" width="32.5" style="64" customWidth="1"/>
    <col min="1283" max="1283" width="11.5" style="64"/>
    <col min="1284" max="1284" width="4.5" style="64" customWidth="1"/>
    <col min="1285" max="1285" width="11.5" style="64"/>
    <col min="1286" max="1286" width="4.5" style="64" customWidth="1"/>
    <col min="1287" max="1535" width="11.5" style="64"/>
    <col min="1536" max="1536" width="18" style="64" customWidth="1"/>
    <col min="1537" max="1538" width="32.5" style="64" customWidth="1"/>
    <col min="1539" max="1539" width="11.5" style="64"/>
    <col min="1540" max="1540" width="4.5" style="64" customWidth="1"/>
    <col min="1541" max="1541" width="11.5" style="64"/>
    <col min="1542" max="1542" width="4.5" style="64" customWidth="1"/>
    <col min="1543" max="1791" width="11.5" style="64"/>
    <col min="1792" max="1792" width="18" style="64" customWidth="1"/>
    <col min="1793" max="1794" width="32.5" style="64" customWidth="1"/>
    <col min="1795" max="1795" width="11.5" style="64"/>
    <col min="1796" max="1796" width="4.5" style="64" customWidth="1"/>
    <col min="1797" max="1797" width="11.5" style="64"/>
    <col min="1798" max="1798" width="4.5" style="64" customWidth="1"/>
    <col min="1799" max="2047" width="11.5" style="64"/>
    <col min="2048" max="2048" width="18" style="64" customWidth="1"/>
    <col min="2049" max="2050" width="32.5" style="64" customWidth="1"/>
    <col min="2051" max="2051" width="11.5" style="64"/>
    <col min="2052" max="2052" width="4.5" style="64" customWidth="1"/>
    <col min="2053" max="2053" width="11.5" style="64"/>
    <col min="2054" max="2054" width="4.5" style="64" customWidth="1"/>
    <col min="2055" max="2303" width="11.5" style="64"/>
    <col min="2304" max="2304" width="18" style="64" customWidth="1"/>
    <col min="2305" max="2306" width="32.5" style="64" customWidth="1"/>
    <col min="2307" max="2307" width="11.5" style="64"/>
    <col min="2308" max="2308" width="4.5" style="64" customWidth="1"/>
    <col min="2309" max="2309" width="11.5" style="64"/>
    <col min="2310" max="2310" width="4.5" style="64" customWidth="1"/>
    <col min="2311" max="2559" width="11.5" style="64"/>
    <col min="2560" max="2560" width="18" style="64" customWidth="1"/>
    <col min="2561" max="2562" width="32.5" style="64" customWidth="1"/>
    <col min="2563" max="2563" width="11.5" style="64"/>
    <col min="2564" max="2564" width="4.5" style="64" customWidth="1"/>
    <col min="2565" max="2565" width="11.5" style="64"/>
    <col min="2566" max="2566" width="4.5" style="64" customWidth="1"/>
    <col min="2567" max="2815" width="11.5" style="64"/>
    <col min="2816" max="2816" width="18" style="64" customWidth="1"/>
    <col min="2817" max="2818" width="32.5" style="64" customWidth="1"/>
    <col min="2819" max="2819" width="11.5" style="64"/>
    <col min="2820" max="2820" width="4.5" style="64" customWidth="1"/>
    <col min="2821" max="2821" width="11.5" style="64"/>
    <col min="2822" max="2822" width="4.5" style="64" customWidth="1"/>
    <col min="2823" max="3071" width="11.5" style="64"/>
    <col min="3072" max="3072" width="18" style="64" customWidth="1"/>
    <col min="3073" max="3074" width="32.5" style="64" customWidth="1"/>
    <col min="3075" max="3075" width="11.5" style="64"/>
    <col min="3076" max="3076" width="4.5" style="64" customWidth="1"/>
    <col min="3077" max="3077" width="11.5" style="64"/>
    <col min="3078" max="3078" width="4.5" style="64" customWidth="1"/>
    <col min="3079" max="3327" width="11.5" style="64"/>
    <col min="3328" max="3328" width="18" style="64" customWidth="1"/>
    <col min="3329" max="3330" width="32.5" style="64" customWidth="1"/>
    <col min="3331" max="3331" width="11.5" style="64"/>
    <col min="3332" max="3332" width="4.5" style="64" customWidth="1"/>
    <col min="3333" max="3333" width="11.5" style="64"/>
    <col min="3334" max="3334" width="4.5" style="64" customWidth="1"/>
    <col min="3335" max="3583" width="11.5" style="64"/>
    <col min="3584" max="3584" width="18" style="64" customWidth="1"/>
    <col min="3585" max="3586" width="32.5" style="64" customWidth="1"/>
    <col min="3587" max="3587" width="11.5" style="64"/>
    <col min="3588" max="3588" width="4.5" style="64" customWidth="1"/>
    <col min="3589" max="3589" width="11.5" style="64"/>
    <col min="3590" max="3590" width="4.5" style="64" customWidth="1"/>
    <col min="3591" max="3839" width="11.5" style="64"/>
    <col min="3840" max="3840" width="18" style="64" customWidth="1"/>
    <col min="3841" max="3842" width="32.5" style="64" customWidth="1"/>
    <col min="3843" max="3843" width="11.5" style="64"/>
    <col min="3844" max="3844" width="4.5" style="64" customWidth="1"/>
    <col min="3845" max="3845" width="11.5" style="64"/>
    <col min="3846" max="3846" width="4.5" style="64" customWidth="1"/>
    <col min="3847" max="4095" width="11.5" style="64"/>
    <col min="4096" max="4096" width="18" style="64" customWidth="1"/>
    <col min="4097" max="4098" width="32.5" style="64" customWidth="1"/>
    <col min="4099" max="4099" width="11.5" style="64"/>
    <col min="4100" max="4100" width="4.5" style="64" customWidth="1"/>
    <col min="4101" max="4101" width="11.5" style="64"/>
    <col min="4102" max="4102" width="4.5" style="64" customWidth="1"/>
    <col min="4103" max="4351" width="11.5" style="64"/>
    <col min="4352" max="4352" width="18" style="64" customWidth="1"/>
    <col min="4353" max="4354" width="32.5" style="64" customWidth="1"/>
    <col min="4355" max="4355" width="11.5" style="64"/>
    <col min="4356" max="4356" width="4.5" style="64" customWidth="1"/>
    <col min="4357" max="4357" width="11.5" style="64"/>
    <col min="4358" max="4358" width="4.5" style="64" customWidth="1"/>
    <col min="4359" max="4607" width="11.5" style="64"/>
    <col min="4608" max="4608" width="18" style="64" customWidth="1"/>
    <col min="4609" max="4610" width="32.5" style="64" customWidth="1"/>
    <col min="4611" max="4611" width="11.5" style="64"/>
    <col min="4612" max="4612" width="4.5" style="64" customWidth="1"/>
    <col min="4613" max="4613" width="11.5" style="64"/>
    <col min="4614" max="4614" width="4.5" style="64" customWidth="1"/>
    <col min="4615" max="4863" width="11.5" style="64"/>
    <col min="4864" max="4864" width="18" style="64" customWidth="1"/>
    <col min="4865" max="4866" width="32.5" style="64" customWidth="1"/>
    <col min="4867" max="4867" width="11.5" style="64"/>
    <col min="4868" max="4868" width="4.5" style="64" customWidth="1"/>
    <col min="4869" max="4869" width="11.5" style="64"/>
    <col min="4870" max="4870" width="4.5" style="64" customWidth="1"/>
    <col min="4871" max="5119" width="11.5" style="64"/>
    <col min="5120" max="5120" width="18" style="64" customWidth="1"/>
    <col min="5121" max="5122" width="32.5" style="64" customWidth="1"/>
    <col min="5123" max="5123" width="11.5" style="64"/>
    <col min="5124" max="5124" width="4.5" style="64" customWidth="1"/>
    <col min="5125" max="5125" width="11.5" style="64"/>
    <col min="5126" max="5126" width="4.5" style="64" customWidth="1"/>
    <col min="5127" max="5375" width="11.5" style="64"/>
    <col min="5376" max="5376" width="18" style="64" customWidth="1"/>
    <col min="5377" max="5378" width="32.5" style="64" customWidth="1"/>
    <col min="5379" max="5379" width="11.5" style="64"/>
    <col min="5380" max="5380" width="4.5" style="64" customWidth="1"/>
    <col min="5381" max="5381" width="11.5" style="64"/>
    <col min="5382" max="5382" width="4.5" style="64" customWidth="1"/>
    <col min="5383" max="5631" width="11.5" style="64"/>
    <col min="5632" max="5632" width="18" style="64" customWidth="1"/>
    <col min="5633" max="5634" width="32.5" style="64" customWidth="1"/>
    <col min="5635" max="5635" width="11.5" style="64"/>
    <col min="5636" max="5636" width="4.5" style="64" customWidth="1"/>
    <col min="5637" max="5637" width="11.5" style="64"/>
    <col min="5638" max="5638" width="4.5" style="64" customWidth="1"/>
    <col min="5639" max="5887" width="11.5" style="64"/>
    <col min="5888" max="5888" width="18" style="64" customWidth="1"/>
    <col min="5889" max="5890" width="32.5" style="64" customWidth="1"/>
    <col min="5891" max="5891" width="11.5" style="64"/>
    <col min="5892" max="5892" width="4.5" style="64" customWidth="1"/>
    <col min="5893" max="5893" width="11.5" style="64"/>
    <col min="5894" max="5894" width="4.5" style="64" customWidth="1"/>
    <col min="5895" max="6143" width="11.5" style="64"/>
    <col min="6144" max="6144" width="18" style="64" customWidth="1"/>
    <col min="6145" max="6146" width="32.5" style="64" customWidth="1"/>
    <col min="6147" max="6147" width="11.5" style="64"/>
    <col min="6148" max="6148" width="4.5" style="64" customWidth="1"/>
    <col min="6149" max="6149" width="11.5" style="64"/>
    <col min="6150" max="6150" width="4.5" style="64" customWidth="1"/>
    <col min="6151" max="6399" width="11.5" style="64"/>
    <col min="6400" max="6400" width="18" style="64" customWidth="1"/>
    <col min="6401" max="6402" width="32.5" style="64" customWidth="1"/>
    <col min="6403" max="6403" width="11.5" style="64"/>
    <col min="6404" max="6404" width="4.5" style="64" customWidth="1"/>
    <col min="6405" max="6405" width="11.5" style="64"/>
    <col min="6406" max="6406" width="4.5" style="64" customWidth="1"/>
    <col min="6407" max="6655" width="11.5" style="64"/>
    <col min="6656" max="6656" width="18" style="64" customWidth="1"/>
    <col min="6657" max="6658" width="32.5" style="64" customWidth="1"/>
    <col min="6659" max="6659" width="11.5" style="64"/>
    <col min="6660" max="6660" width="4.5" style="64" customWidth="1"/>
    <col min="6661" max="6661" width="11.5" style="64"/>
    <col min="6662" max="6662" width="4.5" style="64" customWidth="1"/>
    <col min="6663" max="6911" width="11.5" style="64"/>
    <col min="6912" max="6912" width="18" style="64" customWidth="1"/>
    <col min="6913" max="6914" width="32.5" style="64" customWidth="1"/>
    <col min="6915" max="6915" width="11.5" style="64"/>
    <col min="6916" max="6916" width="4.5" style="64" customWidth="1"/>
    <col min="6917" max="6917" width="11.5" style="64"/>
    <col min="6918" max="6918" width="4.5" style="64" customWidth="1"/>
    <col min="6919" max="7167" width="11.5" style="64"/>
    <col min="7168" max="7168" width="18" style="64" customWidth="1"/>
    <col min="7169" max="7170" width="32.5" style="64" customWidth="1"/>
    <col min="7171" max="7171" width="11.5" style="64"/>
    <col min="7172" max="7172" width="4.5" style="64" customWidth="1"/>
    <col min="7173" max="7173" width="11.5" style="64"/>
    <col min="7174" max="7174" width="4.5" style="64" customWidth="1"/>
    <col min="7175" max="7423" width="11.5" style="64"/>
    <col min="7424" max="7424" width="18" style="64" customWidth="1"/>
    <col min="7425" max="7426" width="32.5" style="64" customWidth="1"/>
    <col min="7427" max="7427" width="11.5" style="64"/>
    <col min="7428" max="7428" width="4.5" style="64" customWidth="1"/>
    <col min="7429" max="7429" width="11.5" style="64"/>
    <col min="7430" max="7430" width="4.5" style="64" customWidth="1"/>
    <col min="7431" max="7679" width="11.5" style="64"/>
    <col min="7680" max="7680" width="18" style="64" customWidth="1"/>
    <col min="7681" max="7682" width="32.5" style="64" customWidth="1"/>
    <col min="7683" max="7683" width="11.5" style="64"/>
    <col min="7684" max="7684" width="4.5" style="64" customWidth="1"/>
    <col min="7685" max="7685" width="11.5" style="64"/>
    <col min="7686" max="7686" width="4.5" style="64" customWidth="1"/>
    <col min="7687" max="7935" width="11.5" style="64"/>
    <col min="7936" max="7936" width="18" style="64" customWidth="1"/>
    <col min="7937" max="7938" width="32.5" style="64" customWidth="1"/>
    <col min="7939" max="7939" width="11.5" style="64"/>
    <col min="7940" max="7940" width="4.5" style="64" customWidth="1"/>
    <col min="7941" max="7941" width="11.5" style="64"/>
    <col min="7942" max="7942" width="4.5" style="64" customWidth="1"/>
    <col min="7943" max="8191" width="11.5" style="64"/>
    <col min="8192" max="8192" width="18" style="64" customWidth="1"/>
    <col min="8193" max="8194" width="32.5" style="64" customWidth="1"/>
    <col min="8195" max="8195" width="11.5" style="64"/>
    <col min="8196" max="8196" width="4.5" style="64" customWidth="1"/>
    <col min="8197" max="8197" width="11.5" style="64"/>
    <col min="8198" max="8198" width="4.5" style="64" customWidth="1"/>
    <col min="8199" max="8447" width="11.5" style="64"/>
    <col min="8448" max="8448" width="18" style="64" customWidth="1"/>
    <col min="8449" max="8450" width="32.5" style="64" customWidth="1"/>
    <col min="8451" max="8451" width="11.5" style="64"/>
    <col min="8452" max="8452" width="4.5" style="64" customWidth="1"/>
    <col min="8453" max="8453" width="11.5" style="64"/>
    <col min="8454" max="8454" width="4.5" style="64" customWidth="1"/>
    <col min="8455" max="8703" width="11.5" style="64"/>
    <col min="8704" max="8704" width="18" style="64" customWidth="1"/>
    <col min="8705" max="8706" width="32.5" style="64" customWidth="1"/>
    <col min="8707" max="8707" width="11.5" style="64"/>
    <col min="8708" max="8708" width="4.5" style="64" customWidth="1"/>
    <col min="8709" max="8709" width="11.5" style="64"/>
    <col min="8710" max="8710" width="4.5" style="64" customWidth="1"/>
    <col min="8711" max="8959" width="11.5" style="64"/>
    <col min="8960" max="8960" width="18" style="64" customWidth="1"/>
    <col min="8961" max="8962" width="32.5" style="64" customWidth="1"/>
    <col min="8963" max="8963" width="11.5" style="64"/>
    <col min="8964" max="8964" width="4.5" style="64" customWidth="1"/>
    <col min="8965" max="8965" width="11.5" style="64"/>
    <col min="8966" max="8966" width="4.5" style="64" customWidth="1"/>
    <col min="8967" max="9215" width="11.5" style="64"/>
    <col min="9216" max="9216" width="18" style="64" customWidth="1"/>
    <col min="9217" max="9218" width="32.5" style="64" customWidth="1"/>
    <col min="9219" max="9219" width="11.5" style="64"/>
    <col min="9220" max="9220" width="4.5" style="64" customWidth="1"/>
    <col min="9221" max="9221" width="11.5" style="64"/>
    <col min="9222" max="9222" width="4.5" style="64" customWidth="1"/>
    <col min="9223" max="9471" width="11.5" style="64"/>
    <col min="9472" max="9472" width="18" style="64" customWidth="1"/>
    <col min="9473" max="9474" width="32.5" style="64" customWidth="1"/>
    <col min="9475" max="9475" width="11.5" style="64"/>
    <col min="9476" max="9476" width="4.5" style="64" customWidth="1"/>
    <col min="9477" max="9477" width="11.5" style="64"/>
    <col min="9478" max="9478" width="4.5" style="64" customWidth="1"/>
    <col min="9479" max="9727" width="11.5" style="64"/>
    <col min="9728" max="9728" width="18" style="64" customWidth="1"/>
    <col min="9729" max="9730" width="32.5" style="64" customWidth="1"/>
    <col min="9731" max="9731" width="11.5" style="64"/>
    <col min="9732" max="9732" width="4.5" style="64" customWidth="1"/>
    <col min="9733" max="9733" width="11.5" style="64"/>
    <col min="9734" max="9734" width="4.5" style="64" customWidth="1"/>
    <col min="9735" max="9983" width="11.5" style="64"/>
    <col min="9984" max="9984" width="18" style="64" customWidth="1"/>
    <col min="9985" max="9986" width="32.5" style="64" customWidth="1"/>
    <col min="9987" max="9987" width="11.5" style="64"/>
    <col min="9988" max="9988" width="4.5" style="64" customWidth="1"/>
    <col min="9989" max="9989" width="11.5" style="64"/>
    <col min="9990" max="9990" width="4.5" style="64" customWidth="1"/>
    <col min="9991" max="10239" width="11.5" style="64"/>
    <col min="10240" max="10240" width="18" style="64" customWidth="1"/>
    <col min="10241" max="10242" width="32.5" style="64" customWidth="1"/>
    <col min="10243" max="10243" width="11.5" style="64"/>
    <col min="10244" max="10244" width="4.5" style="64" customWidth="1"/>
    <col min="10245" max="10245" width="11.5" style="64"/>
    <col min="10246" max="10246" width="4.5" style="64" customWidth="1"/>
    <col min="10247" max="10495" width="11.5" style="64"/>
    <col min="10496" max="10496" width="18" style="64" customWidth="1"/>
    <col min="10497" max="10498" width="32.5" style="64" customWidth="1"/>
    <col min="10499" max="10499" width="11.5" style="64"/>
    <col min="10500" max="10500" width="4.5" style="64" customWidth="1"/>
    <col min="10501" max="10501" width="11.5" style="64"/>
    <col min="10502" max="10502" width="4.5" style="64" customWidth="1"/>
    <col min="10503" max="10751" width="11.5" style="64"/>
    <col min="10752" max="10752" width="18" style="64" customWidth="1"/>
    <col min="10753" max="10754" width="32.5" style="64" customWidth="1"/>
    <col min="10755" max="10755" width="11.5" style="64"/>
    <col min="10756" max="10756" width="4.5" style="64" customWidth="1"/>
    <col min="10757" max="10757" width="11.5" style="64"/>
    <col min="10758" max="10758" width="4.5" style="64" customWidth="1"/>
    <col min="10759" max="11007" width="11.5" style="64"/>
    <col min="11008" max="11008" width="18" style="64" customWidth="1"/>
    <col min="11009" max="11010" width="32.5" style="64" customWidth="1"/>
    <col min="11011" max="11011" width="11.5" style="64"/>
    <col min="11012" max="11012" width="4.5" style="64" customWidth="1"/>
    <col min="11013" max="11013" width="11.5" style="64"/>
    <col min="11014" max="11014" width="4.5" style="64" customWidth="1"/>
    <col min="11015" max="11263" width="11.5" style="64"/>
    <col min="11264" max="11264" width="18" style="64" customWidth="1"/>
    <col min="11265" max="11266" width="32.5" style="64" customWidth="1"/>
    <col min="11267" max="11267" width="11.5" style="64"/>
    <col min="11268" max="11268" width="4.5" style="64" customWidth="1"/>
    <col min="11269" max="11269" width="11.5" style="64"/>
    <col min="11270" max="11270" width="4.5" style="64" customWidth="1"/>
    <col min="11271" max="11519" width="11.5" style="64"/>
    <col min="11520" max="11520" width="18" style="64" customWidth="1"/>
    <col min="11521" max="11522" width="32.5" style="64" customWidth="1"/>
    <col min="11523" max="11523" width="11.5" style="64"/>
    <col min="11524" max="11524" width="4.5" style="64" customWidth="1"/>
    <col min="11525" max="11525" width="11.5" style="64"/>
    <col min="11526" max="11526" width="4.5" style="64" customWidth="1"/>
    <col min="11527" max="11775" width="11.5" style="64"/>
    <col min="11776" max="11776" width="18" style="64" customWidth="1"/>
    <col min="11777" max="11778" width="32.5" style="64" customWidth="1"/>
    <col min="11779" max="11779" width="11.5" style="64"/>
    <col min="11780" max="11780" width="4.5" style="64" customWidth="1"/>
    <col min="11781" max="11781" width="11.5" style="64"/>
    <col min="11782" max="11782" width="4.5" style="64" customWidth="1"/>
    <col min="11783" max="12031" width="11.5" style="64"/>
    <col min="12032" max="12032" width="18" style="64" customWidth="1"/>
    <col min="12033" max="12034" width="32.5" style="64" customWidth="1"/>
    <col min="12035" max="12035" width="11.5" style="64"/>
    <col min="12036" max="12036" width="4.5" style="64" customWidth="1"/>
    <col min="12037" max="12037" width="11.5" style="64"/>
    <col min="12038" max="12038" width="4.5" style="64" customWidth="1"/>
    <col min="12039" max="12287" width="11.5" style="64"/>
    <col min="12288" max="12288" width="18" style="64" customWidth="1"/>
    <col min="12289" max="12290" width="32.5" style="64" customWidth="1"/>
    <col min="12291" max="12291" width="11.5" style="64"/>
    <col min="12292" max="12292" width="4.5" style="64" customWidth="1"/>
    <col min="12293" max="12293" width="11.5" style="64"/>
    <col min="12294" max="12294" width="4.5" style="64" customWidth="1"/>
    <col min="12295" max="12543" width="11.5" style="64"/>
    <col min="12544" max="12544" width="18" style="64" customWidth="1"/>
    <col min="12545" max="12546" width="32.5" style="64" customWidth="1"/>
    <col min="12547" max="12547" width="11.5" style="64"/>
    <col min="12548" max="12548" width="4.5" style="64" customWidth="1"/>
    <col min="12549" max="12549" width="11.5" style="64"/>
    <col min="12550" max="12550" width="4.5" style="64" customWidth="1"/>
    <col min="12551" max="12799" width="11.5" style="64"/>
    <col min="12800" max="12800" width="18" style="64" customWidth="1"/>
    <col min="12801" max="12802" width="32.5" style="64" customWidth="1"/>
    <col min="12803" max="12803" width="11.5" style="64"/>
    <col min="12804" max="12804" width="4.5" style="64" customWidth="1"/>
    <col min="12805" max="12805" width="11.5" style="64"/>
    <col min="12806" max="12806" width="4.5" style="64" customWidth="1"/>
    <col min="12807" max="13055" width="11.5" style="64"/>
    <col min="13056" max="13056" width="18" style="64" customWidth="1"/>
    <col min="13057" max="13058" width="32.5" style="64" customWidth="1"/>
    <col min="13059" max="13059" width="11.5" style="64"/>
    <col min="13060" max="13060" width="4.5" style="64" customWidth="1"/>
    <col min="13061" max="13061" width="11.5" style="64"/>
    <col min="13062" max="13062" width="4.5" style="64" customWidth="1"/>
    <col min="13063" max="13311" width="11.5" style="64"/>
    <col min="13312" max="13312" width="18" style="64" customWidth="1"/>
    <col min="13313" max="13314" width="32.5" style="64" customWidth="1"/>
    <col min="13315" max="13315" width="11.5" style="64"/>
    <col min="13316" max="13316" width="4.5" style="64" customWidth="1"/>
    <col min="13317" max="13317" width="11.5" style="64"/>
    <col min="13318" max="13318" width="4.5" style="64" customWidth="1"/>
    <col min="13319" max="13567" width="11.5" style="64"/>
    <col min="13568" max="13568" width="18" style="64" customWidth="1"/>
    <col min="13569" max="13570" width="32.5" style="64" customWidth="1"/>
    <col min="13571" max="13571" width="11.5" style="64"/>
    <col min="13572" max="13572" width="4.5" style="64" customWidth="1"/>
    <col min="13573" max="13573" width="11.5" style="64"/>
    <col min="13574" max="13574" width="4.5" style="64" customWidth="1"/>
    <col min="13575" max="13823" width="11.5" style="64"/>
    <col min="13824" max="13824" width="18" style="64" customWidth="1"/>
    <col min="13825" max="13826" width="32.5" style="64" customWidth="1"/>
    <col min="13827" max="13827" width="11.5" style="64"/>
    <col min="13828" max="13828" width="4.5" style="64" customWidth="1"/>
    <col min="13829" max="13829" width="11.5" style="64"/>
    <col min="13830" max="13830" width="4.5" style="64" customWidth="1"/>
    <col min="13831" max="14079" width="11.5" style="64"/>
    <col min="14080" max="14080" width="18" style="64" customWidth="1"/>
    <col min="14081" max="14082" width="32.5" style="64" customWidth="1"/>
    <col min="14083" max="14083" width="11.5" style="64"/>
    <col min="14084" max="14084" width="4.5" style="64" customWidth="1"/>
    <col min="14085" max="14085" width="11.5" style="64"/>
    <col min="14086" max="14086" width="4.5" style="64" customWidth="1"/>
    <col min="14087" max="14335" width="11.5" style="64"/>
    <col min="14336" max="14336" width="18" style="64" customWidth="1"/>
    <col min="14337" max="14338" width="32.5" style="64" customWidth="1"/>
    <col min="14339" max="14339" width="11.5" style="64"/>
    <col min="14340" max="14340" width="4.5" style="64" customWidth="1"/>
    <col min="14341" max="14341" width="11.5" style="64"/>
    <col min="14342" max="14342" width="4.5" style="64" customWidth="1"/>
    <col min="14343" max="14591" width="11.5" style="64"/>
    <col min="14592" max="14592" width="18" style="64" customWidth="1"/>
    <col min="14593" max="14594" width="32.5" style="64" customWidth="1"/>
    <col min="14595" max="14595" width="11.5" style="64"/>
    <col min="14596" max="14596" width="4.5" style="64" customWidth="1"/>
    <col min="14597" max="14597" width="11.5" style="64"/>
    <col min="14598" max="14598" width="4.5" style="64" customWidth="1"/>
    <col min="14599" max="14847" width="11.5" style="64"/>
    <col min="14848" max="14848" width="18" style="64" customWidth="1"/>
    <col min="14849" max="14850" width="32.5" style="64" customWidth="1"/>
    <col min="14851" max="14851" width="11.5" style="64"/>
    <col min="14852" max="14852" width="4.5" style="64" customWidth="1"/>
    <col min="14853" max="14853" width="11.5" style="64"/>
    <col min="14854" max="14854" width="4.5" style="64" customWidth="1"/>
    <col min="14855" max="15103" width="11.5" style="64"/>
    <col min="15104" max="15104" width="18" style="64" customWidth="1"/>
    <col min="15105" max="15106" width="32.5" style="64" customWidth="1"/>
    <col min="15107" max="15107" width="11.5" style="64"/>
    <col min="15108" max="15108" width="4.5" style="64" customWidth="1"/>
    <col min="15109" max="15109" width="11.5" style="64"/>
    <col min="15110" max="15110" width="4.5" style="64" customWidth="1"/>
    <col min="15111" max="15359" width="11.5" style="64"/>
    <col min="15360" max="15360" width="18" style="64" customWidth="1"/>
    <col min="15361" max="15362" width="32.5" style="64" customWidth="1"/>
    <col min="15363" max="15363" width="11.5" style="64"/>
    <col min="15364" max="15364" width="4.5" style="64" customWidth="1"/>
    <col min="15365" max="15365" width="11.5" style="64"/>
    <col min="15366" max="15366" width="4.5" style="64" customWidth="1"/>
    <col min="15367" max="15615" width="11.5" style="64"/>
    <col min="15616" max="15616" width="18" style="64" customWidth="1"/>
    <col min="15617" max="15618" width="32.5" style="64" customWidth="1"/>
    <col min="15619" max="15619" width="11.5" style="64"/>
    <col min="15620" max="15620" width="4.5" style="64" customWidth="1"/>
    <col min="15621" max="15621" width="11.5" style="64"/>
    <col min="15622" max="15622" width="4.5" style="64" customWidth="1"/>
    <col min="15623" max="15871" width="11.5" style="64"/>
    <col min="15872" max="15872" width="18" style="64" customWidth="1"/>
    <col min="15873" max="15874" width="32.5" style="64" customWidth="1"/>
    <col min="15875" max="15875" width="11.5" style="64"/>
    <col min="15876" max="15876" width="4.5" style="64" customWidth="1"/>
    <col min="15877" max="15877" width="11.5" style="64"/>
    <col min="15878" max="15878" width="4.5" style="64" customWidth="1"/>
    <col min="15879" max="16127" width="11.5" style="64"/>
    <col min="16128" max="16128" width="18" style="64" customWidth="1"/>
    <col min="16129" max="16130" width="32.5" style="64" customWidth="1"/>
    <col min="16131" max="16131" width="11.5" style="64"/>
    <col min="16132" max="16132" width="4.5" style="64" customWidth="1"/>
    <col min="16133" max="16133" width="11.5" style="64"/>
    <col min="16134" max="16134" width="4.5" style="64" customWidth="1"/>
    <col min="16135" max="16384" width="11.5" style="64"/>
  </cols>
  <sheetData>
    <row r="1" spans="1:12">
      <c r="B1" s="160"/>
      <c r="C1" s="160"/>
      <c r="D1" s="160"/>
    </row>
    <row r="2" spans="1:12" ht="17" thickBot="1">
      <c r="B2" s="166">
        <f>COV!E6</f>
        <v>0</v>
      </c>
      <c r="C2" s="165">
        <f>COV!E7</f>
        <v>0</v>
      </c>
      <c r="D2" s="164"/>
      <c r="E2" s="2236" t="s">
        <v>662</v>
      </c>
      <c r="F2" s="2236"/>
      <c r="G2" s="2236"/>
      <c r="I2" s="156"/>
      <c r="J2" s="156"/>
      <c r="K2" s="156"/>
      <c r="L2" s="1745" t="str">
        <f>COV!$L$26</f>
        <v>PM ZERT</v>
      </c>
    </row>
    <row r="3" spans="1:12">
      <c r="B3" s="160" t="str">
        <f>Dictionary!B1133</f>
        <v>Name</v>
      </c>
      <c r="C3" s="160" t="str">
        <f>Dictionary!B1134</f>
        <v>Vorname</v>
      </c>
      <c r="D3" s="160"/>
      <c r="E3" s="88"/>
      <c r="F3" s="163" t="s">
        <v>661</v>
      </c>
      <c r="G3" s="162" t="s">
        <v>660</v>
      </c>
      <c r="L3" s="1746" t="str">
        <f>COV!$D$94</f>
        <v/>
      </c>
    </row>
    <row r="4" spans="1:12" ht="15">
      <c r="B4" s="160"/>
      <c r="C4" s="160"/>
      <c r="D4" s="160"/>
      <c r="E4" s="161" t="str">
        <f>Dictionary!B1135</f>
        <v>Kand. Angabe (Std.)</v>
      </c>
      <c r="F4" s="161" t="str">
        <f>Dictionary!B1136</f>
        <v>Evaluierungs Ergebnis (Std.)</v>
      </c>
      <c r="G4" s="161" t="str">
        <f>Dictionary!B1136</f>
        <v>Evaluierungs Ergebnis (Std.)</v>
      </c>
    </row>
    <row r="5" spans="1:12">
      <c r="B5" s="160"/>
      <c r="C5" s="160"/>
      <c r="D5" s="160"/>
      <c r="E5" s="159">
        <f>SUM(D25:D34)+SUM(D38:D47)+SUM(D12:D21)+SUM(D51:D60)</f>
        <v>0</v>
      </c>
      <c r="F5" s="158">
        <f>SUM(I25:I34)+SUM(I38:I47)+SUM(I12:I21)+SUM(I51:I60)</f>
        <v>0</v>
      </c>
      <c r="G5" s="158">
        <f>SUM(K25:K34)+SUM(K38:K47)+SUM(K12:K21)+SUM(K51:K60)</f>
        <v>0</v>
      </c>
    </row>
    <row r="6" spans="1:12">
      <c r="B6" s="157" t="str">
        <f>Dictionary!B1183</f>
        <v>(2)  Lehren und Mentor sein</v>
      </c>
    </row>
    <row r="7" spans="1:12">
      <c r="I7" s="2243" t="str">
        <f>Dictionary!B1136</f>
        <v>Evaluierungs Ergebnis (Std.)</v>
      </c>
      <c r="J7" s="2243"/>
      <c r="K7" s="2243"/>
      <c r="L7" s="2243"/>
    </row>
    <row r="8" spans="1:12" s="156" customFormat="1">
      <c r="I8" s="2235" t="s">
        <v>288</v>
      </c>
      <c r="J8" s="2235"/>
      <c r="K8" s="2235" t="s">
        <v>656</v>
      </c>
      <c r="L8" s="2235"/>
    </row>
    <row r="9" spans="1:12">
      <c r="B9" s="155"/>
      <c r="C9" s="155"/>
    </row>
    <row r="10" spans="1:12">
      <c r="B10" s="2241" t="str">
        <f>RCT!C9</f>
        <v>Präsentieren (intern und extern)</v>
      </c>
      <c r="C10" s="2242"/>
      <c r="D10" s="2242"/>
      <c r="E10" s="2242"/>
      <c r="F10" s="2242"/>
      <c r="G10" s="2242"/>
      <c r="H10" s="2240"/>
    </row>
    <row r="11" spans="1:12" ht="15.75" customHeight="1">
      <c r="B11" s="1530" t="str">
        <f>RCT!C10</f>
        <v>Veranstaltung / Titel der Präsentation</v>
      </c>
      <c r="C11" s="1530" t="str">
        <f>RCT!D10</f>
        <v>Zielgruppe</v>
      </c>
      <c r="D11" s="1530" t="str">
        <f>Dictionary!B1178</f>
        <v>Dauer (Std.)</v>
      </c>
      <c r="E11" s="1530" t="str">
        <f>Dictionary!B1179</f>
        <v>Datum</v>
      </c>
      <c r="F11" s="1530" t="str">
        <f>Dictionary!B1180</f>
        <v>Referenzierte ICB Elemente</v>
      </c>
      <c r="G11" s="1530" t="str">
        <f>RCT!K10</f>
        <v>Präsentationsdokument</v>
      </c>
      <c r="I11" s="2"/>
      <c r="J11" s="2"/>
      <c r="K11" s="2"/>
      <c r="L11" s="2"/>
    </row>
    <row r="12" spans="1:12" ht="17">
      <c r="A12" s="64">
        <v>1</v>
      </c>
      <c r="B12" s="1531" t="str">
        <f>IF(RCT!C11="","",RCT!C11)</f>
        <v/>
      </c>
      <c r="C12" s="1532" t="str">
        <f>IF(RCT!D11="","",RCT!D11)</f>
        <v/>
      </c>
      <c r="D12" s="1533" t="str">
        <f>IF(RCT!L11="","",IF(ISNUMBER(RCT!L11),RCT!L11,0))</f>
        <v/>
      </c>
      <c r="E12" s="1534" t="str">
        <f>IF(RCT!F11="","",IF(RCT!F11=RCT!G11,DAY(RCT!F11)&amp;"."&amp;MONTH(RCT!F11)&amp;"."&amp;YEAR(RCT!F11),DAY(RCT!F11)&amp;"."&amp;MONTH(RCT!F11)&amp;"."&amp;YEAR(RCT!F11)&amp;" - "&amp;DAY(RCT!G11)&amp;"."&amp;MONTH(RCT!G11)&amp;"."&amp;YEAR(RCT!G11)))</f>
        <v/>
      </c>
      <c r="F12" s="1532" t="str">
        <f>IF(RCT!I11="","",RCT!I11)&amp;IF(RCT!J11="","","; "&amp;RCT!J11)</f>
        <v/>
      </c>
      <c r="G12" s="1546">
        <f>RCT!K11</f>
        <v>0</v>
      </c>
      <c r="I12" s="772">
        <f t="shared" ref="I12:I21" si="0">IF(J12&lt;&gt;"",D12,0)</f>
        <v>0</v>
      </c>
      <c r="J12" s="794"/>
      <c r="K12" s="761">
        <f t="shared" ref="K12:K21" si="1">IF(L12&lt;&gt;"",D12,0)</f>
        <v>0</v>
      </c>
      <c r="L12" s="797"/>
    </row>
    <row r="13" spans="1:12" ht="17">
      <c r="A13" s="64">
        <v>2</v>
      </c>
      <c r="B13" s="1536" t="str">
        <f>IF(RCT!C12="","",RCT!C12)</f>
        <v/>
      </c>
      <c r="C13" s="769" t="str">
        <f>IF(RCT!D12="","",RCT!D12)</f>
        <v/>
      </c>
      <c r="D13" s="770" t="str">
        <f>IF(RCT!L12="","",IF(ISNUMBER(RCT!L12),RCT!L12,0))</f>
        <v/>
      </c>
      <c r="E13" s="771" t="str">
        <f>IF(RCT!F12="","",IF(RCT!F12=RCT!G12,DAY(RCT!F12)&amp;"."&amp;MONTH(RCT!F12)&amp;"."&amp;YEAR(RCT!F12),DAY(RCT!F12)&amp;"."&amp;MONTH(RCT!F12)&amp;"."&amp;YEAR(RCT!F12)&amp;" - "&amp;DAY(RCT!G12)&amp;"."&amp;MONTH(RCT!G12)&amp;"."&amp;YEAR(RCT!G12)))</f>
        <v/>
      </c>
      <c r="F13" s="769" t="str">
        <f>IF(RCT!I12="","",RCT!I12)&amp;IF(RCT!J12="","","; "&amp;RCT!J12)</f>
        <v/>
      </c>
      <c r="G13" s="1547">
        <f>RCT!K12</f>
        <v>0</v>
      </c>
      <c r="I13" s="773">
        <f t="shared" si="0"/>
        <v>0</v>
      </c>
      <c r="J13" s="795"/>
      <c r="K13" s="762">
        <f t="shared" si="1"/>
        <v>0</v>
      </c>
      <c r="L13" s="798"/>
    </row>
    <row r="14" spans="1:12" ht="17">
      <c r="A14" s="64">
        <v>3</v>
      </c>
      <c r="B14" s="1536" t="str">
        <f>IF(RCT!C13="","",RCT!C13)</f>
        <v/>
      </c>
      <c r="C14" s="769" t="str">
        <f>IF(RCT!D13="","",RCT!D13)</f>
        <v/>
      </c>
      <c r="D14" s="770" t="str">
        <f>IF(RCT!L13="","",IF(ISNUMBER(RCT!L13),RCT!L13,0))</f>
        <v/>
      </c>
      <c r="E14" s="771" t="str">
        <f>IF(RCT!F13="","",IF(RCT!F13=RCT!G13,DAY(RCT!F13)&amp;"."&amp;MONTH(RCT!F13)&amp;"."&amp;YEAR(RCT!F13),DAY(RCT!F13)&amp;"."&amp;MONTH(RCT!F13)&amp;"."&amp;YEAR(RCT!F13)&amp;" - "&amp;DAY(RCT!G13)&amp;"."&amp;MONTH(RCT!G13)&amp;"."&amp;YEAR(RCT!G13)))</f>
        <v/>
      </c>
      <c r="F14" s="769" t="str">
        <f>IF(RCT!I13="","",RCT!I13)&amp;IF(RCT!J13="","","; "&amp;RCT!J13)</f>
        <v/>
      </c>
      <c r="G14" s="1547">
        <f>RCT!K13</f>
        <v>0</v>
      </c>
      <c r="I14" s="773">
        <f t="shared" si="0"/>
        <v>0</v>
      </c>
      <c r="J14" s="795"/>
      <c r="K14" s="762">
        <f t="shared" si="1"/>
        <v>0</v>
      </c>
      <c r="L14" s="798"/>
    </row>
    <row r="15" spans="1:12" ht="17">
      <c r="A15" s="64">
        <v>4</v>
      </c>
      <c r="B15" s="1536" t="str">
        <f>IF(RCT!C14="","",RCT!C14)</f>
        <v/>
      </c>
      <c r="C15" s="769" t="str">
        <f>IF(RCT!D14="","",RCT!D14)</f>
        <v/>
      </c>
      <c r="D15" s="770" t="str">
        <f>IF(RCT!L14="","",IF(ISNUMBER(RCT!L14),RCT!L14,0))</f>
        <v/>
      </c>
      <c r="E15" s="771" t="str">
        <f>IF(RCT!F14="","",IF(RCT!F14=RCT!G14,DAY(RCT!F14)&amp;"."&amp;MONTH(RCT!F14)&amp;"."&amp;YEAR(RCT!F14),DAY(RCT!F14)&amp;"."&amp;MONTH(RCT!F14)&amp;"."&amp;YEAR(RCT!F14)&amp;" - "&amp;DAY(RCT!G14)&amp;"."&amp;MONTH(RCT!G14)&amp;"."&amp;YEAR(RCT!G14)))</f>
        <v/>
      </c>
      <c r="F15" s="769" t="str">
        <f>IF(RCT!I14="","",RCT!I14)&amp;IF(RCT!J14="","","; "&amp;RCT!J14)</f>
        <v/>
      </c>
      <c r="G15" s="1547">
        <f>RCT!K14</f>
        <v>0</v>
      </c>
      <c r="I15" s="773">
        <f t="shared" si="0"/>
        <v>0</v>
      </c>
      <c r="J15" s="795"/>
      <c r="K15" s="762">
        <f t="shared" si="1"/>
        <v>0</v>
      </c>
      <c r="L15" s="798"/>
    </row>
    <row r="16" spans="1:12" ht="17">
      <c r="A16" s="64">
        <v>5</v>
      </c>
      <c r="B16" s="1536" t="str">
        <f>IF(RCT!C15="","",RCT!C15)</f>
        <v/>
      </c>
      <c r="C16" s="769" t="str">
        <f>IF(RCT!D15="","",RCT!D15)</f>
        <v/>
      </c>
      <c r="D16" s="770" t="str">
        <f>IF(RCT!L15="","",IF(ISNUMBER(RCT!L15),RCT!L15,0))</f>
        <v/>
      </c>
      <c r="E16" s="771" t="str">
        <f>IF(RCT!F15="","",IF(RCT!F15=RCT!G15,DAY(RCT!F15)&amp;"."&amp;MONTH(RCT!F15)&amp;"."&amp;YEAR(RCT!F15),DAY(RCT!F15)&amp;"."&amp;MONTH(RCT!F15)&amp;"."&amp;YEAR(RCT!F15)&amp;" - "&amp;DAY(RCT!G15)&amp;"."&amp;MONTH(RCT!G15)&amp;"."&amp;YEAR(RCT!G15)))</f>
        <v/>
      </c>
      <c r="F16" s="769" t="str">
        <f>IF(RCT!I15="","",RCT!I15)&amp;IF(RCT!J15="","","; "&amp;RCT!J15)</f>
        <v/>
      </c>
      <c r="G16" s="1547">
        <f>RCT!K15</f>
        <v>0</v>
      </c>
      <c r="I16" s="773">
        <f t="shared" si="0"/>
        <v>0</v>
      </c>
      <c r="J16" s="795"/>
      <c r="K16" s="762">
        <f t="shared" si="1"/>
        <v>0</v>
      </c>
      <c r="L16" s="798"/>
    </row>
    <row r="17" spans="1:12" ht="17">
      <c r="A17" s="64">
        <v>6</v>
      </c>
      <c r="B17" s="1536" t="str">
        <f>IF(RCT!C16="","",RCT!C16)</f>
        <v/>
      </c>
      <c r="C17" s="769" t="str">
        <f>IF(RCT!D16="","",RCT!D16)</f>
        <v/>
      </c>
      <c r="D17" s="770" t="str">
        <f>IF(RCT!L16="","",IF(ISNUMBER(RCT!L16),RCT!L16,0))</f>
        <v/>
      </c>
      <c r="E17" s="771" t="str">
        <f>IF(RCT!F16="","",IF(RCT!F16=RCT!G16,DAY(RCT!F16)&amp;"."&amp;MONTH(RCT!F16)&amp;"."&amp;YEAR(RCT!F16),DAY(RCT!F16)&amp;"."&amp;MONTH(RCT!F16)&amp;"."&amp;YEAR(RCT!F16)&amp;" - "&amp;DAY(RCT!G16)&amp;"."&amp;MONTH(RCT!G16)&amp;"."&amp;YEAR(RCT!G16)))</f>
        <v/>
      </c>
      <c r="F17" s="769" t="str">
        <f>IF(RCT!I16="","",RCT!I16)&amp;IF(RCT!J16="","","; "&amp;RCT!J16)</f>
        <v/>
      </c>
      <c r="G17" s="1547">
        <f>RCT!K16</f>
        <v>0</v>
      </c>
      <c r="I17" s="773">
        <f t="shared" si="0"/>
        <v>0</v>
      </c>
      <c r="J17" s="795"/>
      <c r="K17" s="762">
        <f t="shared" si="1"/>
        <v>0</v>
      </c>
      <c r="L17" s="798"/>
    </row>
    <row r="18" spans="1:12" ht="17">
      <c r="A18" s="64">
        <v>7</v>
      </c>
      <c r="B18" s="1536" t="str">
        <f>IF(RCT!C17="","",RCT!C17)</f>
        <v/>
      </c>
      <c r="C18" s="769" t="str">
        <f>IF(RCT!D17="","",RCT!D17)</f>
        <v/>
      </c>
      <c r="D18" s="770" t="str">
        <f>IF(RCT!L17="","",IF(ISNUMBER(RCT!L17),RCT!L17,0))</f>
        <v/>
      </c>
      <c r="E18" s="771" t="str">
        <f>IF(RCT!F17="","",IF(RCT!F17=RCT!G17,DAY(RCT!F17)&amp;"."&amp;MONTH(RCT!F17)&amp;"."&amp;YEAR(RCT!F17),DAY(RCT!F17)&amp;"."&amp;MONTH(RCT!F17)&amp;"."&amp;YEAR(RCT!F17)&amp;" - "&amp;DAY(RCT!G17)&amp;"."&amp;MONTH(RCT!G17)&amp;"."&amp;YEAR(RCT!G17)))</f>
        <v/>
      </c>
      <c r="F18" s="769" t="str">
        <f>IF(RCT!I17="","",RCT!I17)&amp;IF(RCT!J17="","","; "&amp;RCT!J17)</f>
        <v/>
      </c>
      <c r="G18" s="1547">
        <f>RCT!K17</f>
        <v>0</v>
      </c>
      <c r="I18" s="773">
        <f t="shared" si="0"/>
        <v>0</v>
      </c>
      <c r="J18" s="795"/>
      <c r="K18" s="762">
        <f t="shared" si="1"/>
        <v>0</v>
      </c>
      <c r="L18" s="798"/>
    </row>
    <row r="19" spans="1:12" ht="17">
      <c r="A19" s="64">
        <v>8</v>
      </c>
      <c r="B19" s="1536" t="str">
        <f>IF(RCT!C18="","",RCT!C18)</f>
        <v/>
      </c>
      <c r="C19" s="769" t="str">
        <f>IF(RCT!D18="","",RCT!D18)</f>
        <v/>
      </c>
      <c r="D19" s="770" t="str">
        <f>IF(RCT!L18="","",IF(ISNUMBER(RCT!L18),RCT!L18,0))</f>
        <v/>
      </c>
      <c r="E19" s="771" t="str">
        <f>IF(RCT!F18="","",IF(RCT!F18=RCT!G18,DAY(RCT!F18)&amp;"."&amp;MONTH(RCT!F18)&amp;"."&amp;YEAR(RCT!F18),DAY(RCT!F18)&amp;"."&amp;MONTH(RCT!F18)&amp;"."&amp;YEAR(RCT!F18)&amp;" - "&amp;DAY(RCT!G18)&amp;"."&amp;MONTH(RCT!G18)&amp;"."&amp;YEAR(RCT!G18)))</f>
        <v/>
      </c>
      <c r="F19" s="769" t="str">
        <f>IF(RCT!I18="","",RCT!I18)&amp;IF(RCT!J18="","","; "&amp;RCT!J18)</f>
        <v/>
      </c>
      <c r="G19" s="1547">
        <f>RCT!K18</f>
        <v>0</v>
      </c>
      <c r="I19" s="773">
        <f t="shared" si="0"/>
        <v>0</v>
      </c>
      <c r="J19" s="795"/>
      <c r="K19" s="762">
        <f t="shared" si="1"/>
        <v>0</v>
      </c>
      <c r="L19" s="798"/>
    </row>
    <row r="20" spans="1:12" ht="17">
      <c r="A20" s="64">
        <v>9</v>
      </c>
      <c r="B20" s="1536" t="str">
        <f>IF(RCT!C19="","",RCT!C19)</f>
        <v/>
      </c>
      <c r="C20" s="769" t="str">
        <f>IF(RCT!D19="","",RCT!D19)</f>
        <v/>
      </c>
      <c r="D20" s="770" t="str">
        <f>IF(RCT!L19="","",IF(ISNUMBER(RCT!L19),RCT!L19,0))</f>
        <v/>
      </c>
      <c r="E20" s="771" t="str">
        <f>IF(RCT!F19="","",IF(RCT!F19=RCT!G19,DAY(RCT!F19)&amp;"."&amp;MONTH(RCT!F19)&amp;"."&amp;YEAR(RCT!F19),DAY(RCT!F19)&amp;"."&amp;MONTH(RCT!F19)&amp;"."&amp;YEAR(RCT!F19)&amp;" - "&amp;DAY(RCT!G19)&amp;"."&amp;MONTH(RCT!G19)&amp;"."&amp;YEAR(RCT!G19)))</f>
        <v/>
      </c>
      <c r="F20" s="769" t="str">
        <f>IF(RCT!I19="","",RCT!I19)&amp;IF(RCT!J19="","","; "&amp;RCT!J19)</f>
        <v/>
      </c>
      <c r="G20" s="1547">
        <f>RCT!K19</f>
        <v>0</v>
      </c>
      <c r="I20" s="773">
        <f t="shared" si="0"/>
        <v>0</v>
      </c>
      <c r="J20" s="795"/>
      <c r="K20" s="762">
        <f t="shared" si="1"/>
        <v>0</v>
      </c>
      <c r="L20" s="798"/>
    </row>
    <row r="21" spans="1:12" ht="17">
      <c r="A21" s="64">
        <v>10</v>
      </c>
      <c r="B21" s="1538" t="str">
        <f>IF(RCT!C20="","",RCT!C20)</f>
        <v/>
      </c>
      <c r="C21" s="1539" t="str">
        <f>IF(RCT!D20="","",RCT!D20)</f>
        <v/>
      </c>
      <c r="D21" s="1540" t="str">
        <f>IF(RCT!L20="","",IF(ISNUMBER(RCT!L20),RCT!L20,0))</f>
        <v/>
      </c>
      <c r="E21" s="1541" t="str">
        <f>IF(RCT!F20="","",IF(RCT!F20=RCT!G20,DAY(RCT!F20)&amp;"."&amp;MONTH(RCT!F20)&amp;"."&amp;YEAR(RCT!F20),DAY(RCT!F20)&amp;"."&amp;MONTH(RCT!F20)&amp;"."&amp;YEAR(RCT!F20)&amp;" - "&amp;DAY(RCT!G20)&amp;"."&amp;MONTH(RCT!G20)&amp;"."&amp;YEAR(RCT!G20)))</f>
        <v/>
      </c>
      <c r="F21" s="1539" t="str">
        <f>IF(RCT!I20="","",RCT!I20)&amp;IF(RCT!J20="","","; "&amp;RCT!J20)</f>
        <v/>
      </c>
      <c r="G21" s="1548">
        <f>RCT!K20</f>
        <v>0</v>
      </c>
      <c r="I21" s="774">
        <f t="shared" si="0"/>
        <v>0</v>
      </c>
      <c r="J21" s="796"/>
      <c r="K21" s="763">
        <f t="shared" si="1"/>
        <v>0</v>
      </c>
      <c r="L21" s="799"/>
    </row>
    <row r="23" spans="1:12" ht="14.5" customHeight="1">
      <c r="B23" s="2241" t="str">
        <f>RCT!C22</f>
        <v>Trainings geben (intern und extern)</v>
      </c>
      <c r="C23" s="2242"/>
      <c r="D23" s="2242"/>
      <c r="E23" s="2242"/>
      <c r="F23" s="2242"/>
      <c r="G23" s="2242"/>
      <c r="H23" s="2240"/>
    </row>
    <row r="24" spans="1:12">
      <c r="B24" s="1530" t="str">
        <f>RCT!C23</f>
        <v>Name des Trainings</v>
      </c>
      <c r="C24" s="1530" t="str">
        <f>RCT!D23</f>
        <v>Zielgruppe</v>
      </c>
      <c r="D24" s="1530" t="str">
        <f>Dictionary!B1178</f>
        <v>Dauer (Std.)</v>
      </c>
      <c r="E24" s="1530" t="str">
        <f>Dictionary!B1179</f>
        <v>Datum</v>
      </c>
      <c r="F24" s="1530" t="str">
        <f>Dictionary!B1180</f>
        <v>Referenzierte ICB Elemente</v>
      </c>
      <c r="G24" s="1530" t="str">
        <f>RCT!K23</f>
        <v>Trainingsunterlagen</v>
      </c>
      <c r="I24" s="2"/>
      <c r="J24" s="2"/>
      <c r="K24" s="2"/>
      <c r="L24" s="2"/>
    </row>
    <row r="25" spans="1:12" ht="17">
      <c r="A25" s="64">
        <v>1</v>
      </c>
      <c r="B25" s="1531" t="str">
        <f>IF(RCT!C24="","",RCT!C24)</f>
        <v/>
      </c>
      <c r="C25" s="1532" t="str">
        <f>IF(RCT!D24="","",RCT!D24)</f>
        <v/>
      </c>
      <c r="D25" s="1533" t="str">
        <f>IF(RCT!L24="","",IF(ISNUMBER(RCT!L24),RCT!L24,0))</f>
        <v/>
      </c>
      <c r="E25" s="1534" t="str">
        <f>IF(RCT!F24="","",IF(RCT!F24=RCT!G24,DAY(RCT!F24)&amp;"."&amp;MONTH(RCT!F24)&amp;"."&amp;YEAR(RCT!F24),DAY(RCT!F24)&amp;"."&amp;MONTH(RCT!F24)&amp;"."&amp;YEAR(RCT!F24)&amp;" - "&amp;DAY(RCT!G24)&amp;"."&amp;MONTH(RCT!G24)&amp;"."&amp;YEAR(RCT!G24)))</f>
        <v/>
      </c>
      <c r="F25" s="1532" t="str">
        <f>IF(RCT!I24="","",RCT!I24)&amp;IF(RCT!J24="","","; "&amp;RCT!J24)</f>
        <v/>
      </c>
      <c r="G25" s="1546">
        <f>RCT!K24</f>
        <v>0</v>
      </c>
      <c r="I25" s="772">
        <f t="shared" ref="I25:I34" si="2">IF(J25&lt;&gt;"",D25,0)</f>
        <v>0</v>
      </c>
      <c r="J25" s="794"/>
      <c r="K25" s="761">
        <f t="shared" ref="K25:K34" si="3">IF(L25&lt;&gt;"",D25,0)</f>
        <v>0</v>
      </c>
      <c r="L25" s="797"/>
    </row>
    <row r="26" spans="1:12" ht="17">
      <c r="A26" s="64">
        <v>2</v>
      </c>
      <c r="B26" s="1536" t="str">
        <f>IF(RCT!C25="","",RCT!C25)</f>
        <v/>
      </c>
      <c r="C26" s="769" t="str">
        <f>IF(RCT!D25="","",RCT!D25)</f>
        <v/>
      </c>
      <c r="D26" s="770" t="str">
        <f>IF(RCT!L25="","",IF(ISNUMBER(RCT!L25),RCT!L25,0))</f>
        <v/>
      </c>
      <c r="E26" s="771" t="str">
        <f>IF(RCT!F25="","",IF(RCT!F25=RCT!G25,DAY(RCT!F25)&amp;"."&amp;MONTH(RCT!F25)&amp;"."&amp;YEAR(RCT!F25),DAY(RCT!F25)&amp;"."&amp;MONTH(RCT!F25)&amp;"."&amp;YEAR(RCT!F25)&amp;" - "&amp;DAY(RCT!G25)&amp;"."&amp;MONTH(RCT!G25)&amp;"."&amp;YEAR(RCT!G25)))</f>
        <v/>
      </c>
      <c r="F26" s="769" t="str">
        <f>IF(RCT!I25="","",RCT!I25)&amp;IF(RCT!J25="","","; "&amp;RCT!J25)</f>
        <v/>
      </c>
      <c r="G26" s="1547">
        <f>RCT!K25</f>
        <v>0</v>
      </c>
      <c r="I26" s="773">
        <f>IF(J26&lt;&gt;"",D26,0)</f>
        <v>0</v>
      </c>
      <c r="J26" s="795"/>
      <c r="K26" s="762">
        <f t="shared" si="3"/>
        <v>0</v>
      </c>
      <c r="L26" s="798"/>
    </row>
    <row r="27" spans="1:12" ht="17">
      <c r="A27" s="64">
        <v>3</v>
      </c>
      <c r="B27" s="1536" t="str">
        <f>IF(RCT!C26="","",RCT!C26)</f>
        <v/>
      </c>
      <c r="C27" s="769" t="str">
        <f>IF(RCT!D26="","",RCT!D26)</f>
        <v/>
      </c>
      <c r="D27" s="770" t="str">
        <f>IF(RCT!L26="","",IF(ISNUMBER(RCT!L26),RCT!L26,0))</f>
        <v/>
      </c>
      <c r="E27" s="771" t="str">
        <f>IF(RCT!F26="","",IF(RCT!F26=RCT!G26,DAY(RCT!F26)&amp;"."&amp;MONTH(RCT!F26)&amp;"."&amp;YEAR(RCT!F26),DAY(RCT!F26)&amp;"."&amp;MONTH(RCT!F26)&amp;"."&amp;YEAR(RCT!F26)&amp;" - "&amp;DAY(RCT!G26)&amp;"."&amp;MONTH(RCT!G26)&amp;"."&amp;YEAR(RCT!G26)))</f>
        <v/>
      </c>
      <c r="F27" s="769" t="str">
        <f>IF(RCT!I26="","",RCT!I26)&amp;IF(RCT!J26="","","; "&amp;RCT!J26)</f>
        <v/>
      </c>
      <c r="G27" s="1547">
        <f>RCT!K26</f>
        <v>0</v>
      </c>
      <c r="I27" s="773">
        <f t="shared" si="2"/>
        <v>0</v>
      </c>
      <c r="J27" s="795"/>
      <c r="K27" s="762">
        <f t="shared" si="3"/>
        <v>0</v>
      </c>
      <c r="L27" s="798"/>
    </row>
    <row r="28" spans="1:12" ht="17">
      <c r="A28" s="64">
        <v>4</v>
      </c>
      <c r="B28" s="1536" t="str">
        <f>IF(RCT!C27="","",RCT!C27)</f>
        <v/>
      </c>
      <c r="C28" s="769" t="str">
        <f>IF(RCT!D27="","",RCT!D27)</f>
        <v/>
      </c>
      <c r="D28" s="770" t="str">
        <f>IF(RCT!L27="","",IF(ISNUMBER(RCT!L27),RCT!L27,0))</f>
        <v/>
      </c>
      <c r="E28" s="771" t="str">
        <f>IF(RCT!F27="","",IF(RCT!F27=RCT!G27,DAY(RCT!F27)&amp;"."&amp;MONTH(RCT!F27)&amp;"."&amp;YEAR(RCT!F27),DAY(RCT!F27)&amp;"."&amp;MONTH(RCT!F27)&amp;"."&amp;YEAR(RCT!F27)&amp;" - "&amp;DAY(RCT!G27)&amp;"."&amp;MONTH(RCT!G27)&amp;"."&amp;YEAR(RCT!G27)))</f>
        <v/>
      </c>
      <c r="F28" s="769" t="str">
        <f>IF(RCT!I27="","",RCT!I27)&amp;IF(RCT!J27="","","; "&amp;RCT!J27)</f>
        <v/>
      </c>
      <c r="G28" s="1547">
        <f>RCT!K27</f>
        <v>0</v>
      </c>
      <c r="I28" s="773">
        <f t="shared" si="2"/>
        <v>0</v>
      </c>
      <c r="J28" s="795"/>
      <c r="K28" s="762">
        <f t="shared" si="3"/>
        <v>0</v>
      </c>
      <c r="L28" s="798"/>
    </row>
    <row r="29" spans="1:12" ht="17">
      <c r="A29" s="64">
        <v>5</v>
      </c>
      <c r="B29" s="1536" t="str">
        <f>IF(RCT!C28="","",RCT!C28)</f>
        <v/>
      </c>
      <c r="C29" s="769" t="str">
        <f>IF(RCT!D28="","",RCT!D28)</f>
        <v/>
      </c>
      <c r="D29" s="770" t="str">
        <f>IF(RCT!L28="","",IF(ISNUMBER(RCT!L28),RCT!L28,0))</f>
        <v/>
      </c>
      <c r="E29" s="771" t="str">
        <f>IF(RCT!F28="","",IF(RCT!F28=RCT!G28,DAY(RCT!F28)&amp;"."&amp;MONTH(RCT!F28)&amp;"."&amp;YEAR(RCT!F28),DAY(RCT!F28)&amp;"."&amp;MONTH(RCT!F28)&amp;"."&amp;YEAR(RCT!F28)&amp;" - "&amp;DAY(RCT!G28)&amp;"."&amp;MONTH(RCT!G28)&amp;"."&amp;YEAR(RCT!G28)))</f>
        <v/>
      </c>
      <c r="F29" s="769" t="str">
        <f>IF(RCT!I28="","",RCT!I28)&amp;IF(RCT!J28="","","; "&amp;RCT!J28)</f>
        <v/>
      </c>
      <c r="G29" s="1547">
        <f>RCT!K28</f>
        <v>0</v>
      </c>
      <c r="I29" s="773">
        <f t="shared" si="2"/>
        <v>0</v>
      </c>
      <c r="J29" s="795"/>
      <c r="K29" s="762">
        <f t="shared" si="3"/>
        <v>0</v>
      </c>
      <c r="L29" s="798"/>
    </row>
    <row r="30" spans="1:12" ht="17">
      <c r="A30" s="64">
        <v>6</v>
      </c>
      <c r="B30" s="1536" t="str">
        <f>IF(RCT!C29="","",RCT!C29)</f>
        <v/>
      </c>
      <c r="C30" s="769" t="str">
        <f>IF(RCT!D29="","",RCT!D29)</f>
        <v/>
      </c>
      <c r="D30" s="770" t="str">
        <f>IF(RCT!L29="","",IF(ISNUMBER(RCT!L29),RCT!L29,0))</f>
        <v/>
      </c>
      <c r="E30" s="771" t="str">
        <f>IF(RCT!F29="","",IF(RCT!F29=RCT!G29,DAY(RCT!F29)&amp;"."&amp;MONTH(RCT!F29)&amp;"."&amp;YEAR(RCT!F29),DAY(RCT!F29)&amp;"."&amp;MONTH(RCT!F29)&amp;"."&amp;YEAR(RCT!F29)&amp;" - "&amp;DAY(RCT!G29)&amp;"."&amp;MONTH(RCT!G29)&amp;"."&amp;YEAR(RCT!G29)))</f>
        <v/>
      </c>
      <c r="F30" s="769" t="str">
        <f>IF(RCT!I29="","",RCT!I29)&amp;IF(RCT!J29="","","; "&amp;RCT!J29)</f>
        <v/>
      </c>
      <c r="G30" s="1547">
        <f>RCT!K29</f>
        <v>0</v>
      </c>
      <c r="I30" s="773">
        <f t="shared" si="2"/>
        <v>0</v>
      </c>
      <c r="J30" s="795"/>
      <c r="K30" s="762">
        <f t="shared" si="3"/>
        <v>0</v>
      </c>
      <c r="L30" s="798"/>
    </row>
    <row r="31" spans="1:12" ht="17">
      <c r="A31" s="64">
        <v>7</v>
      </c>
      <c r="B31" s="1536" t="str">
        <f>IF(RCT!C30="","",RCT!C30)</f>
        <v/>
      </c>
      <c r="C31" s="769" t="str">
        <f>IF(RCT!D30="","",RCT!D30)</f>
        <v/>
      </c>
      <c r="D31" s="770" t="str">
        <f>IF(RCT!L30="","",IF(ISNUMBER(RCT!L30),RCT!L30,0))</f>
        <v/>
      </c>
      <c r="E31" s="771" t="str">
        <f>IF(RCT!F30="","",IF(RCT!F30=RCT!G30,DAY(RCT!F30)&amp;"."&amp;MONTH(RCT!F30)&amp;"."&amp;YEAR(RCT!F30),DAY(RCT!F30)&amp;"."&amp;MONTH(RCT!F30)&amp;"."&amp;YEAR(RCT!F30)&amp;" - "&amp;DAY(RCT!G30)&amp;"."&amp;MONTH(RCT!G30)&amp;"."&amp;YEAR(RCT!G30)))</f>
        <v/>
      </c>
      <c r="F31" s="769" t="str">
        <f>IF(RCT!I30="","",RCT!I30)&amp;IF(RCT!J30="","","; "&amp;RCT!J30)</f>
        <v/>
      </c>
      <c r="G31" s="1547">
        <f>RCT!K30</f>
        <v>0</v>
      </c>
      <c r="I31" s="773">
        <f t="shared" si="2"/>
        <v>0</v>
      </c>
      <c r="J31" s="795"/>
      <c r="K31" s="762">
        <f t="shared" si="3"/>
        <v>0</v>
      </c>
      <c r="L31" s="798"/>
    </row>
    <row r="32" spans="1:12" ht="17">
      <c r="A32" s="64">
        <v>8</v>
      </c>
      <c r="B32" s="1536" t="str">
        <f>IF(RCT!C31="","",RCT!C31)</f>
        <v/>
      </c>
      <c r="C32" s="769" t="str">
        <f>IF(RCT!D31="","",RCT!D31)</f>
        <v/>
      </c>
      <c r="D32" s="770" t="str">
        <f>IF(RCT!L31="","",IF(ISNUMBER(RCT!L31),RCT!L31,0))</f>
        <v/>
      </c>
      <c r="E32" s="771" t="str">
        <f>IF(RCT!F31="","",IF(RCT!F31=RCT!G31,DAY(RCT!F31)&amp;"."&amp;MONTH(RCT!F31)&amp;"."&amp;YEAR(RCT!F31),DAY(RCT!F31)&amp;"."&amp;MONTH(RCT!F31)&amp;"."&amp;YEAR(RCT!F31)&amp;" - "&amp;DAY(RCT!G31)&amp;"."&amp;MONTH(RCT!G31)&amp;"."&amp;YEAR(RCT!G31)))</f>
        <v/>
      </c>
      <c r="F32" s="769" t="str">
        <f>IF(RCT!I31="","",RCT!I31)&amp;IF(RCT!J31="","","; "&amp;RCT!J31)</f>
        <v/>
      </c>
      <c r="G32" s="1547">
        <f>RCT!K31</f>
        <v>0</v>
      </c>
      <c r="I32" s="773">
        <f t="shared" si="2"/>
        <v>0</v>
      </c>
      <c r="J32" s="795"/>
      <c r="K32" s="762">
        <f t="shared" si="3"/>
        <v>0</v>
      </c>
      <c r="L32" s="798"/>
    </row>
    <row r="33" spans="1:12" ht="17">
      <c r="A33" s="64">
        <v>9</v>
      </c>
      <c r="B33" s="1536" t="str">
        <f>IF(RCT!C32="","",RCT!C32)</f>
        <v/>
      </c>
      <c r="C33" s="769" t="str">
        <f>IF(RCT!D32="","",RCT!D32)</f>
        <v/>
      </c>
      <c r="D33" s="770" t="str">
        <f>IF(RCT!L32="","",IF(ISNUMBER(RCT!L32),RCT!L32,0))</f>
        <v/>
      </c>
      <c r="E33" s="771" t="str">
        <f>IF(RCT!F32="","",IF(RCT!F32=RCT!G32,DAY(RCT!F32)&amp;"."&amp;MONTH(RCT!F32)&amp;"."&amp;YEAR(RCT!F32),DAY(RCT!F32)&amp;"."&amp;MONTH(RCT!F32)&amp;"."&amp;YEAR(RCT!F32)&amp;" - "&amp;DAY(RCT!G32)&amp;"."&amp;MONTH(RCT!G32)&amp;"."&amp;YEAR(RCT!G32)))</f>
        <v/>
      </c>
      <c r="F33" s="769" t="str">
        <f>IF(RCT!I32="","",RCT!I32)&amp;IF(RCT!J32="","","; "&amp;RCT!J32)</f>
        <v/>
      </c>
      <c r="G33" s="1547">
        <f>RCT!K32</f>
        <v>0</v>
      </c>
      <c r="I33" s="773">
        <f t="shared" si="2"/>
        <v>0</v>
      </c>
      <c r="J33" s="795"/>
      <c r="K33" s="762">
        <f t="shared" si="3"/>
        <v>0</v>
      </c>
      <c r="L33" s="798"/>
    </row>
    <row r="34" spans="1:12" ht="17">
      <c r="A34" s="64">
        <v>10</v>
      </c>
      <c r="B34" s="1538" t="str">
        <f>IF(RCT!C33="","",RCT!C33)</f>
        <v/>
      </c>
      <c r="C34" s="1539" t="str">
        <f>IF(RCT!D33="","",RCT!D33)</f>
        <v/>
      </c>
      <c r="D34" s="1540" t="str">
        <f>IF(RCT!L33="","",IF(ISNUMBER(RCT!L33),RCT!L33,0))</f>
        <v/>
      </c>
      <c r="E34" s="1541" t="str">
        <f>IF(RCT!F33="","",IF(RCT!F33=RCT!G33,DAY(RCT!F33)&amp;"."&amp;MONTH(RCT!F33)&amp;"."&amp;YEAR(RCT!F33),DAY(RCT!F33)&amp;"."&amp;MONTH(RCT!F33)&amp;"."&amp;YEAR(RCT!F33)&amp;" - "&amp;DAY(RCT!G33)&amp;"."&amp;MONTH(RCT!G33)&amp;"."&amp;YEAR(RCT!G33)))</f>
        <v/>
      </c>
      <c r="F34" s="1539" t="str">
        <f>IF(RCT!I33="","",RCT!I33)&amp;IF(RCT!J33="","","; "&amp;RCT!J33)</f>
        <v/>
      </c>
      <c r="G34" s="1548">
        <f>RCT!K33</f>
        <v>0</v>
      </c>
      <c r="I34" s="774">
        <f t="shared" si="2"/>
        <v>0</v>
      </c>
      <c r="J34" s="796"/>
      <c r="K34" s="763">
        <f t="shared" si="3"/>
        <v>0</v>
      </c>
      <c r="L34" s="799"/>
    </row>
    <row r="36" spans="1:12">
      <c r="B36" s="2241" t="str">
        <f>RCT!C35</f>
        <v>Mentor sein</v>
      </c>
      <c r="C36" s="2242"/>
      <c r="D36" s="2242"/>
      <c r="E36" s="2242"/>
      <c r="F36" s="2242"/>
      <c r="G36" s="2242"/>
      <c r="H36" s="2240"/>
    </row>
    <row r="37" spans="1:12">
      <c r="B37" s="1530" t="str">
        <f>RCT!C36</f>
        <v>Name des Mentees</v>
      </c>
      <c r="C37" s="1530" t="str">
        <f>RCT!D36</f>
        <v>Organisation des Mentees</v>
      </c>
      <c r="D37" s="1530" t="str">
        <f>Dictionary!B1144</f>
        <v>Dauer (Std.)</v>
      </c>
      <c r="E37" s="1530" t="str">
        <f>Dictionary!B1145</f>
        <v>Datum</v>
      </c>
      <c r="F37" s="1530" t="str">
        <f>RCT!I36</f>
        <v>Mentoring Thema</v>
      </c>
      <c r="G37" s="1530" t="str">
        <f>Dictionary!B1180</f>
        <v>Referenzierte ICB Elemente</v>
      </c>
    </row>
    <row r="38" spans="1:12" ht="17">
      <c r="A38" s="64">
        <v>1</v>
      </c>
      <c r="B38" s="1531" t="str">
        <f>IF(RCT!C37="","",RCT!C37)</f>
        <v/>
      </c>
      <c r="C38" s="1532" t="str">
        <f>IF(RCT!D37="","",RCT!D37)</f>
        <v/>
      </c>
      <c r="D38" s="1533" t="str">
        <f>IF(RCT!L37="","",IF(ISNUMBER(RCT!L37),RCT!L37,0))</f>
        <v/>
      </c>
      <c r="E38" s="1534" t="str">
        <f>IF(RCT!F37="","",IF(RCT!F37=RCT!G37,DAY(RCT!F37)&amp;"."&amp;MONTH(RCT!F37)&amp;"."&amp;YEAR(RCT!F37),DAY(RCT!F37)&amp;"."&amp;MONTH(RCT!F37)&amp;"."&amp;YEAR(RCT!F37)&amp;" - "&amp;DAY(RCT!G37)&amp;"."&amp;MONTH(RCT!G37)&amp;"."&amp;YEAR(RCT!G37)))</f>
        <v/>
      </c>
      <c r="F38" s="1532" t="str">
        <f>IF(RCT!I37="","",RCT!I37)</f>
        <v/>
      </c>
      <c r="G38" s="1535" t="str">
        <f>IF(RCT!J37="","",RCT!J37)&amp;IF(RCT!K37="","","; "&amp;RCT!K37)</f>
        <v/>
      </c>
      <c r="I38" s="772">
        <f t="shared" ref="I38:I47" si="4">IF(J38&lt;&gt;"",D38,0)</f>
        <v>0</v>
      </c>
      <c r="J38" s="794"/>
      <c r="K38" s="761">
        <f t="shared" ref="K38:K47" si="5">IF(L38&lt;&gt;"",D38,0)</f>
        <v>0</v>
      </c>
      <c r="L38" s="797"/>
    </row>
    <row r="39" spans="1:12" ht="17">
      <c r="A39" s="64">
        <v>2</v>
      </c>
      <c r="B39" s="1536" t="str">
        <f>IF(RCT!C38="","",RCT!C38)</f>
        <v/>
      </c>
      <c r="C39" s="769" t="str">
        <f>IF(RCT!D38="","",RCT!D38)</f>
        <v/>
      </c>
      <c r="D39" s="770" t="str">
        <f>IF(RCT!L38="","",IF(ISNUMBER(RCT!L38),RCT!L38,0))</f>
        <v/>
      </c>
      <c r="E39" s="771" t="str">
        <f>IF(RCT!F38="","",IF(RCT!F38=RCT!G38,DAY(RCT!F38)&amp;"."&amp;MONTH(RCT!F38)&amp;"."&amp;YEAR(RCT!F38),DAY(RCT!F38)&amp;"."&amp;MONTH(RCT!F38)&amp;"."&amp;YEAR(RCT!F38)&amp;" - "&amp;DAY(RCT!G38)&amp;"."&amp;MONTH(RCT!G38)&amp;"."&amp;YEAR(RCT!G38)))</f>
        <v/>
      </c>
      <c r="F39" s="769" t="str">
        <f>IF(RCT!I38="","",RCT!I38)</f>
        <v/>
      </c>
      <c r="G39" s="1537" t="str">
        <f>IF(RCT!J38="","",RCT!J38)&amp;IF(RCT!K38="","","; "&amp;RCT!K38)</f>
        <v/>
      </c>
      <c r="I39" s="773">
        <f t="shared" si="4"/>
        <v>0</v>
      </c>
      <c r="J39" s="795"/>
      <c r="K39" s="762">
        <f t="shared" si="5"/>
        <v>0</v>
      </c>
      <c r="L39" s="798"/>
    </row>
    <row r="40" spans="1:12" ht="17">
      <c r="A40" s="64">
        <v>3</v>
      </c>
      <c r="B40" s="1536" t="str">
        <f>IF(RCT!C39="","",RCT!C39)</f>
        <v/>
      </c>
      <c r="C40" s="769" t="str">
        <f>IF(RCT!D39="","",RCT!D39)</f>
        <v/>
      </c>
      <c r="D40" s="770" t="str">
        <f>IF(RCT!L39="","",IF(ISNUMBER(RCT!L39),RCT!L39,0))</f>
        <v/>
      </c>
      <c r="E40" s="771" t="str">
        <f>IF(RCT!F39="","",IF(RCT!F39=RCT!G39,DAY(RCT!F39)&amp;"."&amp;MONTH(RCT!F39)&amp;"."&amp;YEAR(RCT!F39),DAY(RCT!F39)&amp;"."&amp;MONTH(RCT!F39)&amp;"."&amp;YEAR(RCT!F39)&amp;" - "&amp;DAY(RCT!G39)&amp;"."&amp;MONTH(RCT!G39)&amp;"."&amp;YEAR(RCT!G39)))</f>
        <v/>
      </c>
      <c r="F40" s="769" t="str">
        <f>IF(RCT!I39="","",RCT!I39)</f>
        <v/>
      </c>
      <c r="G40" s="1537" t="str">
        <f>IF(RCT!J39="","",RCT!J39)&amp;IF(RCT!K39="","","; "&amp;RCT!K39)</f>
        <v/>
      </c>
      <c r="I40" s="773">
        <f t="shared" si="4"/>
        <v>0</v>
      </c>
      <c r="J40" s="795"/>
      <c r="K40" s="762">
        <f t="shared" si="5"/>
        <v>0</v>
      </c>
      <c r="L40" s="798"/>
    </row>
    <row r="41" spans="1:12" ht="17">
      <c r="A41" s="64">
        <v>4</v>
      </c>
      <c r="B41" s="1536" t="str">
        <f>IF(RCT!C40="","",RCT!C40)</f>
        <v/>
      </c>
      <c r="C41" s="769" t="str">
        <f>IF(RCT!D40="","",RCT!D40)</f>
        <v/>
      </c>
      <c r="D41" s="770" t="str">
        <f>IF(RCT!L40="","",IF(ISNUMBER(RCT!L40),RCT!L40,0))</f>
        <v/>
      </c>
      <c r="E41" s="771" t="str">
        <f>IF(RCT!F40="","",IF(RCT!F40=RCT!G40,DAY(RCT!F40)&amp;"."&amp;MONTH(RCT!F40)&amp;"."&amp;YEAR(RCT!F40),DAY(RCT!F40)&amp;"."&amp;MONTH(RCT!F40)&amp;"."&amp;YEAR(RCT!F40)&amp;" - "&amp;DAY(RCT!G40)&amp;"."&amp;MONTH(RCT!G40)&amp;"."&amp;YEAR(RCT!G40)))</f>
        <v/>
      </c>
      <c r="F41" s="769" t="str">
        <f>IF(RCT!I40="","",RCT!I40)</f>
        <v/>
      </c>
      <c r="G41" s="1537" t="str">
        <f>IF(RCT!J40="","",RCT!J40)&amp;IF(RCT!K40="","","; "&amp;RCT!K40)</f>
        <v/>
      </c>
      <c r="I41" s="773">
        <f t="shared" si="4"/>
        <v>0</v>
      </c>
      <c r="J41" s="795"/>
      <c r="K41" s="762">
        <f t="shared" si="5"/>
        <v>0</v>
      </c>
      <c r="L41" s="798"/>
    </row>
    <row r="42" spans="1:12" ht="17">
      <c r="A42" s="64">
        <v>5</v>
      </c>
      <c r="B42" s="1536" t="str">
        <f>IF(RCT!C41="","",RCT!C41)</f>
        <v/>
      </c>
      <c r="C42" s="769" t="str">
        <f>IF(RCT!D41="","",RCT!D41)</f>
        <v/>
      </c>
      <c r="D42" s="770" t="str">
        <f>IF(RCT!L41="","",IF(ISNUMBER(RCT!L41),RCT!L41,0))</f>
        <v/>
      </c>
      <c r="E42" s="771" t="str">
        <f>IF(RCT!F41="","",IF(RCT!F41=RCT!G41,DAY(RCT!F41)&amp;"."&amp;MONTH(RCT!F41)&amp;"."&amp;YEAR(RCT!F41),DAY(RCT!F41)&amp;"."&amp;MONTH(RCT!F41)&amp;"."&amp;YEAR(RCT!F41)&amp;" - "&amp;DAY(RCT!G41)&amp;"."&amp;MONTH(RCT!G41)&amp;"."&amp;YEAR(RCT!G41)))</f>
        <v/>
      </c>
      <c r="F42" s="769" t="str">
        <f>IF(RCT!I41="","",RCT!I41)</f>
        <v/>
      </c>
      <c r="G42" s="1537" t="str">
        <f>IF(RCT!J41="","",RCT!J41)&amp;IF(RCT!K41="","","; "&amp;RCT!K41)</f>
        <v/>
      </c>
      <c r="I42" s="773">
        <f t="shared" si="4"/>
        <v>0</v>
      </c>
      <c r="J42" s="795"/>
      <c r="K42" s="762">
        <f t="shared" si="5"/>
        <v>0</v>
      </c>
      <c r="L42" s="798"/>
    </row>
    <row r="43" spans="1:12" ht="17">
      <c r="A43" s="64">
        <v>6</v>
      </c>
      <c r="B43" s="1536" t="str">
        <f>IF(RCT!C42="","",RCT!C42)</f>
        <v/>
      </c>
      <c r="C43" s="769" t="str">
        <f>IF(RCT!D42="","",RCT!D42)</f>
        <v/>
      </c>
      <c r="D43" s="770" t="str">
        <f>IF(RCT!L42="","",IF(ISNUMBER(RCT!L42),RCT!L42,0))</f>
        <v/>
      </c>
      <c r="E43" s="771" t="str">
        <f>IF(RCT!F42="","",IF(RCT!F42=RCT!G42,DAY(RCT!F42)&amp;"."&amp;MONTH(RCT!F42)&amp;"."&amp;YEAR(RCT!F42),DAY(RCT!F42)&amp;"."&amp;MONTH(RCT!F42)&amp;"."&amp;YEAR(RCT!F42)&amp;" - "&amp;DAY(RCT!G42)&amp;"."&amp;MONTH(RCT!G42)&amp;"."&amp;YEAR(RCT!G42)))</f>
        <v/>
      </c>
      <c r="F43" s="769" t="str">
        <f>IF(RCT!I42="","",RCT!I42)</f>
        <v/>
      </c>
      <c r="G43" s="1537" t="str">
        <f>IF(RCT!J42="","",RCT!J42)&amp;IF(RCT!K42="","","; "&amp;RCT!K42)</f>
        <v/>
      </c>
      <c r="I43" s="773">
        <f t="shared" si="4"/>
        <v>0</v>
      </c>
      <c r="J43" s="795"/>
      <c r="K43" s="762">
        <f t="shared" si="5"/>
        <v>0</v>
      </c>
      <c r="L43" s="798"/>
    </row>
    <row r="44" spans="1:12" ht="17">
      <c r="A44" s="64">
        <v>7</v>
      </c>
      <c r="B44" s="1536" t="str">
        <f>IF(RCT!C43="","",RCT!C43)</f>
        <v/>
      </c>
      <c r="C44" s="769" t="str">
        <f>IF(RCT!D43="","",RCT!D43)</f>
        <v/>
      </c>
      <c r="D44" s="770" t="str">
        <f>IF(RCT!L43="","",IF(ISNUMBER(RCT!L43),RCT!L43,0))</f>
        <v/>
      </c>
      <c r="E44" s="771" t="str">
        <f>IF(RCT!F43="","",IF(RCT!F43=RCT!G43,DAY(RCT!F43)&amp;"."&amp;MONTH(RCT!F43)&amp;"."&amp;YEAR(RCT!F43),DAY(RCT!F43)&amp;"."&amp;MONTH(RCT!F43)&amp;"."&amp;YEAR(RCT!F43)&amp;" - "&amp;DAY(RCT!G43)&amp;"."&amp;MONTH(RCT!G43)&amp;"."&amp;YEAR(RCT!G43)))</f>
        <v/>
      </c>
      <c r="F44" s="769" t="str">
        <f>IF(RCT!I43="","",RCT!I43)</f>
        <v/>
      </c>
      <c r="G44" s="1537" t="str">
        <f>IF(RCT!J43="","",RCT!J43)&amp;IF(RCT!K43="","","; "&amp;RCT!K43)</f>
        <v/>
      </c>
      <c r="I44" s="773">
        <f t="shared" si="4"/>
        <v>0</v>
      </c>
      <c r="J44" s="795"/>
      <c r="K44" s="762">
        <f t="shared" si="5"/>
        <v>0</v>
      </c>
      <c r="L44" s="798"/>
    </row>
    <row r="45" spans="1:12" ht="17">
      <c r="A45" s="64">
        <v>8</v>
      </c>
      <c r="B45" s="1536" t="str">
        <f>IF(RCT!C44="","",RCT!C44)</f>
        <v/>
      </c>
      <c r="C45" s="769" t="str">
        <f>IF(RCT!D44="","",RCT!D44)</f>
        <v/>
      </c>
      <c r="D45" s="770" t="str">
        <f>IF(RCT!L44="","",IF(ISNUMBER(RCT!L44),RCT!L44,0))</f>
        <v/>
      </c>
      <c r="E45" s="771" t="str">
        <f>IF(RCT!F44="","",IF(RCT!F44=RCT!G44,DAY(RCT!F44)&amp;"."&amp;MONTH(RCT!F44)&amp;"."&amp;YEAR(RCT!F44),DAY(RCT!F44)&amp;"."&amp;MONTH(RCT!F44)&amp;"."&amp;YEAR(RCT!F44)&amp;" - "&amp;DAY(RCT!G44)&amp;"."&amp;MONTH(RCT!G44)&amp;"."&amp;YEAR(RCT!G44)))</f>
        <v/>
      </c>
      <c r="F45" s="769" t="str">
        <f>IF(RCT!I44="","",RCT!I44)</f>
        <v/>
      </c>
      <c r="G45" s="1537" t="str">
        <f>IF(RCT!J44="","",RCT!J44)&amp;IF(RCT!K44="","","; "&amp;RCT!K44)</f>
        <v/>
      </c>
      <c r="I45" s="773">
        <f t="shared" si="4"/>
        <v>0</v>
      </c>
      <c r="J45" s="795"/>
      <c r="K45" s="762">
        <f t="shared" si="5"/>
        <v>0</v>
      </c>
      <c r="L45" s="798"/>
    </row>
    <row r="46" spans="1:12" ht="17">
      <c r="A46" s="64">
        <v>9</v>
      </c>
      <c r="B46" s="1536" t="str">
        <f>IF(RCT!C45="","",RCT!C45)</f>
        <v/>
      </c>
      <c r="C46" s="769" t="str">
        <f>IF(RCT!D45="","",RCT!D45)</f>
        <v/>
      </c>
      <c r="D46" s="770" t="str">
        <f>IF(RCT!L45="","",IF(ISNUMBER(RCT!L45),RCT!L45,0))</f>
        <v/>
      </c>
      <c r="E46" s="771" t="str">
        <f>IF(RCT!F45="","",IF(RCT!F45=RCT!G45,DAY(RCT!F45)&amp;"."&amp;MONTH(RCT!F45)&amp;"."&amp;YEAR(RCT!F45),DAY(RCT!F45)&amp;"."&amp;MONTH(RCT!F45)&amp;"."&amp;YEAR(RCT!F45)&amp;" - "&amp;DAY(RCT!G45)&amp;"."&amp;MONTH(RCT!G45)&amp;"."&amp;YEAR(RCT!G45)))</f>
        <v/>
      </c>
      <c r="F46" s="769" t="str">
        <f>IF(RCT!I45="","",RCT!I45)</f>
        <v/>
      </c>
      <c r="G46" s="1537" t="str">
        <f>IF(RCT!J45="","",RCT!J45)&amp;IF(RCT!K45="","","; "&amp;RCT!K45)</f>
        <v/>
      </c>
      <c r="I46" s="773">
        <f t="shared" si="4"/>
        <v>0</v>
      </c>
      <c r="J46" s="795"/>
      <c r="K46" s="762">
        <f t="shared" si="5"/>
        <v>0</v>
      </c>
      <c r="L46" s="798"/>
    </row>
    <row r="47" spans="1:12" ht="17">
      <c r="A47" s="64">
        <v>10</v>
      </c>
      <c r="B47" s="1538" t="str">
        <f>IF(RCT!C46="","",RCT!C46)</f>
        <v/>
      </c>
      <c r="C47" s="1539" t="str">
        <f>IF(RCT!D46="","",RCT!D46)</f>
        <v/>
      </c>
      <c r="D47" s="1540" t="str">
        <f>IF(RCT!L46="","",IF(ISNUMBER(RCT!L46),RCT!L46,0))</f>
        <v/>
      </c>
      <c r="E47" s="1541" t="str">
        <f>IF(RCT!F46="","",IF(RCT!F46=RCT!G46,DAY(RCT!F46)&amp;"."&amp;MONTH(RCT!F46)&amp;"."&amp;YEAR(RCT!F46),DAY(RCT!F46)&amp;"."&amp;MONTH(RCT!F46)&amp;"."&amp;YEAR(RCT!F46)&amp;" - "&amp;DAY(RCT!G46)&amp;"."&amp;MONTH(RCT!G46)&amp;"."&amp;YEAR(RCT!G46)))</f>
        <v/>
      </c>
      <c r="F47" s="1539" t="str">
        <f>IF(RCT!I46="","",RCT!I46)</f>
        <v/>
      </c>
      <c r="G47" s="1542" t="str">
        <f>IF(RCT!J46="","",RCT!J46)&amp;IF(RCT!K46="","","; "&amp;RCT!K46)</f>
        <v/>
      </c>
      <c r="I47" s="774">
        <f t="shared" si="4"/>
        <v>0</v>
      </c>
      <c r="J47" s="796"/>
      <c r="K47" s="763">
        <f t="shared" si="5"/>
        <v>0</v>
      </c>
      <c r="L47" s="799"/>
    </row>
    <row r="49" spans="1:12">
      <c r="B49" s="2241" t="str">
        <f>RCT!C48</f>
        <v>Eigene Veröffentlichungen (externe)</v>
      </c>
      <c r="C49" s="2242"/>
      <c r="D49" s="2242"/>
      <c r="E49" s="2242"/>
      <c r="F49" s="2242"/>
      <c r="G49" s="2242"/>
      <c r="H49" s="2240"/>
    </row>
    <row r="50" spans="1:12">
      <c r="B50" s="1530" t="str">
        <f>RCT!C49</f>
        <v>Titel / Thema</v>
      </c>
      <c r="C50" s="1530" t="str">
        <f>RCT!D49</f>
        <v>Verlag</v>
      </c>
      <c r="D50" s="1530" t="str">
        <f>Dictionary!B1144</f>
        <v>Dauer (Std.)</v>
      </c>
      <c r="E50" s="1530" t="str">
        <f>RCT!F49</f>
        <v>Veröffentlichungsdatum</v>
      </c>
      <c r="F50" s="1530" t="str">
        <f>RCT!I49</f>
        <v>ICB Element Referenz 1</v>
      </c>
      <c r="G50" s="1530" t="str">
        <f>RCT!J49</f>
        <v>ICB Element Referenz 2</v>
      </c>
    </row>
    <row r="51" spans="1:12" ht="17">
      <c r="A51" s="64">
        <v>1</v>
      </c>
      <c r="B51" s="1531" t="str">
        <f>IF(RCT!C50="","",RCT!C50)</f>
        <v/>
      </c>
      <c r="C51" s="1532" t="str">
        <f>IF(RCT!D50="","",RCT!D50)</f>
        <v/>
      </c>
      <c r="D51" s="1533" t="str">
        <f>IF(RCT!L50="","",IF(ISNUMBER(RCT!L50),RCT!L50,0))</f>
        <v/>
      </c>
      <c r="E51" s="1534" t="str">
        <f>IF(RCT!F50="","",IF(RCT!F50=RCT!G50,DAY(RCT!F50)&amp;"."&amp;MONTH(RCT!F50)&amp;"."&amp;YEAR(RCT!F50),DAY(RCT!F50)&amp;"."&amp;MONTH(RCT!F50)&amp;"."&amp;YEAR(RCT!F50)&amp;" - "&amp;DAY(RCT!G50)&amp;"."&amp;MONTH(RCT!G50)&amp;"."&amp;YEAR(RCT!G50)))</f>
        <v/>
      </c>
      <c r="F51" s="1532" t="str">
        <f>IF(RCT!I50="","",RCT!I50)</f>
        <v/>
      </c>
      <c r="G51" s="1535" t="str">
        <f>IF(RCT!J50="","",RCT!J50)</f>
        <v/>
      </c>
      <c r="I51" s="772">
        <f t="shared" ref="I51:I60" si="6">IF(J51&lt;&gt;"",D51,0)</f>
        <v>0</v>
      </c>
      <c r="J51" s="794"/>
      <c r="K51" s="761">
        <f t="shared" ref="K51:K60" si="7">IF(L51&lt;&gt;"",D51,0)</f>
        <v>0</v>
      </c>
      <c r="L51" s="797"/>
    </row>
    <row r="52" spans="1:12" ht="17">
      <c r="A52" s="64">
        <v>2</v>
      </c>
      <c r="B52" s="1536" t="str">
        <f>IF(RCT!C51="","",RCT!C51)</f>
        <v/>
      </c>
      <c r="C52" s="769" t="str">
        <f>IF(RCT!D51="","",RCT!D51)</f>
        <v/>
      </c>
      <c r="D52" s="770" t="str">
        <f>IF(RCT!L51="","",IF(ISNUMBER(RCT!L51),RCT!L51,0))</f>
        <v/>
      </c>
      <c r="E52" s="771" t="str">
        <f>IF(RCT!F51="","",IF(RCT!F51=RCT!G51,DAY(RCT!F51)&amp;"."&amp;MONTH(RCT!F51)&amp;"."&amp;YEAR(RCT!F51),DAY(RCT!F51)&amp;"."&amp;MONTH(RCT!F51)&amp;"."&amp;YEAR(RCT!F51)&amp;" - "&amp;DAY(RCT!G51)&amp;"."&amp;MONTH(RCT!G51)&amp;"."&amp;YEAR(RCT!G51)))</f>
        <v/>
      </c>
      <c r="F52" s="769" t="str">
        <f>IF(RCT!I51="","",RCT!I51)</f>
        <v/>
      </c>
      <c r="G52" s="1537" t="str">
        <f>IF(RCT!J51="","",RCT!J51)</f>
        <v/>
      </c>
      <c r="I52" s="773">
        <f t="shared" si="6"/>
        <v>0</v>
      </c>
      <c r="J52" s="795"/>
      <c r="K52" s="762">
        <f t="shared" si="7"/>
        <v>0</v>
      </c>
      <c r="L52" s="798"/>
    </row>
    <row r="53" spans="1:12" ht="17">
      <c r="A53" s="64">
        <v>3</v>
      </c>
      <c r="B53" s="1536" t="str">
        <f>IF(RCT!C52="","",RCT!C52)</f>
        <v/>
      </c>
      <c r="C53" s="769" t="str">
        <f>IF(RCT!D52="","",RCT!D52)</f>
        <v/>
      </c>
      <c r="D53" s="770" t="str">
        <f>IF(RCT!L52="","",IF(ISNUMBER(RCT!L52),RCT!L52,0))</f>
        <v/>
      </c>
      <c r="E53" s="771" t="str">
        <f>IF(RCT!F52="","",IF(RCT!F52=RCT!G52,DAY(RCT!F52)&amp;"."&amp;MONTH(RCT!F52)&amp;"."&amp;YEAR(RCT!F52),DAY(RCT!F52)&amp;"."&amp;MONTH(RCT!F52)&amp;"."&amp;YEAR(RCT!F52)&amp;" - "&amp;DAY(RCT!G52)&amp;"."&amp;MONTH(RCT!G52)&amp;"."&amp;YEAR(RCT!G52)))</f>
        <v/>
      </c>
      <c r="F53" s="769" t="str">
        <f>IF(RCT!I52="","",RCT!I52)</f>
        <v/>
      </c>
      <c r="G53" s="1537" t="str">
        <f>IF(RCT!J52="","",RCT!J52)</f>
        <v/>
      </c>
      <c r="I53" s="773">
        <f t="shared" si="6"/>
        <v>0</v>
      </c>
      <c r="J53" s="795"/>
      <c r="K53" s="762">
        <f t="shared" si="7"/>
        <v>0</v>
      </c>
      <c r="L53" s="798"/>
    </row>
    <row r="54" spans="1:12" ht="17">
      <c r="A54" s="64">
        <v>4</v>
      </c>
      <c r="B54" s="1536" t="str">
        <f>IF(RCT!C53="","",RCT!C53)</f>
        <v/>
      </c>
      <c r="C54" s="769" t="str">
        <f>IF(RCT!D53="","",RCT!D53)</f>
        <v/>
      </c>
      <c r="D54" s="770" t="str">
        <f>IF(RCT!L53="","",IF(ISNUMBER(RCT!L53),RCT!L53,0))</f>
        <v/>
      </c>
      <c r="E54" s="771" t="str">
        <f>IF(RCT!F53="","",IF(RCT!F53=RCT!G53,DAY(RCT!F53)&amp;"."&amp;MONTH(RCT!F53)&amp;"."&amp;YEAR(RCT!F53),DAY(RCT!F53)&amp;"."&amp;MONTH(RCT!F53)&amp;"."&amp;YEAR(RCT!F53)&amp;" - "&amp;DAY(RCT!G53)&amp;"."&amp;MONTH(RCT!G53)&amp;"."&amp;YEAR(RCT!G53)))</f>
        <v/>
      </c>
      <c r="F54" s="769" t="str">
        <f>IF(RCT!I53="","",RCT!I53)</f>
        <v/>
      </c>
      <c r="G54" s="1537" t="str">
        <f>IF(RCT!J53="","",RCT!J53)</f>
        <v/>
      </c>
      <c r="I54" s="773">
        <f t="shared" si="6"/>
        <v>0</v>
      </c>
      <c r="J54" s="795"/>
      <c r="K54" s="762">
        <f t="shared" si="7"/>
        <v>0</v>
      </c>
      <c r="L54" s="798"/>
    </row>
    <row r="55" spans="1:12" ht="17">
      <c r="A55" s="64">
        <v>5</v>
      </c>
      <c r="B55" s="1536" t="str">
        <f>IF(RCT!C54="","",RCT!C54)</f>
        <v/>
      </c>
      <c r="C55" s="769" t="str">
        <f>IF(RCT!D54="","",RCT!D54)</f>
        <v/>
      </c>
      <c r="D55" s="770" t="str">
        <f>IF(RCT!L54="","",IF(ISNUMBER(RCT!L54),RCT!L54,0))</f>
        <v/>
      </c>
      <c r="E55" s="771" t="str">
        <f>IF(RCT!F54="","",IF(RCT!F54=RCT!G54,DAY(RCT!F54)&amp;"."&amp;MONTH(RCT!F54)&amp;"."&amp;YEAR(RCT!F54),DAY(RCT!F54)&amp;"."&amp;MONTH(RCT!F54)&amp;"."&amp;YEAR(RCT!F54)&amp;" - "&amp;DAY(RCT!G54)&amp;"."&amp;MONTH(RCT!G54)&amp;"."&amp;YEAR(RCT!G54)))</f>
        <v/>
      </c>
      <c r="F55" s="769" t="str">
        <f>IF(RCT!I54="","",RCT!I54)</f>
        <v/>
      </c>
      <c r="G55" s="1537" t="str">
        <f>IF(RCT!J54="","",RCT!J54)</f>
        <v/>
      </c>
      <c r="I55" s="773">
        <f t="shared" si="6"/>
        <v>0</v>
      </c>
      <c r="J55" s="795"/>
      <c r="K55" s="762">
        <f t="shared" si="7"/>
        <v>0</v>
      </c>
      <c r="L55" s="798"/>
    </row>
    <row r="56" spans="1:12" ht="17">
      <c r="A56" s="64">
        <v>6</v>
      </c>
      <c r="B56" s="1536" t="str">
        <f>IF(RCT!C55="","",RCT!C55)</f>
        <v/>
      </c>
      <c r="C56" s="769" t="str">
        <f>IF(RCT!D55="","",RCT!D55)</f>
        <v/>
      </c>
      <c r="D56" s="770" t="str">
        <f>IF(RCT!L55="","",IF(ISNUMBER(RCT!L55),RCT!L55,0))</f>
        <v/>
      </c>
      <c r="E56" s="771" t="str">
        <f>IF(RCT!F55="","",IF(RCT!F55=RCT!G55,DAY(RCT!F55)&amp;"."&amp;MONTH(RCT!F55)&amp;"."&amp;YEAR(RCT!F55),DAY(RCT!F55)&amp;"."&amp;MONTH(RCT!F55)&amp;"."&amp;YEAR(RCT!F55)&amp;" - "&amp;DAY(RCT!G55)&amp;"."&amp;MONTH(RCT!G55)&amp;"."&amp;YEAR(RCT!G55)))</f>
        <v/>
      </c>
      <c r="F56" s="769" t="str">
        <f>IF(RCT!I55="","",RCT!I55)</f>
        <v/>
      </c>
      <c r="G56" s="1537" t="str">
        <f>IF(RCT!J55="","",RCT!J55)</f>
        <v/>
      </c>
      <c r="I56" s="773">
        <f t="shared" si="6"/>
        <v>0</v>
      </c>
      <c r="J56" s="795"/>
      <c r="K56" s="762">
        <f t="shared" si="7"/>
        <v>0</v>
      </c>
      <c r="L56" s="798"/>
    </row>
    <row r="57" spans="1:12" ht="17">
      <c r="A57" s="64">
        <v>7</v>
      </c>
      <c r="B57" s="1536" t="str">
        <f>IF(RCT!C56="","",RCT!C56)</f>
        <v/>
      </c>
      <c r="C57" s="769" t="str">
        <f>IF(RCT!D56="","",RCT!D56)</f>
        <v/>
      </c>
      <c r="D57" s="770" t="str">
        <f>IF(RCT!L56="","",IF(ISNUMBER(RCT!L56),RCT!L56,0))</f>
        <v/>
      </c>
      <c r="E57" s="771" t="str">
        <f>IF(RCT!F56="","",IF(RCT!F56=RCT!G56,DAY(RCT!F56)&amp;"."&amp;MONTH(RCT!F56)&amp;"."&amp;YEAR(RCT!F56),DAY(RCT!F56)&amp;"."&amp;MONTH(RCT!F56)&amp;"."&amp;YEAR(RCT!F56)&amp;" - "&amp;DAY(RCT!G56)&amp;"."&amp;MONTH(RCT!G56)&amp;"."&amp;YEAR(RCT!G56)))</f>
        <v/>
      </c>
      <c r="F57" s="769" t="str">
        <f>IF(RCT!I56="","",RCT!I56)</f>
        <v/>
      </c>
      <c r="G57" s="1537" t="str">
        <f>IF(RCT!J56="","",RCT!J56)</f>
        <v/>
      </c>
      <c r="I57" s="773">
        <f t="shared" si="6"/>
        <v>0</v>
      </c>
      <c r="J57" s="795"/>
      <c r="K57" s="762">
        <f t="shared" si="7"/>
        <v>0</v>
      </c>
      <c r="L57" s="798"/>
    </row>
    <row r="58" spans="1:12" ht="17">
      <c r="A58" s="64">
        <v>8</v>
      </c>
      <c r="B58" s="1536" t="str">
        <f>IF(RCT!C57="","",RCT!C57)</f>
        <v/>
      </c>
      <c r="C58" s="769" t="str">
        <f>IF(RCT!D57="","",RCT!D57)</f>
        <v/>
      </c>
      <c r="D58" s="770" t="str">
        <f>IF(RCT!L57="","",IF(ISNUMBER(RCT!L57),RCT!L57,0))</f>
        <v/>
      </c>
      <c r="E58" s="771" t="str">
        <f>IF(RCT!F57="","",IF(RCT!F57=RCT!G57,DAY(RCT!F57)&amp;"."&amp;MONTH(RCT!F57)&amp;"."&amp;YEAR(RCT!F57),DAY(RCT!F57)&amp;"."&amp;MONTH(RCT!F57)&amp;"."&amp;YEAR(RCT!F57)&amp;" - "&amp;DAY(RCT!G57)&amp;"."&amp;MONTH(RCT!G57)&amp;"."&amp;YEAR(RCT!G57)))</f>
        <v/>
      </c>
      <c r="F58" s="769" t="str">
        <f>IF(RCT!I57="","",RCT!I57)</f>
        <v/>
      </c>
      <c r="G58" s="1537" t="str">
        <f>IF(RCT!J57="","",RCT!J57)</f>
        <v/>
      </c>
      <c r="I58" s="773">
        <f t="shared" si="6"/>
        <v>0</v>
      </c>
      <c r="J58" s="795"/>
      <c r="K58" s="762">
        <f t="shared" si="7"/>
        <v>0</v>
      </c>
      <c r="L58" s="798"/>
    </row>
    <row r="59" spans="1:12" ht="17">
      <c r="A59" s="64">
        <v>9</v>
      </c>
      <c r="B59" s="1536" t="str">
        <f>IF(RCT!C58="","",RCT!C58)</f>
        <v/>
      </c>
      <c r="C59" s="769" t="str">
        <f>IF(RCT!D58="","",RCT!D58)</f>
        <v/>
      </c>
      <c r="D59" s="770" t="str">
        <f>IF(RCT!L58="","",IF(ISNUMBER(RCT!L58),RCT!L58,0))</f>
        <v/>
      </c>
      <c r="E59" s="771" t="str">
        <f>IF(RCT!F58="","",IF(RCT!F58=RCT!G58,DAY(RCT!F58)&amp;"."&amp;MONTH(RCT!F58)&amp;"."&amp;YEAR(RCT!F58),DAY(RCT!F58)&amp;"."&amp;MONTH(RCT!F58)&amp;"."&amp;YEAR(RCT!F58)&amp;" - "&amp;DAY(RCT!G58)&amp;"."&amp;MONTH(RCT!G58)&amp;"."&amp;YEAR(RCT!G58)))</f>
        <v/>
      </c>
      <c r="F59" s="769" t="str">
        <f>IF(RCT!I58="","",RCT!I58)</f>
        <v/>
      </c>
      <c r="G59" s="1537" t="str">
        <f>IF(RCT!J58="","",RCT!J58)</f>
        <v/>
      </c>
      <c r="I59" s="773">
        <f t="shared" si="6"/>
        <v>0</v>
      </c>
      <c r="J59" s="795"/>
      <c r="K59" s="762">
        <f t="shared" si="7"/>
        <v>0</v>
      </c>
      <c r="L59" s="798"/>
    </row>
    <row r="60" spans="1:12" ht="17">
      <c r="A60" s="64">
        <v>10</v>
      </c>
      <c r="B60" s="1538" t="str">
        <f>IF(RCT!C59="","",RCT!C59)</f>
        <v/>
      </c>
      <c r="C60" s="1539" t="str">
        <f>IF(RCT!D59="","",RCT!D59)</f>
        <v/>
      </c>
      <c r="D60" s="1540" t="str">
        <f>IF(RCT!L59="","",IF(ISNUMBER(RCT!L59),RCT!L59,0))</f>
        <v/>
      </c>
      <c r="E60" s="1541" t="str">
        <f>IF(RCT!F59="","",IF(RCT!F59=RCT!G59,DAY(RCT!F59)&amp;"."&amp;MONTH(RCT!F59)&amp;"."&amp;YEAR(RCT!F59),DAY(RCT!F59)&amp;"."&amp;MONTH(RCT!F59)&amp;"."&amp;YEAR(RCT!F59)&amp;" - "&amp;DAY(RCT!G59)&amp;"."&amp;MONTH(RCT!G59)&amp;"."&amp;YEAR(RCT!G59)))</f>
        <v/>
      </c>
      <c r="F60" s="1539" t="str">
        <f>IF(RCT!I59="","",RCT!I59)</f>
        <v/>
      </c>
      <c r="G60" s="1542" t="str">
        <f>IF(RCT!J59="","",RCT!J59)</f>
        <v/>
      </c>
      <c r="I60" s="774">
        <f t="shared" si="6"/>
        <v>0</v>
      </c>
      <c r="J60" s="796"/>
      <c r="K60" s="763">
        <f t="shared" si="7"/>
        <v>0</v>
      </c>
      <c r="L60" s="799"/>
    </row>
    <row r="65" spans="2:8">
      <c r="B65" s="64" t="str">
        <f>Feedback_Remark_String</f>
        <v>Feedback Kommentar</v>
      </c>
    </row>
    <row r="66" spans="2:8" ht="14" customHeight="1">
      <c r="B66" s="2237"/>
      <c r="C66" s="2237"/>
      <c r="D66" s="2237"/>
      <c r="E66" s="2237"/>
      <c r="F66" s="2237"/>
      <c r="G66" s="2237"/>
      <c r="H66" s="2237"/>
    </row>
    <row r="67" spans="2:8" ht="14" customHeight="1">
      <c r="B67" s="2237"/>
      <c r="C67" s="2237"/>
      <c r="D67" s="2237"/>
      <c r="E67" s="2237"/>
      <c r="F67" s="2237"/>
      <c r="G67" s="2237"/>
      <c r="H67" s="2237"/>
    </row>
    <row r="68" spans="2:8" ht="14" customHeight="1">
      <c r="B68" s="2237"/>
      <c r="C68" s="2237"/>
      <c r="D68" s="2237"/>
      <c r="E68" s="2237"/>
      <c r="F68" s="2237"/>
      <c r="G68" s="2237"/>
      <c r="H68" s="2237"/>
    </row>
    <row r="69" spans="2:8" ht="14" customHeight="1">
      <c r="B69" s="2237"/>
      <c r="C69" s="2237"/>
      <c r="D69" s="2237"/>
      <c r="E69" s="2237"/>
      <c r="F69" s="2237"/>
      <c r="G69" s="2237"/>
      <c r="H69" s="2237"/>
    </row>
    <row r="70" spans="2:8" ht="14" customHeight="1">
      <c r="B70" s="2237"/>
      <c r="C70" s="2237"/>
      <c r="D70" s="2237"/>
      <c r="E70" s="2237"/>
      <c r="F70" s="2237"/>
      <c r="G70" s="2237"/>
      <c r="H70" s="2237"/>
    </row>
    <row r="71" spans="2:8" ht="14" customHeight="1">
      <c r="B71" s="2237"/>
      <c r="C71" s="2237"/>
      <c r="D71" s="2237"/>
      <c r="E71" s="2237"/>
      <c r="F71" s="2237"/>
      <c r="G71" s="2237"/>
      <c r="H71" s="2237"/>
    </row>
  </sheetData>
  <sheetProtection algorithmName="SHA-512" hashValue="q/GUmboZPbrN1P+PpH5JXlT1Z9BLPamOA4hBM9k+zYPZgytUeNfzPf2HhuuYiRiuNHFF5dL/tQdOg8YVjk25tw==" saltValue="PVaNHNqYkG+lHyXrh1eveA==" spinCount="100000" sheet="1" objects="1" scenarios="1" formatColumns="0" selectLockedCells="1"/>
  <mergeCells count="9">
    <mergeCell ref="B36:H36"/>
    <mergeCell ref="B66:H71"/>
    <mergeCell ref="E2:G2"/>
    <mergeCell ref="B49:H49"/>
    <mergeCell ref="I7:L7"/>
    <mergeCell ref="I8:J8"/>
    <mergeCell ref="K8:L8"/>
    <mergeCell ref="B10:H10"/>
    <mergeCell ref="B23:H23"/>
  </mergeCells>
  <pageMargins left="0.7" right="0.7" top="0.78740157499999996" bottom="0.78740157499999996" header="0.3" footer="0.3"/>
  <pageSetup paperSize="9" scale="46" orientation="portrait" r:id="rId1"/>
  <headerFooter>
    <oddFooter>&amp;LDok.-Nr./Rev./Datum
F01         /  03   / 04.12.2020
&amp;F&amp;C&amp;U&amp;A&amp;RSeite &amp;P / &amp;N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34089-E71C-46DD-B0F3-830C37EFFB18}">
  <sheetPr codeName="Recert_Pdev_EVal">
    <tabColor rgb="FFC00000"/>
  </sheetPr>
  <dimension ref="B1:E34"/>
  <sheetViews>
    <sheetView zoomScale="80" zoomScaleNormal="80" workbookViewId="0">
      <selection activeCell="C11" sqref="C11"/>
    </sheetView>
  </sheetViews>
  <sheetFormatPr baseColWidth="10" defaultColWidth="11.5" defaultRowHeight="14"/>
  <cols>
    <col min="1" max="1" width="11.5" style="64"/>
    <col min="2" max="2" width="20.5" style="64" customWidth="1"/>
    <col min="3" max="3" width="14.5" style="64" customWidth="1"/>
    <col min="4" max="5" width="19.5" style="64" customWidth="1"/>
    <col min="6" max="254" width="11.5" style="64"/>
    <col min="255" max="255" width="20.5" style="64" customWidth="1"/>
    <col min="256" max="256" width="14.5" style="64" customWidth="1"/>
    <col min="257" max="257" width="12.5" style="64" customWidth="1"/>
    <col min="258" max="258" width="17.5" style="64" customWidth="1"/>
    <col min="259" max="259" width="12.5" style="64" customWidth="1"/>
    <col min="260" max="260" width="15.5" style="64" customWidth="1"/>
    <col min="261" max="261" width="12.5" style="64" customWidth="1"/>
    <col min="262" max="510" width="11.5" style="64"/>
    <col min="511" max="511" width="20.5" style="64" customWidth="1"/>
    <col min="512" max="512" width="14.5" style="64" customWidth="1"/>
    <col min="513" max="513" width="12.5" style="64" customWidth="1"/>
    <col min="514" max="514" width="17.5" style="64" customWidth="1"/>
    <col min="515" max="515" width="12.5" style="64" customWidth="1"/>
    <col min="516" max="516" width="15.5" style="64" customWidth="1"/>
    <col min="517" max="517" width="12.5" style="64" customWidth="1"/>
    <col min="518" max="766" width="11.5" style="64"/>
    <col min="767" max="767" width="20.5" style="64" customWidth="1"/>
    <col min="768" max="768" width="14.5" style="64" customWidth="1"/>
    <col min="769" max="769" width="12.5" style="64" customWidth="1"/>
    <col min="770" max="770" width="17.5" style="64" customWidth="1"/>
    <col min="771" max="771" width="12.5" style="64" customWidth="1"/>
    <col min="772" max="772" width="15.5" style="64" customWidth="1"/>
    <col min="773" max="773" width="12.5" style="64" customWidth="1"/>
    <col min="774" max="1022" width="11.5" style="64"/>
    <col min="1023" max="1023" width="20.5" style="64" customWidth="1"/>
    <col min="1024" max="1024" width="14.5" style="64" customWidth="1"/>
    <col min="1025" max="1025" width="12.5" style="64" customWidth="1"/>
    <col min="1026" max="1026" width="17.5" style="64" customWidth="1"/>
    <col min="1027" max="1027" width="12.5" style="64" customWidth="1"/>
    <col min="1028" max="1028" width="15.5" style="64" customWidth="1"/>
    <col min="1029" max="1029" width="12.5" style="64" customWidth="1"/>
    <col min="1030" max="1278" width="11.5" style="64"/>
    <col min="1279" max="1279" width="20.5" style="64" customWidth="1"/>
    <col min="1280" max="1280" width="14.5" style="64" customWidth="1"/>
    <col min="1281" max="1281" width="12.5" style="64" customWidth="1"/>
    <col min="1282" max="1282" width="17.5" style="64" customWidth="1"/>
    <col min="1283" max="1283" width="12.5" style="64" customWidth="1"/>
    <col min="1284" max="1284" width="15.5" style="64" customWidth="1"/>
    <col min="1285" max="1285" width="12.5" style="64" customWidth="1"/>
    <col min="1286" max="1534" width="11.5" style="64"/>
    <col min="1535" max="1535" width="20.5" style="64" customWidth="1"/>
    <col min="1536" max="1536" width="14.5" style="64" customWidth="1"/>
    <col min="1537" max="1537" width="12.5" style="64" customWidth="1"/>
    <col min="1538" max="1538" width="17.5" style="64" customWidth="1"/>
    <col min="1539" max="1539" width="12.5" style="64" customWidth="1"/>
    <col min="1540" max="1540" width="15.5" style="64" customWidth="1"/>
    <col min="1541" max="1541" width="12.5" style="64" customWidth="1"/>
    <col min="1542" max="1790" width="11.5" style="64"/>
    <col min="1791" max="1791" width="20.5" style="64" customWidth="1"/>
    <col min="1792" max="1792" width="14.5" style="64" customWidth="1"/>
    <col min="1793" max="1793" width="12.5" style="64" customWidth="1"/>
    <col min="1794" max="1794" width="17.5" style="64" customWidth="1"/>
    <col min="1795" max="1795" width="12.5" style="64" customWidth="1"/>
    <col min="1796" max="1796" width="15.5" style="64" customWidth="1"/>
    <col min="1797" max="1797" width="12.5" style="64" customWidth="1"/>
    <col min="1798" max="2046" width="11.5" style="64"/>
    <col min="2047" max="2047" width="20.5" style="64" customWidth="1"/>
    <col min="2048" max="2048" width="14.5" style="64" customWidth="1"/>
    <col min="2049" max="2049" width="12.5" style="64" customWidth="1"/>
    <col min="2050" max="2050" width="17.5" style="64" customWidth="1"/>
    <col min="2051" max="2051" width="12.5" style="64" customWidth="1"/>
    <col min="2052" max="2052" width="15.5" style="64" customWidth="1"/>
    <col min="2053" max="2053" width="12.5" style="64" customWidth="1"/>
    <col min="2054" max="2302" width="11.5" style="64"/>
    <col min="2303" max="2303" width="20.5" style="64" customWidth="1"/>
    <col min="2304" max="2304" width="14.5" style="64" customWidth="1"/>
    <col min="2305" max="2305" width="12.5" style="64" customWidth="1"/>
    <col min="2306" max="2306" width="17.5" style="64" customWidth="1"/>
    <col min="2307" max="2307" width="12.5" style="64" customWidth="1"/>
    <col min="2308" max="2308" width="15.5" style="64" customWidth="1"/>
    <col min="2309" max="2309" width="12.5" style="64" customWidth="1"/>
    <col min="2310" max="2558" width="11.5" style="64"/>
    <col min="2559" max="2559" width="20.5" style="64" customWidth="1"/>
    <col min="2560" max="2560" width="14.5" style="64" customWidth="1"/>
    <col min="2561" max="2561" width="12.5" style="64" customWidth="1"/>
    <col min="2562" max="2562" width="17.5" style="64" customWidth="1"/>
    <col min="2563" max="2563" width="12.5" style="64" customWidth="1"/>
    <col min="2564" max="2564" width="15.5" style="64" customWidth="1"/>
    <col min="2565" max="2565" width="12.5" style="64" customWidth="1"/>
    <col min="2566" max="2814" width="11.5" style="64"/>
    <col min="2815" max="2815" width="20.5" style="64" customWidth="1"/>
    <col min="2816" max="2816" width="14.5" style="64" customWidth="1"/>
    <col min="2817" max="2817" width="12.5" style="64" customWidth="1"/>
    <col min="2818" max="2818" width="17.5" style="64" customWidth="1"/>
    <col min="2819" max="2819" width="12.5" style="64" customWidth="1"/>
    <col min="2820" max="2820" width="15.5" style="64" customWidth="1"/>
    <col min="2821" max="2821" width="12.5" style="64" customWidth="1"/>
    <col min="2822" max="3070" width="11.5" style="64"/>
    <col min="3071" max="3071" width="20.5" style="64" customWidth="1"/>
    <col min="3072" max="3072" width="14.5" style="64" customWidth="1"/>
    <col min="3073" max="3073" width="12.5" style="64" customWidth="1"/>
    <col min="3074" max="3074" width="17.5" style="64" customWidth="1"/>
    <col min="3075" max="3075" width="12.5" style="64" customWidth="1"/>
    <col min="3076" max="3076" width="15.5" style="64" customWidth="1"/>
    <col min="3077" max="3077" width="12.5" style="64" customWidth="1"/>
    <col min="3078" max="3326" width="11.5" style="64"/>
    <col min="3327" max="3327" width="20.5" style="64" customWidth="1"/>
    <col min="3328" max="3328" width="14.5" style="64" customWidth="1"/>
    <col min="3329" max="3329" width="12.5" style="64" customWidth="1"/>
    <col min="3330" max="3330" width="17.5" style="64" customWidth="1"/>
    <col min="3331" max="3331" width="12.5" style="64" customWidth="1"/>
    <col min="3332" max="3332" width="15.5" style="64" customWidth="1"/>
    <col min="3333" max="3333" width="12.5" style="64" customWidth="1"/>
    <col min="3334" max="3582" width="11.5" style="64"/>
    <col min="3583" max="3583" width="20.5" style="64" customWidth="1"/>
    <col min="3584" max="3584" width="14.5" style="64" customWidth="1"/>
    <col min="3585" max="3585" width="12.5" style="64" customWidth="1"/>
    <col min="3586" max="3586" width="17.5" style="64" customWidth="1"/>
    <col min="3587" max="3587" width="12.5" style="64" customWidth="1"/>
    <col min="3588" max="3588" width="15.5" style="64" customWidth="1"/>
    <col min="3589" max="3589" width="12.5" style="64" customWidth="1"/>
    <col min="3590" max="3838" width="11.5" style="64"/>
    <col min="3839" max="3839" width="20.5" style="64" customWidth="1"/>
    <col min="3840" max="3840" width="14.5" style="64" customWidth="1"/>
    <col min="3841" max="3841" width="12.5" style="64" customWidth="1"/>
    <col min="3842" max="3842" width="17.5" style="64" customWidth="1"/>
    <col min="3843" max="3843" width="12.5" style="64" customWidth="1"/>
    <col min="3844" max="3844" width="15.5" style="64" customWidth="1"/>
    <col min="3845" max="3845" width="12.5" style="64" customWidth="1"/>
    <col min="3846" max="4094" width="11.5" style="64"/>
    <col min="4095" max="4095" width="20.5" style="64" customWidth="1"/>
    <col min="4096" max="4096" width="14.5" style="64" customWidth="1"/>
    <col min="4097" max="4097" width="12.5" style="64" customWidth="1"/>
    <col min="4098" max="4098" width="17.5" style="64" customWidth="1"/>
    <col min="4099" max="4099" width="12.5" style="64" customWidth="1"/>
    <col min="4100" max="4100" width="15.5" style="64" customWidth="1"/>
    <col min="4101" max="4101" width="12.5" style="64" customWidth="1"/>
    <col min="4102" max="4350" width="11.5" style="64"/>
    <col min="4351" max="4351" width="20.5" style="64" customWidth="1"/>
    <col min="4352" max="4352" width="14.5" style="64" customWidth="1"/>
    <col min="4353" max="4353" width="12.5" style="64" customWidth="1"/>
    <col min="4354" max="4354" width="17.5" style="64" customWidth="1"/>
    <col min="4355" max="4355" width="12.5" style="64" customWidth="1"/>
    <col min="4356" max="4356" width="15.5" style="64" customWidth="1"/>
    <col min="4357" max="4357" width="12.5" style="64" customWidth="1"/>
    <col min="4358" max="4606" width="11.5" style="64"/>
    <col min="4607" max="4607" width="20.5" style="64" customWidth="1"/>
    <col min="4608" max="4608" width="14.5" style="64" customWidth="1"/>
    <col min="4609" max="4609" width="12.5" style="64" customWidth="1"/>
    <col min="4610" max="4610" width="17.5" style="64" customWidth="1"/>
    <col min="4611" max="4611" width="12.5" style="64" customWidth="1"/>
    <col min="4612" max="4612" width="15.5" style="64" customWidth="1"/>
    <col min="4613" max="4613" width="12.5" style="64" customWidth="1"/>
    <col min="4614" max="4862" width="11.5" style="64"/>
    <col min="4863" max="4863" width="20.5" style="64" customWidth="1"/>
    <col min="4864" max="4864" width="14.5" style="64" customWidth="1"/>
    <col min="4865" max="4865" width="12.5" style="64" customWidth="1"/>
    <col min="4866" max="4866" width="17.5" style="64" customWidth="1"/>
    <col min="4867" max="4867" width="12.5" style="64" customWidth="1"/>
    <col min="4868" max="4868" width="15.5" style="64" customWidth="1"/>
    <col min="4869" max="4869" width="12.5" style="64" customWidth="1"/>
    <col min="4870" max="5118" width="11.5" style="64"/>
    <col min="5119" max="5119" width="20.5" style="64" customWidth="1"/>
    <col min="5120" max="5120" width="14.5" style="64" customWidth="1"/>
    <col min="5121" max="5121" width="12.5" style="64" customWidth="1"/>
    <col min="5122" max="5122" width="17.5" style="64" customWidth="1"/>
    <col min="5123" max="5123" width="12.5" style="64" customWidth="1"/>
    <col min="5124" max="5124" width="15.5" style="64" customWidth="1"/>
    <col min="5125" max="5125" width="12.5" style="64" customWidth="1"/>
    <col min="5126" max="5374" width="11.5" style="64"/>
    <col min="5375" max="5375" width="20.5" style="64" customWidth="1"/>
    <col min="5376" max="5376" width="14.5" style="64" customWidth="1"/>
    <col min="5377" max="5377" width="12.5" style="64" customWidth="1"/>
    <col min="5378" max="5378" width="17.5" style="64" customWidth="1"/>
    <col min="5379" max="5379" width="12.5" style="64" customWidth="1"/>
    <col min="5380" max="5380" width="15.5" style="64" customWidth="1"/>
    <col min="5381" max="5381" width="12.5" style="64" customWidth="1"/>
    <col min="5382" max="5630" width="11.5" style="64"/>
    <col min="5631" max="5631" width="20.5" style="64" customWidth="1"/>
    <col min="5632" max="5632" width="14.5" style="64" customWidth="1"/>
    <col min="5633" max="5633" width="12.5" style="64" customWidth="1"/>
    <col min="5634" max="5634" width="17.5" style="64" customWidth="1"/>
    <col min="5635" max="5635" width="12.5" style="64" customWidth="1"/>
    <col min="5636" max="5636" width="15.5" style="64" customWidth="1"/>
    <col min="5637" max="5637" width="12.5" style="64" customWidth="1"/>
    <col min="5638" max="5886" width="11.5" style="64"/>
    <col min="5887" max="5887" width="20.5" style="64" customWidth="1"/>
    <col min="5888" max="5888" width="14.5" style="64" customWidth="1"/>
    <col min="5889" max="5889" width="12.5" style="64" customWidth="1"/>
    <col min="5890" max="5890" width="17.5" style="64" customWidth="1"/>
    <col min="5891" max="5891" width="12.5" style="64" customWidth="1"/>
    <col min="5892" max="5892" width="15.5" style="64" customWidth="1"/>
    <col min="5893" max="5893" width="12.5" style="64" customWidth="1"/>
    <col min="5894" max="6142" width="11.5" style="64"/>
    <col min="6143" max="6143" width="20.5" style="64" customWidth="1"/>
    <col min="6144" max="6144" width="14.5" style="64" customWidth="1"/>
    <col min="6145" max="6145" width="12.5" style="64" customWidth="1"/>
    <col min="6146" max="6146" width="17.5" style="64" customWidth="1"/>
    <col min="6147" max="6147" width="12.5" style="64" customWidth="1"/>
    <col min="6148" max="6148" width="15.5" style="64" customWidth="1"/>
    <col min="6149" max="6149" width="12.5" style="64" customWidth="1"/>
    <col min="6150" max="6398" width="11.5" style="64"/>
    <col min="6399" max="6399" width="20.5" style="64" customWidth="1"/>
    <col min="6400" max="6400" width="14.5" style="64" customWidth="1"/>
    <col min="6401" max="6401" width="12.5" style="64" customWidth="1"/>
    <col min="6402" max="6402" width="17.5" style="64" customWidth="1"/>
    <col min="6403" max="6403" width="12.5" style="64" customWidth="1"/>
    <col min="6404" max="6404" width="15.5" style="64" customWidth="1"/>
    <col min="6405" max="6405" width="12.5" style="64" customWidth="1"/>
    <col min="6406" max="6654" width="11.5" style="64"/>
    <col min="6655" max="6655" width="20.5" style="64" customWidth="1"/>
    <col min="6656" max="6656" width="14.5" style="64" customWidth="1"/>
    <col min="6657" max="6657" width="12.5" style="64" customWidth="1"/>
    <col min="6658" max="6658" width="17.5" style="64" customWidth="1"/>
    <col min="6659" max="6659" width="12.5" style="64" customWidth="1"/>
    <col min="6660" max="6660" width="15.5" style="64" customWidth="1"/>
    <col min="6661" max="6661" width="12.5" style="64" customWidth="1"/>
    <col min="6662" max="6910" width="11.5" style="64"/>
    <col min="6911" max="6911" width="20.5" style="64" customWidth="1"/>
    <col min="6912" max="6912" width="14.5" style="64" customWidth="1"/>
    <col min="6913" max="6913" width="12.5" style="64" customWidth="1"/>
    <col min="6914" max="6914" width="17.5" style="64" customWidth="1"/>
    <col min="6915" max="6915" width="12.5" style="64" customWidth="1"/>
    <col min="6916" max="6916" width="15.5" style="64" customWidth="1"/>
    <col min="6917" max="6917" width="12.5" style="64" customWidth="1"/>
    <col min="6918" max="7166" width="11.5" style="64"/>
    <col min="7167" max="7167" width="20.5" style="64" customWidth="1"/>
    <col min="7168" max="7168" width="14.5" style="64" customWidth="1"/>
    <col min="7169" max="7169" width="12.5" style="64" customWidth="1"/>
    <col min="7170" max="7170" width="17.5" style="64" customWidth="1"/>
    <col min="7171" max="7171" width="12.5" style="64" customWidth="1"/>
    <col min="7172" max="7172" width="15.5" style="64" customWidth="1"/>
    <col min="7173" max="7173" width="12.5" style="64" customWidth="1"/>
    <col min="7174" max="7422" width="11.5" style="64"/>
    <col min="7423" max="7423" width="20.5" style="64" customWidth="1"/>
    <col min="7424" max="7424" width="14.5" style="64" customWidth="1"/>
    <col min="7425" max="7425" width="12.5" style="64" customWidth="1"/>
    <col min="7426" max="7426" width="17.5" style="64" customWidth="1"/>
    <col min="7427" max="7427" width="12.5" style="64" customWidth="1"/>
    <col min="7428" max="7428" width="15.5" style="64" customWidth="1"/>
    <col min="7429" max="7429" width="12.5" style="64" customWidth="1"/>
    <col min="7430" max="7678" width="11.5" style="64"/>
    <col min="7679" max="7679" width="20.5" style="64" customWidth="1"/>
    <col min="7680" max="7680" width="14.5" style="64" customWidth="1"/>
    <col min="7681" max="7681" width="12.5" style="64" customWidth="1"/>
    <col min="7682" max="7682" width="17.5" style="64" customWidth="1"/>
    <col min="7683" max="7683" width="12.5" style="64" customWidth="1"/>
    <col min="7684" max="7684" width="15.5" style="64" customWidth="1"/>
    <col min="7685" max="7685" width="12.5" style="64" customWidth="1"/>
    <col min="7686" max="7934" width="11.5" style="64"/>
    <col min="7935" max="7935" width="20.5" style="64" customWidth="1"/>
    <col min="7936" max="7936" width="14.5" style="64" customWidth="1"/>
    <col min="7937" max="7937" width="12.5" style="64" customWidth="1"/>
    <col min="7938" max="7938" width="17.5" style="64" customWidth="1"/>
    <col min="7939" max="7939" width="12.5" style="64" customWidth="1"/>
    <col min="7940" max="7940" width="15.5" style="64" customWidth="1"/>
    <col min="7941" max="7941" width="12.5" style="64" customWidth="1"/>
    <col min="7942" max="8190" width="11.5" style="64"/>
    <col min="8191" max="8191" width="20.5" style="64" customWidth="1"/>
    <col min="8192" max="8192" width="14.5" style="64" customWidth="1"/>
    <col min="8193" max="8193" width="12.5" style="64" customWidth="1"/>
    <col min="8194" max="8194" width="17.5" style="64" customWidth="1"/>
    <col min="8195" max="8195" width="12.5" style="64" customWidth="1"/>
    <col min="8196" max="8196" width="15.5" style="64" customWidth="1"/>
    <col min="8197" max="8197" width="12.5" style="64" customWidth="1"/>
    <col min="8198" max="8446" width="11.5" style="64"/>
    <col min="8447" max="8447" width="20.5" style="64" customWidth="1"/>
    <col min="8448" max="8448" width="14.5" style="64" customWidth="1"/>
    <col min="8449" max="8449" width="12.5" style="64" customWidth="1"/>
    <col min="8450" max="8450" width="17.5" style="64" customWidth="1"/>
    <col min="8451" max="8451" width="12.5" style="64" customWidth="1"/>
    <col min="8452" max="8452" width="15.5" style="64" customWidth="1"/>
    <col min="8453" max="8453" width="12.5" style="64" customWidth="1"/>
    <col min="8454" max="8702" width="11.5" style="64"/>
    <col min="8703" max="8703" width="20.5" style="64" customWidth="1"/>
    <col min="8704" max="8704" width="14.5" style="64" customWidth="1"/>
    <col min="8705" max="8705" width="12.5" style="64" customWidth="1"/>
    <col min="8706" max="8706" width="17.5" style="64" customWidth="1"/>
    <col min="8707" max="8707" width="12.5" style="64" customWidth="1"/>
    <col min="8708" max="8708" width="15.5" style="64" customWidth="1"/>
    <col min="8709" max="8709" width="12.5" style="64" customWidth="1"/>
    <col min="8710" max="8958" width="11.5" style="64"/>
    <col min="8959" max="8959" width="20.5" style="64" customWidth="1"/>
    <col min="8960" max="8960" width="14.5" style="64" customWidth="1"/>
    <col min="8961" max="8961" width="12.5" style="64" customWidth="1"/>
    <col min="8962" max="8962" width="17.5" style="64" customWidth="1"/>
    <col min="8963" max="8963" width="12.5" style="64" customWidth="1"/>
    <col min="8964" max="8964" width="15.5" style="64" customWidth="1"/>
    <col min="8965" max="8965" width="12.5" style="64" customWidth="1"/>
    <col min="8966" max="9214" width="11.5" style="64"/>
    <col min="9215" max="9215" width="20.5" style="64" customWidth="1"/>
    <col min="9216" max="9216" width="14.5" style="64" customWidth="1"/>
    <col min="9217" max="9217" width="12.5" style="64" customWidth="1"/>
    <col min="9218" max="9218" width="17.5" style="64" customWidth="1"/>
    <col min="9219" max="9219" width="12.5" style="64" customWidth="1"/>
    <col min="9220" max="9220" width="15.5" style="64" customWidth="1"/>
    <col min="9221" max="9221" width="12.5" style="64" customWidth="1"/>
    <col min="9222" max="9470" width="11.5" style="64"/>
    <col min="9471" max="9471" width="20.5" style="64" customWidth="1"/>
    <col min="9472" max="9472" width="14.5" style="64" customWidth="1"/>
    <col min="9473" max="9473" width="12.5" style="64" customWidth="1"/>
    <col min="9474" max="9474" width="17.5" style="64" customWidth="1"/>
    <col min="9475" max="9475" width="12.5" style="64" customWidth="1"/>
    <col min="9476" max="9476" width="15.5" style="64" customWidth="1"/>
    <col min="9477" max="9477" width="12.5" style="64" customWidth="1"/>
    <col min="9478" max="9726" width="11.5" style="64"/>
    <col min="9727" max="9727" width="20.5" style="64" customWidth="1"/>
    <col min="9728" max="9728" width="14.5" style="64" customWidth="1"/>
    <col min="9729" max="9729" width="12.5" style="64" customWidth="1"/>
    <col min="9730" max="9730" width="17.5" style="64" customWidth="1"/>
    <col min="9731" max="9731" width="12.5" style="64" customWidth="1"/>
    <col min="9732" max="9732" width="15.5" style="64" customWidth="1"/>
    <col min="9733" max="9733" width="12.5" style="64" customWidth="1"/>
    <col min="9734" max="9982" width="11.5" style="64"/>
    <col min="9983" max="9983" width="20.5" style="64" customWidth="1"/>
    <col min="9984" max="9984" width="14.5" style="64" customWidth="1"/>
    <col min="9985" max="9985" width="12.5" style="64" customWidth="1"/>
    <col min="9986" max="9986" width="17.5" style="64" customWidth="1"/>
    <col min="9987" max="9987" width="12.5" style="64" customWidth="1"/>
    <col min="9988" max="9988" width="15.5" style="64" customWidth="1"/>
    <col min="9989" max="9989" width="12.5" style="64" customWidth="1"/>
    <col min="9990" max="10238" width="11.5" style="64"/>
    <col min="10239" max="10239" width="20.5" style="64" customWidth="1"/>
    <col min="10240" max="10240" width="14.5" style="64" customWidth="1"/>
    <col min="10241" max="10241" width="12.5" style="64" customWidth="1"/>
    <col min="10242" max="10242" width="17.5" style="64" customWidth="1"/>
    <col min="10243" max="10243" width="12.5" style="64" customWidth="1"/>
    <col min="10244" max="10244" width="15.5" style="64" customWidth="1"/>
    <col min="10245" max="10245" width="12.5" style="64" customWidth="1"/>
    <col min="10246" max="10494" width="11.5" style="64"/>
    <col min="10495" max="10495" width="20.5" style="64" customWidth="1"/>
    <col min="10496" max="10496" width="14.5" style="64" customWidth="1"/>
    <col min="10497" max="10497" width="12.5" style="64" customWidth="1"/>
    <col min="10498" max="10498" width="17.5" style="64" customWidth="1"/>
    <col min="10499" max="10499" width="12.5" style="64" customWidth="1"/>
    <col min="10500" max="10500" width="15.5" style="64" customWidth="1"/>
    <col min="10501" max="10501" width="12.5" style="64" customWidth="1"/>
    <col min="10502" max="10750" width="11.5" style="64"/>
    <col min="10751" max="10751" width="20.5" style="64" customWidth="1"/>
    <col min="10752" max="10752" width="14.5" style="64" customWidth="1"/>
    <col min="10753" max="10753" width="12.5" style="64" customWidth="1"/>
    <col min="10754" max="10754" width="17.5" style="64" customWidth="1"/>
    <col min="10755" max="10755" width="12.5" style="64" customWidth="1"/>
    <col min="10756" max="10756" width="15.5" style="64" customWidth="1"/>
    <col min="10757" max="10757" width="12.5" style="64" customWidth="1"/>
    <col min="10758" max="11006" width="11.5" style="64"/>
    <col min="11007" max="11007" width="20.5" style="64" customWidth="1"/>
    <col min="11008" max="11008" width="14.5" style="64" customWidth="1"/>
    <col min="11009" max="11009" width="12.5" style="64" customWidth="1"/>
    <col min="11010" max="11010" width="17.5" style="64" customWidth="1"/>
    <col min="11011" max="11011" width="12.5" style="64" customWidth="1"/>
    <col min="11012" max="11012" width="15.5" style="64" customWidth="1"/>
    <col min="11013" max="11013" width="12.5" style="64" customWidth="1"/>
    <col min="11014" max="11262" width="11.5" style="64"/>
    <col min="11263" max="11263" width="20.5" style="64" customWidth="1"/>
    <col min="11264" max="11264" width="14.5" style="64" customWidth="1"/>
    <col min="11265" max="11265" width="12.5" style="64" customWidth="1"/>
    <col min="11266" max="11266" width="17.5" style="64" customWidth="1"/>
    <col min="11267" max="11267" width="12.5" style="64" customWidth="1"/>
    <col min="11268" max="11268" width="15.5" style="64" customWidth="1"/>
    <col min="11269" max="11269" width="12.5" style="64" customWidth="1"/>
    <col min="11270" max="11518" width="11.5" style="64"/>
    <col min="11519" max="11519" width="20.5" style="64" customWidth="1"/>
    <col min="11520" max="11520" width="14.5" style="64" customWidth="1"/>
    <col min="11521" max="11521" width="12.5" style="64" customWidth="1"/>
    <col min="11522" max="11522" width="17.5" style="64" customWidth="1"/>
    <col min="11523" max="11523" width="12.5" style="64" customWidth="1"/>
    <col min="11524" max="11524" width="15.5" style="64" customWidth="1"/>
    <col min="11525" max="11525" width="12.5" style="64" customWidth="1"/>
    <col min="11526" max="11774" width="11.5" style="64"/>
    <col min="11775" max="11775" width="20.5" style="64" customWidth="1"/>
    <col min="11776" max="11776" width="14.5" style="64" customWidth="1"/>
    <col min="11777" max="11777" width="12.5" style="64" customWidth="1"/>
    <col min="11778" max="11778" width="17.5" style="64" customWidth="1"/>
    <col min="11779" max="11779" width="12.5" style="64" customWidth="1"/>
    <col min="11780" max="11780" width="15.5" style="64" customWidth="1"/>
    <col min="11781" max="11781" width="12.5" style="64" customWidth="1"/>
    <col min="11782" max="12030" width="11.5" style="64"/>
    <col min="12031" max="12031" width="20.5" style="64" customWidth="1"/>
    <col min="12032" max="12032" width="14.5" style="64" customWidth="1"/>
    <col min="12033" max="12033" width="12.5" style="64" customWidth="1"/>
    <col min="12034" max="12034" width="17.5" style="64" customWidth="1"/>
    <col min="12035" max="12035" width="12.5" style="64" customWidth="1"/>
    <col min="12036" max="12036" width="15.5" style="64" customWidth="1"/>
    <col min="12037" max="12037" width="12.5" style="64" customWidth="1"/>
    <col min="12038" max="12286" width="11.5" style="64"/>
    <col min="12287" max="12287" width="20.5" style="64" customWidth="1"/>
    <col min="12288" max="12288" width="14.5" style="64" customWidth="1"/>
    <col min="12289" max="12289" width="12.5" style="64" customWidth="1"/>
    <col min="12290" max="12290" width="17.5" style="64" customWidth="1"/>
    <col min="12291" max="12291" width="12.5" style="64" customWidth="1"/>
    <col min="12292" max="12292" width="15.5" style="64" customWidth="1"/>
    <col min="12293" max="12293" width="12.5" style="64" customWidth="1"/>
    <col min="12294" max="12542" width="11.5" style="64"/>
    <col min="12543" max="12543" width="20.5" style="64" customWidth="1"/>
    <col min="12544" max="12544" width="14.5" style="64" customWidth="1"/>
    <col min="12545" max="12545" width="12.5" style="64" customWidth="1"/>
    <col min="12546" max="12546" width="17.5" style="64" customWidth="1"/>
    <col min="12547" max="12547" width="12.5" style="64" customWidth="1"/>
    <col min="12548" max="12548" width="15.5" style="64" customWidth="1"/>
    <col min="12549" max="12549" width="12.5" style="64" customWidth="1"/>
    <col min="12550" max="12798" width="11.5" style="64"/>
    <col min="12799" max="12799" width="20.5" style="64" customWidth="1"/>
    <col min="12800" max="12800" width="14.5" style="64" customWidth="1"/>
    <col min="12801" max="12801" width="12.5" style="64" customWidth="1"/>
    <col min="12802" max="12802" width="17.5" style="64" customWidth="1"/>
    <col min="12803" max="12803" width="12.5" style="64" customWidth="1"/>
    <col min="12804" max="12804" width="15.5" style="64" customWidth="1"/>
    <col min="12805" max="12805" width="12.5" style="64" customWidth="1"/>
    <col min="12806" max="13054" width="11.5" style="64"/>
    <col min="13055" max="13055" width="20.5" style="64" customWidth="1"/>
    <col min="13056" max="13056" width="14.5" style="64" customWidth="1"/>
    <col min="13057" max="13057" width="12.5" style="64" customWidth="1"/>
    <col min="13058" max="13058" width="17.5" style="64" customWidth="1"/>
    <col min="13059" max="13059" width="12.5" style="64" customWidth="1"/>
    <col min="13060" max="13060" width="15.5" style="64" customWidth="1"/>
    <col min="13061" max="13061" width="12.5" style="64" customWidth="1"/>
    <col min="13062" max="13310" width="11.5" style="64"/>
    <col min="13311" max="13311" width="20.5" style="64" customWidth="1"/>
    <col min="13312" max="13312" width="14.5" style="64" customWidth="1"/>
    <col min="13313" max="13313" width="12.5" style="64" customWidth="1"/>
    <col min="13314" max="13314" width="17.5" style="64" customWidth="1"/>
    <col min="13315" max="13315" width="12.5" style="64" customWidth="1"/>
    <col min="13316" max="13316" width="15.5" style="64" customWidth="1"/>
    <col min="13317" max="13317" width="12.5" style="64" customWidth="1"/>
    <col min="13318" max="13566" width="11.5" style="64"/>
    <col min="13567" max="13567" width="20.5" style="64" customWidth="1"/>
    <col min="13568" max="13568" width="14.5" style="64" customWidth="1"/>
    <col min="13569" max="13569" width="12.5" style="64" customWidth="1"/>
    <col min="13570" max="13570" width="17.5" style="64" customWidth="1"/>
    <col min="13571" max="13571" width="12.5" style="64" customWidth="1"/>
    <col min="13572" max="13572" width="15.5" style="64" customWidth="1"/>
    <col min="13573" max="13573" width="12.5" style="64" customWidth="1"/>
    <col min="13574" max="13822" width="11.5" style="64"/>
    <col min="13823" max="13823" width="20.5" style="64" customWidth="1"/>
    <col min="13824" max="13824" width="14.5" style="64" customWidth="1"/>
    <col min="13825" max="13825" width="12.5" style="64" customWidth="1"/>
    <col min="13826" max="13826" width="17.5" style="64" customWidth="1"/>
    <col min="13827" max="13827" width="12.5" style="64" customWidth="1"/>
    <col min="13828" max="13828" width="15.5" style="64" customWidth="1"/>
    <col min="13829" max="13829" width="12.5" style="64" customWidth="1"/>
    <col min="13830" max="14078" width="11.5" style="64"/>
    <col min="14079" max="14079" width="20.5" style="64" customWidth="1"/>
    <col min="14080" max="14080" width="14.5" style="64" customWidth="1"/>
    <col min="14081" max="14081" width="12.5" style="64" customWidth="1"/>
    <col min="14082" max="14082" width="17.5" style="64" customWidth="1"/>
    <col min="14083" max="14083" width="12.5" style="64" customWidth="1"/>
    <col min="14084" max="14084" width="15.5" style="64" customWidth="1"/>
    <col min="14085" max="14085" width="12.5" style="64" customWidth="1"/>
    <col min="14086" max="14334" width="11.5" style="64"/>
    <col min="14335" max="14335" width="20.5" style="64" customWidth="1"/>
    <col min="14336" max="14336" width="14.5" style="64" customWidth="1"/>
    <col min="14337" max="14337" width="12.5" style="64" customWidth="1"/>
    <col min="14338" max="14338" width="17.5" style="64" customWidth="1"/>
    <col min="14339" max="14339" width="12.5" style="64" customWidth="1"/>
    <col min="14340" max="14340" width="15.5" style="64" customWidth="1"/>
    <col min="14341" max="14341" width="12.5" style="64" customWidth="1"/>
    <col min="14342" max="14590" width="11.5" style="64"/>
    <col min="14591" max="14591" width="20.5" style="64" customWidth="1"/>
    <col min="14592" max="14592" width="14.5" style="64" customWidth="1"/>
    <col min="14593" max="14593" width="12.5" style="64" customWidth="1"/>
    <col min="14594" max="14594" width="17.5" style="64" customWidth="1"/>
    <col min="14595" max="14595" width="12.5" style="64" customWidth="1"/>
    <col min="14596" max="14596" width="15.5" style="64" customWidth="1"/>
    <col min="14597" max="14597" width="12.5" style="64" customWidth="1"/>
    <col min="14598" max="14846" width="11.5" style="64"/>
    <col min="14847" max="14847" width="20.5" style="64" customWidth="1"/>
    <col min="14848" max="14848" width="14.5" style="64" customWidth="1"/>
    <col min="14849" max="14849" width="12.5" style="64" customWidth="1"/>
    <col min="14850" max="14850" width="17.5" style="64" customWidth="1"/>
    <col min="14851" max="14851" width="12.5" style="64" customWidth="1"/>
    <col min="14852" max="14852" width="15.5" style="64" customWidth="1"/>
    <col min="14853" max="14853" width="12.5" style="64" customWidth="1"/>
    <col min="14854" max="15102" width="11.5" style="64"/>
    <col min="15103" max="15103" width="20.5" style="64" customWidth="1"/>
    <col min="15104" max="15104" width="14.5" style="64" customWidth="1"/>
    <col min="15105" max="15105" width="12.5" style="64" customWidth="1"/>
    <col min="15106" max="15106" width="17.5" style="64" customWidth="1"/>
    <col min="15107" max="15107" width="12.5" style="64" customWidth="1"/>
    <col min="15108" max="15108" width="15.5" style="64" customWidth="1"/>
    <col min="15109" max="15109" width="12.5" style="64" customWidth="1"/>
    <col min="15110" max="15358" width="11.5" style="64"/>
    <col min="15359" max="15359" width="20.5" style="64" customWidth="1"/>
    <col min="15360" max="15360" width="14.5" style="64" customWidth="1"/>
    <col min="15361" max="15361" width="12.5" style="64" customWidth="1"/>
    <col min="15362" max="15362" width="17.5" style="64" customWidth="1"/>
    <col min="15363" max="15363" width="12.5" style="64" customWidth="1"/>
    <col min="15364" max="15364" width="15.5" style="64" customWidth="1"/>
    <col min="15365" max="15365" width="12.5" style="64" customWidth="1"/>
    <col min="15366" max="15614" width="11.5" style="64"/>
    <col min="15615" max="15615" width="20.5" style="64" customWidth="1"/>
    <col min="15616" max="15616" width="14.5" style="64" customWidth="1"/>
    <col min="15617" max="15617" width="12.5" style="64" customWidth="1"/>
    <col min="15618" max="15618" width="17.5" style="64" customWidth="1"/>
    <col min="15619" max="15619" width="12.5" style="64" customWidth="1"/>
    <col min="15620" max="15620" width="15.5" style="64" customWidth="1"/>
    <col min="15621" max="15621" width="12.5" style="64" customWidth="1"/>
    <col min="15622" max="15870" width="11.5" style="64"/>
    <col min="15871" max="15871" width="20.5" style="64" customWidth="1"/>
    <col min="15872" max="15872" width="14.5" style="64" customWidth="1"/>
    <col min="15873" max="15873" width="12.5" style="64" customWidth="1"/>
    <col min="15874" max="15874" width="17.5" style="64" customWidth="1"/>
    <col min="15875" max="15875" width="12.5" style="64" customWidth="1"/>
    <col min="15876" max="15876" width="15.5" style="64" customWidth="1"/>
    <col min="15877" max="15877" width="12.5" style="64" customWidth="1"/>
    <col min="15878" max="16126" width="11.5" style="64"/>
    <col min="16127" max="16127" width="20.5" style="64" customWidth="1"/>
    <col min="16128" max="16128" width="14.5" style="64" customWidth="1"/>
    <col min="16129" max="16129" width="12.5" style="64" customWidth="1"/>
    <col min="16130" max="16130" width="17.5" style="64" customWidth="1"/>
    <col min="16131" max="16131" width="12.5" style="64" customWidth="1"/>
    <col min="16132" max="16132" width="15.5" style="64" customWidth="1"/>
    <col min="16133" max="16133" width="12.5" style="64" customWidth="1"/>
    <col min="16134" max="16384" width="11.5" style="64"/>
  </cols>
  <sheetData>
    <row r="1" spans="2:5">
      <c r="B1" s="160"/>
      <c r="C1" s="160"/>
      <c r="D1" s="160"/>
    </row>
    <row r="2" spans="2:5" ht="17" thickBot="1">
      <c r="B2" s="166">
        <f>COV!E6</f>
        <v>0</v>
      </c>
      <c r="C2" s="165">
        <f>COV!E7</f>
        <v>0</v>
      </c>
      <c r="D2" s="164"/>
      <c r="E2" s="1745" t="str">
        <f>COV!$L$26</f>
        <v>PM ZERT</v>
      </c>
    </row>
    <row r="3" spans="2:5">
      <c r="B3" s="775" t="str">
        <f>Dictionary!B1133</f>
        <v>Name</v>
      </c>
      <c r="C3" s="775" t="str">
        <f>Dictionary!B1134</f>
        <v>Vorname</v>
      </c>
      <c r="D3" s="160"/>
      <c r="E3" s="1746" t="str">
        <f>COV!$D$94</f>
        <v/>
      </c>
    </row>
    <row r="4" spans="2:5">
      <c r="B4" s="160"/>
      <c r="C4" s="160"/>
      <c r="D4" s="160"/>
      <c r="E4" s="160"/>
    </row>
    <row r="5" spans="2:5">
      <c r="B5" s="160" t="str">
        <f>Dictionary!B1205</f>
        <v>Zusammenfassung der Weiterbildung</v>
      </c>
      <c r="C5" s="160"/>
      <c r="D5" s="160"/>
      <c r="E5" s="160"/>
    </row>
    <row r="6" spans="2:5">
      <c r="B6" s="160"/>
      <c r="C6" s="160"/>
      <c r="D6" s="160"/>
      <c r="E6" s="160"/>
    </row>
    <row r="7" spans="2:5">
      <c r="B7" s="160"/>
      <c r="C7" s="160"/>
      <c r="D7" s="160"/>
      <c r="E7" s="160"/>
    </row>
    <row r="8" spans="2:5">
      <c r="D8" s="2243" t="str">
        <f>Dictionary!B1136</f>
        <v>Evaluierungs Ergebnis (Std.)</v>
      </c>
      <c r="E8" s="2243"/>
    </row>
    <row r="9" spans="2:5">
      <c r="D9" s="1505" t="s">
        <v>661</v>
      </c>
      <c r="E9" s="1506" t="s">
        <v>660</v>
      </c>
    </row>
    <row r="10" spans="2:5" ht="45">
      <c r="C10" s="1520" t="str">
        <f>Dictionary!B1206</f>
        <v xml:space="preserve">Weiterbildungs- stunden Gesamt </v>
      </c>
      <c r="D10" s="768" t="str">
        <f>Dictionary!B1208</f>
        <v>Anerkannte Angaben (Std.)</v>
      </c>
      <c r="E10" s="1513" t="str">
        <f>Dictionary!B1208</f>
        <v>Anerkannte Angaben (Std.)</v>
      </c>
    </row>
    <row r="11" spans="2:5" ht="78" customHeight="1">
      <c r="B11" s="1511" t="str">
        <f>RCL!B3</f>
        <v>Professionelle Weiterbildung: Lernen</v>
      </c>
      <c r="C11" s="1521">
        <f>'RCL Eval'!E5</f>
        <v>0</v>
      </c>
      <c r="D11" s="1514">
        <f>'RCL Eval'!F5</f>
        <v>0</v>
      </c>
      <c r="E11" s="1515">
        <f>'RCL Eval'!G5</f>
        <v>0</v>
      </c>
    </row>
    <row r="12" spans="2:5" ht="78" customHeight="1">
      <c r="B12" s="1511" t="str">
        <f>RCT!C3</f>
        <v>Professionelle Weiterbildung: Lehren und Anderen Erfahrung vermitteln</v>
      </c>
      <c r="C12" s="1522">
        <f>'RCT Eval'!E5</f>
        <v>0</v>
      </c>
      <c r="D12" s="1516">
        <f>'RCT Eval'!F5</f>
        <v>0</v>
      </c>
      <c r="E12" s="1517">
        <f>'RCT Eval'!G5</f>
        <v>0</v>
      </c>
    </row>
    <row r="13" spans="2:5" ht="15">
      <c r="B13" s="1512" t="str">
        <f>Dictionary!B1213</f>
        <v>Gesamt</v>
      </c>
      <c r="C13" s="1523">
        <f>SUM(C11:C12)+C17</f>
        <v>0</v>
      </c>
      <c r="D13" s="1518">
        <f>SUM(D11:D12)+C17</f>
        <v>0</v>
      </c>
      <c r="E13" s="1519">
        <f>SUM(E11:E12)+C17</f>
        <v>0</v>
      </c>
    </row>
    <row r="14" spans="2:5" ht="15">
      <c r="B14" s="764" t="str">
        <f>Dictionary!B1214</f>
        <v>Erforderlich</v>
      </c>
      <c r="C14" s="765">
        <v>175</v>
      </c>
      <c r="D14" s="766"/>
    </row>
    <row r="17" spans="2:5">
      <c r="B17" s="64" t="str">
        <f>IF(GC_Flag="","GPM Bonus:","")</f>
        <v>GPM Bonus:</v>
      </c>
      <c r="C17" s="1383">
        <f>IF('RCL Eval'!G8="",0,IF(LEN(RCL!D8)&gt;=5,25,0))</f>
        <v>0</v>
      </c>
    </row>
    <row r="20" spans="2:5" ht="45" customHeight="1">
      <c r="B20" s="64" t="str">
        <f>Dictionary!B1215</f>
        <v>Siehe Projektliste für PM Erfahrungsnachweis</v>
      </c>
    </row>
    <row r="21" spans="2:5" ht="56">
      <c r="B21" s="2244" t="str">
        <f>Dictionary!B1216</f>
        <v>Arbeitszeit in einer PJM, PJO, PPFM, PGM, PO, SM Rolle, pro Jahr</v>
      </c>
      <c r="C21" s="2244"/>
      <c r="D21" s="2244"/>
      <c r="E21" s="1507" t="str">
        <f>Dictionary!B1217</f>
        <v>Für Weiterbildung in der Rezertifizierung anrechenbare PM Zeit pro Jahr</v>
      </c>
    </row>
    <row r="22" spans="2:5">
      <c r="B22" s="2249" t="s">
        <v>679</v>
      </c>
      <c r="C22" s="2250"/>
      <c r="D22" s="2250"/>
      <c r="E22" s="1508" t="s">
        <v>678</v>
      </c>
    </row>
    <row r="23" spans="2:5">
      <c r="B23" s="2247" t="s">
        <v>677</v>
      </c>
      <c r="C23" s="2248"/>
      <c r="D23" s="2248"/>
      <c r="E23" s="1509" t="s">
        <v>676</v>
      </c>
    </row>
    <row r="24" spans="2:5">
      <c r="B24" s="2247" t="s">
        <v>675</v>
      </c>
      <c r="C24" s="2248"/>
      <c r="D24" s="2248"/>
      <c r="E24" s="1509" t="s">
        <v>674</v>
      </c>
    </row>
    <row r="25" spans="2:5">
      <c r="B25" s="2247" t="s">
        <v>673</v>
      </c>
      <c r="C25" s="2248"/>
      <c r="D25" s="2248"/>
      <c r="E25" s="1509" t="s">
        <v>672</v>
      </c>
    </row>
    <row r="26" spans="2:5">
      <c r="B26" s="2245" t="s">
        <v>671</v>
      </c>
      <c r="C26" s="2246"/>
      <c r="D26" s="2246"/>
      <c r="E26" s="1510" t="s">
        <v>670</v>
      </c>
    </row>
    <row r="34" spans="3:3">
      <c r="C34" s="767"/>
    </row>
  </sheetData>
  <sheetProtection algorithmName="SHA-512" hashValue="OBcxpf52eg2jTFb1uvIB3N8y/M/yyTUbMrRDPn1FviDBvKXnzJ7Ig4JiSVZiZ0TBa8IDgNpu/CWsFZNos785Pg==" saltValue="kqlk/Jg1eXkPVOk+AVuGeg==" spinCount="100000" sheet="1" objects="1" scenarios="1" formatColumns="0" selectLockedCells="1"/>
  <mergeCells count="7">
    <mergeCell ref="D8:E8"/>
    <mergeCell ref="B21:D21"/>
    <mergeCell ref="B26:D26"/>
    <mergeCell ref="B23:D23"/>
    <mergeCell ref="B24:D24"/>
    <mergeCell ref="B25:D25"/>
    <mergeCell ref="B22:D22"/>
  </mergeCells>
  <pageMargins left="0.7" right="0.7" top="0.78740157499999996" bottom="0.78740157499999996" header="0.3" footer="0.3"/>
  <pageSetup paperSize="9" scale="46" orientation="portrait" r:id="rId1"/>
  <headerFooter>
    <oddFooter>&amp;LDok.-Nr./Rev./Datum
F01         /  03   / 04.12.2020
&amp;F&amp;C&amp;U&amp;A&amp;RSeite &amp;P / &amp;N</oddFooter>
  </headerFooter>
  <extLst>
    <ext xmlns:x14="http://schemas.microsoft.com/office/spreadsheetml/2009/9/main" uri="{78C0D931-6437-407d-A8EE-F0AAD7539E65}">
      <x14:conditionalFormattings>
        <x14:conditionalFormatting xmlns:xm="http://schemas.microsoft.com/office/excel/2006/main">
          <x14:cfRule type="expression" priority="1" id="{00000000-000E-0000-4400-000001000000}">
            <xm:f>COV!$D$93&lt;&gt;""</xm:f>
            <x14:dxf>
              <font>
                <color theme="0"/>
              </font>
              <fill>
                <patternFill>
                  <bgColor theme="0"/>
                </patternFill>
              </fill>
              <border>
                <left/>
                <right/>
                <top/>
                <bottom/>
              </border>
            </x14:dxf>
          </x14:cfRule>
          <xm:sqref>B17:C17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dmin_References">
    <tabColor theme="0"/>
  </sheetPr>
  <dimension ref="B1:N69"/>
  <sheetViews>
    <sheetView workbookViewId="0">
      <selection activeCell="E17" sqref="E17:I17"/>
    </sheetView>
  </sheetViews>
  <sheetFormatPr baseColWidth="10" defaultColWidth="12" defaultRowHeight="16"/>
  <cols>
    <col min="1" max="1" width="2" style="190" customWidth="1"/>
    <col min="2" max="4" width="20.1640625" style="190" customWidth="1"/>
    <col min="5" max="9" width="19.33203125" style="190" customWidth="1"/>
    <col min="10" max="10" width="12" style="190"/>
    <col min="11" max="11" width="12.5" style="190" hidden="1" customWidth="1"/>
    <col min="12" max="12" width="22.83203125" style="190" hidden="1" customWidth="1"/>
    <col min="13" max="14" width="12.5" style="190" hidden="1" customWidth="1"/>
    <col min="15" max="16" width="0" style="190" hidden="1" customWidth="1"/>
    <col min="17" max="16384" width="12" style="190"/>
  </cols>
  <sheetData>
    <row r="1" spans="2:13" ht="16.5" customHeight="1" thickBot="1">
      <c r="B1" s="459"/>
      <c r="C1" s="459"/>
      <c r="D1" s="459"/>
      <c r="E1" s="459"/>
      <c r="F1" s="459"/>
      <c r="G1" s="459"/>
      <c r="H1" s="459"/>
      <c r="I1" s="459"/>
    </row>
    <row r="2" spans="2:13" ht="5.25" customHeight="1" thickTop="1">
      <c r="M2" s="190" t="s">
        <v>284</v>
      </c>
    </row>
    <row r="3" spans="2:13" ht="30" customHeight="1">
      <c r="B3" s="2046" t="str">
        <f>Dictionary!B506&amp;COV!E6&amp;", "&amp;COV!E7</f>
        <v xml:space="preserve">Vorhandenes Zertifikat und Referenzen für , </v>
      </c>
      <c r="C3" s="2046"/>
      <c r="D3" s="2046"/>
      <c r="E3" s="2046"/>
      <c r="F3" s="2046"/>
      <c r="G3" s="2046"/>
      <c r="H3" s="2046"/>
      <c r="I3" s="2046"/>
    </row>
    <row r="4" spans="2:13" ht="12.75" customHeight="1">
      <c r="B4" s="1352"/>
      <c r="C4" s="1352"/>
      <c r="D4" s="1352"/>
      <c r="E4" s="1352"/>
      <c r="F4" s="1352"/>
      <c r="G4" s="1352"/>
      <c r="H4" s="1352"/>
      <c r="I4" s="1352"/>
    </row>
    <row r="5" spans="2:13" ht="32.25" customHeight="1">
      <c r="B5" s="2092" t="str">
        <f>Dictionary!B507</f>
        <v>Ich bin im Besitz eines gültigen IPMA Zertifikats mit den folgenden Daten (verpflichtend bei Re-Zert und Höherzertifizierungen):</v>
      </c>
      <c r="C5" s="2092"/>
      <c r="D5" s="2092"/>
      <c r="E5" s="2092"/>
      <c r="F5" s="2092"/>
      <c r="G5" s="2092"/>
      <c r="H5" s="2092"/>
      <c r="I5" s="2092"/>
    </row>
    <row r="6" spans="2:13" ht="18.75" customHeight="1">
      <c r="B6" s="2091" t="str">
        <f>Dictionary!B508</f>
        <v>Vorhandenes IPMA Zertifikat (nur bei Rezertifizierung und Höherzertifizierung erforderlich)</v>
      </c>
      <c r="C6" s="2091"/>
      <c r="D6" s="2091"/>
      <c r="E6" s="2091"/>
      <c r="F6" s="2091"/>
      <c r="G6" s="2091"/>
      <c r="H6" s="2091"/>
      <c r="I6" s="2091"/>
    </row>
    <row r="7" spans="2:13" ht="18.75" customHeight="1">
      <c r="B7" s="2073" t="str">
        <f>Dictionary!B509</f>
        <v>Zertifizierter IPMA Level:</v>
      </c>
      <c r="C7" s="2073"/>
      <c r="D7" s="2073"/>
      <c r="E7" s="2081"/>
      <c r="F7" s="2082"/>
      <c r="G7" s="2082"/>
      <c r="H7" s="2082"/>
      <c r="I7" s="2083"/>
    </row>
    <row r="8" spans="2:13" ht="18.75" customHeight="1">
      <c r="B8" s="2073" t="str">
        <f>Dictionary!B510</f>
        <v>Zertifizierte IPMA Domäne:</v>
      </c>
      <c r="C8" s="2073"/>
      <c r="D8" s="2073"/>
      <c r="E8" s="2074"/>
      <c r="F8" s="2075"/>
      <c r="G8" s="2075"/>
      <c r="H8" s="2075"/>
      <c r="I8" s="2076"/>
    </row>
    <row r="9" spans="2:13" ht="18.75" customHeight="1">
      <c r="B9" s="2073" t="str">
        <f>Dictionary!B511</f>
        <v>Zertifikat Nr.:</v>
      </c>
      <c r="C9" s="2073"/>
      <c r="D9" s="2073"/>
      <c r="E9" s="2074"/>
      <c r="F9" s="2075"/>
      <c r="G9" s="2075"/>
      <c r="H9" s="2075"/>
      <c r="I9" s="2076"/>
    </row>
    <row r="10" spans="2:13" ht="18.75" customHeight="1">
      <c r="B10" s="2073" t="str">
        <f>Dictionary!B512</f>
        <v>Gültig bis:</v>
      </c>
      <c r="C10" s="2073"/>
      <c r="D10" s="2073"/>
      <c r="E10" s="2093"/>
      <c r="F10" s="2094"/>
      <c r="G10" s="2094"/>
      <c r="H10" s="2094"/>
      <c r="I10" s="2095"/>
    </row>
    <row r="11" spans="2:13" ht="18.75" customHeight="1">
      <c r="B11" s="1356"/>
      <c r="C11" s="1356"/>
      <c r="D11" s="1356"/>
      <c r="E11" s="1365" t="str">
        <f>Dictionary!B513</f>
        <v>Hinweise an Kandidaten:</v>
      </c>
      <c r="F11" s="1356"/>
      <c r="G11" s="1356"/>
      <c r="H11" s="1356"/>
      <c r="I11" s="1356"/>
      <c r="J11" s="1356"/>
    </row>
    <row r="12" spans="2:13" ht="70.5" customHeight="1">
      <c r="B12" s="1346"/>
      <c r="C12" s="1346"/>
      <c r="D12" s="1346"/>
      <c r="E12" s="2088" t="str">
        <f>IF(G68="",Dictionary!B514,H64&amp;H65&amp;H66&amp;H67)</f>
        <v>Keine</v>
      </c>
      <c r="F12" s="2089"/>
      <c r="G12" s="2089"/>
      <c r="H12" s="2089"/>
      <c r="I12" s="2090"/>
    </row>
    <row r="13" spans="2:13" ht="16.5" customHeight="1">
      <c r="B13" s="1346"/>
      <c r="C13" s="1346"/>
      <c r="D13" s="1346"/>
      <c r="E13" s="1362"/>
      <c r="F13" s="1362"/>
      <c r="G13" s="1362"/>
      <c r="H13" s="1362"/>
      <c r="I13" s="1362"/>
    </row>
    <row r="14" spans="2:13" ht="32.25" customHeight="1">
      <c r="B14" s="2085" t="str">
        <f>Dictionary!B515</f>
        <v>Die folgenden Personen haben sich bereit erklärt, zu bestätigen, dass ich im Bereich Projektmanagement tätig bin und die Angaben in meinen Unterlagen nach deren bestem Wissen und Gewissen der Wahrheit entsprechen.</v>
      </c>
      <c r="C14" s="2085"/>
      <c r="D14" s="2085"/>
      <c r="E14" s="2085"/>
      <c r="F14" s="2085"/>
      <c r="G14" s="2085"/>
      <c r="H14" s="2085"/>
      <c r="I14" s="2085"/>
    </row>
    <row r="15" spans="2:13" ht="18.75" customHeight="1"/>
    <row r="16" spans="2:13" ht="18.75" customHeight="1">
      <c r="B16" s="556" t="str">
        <f>IF(GC_Flag="",Dictionary!B516,Dictionary!B517)</f>
        <v xml:space="preserve">Erste Referenzperson (nur Level C, B, und A):  </v>
      </c>
      <c r="E16" s="2087"/>
      <c r="F16" s="2087"/>
      <c r="H16" s="2087"/>
      <c r="I16" s="2087"/>
    </row>
    <row r="17" spans="2:9" s="192" customFormat="1" ht="18.75" customHeight="1">
      <c r="B17" s="2073" t="str">
        <f>Dictionary!B518</f>
        <v xml:space="preserve">Anrede, Vorname und Nachname: </v>
      </c>
      <c r="C17" s="2073"/>
      <c r="D17" s="2073"/>
      <c r="E17" s="2081"/>
      <c r="F17" s="2082"/>
      <c r="G17" s="2082"/>
      <c r="H17" s="2082"/>
      <c r="I17" s="2083"/>
    </row>
    <row r="18" spans="2:9" s="192" customFormat="1" ht="18.75" customHeight="1">
      <c r="B18" s="2073" t="str">
        <f>Dictionary!B519</f>
        <v>Titel:</v>
      </c>
      <c r="C18" s="2073"/>
      <c r="D18" s="2073"/>
      <c r="E18" s="2074"/>
      <c r="F18" s="2075"/>
      <c r="G18" s="2075"/>
      <c r="H18" s="2075"/>
      <c r="I18" s="2076"/>
    </row>
    <row r="19" spans="2:9" s="192" customFormat="1" ht="18.75" customHeight="1">
      <c r="B19" s="2073" t="str">
        <f>Dictionary!B520</f>
        <v xml:space="preserve">Name des Unternehmens: </v>
      </c>
      <c r="C19" s="2073"/>
      <c r="D19" s="2073"/>
      <c r="E19" s="2074"/>
      <c r="F19" s="2075"/>
      <c r="G19" s="2075"/>
      <c r="H19" s="2075"/>
      <c r="I19" s="2076"/>
    </row>
    <row r="20" spans="2:9" s="192" customFormat="1" ht="18.75" customHeight="1">
      <c r="B20" s="2073" t="str">
        <f>Dictionary!B521</f>
        <v xml:space="preserve">Kontaktadresse: </v>
      </c>
      <c r="C20" s="2073"/>
      <c r="D20" s="2073"/>
      <c r="E20" s="2074"/>
      <c r="F20" s="2075"/>
      <c r="G20" s="2075"/>
      <c r="H20" s="2075"/>
      <c r="I20" s="2076"/>
    </row>
    <row r="21" spans="2:9" s="192" customFormat="1" ht="18.75" customHeight="1">
      <c r="B21" s="2073" t="str">
        <f>Dictionary!B522</f>
        <v>Telefonische Kontaktaufnahme:</v>
      </c>
      <c r="C21" s="2073"/>
      <c r="D21" s="2073"/>
      <c r="E21" s="2074"/>
      <c r="F21" s="2075"/>
      <c r="G21" s="2075"/>
      <c r="H21" s="2075"/>
      <c r="I21" s="2076"/>
    </row>
    <row r="22" spans="2:9" s="192" customFormat="1" ht="18.75" customHeight="1">
      <c r="B22" s="2073" t="str">
        <f>Dictionary!B523</f>
        <v>E-Mail Kontakt:</v>
      </c>
      <c r="C22" s="2073"/>
      <c r="D22" s="2073"/>
      <c r="E22" s="2077"/>
      <c r="F22" s="2078"/>
      <c r="G22" s="2078"/>
      <c r="H22" s="2078"/>
      <c r="I22" s="2079"/>
    </row>
    <row r="23" spans="2:9" s="192" customFormat="1" ht="18.75" customHeight="1">
      <c r="B23" s="193"/>
      <c r="C23" s="191"/>
      <c r="D23" s="191"/>
      <c r="E23" s="194"/>
      <c r="F23" s="194"/>
      <c r="G23" s="194"/>
      <c r="H23" s="194"/>
      <c r="I23" s="194"/>
    </row>
    <row r="24" spans="2:9" ht="18.75" customHeight="1">
      <c r="B24" s="556" t="str">
        <f>Dictionary!B524</f>
        <v xml:space="preserve">Zweite Referenzperson (nur Level C, B, und A):  </v>
      </c>
      <c r="E24" s="2080"/>
      <c r="F24" s="2080"/>
      <c r="G24" s="195"/>
      <c r="H24" s="2080"/>
      <c r="I24" s="2080"/>
    </row>
    <row r="25" spans="2:9" s="192" customFormat="1" ht="18.75" customHeight="1">
      <c r="B25" s="2073" t="str">
        <f>Dictionary!B518</f>
        <v xml:space="preserve">Anrede, Vorname und Nachname: </v>
      </c>
      <c r="C25" s="2073"/>
      <c r="D25" s="2073"/>
      <c r="E25" s="2081"/>
      <c r="F25" s="2082"/>
      <c r="G25" s="2082"/>
      <c r="H25" s="2082"/>
      <c r="I25" s="2083"/>
    </row>
    <row r="26" spans="2:9" s="192" customFormat="1" ht="18.75" customHeight="1">
      <c r="B26" s="2073" t="str">
        <f>Dictionary!B519</f>
        <v>Titel:</v>
      </c>
      <c r="C26" s="2073"/>
      <c r="D26" s="2073"/>
      <c r="E26" s="2074"/>
      <c r="F26" s="2075"/>
      <c r="G26" s="2075"/>
      <c r="H26" s="2075"/>
      <c r="I26" s="2076"/>
    </row>
    <row r="27" spans="2:9" s="192" customFormat="1" ht="18.75" customHeight="1">
      <c r="B27" s="2073" t="str">
        <f>Dictionary!B520</f>
        <v xml:space="preserve">Name des Unternehmens: </v>
      </c>
      <c r="C27" s="2073"/>
      <c r="D27" s="2073"/>
      <c r="E27" s="2074"/>
      <c r="F27" s="2075"/>
      <c r="G27" s="2075"/>
      <c r="H27" s="2075"/>
      <c r="I27" s="2076"/>
    </row>
    <row r="28" spans="2:9" s="192" customFormat="1" ht="18.75" customHeight="1">
      <c r="B28" s="2073" t="str">
        <f>Dictionary!B521</f>
        <v xml:space="preserve">Kontaktadresse: </v>
      </c>
      <c r="C28" s="2073"/>
      <c r="D28" s="2073"/>
      <c r="E28" s="2084"/>
      <c r="F28" s="2075"/>
      <c r="G28" s="2075"/>
      <c r="H28" s="2075"/>
      <c r="I28" s="2076"/>
    </row>
    <row r="29" spans="2:9" s="192" customFormat="1" ht="18.75" customHeight="1">
      <c r="B29" s="2073" t="str">
        <f>Dictionary!B522</f>
        <v>Telefonische Kontaktaufnahme:</v>
      </c>
      <c r="C29" s="2073"/>
      <c r="D29" s="2073"/>
      <c r="E29" s="2074"/>
      <c r="F29" s="2075"/>
      <c r="G29" s="2075"/>
      <c r="H29" s="2075"/>
      <c r="I29" s="2076"/>
    </row>
    <row r="30" spans="2:9" s="192" customFormat="1" ht="18.75" customHeight="1">
      <c r="B30" s="2073" t="str">
        <f>Dictionary!B523</f>
        <v>E-Mail Kontakt:</v>
      </c>
      <c r="C30" s="2073"/>
      <c r="D30" s="2073"/>
      <c r="E30" s="2077"/>
      <c r="F30" s="2078"/>
      <c r="G30" s="2078"/>
      <c r="H30" s="2078"/>
      <c r="I30" s="2079"/>
    </row>
    <row r="31" spans="2:9" s="192" customFormat="1" ht="18.75" customHeight="1">
      <c r="B31" s="191"/>
      <c r="C31" s="191"/>
      <c r="D31" s="191"/>
      <c r="E31" s="191"/>
      <c r="F31" s="191"/>
      <c r="G31" s="191"/>
      <c r="H31" s="191"/>
      <c r="I31" s="191"/>
    </row>
    <row r="32" spans="2:9" ht="46.5" customHeight="1">
      <c r="B32" s="2086" t="str">
        <f>Dictionary!B525</f>
        <v xml:space="preserve">Mit der Abgabe meiner Anmeldung bestätige ich, dass ich die Zustimmung aller meiner Referenzpersonen zur Weitergabe ihrer Kontaktdaten habe. Mit der Abgabe meiner Anmeldung bestätige ich auserdem, dass ich mit den Vertragsbedingungen der Zertifizierungsstelle einverstanden bin, </v>
      </c>
      <c r="C32" s="2086"/>
      <c r="D32" s="2086"/>
      <c r="E32" s="2086"/>
      <c r="F32" s="2086"/>
      <c r="G32" s="2086"/>
      <c r="H32" s="2086"/>
      <c r="I32" s="2086"/>
    </row>
    <row r="34" spans="2:9" hidden="1"/>
    <row r="35" spans="2:9" hidden="1">
      <c r="G35" s="2059"/>
      <c r="H35" s="2059"/>
      <c r="I35" s="2059"/>
    </row>
    <row r="36" spans="2:9" hidden="1">
      <c r="G36" s="2059"/>
      <c r="H36" s="2059"/>
      <c r="I36" s="2059"/>
    </row>
    <row r="37" spans="2:9" hidden="1">
      <c r="B37" s="2061"/>
      <c r="C37" s="2061"/>
      <c r="E37" s="2063"/>
      <c r="G37" s="2059"/>
      <c r="H37" s="2059"/>
      <c r="I37" s="2059"/>
    </row>
    <row r="38" spans="2:9" hidden="1">
      <c r="B38" s="2062"/>
      <c r="C38" s="2062"/>
      <c r="E38" s="2064"/>
      <c r="G38" s="2060"/>
      <c r="H38" s="2060"/>
      <c r="I38" s="2060"/>
    </row>
    <row r="39" spans="2:9" hidden="1">
      <c r="B39" s="2065" t="str">
        <f>Dictionary!B526</f>
        <v>Ort</v>
      </c>
      <c r="C39" s="2065"/>
      <c r="E39" s="196" t="str">
        <f>Dictionary!B527</f>
        <v>Datum</v>
      </c>
      <c r="G39" s="2065" t="str">
        <f>Dictionary!B528</f>
        <v>Unterschrift</v>
      </c>
      <c r="H39" s="2065"/>
      <c r="I39" s="2065"/>
    </row>
    <row r="40" spans="2:9" hidden="1">
      <c r="H40" s="435" t="str">
        <f>COV!E6&amp;", "&amp;COV!E7</f>
        <v xml:space="preserve">, </v>
      </c>
    </row>
    <row r="41" spans="2:9" hidden="1"/>
    <row r="42" spans="2:9">
      <c r="B42" s="190" t="str">
        <f>Dictionary!B529</f>
        <v>Anmerkungen:</v>
      </c>
    </row>
    <row r="43" spans="2:9" ht="18" customHeight="1">
      <c r="B43" s="2052" t="str">
        <f>Dictionary!B530</f>
        <v>1. Die Zustimmung zur Weitergabe der Kontaktdaten Ihrer Referenzpersonen ist eine notwendige Bedingung für die Zulassung zur Zertifizierung.</v>
      </c>
      <c r="C43" s="2052"/>
      <c r="D43" s="2052"/>
      <c r="E43" s="2052"/>
      <c r="F43" s="2052"/>
      <c r="G43" s="2052"/>
      <c r="H43" s="2052"/>
      <c r="I43" s="2052"/>
    </row>
    <row r="44" spans="2:9">
      <c r="B44" s="2052" t="str">
        <f>Dictionary!B531</f>
        <v>2. Ein Verstoß gegen diese Bedingung ist ein Verstoß gegen die geltende Datenschutzgrundverordnung (DSGVO) und kann zum Ausschluss vom Zertifizierungsverfahren führen.</v>
      </c>
      <c r="C44" s="2052"/>
      <c r="D44" s="2052"/>
      <c r="E44" s="2052"/>
      <c r="F44" s="2052"/>
      <c r="G44" s="2052"/>
      <c r="H44" s="2052"/>
      <c r="I44" s="2052"/>
    </row>
    <row r="45" spans="2:9">
      <c r="B45" s="2053"/>
      <c r="C45" s="2053"/>
      <c r="D45" s="2053"/>
      <c r="E45" s="2053"/>
      <c r="F45" s="2053"/>
      <c r="G45" s="2053"/>
      <c r="H45" s="2053"/>
    </row>
    <row r="47" spans="2:9">
      <c r="B47" s="2054"/>
      <c r="C47" s="2054"/>
      <c r="D47" s="2054"/>
      <c r="E47" s="2054"/>
    </row>
    <row r="48" spans="2:9" ht="17" thickBot="1">
      <c r="B48" s="460"/>
      <c r="C48" s="460"/>
      <c r="D48" s="460"/>
      <c r="E48" s="460"/>
      <c r="F48" s="460"/>
      <c r="G48" s="460"/>
      <c r="H48" s="460"/>
      <c r="I48" s="460"/>
    </row>
    <row r="49" spans="2:9">
      <c r="I49" s="465" t="s">
        <v>105</v>
      </c>
    </row>
    <row r="60" spans="2:9" hidden="1"/>
    <row r="61" spans="2:9" hidden="1"/>
    <row r="62" spans="2:9" hidden="1">
      <c r="B62" s="2058" t="s">
        <v>3235</v>
      </c>
      <c r="C62" s="2058"/>
      <c r="D62" s="2058"/>
      <c r="E62" s="2058"/>
      <c r="F62" s="2058"/>
      <c r="G62" s="2058"/>
      <c r="H62" s="2058"/>
      <c r="I62" s="2058"/>
    </row>
    <row r="63" spans="2:9" hidden="1"/>
    <row r="64" spans="2:9" hidden="1">
      <c r="C64" s="1355" t="s">
        <v>229</v>
      </c>
      <c r="D64" s="1355" t="str">
        <f>Dictionary!B26</f>
        <v>Projekt</v>
      </c>
      <c r="F64" s="1355" t="s">
        <v>3262</v>
      </c>
      <c r="G64" s="1363" t="str">
        <f>IF(E8="","",IF(E8=APPLICATION_DOM,"","X"))</f>
        <v/>
      </c>
      <c r="H64" s="190" t="str">
        <f>IF(G64="","",Dictionary!B532&amp;CHAR(10))</f>
        <v/>
      </c>
    </row>
    <row r="65" spans="3:8" hidden="1">
      <c r="C65" s="1355" t="s">
        <v>7</v>
      </c>
      <c r="D65" s="1355" t="str">
        <f>IF(OR(E7=C64,E7=C65),Dictionary!B27,"")</f>
        <v/>
      </c>
      <c r="F65" s="1355" t="s">
        <v>3263</v>
      </c>
      <c r="G65" s="1363" t="str">
        <f>IF(E7="",IF(NOT(AND(UPGRADE_FLAG="",RE_CERT="")),"X",""),IF(UPGRADE_FLAG="",IF(APPLICATION_LVL=REF!E7,"","X"),IF(OR(AND(REF!E7=REF!C65,APPLICATION_LVL=COV!V64),AND(REF!E7=REF!C66,APPLICATION_LVL=COV!V65),AND(REF!E7=REF!C67,APPLICATION_LVL=COV!V66),AND(REF!E7=REF!C68,APPLICATION_LVL=COV!V67)),"","X")))</f>
        <v/>
      </c>
      <c r="H65" s="190" t="str">
        <f>IF(G65="","",Dictionary!B533&amp;" "&amp;IF(UPGRADE_FLAG="",IF(RE_CERT="","",APPLICATION_LVL),IF(APPLICATION_LVL=COV!V64,COV!V65,IF(APPLICATION_LVL=COV!V65,COV!V66,IF(APPLICATION_LVL=COV!V66,COV!V67,IF(APPLICATION_LVL=COV!V67,"BASIS","N/A")))))&amp;CHAR(10))</f>
        <v/>
      </c>
    </row>
    <row r="66" spans="3:8" hidden="1">
      <c r="C66" s="1355" t="s">
        <v>119</v>
      </c>
      <c r="D66" s="1355" t="str">
        <f>IF(OR(E7=C64,E7=C65),Dictionary!B28,"")</f>
        <v/>
      </c>
      <c r="F66" s="1355" t="s">
        <v>3266</v>
      </c>
      <c r="G66" s="1363" t="str">
        <f>IF(E10="","",IF(E10&lt;COV!E10,"X",""))</f>
        <v/>
      </c>
      <c r="H66" s="190" t="str">
        <f>IF(G66="","",Dictionary!B534&amp;CHAR(10))</f>
        <v/>
      </c>
    </row>
    <row r="67" spans="3:8" hidden="1">
      <c r="C67" s="1355" t="s">
        <v>14</v>
      </c>
      <c r="D67" s="1355"/>
      <c r="F67" s="1355" t="s">
        <v>3265</v>
      </c>
      <c r="G67" s="1363" t="str">
        <f>IF(OR(E7="",E8="",E9="",E10=""),"X","")</f>
        <v>X</v>
      </c>
      <c r="H67" s="190" t="str">
        <f>IF(G67="","",Dictionary!B535)</f>
        <v>Hinweis: Bitte Zertifikatsinformationen vor Abgabe vollständig angeben.</v>
      </c>
    </row>
    <row r="68" spans="3:8" hidden="1">
      <c r="C68" s="1355" t="s">
        <v>3246</v>
      </c>
      <c r="D68" s="1355"/>
      <c r="F68" s="1355" t="s">
        <v>3264</v>
      </c>
      <c r="G68" s="1363" t="str">
        <f>IF(AND(UPGRADE_FLAG="",RE_CERT=""),"","X")</f>
        <v/>
      </c>
    </row>
    <row r="69" spans="3:8" hidden="1"/>
  </sheetData>
  <sheetProtection algorithmName="SHA-512" hashValue="3Pq6/6T/Q17ESZ3QXefDSNqe2umJKFIE/8gvDhLubd3cp12EjY6EtXrf3/3RSEttB/4xJhxOM4/R+xSJ006nLA==" saltValue="VuMiMJf5SM4AGS6Vwt60Ew==" spinCount="100000" sheet="1" objects="1" scenarios="1" selectLockedCells="1"/>
  <mergeCells count="52">
    <mergeCell ref="B62:I62"/>
    <mergeCell ref="B5:I5"/>
    <mergeCell ref="B10:D10"/>
    <mergeCell ref="B8:D8"/>
    <mergeCell ref="E8:I8"/>
    <mergeCell ref="E10:I10"/>
    <mergeCell ref="B7:D7"/>
    <mergeCell ref="E7:I7"/>
    <mergeCell ref="B9:D9"/>
    <mergeCell ref="E9:I9"/>
    <mergeCell ref="B21:D21"/>
    <mergeCell ref="E21:I21"/>
    <mergeCell ref="B19:D19"/>
    <mergeCell ref="E19:I19"/>
    <mergeCell ref="B20:D20"/>
    <mergeCell ref="E20:I20"/>
    <mergeCell ref="B3:I3"/>
    <mergeCell ref="E16:F16"/>
    <mergeCell ref="H16:I16"/>
    <mergeCell ref="B17:D17"/>
    <mergeCell ref="E17:I17"/>
    <mergeCell ref="E12:I12"/>
    <mergeCell ref="B6:I6"/>
    <mergeCell ref="B18:D18"/>
    <mergeCell ref="E18:I18"/>
    <mergeCell ref="B14:I14"/>
    <mergeCell ref="B47:E47"/>
    <mergeCell ref="B29:D29"/>
    <mergeCell ref="E29:I29"/>
    <mergeCell ref="B30:D30"/>
    <mergeCell ref="E30:I30"/>
    <mergeCell ref="B32:I32"/>
    <mergeCell ref="G35:I38"/>
    <mergeCell ref="B37:C38"/>
    <mergeCell ref="E37:E38"/>
    <mergeCell ref="B39:C39"/>
    <mergeCell ref="G39:I39"/>
    <mergeCell ref="B45:H45"/>
    <mergeCell ref="B43:I43"/>
    <mergeCell ref="B44:I44"/>
    <mergeCell ref="B27:D27"/>
    <mergeCell ref="E27:I27"/>
    <mergeCell ref="B28:D28"/>
    <mergeCell ref="E28:I28"/>
    <mergeCell ref="B26:D26"/>
    <mergeCell ref="E26:I26"/>
    <mergeCell ref="B22:D22"/>
    <mergeCell ref="E22:I22"/>
    <mergeCell ref="E24:F24"/>
    <mergeCell ref="H24:I24"/>
    <mergeCell ref="B25:D25"/>
    <mergeCell ref="E25:I25"/>
  </mergeCells>
  <conditionalFormatting sqref="E10">
    <cfRule type="notContainsBlanks" dxfId="452" priority="4">
      <formula>LEN(TRIM(E10))&gt;0</formula>
    </cfRule>
  </conditionalFormatting>
  <conditionalFormatting sqref="E7:I9">
    <cfRule type="notContainsBlanks" dxfId="451" priority="2">
      <formula>LEN(TRIM(E7))&gt;0</formula>
    </cfRule>
  </conditionalFormatting>
  <conditionalFormatting sqref="E17:I22">
    <cfRule type="notContainsBlanks" dxfId="449" priority="5">
      <formula>LEN(TRIM(E17))&gt;0</formula>
    </cfRule>
  </conditionalFormatting>
  <conditionalFormatting sqref="E25:I30 G35:I38 B37:C38 E37:E38">
    <cfRule type="notContainsBlanks" dxfId="448" priority="24">
      <formula>LEN(TRIM(B25))&gt;0</formula>
    </cfRule>
  </conditionalFormatting>
  <dataValidations count="3">
    <dataValidation type="list" allowBlank="1" showInputMessage="1" showErrorMessage="1" sqref="E8:I8" xr:uid="{00000000-0002-0000-0600-000000000000}">
      <formula1>$D$64:$D$66</formula1>
    </dataValidation>
    <dataValidation type="date" operator="greaterThan" allowBlank="1" showInputMessage="1" showErrorMessage="1" sqref="E10:I10" xr:uid="{00000000-0002-0000-0600-000001000000}">
      <formula1>44612</formula1>
    </dataValidation>
    <dataValidation type="list" allowBlank="1" showInputMessage="1" showErrorMessage="1" sqref="E7:I7" xr:uid="{00000000-0002-0000-0600-000002000000}">
      <formula1>$C$64:$C$68</formula1>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rowBreaks count="1" manualBreakCount="1">
    <brk id="19" max="16383" man="1"/>
  </rowBreaks>
  <extLst>
    <ext xmlns:x14="http://schemas.microsoft.com/office/spreadsheetml/2009/9/main" uri="{78C0D931-6437-407d-A8EE-F0AAD7539E65}">
      <x14:conditionalFormattings>
        <x14:conditionalFormatting xmlns:xm="http://schemas.microsoft.com/office/excel/2006/main">
          <x14:cfRule type="cellIs" priority="1" operator="notEqual" id="{00000000-000E-0000-0600-000001000000}">
            <xm:f>Dictionary!$B$514</xm:f>
            <x14:dxf>
              <font>
                <b/>
                <i val="0"/>
                <color rgb="FFC00000"/>
              </font>
              <fill>
                <patternFill>
                  <bgColor theme="5" tint="0.79995117038483843"/>
                </patternFill>
              </fill>
            </x14:dxf>
          </x14:cfRule>
          <xm:sqref>E12:I12</xm:sqref>
        </x14:conditionalFormatting>
      </x14:conditionalFormatting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F270E-62CB-4366-9363-01C43F66DF84}">
  <sheetPr codeName="Recert_F04_Eval">
    <tabColor rgb="FFFF0000"/>
  </sheetPr>
  <dimension ref="B2:U47"/>
  <sheetViews>
    <sheetView workbookViewId="0">
      <selection activeCell="K26" sqref="K26"/>
    </sheetView>
  </sheetViews>
  <sheetFormatPr baseColWidth="10" defaultColWidth="11.5" defaultRowHeight="13"/>
  <cols>
    <col min="1" max="1" width="3.5" style="803" customWidth="1"/>
    <col min="2" max="2" width="14.83203125" style="807" customWidth="1"/>
    <col min="3" max="3" width="3" style="803" customWidth="1"/>
    <col min="4" max="5" width="11.5" style="803"/>
    <col min="6" max="6" width="3" style="803" customWidth="1"/>
    <col min="7" max="7" width="26.5" style="803" customWidth="1"/>
    <col min="8" max="8" width="11.5" style="803"/>
    <col min="9" max="9" width="3" style="803" customWidth="1"/>
    <col min="10" max="10" width="11.5" style="803"/>
    <col min="11" max="11" width="13.83203125" style="803" customWidth="1"/>
    <col min="12" max="12" width="2.83203125" style="803" customWidth="1"/>
    <col min="13" max="13" width="18.5" style="808" bestFit="1" customWidth="1"/>
    <col min="14" max="14" width="11.5" style="803"/>
    <col min="15" max="15" width="19.6640625" style="803" customWidth="1"/>
    <col min="16" max="16" width="14.83203125" style="803" customWidth="1"/>
    <col min="17" max="17" width="14.6640625" style="803" customWidth="1"/>
    <col min="18" max="18" width="15.5" style="803" customWidth="1"/>
    <col min="19" max="19" width="13.6640625" style="803" customWidth="1"/>
    <col min="20" max="16384" width="11.5" style="803"/>
  </cols>
  <sheetData>
    <row r="2" spans="2:21" ht="17" thickBot="1">
      <c r="B2" s="859" t="str">
        <f>Dictionary!B24</f>
        <v>Kandidat:</v>
      </c>
      <c r="C2" s="860"/>
      <c r="D2" s="2321">
        <f>COV!E6</f>
        <v>0</v>
      </c>
      <c r="E2" s="2321"/>
      <c r="F2" s="2321"/>
      <c r="G2" s="2321"/>
      <c r="H2" s="2308">
        <f>COV!E7</f>
        <v>0</v>
      </c>
      <c r="I2" s="2308"/>
      <c r="J2" s="2308"/>
      <c r="K2" s="860"/>
      <c r="M2" s="1745" t="str">
        <f>COV!$L$26</f>
        <v>PM ZERT</v>
      </c>
    </row>
    <row r="3" spans="2:21" ht="14">
      <c r="B3" s="809"/>
      <c r="D3" s="775" t="str">
        <f>Dictionary!B1133</f>
        <v>Name</v>
      </c>
      <c r="H3" s="775" t="str">
        <f>Dictionary!B1134</f>
        <v>Vorname</v>
      </c>
      <c r="M3" s="1746" t="str">
        <f>COV!$D$94</f>
        <v/>
      </c>
    </row>
    <row r="4" spans="2:21">
      <c r="D4" s="160"/>
      <c r="E4" s="160"/>
    </row>
    <row r="5" spans="2:21">
      <c r="D5" s="160" t="str">
        <f>'Evaluation Sheet Instructions'!A7</f>
        <v>Evidence of professional development in project management</v>
      </c>
      <c r="E5" s="160"/>
    </row>
    <row r="7" spans="2:21">
      <c r="D7" s="2309"/>
      <c r="E7" s="2309"/>
      <c r="F7" s="2309"/>
      <c r="G7" s="2309"/>
      <c r="H7" s="2309"/>
      <c r="I7" s="2309"/>
      <c r="J7" s="2309"/>
    </row>
    <row r="9" spans="2:21">
      <c r="B9" s="2318" t="str">
        <f>Dictionary!B974</f>
        <v>Nur Felder in dieser Färbung beschreiben</v>
      </c>
      <c r="C9" s="2319"/>
      <c r="D9" s="2319"/>
      <c r="E9" s="2319"/>
      <c r="F9" s="2319"/>
      <c r="G9" s="2319"/>
      <c r="H9" s="2319"/>
      <c r="I9" s="2319"/>
      <c r="J9" s="2319"/>
      <c r="K9" s="2320"/>
    </row>
    <row r="10" spans="2:21">
      <c r="Q10" s="810"/>
    </row>
    <row r="11" spans="2:21" ht="15">
      <c r="B11" s="856" t="s">
        <v>718</v>
      </c>
      <c r="C11" s="834" t="str">
        <f>APPLICATION_LVL</f>
        <v>A</v>
      </c>
      <c r="D11" s="834"/>
      <c r="E11" s="835"/>
      <c r="F11" s="834"/>
      <c r="G11" s="834"/>
      <c r="H11" s="835"/>
      <c r="I11" s="834"/>
      <c r="J11" s="834"/>
      <c r="K11" s="836"/>
      <c r="T11" s="800"/>
      <c r="U11" s="800"/>
    </row>
    <row r="12" spans="2:21" ht="15">
      <c r="B12" s="857" t="str">
        <f>Dictionary!B975</f>
        <v>Domäne</v>
      </c>
      <c r="C12" s="846" t="str">
        <f>APPLICATION_DOM</f>
        <v>Projekt</v>
      </c>
      <c r="D12" s="838"/>
      <c r="E12" s="832"/>
      <c r="F12" s="832"/>
      <c r="G12" s="832"/>
      <c r="H12" s="832"/>
      <c r="I12" s="832"/>
      <c r="J12" s="832"/>
      <c r="K12" s="833"/>
      <c r="T12" s="800"/>
      <c r="U12" s="800"/>
    </row>
    <row r="13" spans="2:21" ht="15">
      <c r="D13" s="812"/>
      <c r="E13" s="812"/>
      <c r="F13" s="812"/>
      <c r="G13" s="812"/>
      <c r="H13" s="812"/>
      <c r="I13" s="812"/>
      <c r="J13" s="812"/>
      <c r="T13" s="800"/>
      <c r="U13" s="800"/>
    </row>
    <row r="14" spans="2:21" ht="15">
      <c r="B14" s="2312" t="s">
        <v>2512</v>
      </c>
      <c r="C14" s="2313"/>
      <c r="D14" s="2313"/>
      <c r="E14" s="2313"/>
      <c r="F14" s="2313"/>
      <c r="G14" s="2313"/>
      <c r="H14" s="2313"/>
      <c r="I14" s="2313"/>
      <c r="J14" s="2313"/>
      <c r="K14" s="2314"/>
      <c r="T14" s="800"/>
      <c r="U14" s="800"/>
    </row>
    <row r="15" spans="2:21" ht="15">
      <c r="B15" s="855" t="str">
        <f>Dictionary!B22</f>
        <v>Lead Assessor:</v>
      </c>
      <c r="C15" s="841"/>
      <c r="D15" s="2252" t="str">
        <f>Lead_Assessor</f>
        <v>Lead Assessor:</v>
      </c>
      <c r="E15" s="2253"/>
      <c r="F15" s="840"/>
      <c r="G15" s="840"/>
      <c r="H15" s="841"/>
      <c r="I15" s="840"/>
      <c r="J15" s="841"/>
      <c r="K15" s="842"/>
      <c r="L15" s="813"/>
      <c r="T15" s="800"/>
      <c r="U15" s="800"/>
    </row>
    <row r="16" spans="2:21" ht="15">
      <c r="B16" s="837"/>
      <c r="C16" s="838"/>
      <c r="D16" s="839"/>
      <c r="E16" s="839"/>
      <c r="F16" s="832"/>
      <c r="G16" s="832"/>
      <c r="H16" s="838"/>
      <c r="I16" s="832"/>
      <c r="J16" s="838"/>
      <c r="K16" s="833"/>
      <c r="L16" s="813"/>
      <c r="T16" s="800"/>
      <c r="U16" s="800"/>
    </row>
    <row r="17" spans="2:21" ht="15">
      <c r="B17" s="831"/>
      <c r="D17" s="801"/>
      <c r="E17" s="801"/>
      <c r="F17" s="812"/>
      <c r="G17" s="812"/>
      <c r="I17" s="812"/>
      <c r="L17" s="813"/>
      <c r="T17" s="800"/>
      <c r="U17" s="800"/>
    </row>
    <row r="18" spans="2:21" ht="15">
      <c r="B18" s="2315" t="s">
        <v>2513</v>
      </c>
      <c r="C18" s="2316"/>
      <c r="D18" s="2316"/>
      <c r="E18" s="2316"/>
      <c r="F18" s="2316"/>
      <c r="G18" s="2316"/>
      <c r="H18" s="2316"/>
      <c r="I18" s="2316"/>
      <c r="J18" s="2316"/>
      <c r="K18" s="2317"/>
      <c r="L18" s="813"/>
      <c r="T18" s="800"/>
      <c r="U18" s="800"/>
    </row>
    <row r="19" spans="2:21" ht="15">
      <c r="B19" s="855" t="str">
        <f>Dictionary!B22</f>
        <v>Lead Assessor:</v>
      </c>
      <c r="C19" s="841"/>
      <c r="D19" s="2252" t="str">
        <f>D15</f>
        <v>Lead Assessor:</v>
      </c>
      <c r="E19" s="2253"/>
      <c r="F19" s="840"/>
      <c r="G19" s="858" t="str">
        <f>Dictionary!B23</f>
        <v>Co Assessor:</v>
      </c>
      <c r="H19" s="2252" t="str">
        <f>Co_Assessor</f>
        <v>Co Assessor:</v>
      </c>
      <c r="I19" s="2254"/>
      <c r="J19" s="2253"/>
      <c r="K19" s="842"/>
      <c r="L19" s="813"/>
      <c r="O19" s="2305" t="str">
        <f>Dictionary!B1008</f>
        <v>IPMA Anforderungen an Re-Zertifizierung</v>
      </c>
      <c r="P19" s="2306"/>
      <c r="Q19" s="2306"/>
      <c r="R19" s="2306"/>
      <c r="S19" s="2307"/>
      <c r="T19" s="800"/>
      <c r="U19" s="800"/>
    </row>
    <row r="20" spans="2:21">
      <c r="B20" s="843"/>
      <c r="C20" s="838"/>
      <c r="D20" s="838"/>
      <c r="E20" s="838"/>
      <c r="F20" s="838"/>
      <c r="G20" s="838"/>
      <c r="H20" s="838"/>
      <c r="I20" s="838"/>
      <c r="J20" s="844"/>
      <c r="K20" s="845"/>
      <c r="L20" s="811"/>
    </row>
    <row r="21" spans="2:21" ht="14" thickBot="1">
      <c r="G21" s="811"/>
      <c r="K21" s="814"/>
      <c r="L21" s="814"/>
    </row>
    <row r="22" spans="2:21" ht="16" thickBot="1">
      <c r="O22" s="815"/>
      <c r="P22" s="848" t="s">
        <v>133</v>
      </c>
      <c r="Q22" s="848" t="s">
        <v>134</v>
      </c>
      <c r="R22" s="848" t="s">
        <v>135</v>
      </c>
      <c r="S22" s="848" t="s">
        <v>136</v>
      </c>
    </row>
    <row r="23" spans="2:21" s="811" customFormat="1" ht="27.75" customHeight="1" thickBot="1">
      <c r="B23" s="2255" t="str">
        <f>Dictionary!B977</f>
        <v>Nr.</v>
      </c>
      <c r="C23" s="2256"/>
      <c r="D23" s="2257" t="str">
        <f>Dictionary!B978</f>
        <v>Bereich</v>
      </c>
      <c r="E23" s="2258"/>
      <c r="F23" s="2259"/>
      <c r="G23" s="2260"/>
      <c r="H23" s="816" t="str">
        <f>Dictionary!B979</f>
        <v>Fakten, Beurteilung</v>
      </c>
      <c r="I23" s="817"/>
      <c r="J23" s="817"/>
      <c r="K23" s="818" t="str">
        <f>Dictionary!B980</f>
        <v>Bewertung</v>
      </c>
      <c r="L23" s="819"/>
      <c r="M23" s="819" t="str">
        <f>Dictionary!B981</f>
        <v>Korrektur Interview</v>
      </c>
      <c r="O23" s="2269" t="str">
        <f>Dictionary!B1009</f>
        <v>Domänen-bezogene Erfahrung des Zertifikat-inhabers</v>
      </c>
      <c r="P23" s="2261" t="str">
        <f>Dictionary!B1010</f>
        <v>Nachweis von mindestens 30 Monaten praktischer Erfahrung während der letzten 5 Jahre</v>
      </c>
      <c r="Q23" s="2262"/>
      <c r="R23" s="2263"/>
      <c r="S23" s="847" t="s">
        <v>2453</v>
      </c>
    </row>
    <row r="24" spans="2:21" ht="13.5" customHeight="1" thickBot="1">
      <c r="B24" s="2273" t="s">
        <v>2454</v>
      </c>
      <c r="C24" s="2274"/>
      <c r="D24" s="2275" t="str">
        <f>Dictionary!B982</f>
        <v>Praxis</v>
      </c>
      <c r="E24" s="2275"/>
      <c r="F24" s="2275"/>
      <c r="G24" s="2275"/>
      <c r="H24" s="2251"/>
      <c r="I24" s="2251"/>
      <c r="J24" s="2251"/>
      <c r="K24" s="1736"/>
      <c r="L24" s="802"/>
      <c r="O24" s="2270"/>
      <c r="P24" s="2261" t="str">
        <f>Dictionary!B1011</f>
        <v>Komplexität</v>
      </c>
      <c r="Q24" s="2262"/>
      <c r="R24" s="2263"/>
      <c r="S24" s="847" t="s">
        <v>2453</v>
      </c>
    </row>
    <row r="25" spans="2:21" ht="39.75" customHeight="1" thickBot="1">
      <c r="B25" s="2264" t="s">
        <v>2457</v>
      </c>
      <c r="C25" s="2265"/>
      <c r="D25" s="2266" t="str">
        <f>Dictionary!B983</f>
        <v>PM-Tätigkeit (Monate) im genannten Level oder höher</v>
      </c>
      <c r="E25" s="2266"/>
      <c r="F25" s="2266"/>
      <c r="G25" s="2266"/>
      <c r="H25" s="2268"/>
      <c r="I25" s="2268"/>
      <c r="J25" s="2268"/>
      <c r="K25" s="1737">
        <f>IF(APPLICATION_LVL=COV!V64,'EXP Eval'!AK29,IF(APPLICATION_LVL=COV!V65,'EXP Eval'!AJ29+'EXP Eval'!AK29,IF(APPLICATION_LVL=COV!V66,'EXP Eval'!AI35,SUM('EXP Eval'!AH29:AK29))))</f>
        <v>0</v>
      </c>
      <c r="L25" s="820"/>
      <c r="O25" s="2270"/>
      <c r="P25" s="2261" t="str">
        <f>Dictionary!B1012</f>
        <v>Führung (Leadership)</v>
      </c>
      <c r="Q25" s="2263"/>
      <c r="R25" s="847" t="str">
        <f>Dictionary!B1014</f>
        <v>Management</v>
      </c>
      <c r="S25" s="847" t="s">
        <v>2453</v>
      </c>
    </row>
    <row r="26" spans="2:21" ht="55.5" customHeight="1" thickBot="1">
      <c r="B26" s="2264" t="s">
        <v>2460</v>
      </c>
      <c r="C26" s="2265"/>
      <c r="D26" s="2266" t="str">
        <f>Dictionary!B984</f>
        <v>Interview
wenn Interview bestanden, wird ein Wert eingetragen, so dass die Weiterbildung "bestanden" ist.</v>
      </c>
      <c r="E26" s="2266"/>
      <c r="F26" s="2266"/>
      <c r="G26" s="2266"/>
      <c r="H26" s="2272"/>
      <c r="I26" s="2272"/>
      <c r="J26" s="2272"/>
      <c r="K26" s="1738"/>
      <c r="L26" s="802" t="s">
        <v>2461</v>
      </c>
      <c r="M26" s="821" t="str">
        <f>IF('F04 Int'!$D$81=FALSE,"",'F04 Int'!$D$81)</f>
        <v/>
      </c>
      <c r="O26" s="2271"/>
      <c r="P26" s="2261" t="str">
        <f>Dictionary!B1013</f>
        <v>Nachweise über mindestens 35 Stunden Weiterbildung pro Jahr (insgesamt 175 Stunden) seit der letzten (Re-) Zertifizierung</v>
      </c>
      <c r="Q26" s="2262"/>
      <c r="R26" s="2262"/>
      <c r="S26" s="2263"/>
    </row>
    <row r="27" spans="2:21" ht="12.75" customHeight="1">
      <c r="B27" s="2264"/>
      <c r="C27" s="2265"/>
      <c r="D27" s="2266" t="str">
        <f>Dictionary!B985</f>
        <v>PM-Tätigkeit (Monate) gesamt</v>
      </c>
      <c r="E27" s="2266"/>
      <c r="F27" s="2266"/>
      <c r="G27" s="2266"/>
      <c r="H27" s="2267"/>
      <c r="I27" s="2267"/>
      <c r="J27" s="2267"/>
      <c r="K27" s="1739">
        <f>SUM(K25:K26)</f>
        <v>0</v>
      </c>
      <c r="L27" s="802"/>
      <c r="O27" s="822"/>
      <c r="P27" s="822"/>
      <c r="Q27" s="822"/>
      <c r="R27" s="822"/>
      <c r="S27" s="822"/>
    </row>
    <row r="28" spans="2:21" ht="13.5" customHeight="1">
      <c r="B28" s="2276" t="s">
        <v>2464</v>
      </c>
      <c r="C28" s="2265"/>
      <c r="D28" s="2266" t="str">
        <f>Dictionary!B986</f>
        <v>Weiterbildung</v>
      </c>
      <c r="E28" s="2266"/>
      <c r="F28" s="2266"/>
      <c r="G28" s="2266"/>
      <c r="H28" s="2268"/>
      <c r="I28" s="2268"/>
      <c r="J28" s="2268"/>
      <c r="K28" s="1740"/>
      <c r="L28" s="814"/>
    </row>
    <row r="29" spans="2:21" ht="33" customHeight="1">
      <c r="B29" s="2277" t="s">
        <v>2466</v>
      </c>
      <c r="C29" s="2265"/>
      <c r="D29" s="2266" t="str">
        <f>Dictionary!B987</f>
        <v>Anrechnung der Praxis auf die Weiterbildung
aus "Projekteliste"</v>
      </c>
      <c r="E29" s="2266"/>
      <c r="F29" s="2266"/>
      <c r="G29" s="2266"/>
      <c r="H29" s="2278"/>
      <c r="I29" s="2278"/>
      <c r="J29" s="2278"/>
      <c r="K29" s="1737" t="str">
        <f>'EXP Eval'!AI37</f>
        <v/>
      </c>
      <c r="L29" s="814"/>
    </row>
    <row r="30" spans="2:21" ht="24.75" customHeight="1">
      <c r="B30" s="2277" t="s">
        <v>2467</v>
      </c>
      <c r="C30" s="2265"/>
      <c r="D30" s="2266" t="str">
        <f>Dictionary!B988</f>
        <v>Weiterbildung der letzten 5 Jahre
(Summe aus P-Dev Eval)</v>
      </c>
      <c r="E30" s="2266"/>
      <c r="F30" s="2266"/>
      <c r="G30" s="2266"/>
      <c r="H30" s="2278"/>
      <c r="I30" s="2278"/>
      <c r="J30" s="2278"/>
      <c r="K30" s="1737">
        <f>'P-Dev Eval'!D13+'P-Dev Eval'!C17</f>
        <v>0</v>
      </c>
      <c r="L30" s="820"/>
    </row>
    <row r="31" spans="2:21" ht="56.25" customHeight="1">
      <c r="B31" s="2277" t="s">
        <v>2468</v>
      </c>
      <c r="C31" s="2265"/>
      <c r="D31" s="2266" t="str">
        <f>Dictionary!B989</f>
        <v>Interview
wenn Interview bestanden, wird ein Wert eingetragen, so dass die Weiterbildung "bestanden" ist.</v>
      </c>
      <c r="E31" s="2266"/>
      <c r="F31" s="2266"/>
      <c r="G31" s="2266"/>
      <c r="H31" s="2272"/>
      <c r="I31" s="2272"/>
      <c r="J31" s="2272"/>
      <c r="K31" s="1741"/>
      <c r="L31" s="802" t="s">
        <v>2461</v>
      </c>
      <c r="M31" s="821" t="str">
        <f>IF('F04 Int'!$D$82=FALSE,"",'F04 Int'!$D$82)</f>
        <v/>
      </c>
    </row>
    <row r="32" spans="2:21" ht="30.75" customHeight="1">
      <c r="B32" s="2279"/>
      <c r="C32" s="2280"/>
      <c r="D32" s="2281" t="str">
        <f>Dictionary!B990</f>
        <v>Weiterbildung Gesamt</v>
      </c>
      <c r="E32" s="2281"/>
      <c r="F32" s="2281"/>
      <c r="G32" s="2281"/>
      <c r="H32" s="2282"/>
      <c r="I32" s="2282"/>
      <c r="J32" s="2282"/>
      <c r="K32" s="1742">
        <f>SUM(K29:K31)</f>
        <v>0</v>
      </c>
      <c r="L32" s="823"/>
      <c r="O32" s="802"/>
      <c r="P32" s="824"/>
    </row>
    <row r="33" spans="2:20" ht="12.75" customHeight="1">
      <c r="B33" s="2283"/>
      <c r="C33" s="2283"/>
      <c r="D33" s="2284"/>
      <c r="E33" s="2284"/>
      <c r="F33" s="2284"/>
      <c r="G33" s="2284"/>
      <c r="H33" s="2285"/>
      <c r="I33" s="2285"/>
      <c r="J33" s="2285"/>
      <c r="K33" s="823"/>
      <c r="L33" s="802"/>
      <c r="M33" s="808">
        <f>IF(K32=0,1,0)</f>
        <v>1</v>
      </c>
    </row>
    <row r="34" spans="2:20" ht="15" customHeight="1">
      <c r="B34" s="2273" t="s">
        <v>2470</v>
      </c>
      <c r="C34" s="2274"/>
      <c r="D34" s="2286" t="str">
        <f>Dictionary!B992</f>
        <v>Einbeziehung IPMA Assessor *)</v>
      </c>
      <c r="E34" s="2286"/>
      <c r="F34" s="2286"/>
      <c r="G34" s="2286"/>
      <c r="H34" s="2286"/>
      <c r="I34" s="2286"/>
      <c r="J34" s="2286"/>
      <c r="K34" s="1736"/>
      <c r="L34" s="802"/>
    </row>
    <row r="35" spans="2:20" ht="33" customHeight="1">
      <c r="B35" s="2264" t="s">
        <v>2472</v>
      </c>
      <c r="C35" s="2265"/>
      <c r="D35" s="2287" t="str">
        <f>Dictionary!B993</f>
        <v>Zertifizierungsstelle Ausland (Adresse, Tel.)</v>
      </c>
      <c r="E35" s="2287"/>
      <c r="F35" s="2287"/>
      <c r="G35" s="2287"/>
      <c r="H35" s="2288"/>
      <c r="I35" s="2288"/>
      <c r="J35" s="2288"/>
      <c r="K35" s="1740"/>
      <c r="L35" s="802"/>
    </row>
    <row r="36" spans="2:20" ht="25.5" customHeight="1">
      <c r="B36" s="2277" t="s">
        <v>2474</v>
      </c>
      <c r="C36" s="2265"/>
      <c r="D36" s="2287" t="str">
        <f>Dictionary!B994</f>
        <v>Assessor Ausland (Name)</v>
      </c>
      <c r="E36" s="2287"/>
      <c r="F36" s="2287"/>
      <c r="G36" s="2287"/>
      <c r="H36" s="2288"/>
      <c r="I36" s="2288"/>
      <c r="J36" s="2288"/>
      <c r="K36" s="1740"/>
      <c r="L36" s="802"/>
      <c r="O36" s="2289" t="str">
        <f>Dictionary!B1015</f>
        <v>Anteil der Tätigkeit im Projektmanagement während der vorangegangenen Gültigkeitsdauer des Zertifikats bezogen auf eine Vollbeschäftigung in diesem Zeitraum</v>
      </c>
      <c r="P36" s="2289"/>
      <c r="Q36" s="2289"/>
      <c r="R36" s="2289" t="str">
        <f>Dictionary!B1016</f>
        <v>Anerkannter Anteil als Weiterbildung pro Jahr [h]</v>
      </c>
      <c r="S36" s="2289"/>
      <c r="T36" s="825"/>
    </row>
    <row r="37" spans="2:20" ht="15" customHeight="1">
      <c r="B37" s="2264" t="s">
        <v>2477</v>
      </c>
      <c r="C37" s="2265"/>
      <c r="D37" s="2287" t="str">
        <f>Dictionary!B995</f>
        <v>Prüfung Ausland (Datum, Referenzdokument)</v>
      </c>
      <c r="E37" s="2287"/>
      <c r="F37" s="2287"/>
      <c r="G37" s="2287"/>
      <c r="H37" s="2288"/>
      <c r="I37" s="2288"/>
      <c r="J37" s="2288"/>
      <c r="K37" s="1740"/>
      <c r="L37" s="802"/>
      <c r="O37" s="849">
        <v>0.51</v>
      </c>
      <c r="P37" s="850" t="s">
        <v>2479</v>
      </c>
      <c r="Q37" s="800"/>
      <c r="R37" s="2290">
        <v>4</v>
      </c>
      <c r="S37" s="2291"/>
    </row>
    <row r="38" spans="2:20" ht="15">
      <c r="B38" s="2276"/>
      <c r="C38" s="2265"/>
      <c r="D38" s="2266"/>
      <c r="E38" s="2266"/>
      <c r="F38" s="2266"/>
      <c r="G38" s="2266"/>
      <c r="H38" s="2268"/>
      <c r="I38" s="2268"/>
      <c r="J38" s="2268"/>
      <c r="K38" s="1740"/>
      <c r="L38" s="826"/>
      <c r="O38" s="851">
        <v>0.6</v>
      </c>
      <c r="P38" s="852" t="s">
        <v>2480</v>
      </c>
      <c r="Q38" s="800"/>
      <c r="R38" s="2292">
        <v>8</v>
      </c>
      <c r="S38" s="2293"/>
    </row>
    <row r="39" spans="2:20" ht="15" customHeight="1">
      <c r="B39" s="2276" t="s">
        <v>2481</v>
      </c>
      <c r="C39" s="2265"/>
      <c r="D39" s="2266" t="str">
        <f>Dictionary!B997</f>
        <v>Abgeschlossen: Rezertifizierung empfohlen</v>
      </c>
      <c r="E39" s="2266"/>
      <c r="F39" s="2266"/>
      <c r="G39" s="2266"/>
      <c r="H39" s="2268"/>
      <c r="I39" s="2268"/>
      <c r="J39" s="2268"/>
      <c r="K39" s="1743" t="str">
        <f>IF(AND(LOWER($C$11)="d",K32&gt;=175),"OK",IF(AND(K27&gt;=30,K32&gt;=175),"OK","NOK"))</f>
        <v>NOK</v>
      </c>
      <c r="L39" s="826"/>
      <c r="O39" s="851">
        <v>0.7</v>
      </c>
      <c r="P39" s="852" t="s">
        <v>2483</v>
      </c>
      <c r="Q39" s="800"/>
      <c r="R39" s="2292">
        <v>12</v>
      </c>
      <c r="S39" s="2293"/>
    </row>
    <row r="40" spans="2:20" ht="12.75" customHeight="1">
      <c r="B40" s="2276"/>
      <c r="C40" s="2265"/>
      <c r="D40" s="2266" t="str">
        <f>Dictionary!B998</f>
        <v>Abgeschlossen: Einladung zum Interview</v>
      </c>
      <c r="E40" s="2266"/>
      <c r="F40" s="2266"/>
      <c r="G40" s="2266"/>
      <c r="H40" s="2268"/>
      <c r="I40" s="2268"/>
      <c r="J40" s="2268"/>
      <c r="K40" s="1743" t="str">
        <f>IF(APPLICATION_LVL&lt;&gt;"D",IF(K27&lt;30,Dictionary!B20,Dictionary!B21),Dictionary!B21)</f>
        <v>Ja</v>
      </c>
      <c r="L40" s="826"/>
      <c r="O40" s="851">
        <v>0.8</v>
      </c>
      <c r="P40" s="852" t="s">
        <v>2485</v>
      </c>
      <c r="Q40" s="800"/>
      <c r="R40" s="2292">
        <v>16</v>
      </c>
      <c r="S40" s="2293"/>
    </row>
    <row r="41" spans="2:20" ht="12.75" customHeight="1">
      <c r="B41" s="2276"/>
      <c r="C41" s="2265"/>
      <c r="D41" s="2266" t="str">
        <f>Dictionary!B999</f>
        <v>Offen:Literaturbesprechung anfordern (ca. Seitenzahl)</v>
      </c>
      <c r="E41" s="2266"/>
      <c r="F41" s="2266"/>
      <c r="G41" s="2266"/>
      <c r="H41" s="2294"/>
      <c r="I41" s="2294"/>
      <c r="J41" s="2294"/>
      <c r="K41" s="1743" t="str">
        <f>IF(K32&lt;175,Dictionary!B20,Dictionary!B21)</f>
        <v>Ja</v>
      </c>
      <c r="L41" s="826"/>
      <c r="O41" s="853">
        <v>0.9</v>
      </c>
      <c r="P41" s="854">
        <v>1</v>
      </c>
      <c r="Q41" s="800"/>
      <c r="R41" s="2295">
        <v>20</v>
      </c>
      <c r="S41" s="2296"/>
    </row>
    <row r="42" spans="2:20" ht="12.75" customHeight="1">
      <c r="B42" s="2279"/>
      <c r="C42" s="2280"/>
      <c r="D42" s="2310"/>
      <c r="E42" s="2310"/>
      <c r="F42" s="2310"/>
      <c r="G42" s="2310"/>
      <c r="H42" s="2311"/>
      <c r="I42" s="2311"/>
      <c r="J42" s="2311"/>
      <c r="K42" s="1744"/>
      <c r="L42" s="826"/>
    </row>
    <row r="43" spans="2:20" ht="13.5" customHeight="1">
      <c r="B43" s="2283"/>
      <c r="C43" s="2283"/>
      <c r="D43" s="827"/>
      <c r="E43" s="827"/>
      <c r="F43" s="827"/>
      <c r="G43" s="827"/>
      <c r="H43" s="827"/>
      <c r="I43" s="827"/>
      <c r="J43" s="827"/>
      <c r="K43" s="827"/>
      <c r="L43" s="827"/>
    </row>
    <row r="44" spans="2:20" ht="249" customHeight="1">
      <c r="B44" s="2301" t="str">
        <f>Dictionary!B1005</f>
        <v>Begründung
(Hier nur Gründe anführen bei einer Ablehnung der Zertifikats-erneuerung - hier KEINE Notizen!)</v>
      </c>
      <c r="C44" s="2302"/>
      <c r="D44" s="2303"/>
      <c r="E44" s="2303"/>
      <c r="F44" s="2303"/>
      <c r="G44" s="2303"/>
      <c r="H44" s="2303"/>
      <c r="I44" s="2303"/>
      <c r="J44" s="2303"/>
      <c r="K44" s="2304"/>
      <c r="L44" s="827"/>
      <c r="M44" s="808">
        <f>IF(K40="x",1,0)</f>
        <v>0</v>
      </c>
    </row>
    <row r="45" spans="2:20" ht="167.25" customHeight="1">
      <c r="B45" s="2297" t="str">
        <f>Dictionary!B1006</f>
        <v>Notizen</v>
      </c>
      <c r="C45" s="2298"/>
      <c r="D45" s="2299"/>
      <c r="E45" s="2299"/>
      <c r="F45" s="2299"/>
      <c r="G45" s="2299"/>
      <c r="H45" s="2299"/>
      <c r="I45" s="2299"/>
      <c r="J45" s="2299"/>
      <c r="K45" s="2300"/>
      <c r="L45" s="828"/>
      <c r="M45" s="808">
        <f>IF(K41="ja",1,0)</f>
        <v>1</v>
      </c>
    </row>
    <row r="46" spans="2:20" ht="134.25" customHeight="1">
      <c r="L46" s="828"/>
    </row>
    <row r="47" spans="2:20" ht="140.25" customHeight="1">
      <c r="M47" s="808">
        <f>SUM(M33:M45)</f>
        <v>2</v>
      </c>
    </row>
  </sheetData>
  <sheetProtection algorithmName="SHA-512" hashValue="opWPFBFDfaygRez/rnA1W5RmgT03042raMJGkouDgCBql094fxLr6WjGVW05lueWQZq7FNzf9/XFnUfqO0PFUw==" saltValue="fregOiUYNZOvB0bGNmJjBQ==" spinCount="100000" sheet="1" objects="1" scenarios="1" formatColumns="0" selectLockedCells="1"/>
  <mergeCells count="86">
    <mergeCell ref="O19:S19"/>
    <mergeCell ref="H2:J2"/>
    <mergeCell ref="D7:J7"/>
    <mergeCell ref="B42:C42"/>
    <mergeCell ref="D42:G42"/>
    <mergeCell ref="H42:J42"/>
    <mergeCell ref="B40:C40"/>
    <mergeCell ref="D40:G40"/>
    <mergeCell ref="H40:J40"/>
    <mergeCell ref="B38:C38"/>
    <mergeCell ref="D38:G38"/>
    <mergeCell ref="B14:K14"/>
    <mergeCell ref="B18:K18"/>
    <mergeCell ref="B9:K9"/>
    <mergeCell ref="D2:G2"/>
    <mergeCell ref="B41:C41"/>
    <mergeCell ref="D41:G41"/>
    <mergeCell ref="H41:J41"/>
    <mergeCell ref="R41:S41"/>
    <mergeCell ref="B45:C45"/>
    <mergeCell ref="D45:K45"/>
    <mergeCell ref="B43:C43"/>
    <mergeCell ref="B44:C44"/>
    <mergeCell ref="D44:K44"/>
    <mergeCell ref="B39:C39"/>
    <mergeCell ref="D39:G39"/>
    <mergeCell ref="H39:J39"/>
    <mergeCell ref="R39:S39"/>
    <mergeCell ref="R40:S40"/>
    <mergeCell ref="B37:C37"/>
    <mergeCell ref="D37:G37"/>
    <mergeCell ref="H37:J37"/>
    <mergeCell ref="R37:S37"/>
    <mergeCell ref="H38:J38"/>
    <mergeCell ref="R38:S38"/>
    <mergeCell ref="B36:C36"/>
    <mergeCell ref="D36:G36"/>
    <mergeCell ref="H36:J36"/>
    <mergeCell ref="O36:Q36"/>
    <mergeCell ref="R36:S36"/>
    <mergeCell ref="B34:C34"/>
    <mergeCell ref="D34:G34"/>
    <mergeCell ref="H34:J34"/>
    <mergeCell ref="B35:C35"/>
    <mergeCell ref="D35:G35"/>
    <mergeCell ref="H35:J35"/>
    <mergeCell ref="B32:C32"/>
    <mergeCell ref="D32:G32"/>
    <mergeCell ref="H32:J32"/>
    <mergeCell ref="B33:C33"/>
    <mergeCell ref="D33:G33"/>
    <mergeCell ref="H33:J33"/>
    <mergeCell ref="B30:C30"/>
    <mergeCell ref="D30:G30"/>
    <mergeCell ref="H30:J30"/>
    <mergeCell ref="B31:C31"/>
    <mergeCell ref="D31:G31"/>
    <mergeCell ref="H31:J31"/>
    <mergeCell ref="B28:C28"/>
    <mergeCell ref="D28:G28"/>
    <mergeCell ref="H28:J28"/>
    <mergeCell ref="B29:C29"/>
    <mergeCell ref="D29:G29"/>
    <mergeCell ref="H29:J29"/>
    <mergeCell ref="P24:R24"/>
    <mergeCell ref="P26:S26"/>
    <mergeCell ref="B27:C27"/>
    <mergeCell ref="D27:G27"/>
    <mergeCell ref="H27:J27"/>
    <mergeCell ref="B25:C25"/>
    <mergeCell ref="D25:G25"/>
    <mergeCell ref="H25:J25"/>
    <mergeCell ref="P25:Q25"/>
    <mergeCell ref="O23:O26"/>
    <mergeCell ref="B26:C26"/>
    <mergeCell ref="D26:G26"/>
    <mergeCell ref="H26:J26"/>
    <mergeCell ref="P23:R23"/>
    <mergeCell ref="B24:C24"/>
    <mergeCell ref="D24:G24"/>
    <mergeCell ref="H24:J24"/>
    <mergeCell ref="D15:E15"/>
    <mergeCell ref="D19:E19"/>
    <mergeCell ref="H19:J19"/>
    <mergeCell ref="B23:C23"/>
    <mergeCell ref="D23:G23"/>
  </mergeCells>
  <conditionalFormatting sqref="K21:L21">
    <cfRule type="cellIs" dxfId="346" priority="1" stopIfTrue="1" operator="equal">
      <formula>4</formula>
    </cfRule>
  </conditionalFormatting>
  <dataValidations count="1">
    <dataValidation type="whole" allowBlank="1" showInputMessage="1" showErrorMessage="1" errorTitle="Rezertifizierungsdauer" error="Wert nicht 3 oder 5" sqref="K21:L21" xr:uid="{00000000-0002-0000-4500-000000000000}">
      <formula1>3</formula1>
      <formula2>5</formula2>
    </dataValidation>
  </dataValidations>
  <pageMargins left="0.7" right="0.7" top="0.78740157499999996" bottom="0.78740157499999996" header="0.3" footer="0.3"/>
  <pageSetup paperSize="9" scale="48" fitToWidth="0" orientation="portrait" horizontalDpi="1200" verticalDpi="1200" r:id="rId1"/>
  <headerFooter>
    <oddFooter>&amp;LDok.-Nr./Rev./Datum
Z30         / 18 / 28.11.2021
&amp;F&amp;C&amp;A&amp;RSeite &amp;P/&amp;N</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0E713-D912-4C0D-B5EF-3ACC6604CC8B}">
  <sheetPr codeName="Recert_F04_Int">
    <tabColor rgb="FFFF0000"/>
  </sheetPr>
  <dimension ref="A2:F325"/>
  <sheetViews>
    <sheetView zoomScale="80" zoomScaleNormal="80" workbookViewId="0">
      <selection activeCell="E7" sqref="E7"/>
    </sheetView>
  </sheetViews>
  <sheetFormatPr baseColWidth="10" defaultColWidth="11.5" defaultRowHeight="13"/>
  <cols>
    <col min="1" max="1" width="11.5" style="803"/>
    <col min="2" max="2" width="80.83203125" style="801" customWidth="1"/>
    <col min="3" max="3" width="2.5" style="802" customWidth="1"/>
    <col min="4" max="6" width="61.5" style="803" customWidth="1"/>
    <col min="7" max="7" width="14.6640625" style="803" customWidth="1"/>
    <col min="8" max="8" width="41.33203125" style="803" customWidth="1"/>
    <col min="9" max="16384" width="11.5" style="803"/>
  </cols>
  <sheetData>
    <row r="2" spans="2:6" ht="17" thickBot="1">
      <c r="B2" s="2329" t="str">
        <f>Dictionary!B1018</f>
        <v>Re-Zert Interview</v>
      </c>
      <c r="C2" s="803"/>
      <c r="D2" s="829">
        <f>COV!E6</f>
        <v>0</v>
      </c>
      <c r="E2" s="830">
        <f>COV!E7</f>
        <v>0</v>
      </c>
      <c r="F2" s="1745" t="str">
        <f>COV!$L$26</f>
        <v>PM ZERT</v>
      </c>
    </row>
    <row r="3" spans="2:6" ht="14">
      <c r="B3" s="2330"/>
      <c r="D3" s="775" t="str">
        <f>Dictionary!B1133</f>
        <v>Name</v>
      </c>
      <c r="E3" s="775" t="str">
        <f>Dictionary!B1134</f>
        <v>Vorname</v>
      </c>
      <c r="F3" s="1746" t="str">
        <f>COV!$D$94</f>
        <v/>
      </c>
    </row>
    <row r="4" spans="2:6" ht="14">
      <c r="D4" s="775"/>
      <c r="E4" s="775"/>
    </row>
    <row r="6" spans="2:6" ht="16">
      <c r="B6" s="1748" t="s">
        <v>289</v>
      </c>
      <c r="C6" s="1749"/>
      <c r="D6" s="1908"/>
      <c r="E6" s="1909"/>
      <c r="F6" s="1750"/>
    </row>
    <row r="7" spans="2:6" ht="17">
      <c r="B7" s="1751" t="str">
        <f>'F04 Eval'!D19</f>
        <v>Lead Assessor:</v>
      </c>
      <c r="C7" s="1749"/>
      <c r="D7" s="1925" t="str">
        <f>Dictionary!B1019</f>
        <v>Interview wegen nicht ausreichender PM-Praxis</v>
      </c>
      <c r="E7" s="1926"/>
      <c r="F7" s="1750"/>
    </row>
    <row r="8" spans="2:6" ht="16">
      <c r="B8" s="1748" t="s">
        <v>482</v>
      </c>
      <c r="C8" s="1749"/>
      <c r="D8" s="1925" t="str">
        <f>Dictionary!B1020</f>
        <v>Interview wegen nicht ausreichender Weiterbildung</v>
      </c>
      <c r="E8" s="1926"/>
      <c r="F8" s="1750"/>
    </row>
    <row r="9" spans="2:6" ht="17">
      <c r="B9" s="1751" t="str">
        <f>'F04 Eval'!H19</f>
        <v>Co Assessor:</v>
      </c>
      <c r="C9" s="1749"/>
      <c r="D9" s="1910"/>
      <c r="E9" s="1911"/>
      <c r="F9" s="1750"/>
    </row>
    <row r="10" spans="2:6" ht="26.25" customHeight="1">
      <c r="B10" s="1749"/>
      <c r="C10" s="1749"/>
      <c r="D10" s="2325" t="str">
        <f>Dictionary!B1021</f>
        <v>Ergebnis: Wurden die für die Rezertifizierung erforderlichen Fähigkeiten und Fertigkeiten gezeigt?</v>
      </c>
      <c r="E10" s="2326"/>
      <c r="F10" s="1750"/>
    </row>
    <row r="11" spans="2:6" ht="29.25" customHeight="1">
      <c r="B11" s="1752"/>
      <c r="C11" s="1749"/>
      <c r="D11" s="2327"/>
      <c r="E11" s="2328"/>
      <c r="F11" s="1750"/>
    </row>
    <row r="12" spans="2:6" ht="16">
      <c r="B12" s="1752"/>
      <c r="C12" s="1749"/>
      <c r="D12" s="1750"/>
      <c r="E12" s="1750"/>
      <c r="F12" s="1750"/>
    </row>
    <row r="13" spans="2:6" ht="17">
      <c r="B13" s="1753" t="s">
        <v>4075</v>
      </c>
      <c r="C13" s="1749"/>
      <c r="D13" s="1754" t="str">
        <f>Dictionary!B1022</f>
        <v>Formulierte Frage</v>
      </c>
      <c r="E13" s="1755" t="str">
        <f>Dictionary!B1023</f>
        <v>Stichpunktartig protokollierte Antwort</v>
      </c>
      <c r="F13" s="1756" t="str">
        <f>Dictionary!B1024</f>
        <v>Bestanden/nicht bestanden (1/0)</v>
      </c>
    </row>
    <row r="14" spans="2:6" ht="60.75" customHeight="1">
      <c r="B14" s="804"/>
      <c r="D14" s="1606"/>
      <c r="E14" s="1607"/>
      <c r="F14" s="1608"/>
    </row>
    <row r="15" spans="2:6" ht="60.75" customHeight="1">
      <c r="B15" s="805"/>
      <c r="D15" s="1609"/>
      <c r="E15" s="1610"/>
      <c r="F15" s="1611"/>
    </row>
    <row r="16" spans="2:6" ht="60.75" customHeight="1">
      <c r="B16" s="805"/>
      <c r="D16" s="1609"/>
      <c r="E16" s="1610"/>
      <c r="F16" s="1611"/>
    </row>
    <row r="17" spans="2:6" ht="60.75" customHeight="1">
      <c r="B17" s="805"/>
      <c r="D17" s="1609"/>
      <c r="E17" s="1610"/>
      <c r="F17" s="1611"/>
    </row>
    <row r="18" spans="2:6" ht="60.75" customHeight="1">
      <c r="B18" s="805"/>
      <c r="D18" s="1609"/>
      <c r="E18" s="1610"/>
      <c r="F18" s="1611"/>
    </row>
    <row r="19" spans="2:6" ht="60.75" customHeight="1">
      <c r="B19" s="805"/>
      <c r="D19" s="1609"/>
      <c r="E19" s="1610"/>
      <c r="F19" s="1611"/>
    </row>
    <row r="20" spans="2:6" ht="60.75" customHeight="1">
      <c r="B20" s="805"/>
      <c r="D20" s="1609"/>
      <c r="E20" s="1610"/>
      <c r="F20" s="1611"/>
    </row>
    <row r="21" spans="2:6" ht="60.75" customHeight="1">
      <c r="B21" s="805"/>
      <c r="D21" s="1609"/>
      <c r="E21" s="1610"/>
      <c r="F21" s="1611"/>
    </row>
    <row r="22" spans="2:6" ht="60.75" customHeight="1">
      <c r="B22" s="805"/>
      <c r="D22" s="1609"/>
      <c r="E22" s="1610"/>
      <c r="F22" s="1611"/>
    </row>
    <row r="23" spans="2:6" ht="60.75" customHeight="1">
      <c r="B23" s="805"/>
      <c r="D23" s="1609"/>
      <c r="E23" s="1610"/>
      <c r="F23" s="1611"/>
    </row>
    <row r="24" spans="2:6" ht="60.75" customHeight="1">
      <c r="B24" s="805"/>
      <c r="D24" s="1609"/>
      <c r="E24" s="1610"/>
      <c r="F24" s="1611"/>
    </row>
    <row r="25" spans="2:6" ht="60.75" customHeight="1">
      <c r="B25" s="805"/>
      <c r="D25" s="1609"/>
      <c r="E25" s="1610"/>
      <c r="F25" s="1611"/>
    </row>
    <row r="26" spans="2:6" ht="60.75" customHeight="1">
      <c r="B26" s="805"/>
      <c r="D26" s="1609"/>
      <c r="E26" s="1610"/>
      <c r="F26" s="1611"/>
    </row>
    <row r="27" spans="2:6" ht="60.75" customHeight="1">
      <c r="B27" s="805"/>
      <c r="D27" s="1609"/>
      <c r="E27" s="1610"/>
      <c r="F27" s="1611"/>
    </row>
    <row r="28" spans="2:6" ht="60.75" customHeight="1">
      <c r="B28" s="805"/>
      <c r="D28" s="1609"/>
      <c r="E28" s="1610"/>
      <c r="F28" s="1611"/>
    </row>
    <row r="29" spans="2:6" ht="60.75" customHeight="1">
      <c r="B29" s="805"/>
      <c r="D29" s="1609"/>
      <c r="E29" s="1610"/>
      <c r="F29" s="1611"/>
    </row>
    <row r="30" spans="2:6" ht="60.75" customHeight="1">
      <c r="B30" s="805"/>
      <c r="D30" s="1609"/>
      <c r="E30" s="1610"/>
      <c r="F30" s="1611"/>
    </row>
    <row r="31" spans="2:6" ht="60.75" customHeight="1">
      <c r="B31" s="805"/>
      <c r="D31" s="1609"/>
      <c r="E31" s="1610"/>
      <c r="F31" s="1611"/>
    </row>
    <row r="32" spans="2:6" ht="60.75" customHeight="1">
      <c r="B32" s="805"/>
      <c r="D32" s="1609"/>
      <c r="E32" s="1610"/>
      <c r="F32" s="1611"/>
    </row>
    <row r="33" spans="2:6" ht="60.75" customHeight="1">
      <c r="B33" s="805"/>
      <c r="D33" s="1609"/>
      <c r="E33" s="1610"/>
      <c r="F33" s="1611"/>
    </row>
    <row r="34" spans="2:6" ht="60.75" customHeight="1">
      <c r="B34" s="805"/>
      <c r="D34" s="1609"/>
      <c r="E34" s="1610"/>
      <c r="F34" s="1611"/>
    </row>
    <row r="35" spans="2:6" ht="60.75" customHeight="1">
      <c r="B35" s="805"/>
      <c r="D35" s="1609"/>
      <c r="E35" s="1610"/>
      <c r="F35" s="1611"/>
    </row>
    <row r="36" spans="2:6" ht="60.75" customHeight="1">
      <c r="B36" s="805"/>
      <c r="D36" s="1609"/>
      <c r="E36" s="1610"/>
      <c r="F36" s="1611"/>
    </row>
    <row r="37" spans="2:6" ht="60.75" customHeight="1">
      <c r="B37" s="805"/>
      <c r="D37" s="1609"/>
      <c r="E37" s="1610"/>
      <c r="F37" s="1611"/>
    </row>
    <row r="38" spans="2:6" ht="60.75" customHeight="1">
      <c r="B38" s="805"/>
      <c r="D38" s="1609"/>
      <c r="E38" s="1610"/>
      <c r="F38" s="1611"/>
    </row>
    <row r="39" spans="2:6" ht="60.75" customHeight="1">
      <c r="B39" s="805"/>
      <c r="D39" s="1609"/>
      <c r="E39" s="1610"/>
      <c r="F39" s="1611"/>
    </row>
    <row r="40" spans="2:6" ht="60.75" customHeight="1">
      <c r="B40" s="805"/>
      <c r="D40" s="1609"/>
      <c r="E40" s="1610"/>
      <c r="F40" s="1611"/>
    </row>
    <row r="41" spans="2:6" ht="60.75" customHeight="1">
      <c r="B41" s="805"/>
      <c r="D41" s="1609"/>
      <c r="E41" s="1610"/>
      <c r="F41" s="1611"/>
    </row>
    <row r="42" spans="2:6" ht="60.75" customHeight="1">
      <c r="B42" s="805"/>
      <c r="D42" s="1609"/>
      <c r="E42" s="1610"/>
      <c r="F42" s="1611"/>
    </row>
    <row r="43" spans="2:6" ht="60.75" customHeight="1">
      <c r="B43" s="805"/>
      <c r="D43" s="1609"/>
      <c r="E43" s="1610"/>
      <c r="F43" s="1611"/>
    </row>
    <row r="44" spans="2:6" ht="60.75" customHeight="1">
      <c r="B44" s="805"/>
      <c r="D44" s="1609"/>
      <c r="E44" s="1610"/>
      <c r="F44" s="1611"/>
    </row>
    <row r="45" spans="2:6" ht="60.75" customHeight="1">
      <c r="B45" s="805"/>
      <c r="D45" s="1609"/>
      <c r="E45" s="1610"/>
      <c r="F45" s="1611"/>
    </row>
    <row r="46" spans="2:6" ht="60.75" customHeight="1">
      <c r="B46" s="805"/>
      <c r="D46" s="1609"/>
      <c r="E46" s="1610"/>
      <c r="F46" s="1611"/>
    </row>
    <row r="47" spans="2:6" ht="60.75" customHeight="1">
      <c r="B47" s="805"/>
      <c r="D47" s="1609"/>
      <c r="E47" s="1610"/>
      <c r="F47" s="1611"/>
    </row>
    <row r="48" spans="2:6" ht="60.75" customHeight="1">
      <c r="B48" s="805"/>
      <c r="D48" s="1609"/>
      <c r="E48" s="1610"/>
      <c r="F48" s="1611"/>
    </row>
    <row r="49" spans="2:6" ht="60.75" customHeight="1">
      <c r="B49" s="805"/>
      <c r="D49" s="1609"/>
      <c r="E49" s="1610"/>
      <c r="F49" s="1611"/>
    </row>
    <row r="50" spans="2:6" ht="60.75" customHeight="1">
      <c r="B50" s="805"/>
      <c r="D50" s="1609"/>
      <c r="E50" s="1610"/>
      <c r="F50" s="1611"/>
    </row>
    <row r="51" spans="2:6" ht="60.75" customHeight="1">
      <c r="B51" s="805"/>
      <c r="D51" s="1609"/>
      <c r="E51" s="1610"/>
      <c r="F51" s="1611"/>
    </row>
    <row r="52" spans="2:6" ht="60.75" customHeight="1">
      <c r="B52" s="805"/>
      <c r="D52" s="1609"/>
      <c r="E52" s="1610"/>
      <c r="F52" s="1611"/>
    </row>
    <row r="53" spans="2:6" ht="60.75" customHeight="1">
      <c r="B53" s="805"/>
      <c r="D53" s="1609"/>
      <c r="E53" s="1610"/>
      <c r="F53" s="1611"/>
    </row>
    <row r="54" spans="2:6" ht="60.75" customHeight="1">
      <c r="B54" s="805"/>
      <c r="D54" s="1609"/>
      <c r="E54" s="1610"/>
      <c r="F54" s="1611"/>
    </row>
    <row r="55" spans="2:6" ht="60.75" customHeight="1">
      <c r="B55" s="805"/>
      <c r="D55" s="1609"/>
      <c r="E55" s="1610"/>
      <c r="F55" s="1611"/>
    </row>
    <row r="56" spans="2:6" ht="60.75" customHeight="1">
      <c r="B56" s="805"/>
      <c r="D56" s="1609"/>
      <c r="E56" s="1610"/>
      <c r="F56" s="1611"/>
    </row>
    <row r="57" spans="2:6" ht="60.75" customHeight="1">
      <c r="B57" s="805"/>
      <c r="D57" s="1609"/>
      <c r="E57" s="1610"/>
      <c r="F57" s="1611"/>
    </row>
    <row r="58" spans="2:6" ht="60.75" customHeight="1">
      <c r="B58" s="805"/>
      <c r="D58" s="1609"/>
      <c r="E58" s="1610"/>
      <c r="F58" s="1611"/>
    </row>
    <row r="59" spans="2:6" ht="60.75" customHeight="1">
      <c r="B59" s="805"/>
      <c r="D59" s="1609"/>
      <c r="E59" s="1610"/>
      <c r="F59" s="1611"/>
    </row>
    <row r="60" spans="2:6" ht="60.75" customHeight="1">
      <c r="B60" s="805"/>
      <c r="D60" s="1609"/>
      <c r="E60" s="1610"/>
      <c r="F60" s="1611"/>
    </row>
    <row r="61" spans="2:6" ht="60.75" customHeight="1">
      <c r="B61" s="805"/>
      <c r="D61" s="1609"/>
      <c r="E61" s="1610"/>
      <c r="F61" s="1611"/>
    </row>
    <row r="62" spans="2:6" ht="60.75" customHeight="1">
      <c r="B62" s="805"/>
      <c r="D62" s="1609"/>
      <c r="E62" s="1610"/>
      <c r="F62" s="1611"/>
    </row>
    <row r="63" spans="2:6" ht="60.75" customHeight="1">
      <c r="B63" s="805"/>
      <c r="D63" s="1609"/>
      <c r="E63" s="1610"/>
      <c r="F63" s="1611"/>
    </row>
    <row r="64" spans="2:6" ht="60.75" customHeight="1">
      <c r="B64" s="805"/>
      <c r="D64" s="1609"/>
      <c r="E64" s="1610"/>
      <c r="F64" s="1611"/>
    </row>
    <row r="65" spans="1:6" ht="60.75" customHeight="1">
      <c r="B65" s="805"/>
      <c r="D65" s="1609"/>
      <c r="E65" s="1610"/>
      <c r="F65" s="1611"/>
    </row>
    <row r="66" spans="1:6" ht="60.75" customHeight="1">
      <c r="B66" s="805"/>
      <c r="D66" s="1609"/>
      <c r="E66" s="1610"/>
      <c r="F66" s="1611"/>
    </row>
    <row r="67" spans="1:6" ht="60.75" customHeight="1">
      <c r="B67" s="805"/>
      <c r="D67" s="1609"/>
      <c r="E67" s="1610"/>
      <c r="F67" s="1611"/>
    </row>
    <row r="68" spans="1:6" ht="60.75" customHeight="1">
      <c r="B68" s="805"/>
      <c r="D68" s="1609"/>
      <c r="E68" s="1610"/>
      <c r="F68" s="1611"/>
    </row>
    <row r="69" spans="1:6" ht="60.75" customHeight="1">
      <c r="B69" s="805"/>
      <c r="D69" s="1609"/>
      <c r="E69" s="1610"/>
      <c r="F69" s="1611"/>
    </row>
    <row r="70" spans="1:6" ht="60.75" customHeight="1">
      <c r="B70" s="805"/>
      <c r="D70" s="1609"/>
      <c r="E70" s="1610"/>
      <c r="F70" s="1611"/>
    </row>
    <row r="71" spans="1:6" ht="60.75" customHeight="1">
      <c r="B71" s="805"/>
      <c r="D71" s="1609"/>
      <c r="E71" s="1610"/>
      <c r="F71" s="1611"/>
    </row>
    <row r="72" spans="1:6" ht="60.75" customHeight="1">
      <c r="B72" s="805"/>
      <c r="D72" s="1609"/>
      <c r="E72" s="1610"/>
      <c r="F72" s="1611"/>
    </row>
    <row r="73" spans="1:6" ht="60.75" customHeight="1">
      <c r="B73" s="805"/>
      <c r="D73" s="1609"/>
      <c r="E73" s="1610"/>
      <c r="F73" s="1611"/>
    </row>
    <row r="74" spans="1:6" ht="60.75" customHeight="1">
      <c r="B74" s="806"/>
      <c r="D74" s="1612"/>
      <c r="E74" s="1613"/>
      <c r="F74" s="1614"/>
    </row>
    <row r="75" spans="1:6" ht="30" customHeight="1">
      <c r="B75" s="803"/>
      <c r="C75" s="803"/>
    </row>
    <row r="76" spans="1:6" hidden="1"/>
    <row r="77" spans="1:6" hidden="1">
      <c r="A77" s="2322" t="s">
        <v>2499</v>
      </c>
      <c r="B77" s="2323"/>
      <c r="C77" s="2323"/>
      <c r="D77" s="2324"/>
    </row>
    <row r="78" spans="1:6" hidden="1">
      <c r="A78" s="1912" t="s">
        <v>2494</v>
      </c>
      <c r="B78" s="1913" t="b">
        <f>IF(D11=D85,TRUE,FALSE)</f>
        <v>0</v>
      </c>
      <c r="C78" s="1914"/>
      <c r="D78" s="1915"/>
    </row>
    <row r="79" spans="1:6" hidden="1">
      <c r="A79" s="1916" t="s">
        <v>2495</v>
      </c>
      <c r="B79" s="801" t="b">
        <f>IF(D11=D86,TRUE,FALSE)</f>
        <v>0</v>
      </c>
      <c r="D79" s="1917"/>
    </row>
    <row r="80" spans="1:6" hidden="1">
      <c r="A80" s="1916"/>
      <c r="D80" s="1917"/>
    </row>
    <row r="81" spans="1:4" hidden="1">
      <c r="A81" s="1916" t="s">
        <v>2455</v>
      </c>
      <c r="B81" s="801" t="b">
        <f>IF(E7=B85,TRUE,FALSE)</f>
        <v>0</v>
      </c>
      <c r="D81" s="1918" t="b">
        <f>IF(($B$81=TRUE)*($B$78=TRUE),30-'F04 Eval'!K27)</f>
        <v>0</v>
      </c>
    </row>
    <row r="82" spans="1:4" hidden="1">
      <c r="A82" s="1919" t="s">
        <v>2496</v>
      </c>
      <c r="B82" s="1920" t="b">
        <f>IF(E8=B85,TRUE,FALSE)</f>
        <v>0</v>
      </c>
      <c r="C82" s="1921"/>
      <c r="D82" s="1922" t="b">
        <f>IF(($B$82=TRUE)*($B$78=TRUE),175-'F04 Eval'!K32)</f>
        <v>0</v>
      </c>
    </row>
    <row r="83" spans="1:4" hidden="1"/>
    <row r="84" spans="1:4" hidden="1">
      <c r="B84" s="2331" t="s">
        <v>4185</v>
      </c>
      <c r="C84" s="2332"/>
      <c r="D84" s="2333"/>
    </row>
    <row r="85" spans="1:4" hidden="1">
      <c r="B85" s="821" t="s">
        <v>1037</v>
      </c>
      <c r="C85" s="1923"/>
      <c r="D85" s="1924" t="s">
        <v>3482</v>
      </c>
    </row>
    <row r="86" spans="1:4" hidden="1">
      <c r="B86" s="821"/>
      <c r="C86" s="1923"/>
      <c r="D86" s="1924" t="s">
        <v>3483</v>
      </c>
    </row>
    <row r="87" spans="1:4" hidden="1"/>
    <row r="88" spans="1:4" hidden="1"/>
    <row r="89" spans="1:4" hidden="1"/>
    <row r="90" spans="1:4" hidden="1">
      <c r="B90" s="801" t="s">
        <v>2497</v>
      </c>
    </row>
    <row r="91" spans="1:4" hidden="1">
      <c r="B91" s="801" t="str">
        <f>Dictionary!I1263&amp;" ("&amp;Dictionary!J1263&amp;") - "&amp;Dictionary!B1263</f>
        <v>4.3.1 (K.1) - Strategie</v>
      </c>
    </row>
    <row r="92" spans="1:4" hidden="1">
      <c r="B92" s="801" t="str">
        <f>Dictionary!I1264&amp;" ("&amp;Dictionary!J1264&amp;") - "&amp;Dictionary!B1264</f>
        <v>4.3.1.1 (K.1.1) - Das Projekt mit der Mission und der Vision der Organisation in Einklang bringen</v>
      </c>
    </row>
    <row r="93" spans="1:4" hidden="1">
      <c r="B93" s="801" t="str">
        <f>Dictionary!I1265&amp;" ("&amp;Dictionary!J1265&amp;") - "&amp;Dictionary!B1265</f>
        <v>4.3.1.2 (K.1.2) - Chancen identifizieren und ausschöpfen, die Strategie der Organisation zu beeinflussen</v>
      </c>
    </row>
    <row r="94" spans="1:4" hidden="1">
      <c r="B94" s="801" t="str">
        <f>Dictionary!I1266&amp;" ("&amp;Dictionary!J1266&amp;") - "&amp;Dictionary!B1266</f>
        <v>4.3.1.3 (K.1.3) - Rechtfertigung für das Projekt entwickeln und sicherstellen, dass die betriebswirtschaftlichen und / oder organisationalen Gründe, die zum Projekt geführt haben, weiterhin bestehen</v>
      </c>
    </row>
    <row r="95" spans="1:4" hidden="1">
      <c r="B95" s="801" t="str">
        <f>Dictionary!I1267&amp;" ("&amp;Dictionary!J1267&amp;") - "&amp;Dictionary!B1267</f>
        <v>4.3.1.4 (K.1.4) - Kritische Erfolgsfaktoren (KEF) bestimmen, beurteilen und überprüfen</v>
      </c>
    </row>
    <row r="96" spans="1:4" hidden="1">
      <c r="B96" s="801" t="str">
        <f>Dictionary!I1268&amp;" ("&amp;Dictionary!J1268&amp;") - "&amp;Dictionary!B1268</f>
        <v>4.3.1.5 (K.1.5) - Key Performance Indikatoren (KPI) bestimmen, beurteilen und überprüfen</v>
      </c>
    </row>
    <row r="97" spans="2:2" hidden="1"/>
    <row r="98" spans="2:2" hidden="1"/>
    <row r="99" spans="2:2" hidden="1">
      <c r="B99" s="801" t="str">
        <f>Dictionary!I1271&amp;" ("&amp;Dictionary!J1271&amp;") - "&amp;Dictionary!B1271</f>
        <v>4.3.2 (K.2) - Governance, Strukturen und Prozesse</v>
      </c>
    </row>
    <row r="100" spans="2:2" hidden="1">
      <c r="B100" s="801" t="str">
        <f>Dictionary!I1272&amp;" ("&amp;Dictionary!J1272&amp;") - "&amp;Dictionary!B1272</f>
        <v>4.3.2.1 (K.2.1) - Die Grundlagen des Projektmanagements und deren Einführung kennen und anwenden</v>
      </c>
    </row>
    <row r="101" spans="2:2" hidden="1">
      <c r="B101" s="801" t="str">
        <f>Dictionary!I1273&amp;" ("&amp;Dictionary!J1273&amp;") - "&amp;Dictionary!B1273</f>
        <v>4.3.2.2 (K.2.2) - Die Grundlagen des Programmmanagements und deren Einführung kennen</v>
      </c>
    </row>
    <row r="102" spans="2:2" hidden="1">
      <c r="B102" s="801" t="str">
        <f>Dictionary!I1274&amp;" ("&amp;Dictionary!J1274&amp;") - "&amp;Dictionary!B1274</f>
        <v>4.3.2.3 (K.2.3) - Die Grundlagen des Portfoliomanagements und deren Einführung kennen</v>
      </c>
    </row>
    <row r="103" spans="2:2" hidden="1">
      <c r="B103" s="801" t="str">
        <f>Dictionary!I1275&amp;" ("&amp;Dictionary!J1275&amp;") - "&amp;Dictionary!B1275</f>
        <v>4.3.2.4 (K.2.4) - Das Projekt mit den Supportfunktionen in Einklang bringen</v>
      </c>
    </row>
    <row r="104" spans="2:2" hidden="1">
      <c r="B104" s="801" t="str">
        <f>Dictionary!I1276&amp;" ("&amp;Dictionary!J1276&amp;") - "&amp;Dictionary!B1276</f>
        <v>4.3.2.5 (K.2.5) - Das Projekt mit den Entscheidungs- und Berichterstattungsstrukturen sowie den Qualitätsanforderungen der Organisation in Einklang bringen</v>
      </c>
    </row>
    <row r="105" spans="2:2" hidden="1">
      <c r="B105" s="801" t="str">
        <f>Dictionary!I1277&amp;" ("&amp;Dictionary!J1277&amp;") - "&amp;Dictionary!B1277</f>
        <v>4.3.2.6 (K.2.6) - Das Projekt mit den Prozessen und Funktionen des HR (Personalwesens) in Einklang bringen</v>
      </c>
    </row>
    <row r="106" spans="2:2" hidden="1">
      <c r="B106" s="801" t="str">
        <f>Dictionary!I1278&amp;" ("&amp;Dictionary!J1278&amp;") - "&amp;Dictionary!B1278</f>
        <v>4.3.2.7 (K.2.7) - Das Projekt mit den Finanz- und Controlling-Prozessen in Einklang bringen</v>
      </c>
    </row>
    <row r="107" spans="2:2" hidden="1"/>
    <row r="108" spans="2:2" hidden="1">
      <c r="B108" s="801" t="str">
        <f>Dictionary!I1280&amp;" ("&amp;Dictionary!J1280&amp;") - "&amp;Dictionary!B1280</f>
        <v>4.3.3 (K.3) - Compliance, Standards und Regularien</v>
      </c>
    </row>
    <row r="109" spans="2:2" hidden="1">
      <c r="B109" s="801" t="str">
        <f>Dictionary!I1281&amp;" ("&amp;Dictionary!J1281&amp;") - "&amp;Dictionary!B1281</f>
        <v>4.3.3.1 (K.3.1) - Die für das Projekt und dessen Komponenten gültigen Rechtsvorschriften identifizieren und einhalten</v>
      </c>
    </row>
    <row r="110" spans="2:2" hidden="1">
      <c r="B110" s="801" t="str">
        <f>Dictionary!I1282&amp;" ("&amp;Dictionary!J1282&amp;") - "&amp;Dictionary!B1282</f>
        <v>4.3.3.2 (K.3.2) - Alle für das Projekt relevanten Vorschriften für Sicherheit, Gesundheit, und Umweltschutz (SGU) identifizieren und einhalten</v>
      </c>
    </row>
    <row r="111" spans="2:2" hidden="1">
      <c r="B111" s="801" t="str">
        <f>Dictionary!I1283&amp;" ("&amp;Dictionary!J1283&amp;") - "&amp;Dictionary!B1283</f>
        <v>4.3.3.3 (K.3.3) - Alle für das Projekt relevanten Verhaltensregeln und Berufsvorschriften identifizieren und einhalten</v>
      </c>
    </row>
    <row r="112" spans="2:2" hidden="1">
      <c r="B112" s="801" t="str">
        <f>Dictionary!I1284&amp;" ("&amp;Dictionary!J1284&amp;") - "&amp;Dictionary!B1284</f>
        <v>4.3.3.4 (K.3.4) - Für das Projekt relevante Prinzipien und Ziele der Nachhaltigkeit identifizieren und einhalten</v>
      </c>
    </row>
    <row r="113" spans="2:2" hidden="1">
      <c r="B113" s="801" t="str">
        <f>Dictionary!I1285&amp;" ("&amp;Dictionary!J1285&amp;") - "&amp;Dictionary!B1285</f>
        <v>4.3.3.5 (K.3.5) - Für das Projekt relevante fachliche Standards und Tools beurteilen, nutzen und weiterentwickeln</v>
      </c>
    </row>
    <row r="114" spans="2:2" hidden="1">
      <c r="B114" s="801" t="str">
        <f>Dictionary!I1286&amp;" ("&amp;Dictionary!J1286&amp;") - "&amp;Dictionary!B1286</f>
        <v>4.3.3.6 (K.3.6) - Die Projektmanagementkompetenz der Organisation beurteilen, vergleichen und verbessern</v>
      </c>
    </row>
    <row r="115" spans="2:2" hidden="1"/>
    <row r="116" spans="2:2" hidden="1"/>
    <row r="117" spans="2:2" hidden="1">
      <c r="B117" s="801" t="str">
        <f>Dictionary!I1289&amp;" ("&amp;Dictionary!J1289&amp;") - "&amp;Dictionary!B1289</f>
        <v>4.3.4 (K.4) - Macht und Interessen</v>
      </c>
    </row>
    <row r="118" spans="2:2" hidden="1">
      <c r="B118" s="801" t="str">
        <f>Dictionary!I1290&amp;" ("&amp;Dictionary!J1290&amp;") - "&amp;Dictionary!B1290</f>
        <v>4.3.4.1 (K.4.1) - Persönliche Ambitionen und Interessen Dritter und deren potenzielle Auswirkungen auf das Projekt beurteilen sowie diese Kenntnisse zum Nutzen des Projekts einsetzen</v>
      </c>
    </row>
    <row r="119" spans="2:2" hidden="1">
      <c r="B119" s="801" t="str">
        <f>Dictionary!I1291&amp;" ("&amp;Dictionary!J1291&amp;") - "&amp;Dictionary!B1291</f>
        <v>4.3.4.2 (K.4.2) - Informellen Einfluss von Einzelpersonen und Personengruppen und deren potenzielle Auswirkungen auf das Projekt beurteilen sowie diese Kenntnisse zum Nutzen des Projekts verwenden</v>
      </c>
    </row>
    <row r="120" spans="2:2" hidden="1">
      <c r="B120" s="801" t="str">
        <f>Dictionary!I1292&amp;" ("&amp;Dictionary!J1292&amp;") - "&amp;Dictionary!B1292</f>
        <v>4.3.4.3 (K.4.3) - Persönlichkeiten und Arbeitsstile Dritter beurteilen und zum Nutzen des Projekts einsetzen</v>
      </c>
    </row>
    <row r="121" spans="2:2" hidden="1"/>
    <row r="122" spans="2:2" hidden="1"/>
    <row r="123" spans="2:2" hidden="1">
      <c r="B123" s="801" t="str">
        <f>Dictionary!I1295&amp;" ("&amp;Dictionary!J1295&amp;") - "&amp;Dictionary!B1295</f>
        <v>4.3.5 (K.5) - Kultur und Werte</v>
      </c>
    </row>
    <row r="124" spans="2:2" hidden="1">
      <c r="B124" s="801" t="str">
        <f>Dictionary!I1296&amp;" ("&amp;Dictionary!J1296&amp;") - "&amp;Dictionary!B1296</f>
        <v>4.3.5.1 (K.5.1) - Kultur und Werte der Gesellschaft und deren Auswirkungen auf das Projekt beurteilen</v>
      </c>
    </row>
    <row r="125" spans="2:2" hidden="1">
      <c r="B125" s="801" t="str">
        <f>Dictionary!I1297&amp;" ("&amp;Dictionary!J1297&amp;") - "&amp;Dictionary!B1297</f>
        <v>4.3.5.2 (K.5.2) - Das Projekt mit der formellen Kultur und den Werten der Organisation in Einklang bringen</v>
      </c>
    </row>
    <row r="126" spans="2:2" hidden="1">
      <c r="B126" s="801" t="str">
        <f>Dictionary!I1298&amp;" ("&amp;Dictionary!J1298&amp;") - "&amp;Dictionary!B1298</f>
        <v>4.3.5.3 (K.5.3) - Die informelle Kultur und Werte der Organisation und deren Auswirkungen auf das Projekt beurteilen</v>
      </c>
    </row>
    <row r="127" spans="2:2" hidden="1"/>
    <row r="128" spans="2:2" hidden="1"/>
    <row r="129" spans="2:2" hidden="1">
      <c r="B129" s="801" t="str">
        <f>Dictionary!I1301&amp;" ("&amp;Dictionary!J1301&amp;") - "&amp;Dictionary!B1301</f>
        <v xml:space="preserve"> () - People Kompetenz Elemente</v>
      </c>
    </row>
    <row r="130" spans="2:2" hidden="1">
      <c r="B130" s="801" t="str">
        <f>Dictionary!I1302&amp;" ("&amp;Dictionary!J1302&amp;") - "&amp;Dictionary!B1302</f>
        <v>4.4.1 (S.1) - Selbstreflexion und Selbstmanagement</v>
      </c>
    </row>
    <row r="131" spans="2:2" hidden="1">
      <c r="B131" s="801" t="str">
        <f>Dictionary!I1303&amp;" ("&amp;Dictionary!J1303&amp;") - "&amp;Dictionary!B1303</f>
        <v>4.4.1.1 (S.1.1) - Einfluss der eigenen Werte und persönlichen Erfahrungen auf die Arbeit identifizieren und reflektieren</v>
      </c>
    </row>
    <row r="132" spans="2:2" hidden="1">
      <c r="B132" s="801" t="str">
        <f>Dictionary!I1304&amp;" ("&amp;Dictionary!J1304&amp;") - "&amp;Dictionary!B1304</f>
        <v>4.4.1.2 (S.1.2) - Selbstvertrauen auf der Basis von persönlichen Stärken und Schwächen aufbauen</v>
      </c>
    </row>
    <row r="133" spans="2:2" hidden="1">
      <c r="B133" s="801" t="str">
        <f>Dictionary!I1305&amp;" ("&amp;Dictionary!J1305&amp;") - "&amp;Dictionary!B1305</f>
        <v>4.4.1.3 (S.1.3) - Persönliche Motivationen identifizieren und reflektieren, um persönliche Ziele zu setzen und darauf zu fokussieren</v>
      </c>
    </row>
    <row r="134" spans="2:2" hidden="1">
      <c r="B134" s="801" t="str">
        <f>Dictionary!I1306&amp;" ("&amp;Dictionary!J1306&amp;") - "&amp;Dictionary!B1306</f>
        <v>4.4.1.4 (S.1.4) - Eigene Arbeit abhängig von der Situation und den eigenen Ressourcen organisieren</v>
      </c>
    </row>
    <row r="135" spans="2:2" hidden="1">
      <c r="B135" s="801" t="str">
        <f>Dictionary!I1307&amp;" ("&amp;Dictionary!J1307&amp;") - "&amp;Dictionary!B1307</f>
        <v>4.4.1.5 (S.1.5) - Verantwortung für das persönliche Lernen und die persönliche Weiterentwicklung übernehmen</v>
      </c>
    </row>
    <row r="136" spans="2:2" hidden="1"/>
    <row r="137" spans="2:2" hidden="1"/>
    <row r="138" spans="2:2" hidden="1">
      <c r="B138" s="801" t="str">
        <f>Dictionary!I1310&amp;" ("&amp;Dictionary!J1310&amp;") - "&amp;Dictionary!B1310</f>
        <v>4.4.2 (S.2) - Persönliche Integrität und Verlässlichkeit</v>
      </c>
    </row>
    <row r="139" spans="2:2" hidden="1">
      <c r="B139" s="801" t="str">
        <f>Dictionary!I1311&amp;" ("&amp;Dictionary!J1311&amp;") - "&amp;Dictionary!B1311</f>
        <v>4.4.2.1 (S.2.1) - Ethische Werte bei allen Entscheidungen und Handlungen anerkennen und anwenden</v>
      </c>
    </row>
    <row r="140" spans="2:2" hidden="1">
      <c r="B140" s="801" t="str">
        <f>Dictionary!I1312&amp;" ("&amp;Dictionary!J1312&amp;") - "&amp;Dictionary!B1312</f>
        <v>4.4.2.2 (S.2.2) - Nachhaltigkeit von Leistungen und Ergebnissen fördern</v>
      </c>
    </row>
    <row r="141" spans="2:2" hidden="1">
      <c r="B141" s="801" t="str">
        <f>Dictionary!I1313&amp;" ("&amp;Dictionary!J1313&amp;") - "&amp;Dictionary!B1313</f>
        <v>4.4.2.3 (S.2.3) - Verantwortung für die eigenen Entscheidungen und Handlungen übernehmen</v>
      </c>
    </row>
    <row r="142" spans="2:2" hidden="1">
      <c r="B142" s="801" t="str">
        <f>Dictionary!I1314&amp;" ("&amp;Dictionary!J1314&amp;") - "&amp;Dictionary!B1314</f>
        <v>4.4.2.4 (S.2.4) - Widerspruchsfrei handeln, Entscheidungen treffen und kommunizieren</v>
      </c>
    </row>
    <row r="143" spans="2:2" hidden="1">
      <c r="B143" s="801" t="str">
        <f>Dictionary!I1315&amp;" ("&amp;Dictionary!J1315&amp;") - "&amp;Dictionary!B1315</f>
        <v>4.4.2.5 (S.2.5) - Aufgaben sorgfältig erfüllen, um Vertrauen bei anderen zu schaffen</v>
      </c>
    </row>
    <row r="144" spans="2:2" hidden="1"/>
    <row r="145" spans="2:2" hidden="1"/>
    <row r="146" spans="2:2" hidden="1">
      <c r="B146" s="801" t="str">
        <f>Dictionary!I1318&amp;" ("&amp;Dictionary!J1318&amp;") - "&amp;Dictionary!B1318</f>
        <v>4.4.3 (S.3) - Persönliche Kommunikation</v>
      </c>
    </row>
    <row r="147" spans="2:2" hidden="1">
      <c r="B147" s="801" t="str">
        <f>Dictionary!I1319&amp;" ("&amp;Dictionary!J1319&amp;") - "&amp;Dictionary!B1319</f>
        <v>4.4.3.1 (S.3.1) - Eindeutige und strukturierte Informationen an andere weitergeben und deren gleiches Verständnis sicherstellen</v>
      </c>
    </row>
    <row r="148" spans="2:2" hidden="1">
      <c r="B148" s="801" t="str">
        <f>Dictionary!I1320&amp;" ("&amp;Dictionary!J1320&amp;") - "&amp;Dictionary!B1320</f>
        <v>4.4.3.2 (S.3.2) - Offene Kommunikation ermöglichen und fördern</v>
      </c>
    </row>
    <row r="149" spans="2:2" hidden="1">
      <c r="B149" s="801" t="str">
        <f>Dictionary!I1321&amp;" ("&amp;Dictionary!J1321&amp;") - "&amp;Dictionary!B1321</f>
        <v>4.4.3.3 (S.3.3) - Kommunikationsarten und -kanäle auswählen, um die Bedürfnisse der Zielgruppe, der Situation und der Führungsebene zu erfüllen</v>
      </c>
    </row>
    <row r="150" spans="2:2" hidden="1">
      <c r="B150" s="801" t="str">
        <f>Dictionary!I1322&amp;" ("&amp;Dictionary!J1322&amp;") - "&amp;Dictionary!B1322</f>
        <v>4.4.3.4 (S.3.4) - Mit virtuellen Teams effektiv kommunizieren</v>
      </c>
    </row>
    <row r="151" spans="2:2" hidden="1">
      <c r="B151" s="801" t="str">
        <f>Dictionary!I1323&amp;" ("&amp;Dictionary!J1323&amp;") - "&amp;Dictionary!B1323</f>
        <v>4.4.3.5 (S.3.5) - Humor und Perspektivenwechsel angemessen verwenden</v>
      </c>
    </row>
    <row r="152" spans="2:2" hidden="1"/>
    <row r="153" spans="2:2" hidden="1"/>
    <row r="154" spans="2:2" hidden="1">
      <c r="B154" s="801" t="str">
        <f>Dictionary!I1326&amp;" ("&amp;Dictionary!J1326&amp;") - "&amp;Dictionary!B1326</f>
        <v>4.4.4 (S.4) - Beziehungen und Engagement</v>
      </c>
    </row>
    <row r="155" spans="2:2" hidden="1">
      <c r="B155" s="801" t="str">
        <f>Dictionary!I1327&amp;" ("&amp;Dictionary!J1327&amp;") - "&amp;Dictionary!B1327</f>
        <v>4.4.4.1 (S.4.1) - Persönliche und berufliche Beziehungen aufbauen und pflegen</v>
      </c>
    </row>
    <row r="156" spans="2:2" hidden="1">
      <c r="B156" s="801" t="str">
        <f>Dictionary!I1328&amp;" ("&amp;Dictionary!J1328&amp;") - "&amp;Dictionary!B1328</f>
        <v>4.4.4.2 (S.4.2) - Soziale Netzwerke aufbauen, moderieren und an ihnen teilnehmen</v>
      </c>
    </row>
    <row r="157" spans="2:2" hidden="1">
      <c r="B157" s="801" t="str">
        <f>Dictionary!I1329&amp;" ("&amp;Dictionary!J1329&amp;") - "&amp;Dictionary!B1329</f>
        <v>4.4.4.3 (S.4.3) - Durch Zuhören, Verständnis und Unterstützung Empathie zeigen</v>
      </c>
    </row>
    <row r="158" spans="2:2" hidden="1">
      <c r="B158" s="801" t="str">
        <f>Dictionary!I1330&amp;" ("&amp;Dictionary!J1330&amp;") - "&amp;Dictionary!B1330</f>
        <v>4.4.4.4 (S.4.4) - Vertrauen und Respekt zeigen, indem andere ermutigt werden, ihre Meinungen und Bedenken zu äußern</v>
      </c>
    </row>
    <row r="159" spans="2:2" hidden="1">
      <c r="B159" s="801" t="str">
        <f>Dictionary!I1331&amp;" ("&amp;Dictionary!J1331&amp;") - "&amp;Dictionary!B1331</f>
        <v>4.4.4.5 (S.4.5) - Eigene Visionen und Ziele kommunizieren, um Engagement und Commitment Dritter zu erreichen</v>
      </c>
    </row>
    <row r="160" spans="2:2" hidden="1"/>
    <row r="161" spans="2:2" hidden="1"/>
    <row r="162" spans="2:2" hidden="1">
      <c r="B162" s="801" t="str">
        <f>Dictionary!I1334&amp;" ("&amp;Dictionary!J1334&amp;") - "&amp;Dictionary!B1334</f>
        <v>4.4.5 (S.5) - Führung</v>
      </c>
    </row>
    <row r="163" spans="2:2" hidden="1">
      <c r="B163" s="801" t="str">
        <f>Dictionary!I1335&amp;" ("&amp;Dictionary!J1335&amp;") - "&amp;Dictionary!B1335</f>
        <v>4.4.5.1 (S.5.1) - Initiative ergreifen und proaktiv mit Rat und Tat zur Seite stehen</v>
      </c>
    </row>
    <row r="164" spans="2:2" hidden="1">
      <c r="B164" s="801" t="str">
        <f>Dictionary!I1336&amp;" ("&amp;Dictionary!J1336&amp;") - "&amp;Dictionary!B1336</f>
        <v>4.4.5.2 (S.5.2) - Ownership übernehmen und Commitment zeigen</v>
      </c>
    </row>
    <row r="165" spans="2:2" hidden="1">
      <c r="B165" s="801" t="str">
        <f>Dictionary!I1337&amp;" ("&amp;Dictionary!J1337&amp;") - "&amp;Dictionary!B1337</f>
        <v>4.4.5.3 (S.5.3) - Durch Vorgeben der Richtung, durch Coaching und Mentoring die Arbeit von Einzelpersonen und Teams leiten und verbessern</v>
      </c>
    </row>
    <row r="166" spans="2:2" hidden="1">
      <c r="B166" s="801" t="str">
        <f>Dictionary!I1338&amp;" ("&amp;Dictionary!J1338&amp;") - "&amp;Dictionary!B1338</f>
        <v>4.4.5.4 (S.5.4) - Macht und Einfluss angemessen auf Dritte ausüben, um die Ziele zu erreichen</v>
      </c>
    </row>
    <row r="167" spans="2:2" hidden="1">
      <c r="B167" s="801" t="str">
        <f>Dictionary!I1339&amp;" ("&amp;Dictionary!J1339&amp;") - "&amp;Dictionary!B1339</f>
        <v>4.4.5.5 (S.5.5) - Entscheidungen treffen, durchsetzen und überprüfen</v>
      </c>
    </row>
    <row r="168" spans="2:2" hidden="1"/>
    <row r="169" spans="2:2" hidden="1"/>
    <row r="170" spans="2:2" hidden="1">
      <c r="B170" s="801" t="str">
        <f>Dictionary!I1342&amp;" ("&amp;Dictionary!J1342&amp;") - "&amp;Dictionary!B1342</f>
        <v>4.4.6 (S.6) - Teamarbeit</v>
      </c>
    </row>
    <row r="171" spans="2:2" hidden="1">
      <c r="B171" s="801" t="str">
        <f>Dictionary!I1343&amp;" ("&amp;Dictionary!J1343&amp;") - "&amp;Dictionary!B1343</f>
        <v>4.4.6.1 (S.6.1) - Das Team zusammenstellen und entwickeln</v>
      </c>
    </row>
    <row r="172" spans="2:2" hidden="1">
      <c r="B172" s="801" t="str">
        <f>Dictionary!I1344&amp;" ("&amp;Dictionary!J1344&amp;") - "&amp;Dictionary!B1344</f>
        <v>4.4.6.2 (S.6.2) - Zusammenarbeit und Netzwerken zwischen Teammitgliedern fördern</v>
      </c>
    </row>
    <row r="173" spans="2:2" hidden="1">
      <c r="B173" s="801" t="str">
        <f>Dictionary!I1345&amp;" ("&amp;Dictionary!J1345&amp;") - "&amp;Dictionary!B1345</f>
        <v>4.4.6.3 (S.6.3) - Die Entwicklung des Teams und der Teammitglieder ermöglichen, unterstützen und überprüfen</v>
      </c>
    </row>
    <row r="174" spans="2:2" hidden="1">
      <c r="B174" s="801" t="str">
        <f>Dictionary!I1346&amp;" ("&amp;Dictionary!J1346&amp;") - "&amp;Dictionary!B1346</f>
        <v>4.4.6.4 (S.6.4) - Teams durch das Delegieren von Aufgaben und Verantwortlichkeiten stärken</v>
      </c>
    </row>
    <row r="175" spans="2:2" hidden="1">
      <c r="B175" s="801" t="str">
        <f>Dictionary!I1347&amp;" ("&amp;Dictionary!J1347&amp;") - "&amp;Dictionary!B1347</f>
        <v>4.4.6.5 (S.6.5) - Fehler erkennen, um das Lernen aus Fehlern zu ermöglichen</v>
      </c>
    </row>
    <row r="176" spans="2:2" hidden="1"/>
    <row r="177" spans="2:2" hidden="1"/>
    <row r="178" spans="2:2" hidden="1">
      <c r="B178" s="801" t="str">
        <f>Dictionary!I1350&amp;" ("&amp;Dictionary!J1350&amp;") - "&amp;Dictionary!B1350</f>
        <v>4.4.7 (S.7) - Konflikte und Krisen</v>
      </c>
    </row>
    <row r="179" spans="2:2" hidden="1">
      <c r="B179" s="801" t="str">
        <f>Dictionary!I1351&amp;" ("&amp;Dictionary!J1351&amp;") - "&amp;Dictionary!B1351</f>
        <v>4.4.7.1 (S.7.1) - Konflikte und Krisen antizipieren und, wenn möglich, verhindern</v>
      </c>
    </row>
    <row r="180" spans="2:2" hidden="1">
      <c r="B180" s="801" t="str">
        <f>Dictionary!I1352&amp;" ("&amp;Dictionary!J1352&amp;") - "&amp;Dictionary!B1352</f>
        <v>4.4.7.2 (S.7.2) - Ursachen und Auswirkungen von Konflikten und Krisen analysieren und angemessene Reaktionen auswählen</v>
      </c>
    </row>
    <row r="181" spans="2:2" hidden="1">
      <c r="B181" s="801" t="str">
        <f>Dictionary!I1353&amp;" ("&amp;Dictionary!J1353&amp;") - "&amp;Dictionary!B1353</f>
        <v>4.4.7.3 (S.7.3) - Konflikte und Krisen und / oder deren Auswirkungen lösen bzw in ihnen vermitteln</v>
      </c>
    </row>
    <row r="182" spans="2:2" hidden="1">
      <c r="B182" s="801" t="str">
        <f>Dictionary!I1354&amp;" ("&amp;Dictionary!J1354&amp;") - "&amp;Dictionary!B1354</f>
        <v>4.4.7.4 (S.7.4) - Lernergebnisse aus Konflikten und Krisen identifizieren und weitergehen, um die zukünftige Arbeit zu verbessern</v>
      </c>
    </row>
    <row r="183" spans="2:2" hidden="1"/>
    <row r="184" spans="2:2" hidden="1"/>
    <row r="185" spans="2:2" hidden="1">
      <c r="B185" s="801" t="str">
        <f>Dictionary!I1357&amp;" ("&amp;Dictionary!J1357&amp;") - "&amp;Dictionary!B1357</f>
        <v>4.4.8 (S.8) - Vielseitigkeit</v>
      </c>
    </row>
    <row r="186" spans="2:2" hidden="1">
      <c r="B186" s="801" t="str">
        <f>Dictionary!I1358&amp;" ("&amp;Dictionary!J1358&amp;") - "&amp;Dictionary!B1358</f>
        <v>4.4.8.1 (S.8.1) - Ein offenes und kreatives Umfeld schaffen und unterstützen</v>
      </c>
    </row>
    <row r="187" spans="2:2" hidden="1">
      <c r="B187" s="801" t="str">
        <f>Dictionary!I1359&amp;" ("&amp;Dictionary!J1359&amp;") - "&amp;Dictionary!B1359</f>
        <v>4.4.8.2 (S.8.2) - Konzeptionelles Denken anwenden, um Situationen zu analysieren und Lösungsstrategien zu definieren</v>
      </c>
    </row>
    <row r="188" spans="2:2" hidden="1">
      <c r="B188" s="801" t="str">
        <f>Dictionary!I1360&amp;" ("&amp;Dictionary!J1360&amp;") - "&amp;Dictionary!B1360</f>
        <v>4.4.8.3 (S.8.3) - Analytische Techniken anwenden, um Situationen, Informationen und Trends zu analysieren</v>
      </c>
    </row>
    <row r="189" spans="2:2" hidden="1">
      <c r="B189" s="801" t="str">
        <f>Dictionary!I1361&amp;" ("&amp;Dictionary!J1361&amp;") - "&amp;Dictionary!B1361</f>
        <v>4.4.8.4 (S.8.4) - Kreative Techniken fördern und anwenden, um Alternativen und Lösungen zu finden</v>
      </c>
    </row>
    <row r="190" spans="2:2" hidden="1">
      <c r="B190" s="801" t="str">
        <f>Dictionary!I1362&amp;" ("&amp;Dictionary!J1362&amp;") - "&amp;Dictionary!B1362</f>
        <v>4.4.8.5 (S.8.5) - Ganzheitliche Sicht auf das Projekt und seinen Kontext fördern, um den Entscheidungsprozess zu verbessern</v>
      </c>
    </row>
    <row r="191" spans="2:2" hidden="1"/>
    <row r="192" spans="2:2" hidden="1"/>
    <row r="193" spans="2:2" hidden="1">
      <c r="B193" s="801" t="str">
        <f>Dictionary!I1365&amp;" ("&amp;Dictionary!J1365&amp;") - "&amp;Dictionary!B1365</f>
        <v>4.4.9 (S.9) - Verhandlungen</v>
      </c>
    </row>
    <row r="194" spans="2:2" hidden="1">
      <c r="B194" s="801" t="str">
        <f>Dictionary!I1366&amp;" ("&amp;Dictionary!J1366&amp;") - "&amp;Dictionary!B1366</f>
        <v>4.4.9.1 (S.9.1) - Interessen aller Parteien, die an den Verhandlungen beteiligt sind, identifizieren und analysieren</v>
      </c>
    </row>
    <row r="195" spans="2:2" hidden="1">
      <c r="B195" s="801" t="str">
        <f>Dictionary!I1367&amp;" ("&amp;Dictionary!J1367&amp;") - "&amp;Dictionary!B1367</f>
        <v>4.4.9.2 (S.9.2) - Optionen und Alternativen entwickeln und evaluieren, die das Potenzial haben, die Bedürfnisse aller Beteiligten zu erfüllen</v>
      </c>
    </row>
    <row r="196" spans="2:2" hidden="1">
      <c r="B196" s="801" t="str">
        <f>Dictionary!I1368&amp;" ("&amp;Dictionary!J1368&amp;") - "&amp;Dictionary!B1368</f>
        <v>4.4.9.3 (S.9.3) - Verhandlungsstrategie definieren, die mit den eigenen Zielen übereinstimmt und für alle beteiligten Parteien akzeptabel ist</v>
      </c>
    </row>
    <row r="197" spans="2:2" hidden="1">
      <c r="B197" s="801" t="str">
        <f>Dictionary!I1369&amp;" ("&amp;Dictionary!J1369&amp;") - "&amp;Dictionary!B1369</f>
        <v>4.4.9.4 (S.9.4) - Einigungen mit anderen Parteien erzielen, die mit den eigenen Zielen übereinstimmen</v>
      </c>
    </row>
    <row r="198" spans="2:2" hidden="1">
      <c r="B198" s="801" t="str">
        <f>Dictionary!I1370&amp;" ("&amp;Dictionary!J1370&amp;") - "&amp;Dictionary!B1370</f>
        <v>4.4.9.5 (S.9.5) - Zusätzliche Verkaufs- und Akquisitionsmöglichkeiten entdecken und ausschöpfen</v>
      </c>
    </row>
    <row r="199" spans="2:2" hidden="1"/>
    <row r="200" spans="2:2" hidden="1"/>
    <row r="201" spans="2:2" hidden="1">
      <c r="B201" s="801" t="str">
        <f>Dictionary!I1373&amp;" ("&amp;Dictionary!J1373&amp;") - "&amp;Dictionary!B1373</f>
        <v>4.4.10 (S.10) - Ergebnisorientierung</v>
      </c>
    </row>
    <row r="202" spans="2:2" hidden="1">
      <c r="B202" s="801" t="str">
        <f>Dictionary!I1374&amp;" ("&amp;Dictionary!J1374&amp;") - "&amp;Dictionary!B1374</f>
        <v>4.4.10.1 (S.10.1) - Alle Entscheidungen und Handlungen hinsichtlich ihrer Auswirkung auf den Projekterfolg und die Ziele der Organisation evaluieren</v>
      </c>
    </row>
    <row r="203" spans="2:2" hidden="1">
      <c r="B203" s="801" t="str">
        <f>Dictionary!I1375&amp;" ("&amp;Dictionary!J1375&amp;") - "&amp;Dictionary!B1375</f>
        <v>4.4.10.2 (S.10.2) - Bedürfnisse und Mittel aufeinander abstimmen, um Ergebnisse und Erfolge zu optimieren</v>
      </c>
    </row>
    <row r="204" spans="2:2" hidden="1">
      <c r="B204" s="801" t="str">
        <f>Dictionary!I1376&amp;" ("&amp;Dictionary!J1376&amp;") - "&amp;Dictionary!B1376</f>
        <v>4.4.10.3 (S.10.3) - Gesunde, sichere und produktive Arbeitsumgebung schaffen und diese aufrecht erhalten</v>
      </c>
    </row>
    <row r="205" spans="2:2" hidden="1">
      <c r="B205" s="801" t="str">
        <f>Dictionary!I1377&amp;" ("&amp;Dictionary!J1377&amp;") - "&amp;Dictionary!B1377</f>
        <v>4.4.10.4 (S.10.4) - Das Projekt, seine Prozesse und Ergebnisse promoten und diese ‚verkaufen‘</v>
      </c>
    </row>
    <row r="206" spans="2:2" hidden="1">
      <c r="B206" s="801" t="str">
        <f>Dictionary!I1378&amp;" ("&amp;Dictionary!J1378&amp;") - "&amp;Dictionary!B1378</f>
        <v>4.4.10.5 (S.10.5) - Ergebnisse liefern und Akzeptanz erhalten</v>
      </c>
    </row>
    <row r="207" spans="2:2" hidden="1"/>
    <row r="208" spans="2:2" hidden="1">
      <c r="B208" s="801" t="str">
        <f>Dictionary!I1380&amp;" ("&amp;Dictionary!J1380&amp;") - "&amp;Dictionary!B1380</f>
        <v xml:space="preserve"> () - Practice Kompetenz Elements</v>
      </c>
    </row>
    <row r="209" spans="2:2" hidden="1">
      <c r="B209" s="801" t="str">
        <f>Dictionary!I1381&amp;" ("&amp;Dictionary!J1381&amp;") - "&amp;Dictionary!B1381</f>
        <v>4.5.1 (T.1) - Projektdesign</v>
      </c>
    </row>
    <row r="210" spans="2:2" hidden="1">
      <c r="B210" s="801" t="str">
        <f>Dictionary!I1382&amp;" ("&amp;Dictionary!J1382&amp;") - "&amp;Dictionary!B1382</f>
        <v>4.5.1.1 (T.1.1) - Erfolgskriterien anerkennen, priorisieren und überprüfen</v>
      </c>
    </row>
    <row r="211" spans="2:2" hidden="1">
      <c r="B211" s="801" t="str">
        <f>Dictionary!I1383&amp;" ("&amp;Dictionary!J1383&amp;") - "&amp;Dictionary!B1383</f>
        <v>4.5.1.2 (T.1.2) - Lessons Learned aus und mit anderen Projekten überprüfen, anwenden und austauschen</v>
      </c>
    </row>
    <row r="212" spans="2:2" hidden="1">
      <c r="B212" s="801" t="str">
        <f>Dictionary!I1384&amp;" ("&amp;Dictionary!J1384&amp;") - "&amp;Dictionary!B1384</f>
        <v>4.5.1.3 (T.1.3) - Projektkomplexität und ihre Konsequenzen für den Projektmanagementansatz bestimmen</v>
      </c>
    </row>
    <row r="213" spans="2:2" hidden="1">
      <c r="B213" s="801" t="str">
        <f>Dictionary!I1385&amp;" ("&amp;Dictionary!J1385&amp;") - "&amp;Dictionary!B1385</f>
        <v>4.5.1.4 (T.1.4) - Generellen Projektmanagementansatz auswählen und anpassen</v>
      </c>
    </row>
    <row r="214" spans="2:2" hidden="1">
      <c r="B214" s="801" t="str">
        <f>Dictionary!I1386&amp;" ("&amp;Dictionary!J1386&amp;") - "&amp;Dictionary!B1386</f>
        <v>4.5.1.5 (T.1.5) - Konzept für die Projektdurchführung entwerfen, überwachen und anpassen</v>
      </c>
    </row>
    <row r="215" spans="2:2" hidden="1">
      <c r="B215" s="801" t="str">
        <f>Dictionary!I1387&amp;" ("&amp;Dictionary!J1387&amp;") - "&amp;Dictionary!B1387</f>
        <v xml:space="preserve">4.5.1.6 (T.1.6) - </v>
      </c>
    </row>
    <row r="216" spans="2:2" hidden="1">
      <c r="B216" s="801" t="str">
        <f>Dictionary!I1388&amp;" ("&amp;Dictionary!J1388&amp;") - "&amp;Dictionary!B1388</f>
        <v xml:space="preserve">4.5.1.7 (T.1.7) - </v>
      </c>
    </row>
    <row r="217" spans="2:2" hidden="1">
      <c r="B217" s="801" t="str">
        <f>Dictionary!I1389&amp;" ("&amp;Dictionary!J1389&amp;") - "&amp;Dictionary!B1389</f>
        <v xml:space="preserve">4.5.1.8 (T.1.8) - </v>
      </c>
    </row>
    <row r="218" spans="2:2" hidden="1"/>
    <row r="219" spans="2:2" hidden="1"/>
    <row r="220" spans="2:2" hidden="1">
      <c r="B220" s="801" t="str">
        <f>Dictionary!I1392&amp;" ("&amp;Dictionary!J1392&amp;") - "&amp;Dictionary!B1392</f>
        <v>4.5.2 (T.2) - Anforderungen und Ziele</v>
      </c>
    </row>
    <row r="221" spans="2:2" hidden="1">
      <c r="B221" s="801" t="str">
        <f>Dictionary!I1393&amp;" ("&amp;Dictionary!J1393&amp;") - "&amp;Dictionary!B1393</f>
        <v>4.5.2.1 (T.2.1) - Hierarchie der Projektziele definieren und entwickeln</v>
      </c>
    </row>
    <row r="222" spans="2:2" hidden="1">
      <c r="B222" s="801" t="str">
        <f>Dictionary!I1394&amp;" ("&amp;Dictionary!J1394&amp;") - "&amp;Dictionary!B1394</f>
        <v>4.5.2.2 (T.2.2) - Bedürfnisse und Anforderungen der Projekt-Stakeholder identifizieren und analysieren</v>
      </c>
    </row>
    <row r="223" spans="2:2" hidden="1">
      <c r="B223" s="801" t="str">
        <f>Dictionary!I1395&amp;" ("&amp;Dictionary!J1395&amp;") - "&amp;Dictionary!B1395</f>
        <v>4.5.2.3 (T.2.3) - Anforderungen und Abnahmekriterien priorisieren und darüber entscheiden</v>
      </c>
    </row>
    <row r="224" spans="2:2" hidden="1">
      <c r="B224" s="801" t="str">
        <f>Dictionary!I1396&amp;" ("&amp;Dictionary!J1396&amp;") - "&amp;Dictionary!B1396</f>
        <v xml:space="preserve">4.5.2.4 (T.2.4) - </v>
      </c>
    </row>
    <row r="225" spans="2:2" hidden="1">
      <c r="B225" s="801" t="str">
        <f>Dictionary!I1397&amp;" ("&amp;Dictionary!J1397&amp;") - "&amp;Dictionary!B1397</f>
        <v xml:space="preserve">4.5.2.5 (T.2.5) - </v>
      </c>
    </row>
    <row r="226" spans="2:2" hidden="1"/>
    <row r="227" spans="2:2" hidden="1"/>
    <row r="228" spans="2:2" hidden="1">
      <c r="B228" s="801" t="str">
        <f>Dictionary!I1400&amp;" ("&amp;Dictionary!J1400&amp;") - "&amp;Dictionary!B1400</f>
        <v>4.5.3 (T.3) - Leistungsumfang</v>
      </c>
    </row>
    <row r="229" spans="2:2" hidden="1">
      <c r="B229" s="801" t="str">
        <f>Dictionary!I1401&amp;" ("&amp;Dictionary!J1401&amp;") - "&amp;Dictionary!B1401</f>
        <v>4.5.3.1 (T.3.1) - Lieferobjekte definieren</v>
      </c>
    </row>
    <row r="230" spans="2:2" hidden="1">
      <c r="B230" s="801" t="str">
        <f>Dictionary!I1402&amp;" ("&amp;Dictionary!J1402&amp;") - "&amp;Dictionary!B1402</f>
        <v>4.5.3.2 (T.3.2) - Leistungsumfang strukturieren</v>
      </c>
    </row>
    <row r="231" spans="2:2" hidden="1">
      <c r="B231" s="801" t="str">
        <f>Dictionary!I1403&amp;" ("&amp;Dictionary!J1403&amp;") - "&amp;Dictionary!B1403</f>
        <v>4.5.3.3 (T.3.3) - Arbeitspakete definieren</v>
      </c>
    </row>
    <row r="232" spans="2:2" hidden="1">
      <c r="B232" s="801" t="str">
        <f>Dictionary!I1404&amp;" ("&amp;Dictionary!J1404&amp;") - "&amp;Dictionary!B1404</f>
        <v>4.5.3.4 (T.3.4) - Konfiguration des Leistungsumfangs erstellen und aufrechterhalten</v>
      </c>
    </row>
    <row r="233" spans="2:2" hidden="1"/>
    <row r="234" spans="2:2" hidden="1"/>
    <row r="235" spans="2:2" hidden="1">
      <c r="B235" s="801" t="str">
        <f>Dictionary!I1407&amp;" ("&amp;Dictionary!J1407&amp;") - "&amp;Dictionary!B1407</f>
        <v>4.5.4 (T.4) - Ablauf und Termine</v>
      </c>
    </row>
    <row r="236" spans="2:2" hidden="1">
      <c r="B236" s="801" t="str">
        <f>Dictionary!I1408&amp;" ("&amp;Dictionary!J1408&amp;") - "&amp;Dictionary!B1408</f>
        <v>4.5.4.1 (T.4.1) - Aktivitäten definieren, die nötig sind, um das Projekt (ab)liefern zu können</v>
      </c>
    </row>
    <row r="237" spans="2:2" hidden="1">
      <c r="B237" s="801" t="str">
        <f>Dictionary!I1409&amp;" ("&amp;Dictionary!J1409&amp;") - "&amp;Dictionary!B1409</f>
        <v>4.5.4.2 (T.4.2) - Arbeitsaufwand und Dauer von Aktivitäten festlegen</v>
      </c>
    </row>
    <row r="238" spans="2:2" hidden="1">
      <c r="B238" s="801" t="str">
        <f>Dictionary!I1410&amp;" ("&amp;Dictionary!J1410&amp;") - "&amp;Dictionary!B1410</f>
        <v>4.5.4.3 (T.4.3) - Vorgehensweise für Termine und Phasen, ggf. Sprints festlegen</v>
      </c>
    </row>
    <row r="239" spans="2:2" hidden="1">
      <c r="B239" s="801" t="str">
        <f>Dictionary!I1411&amp;" ("&amp;Dictionary!J1411&amp;") - "&amp;Dictionary!B1411</f>
        <v>4.5.4.4 (T.4.4) - Abfolge der Projektaktivitäten bestimmen und einen Ablauf- und Terminplan erstellen</v>
      </c>
    </row>
    <row r="240" spans="2:2" hidden="1">
      <c r="B240" s="801" t="str">
        <f>Dictionary!I1412&amp;" ("&amp;Dictionary!J1412&amp;") - "&amp;Dictionary!B1412</f>
        <v>4.5.4.5 (T.4.5) - Fortschritt anhand des Terminplans überwachen und notwendige Anpassungen vornehmen</v>
      </c>
    </row>
    <row r="241" spans="2:2" hidden="1"/>
    <row r="242" spans="2:2" hidden="1"/>
    <row r="243" spans="2:2" hidden="1">
      <c r="B243" s="801" t="str">
        <f>Dictionary!I1415&amp;" ("&amp;Dictionary!J1415&amp;") - "&amp;Dictionary!B1415</f>
        <v>4.5.5 (T.5) - Organisation und Information</v>
      </c>
    </row>
    <row r="244" spans="2:2" hidden="1">
      <c r="B244" s="801" t="str">
        <f>Dictionary!I1416&amp;" ("&amp;Dictionary!J1416&amp;") - "&amp;Dictionary!B1416</f>
        <v>4.5.5.1 (T.5.1) - Bedürfnisse der Stakeholder bezüglich Information und Dokumentation beurteilen und bestimmen</v>
      </c>
    </row>
    <row r="245" spans="2:2" hidden="1">
      <c r="B245" s="801" t="str">
        <f>Dictionary!I1417&amp;" ("&amp;Dictionary!J1417&amp;") - "&amp;Dictionary!B1417</f>
        <v>4.5.5.2 (T.5.2) - Struktur, Rollen und Verantwortlichkeiten im Projekt definieren</v>
      </c>
    </row>
    <row r="246" spans="2:2" hidden="1">
      <c r="B246" s="801" t="str">
        <f>Dictionary!I1418&amp;" ("&amp;Dictionary!J1418&amp;") - "&amp;Dictionary!B1418</f>
        <v>4.5.5.3 (T.5.3) - Infrastruktur, Prozesse und Informationssysteme aufbauen</v>
      </c>
    </row>
    <row r="247" spans="2:2" hidden="1">
      <c r="B247" s="801" t="str">
        <f>Dictionary!I1419&amp;" ("&amp;Dictionary!J1419&amp;") - "&amp;Dictionary!B1419</f>
        <v>4.5.5.4 (T.5.4) - Organisation des Projekts implementieren, überwachen und anpassen</v>
      </c>
    </row>
    <row r="248" spans="2:2" hidden="1"/>
    <row r="249" spans="2:2" hidden="1"/>
    <row r="250" spans="2:2" hidden="1">
      <c r="B250" s="801" t="str">
        <f>Dictionary!I1422&amp;" ("&amp;Dictionary!J1422&amp;") - "&amp;Dictionary!B1422</f>
        <v>4.5.6 (T.6) - Qualität</v>
      </c>
    </row>
    <row r="251" spans="2:2" hidden="1">
      <c r="B251" s="801" t="str">
        <f>Dictionary!I1423&amp;" ("&amp;Dictionary!J1423&amp;") - "&amp;Dictionary!B1423</f>
        <v>4.5.6.1 (T.6.1) - Qualitätsmanagementplan für das Projekt entwickeln, die Implementierung überwachen und gegebenenfalls überarbeiten</v>
      </c>
    </row>
    <row r="252" spans="2:2" hidden="1">
      <c r="B252" s="801" t="str">
        <f>Dictionary!I1424&amp;" ("&amp;Dictionary!J1424&amp;") - "&amp;Dictionary!B1424</f>
        <v>4.5.6.2 (T.6.2) - Projekt mit seinen Lieferobjekten überprüfen, um sicherzustellen, dass sie die Anforderungen des Qualitätsmanagementplans weiterhin erfüllen</v>
      </c>
    </row>
    <row r="253" spans="2:2" hidden="1">
      <c r="B253" s="801" t="str">
        <f>Dictionary!I1425&amp;" ("&amp;Dictionary!J1425&amp;") - "&amp;Dictionary!B1425</f>
        <v>4.5.6.3 (T.6.3) - Erreichung der Qualitätsziele des Projekts verifizieren und erforderliche korrektive und/oder präventive Maßnahmen empfehlen</v>
      </c>
    </row>
    <row r="254" spans="2:2" hidden="1">
      <c r="B254" s="801" t="str">
        <f>Dictionary!I1426&amp;" ("&amp;Dictionary!J1426&amp;") - "&amp;Dictionary!B1426</f>
        <v>4.5.6.4 (T.6.4) - Validierung von Projektergebnissen planen und organisieren</v>
      </c>
    </row>
    <row r="255" spans="2:2" hidden="1">
      <c r="B255" s="801" t="str">
        <f>Dictionary!I1427&amp;" ("&amp;Dictionary!J1427&amp;") - "&amp;Dictionary!B1427</f>
        <v>4.5.6.5 (T.6.5) - Qualität im Verlauf des Projekts sicherstellen</v>
      </c>
    </row>
    <row r="256" spans="2:2" hidden="1"/>
    <row r="257" spans="2:2" hidden="1"/>
    <row r="258" spans="2:2" hidden="1">
      <c r="B258" s="801" t="str">
        <f>Dictionary!I1430&amp;" ("&amp;Dictionary!J1430&amp;") - "&amp;Dictionary!B1430</f>
        <v>4.5.7 (T.7) - Kosten &amp; Finanzierung</v>
      </c>
    </row>
    <row r="259" spans="2:2" hidden="1">
      <c r="B259" s="801" t="str">
        <f>Dictionary!I1431&amp;" ("&amp;Dictionary!J1431&amp;") - "&amp;Dictionary!B1431</f>
        <v>4.5.7.1 (T.7.1) - Projektkosten abschätzen</v>
      </c>
    </row>
    <row r="260" spans="2:2" hidden="1">
      <c r="B260" s="801" t="str">
        <f>Dictionary!I1432&amp;" ("&amp;Dictionary!J1432&amp;") - "&amp;Dictionary!B1432</f>
        <v>4.5.7.2 (T.7.2) - Projektbudget erstellen</v>
      </c>
    </row>
    <row r="261" spans="2:2" hidden="1">
      <c r="B261" s="801" t="str">
        <f>Dictionary!I1433&amp;" ("&amp;Dictionary!J1433&amp;") - "&amp;Dictionary!B1433</f>
        <v>4.5.7.3 (T.7.3) - Projektfinanzierung sichern</v>
      </c>
    </row>
    <row r="262" spans="2:2" hidden="1">
      <c r="B262" s="801" t="str">
        <f>Dictionary!I1434&amp;" ("&amp;Dictionary!J1434&amp;") - "&amp;Dictionary!B1434</f>
        <v>4.5.7.4 (T.7.4) - Finanzmanagement- und Berichtssystem für das Projekt entwickeln, einrichten und aufrechterhalten</v>
      </c>
    </row>
    <row r="263" spans="2:2" hidden="1">
      <c r="B263" s="801" t="str">
        <f>Dictionary!I1435&amp;" ("&amp;Dictionary!J1435&amp;") - "&amp;Dictionary!B1435</f>
        <v>4.5.7.5 (T.7.5) - Finanzen überwachen, um Abweichungen vom Projektplan zu identifizieren und zu korrigieren</v>
      </c>
    </row>
    <row r="264" spans="2:2" hidden="1"/>
    <row r="265" spans="2:2" hidden="1"/>
    <row r="266" spans="2:2" hidden="1">
      <c r="B266" s="801" t="str">
        <f>Dictionary!I1438&amp;" ("&amp;Dictionary!J1438&amp;") - "&amp;Dictionary!B1438</f>
        <v>4.5.8 (T.8) - Ressourcen</v>
      </c>
    </row>
    <row r="267" spans="2:2" hidden="1">
      <c r="B267" s="801" t="str">
        <f>Dictionary!I1439&amp;" ("&amp;Dictionary!J1439&amp;") - "&amp;Dictionary!B1439</f>
        <v>4.5.8.1 (T.8.1) - Strategische Ressourcenplanung entwickeln, um die Projektergebnisse liefern zu können</v>
      </c>
    </row>
    <row r="268" spans="2:2" hidden="1">
      <c r="B268" s="801" t="str">
        <f>Dictionary!I1440&amp;" ("&amp;Dictionary!J1440&amp;") - "&amp;Dictionary!B1440</f>
        <v>4.5.8.2 (T.8.2) - Qualität und Menge der benötigten Ressourcen definieren</v>
      </c>
    </row>
    <row r="269" spans="2:2" hidden="1">
      <c r="B269" s="801" t="str">
        <f>Dictionary!I1441&amp;" ("&amp;Dictionary!J1441&amp;") - "&amp;Dictionary!B1441</f>
        <v>4.5.8.3 (T.8.3) - Potenzielle Ressourcenquellen identifizieren und ihre Beschaffung verhandeln</v>
      </c>
    </row>
    <row r="270" spans="2:2" hidden="1">
      <c r="B270" s="801" t="str">
        <f>Dictionary!I1442&amp;" ("&amp;Dictionary!J1442&amp;") - "&amp;Dictionary!B1442</f>
        <v>4.5.8.4 (T.8.4) - Ressourcen gemäß dem festgelegten Bedarf zuweisen und verteilen</v>
      </c>
    </row>
    <row r="271" spans="2:2" hidden="1">
      <c r="B271" s="801" t="str">
        <f>Dictionary!I1443&amp;" ("&amp;Dictionary!J1443&amp;") - "&amp;Dictionary!B1443</f>
        <v>4.5.8.5 (T.8.5) - Ressourcenverbrauch evaluieren und erforderliche Korrekturmaßnahmen ergreifen</v>
      </c>
    </row>
    <row r="272" spans="2:2" hidden="1"/>
    <row r="273" spans="2:2" hidden="1"/>
    <row r="274" spans="2:2" hidden="1">
      <c r="B274" s="801" t="str">
        <f>Dictionary!I1446&amp;" ("&amp;Dictionary!J1446&amp;") - "&amp;Dictionary!B1446</f>
        <v>4.5.9 (T.9) - Beschaffung</v>
      </c>
    </row>
    <row r="275" spans="2:2" hidden="1">
      <c r="B275" s="801" t="str">
        <f>Dictionary!I1447&amp;" ("&amp;Dictionary!J1447&amp;") - "&amp;Dictionary!B1447</f>
        <v>4.5.9.1 (T.9.1) - Beschaffungsbedarf, Optionen und Prozesse vereinbaren</v>
      </c>
    </row>
    <row r="276" spans="2:2" hidden="1">
      <c r="B276" s="801" t="str">
        <f>Dictionary!I1448&amp;" ("&amp;Dictionary!J1448&amp;") - "&amp;Dictionary!B1448</f>
        <v>4.5.9.2 (T.9.2) - Zur Evaluation und Auswahl von Lieferanten und Partnern beitragen</v>
      </c>
    </row>
    <row r="277" spans="2:2" hidden="1">
      <c r="B277" s="801" t="str">
        <f>Dictionary!I1449&amp;" ("&amp;Dictionary!J1449&amp;") - "&amp;Dictionary!B1449</f>
        <v>4.5.9.3 (T.9.3) - Zu Verhandlungen und Vereinbarungen von Vertragsbestimmungen beitragen, um diese in Einklang mit den Projektzielen zu bringen</v>
      </c>
    </row>
    <row r="278" spans="2:2" hidden="1">
      <c r="B278" s="801" t="str">
        <f>Dictionary!I1450&amp;" ("&amp;Dictionary!J1450&amp;") - "&amp;Dictionary!B1450</f>
        <v>4.5.9.4 (T.9.4) - Vertragsausführung überwachen, Probleme ansprechen und, falls notwendig, Entschädigungen verlangen</v>
      </c>
    </row>
    <row r="279" spans="2:2" hidden="1"/>
    <row r="280" spans="2:2" hidden="1"/>
    <row r="281" spans="2:2" hidden="1">
      <c r="B281" s="801" t="str">
        <f>Dictionary!I1453&amp;" ("&amp;Dictionary!J1453&amp;") - "&amp;Dictionary!B1453</f>
        <v>4.5.10 (T.10) - Planung und Steuerung</v>
      </c>
    </row>
    <row r="282" spans="2:2" hidden="1">
      <c r="B282" s="801" t="str">
        <f>Dictionary!I1454&amp;" ("&amp;Dictionary!J1454&amp;") - "&amp;Dictionary!B1454</f>
        <v>4.5.10.1 (T.10.1) - Projekt starten, Projektmanagement-Plan entwickeln und Zustimmung einholen</v>
      </c>
    </row>
    <row r="283" spans="2:2" hidden="1">
      <c r="B283" s="801" t="str">
        <f>Dictionary!I1455&amp;" ("&amp;Dictionary!J1455&amp;") - "&amp;Dictionary!B1455</f>
        <v>4.5.10.2 (T.10.2) - Übergang in eine neue Projektphase einleiten und managen</v>
      </c>
    </row>
    <row r="284" spans="2:2" hidden="1">
      <c r="B284" s="801" t="str">
        <f>Dictionary!I1456&amp;" ("&amp;Dictionary!J1456&amp;") - "&amp;Dictionary!B1456</f>
        <v>4.5.10.3 (T.10.3) - Projektleistung mit dem Projektplan abgleichen und Korrekturmaßnahmen treffen</v>
      </c>
    </row>
    <row r="285" spans="2:2" hidden="1">
      <c r="B285" s="801" t="str">
        <f>Dictionary!I1457&amp;" ("&amp;Dictionary!J1457&amp;") - "&amp;Dictionary!B1457</f>
        <v>4.5.10.4 (T.10.4) - Bericht über den Projektfortschritt erstatten</v>
      </c>
    </row>
    <row r="286" spans="2:2" hidden="1">
      <c r="B286" s="801" t="str">
        <f>Dictionary!I1458&amp;" ("&amp;Dictionary!J1458&amp;") - "&amp;Dictionary!B1458</f>
        <v>4.5.10.5 (T.10.5) - Projektänderungen beurteilen, Zustimmung für diese einholen und sie implementieren</v>
      </c>
    </row>
    <row r="287" spans="2:2" hidden="1">
      <c r="B287" s="801" t="str">
        <f>Dictionary!I1459&amp;" ("&amp;Dictionary!J1459&amp;") - "&amp;Dictionary!B1459</f>
        <v>4.5.10.6 (T.10.6) - Eine Phase oder das Projekt abschließen und evaluieren</v>
      </c>
    </row>
    <row r="288" spans="2:2" hidden="1"/>
    <row r="289" spans="2:2" hidden="1"/>
    <row r="290" spans="2:2" hidden="1">
      <c r="B290" s="801" t="str">
        <f>Dictionary!I1462&amp;" ("&amp;Dictionary!J1462&amp;") - "&amp;Dictionary!B1462</f>
        <v>4.5.11 (T.11) - Risiken und Chancen</v>
      </c>
    </row>
    <row r="291" spans="2:2" hidden="1">
      <c r="B291" s="801" t="str">
        <f>Dictionary!I1463&amp;" ("&amp;Dictionary!J1463&amp;") - "&amp;Dictionary!B1463</f>
        <v>4.5.11.1 (T.11.1) - Chancen- und Risikomanagementstruktur entwickeln und implementieren</v>
      </c>
    </row>
    <row r="292" spans="2:2" hidden="1">
      <c r="B292" s="801" t="str">
        <f>Dictionary!I1464&amp;" ("&amp;Dictionary!J1464&amp;") - "&amp;Dictionary!B1464</f>
        <v>4.5.11.2 (T.11.2) - Chancen und Risiken identifizieren</v>
      </c>
    </row>
    <row r="293" spans="2:2" hidden="1">
      <c r="B293" s="801" t="str">
        <f>Dictionary!I1465&amp;" ("&amp;Dictionary!J1465&amp;") - "&amp;Dictionary!B1465</f>
        <v>4.5.11.3 (T.11.3) - Wahrscheinlichkeit und Auswirkungen von Chancen und Risiken analysieren</v>
      </c>
    </row>
    <row r="294" spans="2:2" hidden="1">
      <c r="B294" s="801" t="str">
        <f>Dictionary!I1466&amp;" ("&amp;Dictionary!J1466&amp;") - "&amp;Dictionary!B1466</f>
        <v>4.5.11.4 (T.11.4) - Strategien auswählen und Maßnahmen implementieren, um Chancen und Risiken zu adressieren</v>
      </c>
    </row>
    <row r="295" spans="2:2" hidden="1">
      <c r="B295" s="801" t="str">
        <f>Dictionary!I1467&amp;" ("&amp;Dictionary!J1467&amp;") - "&amp;Dictionary!B1467</f>
        <v>4.5.11.5 (T.11.5) - Chancen, Risiken und implementierte Maßnahmen evaluieren und überwachen</v>
      </c>
    </row>
    <row r="296" spans="2:2" hidden="1"/>
    <row r="297" spans="2:2" hidden="1"/>
    <row r="298" spans="2:2" hidden="1">
      <c r="B298" s="801" t="str">
        <f>Dictionary!I1470&amp;" ("&amp;Dictionary!J1470&amp;") - "&amp;Dictionary!B1470</f>
        <v>4.5.12 (T.12) - Stakeholder</v>
      </c>
    </row>
    <row r="299" spans="2:2" hidden="1">
      <c r="B299" s="801" t="str">
        <f>Dictionary!I1471&amp;" ("&amp;Dictionary!J1471&amp;") - "&amp;Dictionary!B1471</f>
        <v>4.5.12.1 (T.12.1) - Stakeholder identifizieren und ihre Interessen sowie ihren Einfluss analysieren</v>
      </c>
    </row>
    <row r="300" spans="2:2" hidden="1">
      <c r="B300" s="801" t="str">
        <f>Dictionary!I1472&amp;" ("&amp;Dictionary!J1472&amp;") - "&amp;Dictionary!B1472</f>
        <v>4.5.12.2 (T.12.2) - Stakeholderstrategie und einen Kommunikationsplan entwickeln und aufrechterhalten</v>
      </c>
    </row>
    <row r="301" spans="2:2" hidden="1">
      <c r="B301" s="801" t="str">
        <f>Dictionary!I1473&amp;" ("&amp;Dictionary!J1473&amp;") - "&amp;Dictionary!B1473</f>
        <v>4.5.12.3 (T.12.3) - Geschäftsführung, Auftraggeber und höheres Management einbinden, um Commitment zu erreichen und um Interessen und Erwartungen zu managen</v>
      </c>
    </row>
    <row r="302" spans="2:2" hidden="1">
      <c r="B302" s="801" t="str">
        <f>Dictionary!I1474&amp;" ("&amp;Dictionary!J1474&amp;") - "&amp;Dictionary!B1474</f>
        <v>4.5.12.4 (T.12.4) - Benutzer, Partner und Lieferanten und andere Stakeholder einbinden, um deren Kooperation und Commitment zu erreichen</v>
      </c>
    </row>
    <row r="303" spans="2:2" hidden="1">
      <c r="B303" s="801" t="str">
        <f>Dictionary!I1475&amp;" ("&amp;Dictionary!J1475&amp;") - "&amp;Dictionary!B1475</f>
        <v>4.5.12.5 (T.12.5) - Netzwerke und Allianzen aufbauen, aufrechterhalten und beenden</v>
      </c>
    </row>
    <row r="304" spans="2:2" hidden="1"/>
    <row r="305" spans="2:2" hidden="1"/>
    <row r="306" spans="2:2" hidden="1">
      <c r="B306" s="801" t="str">
        <f>Dictionary!I1478&amp;" ("&amp;Dictionary!J1478&amp;") - "&amp;Dictionary!B1478</f>
        <v>4.5.13 (T.13) - Change und Transformation</v>
      </c>
    </row>
    <row r="307" spans="2:2" hidden="1">
      <c r="B307" s="801" t="str">
        <f>Dictionary!I1479&amp;" ("&amp;Dictionary!J1479&amp;") - "&amp;Dictionary!B1479</f>
        <v>4.5.13.1 (T.13.1) - Adaptionsfähigkeit der Organisation(en) zu Veränderung beurteilen</v>
      </c>
    </row>
    <row r="308" spans="2:2" hidden="1">
      <c r="B308" s="801" t="str">
        <f>Dictionary!I1480&amp;" ("&amp;Dictionary!J1480&amp;") - "&amp;Dictionary!B1480</f>
        <v>4.5.13.2 (T.13.2) - Veränderungsanforderungen und Transformationschancen identifizieren</v>
      </c>
    </row>
    <row r="309" spans="2:2" hidden="1">
      <c r="B309" s="801" t="str">
        <f>Dictionary!I1481&amp;" ("&amp;Dictionary!J1481&amp;") - "&amp;Dictionary!B1481</f>
        <v>4.5.13.3 (T.13.3) - Veränderungs- oder Transformationsstrategie für das Projekt entwickeln</v>
      </c>
    </row>
    <row r="310" spans="2:2" hidden="1">
      <c r="B310" s="801" t="str">
        <f>Dictionary!I1482&amp;" ("&amp;Dictionary!J1482&amp;") - "&amp;Dictionary!B1482</f>
        <v>4.5.13.4 (T.13.4) - Veränderungs- oder Transformationsmanagement implementieren</v>
      </c>
    </row>
    <row r="311" spans="2:2" hidden="1"/>
    <row r="312" spans="2:2" hidden="1"/>
    <row r="313" spans="2:2" hidden="1">
      <c r="B313" s="801" t="str">
        <f>Dictionary!I1485&amp;" ("&amp;Dictionary!J1485&amp;") - "&amp;Dictionary!B1485</f>
        <v xml:space="preserve">4.5.14 (T.14) - </v>
      </c>
    </row>
    <row r="314" spans="2:2" hidden="1">
      <c r="B314" s="801" t="str">
        <f>Dictionary!I1486&amp;" ("&amp;Dictionary!J1486&amp;") - "&amp;Dictionary!B1486</f>
        <v xml:space="preserve">4.5.14.1 (T.14.1) - </v>
      </c>
    </row>
    <row r="315" spans="2:2" hidden="1">
      <c r="B315" s="801" t="str">
        <f>Dictionary!I1487&amp;" ("&amp;Dictionary!J1487&amp;") - "&amp;Dictionary!B1487</f>
        <v xml:space="preserve">4.5.14.2 (T.14.2) - </v>
      </c>
    </row>
    <row r="316" spans="2:2" hidden="1">
      <c r="B316" s="801" t="str">
        <f>Dictionary!I1488&amp;" ("&amp;Dictionary!J1488&amp;") - "&amp;Dictionary!B1488</f>
        <v xml:space="preserve">4.5.14.3 (T.14.3) - </v>
      </c>
    </row>
    <row r="317" spans="2:2" hidden="1">
      <c r="B317" s="801" t="str">
        <f>Dictionary!I1489&amp;" ("&amp;Dictionary!J1489&amp;") - "&amp;Dictionary!B1489</f>
        <v xml:space="preserve">4.5.14.4 (T.14.4) - </v>
      </c>
    </row>
    <row r="318" spans="2:2" hidden="1">
      <c r="B318" s="801" t="str">
        <f>Dictionary!I1490&amp;" ("&amp;Dictionary!J1490&amp;") - "&amp;Dictionary!B1490</f>
        <v xml:space="preserve">4.5.14.5 (T.14.5) - </v>
      </c>
    </row>
    <row r="319" spans="2:2" hidden="1">
      <c r="B319" s="801" t="str">
        <f>Dictionary!I1491&amp;" ("&amp;Dictionary!J1491&amp;") - "&amp;Dictionary!B1491</f>
        <v xml:space="preserve">4.5.14.6 (T.14.6) - </v>
      </c>
    </row>
    <row r="320" spans="2:2" hidden="1"/>
    <row r="321" hidden="1"/>
    <row r="322" hidden="1"/>
    <row r="323" hidden="1"/>
    <row r="324" hidden="1"/>
    <row r="325" hidden="1"/>
  </sheetData>
  <sheetProtection algorithmName="SHA-512" hashValue="TY1HHyPCXj41gI08/+Qja7o2mcES84lz0BqhOwPOthsE9ziJ1kg7pT414JAZ8w3qEQ8x8qrbaKjDzHFjK8fozg==" saltValue="9Xn3D96rMQRLJXnrLJnrOA==" spinCount="100000" sheet="1" objects="1" scenarios="1" formatColumns="0" selectLockedCells="1"/>
  <mergeCells count="5">
    <mergeCell ref="A77:D77"/>
    <mergeCell ref="D10:E10"/>
    <mergeCell ref="D11:E11"/>
    <mergeCell ref="B2:B3"/>
    <mergeCell ref="B84:D84"/>
  </mergeCells>
  <dataValidations count="3">
    <dataValidation type="list" allowBlank="1" showInputMessage="1" showErrorMessage="1" sqref="B14:B74" xr:uid="{00000000-0002-0000-4600-000000000000}">
      <formula1>$B$91:$B$319</formula1>
    </dataValidation>
    <dataValidation type="list" allowBlank="1" showInputMessage="1" showErrorMessage="1" sqref="E7:E8" xr:uid="{00000000-0002-0000-4600-000001000000}">
      <formula1>$B$85:$B$86</formula1>
    </dataValidation>
    <dataValidation type="list" allowBlank="1" showInputMessage="1" showErrorMessage="1" sqref="D11:E11" xr:uid="{00000000-0002-0000-4600-000002000000}">
      <formula1>$D$85:$D$86</formula1>
    </dataValidation>
  </dataValidations>
  <pageMargins left="0.7" right="0.7" top="0.78740157499999996" bottom="0.78740157499999996" header="0.3" footer="0.3"/>
  <pageSetup paperSize="9" scale="48" orientation="portrait" r:id="rId1"/>
  <headerFooter>
    <oddFooter>&amp;LDok.-Nr./Rev./Datum
Z30         / 18 / 28.11.2021
&amp;F&amp;C&amp;A&amp;RSeite &amp;P/&amp;N</oddFooter>
  </headerFooter>
  <extLst>
    <ext xmlns:x14="http://schemas.microsoft.com/office/spreadsheetml/2009/9/main" uri="{78C0D931-6437-407d-A8EE-F0AAD7539E65}">
      <x14:conditionalFormattings>
        <x14:conditionalFormatting xmlns:xm="http://schemas.microsoft.com/office/excel/2006/main">
          <x14:cfRule type="containsText" priority="2" operator="containsText" id="{C6B1C3D0-B242-4475-94A3-762E52CD7D2D}">
            <xm:f>NOT(ISERROR(SEARCH($D$86,D11)))</xm:f>
            <xm:f>$D$86</xm:f>
            <x14:dxf>
              <font>
                <b/>
                <i val="0"/>
                <color rgb="FFFFC000"/>
              </font>
              <fill>
                <patternFill>
                  <bgColor rgb="FFC00000"/>
                </patternFill>
              </fill>
            </x14:dxf>
          </x14:cfRule>
          <x14:cfRule type="containsText" priority="3" operator="containsText" id="{E66F9189-7222-4ACF-875C-7E4878F98D21}">
            <xm:f>NOT(ISERROR(SEARCH($D$85,D11)))</xm:f>
            <xm:f>$D$85</xm:f>
            <x14:dxf>
              <font>
                <b/>
                <i val="0"/>
                <color theme="9" tint="-0.49995422223578601"/>
              </font>
              <fill>
                <patternFill>
                  <bgColor rgb="FF92D050"/>
                </patternFill>
              </fill>
            </x14:dxf>
          </x14:cfRule>
          <xm:sqref>D11:E11</xm:sqref>
        </x14:conditionalFormatting>
        <x14:conditionalFormatting xmlns:xm="http://schemas.microsoft.com/office/excel/2006/main">
          <x14:cfRule type="containsText" priority="1" operator="containsText" id="{0F475E98-64A3-4A4A-BAC4-8A689BF1D889}">
            <xm:f>NOT(ISERROR(SEARCH($B$85,E7)))</xm:f>
            <xm:f>$B$85</xm:f>
            <x14:dxf>
              <fill>
                <patternFill>
                  <bgColor rgb="FFFFC000"/>
                </patternFill>
              </fill>
            </x14:dxf>
          </x14:cfRule>
          <xm:sqref>E7:E8</xm:sqref>
        </x14:conditionalFormatting>
      </x14:conditionalFormattings>
    </ext>
  </extLs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upport_Sheet25">
    <tabColor rgb="FFC00000"/>
  </sheetPr>
  <dimension ref="A1:L37"/>
  <sheetViews>
    <sheetView workbookViewId="0">
      <selection activeCell="G45" sqref="G45"/>
    </sheetView>
  </sheetViews>
  <sheetFormatPr baseColWidth="10" defaultColWidth="11.5" defaultRowHeight="14"/>
  <cols>
    <col min="1" max="1" width="9.5" style="79" customWidth="1"/>
    <col min="2" max="2" width="30.5" style="79" customWidth="1"/>
    <col min="3" max="4" width="11.5" style="111"/>
    <col min="5" max="5" width="38.5" style="79" customWidth="1"/>
    <col min="6" max="6" width="15.5" style="79" customWidth="1"/>
    <col min="7" max="7" width="11.5" style="79"/>
    <col min="8" max="8" width="12" style="79" customWidth="1"/>
    <col min="9" max="9" width="15" style="79" customWidth="1"/>
    <col min="10" max="10" width="17" style="79" customWidth="1"/>
    <col min="11" max="11" width="12.5" style="79" customWidth="1"/>
    <col min="12" max="16384" width="11.5" style="79"/>
  </cols>
  <sheetData>
    <row r="1" spans="1:11" s="105" customFormat="1" ht="21" customHeight="1" thickBot="1">
      <c r="A1" s="2344" t="s">
        <v>1260</v>
      </c>
      <c r="B1" s="2344"/>
      <c r="C1" s="2344"/>
      <c r="D1" s="2344"/>
      <c r="E1" s="2344"/>
    </row>
    <row r="2" spans="1:11" s="105" customFormat="1" ht="21" customHeight="1" thickBot="1">
      <c r="A2" s="2355"/>
      <c r="B2" s="2355"/>
      <c r="C2" s="2355"/>
      <c r="D2" s="2355"/>
      <c r="E2" s="2355"/>
      <c r="F2" s="106" t="s">
        <v>122</v>
      </c>
      <c r="G2" s="107" t="str">
        <f>RE_CERT</f>
        <v/>
      </c>
    </row>
    <row r="4" spans="1:11">
      <c r="A4" s="2345" t="s">
        <v>121</v>
      </c>
      <c r="B4" s="2345"/>
      <c r="C4" s="2349" t="str">
        <f>COV!E6&amp;", "&amp;COV!E7</f>
        <v xml:space="preserve">, </v>
      </c>
      <c r="D4" s="2350"/>
      <c r="E4" s="2350"/>
      <c r="F4" s="2351"/>
      <c r="G4" s="2343" t="str">
        <f ca="1">IF(AND(NOT(ISERROR($F$5-TODAY())),$F$5&lt;&gt;"",C4=""),"&lt;- ENTER YOUR NAME!","")</f>
        <v/>
      </c>
      <c r="H4" s="2343"/>
      <c r="I4" s="2343"/>
      <c r="J4" s="2343"/>
    </row>
    <row r="5" spans="1:11" ht="15" customHeight="1">
      <c r="A5" s="108"/>
      <c r="B5" s="109" t="s">
        <v>120</v>
      </c>
      <c r="C5" s="78" t="str">
        <f>COV!E16</f>
        <v>A</v>
      </c>
      <c r="D5" s="79"/>
      <c r="E5" s="80" t="s">
        <v>118</v>
      </c>
      <c r="F5" s="110">
        <f>COV!E11</f>
        <v>0</v>
      </c>
      <c r="G5" s="2343" t="str">
        <f ca="1">IF(F5="","&lt;- ENTER CERTIFICATION DATE!",IF(OR(F5="",ISERROR(F5-TODAY()))," &lt;- ENTER VALID CERTIFICATION DATE!",IF(F5&lt;TODAY(),"PAST CERTIFICATION!"," Occurs in "&amp;F5-TODAY()&amp;" Days !")))</f>
        <v>PAST CERTIFICATION!</v>
      </c>
      <c r="H5" s="2343"/>
      <c r="I5" s="2343"/>
      <c r="J5" s="2343"/>
    </row>
    <row r="7" spans="1:11" s="112" customFormat="1" ht="15" customHeight="1">
      <c r="A7" s="2352" t="s">
        <v>117</v>
      </c>
      <c r="B7" s="2341" t="s">
        <v>116</v>
      </c>
      <c r="C7" s="2341" t="s">
        <v>115</v>
      </c>
      <c r="D7" s="2341"/>
      <c r="E7" s="2341" t="s">
        <v>114</v>
      </c>
      <c r="F7" s="2341" t="s">
        <v>113</v>
      </c>
      <c r="G7" s="2341"/>
      <c r="H7" s="2341" t="s">
        <v>112</v>
      </c>
      <c r="I7" s="2341" t="s">
        <v>2816</v>
      </c>
      <c r="J7" s="2341" t="s">
        <v>111</v>
      </c>
      <c r="K7" s="2346"/>
    </row>
    <row r="8" spans="1:11" s="112" customFormat="1" ht="30">
      <c r="A8" s="2353"/>
      <c r="B8" s="2342"/>
      <c r="C8" s="567" t="s">
        <v>110</v>
      </c>
      <c r="D8" s="567" t="s">
        <v>109</v>
      </c>
      <c r="E8" s="2342"/>
      <c r="F8" s="567" t="s">
        <v>110</v>
      </c>
      <c r="G8" s="567" t="s">
        <v>109</v>
      </c>
      <c r="H8" s="2342"/>
      <c r="I8" s="2342"/>
      <c r="J8" s="567" t="s">
        <v>108</v>
      </c>
      <c r="K8" s="568" t="s">
        <v>107</v>
      </c>
    </row>
    <row r="9" spans="1:11" ht="15">
      <c r="A9" s="569">
        <v>1</v>
      </c>
      <c r="B9" s="594" t="str">
        <f>IF(EXP!C9="","",EXP!C9)</f>
        <v/>
      </c>
      <c r="C9" s="595">
        <f>EXP!E9</f>
        <v>0</v>
      </c>
      <c r="D9" s="595">
        <f>EXP!F9</f>
        <v>0</v>
      </c>
      <c r="E9" s="596" t="str">
        <f>IF(EXP!H9="","",EXP!H9)</f>
        <v/>
      </c>
      <c r="F9" s="595" t="str">
        <f>IF(EXP!E9="","",EXP!E9)</f>
        <v/>
      </c>
      <c r="G9" s="595" t="str">
        <f>IF(EXP!F9="","",EXP!F9)</f>
        <v/>
      </c>
      <c r="H9" s="597">
        <f>EXP!I9*100</f>
        <v>0</v>
      </c>
      <c r="I9" s="597">
        <f>EXP!D9</f>
        <v>0</v>
      </c>
      <c r="J9" s="598" t="str">
        <f ca="1">IF(AND(NOT(ISERROR($F$5-TODAY())),$F$5&lt;&gt;""),'(7c) Project Schedule'!K4,"")</f>
        <v/>
      </c>
      <c r="K9" s="599" t="str">
        <f t="shared" ref="K9:K28" ca="1" si="0">IF(I9="","",IF(AND(NOT(ISERROR($F$5-TODAY())),$F$5&lt;&gt;""),IF(OR(I9="none",I9=""),0,IF((H9)*(J9&lt;&gt;""),J9*H9/100,"")),""))</f>
        <v/>
      </c>
    </row>
    <row r="10" spans="1:11" ht="15">
      <c r="A10" s="570">
        <v>2</v>
      </c>
      <c r="B10" s="600" t="str">
        <f>IF(EXP!C10="","",EXP!C10)</f>
        <v/>
      </c>
      <c r="C10" s="580">
        <f>EXP!E10</f>
        <v>0</v>
      </c>
      <c r="D10" s="580">
        <f>EXP!F10</f>
        <v>0</v>
      </c>
      <c r="E10" s="581" t="str">
        <f>IF(EXP!H10="","",EXP!H10)</f>
        <v/>
      </c>
      <c r="F10" s="580" t="str">
        <f>IF(EXP!E10="","",EXP!E10)</f>
        <v/>
      </c>
      <c r="G10" s="580" t="str">
        <f>IF(EXP!F10="","",EXP!F10)</f>
        <v/>
      </c>
      <c r="H10" s="582">
        <f>EXP!I10*100</f>
        <v>0</v>
      </c>
      <c r="I10" s="582">
        <f>EXP!D10</f>
        <v>0</v>
      </c>
      <c r="J10" s="562" t="str">
        <f ca="1">IF(AND(NOT(ISERROR($F$5-TODAY())),$F$5&lt;&gt;""),'(7c) Project Schedule'!K5,"")</f>
        <v/>
      </c>
      <c r="K10" s="563" t="str">
        <f t="shared" ca="1" si="0"/>
        <v/>
      </c>
    </row>
    <row r="11" spans="1:11" ht="15">
      <c r="A11" s="570">
        <v>3</v>
      </c>
      <c r="B11" s="600" t="str">
        <f>IF(EXP!C11="","",EXP!C11)</f>
        <v/>
      </c>
      <c r="C11" s="580">
        <f>EXP!E11</f>
        <v>0</v>
      </c>
      <c r="D11" s="580">
        <f>EXP!F11</f>
        <v>0</v>
      </c>
      <c r="E11" s="581" t="str">
        <f>IF(EXP!H11="","",EXP!H11)</f>
        <v/>
      </c>
      <c r="F11" s="580" t="str">
        <f>IF(EXP!E11="","",EXP!E11)</f>
        <v/>
      </c>
      <c r="G11" s="580" t="str">
        <f>IF(EXP!F11="","",EXP!F11)</f>
        <v/>
      </c>
      <c r="H11" s="582">
        <f>EXP!I11*100</f>
        <v>0</v>
      </c>
      <c r="I11" s="582">
        <f>EXP!D11</f>
        <v>0</v>
      </c>
      <c r="J11" s="562" t="str">
        <f ca="1">IF(AND(NOT(ISERROR($F$5-TODAY())),$F$5&lt;&gt;""),'(7c) Project Schedule'!K6,"")</f>
        <v/>
      </c>
      <c r="K11" s="563" t="str">
        <f t="shared" ca="1" si="0"/>
        <v/>
      </c>
    </row>
    <row r="12" spans="1:11" ht="15">
      <c r="A12" s="570">
        <v>4</v>
      </c>
      <c r="B12" s="600" t="str">
        <f>IF(EXP!C12="","",EXP!C12)</f>
        <v/>
      </c>
      <c r="C12" s="580">
        <f>EXP!E12</f>
        <v>0</v>
      </c>
      <c r="D12" s="580">
        <f>EXP!F12</f>
        <v>0</v>
      </c>
      <c r="E12" s="581" t="str">
        <f>IF(EXP!H12="","",EXP!H12)</f>
        <v/>
      </c>
      <c r="F12" s="580" t="str">
        <f>IF(EXP!E12="","",EXP!E12)</f>
        <v/>
      </c>
      <c r="G12" s="580" t="str">
        <f>IF(EXP!F12="","",EXP!F12)</f>
        <v/>
      </c>
      <c r="H12" s="582">
        <f>EXP!I12*100</f>
        <v>0</v>
      </c>
      <c r="I12" s="582">
        <f>EXP!D12</f>
        <v>0</v>
      </c>
      <c r="J12" s="562" t="str">
        <f ca="1">IF(AND(NOT(ISERROR($F$5-TODAY())),$F$5&lt;&gt;""),'(7c) Project Schedule'!K7,"")</f>
        <v/>
      </c>
      <c r="K12" s="563" t="str">
        <f t="shared" ca="1" si="0"/>
        <v/>
      </c>
    </row>
    <row r="13" spans="1:11" ht="15">
      <c r="A13" s="570">
        <v>5</v>
      </c>
      <c r="B13" s="600" t="str">
        <f>IF(EXP!C13="","",EXP!C13)</f>
        <v/>
      </c>
      <c r="C13" s="580">
        <f>EXP!E13</f>
        <v>0</v>
      </c>
      <c r="D13" s="580">
        <f>EXP!F13</f>
        <v>0</v>
      </c>
      <c r="E13" s="581" t="str">
        <f>IF(EXP!H13="","",EXP!H13)</f>
        <v/>
      </c>
      <c r="F13" s="580" t="str">
        <f>IF(EXP!E13="","",EXP!E13)</f>
        <v/>
      </c>
      <c r="G13" s="580" t="str">
        <f>IF(EXP!F13="","",EXP!F13)</f>
        <v/>
      </c>
      <c r="H13" s="582">
        <f>EXP!I13*100</f>
        <v>0</v>
      </c>
      <c r="I13" s="582">
        <f>EXP!D13</f>
        <v>0</v>
      </c>
      <c r="J13" s="562" t="str">
        <f ca="1">IF(AND(NOT(ISERROR($F$5-TODAY())),$F$5&lt;&gt;""),'(7c) Project Schedule'!K8,"")</f>
        <v/>
      </c>
      <c r="K13" s="563" t="str">
        <f t="shared" ca="1" si="0"/>
        <v/>
      </c>
    </row>
    <row r="14" spans="1:11" ht="15">
      <c r="A14" s="570">
        <v>6</v>
      </c>
      <c r="B14" s="600" t="str">
        <f>IF(EXP!C14="","",EXP!C14)</f>
        <v/>
      </c>
      <c r="C14" s="580">
        <f>EXP!E14</f>
        <v>0</v>
      </c>
      <c r="D14" s="580">
        <f>EXP!F14</f>
        <v>0</v>
      </c>
      <c r="E14" s="581" t="str">
        <f>IF(EXP!H14="","",EXP!H14)</f>
        <v/>
      </c>
      <c r="F14" s="580" t="str">
        <f>IF(EXP!E14="","",EXP!E14)</f>
        <v/>
      </c>
      <c r="G14" s="580" t="str">
        <f>IF(EXP!F14="","",EXP!F14)</f>
        <v/>
      </c>
      <c r="H14" s="582">
        <f>EXP!I14*100</f>
        <v>0</v>
      </c>
      <c r="I14" s="582">
        <f>EXP!D14</f>
        <v>0</v>
      </c>
      <c r="J14" s="562" t="str">
        <f ca="1">IF(AND(NOT(ISERROR($F$5-TODAY())),$F$5&lt;&gt;""),'(7c) Project Schedule'!K9,"")</f>
        <v/>
      </c>
      <c r="K14" s="563" t="str">
        <f t="shared" ca="1" si="0"/>
        <v/>
      </c>
    </row>
    <row r="15" spans="1:11" ht="15">
      <c r="A15" s="570">
        <v>7</v>
      </c>
      <c r="B15" s="600" t="str">
        <f>IF(EXP!C15="","",EXP!C15)</f>
        <v/>
      </c>
      <c r="C15" s="580">
        <f>EXP!E15</f>
        <v>0</v>
      </c>
      <c r="D15" s="580">
        <f>EXP!F15</f>
        <v>0</v>
      </c>
      <c r="E15" s="581" t="str">
        <f>IF(EXP!H15="","",EXP!H15)</f>
        <v/>
      </c>
      <c r="F15" s="580" t="str">
        <f>IF(EXP!E15="","",EXP!E15)</f>
        <v/>
      </c>
      <c r="G15" s="580" t="str">
        <f>IF(EXP!F15="","",EXP!F15)</f>
        <v/>
      </c>
      <c r="H15" s="582">
        <f>EXP!I15*100</f>
        <v>0</v>
      </c>
      <c r="I15" s="582">
        <f>EXP!D15</f>
        <v>0</v>
      </c>
      <c r="J15" s="562" t="str">
        <f ca="1">IF(AND(NOT(ISERROR($F$5-TODAY())),$F$5&lt;&gt;""),'(7c) Project Schedule'!K10,"")</f>
        <v/>
      </c>
      <c r="K15" s="563" t="str">
        <f t="shared" ca="1" si="0"/>
        <v/>
      </c>
    </row>
    <row r="16" spans="1:11" ht="15">
      <c r="A16" s="570">
        <v>8</v>
      </c>
      <c r="B16" s="600" t="str">
        <f>IF(EXP!C16="","",EXP!C16)</f>
        <v/>
      </c>
      <c r="C16" s="580">
        <f>EXP!E16</f>
        <v>0</v>
      </c>
      <c r="D16" s="580">
        <f>EXP!F16</f>
        <v>0</v>
      </c>
      <c r="E16" s="581" t="str">
        <f>IF(EXP!H16="","",EXP!H16)</f>
        <v/>
      </c>
      <c r="F16" s="580" t="str">
        <f>IF(EXP!E16="","",EXP!E16)</f>
        <v/>
      </c>
      <c r="G16" s="580" t="str">
        <f>IF(EXP!F16="","",EXP!F16)</f>
        <v/>
      </c>
      <c r="H16" s="582">
        <f>EXP!I16*100</f>
        <v>0</v>
      </c>
      <c r="I16" s="582">
        <f>EXP!D16</f>
        <v>0</v>
      </c>
      <c r="J16" s="562" t="str">
        <f ca="1">IF(AND(NOT(ISERROR($F$5-TODAY())),$F$5&lt;&gt;""),'(7c) Project Schedule'!K11,"")</f>
        <v/>
      </c>
      <c r="K16" s="563" t="str">
        <f t="shared" ca="1" si="0"/>
        <v/>
      </c>
    </row>
    <row r="17" spans="1:12" ht="15">
      <c r="A17" s="570">
        <v>9</v>
      </c>
      <c r="B17" s="600" t="str">
        <f>IF(EXP!C17="","",EXP!C17)</f>
        <v/>
      </c>
      <c r="C17" s="580">
        <f>EXP!E17</f>
        <v>0</v>
      </c>
      <c r="D17" s="580">
        <f>EXP!F17</f>
        <v>0</v>
      </c>
      <c r="E17" s="581" t="str">
        <f>IF(EXP!H17="","",EXP!H17)</f>
        <v/>
      </c>
      <c r="F17" s="580" t="str">
        <f>IF(EXP!E17="","",EXP!E17)</f>
        <v/>
      </c>
      <c r="G17" s="580" t="str">
        <f>IF(EXP!F17="","",EXP!F17)</f>
        <v/>
      </c>
      <c r="H17" s="582">
        <f>EXP!I17*100</f>
        <v>0</v>
      </c>
      <c r="I17" s="582">
        <f>EXP!D17</f>
        <v>0</v>
      </c>
      <c r="J17" s="562" t="str">
        <f ca="1">IF(AND(NOT(ISERROR($F$5-TODAY())),$F$5&lt;&gt;""),'(7c) Project Schedule'!K12,"")</f>
        <v/>
      </c>
      <c r="K17" s="563" t="str">
        <f t="shared" ca="1" si="0"/>
        <v/>
      </c>
    </row>
    <row r="18" spans="1:12" ht="15">
      <c r="A18" s="570">
        <v>10</v>
      </c>
      <c r="B18" s="600" t="str">
        <f>IF(EXP!C18="","",EXP!C18)</f>
        <v/>
      </c>
      <c r="C18" s="580">
        <f>EXP!E18</f>
        <v>0</v>
      </c>
      <c r="D18" s="580">
        <f>EXP!F18</f>
        <v>0</v>
      </c>
      <c r="E18" s="581" t="str">
        <f>IF(EXP!H18="","",EXP!H18)</f>
        <v/>
      </c>
      <c r="F18" s="580" t="str">
        <f>IF(EXP!E18="","",EXP!E18)</f>
        <v/>
      </c>
      <c r="G18" s="580" t="str">
        <f>IF(EXP!F18="","",EXP!F18)</f>
        <v/>
      </c>
      <c r="H18" s="582">
        <f>EXP!I18*100</f>
        <v>0</v>
      </c>
      <c r="I18" s="582">
        <f>EXP!D18</f>
        <v>0</v>
      </c>
      <c r="J18" s="562" t="str">
        <f ca="1">IF(AND(NOT(ISERROR($F$5-TODAY())),$F$5&lt;&gt;""),'(7c) Project Schedule'!K13,"")</f>
        <v/>
      </c>
      <c r="K18" s="563" t="str">
        <f t="shared" ca="1" si="0"/>
        <v/>
      </c>
    </row>
    <row r="19" spans="1:12" ht="15">
      <c r="A19" s="570">
        <v>11</v>
      </c>
      <c r="B19" s="600" t="str">
        <f>IF(EXP!C19="","",EXP!C19)</f>
        <v/>
      </c>
      <c r="C19" s="580">
        <f>EXP!E19</f>
        <v>0</v>
      </c>
      <c r="D19" s="580">
        <f>EXP!F19</f>
        <v>0</v>
      </c>
      <c r="E19" s="581" t="str">
        <f>IF(EXP!H19="","",EXP!H19)</f>
        <v/>
      </c>
      <c r="F19" s="580" t="str">
        <f>IF(EXP!E19="","",EXP!E19)</f>
        <v/>
      </c>
      <c r="G19" s="580" t="str">
        <f>IF(EXP!F19="","",EXP!F19)</f>
        <v/>
      </c>
      <c r="H19" s="582">
        <f>EXP!I19*100</f>
        <v>0</v>
      </c>
      <c r="I19" s="582">
        <f>EXP!D19</f>
        <v>0</v>
      </c>
      <c r="J19" s="562" t="str">
        <f ca="1">IF(AND(NOT(ISERROR($F$5-TODAY())),$F$5&lt;&gt;""),'(7c) Project Schedule'!K14,"")</f>
        <v/>
      </c>
      <c r="K19" s="563" t="str">
        <f t="shared" ca="1" si="0"/>
        <v/>
      </c>
    </row>
    <row r="20" spans="1:12" ht="15">
      <c r="A20" s="570">
        <v>12</v>
      </c>
      <c r="B20" s="600" t="str">
        <f>IF(EXP!C20="","",EXP!C20)</f>
        <v/>
      </c>
      <c r="C20" s="580">
        <f>EXP!E20</f>
        <v>0</v>
      </c>
      <c r="D20" s="580">
        <f>EXP!F20</f>
        <v>0</v>
      </c>
      <c r="E20" s="581" t="str">
        <f>IF(EXP!H20="","",EXP!H20)</f>
        <v/>
      </c>
      <c r="F20" s="580" t="str">
        <f>IF(EXP!E20="","",EXP!E20)</f>
        <v/>
      </c>
      <c r="G20" s="580" t="str">
        <f>IF(EXP!F20="","",EXP!F20)</f>
        <v/>
      </c>
      <c r="H20" s="582">
        <f>EXP!I20*100</f>
        <v>0</v>
      </c>
      <c r="I20" s="582">
        <f>EXP!D20</f>
        <v>0</v>
      </c>
      <c r="J20" s="562" t="str">
        <f ca="1">IF(AND(NOT(ISERROR($F$5-TODAY())),$F$5&lt;&gt;""),'(7c) Project Schedule'!K15,"")</f>
        <v/>
      </c>
      <c r="K20" s="563" t="str">
        <f t="shared" ca="1" si="0"/>
        <v/>
      </c>
    </row>
    <row r="21" spans="1:12" ht="15">
      <c r="A21" s="570">
        <v>13</v>
      </c>
      <c r="B21" s="600" t="str">
        <f>IF(EXP!C21="","",EXP!C21)</f>
        <v/>
      </c>
      <c r="C21" s="580">
        <f>EXP!E21</f>
        <v>0</v>
      </c>
      <c r="D21" s="580">
        <f>EXP!F21</f>
        <v>0</v>
      </c>
      <c r="E21" s="581" t="str">
        <f>IF(EXP!H21="","",EXP!H21)</f>
        <v/>
      </c>
      <c r="F21" s="580" t="str">
        <f>IF(EXP!E21="","",EXP!E21)</f>
        <v/>
      </c>
      <c r="G21" s="580" t="str">
        <f>IF(EXP!F21="","",EXP!F21)</f>
        <v/>
      </c>
      <c r="H21" s="582">
        <f>EXP!I21*100</f>
        <v>0</v>
      </c>
      <c r="I21" s="582">
        <f>EXP!D21</f>
        <v>0</v>
      </c>
      <c r="J21" s="562" t="str">
        <f ca="1">IF(AND(NOT(ISERROR($F$5-TODAY())),$F$5&lt;&gt;""),'(7c) Project Schedule'!K16,"")</f>
        <v/>
      </c>
      <c r="K21" s="563" t="str">
        <f t="shared" ca="1" si="0"/>
        <v/>
      </c>
    </row>
    <row r="22" spans="1:12" ht="15">
      <c r="A22" s="570">
        <v>14</v>
      </c>
      <c r="B22" s="600" t="str">
        <f>IF(EXP!C22="","",EXP!C22)</f>
        <v/>
      </c>
      <c r="C22" s="580">
        <f>EXP!E22</f>
        <v>0</v>
      </c>
      <c r="D22" s="580">
        <f>EXP!F22</f>
        <v>0</v>
      </c>
      <c r="E22" s="581" t="str">
        <f>IF(EXP!H22="","",EXP!H22)</f>
        <v/>
      </c>
      <c r="F22" s="580" t="str">
        <f>IF(EXP!E22="","",EXP!E22)</f>
        <v/>
      </c>
      <c r="G22" s="580" t="str">
        <f>IF(EXP!F22="","",EXP!F22)</f>
        <v/>
      </c>
      <c r="H22" s="582">
        <f>EXP!I22*100</f>
        <v>0</v>
      </c>
      <c r="I22" s="582">
        <f>EXP!D22</f>
        <v>0</v>
      </c>
      <c r="J22" s="562" t="str">
        <f ca="1">IF(AND(NOT(ISERROR($F$5-TODAY())),$F$5&lt;&gt;""),'(7c) Project Schedule'!K17,"")</f>
        <v/>
      </c>
      <c r="K22" s="563" t="str">
        <f t="shared" ca="1" si="0"/>
        <v/>
      </c>
    </row>
    <row r="23" spans="1:12" ht="15">
      <c r="A23" s="570">
        <v>15</v>
      </c>
      <c r="B23" s="600" t="str">
        <f>IF(EXP!C23="","",EXP!C23)</f>
        <v/>
      </c>
      <c r="C23" s="580">
        <f>EXP!E23</f>
        <v>0</v>
      </c>
      <c r="D23" s="580">
        <f>EXP!F23</f>
        <v>0</v>
      </c>
      <c r="E23" s="581" t="str">
        <f>IF(EXP!H23="","",EXP!H23)</f>
        <v/>
      </c>
      <c r="F23" s="580" t="str">
        <f>IF(EXP!E23="","",EXP!E23)</f>
        <v/>
      </c>
      <c r="G23" s="580" t="str">
        <f>IF(EXP!F23="","",EXP!F23)</f>
        <v/>
      </c>
      <c r="H23" s="582">
        <f>EXP!I23*100</f>
        <v>0</v>
      </c>
      <c r="I23" s="582">
        <f>EXP!D23</f>
        <v>0</v>
      </c>
      <c r="J23" s="562" t="str">
        <f ca="1">IF(AND(NOT(ISERROR($F$5-TODAY())),$F$5&lt;&gt;""),'(7c) Project Schedule'!K18,"")</f>
        <v/>
      </c>
      <c r="K23" s="563" t="str">
        <f t="shared" ca="1" si="0"/>
        <v/>
      </c>
    </row>
    <row r="24" spans="1:12" ht="15">
      <c r="A24" s="570">
        <v>16</v>
      </c>
      <c r="B24" s="600" t="str">
        <f>IF(EXP!C24="","",EXP!C24)</f>
        <v/>
      </c>
      <c r="C24" s="580">
        <f>EXP!E24</f>
        <v>0</v>
      </c>
      <c r="D24" s="580">
        <f>EXP!F24</f>
        <v>0</v>
      </c>
      <c r="E24" s="581" t="str">
        <f>IF(EXP!H24="","",EXP!H24)</f>
        <v/>
      </c>
      <c r="F24" s="580" t="str">
        <f>IF(EXP!E24="","",EXP!E24)</f>
        <v/>
      </c>
      <c r="G24" s="580" t="str">
        <f>IF(EXP!F24="","",EXP!F24)</f>
        <v/>
      </c>
      <c r="H24" s="582">
        <f>EXP!I24*100</f>
        <v>0</v>
      </c>
      <c r="I24" s="582">
        <f>EXP!D24</f>
        <v>0</v>
      </c>
      <c r="J24" s="562" t="str">
        <f ca="1">IF(AND(NOT(ISERROR($F$5-TODAY())),$F$5&lt;&gt;""),'(7c) Project Schedule'!K19,"")</f>
        <v/>
      </c>
      <c r="K24" s="563" t="str">
        <f t="shared" ca="1" si="0"/>
        <v/>
      </c>
    </row>
    <row r="25" spans="1:12" ht="16" thickBot="1">
      <c r="A25" s="571">
        <v>17</v>
      </c>
      <c r="B25" s="601" t="str">
        <f>IF(EXP!C25="","",EXP!C25)</f>
        <v/>
      </c>
      <c r="C25" s="583">
        <f>EXP!E25</f>
        <v>0</v>
      </c>
      <c r="D25" s="583">
        <f>EXP!F25</f>
        <v>0</v>
      </c>
      <c r="E25" s="584" t="str">
        <f>IF(EXP!H25="","",EXP!H25)</f>
        <v/>
      </c>
      <c r="F25" s="583" t="str">
        <f>IF(EXP!E25="","",EXP!E25)</f>
        <v/>
      </c>
      <c r="G25" s="583" t="str">
        <f>IF(EXP!F25="","",EXP!F25)</f>
        <v/>
      </c>
      <c r="H25" s="585">
        <f>EXP!I25*100</f>
        <v>0</v>
      </c>
      <c r="I25" s="585">
        <f>EXP!D25</f>
        <v>0</v>
      </c>
      <c r="J25" s="564" t="str">
        <f ca="1">IF(AND(NOT(ISERROR($F$5-TODAY())),$F$5&lt;&gt;""),'(7c) Project Schedule'!K20,"")</f>
        <v/>
      </c>
      <c r="K25" s="565" t="str">
        <f t="shared" ca="1" si="0"/>
        <v/>
      </c>
    </row>
    <row r="26" spans="1:12" ht="15" hidden="1">
      <c r="A26" s="566">
        <v>18</v>
      </c>
      <c r="B26" s="119" t="s">
        <v>232</v>
      </c>
      <c r="C26" s="114"/>
      <c r="D26" s="114"/>
      <c r="E26" s="103"/>
      <c r="F26" s="114"/>
      <c r="G26" s="114"/>
      <c r="H26" s="115"/>
      <c r="I26" s="116"/>
      <c r="J26" s="117">
        <f ca="1">IF(AND(NOT(ISERROR($F$5-TODAY())),$F$5&lt;&gt;""),'(7c) Project Schedule'!K21,"")</f>
        <v>0</v>
      </c>
      <c r="K26" s="118" t="str">
        <f t="shared" ca="1" si="0"/>
        <v/>
      </c>
      <c r="L26" s="120"/>
    </row>
    <row r="27" spans="1:12" ht="15" hidden="1">
      <c r="A27" s="113">
        <v>19</v>
      </c>
      <c r="B27" s="119" t="s">
        <v>232</v>
      </c>
      <c r="C27" s="114"/>
      <c r="D27" s="114"/>
      <c r="E27" s="103"/>
      <c r="F27" s="114"/>
      <c r="G27" s="114"/>
      <c r="H27" s="115"/>
      <c r="I27" s="116"/>
      <c r="J27" s="117">
        <f ca="1">IF(AND(NOT(ISERROR($F$5-TODAY())),$F$5&lt;&gt;""),'(7c) Project Schedule'!K22,"")</f>
        <v>0</v>
      </c>
      <c r="K27" s="118" t="str">
        <f t="shared" ca="1" si="0"/>
        <v/>
      </c>
      <c r="L27" s="120"/>
    </row>
    <row r="28" spans="1:12" ht="16" hidden="1" thickBot="1">
      <c r="A28" s="121">
        <v>20</v>
      </c>
      <c r="B28" s="122" t="s">
        <v>232</v>
      </c>
      <c r="C28" s="123"/>
      <c r="D28" s="123"/>
      <c r="E28" s="104"/>
      <c r="F28" s="124"/>
      <c r="G28" s="124"/>
      <c r="H28" s="125"/>
      <c r="I28" s="126"/>
      <c r="J28" s="127">
        <f ca="1">IF(AND(NOT(ISERROR($F$5-TODAY())),$F$5&lt;&gt;""),'(7c) Project Schedule'!K23,"")</f>
        <v>0</v>
      </c>
      <c r="K28" s="128" t="str">
        <f t="shared" ca="1" si="0"/>
        <v/>
      </c>
      <c r="L28" s="120"/>
    </row>
    <row r="29" spans="1:12" ht="15">
      <c r="E29" s="2354"/>
      <c r="F29" s="2354"/>
      <c r="G29" s="2354"/>
      <c r="H29" s="129"/>
      <c r="I29" s="129"/>
      <c r="J29" s="108" t="s">
        <v>106</v>
      </c>
      <c r="K29" s="130">
        <f ca="1">SUM(K9:K28)</f>
        <v>0</v>
      </c>
    </row>
    <row r="30" spans="1:12" ht="15" thickBot="1">
      <c r="A30" s="131" t="s">
        <v>105</v>
      </c>
      <c r="B30" s="2347"/>
      <c r="C30" s="2348"/>
      <c r="D30" s="2348"/>
      <c r="E30" s="2348"/>
    </row>
    <row r="31" spans="1:12" ht="29" customHeight="1" thickBot="1">
      <c r="A31" s="131"/>
      <c r="B31" s="2336" t="str">
        <f ca="1">IF(AND(NOT(ISERROR($F$5-TODAY())),$F$5&lt;&gt;""),"",IF(NOT(COUNTA(B9:I28)),"","NOTE: Enter valid certification date before entering projects!"))</f>
        <v/>
      </c>
      <c r="C31" s="2337"/>
      <c r="D31" s="79"/>
      <c r="E31" s="2334"/>
      <c r="F31" s="2335"/>
      <c r="I31" s="2338" t="str">
        <f ca="1">IF(AND(NOT(ISERROR($F$5-TODAY())),$F$5&lt;&gt;""),"",IF(NOT(COUNTA(B9:I28)),"","NOTE: Enter valid certification date before entering projects!"))</f>
        <v/>
      </c>
      <c r="J31" s="2339"/>
      <c r="K31" s="2340"/>
    </row>
    <row r="32" spans="1:12">
      <c r="A32" s="64"/>
      <c r="B32" s="132"/>
      <c r="C32" s="132"/>
      <c r="D32" s="132"/>
      <c r="E32" s="132"/>
    </row>
    <row r="34" spans="1:11">
      <c r="H34" s="133"/>
      <c r="I34" s="133"/>
    </row>
    <row r="35" spans="1:11">
      <c r="A35" s="120"/>
      <c r="B35" s="120"/>
      <c r="C35" s="134"/>
      <c r="D35" s="134"/>
    </row>
    <row r="37" spans="1:11">
      <c r="K37" s="131"/>
    </row>
  </sheetData>
  <sheetProtection algorithmName="SHA-512" hashValue="4gPli2+A/6MlCvk3mHpsVd6QyYR5WvMU+gyEBLYwE0sFA8NYUwIRGD0wyaVw8ohtMIFyP2KYkKflA+HbFxbsbg==" saltValue="A7+AJY+SmGKPQ2Vyt30BbA==" spinCount="100000" sheet="1" objects="1" scenarios="1" selectLockedCells="1" selectUnlockedCells="1"/>
  <mergeCells count="19">
    <mergeCell ref="A1:E1"/>
    <mergeCell ref="A4:B4"/>
    <mergeCell ref="J7:K7"/>
    <mergeCell ref="B30:E30"/>
    <mergeCell ref="C4:F4"/>
    <mergeCell ref="A7:A8"/>
    <mergeCell ref="B7:B8"/>
    <mergeCell ref="E29:G29"/>
    <mergeCell ref="A2:E2"/>
    <mergeCell ref="G4:J4"/>
    <mergeCell ref="E31:F31"/>
    <mergeCell ref="B31:C31"/>
    <mergeCell ref="I31:K31"/>
    <mergeCell ref="I7:I8"/>
    <mergeCell ref="G5:J5"/>
    <mergeCell ref="C7:D7"/>
    <mergeCell ref="E7:E8"/>
    <mergeCell ref="F7:G7"/>
    <mergeCell ref="H7:H8"/>
  </mergeCells>
  <conditionalFormatting sqref="B9:I28">
    <cfRule type="expression" dxfId="342" priority="5">
      <formula>$F$5=""</formula>
    </cfRule>
    <cfRule type="expression" dxfId="341" priority="6">
      <formula>ISERROR($F$5-TODAY())</formula>
    </cfRule>
    <cfRule type="expression" dxfId="340" priority="7">
      <formula>AND(NOT($F$5=""),$F$5&lt;TODAY())</formula>
    </cfRule>
  </conditionalFormatting>
  <conditionalFormatting sqref="G4:G5">
    <cfRule type="containsText" dxfId="339" priority="2" operator="containsText" text="ENTER VALID ">
      <formula>NOT(ISERROR(SEARCH("ENTER VALID ",G4)))</formula>
    </cfRule>
    <cfRule type="containsText" dxfId="338" priority="3" operator="containsText" text="Occurs">
      <formula>NOT(ISERROR(SEARCH("Occurs",G4)))</formula>
    </cfRule>
    <cfRule type="containsText" dxfId="337" priority="4" operator="containsText" text="past">
      <formula>NOT(ISERROR(SEARCH("past",G4)))</formula>
    </cfRule>
  </conditionalFormatting>
  <conditionalFormatting sqref="G9:G25 F9:F28">
    <cfRule type="expression" priority="43">
      <formula>F9&gt;=C9</formula>
    </cfRule>
    <cfRule type="expression" dxfId="336" priority="46">
      <formula>F9&lt;C9</formula>
    </cfRule>
  </conditionalFormatting>
  <dataValidations count="1">
    <dataValidation type="whole" allowBlank="1" showInputMessage="1" showErrorMessage="1" error="Please enter values from 2 to 120 only, no decimal places, no %-sign." sqref="H9:H28" xr:uid="{00000000-0002-0000-4700-000000000000}">
      <formula1>2</formula1>
      <formula2>120</formula2>
    </dataValidation>
  </dataValidations>
  <hyperlinks>
    <hyperlink ref="A26" location="'18'!A1" display="'18'!A1" xr:uid="{00000000-0004-0000-4700-000000000000}"/>
    <hyperlink ref="A27" location="'19'!A1" display="'19'!A1" xr:uid="{00000000-0004-0000-4700-000001000000}"/>
    <hyperlink ref="A28" location="'20'!A1" display="'20'!A1" xr:uid="{00000000-0004-0000-4700-000002000000}"/>
  </hyperlinks>
  <pageMargins left="0.7" right="0.7" top="0.78740157499999996" bottom="0.78740157499999996" header="0.3" footer="0.3"/>
  <pageSetup paperSize="9" scale="46" orientation="portrait" r:id="rId1"/>
  <headerFooter>
    <oddFooter>&amp;LDok.-Nr./Rev./Datum
F01         /  03   / 04.12.2020
&amp;F&amp;C&amp;U&amp;A&amp;RSeite &amp;P / &amp;N</oddFooter>
  </headerFooter>
  <drawing r:id="rId2"/>
  <legacyDrawing r:id="rId3"/>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upport_Sheet26">
    <tabColor rgb="FFC00000"/>
  </sheetPr>
  <dimension ref="A1:HB35"/>
  <sheetViews>
    <sheetView topLeftCell="R1" zoomScale="80" zoomScaleNormal="80" workbookViewId="0">
      <selection activeCell="AE41" sqref="AE41"/>
    </sheetView>
  </sheetViews>
  <sheetFormatPr baseColWidth="10" defaultColWidth="10.83203125" defaultRowHeight="13"/>
  <cols>
    <col min="1" max="1" width="31" style="15" hidden="1" customWidth="1"/>
    <col min="2" max="2" width="8.5" style="18" hidden="1" customWidth="1"/>
    <col min="3" max="3" width="8.1640625" style="18" hidden="1" customWidth="1"/>
    <col min="4" max="4" width="8.5" style="18" hidden="1" customWidth="1"/>
    <col min="5" max="5" width="12.5" style="18" hidden="1" customWidth="1"/>
    <col min="6" max="6" width="12" style="15" hidden="1" customWidth="1"/>
    <col min="7" max="7" width="6.6640625" style="15" hidden="1" customWidth="1"/>
    <col min="8" max="8" width="12.5" style="15" hidden="1" customWidth="1"/>
    <col min="9" max="9" width="15.33203125" style="15" hidden="1" customWidth="1"/>
    <col min="10" max="10" width="14" style="15" hidden="1" customWidth="1"/>
    <col min="11" max="11" width="12.1640625" style="17" hidden="1" customWidth="1"/>
    <col min="12" max="12" width="10.6640625" style="15" hidden="1" customWidth="1"/>
    <col min="13" max="13" width="3.33203125" style="14" hidden="1" customWidth="1"/>
    <col min="14" max="14" width="9.6640625" style="16" hidden="1" customWidth="1"/>
    <col min="15" max="15" width="7" style="15" hidden="1" customWidth="1"/>
    <col min="16" max="16" width="6.83203125" style="15" hidden="1" customWidth="1"/>
    <col min="17" max="17" width="3.5" style="15" hidden="1" customWidth="1"/>
    <col min="18" max="18" width="5.5" style="81" customWidth="1"/>
    <col min="19" max="162" width="4.5" style="81" customWidth="1"/>
    <col min="163" max="16384" width="10.83203125" style="81"/>
  </cols>
  <sheetData>
    <row r="1" spans="1:210" ht="14">
      <c r="F1" s="50" t="s">
        <v>151</v>
      </c>
      <c r="G1" s="50"/>
      <c r="H1" s="49" t="str">
        <f>'EXP Eval'!B4</f>
        <v>E</v>
      </c>
      <c r="I1" s="48"/>
      <c r="K1" s="47" t="s">
        <v>150</v>
      </c>
      <c r="L1" s="38">
        <f>'(7b) Project List'!F5</f>
        <v>0</v>
      </c>
      <c r="N1" s="102" t="str">
        <f>IF(COV!E11="","",DATEDIF(COV!E12,COV!E11,"m"))</f>
        <v/>
      </c>
    </row>
    <row r="2" spans="1:210">
      <c r="A2" s="46" t="s">
        <v>149</v>
      </c>
      <c r="B2" s="2356" t="str">
        <f>'(7b) Project List'!C4</f>
        <v xml:space="preserve">, </v>
      </c>
      <c r="C2" s="2357"/>
      <c r="D2" s="2358"/>
      <c r="E2" s="45"/>
      <c r="F2" s="24" t="s">
        <v>148</v>
      </c>
      <c r="G2" s="24"/>
      <c r="H2" s="35" t="str">
        <f>'(7b) Project List'!C5</f>
        <v>A</v>
      </c>
      <c r="K2" s="17" t="s">
        <v>147</v>
      </c>
      <c r="L2" s="25" t="str">
        <f>IF(D25=""," ",DATEDIF(B25,D25,"m")+1)</f>
        <v xml:space="preserve"> </v>
      </c>
      <c r="R2" s="85">
        <f ca="1">IF('(7b) Project List'!F5="",DATE(YEAR(TODAY()),12,31),DATE(YEAR('(7b) Project List'!F5),12,31))</f>
        <v>366</v>
      </c>
    </row>
    <row r="3" spans="1:210" s="86" customFormat="1" ht="42" customHeight="1">
      <c r="A3" s="44" t="s">
        <v>146</v>
      </c>
      <c r="B3" s="42" t="s">
        <v>145</v>
      </c>
      <c r="C3" s="42"/>
      <c r="D3" s="42" t="s">
        <v>144</v>
      </c>
      <c r="E3" s="42"/>
      <c r="F3" s="42" t="s">
        <v>143</v>
      </c>
      <c r="G3" s="42" t="s">
        <v>142</v>
      </c>
      <c r="H3" s="42" t="s">
        <v>141</v>
      </c>
      <c r="I3" s="42"/>
      <c r="J3" s="42" t="s">
        <v>140</v>
      </c>
      <c r="K3" s="42" t="s">
        <v>139</v>
      </c>
      <c r="L3" s="42" t="s">
        <v>138</v>
      </c>
      <c r="M3" s="43" t="s">
        <v>137</v>
      </c>
      <c r="N3" s="42" t="s">
        <v>136</v>
      </c>
      <c r="O3" s="42" t="s">
        <v>135</v>
      </c>
      <c r="P3" s="42" t="s">
        <v>134</v>
      </c>
      <c r="Q3" s="42" t="s">
        <v>133</v>
      </c>
      <c r="S3" s="41" t="e">
        <f>IF('(7b) Project List'!F5="",DATE(YEAR($R$2),MONTH($R$2)-$N$1,1),DATE(YEAR(B25),MONTH(B25),1))</f>
        <v>#VALUE!</v>
      </c>
      <c r="T3" s="41" t="e">
        <f t="shared" ref="T3:AY3" si="0">IF(S3="","",IF($D$25="",DATE(YEAR(S3),MONTH(S3)+1,DAY(S3)),IF(DATE(YEAR(S3),MONTH(S3)+1,DAY(S3))&lt;($D$25+30),DATE(YEAR(S3),MONTH(S3)+2,0),"")))</f>
        <v>#VALUE!</v>
      </c>
      <c r="U3" s="41" t="e">
        <f t="shared" si="0"/>
        <v>#VALUE!</v>
      </c>
      <c r="V3" s="41" t="e">
        <f t="shared" si="0"/>
        <v>#VALUE!</v>
      </c>
      <c r="W3" s="41" t="e">
        <f t="shared" si="0"/>
        <v>#VALUE!</v>
      </c>
      <c r="X3" s="41" t="e">
        <f t="shared" si="0"/>
        <v>#VALUE!</v>
      </c>
      <c r="Y3" s="41" t="e">
        <f t="shared" si="0"/>
        <v>#VALUE!</v>
      </c>
      <c r="Z3" s="41" t="e">
        <f t="shared" si="0"/>
        <v>#VALUE!</v>
      </c>
      <c r="AA3" s="41" t="e">
        <f t="shared" si="0"/>
        <v>#VALUE!</v>
      </c>
      <c r="AB3" s="41" t="e">
        <f t="shared" si="0"/>
        <v>#VALUE!</v>
      </c>
      <c r="AC3" s="41" t="e">
        <f t="shared" si="0"/>
        <v>#VALUE!</v>
      </c>
      <c r="AD3" s="40" t="e">
        <f t="shared" si="0"/>
        <v>#VALUE!</v>
      </c>
      <c r="AE3" s="41" t="e">
        <f t="shared" si="0"/>
        <v>#VALUE!</v>
      </c>
      <c r="AF3" s="41" t="e">
        <f t="shared" si="0"/>
        <v>#VALUE!</v>
      </c>
      <c r="AG3" s="41" t="e">
        <f t="shared" si="0"/>
        <v>#VALUE!</v>
      </c>
      <c r="AH3" s="41" t="e">
        <f t="shared" si="0"/>
        <v>#VALUE!</v>
      </c>
      <c r="AI3" s="41" t="e">
        <f t="shared" si="0"/>
        <v>#VALUE!</v>
      </c>
      <c r="AJ3" s="41" t="e">
        <f t="shared" si="0"/>
        <v>#VALUE!</v>
      </c>
      <c r="AK3" s="41" t="e">
        <f t="shared" si="0"/>
        <v>#VALUE!</v>
      </c>
      <c r="AL3" s="41" t="e">
        <f t="shared" si="0"/>
        <v>#VALUE!</v>
      </c>
      <c r="AM3" s="41" t="e">
        <f t="shared" si="0"/>
        <v>#VALUE!</v>
      </c>
      <c r="AN3" s="41" t="e">
        <f t="shared" si="0"/>
        <v>#VALUE!</v>
      </c>
      <c r="AO3" s="41" t="e">
        <f t="shared" si="0"/>
        <v>#VALUE!</v>
      </c>
      <c r="AP3" s="40" t="e">
        <f t="shared" si="0"/>
        <v>#VALUE!</v>
      </c>
      <c r="AQ3" s="41" t="e">
        <f t="shared" si="0"/>
        <v>#VALUE!</v>
      </c>
      <c r="AR3" s="41" t="e">
        <f t="shared" si="0"/>
        <v>#VALUE!</v>
      </c>
      <c r="AS3" s="41" t="e">
        <f t="shared" si="0"/>
        <v>#VALUE!</v>
      </c>
      <c r="AT3" s="41" t="e">
        <f t="shared" si="0"/>
        <v>#VALUE!</v>
      </c>
      <c r="AU3" s="41" t="e">
        <f t="shared" si="0"/>
        <v>#VALUE!</v>
      </c>
      <c r="AV3" s="41" t="e">
        <f t="shared" si="0"/>
        <v>#VALUE!</v>
      </c>
      <c r="AW3" s="41" t="e">
        <f t="shared" si="0"/>
        <v>#VALUE!</v>
      </c>
      <c r="AX3" s="41" t="e">
        <f t="shared" si="0"/>
        <v>#VALUE!</v>
      </c>
      <c r="AY3" s="41" t="e">
        <f t="shared" si="0"/>
        <v>#VALUE!</v>
      </c>
      <c r="AZ3" s="41" t="e">
        <f t="shared" ref="AZ3:CE3" si="1">IF(AY3="","",IF($D$25="",DATE(YEAR(AY3),MONTH(AY3)+1,DAY(AY3)),IF(DATE(YEAR(AY3),MONTH(AY3)+1,DAY(AY3))&lt;($D$25+30),DATE(YEAR(AY3),MONTH(AY3)+2,0),"")))</f>
        <v>#VALUE!</v>
      </c>
      <c r="BA3" s="41" t="e">
        <f t="shared" si="1"/>
        <v>#VALUE!</v>
      </c>
      <c r="BB3" s="40" t="e">
        <f t="shared" si="1"/>
        <v>#VALUE!</v>
      </c>
      <c r="BC3" s="41" t="e">
        <f t="shared" si="1"/>
        <v>#VALUE!</v>
      </c>
      <c r="BD3" s="41" t="e">
        <f t="shared" si="1"/>
        <v>#VALUE!</v>
      </c>
      <c r="BE3" s="41" t="e">
        <f t="shared" si="1"/>
        <v>#VALUE!</v>
      </c>
      <c r="BF3" s="41" t="e">
        <f t="shared" si="1"/>
        <v>#VALUE!</v>
      </c>
      <c r="BG3" s="41" t="e">
        <f t="shared" si="1"/>
        <v>#VALUE!</v>
      </c>
      <c r="BH3" s="41" t="e">
        <f t="shared" si="1"/>
        <v>#VALUE!</v>
      </c>
      <c r="BI3" s="41" t="e">
        <f t="shared" si="1"/>
        <v>#VALUE!</v>
      </c>
      <c r="BJ3" s="41" t="e">
        <f t="shared" si="1"/>
        <v>#VALUE!</v>
      </c>
      <c r="BK3" s="41" t="e">
        <f t="shared" si="1"/>
        <v>#VALUE!</v>
      </c>
      <c r="BL3" s="41" t="e">
        <f t="shared" si="1"/>
        <v>#VALUE!</v>
      </c>
      <c r="BM3" s="41" t="e">
        <f t="shared" si="1"/>
        <v>#VALUE!</v>
      </c>
      <c r="BN3" s="40" t="e">
        <f t="shared" si="1"/>
        <v>#VALUE!</v>
      </c>
      <c r="BO3" s="41" t="e">
        <f t="shared" si="1"/>
        <v>#VALUE!</v>
      </c>
      <c r="BP3" s="41" t="e">
        <f t="shared" si="1"/>
        <v>#VALUE!</v>
      </c>
      <c r="BQ3" s="41" t="e">
        <f t="shared" si="1"/>
        <v>#VALUE!</v>
      </c>
      <c r="BR3" s="41" t="e">
        <f t="shared" si="1"/>
        <v>#VALUE!</v>
      </c>
      <c r="BS3" s="41" t="e">
        <f t="shared" si="1"/>
        <v>#VALUE!</v>
      </c>
      <c r="BT3" s="41" t="e">
        <f t="shared" si="1"/>
        <v>#VALUE!</v>
      </c>
      <c r="BU3" s="41" t="e">
        <f t="shared" si="1"/>
        <v>#VALUE!</v>
      </c>
      <c r="BV3" s="41" t="e">
        <f t="shared" si="1"/>
        <v>#VALUE!</v>
      </c>
      <c r="BW3" s="41" t="e">
        <f t="shared" si="1"/>
        <v>#VALUE!</v>
      </c>
      <c r="BX3" s="41" t="e">
        <f t="shared" si="1"/>
        <v>#VALUE!</v>
      </c>
      <c r="BY3" s="41" t="e">
        <f t="shared" si="1"/>
        <v>#VALUE!</v>
      </c>
      <c r="BZ3" s="40" t="e">
        <f t="shared" si="1"/>
        <v>#VALUE!</v>
      </c>
      <c r="CA3" s="41" t="e">
        <f t="shared" si="1"/>
        <v>#VALUE!</v>
      </c>
      <c r="CB3" s="41" t="e">
        <f t="shared" si="1"/>
        <v>#VALUE!</v>
      </c>
      <c r="CC3" s="41" t="e">
        <f t="shared" si="1"/>
        <v>#VALUE!</v>
      </c>
      <c r="CD3" s="41" t="e">
        <f t="shared" si="1"/>
        <v>#VALUE!</v>
      </c>
      <c r="CE3" s="41" t="e">
        <f t="shared" si="1"/>
        <v>#VALUE!</v>
      </c>
      <c r="CF3" s="41" t="e">
        <f t="shared" ref="CF3:DK3" si="2">IF(CE3="","",IF($D$25="",DATE(YEAR(CE3),MONTH(CE3)+1,DAY(CE3)),IF(DATE(YEAR(CE3),MONTH(CE3)+1,DAY(CE3))&lt;($D$25+30),DATE(YEAR(CE3),MONTH(CE3)+2,0),"")))</f>
        <v>#VALUE!</v>
      </c>
      <c r="CG3" s="41" t="e">
        <f t="shared" si="2"/>
        <v>#VALUE!</v>
      </c>
      <c r="CH3" s="41" t="e">
        <f t="shared" si="2"/>
        <v>#VALUE!</v>
      </c>
      <c r="CI3" s="41" t="e">
        <f t="shared" si="2"/>
        <v>#VALUE!</v>
      </c>
      <c r="CJ3" s="41" t="e">
        <f t="shared" si="2"/>
        <v>#VALUE!</v>
      </c>
      <c r="CK3" s="41" t="e">
        <f t="shared" si="2"/>
        <v>#VALUE!</v>
      </c>
      <c r="CL3" s="40" t="e">
        <f t="shared" si="2"/>
        <v>#VALUE!</v>
      </c>
      <c r="CM3" s="41" t="e">
        <f t="shared" si="2"/>
        <v>#VALUE!</v>
      </c>
      <c r="CN3" s="41" t="e">
        <f t="shared" si="2"/>
        <v>#VALUE!</v>
      </c>
      <c r="CO3" s="41" t="e">
        <f t="shared" si="2"/>
        <v>#VALUE!</v>
      </c>
      <c r="CP3" s="41" t="e">
        <f t="shared" si="2"/>
        <v>#VALUE!</v>
      </c>
      <c r="CQ3" s="41" t="e">
        <f t="shared" si="2"/>
        <v>#VALUE!</v>
      </c>
      <c r="CR3" s="41" t="e">
        <f t="shared" si="2"/>
        <v>#VALUE!</v>
      </c>
      <c r="CS3" s="41" t="e">
        <f t="shared" si="2"/>
        <v>#VALUE!</v>
      </c>
      <c r="CT3" s="41" t="e">
        <f t="shared" si="2"/>
        <v>#VALUE!</v>
      </c>
      <c r="CU3" s="41" t="e">
        <f t="shared" si="2"/>
        <v>#VALUE!</v>
      </c>
      <c r="CV3" s="41" t="e">
        <f t="shared" si="2"/>
        <v>#VALUE!</v>
      </c>
      <c r="CW3" s="41" t="e">
        <f t="shared" si="2"/>
        <v>#VALUE!</v>
      </c>
      <c r="CX3" s="40" t="e">
        <f t="shared" si="2"/>
        <v>#VALUE!</v>
      </c>
      <c r="CY3" s="41" t="e">
        <f t="shared" si="2"/>
        <v>#VALUE!</v>
      </c>
      <c r="CZ3" s="41" t="e">
        <f t="shared" si="2"/>
        <v>#VALUE!</v>
      </c>
      <c r="DA3" s="41" t="e">
        <f t="shared" si="2"/>
        <v>#VALUE!</v>
      </c>
      <c r="DB3" s="41" t="e">
        <f t="shared" si="2"/>
        <v>#VALUE!</v>
      </c>
      <c r="DC3" s="41" t="e">
        <f t="shared" si="2"/>
        <v>#VALUE!</v>
      </c>
      <c r="DD3" s="41" t="e">
        <f t="shared" si="2"/>
        <v>#VALUE!</v>
      </c>
      <c r="DE3" s="41" t="e">
        <f t="shared" si="2"/>
        <v>#VALUE!</v>
      </c>
      <c r="DF3" s="41" t="e">
        <f t="shared" si="2"/>
        <v>#VALUE!</v>
      </c>
      <c r="DG3" s="41" t="e">
        <f t="shared" si="2"/>
        <v>#VALUE!</v>
      </c>
      <c r="DH3" s="41" t="e">
        <f t="shared" si="2"/>
        <v>#VALUE!</v>
      </c>
      <c r="DI3" s="41" t="e">
        <f t="shared" si="2"/>
        <v>#VALUE!</v>
      </c>
      <c r="DJ3" s="40" t="e">
        <f t="shared" si="2"/>
        <v>#VALUE!</v>
      </c>
      <c r="DK3" s="41" t="e">
        <f t="shared" si="2"/>
        <v>#VALUE!</v>
      </c>
      <c r="DL3" s="41" t="e">
        <f t="shared" ref="DL3:EQ3" si="3">IF(DK3="","",IF($D$25="",DATE(YEAR(DK3),MONTH(DK3)+1,DAY(DK3)),IF(DATE(YEAR(DK3),MONTH(DK3)+1,DAY(DK3))&lt;($D$25+30),DATE(YEAR(DK3),MONTH(DK3)+2,0),"")))</f>
        <v>#VALUE!</v>
      </c>
      <c r="DM3" s="41" t="e">
        <f t="shared" si="3"/>
        <v>#VALUE!</v>
      </c>
      <c r="DN3" s="41" t="e">
        <f t="shared" si="3"/>
        <v>#VALUE!</v>
      </c>
      <c r="DO3" s="41" t="e">
        <f t="shared" si="3"/>
        <v>#VALUE!</v>
      </c>
      <c r="DP3" s="41" t="e">
        <f t="shared" si="3"/>
        <v>#VALUE!</v>
      </c>
      <c r="DQ3" s="41" t="e">
        <f t="shared" si="3"/>
        <v>#VALUE!</v>
      </c>
      <c r="DR3" s="41" t="e">
        <f t="shared" si="3"/>
        <v>#VALUE!</v>
      </c>
      <c r="DS3" s="41" t="e">
        <f t="shared" si="3"/>
        <v>#VALUE!</v>
      </c>
      <c r="DT3" s="41" t="e">
        <f t="shared" si="3"/>
        <v>#VALUE!</v>
      </c>
      <c r="DU3" s="41" t="e">
        <f t="shared" si="3"/>
        <v>#VALUE!</v>
      </c>
      <c r="DV3" s="40" t="e">
        <f t="shared" si="3"/>
        <v>#VALUE!</v>
      </c>
      <c r="DW3" s="41" t="e">
        <f t="shared" si="3"/>
        <v>#VALUE!</v>
      </c>
      <c r="DX3" s="41" t="e">
        <f t="shared" si="3"/>
        <v>#VALUE!</v>
      </c>
      <c r="DY3" s="41" t="e">
        <f t="shared" si="3"/>
        <v>#VALUE!</v>
      </c>
      <c r="DZ3" s="41" t="e">
        <f t="shared" si="3"/>
        <v>#VALUE!</v>
      </c>
      <c r="EA3" s="41" t="e">
        <f t="shared" si="3"/>
        <v>#VALUE!</v>
      </c>
      <c r="EB3" s="41" t="e">
        <f t="shared" si="3"/>
        <v>#VALUE!</v>
      </c>
      <c r="EC3" s="41" t="e">
        <f t="shared" si="3"/>
        <v>#VALUE!</v>
      </c>
      <c r="ED3" s="41" t="e">
        <f t="shared" si="3"/>
        <v>#VALUE!</v>
      </c>
      <c r="EE3" s="41" t="e">
        <f t="shared" si="3"/>
        <v>#VALUE!</v>
      </c>
      <c r="EF3" s="41" t="e">
        <f t="shared" si="3"/>
        <v>#VALUE!</v>
      </c>
      <c r="EG3" s="41" t="e">
        <f t="shared" si="3"/>
        <v>#VALUE!</v>
      </c>
      <c r="EH3" s="40" t="e">
        <f t="shared" si="3"/>
        <v>#VALUE!</v>
      </c>
      <c r="EI3" s="41" t="e">
        <f t="shared" si="3"/>
        <v>#VALUE!</v>
      </c>
      <c r="EJ3" s="41" t="e">
        <f t="shared" si="3"/>
        <v>#VALUE!</v>
      </c>
      <c r="EK3" s="41" t="e">
        <f t="shared" si="3"/>
        <v>#VALUE!</v>
      </c>
      <c r="EL3" s="41" t="e">
        <f t="shared" si="3"/>
        <v>#VALUE!</v>
      </c>
      <c r="EM3" s="41" t="e">
        <f t="shared" si="3"/>
        <v>#VALUE!</v>
      </c>
      <c r="EN3" s="41" t="e">
        <f t="shared" si="3"/>
        <v>#VALUE!</v>
      </c>
      <c r="EO3" s="41" t="e">
        <f t="shared" si="3"/>
        <v>#VALUE!</v>
      </c>
      <c r="EP3" s="41" t="e">
        <f t="shared" si="3"/>
        <v>#VALUE!</v>
      </c>
      <c r="EQ3" s="41" t="e">
        <f t="shared" si="3"/>
        <v>#VALUE!</v>
      </c>
      <c r="ER3" s="41" t="e">
        <f t="shared" ref="ER3:FF3" si="4">IF(EQ3="","",IF($D$25="",DATE(YEAR(EQ3),MONTH(EQ3)+1,DAY(EQ3)),IF(DATE(YEAR(EQ3),MONTH(EQ3)+1,DAY(EQ3))&lt;($D$25+30),DATE(YEAR(EQ3),MONTH(EQ3)+2,0),"")))</f>
        <v>#VALUE!</v>
      </c>
      <c r="ES3" s="41" t="e">
        <f t="shared" si="4"/>
        <v>#VALUE!</v>
      </c>
      <c r="ET3" s="40" t="e">
        <f t="shared" si="4"/>
        <v>#VALUE!</v>
      </c>
      <c r="EU3" s="41" t="e">
        <f t="shared" si="4"/>
        <v>#VALUE!</v>
      </c>
      <c r="EV3" s="41" t="e">
        <f t="shared" si="4"/>
        <v>#VALUE!</v>
      </c>
      <c r="EW3" s="41" t="e">
        <f t="shared" si="4"/>
        <v>#VALUE!</v>
      </c>
      <c r="EX3" s="41" t="e">
        <f t="shared" si="4"/>
        <v>#VALUE!</v>
      </c>
      <c r="EY3" s="41" t="e">
        <f t="shared" si="4"/>
        <v>#VALUE!</v>
      </c>
      <c r="EZ3" s="41" t="e">
        <f t="shared" si="4"/>
        <v>#VALUE!</v>
      </c>
      <c r="FA3" s="41" t="e">
        <f t="shared" si="4"/>
        <v>#VALUE!</v>
      </c>
      <c r="FB3" s="41" t="e">
        <f t="shared" si="4"/>
        <v>#VALUE!</v>
      </c>
      <c r="FC3" s="41" t="e">
        <f t="shared" si="4"/>
        <v>#VALUE!</v>
      </c>
      <c r="FD3" s="41" t="e">
        <f t="shared" si="4"/>
        <v>#VALUE!</v>
      </c>
      <c r="FE3" s="41" t="e">
        <f t="shared" si="4"/>
        <v>#VALUE!</v>
      </c>
      <c r="FF3" s="40" t="e">
        <f t="shared" si="4"/>
        <v>#VALUE!</v>
      </c>
      <c r="FG3" s="39"/>
      <c r="FH3" s="39"/>
      <c r="FI3" s="39"/>
      <c r="FJ3" s="39"/>
      <c r="FK3" s="39"/>
      <c r="FL3" s="39"/>
      <c r="FM3" s="39"/>
      <c r="FN3" s="39"/>
      <c r="FO3" s="39"/>
      <c r="FP3" s="39"/>
      <c r="FQ3" s="39"/>
      <c r="FR3" s="39"/>
      <c r="FS3" s="39"/>
      <c r="FT3" s="39"/>
      <c r="FU3" s="39"/>
      <c r="FV3" s="39"/>
      <c r="FW3" s="39"/>
      <c r="FX3" s="39"/>
      <c r="FY3" s="39"/>
      <c r="FZ3" s="39"/>
      <c r="GA3" s="39"/>
      <c r="GB3" s="39"/>
      <c r="GC3" s="39"/>
      <c r="GD3" s="39"/>
      <c r="GE3" s="39"/>
      <c r="GF3" s="39"/>
      <c r="GG3" s="39"/>
      <c r="GH3" s="39"/>
      <c r="GI3" s="39"/>
      <c r="GJ3" s="39"/>
      <c r="GK3" s="39"/>
      <c r="GL3" s="39"/>
      <c r="GM3" s="39"/>
      <c r="GN3" s="39"/>
      <c r="GO3" s="39"/>
      <c r="GP3" s="39"/>
      <c r="GQ3" s="39"/>
      <c r="GR3" s="39"/>
      <c r="GS3" s="39"/>
      <c r="GT3" s="39"/>
      <c r="GU3" s="39"/>
      <c r="GV3" s="39"/>
      <c r="GW3" s="39"/>
      <c r="GX3" s="39"/>
      <c r="GY3" s="39"/>
      <c r="GZ3" s="39"/>
      <c r="HA3" s="39"/>
      <c r="HB3" s="39"/>
    </row>
    <row r="4" spans="1:210">
      <c r="A4" s="35">
        <v>1</v>
      </c>
      <c r="B4" s="38" t="str">
        <f>IF('(7b) Project List'!F9&lt;&gt;"",'(7b) Project List'!F9," ")</f>
        <v xml:space="preserve"> </v>
      </c>
      <c r="C4" s="38" t="str">
        <f t="shared" ref="C4:C23" si="5">IF(B4=" "," ",IF(B4&lt;(DATE(YEAR(L$1),MONTH(L$1)-N$1,DAY(L$1))),(DATE(YEAR(L$1),MONTH(L$1)-N$1,DAY(L$1))),B4))</f>
        <v xml:space="preserve"> </v>
      </c>
      <c r="D4" s="38" t="str">
        <f>IF('(7b) Project List'!G9&lt;&gt;"",'(7b) Project List'!G9,"")</f>
        <v/>
      </c>
      <c r="E4" s="37" t="str">
        <f t="shared" ref="E4:E23" si="6">IF(D4="","",IF(D4&lt;=C4,"",IF(D4&gt;=L$1,L$1,D4)))</f>
        <v/>
      </c>
      <c r="F4" s="36"/>
      <c r="G4" s="36"/>
      <c r="H4" s="35">
        <f>IF('(7b) Project List'!H9&lt;&gt;"",'(7b) Project List'!H9,"")</f>
        <v>0</v>
      </c>
      <c r="J4" s="17">
        <f t="shared" ref="J4:J23" si="7">IF(ISERROR(AVERAGE(S4:FF4)),H4,IF(H4="","",IF(D4&lt;$C$3,H4,AVERAGE(S4:FF4))))</f>
        <v>0</v>
      </c>
      <c r="K4" s="17" t="str">
        <f>IF(OR(('(7b) Project List'!$F$5=""),('(7b) Project List'!$C9&gt;'(7b) Project List'!$F9),('(7b) Project List'!$C9&gt;'(7b) Project List'!$G9),('(7b) Project List'!$C9&gt;'(7b) Project List'!$F$5),('(7b) Project List'!$G9&lt;'(7c) Project Schedule'!$B$25),('(7b) Project List'!$F9&gt;'(7b) Project List'!$D9),('(7c) Project Schedule'!$B$25&gt;'(7b) Project List'!$D9),('(7b) Project List'!$F9&gt;'(7b) Project List'!$F$5),('(7b) Project List'!$F9&gt;'(7b) Project List'!$G9),('(7b) Project List'!$G9&gt;'(7b) Project List'!$D9)),"",COUNTIF(S4:GP4,"&gt;0"))</f>
        <v/>
      </c>
      <c r="L4" s="16" t="str">
        <f t="shared" ref="L4:L23" si="8">IF(H4=""," ",IF(K4=""," ",IF(J4&lt;=H4,J4*K4/(L$2),H4*K4/(L$2))))</f>
        <v xml:space="preserve"> </v>
      </c>
      <c r="N4" s="16" t="str">
        <f t="shared" ref="N4:N23" si="9">IF($F4="D",$L4," ")</f>
        <v xml:space="preserve"> </v>
      </c>
      <c r="O4" s="16" t="str">
        <f t="shared" ref="O4:O23" si="10">IF($F4="C",$L4," ")</f>
        <v xml:space="preserve"> </v>
      </c>
      <c r="P4" s="16" t="str">
        <f t="shared" ref="P4:P23" si="11">IF($F4="B",$L4," ")</f>
        <v xml:space="preserve"> </v>
      </c>
      <c r="Q4" s="16" t="str">
        <f t="shared" ref="Q4:Q23" si="12">IF($F4="A",$L4," ")</f>
        <v xml:space="preserve"> </v>
      </c>
      <c r="S4" s="34" t="str">
        <f t="shared" ref="S4:AB13" si="13">IF($D4&lt;&gt;"",IF(EOMONTH($D4,0)&gt;=S$3,IF($B4&lt;=S$3,$H4,""),""),"")</f>
        <v/>
      </c>
      <c r="T4" s="34" t="str">
        <f t="shared" si="13"/>
        <v/>
      </c>
      <c r="U4" s="34" t="str">
        <f t="shared" si="13"/>
        <v/>
      </c>
      <c r="V4" s="34" t="str">
        <f t="shared" si="13"/>
        <v/>
      </c>
      <c r="W4" s="34" t="str">
        <f t="shared" si="13"/>
        <v/>
      </c>
      <c r="X4" s="34" t="str">
        <f t="shared" si="13"/>
        <v/>
      </c>
      <c r="Y4" s="34" t="str">
        <f t="shared" si="13"/>
        <v/>
      </c>
      <c r="Z4" s="34" t="str">
        <f t="shared" si="13"/>
        <v/>
      </c>
      <c r="AA4" s="34" t="str">
        <f t="shared" si="13"/>
        <v/>
      </c>
      <c r="AB4" s="34" t="str">
        <f t="shared" si="13"/>
        <v/>
      </c>
      <c r="AC4" s="34" t="str">
        <f t="shared" ref="AC4:AL13" si="14">IF($D4&lt;&gt;"",IF(EOMONTH($D4,0)&gt;=AC$3,IF($B4&lt;=AC$3,$H4,""),""),"")</f>
        <v/>
      </c>
      <c r="AD4" s="33" t="str">
        <f t="shared" si="14"/>
        <v/>
      </c>
      <c r="AE4" s="34" t="str">
        <f t="shared" si="14"/>
        <v/>
      </c>
      <c r="AF4" s="34" t="str">
        <f t="shared" si="14"/>
        <v/>
      </c>
      <c r="AG4" s="34" t="str">
        <f t="shared" si="14"/>
        <v/>
      </c>
      <c r="AH4" s="34" t="str">
        <f t="shared" si="14"/>
        <v/>
      </c>
      <c r="AI4" s="34" t="str">
        <f t="shared" si="14"/>
        <v/>
      </c>
      <c r="AJ4" s="34" t="str">
        <f t="shared" si="14"/>
        <v/>
      </c>
      <c r="AK4" s="34" t="str">
        <f t="shared" si="14"/>
        <v/>
      </c>
      <c r="AL4" s="34" t="str">
        <f t="shared" si="14"/>
        <v/>
      </c>
      <c r="AM4" s="34" t="str">
        <f t="shared" ref="AM4:AV13" si="15">IF($D4&lt;&gt;"",IF(EOMONTH($D4,0)&gt;=AM$3,IF($B4&lt;=AM$3,$H4,""),""),"")</f>
        <v/>
      </c>
      <c r="AN4" s="34" t="str">
        <f t="shared" si="15"/>
        <v/>
      </c>
      <c r="AO4" s="34" t="str">
        <f t="shared" si="15"/>
        <v/>
      </c>
      <c r="AP4" s="33" t="str">
        <f t="shared" si="15"/>
        <v/>
      </c>
      <c r="AQ4" s="34" t="str">
        <f t="shared" si="15"/>
        <v/>
      </c>
      <c r="AR4" s="34" t="str">
        <f t="shared" si="15"/>
        <v/>
      </c>
      <c r="AS4" s="34" t="str">
        <f t="shared" si="15"/>
        <v/>
      </c>
      <c r="AT4" s="34" t="str">
        <f t="shared" si="15"/>
        <v/>
      </c>
      <c r="AU4" s="34" t="str">
        <f t="shared" si="15"/>
        <v/>
      </c>
      <c r="AV4" s="34" t="str">
        <f t="shared" si="15"/>
        <v/>
      </c>
      <c r="AW4" s="34" t="str">
        <f t="shared" ref="AW4:BF13" si="16">IF($D4&lt;&gt;"",IF(EOMONTH($D4,0)&gt;=AW$3,IF($B4&lt;=AW$3,$H4,""),""),"")</f>
        <v/>
      </c>
      <c r="AX4" s="34" t="str">
        <f t="shared" si="16"/>
        <v/>
      </c>
      <c r="AY4" s="34" t="str">
        <f t="shared" si="16"/>
        <v/>
      </c>
      <c r="AZ4" s="34" t="str">
        <f t="shared" si="16"/>
        <v/>
      </c>
      <c r="BA4" s="34" t="str">
        <f t="shared" si="16"/>
        <v/>
      </c>
      <c r="BB4" s="33" t="str">
        <f t="shared" si="16"/>
        <v/>
      </c>
      <c r="BC4" s="34" t="str">
        <f t="shared" si="16"/>
        <v/>
      </c>
      <c r="BD4" s="34" t="str">
        <f t="shared" si="16"/>
        <v/>
      </c>
      <c r="BE4" s="34" t="str">
        <f t="shared" si="16"/>
        <v/>
      </c>
      <c r="BF4" s="34" t="str">
        <f t="shared" si="16"/>
        <v/>
      </c>
      <c r="BG4" s="34" t="str">
        <f t="shared" ref="BG4:BP13" si="17">IF($D4&lt;&gt;"",IF(EOMONTH($D4,0)&gt;=BG$3,IF($B4&lt;=BG$3,$H4,""),""),"")</f>
        <v/>
      </c>
      <c r="BH4" s="34" t="str">
        <f t="shared" si="17"/>
        <v/>
      </c>
      <c r="BI4" s="34" t="str">
        <f t="shared" si="17"/>
        <v/>
      </c>
      <c r="BJ4" s="34" t="str">
        <f t="shared" si="17"/>
        <v/>
      </c>
      <c r="BK4" s="34" t="str">
        <f t="shared" si="17"/>
        <v/>
      </c>
      <c r="BL4" s="34" t="str">
        <f t="shared" si="17"/>
        <v/>
      </c>
      <c r="BM4" s="34" t="str">
        <f t="shared" si="17"/>
        <v/>
      </c>
      <c r="BN4" s="33" t="str">
        <f t="shared" si="17"/>
        <v/>
      </c>
      <c r="BO4" s="34" t="str">
        <f t="shared" si="17"/>
        <v/>
      </c>
      <c r="BP4" s="34" t="str">
        <f t="shared" si="17"/>
        <v/>
      </c>
      <c r="BQ4" s="34" t="str">
        <f t="shared" ref="BQ4:BZ13" si="18">IF($D4&lt;&gt;"",IF(EOMONTH($D4,0)&gt;=BQ$3,IF($B4&lt;=BQ$3,$H4,""),""),"")</f>
        <v/>
      </c>
      <c r="BR4" s="34" t="str">
        <f t="shared" si="18"/>
        <v/>
      </c>
      <c r="BS4" s="34" t="str">
        <f t="shared" si="18"/>
        <v/>
      </c>
      <c r="BT4" s="34" t="str">
        <f t="shared" si="18"/>
        <v/>
      </c>
      <c r="BU4" s="34" t="str">
        <f t="shared" si="18"/>
        <v/>
      </c>
      <c r="BV4" s="34" t="str">
        <f t="shared" si="18"/>
        <v/>
      </c>
      <c r="BW4" s="34" t="str">
        <f t="shared" si="18"/>
        <v/>
      </c>
      <c r="BX4" s="34" t="str">
        <f t="shared" si="18"/>
        <v/>
      </c>
      <c r="BY4" s="34" t="str">
        <f t="shared" si="18"/>
        <v/>
      </c>
      <c r="BZ4" s="33" t="str">
        <f t="shared" si="18"/>
        <v/>
      </c>
      <c r="CA4" s="34" t="str">
        <f t="shared" ref="CA4:CJ13" si="19">IF($D4&lt;&gt;"",IF(EOMONTH($D4,0)&gt;=CA$3,IF($B4&lt;=CA$3,$H4,""),""),"")</f>
        <v/>
      </c>
      <c r="CB4" s="34" t="str">
        <f t="shared" si="19"/>
        <v/>
      </c>
      <c r="CC4" s="34" t="str">
        <f t="shared" si="19"/>
        <v/>
      </c>
      <c r="CD4" s="34" t="str">
        <f t="shared" si="19"/>
        <v/>
      </c>
      <c r="CE4" s="34" t="str">
        <f t="shared" si="19"/>
        <v/>
      </c>
      <c r="CF4" s="34" t="str">
        <f t="shared" si="19"/>
        <v/>
      </c>
      <c r="CG4" s="34" t="str">
        <f t="shared" si="19"/>
        <v/>
      </c>
      <c r="CH4" s="34" t="str">
        <f t="shared" si="19"/>
        <v/>
      </c>
      <c r="CI4" s="34" t="str">
        <f t="shared" si="19"/>
        <v/>
      </c>
      <c r="CJ4" s="34" t="str">
        <f t="shared" si="19"/>
        <v/>
      </c>
      <c r="CK4" s="34" t="str">
        <f t="shared" ref="CK4:CT13" si="20">IF($D4&lt;&gt;"",IF(EOMONTH($D4,0)&gt;=CK$3,IF($B4&lt;=CK$3,$H4,""),""),"")</f>
        <v/>
      </c>
      <c r="CL4" s="33" t="str">
        <f t="shared" si="20"/>
        <v/>
      </c>
      <c r="CM4" s="34" t="str">
        <f t="shared" si="20"/>
        <v/>
      </c>
      <c r="CN4" s="34" t="str">
        <f t="shared" si="20"/>
        <v/>
      </c>
      <c r="CO4" s="34" t="str">
        <f t="shared" si="20"/>
        <v/>
      </c>
      <c r="CP4" s="34" t="str">
        <f t="shared" si="20"/>
        <v/>
      </c>
      <c r="CQ4" s="34" t="str">
        <f t="shared" si="20"/>
        <v/>
      </c>
      <c r="CR4" s="34" t="str">
        <f t="shared" si="20"/>
        <v/>
      </c>
      <c r="CS4" s="34" t="str">
        <f t="shared" si="20"/>
        <v/>
      </c>
      <c r="CT4" s="34" t="str">
        <f t="shared" si="20"/>
        <v/>
      </c>
      <c r="CU4" s="34" t="str">
        <f t="shared" ref="CU4:DD13" si="21">IF($D4&lt;&gt;"",IF(EOMONTH($D4,0)&gt;=CU$3,IF($B4&lt;=CU$3,$H4,""),""),"")</f>
        <v/>
      </c>
      <c r="CV4" s="34" t="str">
        <f t="shared" si="21"/>
        <v/>
      </c>
      <c r="CW4" s="34" t="str">
        <f t="shared" si="21"/>
        <v/>
      </c>
      <c r="CX4" s="33" t="str">
        <f t="shared" si="21"/>
        <v/>
      </c>
      <c r="CY4" s="34" t="str">
        <f t="shared" si="21"/>
        <v/>
      </c>
      <c r="CZ4" s="34" t="str">
        <f t="shared" si="21"/>
        <v/>
      </c>
      <c r="DA4" s="34" t="str">
        <f t="shared" si="21"/>
        <v/>
      </c>
      <c r="DB4" s="34" t="str">
        <f t="shared" si="21"/>
        <v/>
      </c>
      <c r="DC4" s="34" t="str">
        <f t="shared" si="21"/>
        <v/>
      </c>
      <c r="DD4" s="34" t="str">
        <f t="shared" si="21"/>
        <v/>
      </c>
      <c r="DE4" s="34" t="str">
        <f t="shared" ref="DE4:DN13" si="22">IF($D4&lt;&gt;"",IF(EOMONTH($D4,0)&gt;=DE$3,IF($B4&lt;=DE$3,$H4,""),""),"")</f>
        <v/>
      </c>
      <c r="DF4" s="34" t="str">
        <f t="shared" si="22"/>
        <v/>
      </c>
      <c r="DG4" s="34" t="str">
        <f t="shared" si="22"/>
        <v/>
      </c>
      <c r="DH4" s="34" t="str">
        <f t="shared" si="22"/>
        <v/>
      </c>
      <c r="DI4" s="34" t="str">
        <f t="shared" si="22"/>
        <v/>
      </c>
      <c r="DJ4" s="33" t="str">
        <f t="shared" si="22"/>
        <v/>
      </c>
      <c r="DK4" s="34" t="str">
        <f t="shared" si="22"/>
        <v/>
      </c>
      <c r="DL4" s="34" t="str">
        <f t="shared" si="22"/>
        <v/>
      </c>
      <c r="DM4" s="34" t="str">
        <f t="shared" si="22"/>
        <v/>
      </c>
      <c r="DN4" s="34" t="str">
        <f t="shared" si="22"/>
        <v/>
      </c>
      <c r="DO4" s="34" t="str">
        <f t="shared" ref="DO4:DX13" si="23">IF($D4&lt;&gt;"",IF(EOMONTH($D4,0)&gt;=DO$3,IF($B4&lt;=DO$3,$H4,""),""),"")</f>
        <v/>
      </c>
      <c r="DP4" s="34" t="str">
        <f t="shared" si="23"/>
        <v/>
      </c>
      <c r="DQ4" s="34" t="str">
        <f t="shared" si="23"/>
        <v/>
      </c>
      <c r="DR4" s="34" t="str">
        <f t="shared" si="23"/>
        <v/>
      </c>
      <c r="DS4" s="34" t="str">
        <f t="shared" si="23"/>
        <v/>
      </c>
      <c r="DT4" s="34" t="str">
        <f t="shared" si="23"/>
        <v/>
      </c>
      <c r="DU4" s="34" t="str">
        <f t="shared" si="23"/>
        <v/>
      </c>
      <c r="DV4" s="33" t="str">
        <f t="shared" si="23"/>
        <v/>
      </c>
      <c r="DW4" s="34" t="str">
        <f t="shared" si="23"/>
        <v/>
      </c>
      <c r="DX4" s="34" t="str">
        <f t="shared" si="23"/>
        <v/>
      </c>
      <c r="DY4" s="34" t="str">
        <f t="shared" ref="DY4:EH13" si="24">IF($D4&lt;&gt;"",IF(EOMONTH($D4,0)&gt;=DY$3,IF($B4&lt;=DY$3,$H4,""),""),"")</f>
        <v/>
      </c>
      <c r="DZ4" s="34" t="str">
        <f t="shared" si="24"/>
        <v/>
      </c>
      <c r="EA4" s="34" t="str">
        <f t="shared" si="24"/>
        <v/>
      </c>
      <c r="EB4" s="34" t="str">
        <f t="shared" si="24"/>
        <v/>
      </c>
      <c r="EC4" s="34" t="str">
        <f t="shared" si="24"/>
        <v/>
      </c>
      <c r="ED4" s="34" t="str">
        <f t="shared" si="24"/>
        <v/>
      </c>
      <c r="EE4" s="34" t="str">
        <f t="shared" si="24"/>
        <v/>
      </c>
      <c r="EF4" s="34" t="str">
        <f t="shared" si="24"/>
        <v/>
      </c>
      <c r="EG4" s="34" t="str">
        <f t="shared" si="24"/>
        <v/>
      </c>
      <c r="EH4" s="33" t="str">
        <f t="shared" si="24"/>
        <v/>
      </c>
      <c r="EI4" s="34" t="str">
        <f t="shared" ref="EI4:ER13" si="25">IF($D4&lt;&gt;"",IF(EOMONTH($D4,0)&gt;=EI$3,IF($B4&lt;=EI$3,$H4,""),""),"")</f>
        <v/>
      </c>
      <c r="EJ4" s="34" t="str">
        <f t="shared" si="25"/>
        <v/>
      </c>
      <c r="EK4" s="34" t="str">
        <f t="shared" si="25"/>
        <v/>
      </c>
      <c r="EL4" s="34" t="str">
        <f t="shared" si="25"/>
        <v/>
      </c>
      <c r="EM4" s="34" t="str">
        <f t="shared" si="25"/>
        <v/>
      </c>
      <c r="EN4" s="34" t="str">
        <f t="shared" si="25"/>
        <v/>
      </c>
      <c r="EO4" s="34" t="str">
        <f t="shared" si="25"/>
        <v/>
      </c>
      <c r="EP4" s="34" t="str">
        <f t="shared" si="25"/>
        <v/>
      </c>
      <c r="EQ4" s="34" t="str">
        <f t="shared" si="25"/>
        <v/>
      </c>
      <c r="ER4" s="34" t="str">
        <f t="shared" si="25"/>
        <v/>
      </c>
      <c r="ES4" s="34" t="str">
        <f t="shared" ref="ES4:FF13" si="26">IF($D4&lt;&gt;"",IF(EOMONTH($D4,0)&gt;=ES$3,IF($B4&lt;=ES$3,$H4,""),""),"")</f>
        <v/>
      </c>
      <c r="ET4" s="33" t="str">
        <f t="shared" si="26"/>
        <v/>
      </c>
      <c r="EU4" s="34" t="str">
        <f t="shared" si="26"/>
        <v/>
      </c>
      <c r="EV4" s="34" t="str">
        <f t="shared" si="26"/>
        <v/>
      </c>
      <c r="EW4" s="34" t="str">
        <f t="shared" si="26"/>
        <v/>
      </c>
      <c r="EX4" s="34" t="str">
        <f t="shared" si="26"/>
        <v/>
      </c>
      <c r="EY4" s="34" t="str">
        <f t="shared" si="26"/>
        <v/>
      </c>
      <c r="EZ4" s="34" t="str">
        <f t="shared" si="26"/>
        <v/>
      </c>
      <c r="FA4" s="34" t="str">
        <f t="shared" si="26"/>
        <v/>
      </c>
      <c r="FB4" s="34" t="str">
        <f t="shared" si="26"/>
        <v/>
      </c>
      <c r="FC4" s="34" t="str">
        <f t="shared" si="26"/>
        <v/>
      </c>
      <c r="FD4" s="34" t="str">
        <f t="shared" si="26"/>
        <v/>
      </c>
      <c r="FE4" s="34" t="str">
        <f t="shared" si="26"/>
        <v/>
      </c>
      <c r="FF4" s="33" t="str">
        <f t="shared" si="26"/>
        <v/>
      </c>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row>
    <row r="5" spans="1:210">
      <c r="A5" s="35">
        <v>2</v>
      </c>
      <c r="B5" s="38" t="str">
        <f>IF('(7b) Project List'!F10&lt;&gt;"",'(7b) Project List'!F10," ")</f>
        <v xml:space="preserve"> </v>
      </c>
      <c r="C5" s="38" t="str">
        <f t="shared" si="5"/>
        <v xml:space="preserve"> </v>
      </c>
      <c r="D5" s="38" t="str">
        <f>IF('(7b) Project List'!G10&lt;&gt;"",'(7b) Project List'!G10,"")</f>
        <v/>
      </c>
      <c r="E5" s="37" t="str">
        <f t="shared" si="6"/>
        <v/>
      </c>
      <c r="F5" s="36"/>
      <c r="G5" s="36"/>
      <c r="H5" s="35">
        <f>IF('(7b) Project List'!H10&lt;&gt;"",'(7b) Project List'!H10,"")</f>
        <v>0</v>
      </c>
      <c r="J5" s="17">
        <f t="shared" si="7"/>
        <v>0</v>
      </c>
      <c r="K5" s="17" t="str">
        <f>IF(OR(('(7b) Project List'!$F$5=""),('(7b) Project List'!$C10&gt;'(7b) Project List'!$F10),('(7b) Project List'!$C10&gt;'(7b) Project List'!$G10),('(7b) Project List'!$C10&gt;'(7b) Project List'!$F$5),('(7b) Project List'!$G10&lt;'(7c) Project Schedule'!$B$25),('(7b) Project List'!$F10&gt;'(7b) Project List'!$D10),('(7c) Project Schedule'!$B$25&gt;'(7b) Project List'!$D10),('(7b) Project List'!$F10&gt;'(7b) Project List'!$F$5),('(7b) Project List'!$F10&gt;'(7b) Project List'!$G10),('(7b) Project List'!$G10&gt;'(7b) Project List'!$D10)),"",COUNTIF(S5:GP5,"&gt;0"))</f>
        <v/>
      </c>
      <c r="L5" s="16" t="str">
        <f t="shared" si="8"/>
        <v xml:space="preserve"> </v>
      </c>
      <c r="N5" s="16" t="str">
        <f t="shared" si="9"/>
        <v xml:space="preserve"> </v>
      </c>
      <c r="O5" s="16" t="str">
        <f t="shared" si="10"/>
        <v xml:space="preserve"> </v>
      </c>
      <c r="P5" s="16" t="str">
        <f t="shared" si="11"/>
        <v xml:space="preserve"> </v>
      </c>
      <c r="Q5" s="16" t="str">
        <f t="shared" si="12"/>
        <v xml:space="preserve"> </v>
      </c>
      <c r="S5" s="34" t="str">
        <f t="shared" si="13"/>
        <v/>
      </c>
      <c r="T5" s="34" t="str">
        <f t="shared" si="13"/>
        <v/>
      </c>
      <c r="U5" s="34" t="str">
        <f t="shared" si="13"/>
        <v/>
      </c>
      <c r="V5" s="34" t="str">
        <f t="shared" si="13"/>
        <v/>
      </c>
      <c r="W5" s="34" t="str">
        <f t="shared" si="13"/>
        <v/>
      </c>
      <c r="X5" s="34" t="str">
        <f t="shared" si="13"/>
        <v/>
      </c>
      <c r="Y5" s="34" t="str">
        <f t="shared" si="13"/>
        <v/>
      </c>
      <c r="Z5" s="34" t="str">
        <f t="shared" si="13"/>
        <v/>
      </c>
      <c r="AA5" s="34" t="str">
        <f t="shared" si="13"/>
        <v/>
      </c>
      <c r="AB5" s="34" t="str">
        <f t="shared" si="13"/>
        <v/>
      </c>
      <c r="AC5" s="34" t="str">
        <f t="shared" si="14"/>
        <v/>
      </c>
      <c r="AD5" s="33" t="str">
        <f t="shared" si="14"/>
        <v/>
      </c>
      <c r="AE5" s="34" t="str">
        <f t="shared" si="14"/>
        <v/>
      </c>
      <c r="AF5" s="34" t="str">
        <f t="shared" si="14"/>
        <v/>
      </c>
      <c r="AG5" s="34" t="str">
        <f t="shared" si="14"/>
        <v/>
      </c>
      <c r="AH5" s="34" t="str">
        <f t="shared" si="14"/>
        <v/>
      </c>
      <c r="AI5" s="34" t="str">
        <f t="shared" si="14"/>
        <v/>
      </c>
      <c r="AJ5" s="34" t="str">
        <f t="shared" si="14"/>
        <v/>
      </c>
      <c r="AK5" s="34" t="str">
        <f t="shared" si="14"/>
        <v/>
      </c>
      <c r="AL5" s="34" t="str">
        <f t="shared" si="14"/>
        <v/>
      </c>
      <c r="AM5" s="34" t="str">
        <f t="shared" si="15"/>
        <v/>
      </c>
      <c r="AN5" s="34" t="str">
        <f t="shared" si="15"/>
        <v/>
      </c>
      <c r="AO5" s="34" t="str">
        <f t="shared" si="15"/>
        <v/>
      </c>
      <c r="AP5" s="33" t="str">
        <f t="shared" si="15"/>
        <v/>
      </c>
      <c r="AQ5" s="34" t="str">
        <f t="shared" si="15"/>
        <v/>
      </c>
      <c r="AR5" s="34" t="str">
        <f t="shared" si="15"/>
        <v/>
      </c>
      <c r="AS5" s="34" t="str">
        <f t="shared" si="15"/>
        <v/>
      </c>
      <c r="AT5" s="34" t="str">
        <f t="shared" si="15"/>
        <v/>
      </c>
      <c r="AU5" s="34" t="str">
        <f t="shared" si="15"/>
        <v/>
      </c>
      <c r="AV5" s="34" t="str">
        <f t="shared" si="15"/>
        <v/>
      </c>
      <c r="AW5" s="34" t="str">
        <f t="shared" si="16"/>
        <v/>
      </c>
      <c r="AX5" s="34" t="str">
        <f t="shared" si="16"/>
        <v/>
      </c>
      <c r="AY5" s="34" t="str">
        <f t="shared" si="16"/>
        <v/>
      </c>
      <c r="AZ5" s="34" t="str">
        <f t="shared" si="16"/>
        <v/>
      </c>
      <c r="BA5" s="34" t="str">
        <f t="shared" si="16"/>
        <v/>
      </c>
      <c r="BB5" s="33" t="str">
        <f t="shared" si="16"/>
        <v/>
      </c>
      <c r="BC5" s="34" t="str">
        <f t="shared" si="16"/>
        <v/>
      </c>
      <c r="BD5" s="34" t="str">
        <f t="shared" si="16"/>
        <v/>
      </c>
      <c r="BE5" s="34" t="str">
        <f t="shared" si="16"/>
        <v/>
      </c>
      <c r="BF5" s="34" t="str">
        <f t="shared" si="16"/>
        <v/>
      </c>
      <c r="BG5" s="34" t="str">
        <f t="shared" si="17"/>
        <v/>
      </c>
      <c r="BH5" s="34" t="str">
        <f t="shared" si="17"/>
        <v/>
      </c>
      <c r="BI5" s="34" t="str">
        <f t="shared" si="17"/>
        <v/>
      </c>
      <c r="BJ5" s="34" t="str">
        <f t="shared" si="17"/>
        <v/>
      </c>
      <c r="BK5" s="34" t="str">
        <f t="shared" si="17"/>
        <v/>
      </c>
      <c r="BL5" s="34" t="str">
        <f t="shared" si="17"/>
        <v/>
      </c>
      <c r="BM5" s="34" t="str">
        <f t="shared" si="17"/>
        <v/>
      </c>
      <c r="BN5" s="33" t="str">
        <f t="shared" si="17"/>
        <v/>
      </c>
      <c r="BO5" s="34" t="str">
        <f t="shared" si="17"/>
        <v/>
      </c>
      <c r="BP5" s="34" t="str">
        <f t="shared" si="17"/>
        <v/>
      </c>
      <c r="BQ5" s="34" t="str">
        <f t="shared" si="18"/>
        <v/>
      </c>
      <c r="BR5" s="34" t="str">
        <f t="shared" si="18"/>
        <v/>
      </c>
      <c r="BS5" s="34" t="str">
        <f t="shared" si="18"/>
        <v/>
      </c>
      <c r="BT5" s="34" t="str">
        <f t="shared" si="18"/>
        <v/>
      </c>
      <c r="BU5" s="34" t="str">
        <f t="shared" si="18"/>
        <v/>
      </c>
      <c r="BV5" s="34" t="str">
        <f t="shared" si="18"/>
        <v/>
      </c>
      <c r="BW5" s="34" t="str">
        <f t="shared" si="18"/>
        <v/>
      </c>
      <c r="BX5" s="34" t="str">
        <f t="shared" si="18"/>
        <v/>
      </c>
      <c r="BY5" s="34" t="str">
        <f t="shared" si="18"/>
        <v/>
      </c>
      <c r="BZ5" s="33" t="str">
        <f t="shared" si="18"/>
        <v/>
      </c>
      <c r="CA5" s="34" t="str">
        <f t="shared" si="19"/>
        <v/>
      </c>
      <c r="CB5" s="34" t="str">
        <f t="shared" si="19"/>
        <v/>
      </c>
      <c r="CC5" s="34" t="str">
        <f t="shared" si="19"/>
        <v/>
      </c>
      <c r="CD5" s="34" t="str">
        <f t="shared" si="19"/>
        <v/>
      </c>
      <c r="CE5" s="34" t="str">
        <f t="shared" si="19"/>
        <v/>
      </c>
      <c r="CF5" s="34" t="str">
        <f t="shared" si="19"/>
        <v/>
      </c>
      <c r="CG5" s="34" t="str">
        <f t="shared" si="19"/>
        <v/>
      </c>
      <c r="CH5" s="34" t="str">
        <f t="shared" si="19"/>
        <v/>
      </c>
      <c r="CI5" s="34" t="str">
        <f t="shared" si="19"/>
        <v/>
      </c>
      <c r="CJ5" s="34" t="str">
        <f t="shared" si="19"/>
        <v/>
      </c>
      <c r="CK5" s="34" t="str">
        <f t="shared" si="20"/>
        <v/>
      </c>
      <c r="CL5" s="33" t="str">
        <f t="shared" si="20"/>
        <v/>
      </c>
      <c r="CM5" s="34" t="str">
        <f t="shared" si="20"/>
        <v/>
      </c>
      <c r="CN5" s="34" t="str">
        <f t="shared" si="20"/>
        <v/>
      </c>
      <c r="CO5" s="34" t="str">
        <f t="shared" si="20"/>
        <v/>
      </c>
      <c r="CP5" s="34" t="str">
        <f t="shared" si="20"/>
        <v/>
      </c>
      <c r="CQ5" s="34" t="str">
        <f t="shared" si="20"/>
        <v/>
      </c>
      <c r="CR5" s="34" t="str">
        <f t="shared" si="20"/>
        <v/>
      </c>
      <c r="CS5" s="34" t="str">
        <f t="shared" si="20"/>
        <v/>
      </c>
      <c r="CT5" s="34" t="str">
        <f t="shared" si="20"/>
        <v/>
      </c>
      <c r="CU5" s="34" t="str">
        <f t="shared" si="21"/>
        <v/>
      </c>
      <c r="CV5" s="34" t="str">
        <f t="shared" si="21"/>
        <v/>
      </c>
      <c r="CW5" s="34" t="str">
        <f t="shared" si="21"/>
        <v/>
      </c>
      <c r="CX5" s="33" t="str">
        <f t="shared" si="21"/>
        <v/>
      </c>
      <c r="CY5" s="34" t="str">
        <f t="shared" si="21"/>
        <v/>
      </c>
      <c r="CZ5" s="34" t="str">
        <f t="shared" si="21"/>
        <v/>
      </c>
      <c r="DA5" s="34" t="str">
        <f t="shared" si="21"/>
        <v/>
      </c>
      <c r="DB5" s="34" t="str">
        <f t="shared" si="21"/>
        <v/>
      </c>
      <c r="DC5" s="34" t="str">
        <f t="shared" si="21"/>
        <v/>
      </c>
      <c r="DD5" s="34" t="str">
        <f t="shared" si="21"/>
        <v/>
      </c>
      <c r="DE5" s="34" t="str">
        <f t="shared" si="22"/>
        <v/>
      </c>
      <c r="DF5" s="34" t="str">
        <f t="shared" si="22"/>
        <v/>
      </c>
      <c r="DG5" s="34" t="str">
        <f t="shared" si="22"/>
        <v/>
      </c>
      <c r="DH5" s="34" t="str">
        <f t="shared" si="22"/>
        <v/>
      </c>
      <c r="DI5" s="34" t="str">
        <f t="shared" si="22"/>
        <v/>
      </c>
      <c r="DJ5" s="33" t="str">
        <f t="shared" si="22"/>
        <v/>
      </c>
      <c r="DK5" s="34" t="str">
        <f t="shared" si="22"/>
        <v/>
      </c>
      <c r="DL5" s="34" t="str">
        <f t="shared" si="22"/>
        <v/>
      </c>
      <c r="DM5" s="34" t="str">
        <f t="shared" si="22"/>
        <v/>
      </c>
      <c r="DN5" s="34" t="str">
        <f t="shared" si="22"/>
        <v/>
      </c>
      <c r="DO5" s="34" t="str">
        <f t="shared" si="23"/>
        <v/>
      </c>
      <c r="DP5" s="34" t="str">
        <f t="shared" si="23"/>
        <v/>
      </c>
      <c r="DQ5" s="34" t="str">
        <f t="shared" si="23"/>
        <v/>
      </c>
      <c r="DR5" s="34" t="str">
        <f t="shared" si="23"/>
        <v/>
      </c>
      <c r="DS5" s="34" t="str">
        <f t="shared" si="23"/>
        <v/>
      </c>
      <c r="DT5" s="34" t="str">
        <f t="shared" si="23"/>
        <v/>
      </c>
      <c r="DU5" s="34" t="str">
        <f t="shared" si="23"/>
        <v/>
      </c>
      <c r="DV5" s="33" t="str">
        <f t="shared" si="23"/>
        <v/>
      </c>
      <c r="DW5" s="34" t="str">
        <f t="shared" si="23"/>
        <v/>
      </c>
      <c r="DX5" s="34" t="str">
        <f t="shared" si="23"/>
        <v/>
      </c>
      <c r="DY5" s="34" t="str">
        <f t="shared" si="24"/>
        <v/>
      </c>
      <c r="DZ5" s="34" t="str">
        <f t="shared" si="24"/>
        <v/>
      </c>
      <c r="EA5" s="34" t="str">
        <f t="shared" si="24"/>
        <v/>
      </c>
      <c r="EB5" s="34" t="str">
        <f t="shared" si="24"/>
        <v/>
      </c>
      <c r="EC5" s="34" t="str">
        <f t="shared" si="24"/>
        <v/>
      </c>
      <c r="ED5" s="34" t="str">
        <f t="shared" si="24"/>
        <v/>
      </c>
      <c r="EE5" s="34" t="str">
        <f t="shared" si="24"/>
        <v/>
      </c>
      <c r="EF5" s="34" t="str">
        <f t="shared" si="24"/>
        <v/>
      </c>
      <c r="EG5" s="34" t="str">
        <f t="shared" si="24"/>
        <v/>
      </c>
      <c r="EH5" s="33" t="str">
        <f t="shared" si="24"/>
        <v/>
      </c>
      <c r="EI5" s="34" t="str">
        <f t="shared" si="25"/>
        <v/>
      </c>
      <c r="EJ5" s="34" t="str">
        <f t="shared" si="25"/>
        <v/>
      </c>
      <c r="EK5" s="34" t="str">
        <f t="shared" si="25"/>
        <v/>
      </c>
      <c r="EL5" s="34" t="str">
        <f t="shared" si="25"/>
        <v/>
      </c>
      <c r="EM5" s="34" t="str">
        <f t="shared" si="25"/>
        <v/>
      </c>
      <c r="EN5" s="34" t="str">
        <f t="shared" si="25"/>
        <v/>
      </c>
      <c r="EO5" s="34" t="str">
        <f t="shared" si="25"/>
        <v/>
      </c>
      <c r="EP5" s="34" t="str">
        <f t="shared" si="25"/>
        <v/>
      </c>
      <c r="EQ5" s="34" t="str">
        <f t="shared" si="25"/>
        <v/>
      </c>
      <c r="ER5" s="34" t="str">
        <f t="shared" si="25"/>
        <v/>
      </c>
      <c r="ES5" s="34" t="str">
        <f t="shared" si="26"/>
        <v/>
      </c>
      <c r="ET5" s="33" t="str">
        <f t="shared" si="26"/>
        <v/>
      </c>
      <c r="EU5" s="34" t="str">
        <f t="shared" si="26"/>
        <v/>
      </c>
      <c r="EV5" s="34" t="str">
        <f t="shared" si="26"/>
        <v/>
      </c>
      <c r="EW5" s="34" t="str">
        <f t="shared" si="26"/>
        <v/>
      </c>
      <c r="EX5" s="34" t="str">
        <f t="shared" si="26"/>
        <v/>
      </c>
      <c r="EY5" s="34" t="str">
        <f t="shared" si="26"/>
        <v/>
      </c>
      <c r="EZ5" s="34" t="str">
        <f t="shared" si="26"/>
        <v/>
      </c>
      <c r="FA5" s="34" t="str">
        <f t="shared" si="26"/>
        <v/>
      </c>
      <c r="FB5" s="34" t="str">
        <f t="shared" si="26"/>
        <v/>
      </c>
      <c r="FC5" s="34" t="str">
        <f t="shared" si="26"/>
        <v/>
      </c>
      <c r="FD5" s="34" t="str">
        <f t="shared" si="26"/>
        <v/>
      </c>
      <c r="FE5" s="34" t="str">
        <f t="shared" si="26"/>
        <v/>
      </c>
      <c r="FF5" s="33" t="str">
        <f t="shared" si="26"/>
        <v/>
      </c>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row>
    <row r="6" spans="1:210">
      <c r="A6" s="35">
        <v>3</v>
      </c>
      <c r="B6" s="38" t="str">
        <f>IF('(7b) Project List'!F11&lt;&gt;"",'(7b) Project List'!F11," ")</f>
        <v xml:space="preserve"> </v>
      </c>
      <c r="C6" s="38" t="str">
        <f t="shared" si="5"/>
        <v xml:space="preserve"> </v>
      </c>
      <c r="D6" s="38" t="str">
        <f>IF('(7b) Project List'!G11&lt;&gt;"",'(7b) Project List'!G11,"")</f>
        <v/>
      </c>
      <c r="E6" s="37" t="str">
        <f t="shared" si="6"/>
        <v/>
      </c>
      <c r="F6" s="36"/>
      <c r="G6" s="36"/>
      <c r="H6" s="35">
        <f>IF('(7b) Project List'!H11&lt;&gt;"",'(7b) Project List'!H11,"")</f>
        <v>0</v>
      </c>
      <c r="J6" s="17">
        <f t="shared" si="7"/>
        <v>0</v>
      </c>
      <c r="K6" s="17" t="str">
        <f>IF(OR(('(7b) Project List'!$F$5=""),('(7b) Project List'!$C11&gt;'(7b) Project List'!$F11),('(7b) Project List'!$C11&gt;'(7b) Project List'!$G11),('(7b) Project List'!$C11&gt;'(7b) Project List'!$F$5),('(7b) Project List'!$G11&lt;'(7c) Project Schedule'!$B$25),('(7b) Project List'!$F11&gt;'(7b) Project List'!$D11),('(7c) Project Schedule'!$B$25&gt;'(7b) Project List'!$D11),('(7b) Project List'!$F11&gt;'(7b) Project List'!$F$5),('(7b) Project List'!$F11&gt;'(7b) Project List'!$G11),('(7b) Project List'!$G11&gt;'(7b) Project List'!$D11)),"",COUNTIF(S6:GP6,"&gt;0"))</f>
        <v/>
      </c>
      <c r="L6" s="16" t="str">
        <f t="shared" si="8"/>
        <v xml:space="preserve"> </v>
      </c>
      <c r="N6" s="16" t="str">
        <f t="shared" si="9"/>
        <v xml:space="preserve"> </v>
      </c>
      <c r="O6" s="16" t="str">
        <f t="shared" si="10"/>
        <v xml:space="preserve"> </v>
      </c>
      <c r="P6" s="16" t="str">
        <f t="shared" si="11"/>
        <v xml:space="preserve"> </v>
      </c>
      <c r="Q6" s="16" t="str">
        <f t="shared" si="12"/>
        <v xml:space="preserve"> </v>
      </c>
      <c r="S6" s="34" t="str">
        <f t="shared" si="13"/>
        <v/>
      </c>
      <c r="T6" s="34" t="str">
        <f t="shared" si="13"/>
        <v/>
      </c>
      <c r="U6" s="34" t="str">
        <f t="shared" si="13"/>
        <v/>
      </c>
      <c r="V6" s="34" t="str">
        <f t="shared" si="13"/>
        <v/>
      </c>
      <c r="W6" s="34" t="str">
        <f t="shared" si="13"/>
        <v/>
      </c>
      <c r="X6" s="34" t="str">
        <f t="shared" si="13"/>
        <v/>
      </c>
      <c r="Y6" s="34" t="str">
        <f t="shared" si="13"/>
        <v/>
      </c>
      <c r="Z6" s="34" t="str">
        <f t="shared" si="13"/>
        <v/>
      </c>
      <c r="AA6" s="34" t="str">
        <f t="shared" si="13"/>
        <v/>
      </c>
      <c r="AB6" s="34" t="str">
        <f t="shared" si="13"/>
        <v/>
      </c>
      <c r="AC6" s="34" t="str">
        <f t="shared" si="14"/>
        <v/>
      </c>
      <c r="AD6" s="33" t="str">
        <f t="shared" si="14"/>
        <v/>
      </c>
      <c r="AE6" s="34" t="str">
        <f t="shared" si="14"/>
        <v/>
      </c>
      <c r="AF6" s="34" t="str">
        <f t="shared" si="14"/>
        <v/>
      </c>
      <c r="AG6" s="34" t="str">
        <f t="shared" si="14"/>
        <v/>
      </c>
      <c r="AH6" s="34" t="str">
        <f t="shared" si="14"/>
        <v/>
      </c>
      <c r="AI6" s="34" t="str">
        <f t="shared" si="14"/>
        <v/>
      </c>
      <c r="AJ6" s="34" t="str">
        <f t="shared" si="14"/>
        <v/>
      </c>
      <c r="AK6" s="34" t="str">
        <f t="shared" si="14"/>
        <v/>
      </c>
      <c r="AL6" s="34" t="str">
        <f t="shared" si="14"/>
        <v/>
      </c>
      <c r="AM6" s="34" t="str">
        <f t="shared" si="15"/>
        <v/>
      </c>
      <c r="AN6" s="34" t="str">
        <f t="shared" si="15"/>
        <v/>
      </c>
      <c r="AO6" s="34" t="str">
        <f t="shared" si="15"/>
        <v/>
      </c>
      <c r="AP6" s="33" t="str">
        <f t="shared" si="15"/>
        <v/>
      </c>
      <c r="AQ6" s="34" t="str">
        <f t="shared" si="15"/>
        <v/>
      </c>
      <c r="AR6" s="34" t="str">
        <f t="shared" si="15"/>
        <v/>
      </c>
      <c r="AS6" s="34" t="str">
        <f t="shared" si="15"/>
        <v/>
      </c>
      <c r="AT6" s="34" t="str">
        <f t="shared" si="15"/>
        <v/>
      </c>
      <c r="AU6" s="34" t="str">
        <f t="shared" si="15"/>
        <v/>
      </c>
      <c r="AV6" s="34" t="str">
        <f t="shared" si="15"/>
        <v/>
      </c>
      <c r="AW6" s="34" t="str">
        <f t="shared" si="16"/>
        <v/>
      </c>
      <c r="AX6" s="34" t="str">
        <f t="shared" si="16"/>
        <v/>
      </c>
      <c r="AY6" s="34" t="str">
        <f t="shared" si="16"/>
        <v/>
      </c>
      <c r="AZ6" s="34" t="str">
        <f t="shared" si="16"/>
        <v/>
      </c>
      <c r="BA6" s="34" t="str">
        <f t="shared" si="16"/>
        <v/>
      </c>
      <c r="BB6" s="33" t="str">
        <f t="shared" si="16"/>
        <v/>
      </c>
      <c r="BC6" s="34" t="str">
        <f t="shared" si="16"/>
        <v/>
      </c>
      <c r="BD6" s="34" t="str">
        <f t="shared" si="16"/>
        <v/>
      </c>
      <c r="BE6" s="34" t="str">
        <f t="shared" si="16"/>
        <v/>
      </c>
      <c r="BF6" s="34" t="str">
        <f t="shared" si="16"/>
        <v/>
      </c>
      <c r="BG6" s="34" t="str">
        <f t="shared" si="17"/>
        <v/>
      </c>
      <c r="BH6" s="34" t="str">
        <f t="shared" si="17"/>
        <v/>
      </c>
      <c r="BI6" s="34" t="str">
        <f t="shared" si="17"/>
        <v/>
      </c>
      <c r="BJ6" s="34" t="str">
        <f t="shared" si="17"/>
        <v/>
      </c>
      <c r="BK6" s="34" t="str">
        <f t="shared" si="17"/>
        <v/>
      </c>
      <c r="BL6" s="34" t="str">
        <f t="shared" si="17"/>
        <v/>
      </c>
      <c r="BM6" s="34" t="str">
        <f t="shared" si="17"/>
        <v/>
      </c>
      <c r="BN6" s="33" t="str">
        <f t="shared" si="17"/>
        <v/>
      </c>
      <c r="BO6" s="34" t="str">
        <f t="shared" si="17"/>
        <v/>
      </c>
      <c r="BP6" s="34" t="str">
        <f t="shared" si="17"/>
        <v/>
      </c>
      <c r="BQ6" s="34" t="str">
        <f t="shared" si="18"/>
        <v/>
      </c>
      <c r="BR6" s="34" t="str">
        <f t="shared" si="18"/>
        <v/>
      </c>
      <c r="BS6" s="34" t="str">
        <f t="shared" si="18"/>
        <v/>
      </c>
      <c r="BT6" s="34" t="str">
        <f t="shared" si="18"/>
        <v/>
      </c>
      <c r="BU6" s="34" t="str">
        <f t="shared" si="18"/>
        <v/>
      </c>
      <c r="BV6" s="34" t="str">
        <f t="shared" si="18"/>
        <v/>
      </c>
      <c r="BW6" s="34" t="str">
        <f t="shared" si="18"/>
        <v/>
      </c>
      <c r="BX6" s="34" t="str">
        <f t="shared" si="18"/>
        <v/>
      </c>
      <c r="BY6" s="34" t="str">
        <f t="shared" si="18"/>
        <v/>
      </c>
      <c r="BZ6" s="33" t="str">
        <f t="shared" si="18"/>
        <v/>
      </c>
      <c r="CA6" s="34" t="str">
        <f t="shared" si="19"/>
        <v/>
      </c>
      <c r="CB6" s="34" t="str">
        <f t="shared" si="19"/>
        <v/>
      </c>
      <c r="CC6" s="34" t="str">
        <f t="shared" si="19"/>
        <v/>
      </c>
      <c r="CD6" s="34" t="str">
        <f t="shared" si="19"/>
        <v/>
      </c>
      <c r="CE6" s="34" t="str">
        <f t="shared" si="19"/>
        <v/>
      </c>
      <c r="CF6" s="34" t="str">
        <f t="shared" si="19"/>
        <v/>
      </c>
      <c r="CG6" s="34" t="str">
        <f t="shared" si="19"/>
        <v/>
      </c>
      <c r="CH6" s="34" t="str">
        <f t="shared" si="19"/>
        <v/>
      </c>
      <c r="CI6" s="34" t="str">
        <f t="shared" si="19"/>
        <v/>
      </c>
      <c r="CJ6" s="34" t="str">
        <f t="shared" si="19"/>
        <v/>
      </c>
      <c r="CK6" s="34" t="str">
        <f t="shared" si="20"/>
        <v/>
      </c>
      <c r="CL6" s="33" t="str">
        <f t="shared" si="20"/>
        <v/>
      </c>
      <c r="CM6" s="34" t="str">
        <f t="shared" si="20"/>
        <v/>
      </c>
      <c r="CN6" s="34" t="str">
        <f t="shared" si="20"/>
        <v/>
      </c>
      <c r="CO6" s="34" t="str">
        <f t="shared" si="20"/>
        <v/>
      </c>
      <c r="CP6" s="34" t="str">
        <f t="shared" si="20"/>
        <v/>
      </c>
      <c r="CQ6" s="34" t="str">
        <f t="shared" si="20"/>
        <v/>
      </c>
      <c r="CR6" s="34" t="str">
        <f t="shared" si="20"/>
        <v/>
      </c>
      <c r="CS6" s="34" t="str">
        <f t="shared" si="20"/>
        <v/>
      </c>
      <c r="CT6" s="34" t="str">
        <f t="shared" si="20"/>
        <v/>
      </c>
      <c r="CU6" s="34" t="str">
        <f t="shared" si="21"/>
        <v/>
      </c>
      <c r="CV6" s="34" t="str">
        <f t="shared" si="21"/>
        <v/>
      </c>
      <c r="CW6" s="34" t="str">
        <f t="shared" si="21"/>
        <v/>
      </c>
      <c r="CX6" s="33" t="str">
        <f t="shared" si="21"/>
        <v/>
      </c>
      <c r="CY6" s="34" t="str">
        <f t="shared" si="21"/>
        <v/>
      </c>
      <c r="CZ6" s="34" t="str">
        <f t="shared" si="21"/>
        <v/>
      </c>
      <c r="DA6" s="34" t="str">
        <f t="shared" si="21"/>
        <v/>
      </c>
      <c r="DB6" s="34" t="str">
        <f t="shared" si="21"/>
        <v/>
      </c>
      <c r="DC6" s="34" t="str">
        <f t="shared" si="21"/>
        <v/>
      </c>
      <c r="DD6" s="34" t="str">
        <f t="shared" si="21"/>
        <v/>
      </c>
      <c r="DE6" s="34" t="str">
        <f t="shared" si="22"/>
        <v/>
      </c>
      <c r="DF6" s="34" t="str">
        <f t="shared" si="22"/>
        <v/>
      </c>
      <c r="DG6" s="34" t="str">
        <f t="shared" si="22"/>
        <v/>
      </c>
      <c r="DH6" s="34" t="str">
        <f t="shared" si="22"/>
        <v/>
      </c>
      <c r="DI6" s="34" t="str">
        <f t="shared" si="22"/>
        <v/>
      </c>
      <c r="DJ6" s="33" t="str">
        <f t="shared" si="22"/>
        <v/>
      </c>
      <c r="DK6" s="34" t="str">
        <f t="shared" si="22"/>
        <v/>
      </c>
      <c r="DL6" s="34" t="str">
        <f t="shared" si="22"/>
        <v/>
      </c>
      <c r="DM6" s="34" t="str">
        <f t="shared" si="22"/>
        <v/>
      </c>
      <c r="DN6" s="34" t="str">
        <f t="shared" si="22"/>
        <v/>
      </c>
      <c r="DO6" s="34" t="str">
        <f t="shared" si="23"/>
        <v/>
      </c>
      <c r="DP6" s="34" t="str">
        <f t="shared" si="23"/>
        <v/>
      </c>
      <c r="DQ6" s="34" t="str">
        <f t="shared" si="23"/>
        <v/>
      </c>
      <c r="DR6" s="34" t="str">
        <f t="shared" si="23"/>
        <v/>
      </c>
      <c r="DS6" s="34" t="str">
        <f t="shared" si="23"/>
        <v/>
      </c>
      <c r="DT6" s="34" t="str">
        <f t="shared" si="23"/>
        <v/>
      </c>
      <c r="DU6" s="34" t="str">
        <f t="shared" si="23"/>
        <v/>
      </c>
      <c r="DV6" s="33" t="str">
        <f t="shared" si="23"/>
        <v/>
      </c>
      <c r="DW6" s="34" t="str">
        <f t="shared" si="23"/>
        <v/>
      </c>
      <c r="DX6" s="34" t="str">
        <f t="shared" si="23"/>
        <v/>
      </c>
      <c r="DY6" s="34" t="str">
        <f t="shared" si="24"/>
        <v/>
      </c>
      <c r="DZ6" s="34" t="str">
        <f t="shared" si="24"/>
        <v/>
      </c>
      <c r="EA6" s="34" t="str">
        <f t="shared" si="24"/>
        <v/>
      </c>
      <c r="EB6" s="34" t="str">
        <f t="shared" si="24"/>
        <v/>
      </c>
      <c r="EC6" s="34" t="str">
        <f t="shared" si="24"/>
        <v/>
      </c>
      <c r="ED6" s="34" t="str">
        <f t="shared" si="24"/>
        <v/>
      </c>
      <c r="EE6" s="34" t="str">
        <f t="shared" si="24"/>
        <v/>
      </c>
      <c r="EF6" s="34" t="str">
        <f t="shared" si="24"/>
        <v/>
      </c>
      <c r="EG6" s="34" t="str">
        <f t="shared" si="24"/>
        <v/>
      </c>
      <c r="EH6" s="33" t="str">
        <f t="shared" si="24"/>
        <v/>
      </c>
      <c r="EI6" s="34" t="str">
        <f t="shared" si="25"/>
        <v/>
      </c>
      <c r="EJ6" s="34" t="str">
        <f t="shared" si="25"/>
        <v/>
      </c>
      <c r="EK6" s="34" t="str">
        <f t="shared" si="25"/>
        <v/>
      </c>
      <c r="EL6" s="34" t="str">
        <f t="shared" si="25"/>
        <v/>
      </c>
      <c r="EM6" s="34" t="str">
        <f t="shared" si="25"/>
        <v/>
      </c>
      <c r="EN6" s="34" t="str">
        <f t="shared" si="25"/>
        <v/>
      </c>
      <c r="EO6" s="34" t="str">
        <f t="shared" si="25"/>
        <v/>
      </c>
      <c r="EP6" s="34" t="str">
        <f t="shared" si="25"/>
        <v/>
      </c>
      <c r="EQ6" s="34" t="str">
        <f t="shared" si="25"/>
        <v/>
      </c>
      <c r="ER6" s="34" t="str">
        <f t="shared" si="25"/>
        <v/>
      </c>
      <c r="ES6" s="34" t="str">
        <f t="shared" si="26"/>
        <v/>
      </c>
      <c r="ET6" s="33" t="str">
        <f t="shared" si="26"/>
        <v/>
      </c>
      <c r="EU6" s="34" t="str">
        <f t="shared" si="26"/>
        <v/>
      </c>
      <c r="EV6" s="34" t="str">
        <f t="shared" si="26"/>
        <v/>
      </c>
      <c r="EW6" s="34" t="str">
        <f t="shared" si="26"/>
        <v/>
      </c>
      <c r="EX6" s="34" t="str">
        <f t="shared" si="26"/>
        <v/>
      </c>
      <c r="EY6" s="34" t="str">
        <f t="shared" si="26"/>
        <v/>
      </c>
      <c r="EZ6" s="34" t="str">
        <f t="shared" si="26"/>
        <v/>
      </c>
      <c r="FA6" s="34" t="str">
        <f t="shared" si="26"/>
        <v/>
      </c>
      <c r="FB6" s="34" t="str">
        <f t="shared" si="26"/>
        <v/>
      </c>
      <c r="FC6" s="34" t="str">
        <f t="shared" si="26"/>
        <v/>
      </c>
      <c r="FD6" s="34" t="str">
        <f t="shared" si="26"/>
        <v/>
      </c>
      <c r="FE6" s="34" t="str">
        <f t="shared" si="26"/>
        <v/>
      </c>
      <c r="FF6" s="33" t="str">
        <f t="shared" si="26"/>
        <v/>
      </c>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row>
    <row r="7" spans="1:210">
      <c r="A7" s="35">
        <v>4</v>
      </c>
      <c r="B7" s="38" t="str">
        <f>IF('(7b) Project List'!F12&lt;&gt;"",'(7b) Project List'!F12," ")</f>
        <v xml:space="preserve"> </v>
      </c>
      <c r="C7" s="38" t="str">
        <f t="shared" si="5"/>
        <v xml:space="preserve"> </v>
      </c>
      <c r="D7" s="38" t="str">
        <f>IF('(7b) Project List'!G12&lt;&gt;"",'(7b) Project List'!G12,"")</f>
        <v/>
      </c>
      <c r="E7" s="37" t="str">
        <f t="shared" si="6"/>
        <v/>
      </c>
      <c r="F7" s="36"/>
      <c r="G7" s="36"/>
      <c r="H7" s="35">
        <f>IF('(7b) Project List'!H12&lt;&gt;"",'(7b) Project List'!H12,"")</f>
        <v>0</v>
      </c>
      <c r="I7" s="35" t="s">
        <v>132</v>
      </c>
      <c r="J7" s="17">
        <f t="shared" si="7"/>
        <v>0</v>
      </c>
      <c r="K7" s="17" t="str">
        <f>IF(OR(('(7b) Project List'!$F$5=""),('(7b) Project List'!$C12&gt;'(7b) Project List'!$F12),('(7b) Project List'!$C12&gt;'(7b) Project List'!$G12),('(7b) Project List'!$C12&gt;'(7b) Project List'!$F$5),('(7b) Project List'!$G12&lt;'(7c) Project Schedule'!$B$25),('(7b) Project List'!$F12&gt;'(7b) Project List'!$D12),('(7c) Project Schedule'!$B$25&gt;'(7b) Project List'!$D12),('(7b) Project List'!$F12&gt;'(7b) Project List'!$F$5),('(7b) Project List'!$F12&gt;'(7b) Project List'!$G12),('(7b) Project List'!$G12&gt;'(7b) Project List'!$D12)),"",COUNTIF(S7:GP7,"&gt;0"))</f>
        <v/>
      </c>
      <c r="L7" s="16" t="str">
        <f t="shared" si="8"/>
        <v xml:space="preserve"> </v>
      </c>
      <c r="N7" s="16" t="str">
        <f t="shared" si="9"/>
        <v xml:space="preserve"> </v>
      </c>
      <c r="O7" s="16" t="str">
        <f t="shared" si="10"/>
        <v xml:space="preserve"> </v>
      </c>
      <c r="P7" s="16" t="str">
        <f t="shared" si="11"/>
        <v xml:space="preserve"> </v>
      </c>
      <c r="Q7" s="16" t="str">
        <f t="shared" si="12"/>
        <v xml:space="preserve"> </v>
      </c>
      <c r="S7" s="34" t="str">
        <f t="shared" si="13"/>
        <v/>
      </c>
      <c r="T7" s="34" t="str">
        <f t="shared" si="13"/>
        <v/>
      </c>
      <c r="U7" s="34" t="str">
        <f t="shared" si="13"/>
        <v/>
      </c>
      <c r="V7" s="34" t="str">
        <f t="shared" si="13"/>
        <v/>
      </c>
      <c r="W7" s="34" t="str">
        <f t="shared" si="13"/>
        <v/>
      </c>
      <c r="X7" s="34" t="str">
        <f t="shared" si="13"/>
        <v/>
      </c>
      <c r="Y7" s="34" t="str">
        <f t="shared" si="13"/>
        <v/>
      </c>
      <c r="Z7" s="34" t="str">
        <f t="shared" si="13"/>
        <v/>
      </c>
      <c r="AA7" s="34" t="str">
        <f t="shared" si="13"/>
        <v/>
      </c>
      <c r="AB7" s="34" t="str">
        <f t="shared" si="13"/>
        <v/>
      </c>
      <c r="AC7" s="34" t="str">
        <f t="shared" si="14"/>
        <v/>
      </c>
      <c r="AD7" s="33" t="str">
        <f t="shared" si="14"/>
        <v/>
      </c>
      <c r="AE7" s="34" t="str">
        <f t="shared" si="14"/>
        <v/>
      </c>
      <c r="AF7" s="34" t="str">
        <f t="shared" si="14"/>
        <v/>
      </c>
      <c r="AG7" s="34" t="str">
        <f t="shared" si="14"/>
        <v/>
      </c>
      <c r="AH7" s="34" t="str">
        <f t="shared" si="14"/>
        <v/>
      </c>
      <c r="AI7" s="34" t="str">
        <f t="shared" si="14"/>
        <v/>
      </c>
      <c r="AJ7" s="34" t="str">
        <f t="shared" si="14"/>
        <v/>
      </c>
      <c r="AK7" s="34" t="str">
        <f t="shared" si="14"/>
        <v/>
      </c>
      <c r="AL7" s="34" t="str">
        <f t="shared" si="14"/>
        <v/>
      </c>
      <c r="AM7" s="34" t="str">
        <f t="shared" si="15"/>
        <v/>
      </c>
      <c r="AN7" s="34" t="str">
        <f t="shared" si="15"/>
        <v/>
      </c>
      <c r="AO7" s="34" t="str">
        <f t="shared" si="15"/>
        <v/>
      </c>
      <c r="AP7" s="33" t="str">
        <f t="shared" si="15"/>
        <v/>
      </c>
      <c r="AQ7" s="34" t="str">
        <f t="shared" si="15"/>
        <v/>
      </c>
      <c r="AR7" s="34" t="str">
        <f t="shared" si="15"/>
        <v/>
      </c>
      <c r="AS7" s="34" t="str">
        <f t="shared" si="15"/>
        <v/>
      </c>
      <c r="AT7" s="34" t="str">
        <f t="shared" si="15"/>
        <v/>
      </c>
      <c r="AU7" s="34" t="str">
        <f t="shared" si="15"/>
        <v/>
      </c>
      <c r="AV7" s="34" t="str">
        <f t="shared" si="15"/>
        <v/>
      </c>
      <c r="AW7" s="34" t="str">
        <f t="shared" si="16"/>
        <v/>
      </c>
      <c r="AX7" s="34" t="str">
        <f t="shared" si="16"/>
        <v/>
      </c>
      <c r="AY7" s="34" t="str">
        <f t="shared" si="16"/>
        <v/>
      </c>
      <c r="AZ7" s="34" t="str">
        <f t="shared" si="16"/>
        <v/>
      </c>
      <c r="BA7" s="34" t="str">
        <f t="shared" si="16"/>
        <v/>
      </c>
      <c r="BB7" s="33" t="str">
        <f t="shared" si="16"/>
        <v/>
      </c>
      <c r="BC7" s="34" t="str">
        <f t="shared" si="16"/>
        <v/>
      </c>
      <c r="BD7" s="34" t="str">
        <f t="shared" si="16"/>
        <v/>
      </c>
      <c r="BE7" s="34" t="str">
        <f t="shared" si="16"/>
        <v/>
      </c>
      <c r="BF7" s="34" t="str">
        <f t="shared" si="16"/>
        <v/>
      </c>
      <c r="BG7" s="34" t="str">
        <f t="shared" si="17"/>
        <v/>
      </c>
      <c r="BH7" s="34" t="str">
        <f t="shared" si="17"/>
        <v/>
      </c>
      <c r="BI7" s="34" t="str">
        <f t="shared" si="17"/>
        <v/>
      </c>
      <c r="BJ7" s="34" t="str">
        <f t="shared" si="17"/>
        <v/>
      </c>
      <c r="BK7" s="34" t="str">
        <f t="shared" si="17"/>
        <v/>
      </c>
      <c r="BL7" s="34" t="str">
        <f t="shared" si="17"/>
        <v/>
      </c>
      <c r="BM7" s="34" t="str">
        <f t="shared" si="17"/>
        <v/>
      </c>
      <c r="BN7" s="33" t="str">
        <f t="shared" si="17"/>
        <v/>
      </c>
      <c r="BO7" s="34" t="str">
        <f t="shared" si="17"/>
        <v/>
      </c>
      <c r="BP7" s="34" t="str">
        <f t="shared" si="17"/>
        <v/>
      </c>
      <c r="BQ7" s="34" t="str">
        <f t="shared" si="18"/>
        <v/>
      </c>
      <c r="BR7" s="34" t="str">
        <f t="shared" si="18"/>
        <v/>
      </c>
      <c r="BS7" s="34" t="str">
        <f t="shared" si="18"/>
        <v/>
      </c>
      <c r="BT7" s="34" t="str">
        <f t="shared" si="18"/>
        <v/>
      </c>
      <c r="BU7" s="34" t="str">
        <f t="shared" si="18"/>
        <v/>
      </c>
      <c r="BV7" s="34" t="str">
        <f t="shared" si="18"/>
        <v/>
      </c>
      <c r="BW7" s="34" t="str">
        <f t="shared" si="18"/>
        <v/>
      </c>
      <c r="BX7" s="34" t="str">
        <f t="shared" si="18"/>
        <v/>
      </c>
      <c r="BY7" s="34" t="str">
        <f t="shared" si="18"/>
        <v/>
      </c>
      <c r="BZ7" s="33" t="str">
        <f t="shared" si="18"/>
        <v/>
      </c>
      <c r="CA7" s="34" t="str">
        <f t="shared" si="19"/>
        <v/>
      </c>
      <c r="CB7" s="34" t="str">
        <f t="shared" si="19"/>
        <v/>
      </c>
      <c r="CC7" s="34" t="str">
        <f t="shared" si="19"/>
        <v/>
      </c>
      <c r="CD7" s="34" t="str">
        <f t="shared" si="19"/>
        <v/>
      </c>
      <c r="CE7" s="34" t="str">
        <f t="shared" si="19"/>
        <v/>
      </c>
      <c r="CF7" s="34" t="str">
        <f t="shared" si="19"/>
        <v/>
      </c>
      <c r="CG7" s="34" t="str">
        <f t="shared" si="19"/>
        <v/>
      </c>
      <c r="CH7" s="34" t="str">
        <f t="shared" si="19"/>
        <v/>
      </c>
      <c r="CI7" s="34" t="str">
        <f t="shared" si="19"/>
        <v/>
      </c>
      <c r="CJ7" s="34" t="str">
        <f t="shared" si="19"/>
        <v/>
      </c>
      <c r="CK7" s="34" t="str">
        <f t="shared" si="20"/>
        <v/>
      </c>
      <c r="CL7" s="33" t="str">
        <f t="shared" si="20"/>
        <v/>
      </c>
      <c r="CM7" s="34" t="str">
        <f t="shared" si="20"/>
        <v/>
      </c>
      <c r="CN7" s="34" t="str">
        <f t="shared" si="20"/>
        <v/>
      </c>
      <c r="CO7" s="34" t="str">
        <f t="shared" si="20"/>
        <v/>
      </c>
      <c r="CP7" s="34" t="str">
        <f t="shared" si="20"/>
        <v/>
      </c>
      <c r="CQ7" s="34" t="str">
        <f t="shared" si="20"/>
        <v/>
      </c>
      <c r="CR7" s="34" t="str">
        <f t="shared" si="20"/>
        <v/>
      </c>
      <c r="CS7" s="34" t="str">
        <f t="shared" si="20"/>
        <v/>
      </c>
      <c r="CT7" s="34" t="str">
        <f t="shared" si="20"/>
        <v/>
      </c>
      <c r="CU7" s="34" t="str">
        <f t="shared" si="21"/>
        <v/>
      </c>
      <c r="CV7" s="34" t="str">
        <f t="shared" si="21"/>
        <v/>
      </c>
      <c r="CW7" s="34" t="str">
        <f t="shared" si="21"/>
        <v/>
      </c>
      <c r="CX7" s="33" t="str">
        <f t="shared" si="21"/>
        <v/>
      </c>
      <c r="CY7" s="34" t="str">
        <f t="shared" si="21"/>
        <v/>
      </c>
      <c r="CZ7" s="34" t="str">
        <f t="shared" si="21"/>
        <v/>
      </c>
      <c r="DA7" s="34" t="str">
        <f t="shared" si="21"/>
        <v/>
      </c>
      <c r="DB7" s="34" t="str">
        <f t="shared" si="21"/>
        <v/>
      </c>
      <c r="DC7" s="34" t="str">
        <f t="shared" si="21"/>
        <v/>
      </c>
      <c r="DD7" s="34" t="str">
        <f t="shared" si="21"/>
        <v/>
      </c>
      <c r="DE7" s="34" t="str">
        <f t="shared" si="22"/>
        <v/>
      </c>
      <c r="DF7" s="34" t="str">
        <f t="shared" si="22"/>
        <v/>
      </c>
      <c r="DG7" s="34" t="str">
        <f t="shared" si="22"/>
        <v/>
      </c>
      <c r="DH7" s="34" t="str">
        <f t="shared" si="22"/>
        <v/>
      </c>
      <c r="DI7" s="34" t="str">
        <f t="shared" si="22"/>
        <v/>
      </c>
      <c r="DJ7" s="33" t="str">
        <f t="shared" si="22"/>
        <v/>
      </c>
      <c r="DK7" s="34" t="str">
        <f t="shared" si="22"/>
        <v/>
      </c>
      <c r="DL7" s="34" t="str">
        <f t="shared" si="22"/>
        <v/>
      </c>
      <c r="DM7" s="34" t="str">
        <f t="shared" si="22"/>
        <v/>
      </c>
      <c r="DN7" s="34" t="str">
        <f t="shared" si="22"/>
        <v/>
      </c>
      <c r="DO7" s="34" t="str">
        <f t="shared" si="23"/>
        <v/>
      </c>
      <c r="DP7" s="34" t="str">
        <f t="shared" si="23"/>
        <v/>
      </c>
      <c r="DQ7" s="34" t="str">
        <f t="shared" si="23"/>
        <v/>
      </c>
      <c r="DR7" s="34" t="str">
        <f t="shared" si="23"/>
        <v/>
      </c>
      <c r="DS7" s="34" t="str">
        <f t="shared" si="23"/>
        <v/>
      </c>
      <c r="DT7" s="34" t="str">
        <f t="shared" si="23"/>
        <v/>
      </c>
      <c r="DU7" s="34" t="str">
        <f t="shared" si="23"/>
        <v/>
      </c>
      <c r="DV7" s="33" t="str">
        <f t="shared" si="23"/>
        <v/>
      </c>
      <c r="DW7" s="34" t="str">
        <f t="shared" si="23"/>
        <v/>
      </c>
      <c r="DX7" s="34" t="str">
        <f t="shared" si="23"/>
        <v/>
      </c>
      <c r="DY7" s="34" t="str">
        <f t="shared" si="24"/>
        <v/>
      </c>
      <c r="DZ7" s="34" t="str">
        <f t="shared" si="24"/>
        <v/>
      </c>
      <c r="EA7" s="34" t="str">
        <f t="shared" si="24"/>
        <v/>
      </c>
      <c r="EB7" s="34" t="str">
        <f t="shared" si="24"/>
        <v/>
      </c>
      <c r="EC7" s="34" t="str">
        <f t="shared" si="24"/>
        <v/>
      </c>
      <c r="ED7" s="34" t="str">
        <f t="shared" si="24"/>
        <v/>
      </c>
      <c r="EE7" s="34" t="str">
        <f t="shared" si="24"/>
        <v/>
      </c>
      <c r="EF7" s="34" t="str">
        <f t="shared" si="24"/>
        <v/>
      </c>
      <c r="EG7" s="34" t="str">
        <f t="shared" si="24"/>
        <v/>
      </c>
      <c r="EH7" s="33" t="str">
        <f t="shared" si="24"/>
        <v/>
      </c>
      <c r="EI7" s="34" t="str">
        <f t="shared" si="25"/>
        <v/>
      </c>
      <c r="EJ7" s="34" t="str">
        <f t="shared" si="25"/>
        <v/>
      </c>
      <c r="EK7" s="34" t="str">
        <f t="shared" si="25"/>
        <v/>
      </c>
      <c r="EL7" s="34" t="str">
        <f t="shared" si="25"/>
        <v/>
      </c>
      <c r="EM7" s="34" t="str">
        <f t="shared" si="25"/>
        <v/>
      </c>
      <c r="EN7" s="34" t="str">
        <f t="shared" si="25"/>
        <v/>
      </c>
      <c r="EO7" s="34" t="str">
        <f t="shared" si="25"/>
        <v/>
      </c>
      <c r="EP7" s="34" t="str">
        <f t="shared" si="25"/>
        <v/>
      </c>
      <c r="EQ7" s="34" t="str">
        <f t="shared" si="25"/>
        <v/>
      </c>
      <c r="ER7" s="34" t="str">
        <f t="shared" si="25"/>
        <v/>
      </c>
      <c r="ES7" s="34" t="str">
        <f t="shared" si="26"/>
        <v/>
      </c>
      <c r="ET7" s="33" t="str">
        <f t="shared" si="26"/>
        <v/>
      </c>
      <c r="EU7" s="34" t="str">
        <f t="shared" si="26"/>
        <v/>
      </c>
      <c r="EV7" s="34" t="str">
        <f t="shared" si="26"/>
        <v/>
      </c>
      <c r="EW7" s="34" t="str">
        <f t="shared" si="26"/>
        <v/>
      </c>
      <c r="EX7" s="34" t="str">
        <f t="shared" si="26"/>
        <v/>
      </c>
      <c r="EY7" s="34" t="str">
        <f t="shared" si="26"/>
        <v/>
      </c>
      <c r="EZ7" s="34" t="str">
        <f t="shared" si="26"/>
        <v/>
      </c>
      <c r="FA7" s="34" t="str">
        <f t="shared" si="26"/>
        <v/>
      </c>
      <c r="FB7" s="34" t="str">
        <f t="shared" si="26"/>
        <v/>
      </c>
      <c r="FC7" s="34" t="str">
        <f t="shared" si="26"/>
        <v/>
      </c>
      <c r="FD7" s="34" t="str">
        <f t="shared" si="26"/>
        <v/>
      </c>
      <c r="FE7" s="34" t="str">
        <f t="shared" si="26"/>
        <v/>
      </c>
      <c r="FF7" s="33" t="str">
        <f t="shared" si="26"/>
        <v/>
      </c>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row>
    <row r="8" spans="1:210">
      <c r="A8" s="35">
        <v>5</v>
      </c>
      <c r="B8" s="38" t="str">
        <f>IF('(7b) Project List'!F13&lt;&gt;"",'(7b) Project List'!F13," ")</f>
        <v xml:space="preserve"> </v>
      </c>
      <c r="C8" s="38" t="str">
        <f t="shared" si="5"/>
        <v xml:space="preserve"> </v>
      </c>
      <c r="D8" s="38" t="str">
        <f>IF('(7b) Project List'!G13&lt;&gt;"",'(7b) Project List'!G13,"")</f>
        <v/>
      </c>
      <c r="E8" s="37" t="str">
        <f t="shared" si="6"/>
        <v/>
      </c>
      <c r="F8" s="36"/>
      <c r="G8" s="36"/>
      <c r="H8" s="35">
        <f>IF('(7b) Project List'!H13&lt;&gt;"",'(7b) Project List'!H13,"")</f>
        <v>0</v>
      </c>
      <c r="I8" s="35">
        <f>IF('(7b) Project List'!I13&lt;&gt;"",'(7b) Project List'!I13,"")</f>
        <v>0</v>
      </c>
      <c r="J8" s="17">
        <f t="shared" si="7"/>
        <v>0</v>
      </c>
      <c r="K8" s="17" t="str">
        <f>IF(OR(('(7b) Project List'!$F$5=""),('(7b) Project List'!$C13&gt;'(7b) Project List'!$F13),('(7b) Project List'!$C13&gt;'(7b) Project List'!$G13),('(7b) Project List'!$C13&gt;'(7b) Project List'!$F$5),('(7b) Project List'!$G13&lt;'(7c) Project Schedule'!$B$25),('(7b) Project List'!$F13&gt;'(7b) Project List'!$D13),('(7c) Project Schedule'!$B$25&gt;'(7b) Project List'!$D13),('(7b) Project List'!$F13&gt;'(7b) Project List'!$F$5),('(7b) Project List'!$F13&gt;'(7b) Project List'!$G13),('(7b) Project List'!$G13&gt;'(7b) Project List'!$D13)),"",COUNTIF(S8:GP8,"&gt;0"))</f>
        <v/>
      </c>
      <c r="L8" s="16" t="str">
        <f t="shared" si="8"/>
        <v xml:space="preserve"> </v>
      </c>
      <c r="N8" s="16" t="str">
        <f t="shared" si="9"/>
        <v xml:space="preserve"> </v>
      </c>
      <c r="O8" s="16" t="str">
        <f t="shared" si="10"/>
        <v xml:space="preserve"> </v>
      </c>
      <c r="P8" s="16" t="str">
        <f t="shared" si="11"/>
        <v xml:space="preserve"> </v>
      </c>
      <c r="Q8" s="16" t="str">
        <f t="shared" si="12"/>
        <v xml:space="preserve"> </v>
      </c>
      <c r="S8" s="34" t="str">
        <f t="shared" si="13"/>
        <v/>
      </c>
      <c r="T8" s="34" t="str">
        <f t="shared" si="13"/>
        <v/>
      </c>
      <c r="U8" s="34" t="str">
        <f t="shared" si="13"/>
        <v/>
      </c>
      <c r="V8" s="34" t="str">
        <f t="shared" si="13"/>
        <v/>
      </c>
      <c r="W8" s="34" t="str">
        <f t="shared" si="13"/>
        <v/>
      </c>
      <c r="X8" s="34" t="str">
        <f t="shared" si="13"/>
        <v/>
      </c>
      <c r="Y8" s="34" t="str">
        <f t="shared" si="13"/>
        <v/>
      </c>
      <c r="Z8" s="34" t="str">
        <f t="shared" si="13"/>
        <v/>
      </c>
      <c r="AA8" s="34" t="str">
        <f t="shared" si="13"/>
        <v/>
      </c>
      <c r="AB8" s="34" t="str">
        <f t="shared" si="13"/>
        <v/>
      </c>
      <c r="AC8" s="34" t="str">
        <f t="shared" si="14"/>
        <v/>
      </c>
      <c r="AD8" s="33" t="str">
        <f t="shared" si="14"/>
        <v/>
      </c>
      <c r="AE8" s="34" t="str">
        <f t="shared" si="14"/>
        <v/>
      </c>
      <c r="AF8" s="34" t="str">
        <f t="shared" si="14"/>
        <v/>
      </c>
      <c r="AG8" s="34" t="str">
        <f t="shared" si="14"/>
        <v/>
      </c>
      <c r="AH8" s="34" t="str">
        <f t="shared" si="14"/>
        <v/>
      </c>
      <c r="AI8" s="34" t="str">
        <f t="shared" si="14"/>
        <v/>
      </c>
      <c r="AJ8" s="34" t="str">
        <f t="shared" si="14"/>
        <v/>
      </c>
      <c r="AK8" s="34" t="str">
        <f t="shared" si="14"/>
        <v/>
      </c>
      <c r="AL8" s="34" t="str">
        <f t="shared" si="14"/>
        <v/>
      </c>
      <c r="AM8" s="34" t="str">
        <f t="shared" si="15"/>
        <v/>
      </c>
      <c r="AN8" s="34" t="str">
        <f t="shared" si="15"/>
        <v/>
      </c>
      <c r="AO8" s="34" t="str">
        <f t="shared" si="15"/>
        <v/>
      </c>
      <c r="AP8" s="33" t="str">
        <f t="shared" si="15"/>
        <v/>
      </c>
      <c r="AQ8" s="34" t="str">
        <f t="shared" si="15"/>
        <v/>
      </c>
      <c r="AR8" s="34" t="str">
        <f t="shared" si="15"/>
        <v/>
      </c>
      <c r="AS8" s="34" t="str">
        <f t="shared" si="15"/>
        <v/>
      </c>
      <c r="AT8" s="34" t="str">
        <f t="shared" si="15"/>
        <v/>
      </c>
      <c r="AU8" s="34" t="str">
        <f t="shared" si="15"/>
        <v/>
      </c>
      <c r="AV8" s="34" t="str">
        <f t="shared" si="15"/>
        <v/>
      </c>
      <c r="AW8" s="34" t="str">
        <f t="shared" si="16"/>
        <v/>
      </c>
      <c r="AX8" s="34" t="str">
        <f t="shared" si="16"/>
        <v/>
      </c>
      <c r="AY8" s="34" t="str">
        <f t="shared" si="16"/>
        <v/>
      </c>
      <c r="AZ8" s="34" t="str">
        <f t="shared" si="16"/>
        <v/>
      </c>
      <c r="BA8" s="34" t="str">
        <f t="shared" si="16"/>
        <v/>
      </c>
      <c r="BB8" s="33" t="str">
        <f t="shared" si="16"/>
        <v/>
      </c>
      <c r="BC8" s="34" t="str">
        <f t="shared" si="16"/>
        <v/>
      </c>
      <c r="BD8" s="34" t="str">
        <f t="shared" si="16"/>
        <v/>
      </c>
      <c r="BE8" s="34" t="str">
        <f t="shared" si="16"/>
        <v/>
      </c>
      <c r="BF8" s="34" t="str">
        <f t="shared" si="16"/>
        <v/>
      </c>
      <c r="BG8" s="34" t="str">
        <f t="shared" si="17"/>
        <v/>
      </c>
      <c r="BH8" s="34" t="str">
        <f t="shared" si="17"/>
        <v/>
      </c>
      <c r="BI8" s="34" t="str">
        <f t="shared" si="17"/>
        <v/>
      </c>
      <c r="BJ8" s="34" t="str">
        <f t="shared" si="17"/>
        <v/>
      </c>
      <c r="BK8" s="34" t="str">
        <f t="shared" si="17"/>
        <v/>
      </c>
      <c r="BL8" s="34" t="str">
        <f t="shared" si="17"/>
        <v/>
      </c>
      <c r="BM8" s="34" t="str">
        <f t="shared" si="17"/>
        <v/>
      </c>
      <c r="BN8" s="33" t="str">
        <f t="shared" si="17"/>
        <v/>
      </c>
      <c r="BO8" s="34" t="str">
        <f t="shared" si="17"/>
        <v/>
      </c>
      <c r="BP8" s="34" t="str">
        <f t="shared" si="17"/>
        <v/>
      </c>
      <c r="BQ8" s="34" t="str">
        <f t="shared" si="18"/>
        <v/>
      </c>
      <c r="BR8" s="34" t="str">
        <f t="shared" si="18"/>
        <v/>
      </c>
      <c r="BS8" s="34" t="str">
        <f t="shared" si="18"/>
        <v/>
      </c>
      <c r="BT8" s="34" t="str">
        <f t="shared" si="18"/>
        <v/>
      </c>
      <c r="BU8" s="34" t="str">
        <f t="shared" si="18"/>
        <v/>
      </c>
      <c r="BV8" s="34" t="str">
        <f t="shared" si="18"/>
        <v/>
      </c>
      <c r="BW8" s="34" t="str">
        <f t="shared" si="18"/>
        <v/>
      </c>
      <c r="BX8" s="34" t="str">
        <f t="shared" si="18"/>
        <v/>
      </c>
      <c r="BY8" s="34" t="str">
        <f t="shared" si="18"/>
        <v/>
      </c>
      <c r="BZ8" s="33" t="str">
        <f t="shared" si="18"/>
        <v/>
      </c>
      <c r="CA8" s="34" t="str">
        <f t="shared" si="19"/>
        <v/>
      </c>
      <c r="CB8" s="34" t="str">
        <f t="shared" si="19"/>
        <v/>
      </c>
      <c r="CC8" s="34" t="str">
        <f t="shared" si="19"/>
        <v/>
      </c>
      <c r="CD8" s="34" t="str">
        <f t="shared" si="19"/>
        <v/>
      </c>
      <c r="CE8" s="34" t="str">
        <f t="shared" si="19"/>
        <v/>
      </c>
      <c r="CF8" s="34" t="str">
        <f t="shared" si="19"/>
        <v/>
      </c>
      <c r="CG8" s="34" t="str">
        <f t="shared" si="19"/>
        <v/>
      </c>
      <c r="CH8" s="34" t="str">
        <f t="shared" si="19"/>
        <v/>
      </c>
      <c r="CI8" s="34" t="str">
        <f t="shared" si="19"/>
        <v/>
      </c>
      <c r="CJ8" s="34" t="str">
        <f t="shared" si="19"/>
        <v/>
      </c>
      <c r="CK8" s="34" t="str">
        <f t="shared" si="20"/>
        <v/>
      </c>
      <c r="CL8" s="33" t="str">
        <f t="shared" si="20"/>
        <v/>
      </c>
      <c r="CM8" s="34" t="str">
        <f t="shared" si="20"/>
        <v/>
      </c>
      <c r="CN8" s="34" t="str">
        <f t="shared" si="20"/>
        <v/>
      </c>
      <c r="CO8" s="34" t="str">
        <f t="shared" si="20"/>
        <v/>
      </c>
      <c r="CP8" s="34" t="str">
        <f t="shared" si="20"/>
        <v/>
      </c>
      <c r="CQ8" s="34" t="str">
        <f t="shared" si="20"/>
        <v/>
      </c>
      <c r="CR8" s="34" t="str">
        <f t="shared" si="20"/>
        <v/>
      </c>
      <c r="CS8" s="34" t="str">
        <f t="shared" si="20"/>
        <v/>
      </c>
      <c r="CT8" s="34" t="str">
        <f t="shared" si="20"/>
        <v/>
      </c>
      <c r="CU8" s="34" t="str">
        <f t="shared" si="21"/>
        <v/>
      </c>
      <c r="CV8" s="34" t="str">
        <f t="shared" si="21"/>
        <v/>
      </c>
      <c r="CW8" s="34" t="str">
        <f t="shared" si="21"/>
        <v/>
      </c>
      <c r="CX8" s="33" t="str">
        <f t="shared" si="21"/>
        <v/>
      </c>
      <c r="CY8" s="34" t="str">
        <f t="shared" si="21"/>
        <v/>
      </c>
      <c r="CZ8" s="34" t="str">
        <f t="shared" si="21"/>
        <v/>
      </c>
      <c r="DA8" s="34" t="str">
        <f t="shared" si="21"/>
        <v/>
      </c>
      <c r="DB8" s="34" t="str">
        <f t="shared" si="21"/>
        <v/>
      </c>
      <c r="DC8" s="34" t="str">
        <f t="shared" si="21"/>
        <v/>
      </c>
      <c r="DD8" s="34" t="str">
        <f t="shared" si="21"/>
        <v/>
      </c>
      <c r="DE8" s="34" t="str">
        <f t="shared" si="22"/>
        <v/>
      </c>
      <c r="DF8" s="34" t="str">
        <f t="shared" si="22"/>
        <v/>
      </c>
      <c r="DG8" s="34" t="str">
        <f t="shared" si="22"/>
        <v/>
      </c>
      <c r="DH8" s="34" t="str">
        <f t="shared" si="22"/>
        <v/>
      </c>
      <c r="DI8" s="34" t="str">
        <f t="shared" si="22"/>
        <v/>
      </c>
      <c r="DJ8" s="33" t="str">
        <f t="shared" si="22"/>
        <v/>
      </c>
      <c r="DK8" s="34" t="str">
        <f t="shared" si="22"/>
        <v/>
      </c>
      <c r="DL8" s="34" t="str">
        <f t="shared" si="22"/>
        <v/>
      </c>
      <c r="DM8" s="34" t="str">
        <f t="shared" si="22"/>
        <v/>
      </c>
      <c r="DN8" s="34" t="str">
        <f t="shared" si="22"/>
        <v/>
      </c>
      <c r="DO8" s="34" t="str">
        <f t="shared" si="23"/>
        <v/>
      </c>
      <c r="DP8" s="34" t="str">
        <f t="shared" si="23"/>
        <v/>
      </c>
      <c r="DQ8" s="34" t="str">
        <f t="shared" si="23"/>
        <v/>
      </c>
      <c r="DR8" s="34" t="str">
        <f t="shared" si="23"/>
        <v/>
      </c>
      <c r="DS8" s="34" t="str">
        <f t="shared" si="23"/>
        <v/>
      </c>
      <c r="DT8" s="34" t="str">
        <f t="shared" si="23"/>
        <v/>
      </c>
      <c r="DU8" s="34" t="str">
        <f t="shared" si="23"/>
        <v/>
      </c>
      <c r="DV8" s="33" t="str">
        <f t="shared" si="23"/>
        <v/>
      </c>
      <c r="DW8" s="34" t="str">
        <f t="shared" si="23"/>
        <v/>
      </c>
      <c r="DX8" s="34" t="str">
        <f t="shared" si="23"/>
        <v/>
      </c>
      <c r="DY8" s="34" t="str">
        <f t="shared" si="24"/>
        <v/>
      </c>
      <c r="DZ8" s="34" t="str">
        <f t="shared" si="24"/>
        <v/>
      </c>
      <c r="EA8" s="34" t="str">
        <f t="shared" si="24"/>
        <v/>
      </c>
      <c r="EB8" s="34" t="str">
        <f t="shared" si="24"/>
        <v/>
      </c>
      <c r="EC8" s="34" t="str">
        <f t="shared" si="24"/>
        <v/>
      </c>
      <c r="ED8" s="34" t="str">
        <f t="shared" si="24"/>
        <v/>
      </c>
      <c r="EE8" s="34" t="str">
        <f t="shared" si="24"/>
        <v/>
      </c>
      <c r="EF8" s="34" t="str">
        <f t="shared" si="24"/>
        <v/>
      </c>
      <c r="EG8" s="34" t="str">
        <f t="shared" si="24"/>
        <v/>
      </c>
      <c r="EH8" s="33" t="str">
        <f t="shared" si="24"/>
        <v/>
      </c>
      <c r="EI8" s="34" t="str">
        <f t="shared" si="25"/>
        <v/>
      </c>
      <c r="EJ8" s="34" t="str">
        <f t="shared" si="25"/>
        <v/>
      </c>
      <c r="EK8" s="34" t="str">
        <f t="shared" si="25"/>
        <v/>
      </c>
      <c r="EL8" s="34" t="str">
        <f t="shared" si="25"/>
        <v/>
      </c>
      <c r="EM8" s="34" t="str">
        <f t="shared" si="25"/>
        <v/>
      </c>
      <c r="EN8" s="34" t="str">
        <f t="shared" si="25"/>
        <v/>
      </c>
      <c r="EO8" s="34" t="str">
        <f t="shared" si="25"/>
        <v/>
      </c>
      <c r="EP8" s="34" t="str">
        <f t="shared" si="25"/>
        <v/>
      </c>
      <c r="EQ8" s="34" t="str">
        <f t="shared" si="25"/>
        <v/>
      </c>
      <c r="ER8" s="34" t="str">
        <f t="shared" si="25"/>
        <v/>
      </c>
      <c r="ES8" s="34" t="str">
        <f t="shared" si="26"/>
        <v/>
      </c>
      <c r="ET8" s="33" t="str">
        <f t="shared" si="26"/>
        <v/>
      </c>
      <c r="EU8" s="34" t="str">
        <f t="shared" si="26"/>
        <v/>
      </c>
      <c r="EV8" s="34" t="str">
        <f t="shared" si="26"/>
        <v/>
      </c>
      <c r="EW8" s="34" t="str">
        <f t="shared" si="26"/>
        <v/>
      </c>
      <c r="EX8" s="34" t="str">
        <f t="shared" si="26"/>
        <v/>
      </c>
      <c r="EY8" s="34" t="str">
        <f t="shared" si="26"/>
        <v/>
      </c>
      <c r="EZ8" s="34" t="str">
        <f t="shared" si="26"/>
        <v/>
      </c>
      <c r="FA8" s="34" t="str">
        <f t="shared" si="26"/>
        <v/>
      </c>
      <c r="FB8" s="34" t="str">
        <f t="shared" si="26"/>
        <v/>
      </c>
      <c r="FC8" s="34" t="str">
        <f t="shared" si="26"/>
        <v/>
      </c>
      <c r="FD8" s="34" t="str">
        <f t="shared" si="26"/>
        <v/>
      </c>
      <c r="FE8" s="34" t="str">
        <f t="shared" si="26"/>
        <v/>
      </c>
      <c r="FF8" s="33" t="str">
        <f t="shared" si="26"/>
        <v/>
      </c>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row>
    <row r="9" spans="1:210">
      <c r="A9" s="35">
        <v>6</v>
      </c>
      <c r="B9" s="38" t="str">
        <f>IF('(7b) Project List'!F14&lt;&gt;"",'(7b) Project List'!F14," ")</f>
        <v xml:space="preserve"> </v>
      </c>
      <c r="C9" s="38" t="str">
        <f t="shared" si="5"/>
        <v xml:space="preserve"> </v>
      </c>
      <c r="D9" s="38" t="str">
        <f>IF('(7b) Project List'!G14&lt;&gt;"",'(7b) Project List'!G14,"")</f>
        <v/>
      </c>
      <c r="E9" s="37" t="str">
        <f t="shared" si="6"/>
        <v/>
      </c>
      <c r="F9" s="36"/>
      <c r="G9" s="36"/>
      <c r="H9" s="35">
        <f>IF('(7b) Project List'!H14&lt;&gt;"",'(7b) Project List'!H14,"")</f>
        <v>0</v>
      </c>
      <c r="I9" s="35"/>
      <c r="J9" s="17">
        <f t="shared" si="7"/>
        <v>0</v>
      </c>
      <c r="K9" s="17" t="str">
        <f>IF(OR(('(7b) Project List'!$F$5=""),('(7b) Project List'!$C14&gt;'(7b) Project List'!$F14),('(7b) Project List'!$C14&gt;'(7b) Project List'!$G14),('(7b) Project List'!$C14&gt;'(7b) Project List'!$F$5),('(7b) Project List'!$G14&lt;'(7c) Project Schedule'!$B$25),('(7b) Project List'!$F14&gt;'(7b) Project List'!$D14),('(7c) Project Schedule'!$B$25&gt;'(7b) Project List'!$D14),('(7b) Project List'!$F14&gt;'(7b) Project List'!$F$5),('(7b) Project List'!$F14&gt;'(7b) Project List'!$G14),('(7b) Project List'!$G14&gt;'(7b) Project List'!$D14)),"",COUNTIF(S9:GP9,"&gt;0"))</f>
        <v/>
      </c>
      <c r="L9" s="16" t="str">
        <f t="shared" si="8"/>
        <v xml:space="preserve"> </v>
      </c>
      <c r="N9" s="16" t="str">
        <f t="shared" si="9"/>
        <v xml:space="preserve"> </v>
      </c>
      <c r="O9" s="16" t="str">
        <f t="shared" si="10"/>
        <v xml:space="preserve"> </v>
      </c>
      <c r="P9" s="16" t="str">
        <f t="shared" si="11"/>
        <v xml:space="preserve"> </v>
      </c>
      <c r="Q9" s="16" t="str">
        <f t="shared" si="12"/>
        <v xml:space="preserve"> </v>
      </c>
      <c r="S9" s="34" t="str">
        <f t="shared" si="13"/>
        <v/>
      </c>
      <c r="T9" s="34" t="str">
        <f t="shared" si="13"/>
        <v/>
      </c>
      <c r="U9" s="34" t="str">
        <f t="shared" si="13"/>
        <v/>
      </c>
      <c r="V9" s="34" t="str">
        <f t="shared" si="13"/>
        <v/>
      </c>
      <c r="W9" s="34" t="str">
        <f t="shared" si="13"/>
        <v/>
      </c>
      <c r="X9" s="34" t="str">
        <f t="shared" si="13"/>
        <v/>
      </c>
      <c r="Y9" s="34" t="str">
        <f t="shared" si="13"/>
        <v/>
      </c>
      <c r="Z9" s="34" t="str">
        <f t="shared" si="13"/>
        <v/>
      </c>
      <c r="AA9" s="34" t="str">
        <f t="shared" si="13"/>
        <v/>
      </c>
      <c r="AB9" s="34" t="str">
        <f t="shared" si="13"/>
        <v/>
      </c>
      <c r="AC9" s="34" t="str">
        <f t="shared" si="14"/>
        <v/>
      </c>
      <c r="AD9" s="33" t="str">
        <f t="shared" si="14"/>
        <v/>
      </c>
      <c r="AE9" s="34" t="str">
        <f t="shared" si="14"/>
        <v/>
      </c>
      <c r="AF9" s="34" t="str">
        <f t="shared" si="14"/>
        <v/>
      </c>
      <c r="AG9" s="34" t="str">
        <f t="shared" si="14"/>
        <v/>
      </c>
      <c r="AH9" s="34" t="str">
        <f t="shared" si="14"/>
        <v/>
      </c>
      <c r="AI9" s="34" t="str">
        <f t="shared" si="14"/>
        <v/>
      </c>
      <c r="AJ9" s="34" t="str">
        <f t="shared" si="14"/>
        <v/>
      </c>
      <c r="AK9" s="34" t="str">
        <f t="shared" si="14"/>
        <v/>
      </c>
      <c r="AL9" s="34" t="str">
        <f t="shared" si="14"/>
        <v/>
      </c>
      <c r="AM9" s="34" t="str">
        <f t="shared" si="15"/>
        <v/>
      </c>
      <c r="AN9" s="34" t="str">
        <f t="shared" si="15"/>
        <v/>
      </c>
      <c r="AO9" s="34" t="str">
        <f t="shared" si="15"/>
        <v/>
      </c>
      <c r="AP9" s="33" t="str">
        <f t="shared" si="15"/>
        <v/>
      </c>
      <c r="AQ9" s="34" t="str">
        <f t="shared" si="15"/>
        <v/>
      </c>
      <c r="AR9" s="34" t="str">
        <f t="shared" si="15"/>
        <v/>
      </c>
      <c r="AS9" s="34" t="str">
        <f t="shared" si="15"/>
        <v/>
      </c>
      <c r="AT9" s="34" t="str">
        <f t="shared" si="15"/>
        <v/>
      </c>
      <c r="AU9" s="34" t="str">
        <f t="shared" si="15"/>
        <v/>
      </c>
      <c r="AV9" s="34" t="str">
        <f t="shared" si="15"/>
        <v/>
      </c>
      <c r="AW9" s="34" t="str">
        <f t="shared" si="16"/>
        <v/>
      </c>
      <c r="AX9" s="34" t="str">
        <f t="shared" si="16"/>
        <v/>
      </c>
      <c r="AY9" s="34" t="str">
        <f t="shared" si="16"/>
        <v/>
      </c>
      <c r="AZ9" s="34" t="str">
        <f t="shared" si="16"/>
        <v/>
      </c>
      <c r="BA9" s="34" t="str">
        <f t="shared" si="16"/>
        <v/>
      </c>
      <c r="BB9" s="33" t="str">
        <f t="shared" si="16"/>
        <v/>
      </c>
      <c r="BC9" s="34" t="str">
        <f t="shared" si="16"/>
        <v/>
      </c>
      <c r="BD9" s="34" t="str">
        <f t="shared" si="16"/>
        <v/>
      </c>
      <c r="BE9" s="34" t="str">
        <f t="shared" si="16"/>
        <v/>
      </c>
      <c r="BF9" s="34" t="str">
        <f t="shared" si="16"/>
        <v/>
      </c>
      <c r="BG9" s="34" t="str">
        <f t="shared" si="17"/>
        <v/>
      </c>
      <c r="BH9" s="34" t="str">
        <f t="shared" si="17"/>
        <v/>
      </c>
      <c r="BI9" s="34" t="str">
        <f t="shared" si="17"/>
        <v/>
      </c>
      <c r="BJ9" s="34" t="str">
        <f t="shared" si="17"/>
        <v/>
      </c>
      <c r="BK9" s="34" t="str">
        <f t="shared" si="17"/>
        <v/>
      </c>
      <c r="BL9" s="34" t="str">
        <f t="shared" si="17"/>
        <v/>
      </c>
      <c r="BM9" s="34" t="str">
        <f t="shared" si="17"/>
        <v/>
      </c>
      <c r="BN9" s="33" t="str">
        <f t="shared" si="17"/>
        <v/>
      </c>
      <c r="BO9" s="34" t="str">
        <f t="shared" si="17"/>
        <v/>
      </c>
      <c r="BP9" s="34" t="str">
        <f t="shared" si="17"/>
        <v/>
      </c>
      <c r="BQ9" s="34" t="str">
        <f t="shared" si="18"/>
        <v/>
      </c>
      <c r="BR9" s="34" t="str">
        <f t="shared" si="18"/>
        <v/>
      </c>
      <c r="BS9" s="34" t="str">
        <f t="shared" si="18"/>
        <v/>
      </c>
      <c r="BT9" s="34" t="str">
        <f t="shared" si="18"/>
        <v/>
      </c>
      <c r="BU9" s="34" t="str">
        <f t="shared" si="18"/>
        <v/>
      </c>
      <c r="BV9" s="34" t="str">
        <f t="shared" si="18"/>
        <v/>
      </c>
      <c r="BW9" s="34" t="str">
        <f t="shared" si="18"/>
        <v/>
      </c>
      <c r="BX9" s="34" t="str">
        <f t="shared" si="18"/>
        <v/>
      </c>
      <c r="BY9" s="34" t="str">
        <f t="shared" si="18"/>
        <v/>
      </c>
      <c r="BZ9" s="33" t="str">
        <f t="shared" si="18"/>
        <v/>
      </c>
      <c r="CA9" s="34" t="str">
        <f t="shared" si="19"/>
        <v/>
      </c>
      <c r="CB9" s="34" t="str">
        <f t="shared" si="19"/>
        <v/>
      </c>
      <c r="CC9" s="34" t="str">
        <f t="shared" si="19"/>
        <v/>
      </c>
      <c r="CD9" s="34" t="str">
        <f t="shared" si="19"/>
        <v/>
      </c>
      <c r="CE9" s="34" t="str">
        <f t="shared" si="19"/>
        <v/>
      </c>
      <c r="CF9" s="34" t="str">
        <f t="shared" si="19"/>
        <v/>
      </c>
      <c r="CG9" s="34" t="str">
        <f t="shared" si="19"/>
        <v/>
      </c>
      <c r="CH9" s="34" t="str">
        <f t="shared" si="19"/>
        <v/>
      </c>
      <c r="CI9" s="34" t="str">
        <f t="shared" si="19"/>
        <v/>
      </c>
      <c r="CJ9" s="34" t="str">
        <f t="shared" si="19"/>
        <v/>
      </c>
      <c r="CK9" s="34" t="str">
        <f t="shared" si="20"/>
        <v/>
      </c>
      <c r="CL9" s="33" t="str">
        <f t="shared" si="20"/>
        <v/>
      </c>
      <c r="CM9" s="34" t="str">
        <f t="shared" si="20"/>
        <v/>
      </c>
      <c r="CN9" s="34" t="str">
        <f t="shared" si="20"/>
        <v/>
      </c>
      <c r="CO9" s="34" t="str">
        <f t="shared" si="20"/>
        <v/>
      </c>
      <c r="CP9" s="34" t="str">
        <f t="shared" si="20"/>
        <v/>
      </c>
      <c r="CQ9" s="34" t="str">
        <f t="shared" si="20"/>
        <v/>
      </c>
      <c r="CR9" s="34" t="str">
        <f t="shared" si="20"/>
        <v/>
      </c>
      <c r="CS9" s="34" t="str">
        <f t="shared" si="20"/>
        <v/>
      </c>
      <c r="CT9" s="34" t="str">
        <f t="shared" si="20"/>
        <v/>
      </c>
      <c r="CU9" s="34" t="str">
        <f t="shared" si="21"/>
        <v/>
      </c>
      <c r="CV9" s="34" t="str">
        <f t="shared" si="21"/>
        <v/>
      </c>
      <c r="CW9" s="34" t="str">
        <f t="shared" si="21"/>
        <v/>
      </c>
      <c r="CX9" s="33" t="str">
        <f t="shared" si="21"/>
        <v/>
      </c>
      <c r="CY9" s="34" t="str">
        <f t="shared" si="21"/>
        <v/>
      </c>
      <c r="CZ9" s="34" t="str">
        <f t="shared" si="21"/>
        <v/>
      </c>
      <c r="DA9" s="34" t="str">
        <f t="shared" si="21"/>
        <v/>
      </c>
      <c r="DB9" s="34" t="str">
        <f t="shared" si="21"/>
        <v/>
      </c>
      <c r="DC9" s="34" t="str">
        <f t="shared" si="21"/>
        <v/>
      </c>
      <c r="DD9" s="34" t="str">
        <f t="shared" si="21"/>
        <v/>
      </c>
      <c r="DE9" s="34" t="str">
        <f t="shared" si="22"/>
        <v/>
      </c>
      <c r="DF9" s="34" t="str">
        <f t="shared" si="22"/>
        <v/>
      </c>
      <c r="DG9" s="34" t="str">
        <f t="shared" si="22"/>
        <v/>
      </c>
      <c r="DH9" s="34" t="str">
        <f t="shared" si="22"/>
        <v/>
      </c>
      <c r="DI9" s="34" t="str">
        <f t="shared" si="22"/>
        <v/>
      </c>
      <c r="DJ9" s="33" t="str">
        <f t="shared" si="22"/>
        <v/>
      </c>
      <c r="DK9" s="34" t="str">
        <f t="shared" si="22"/>
        <v/>
      </c>
      <c r="DL9" s="34" t="str">
        <f t="shared" si="22"/>
        <v/>
      </c>
      <c r="DM9" s="34" t="str">
        <f t="shared" si="22"/>
        <v/>
      </c>
      <c r="DN9" s="34" t="str">
        <f t="shared" si="22"/>
        <v/>
      </c>
      <c r="DO9" s="34" t="str">
        <f t="shared" si="23"/>
        <v/>
      </c>
      <c r="DP9" s="34" t="str">
        <f t="shared" si="23"/>
        <v/>
      </c>
      <c r="DQ9" s="34" t="str">
        <f t="shared" si="23"/>
        <v/>
      </c>
      <c r="DR9" s="34" t="str">
        <f t="shared" si="23"/>
        <v/>
      </c>
      <c r="DS9" s="34" t="str">
        <f t="shared" si="23"/>
        <v/>
      </c>
      <c r="DT9" s="34" t="str">
        <f t="shared" si="23"/>
        <v/>
      </c>
      <c r="DU9" s="34" t="str">
        <f t="shared" si="23"/>
        <v/>
      </c>
      <c r="DV9" s="33" t="str">
        <f t="shared" si="23"/>
        <v/>
      </c>
      <c r="DW9" s="34" t="str">
        <f t="shared" si="23"/>
        <v/>
      </c>
      <c r="DX9" s="34" t="str">
        <f t="shared" si="23"/>
        <v/>
      </c>
      <c r="DY9" s="34" t="str">
        <f t="shared" si="24"/>
        <v/>
      </c>
      <c r="DZ9" s="34" t="str">
        <f t="shared" si="24"/>
        <v/>
      </c>
      <c r="EA9" s="34" t="str">
        <f t="shared" si="24"/>
        <v/>
      </c>
      <c r="EB9" s="34" t="str">
        <f t="shared" si="24"/>
        <v/>
      </c>
      <c r="EC9" s="34" t="str">
        <f t="shared" si="24"/>
        <v/>
      </c>
      <c r="ED9" s="34" t="str">
        <f t="shared" si="24"/>
        <v/>
      </c>
      <c r="EE9" s="34" t="str">
        <f t="shared" si="24"/>
        <v/>
      </c>
      <c r="EF9" s="34" t="str">
        <f t="shared" si="24"/>
        <v/>
      </c>
      <c r="EG9" s="34" t="str">
        <f t="shared" si="24"/>
        <v/>
      </c>
      <c r="EH9" s="33" t="str">
        <f t="shared" si="24"/>
        <v/>
      </c>
      <c r="EI9" s="34" t="str">
        <f t="shared" si="25"/>
        <v/>
      </c>
      <c r="EJ9" s="34" t="str">
        <f t="shared" si="25"/>
        <v/>
      </c>
      <c r="EK9" s="34" t="str">
        <f t="shared" si="25"/>
        <v/>
      </c>
      <c r="EL9" s="34" t="str">
        <f t="shared" si="25"/>
        <v/>
      </c>
      <c r="EM9" s="34" t="str">
        <f t="shared" si="25"/>
        <v/>
      </c>
      <c r="EN9" s="34" t="str">
        <f t="shared" si="25"/>
        <v/>
      </c>
      <c r="EO9" s="34" t="str">
        <f t="shared" si="25"/>
        <v/>
      </c>
      <c r="EP9" s="34" t="str">
        <f t="shared" si="25"/>
        <v/>
      </c>
      <c r="EQ9" s="34" t="str">
        <f t="shared" si="25"/>
        <v/>
      </c>
      <c r="ER9" s="34" t="str">
        <f t="shared" si="25"/>
        <v/>
      </c>
      <c r="ES9" s="34" t="str">
        <f t="shared" si="26"/>
        <v/>
      </c>
      <c r="ET9" s="33" t="str">
        <f t="shared" si="26"/>
        <v/>
      </c>
      <c r="EU9" s="34" t="str">
        <f t="shared" si="26"/>
        <v/>
      </c>
      <c r="EV9" s="34" t="str">
        <f t="shared" si="26"/>
        <v/>
      </c>
      <c r="EW9" s="34" t="str">
        <f t="shared" si="26"/>
        <v/>
      </c>
      <c r="EX9" s="34" t="str">
        <f t="shared" si="26"/>
        <v/>
      </c>
      <c r="EY9" s="34" t="str">
        <f t="shared" si="26"/>
        <v/>
      </c>
      <c r="EZ9" s="34" t="str">
        <f t="shared" si="26"/>
        <v/>
      </c>
      <c r="FA9" s="34" t="str">
        <f t="shared" si="26"/>
        <v/>
      </c>
      <c r="FB9" s="34" t="str">
        <f t="shared" si="26"/>
        <v/>
      </c>
      <c r="FC9" s="34" t="str">
        <f t="shared" si="26"/>
        <v/>
      </c>
      <c r="FD9" s="34" t="str">
        <f t="shared" si="26"/>
        <v/>
      </c>
      <c r="FE9" s="34" t="str">
        <f t="shared" si="26"/>
        <v/>
      </c>
      <c r="FF9" s="33" t="str">
        <f t="shared" si="26"/>
        <v/>
      </c>
      <c r="FG9" s="14"/>
      <c r="FH9" s="14"/>
      <c r="FI9" s="14"/>
      <c r="FJ9" s="14"/>
      <c r="FK9" s="14"/>
      <c r="FL9" s="14"/>
      <c r="FM9" s="14"/>
      <c r="FN9" s="14"/>
      <c r="FO9" s="14"/>
      <c r="FP9" s="14"/>
      <c r="FQ9" s="14"/>
      <c r="FR9" s="14"/>
      <c r="FS9" s="14"/>
      <c r="FT9" s="14"/>
      <c r="FU9" s="14"/>
      <c r="FV9" s="14"/>
      <c r="FW9" s="14"/>
      <c r="FX9" s="14"/>
      <c r="FY9" s="14"/>
      <c r="FZ9" s="14"/>
      <c r="GA9" s="14"/>
      <c r="GB9" s="14"/>
      <c r="GC9" s="14"/>
      <c r="GD9" s="14"/>
      <c r="GE9" s="14"/>
      <c r="GF9" s="14"/>
      <c r="GG9" s="14"/>
      <c r="GH9" s="14"/>
      <c r="GI9" s="14"/>
      <c r="GJ9" s="14"/>
      <c r="GK9" s="14"/>
      <c r="GL9" s="14"/>
      <c r="GM9" s="14"/>
      <c r="GN9" s="14"/>
      <c r="GO9" s="14"/>
      <c r="GP9" s="14"/>
      <c r="GQ9" s="14"/>
      <c r="GR9" s="14"/>
      <c r="GS9" s="14"/>
      <c r="GT9" s="14"/>
      <c r="GU9" s="14"/>
      <c r="GV9" s="14"/>
      <c r="GW9" s="14"/>
      <c r="GX9" s="14"/>
      <c r="GY9" s="14"/>
      <c r="GZ9" s="14"/>
      <c r="HA9" s="14"/>
      <c r="HB9" s="14"/>
    </row>
    <row r="10" spans="1:210">
      <c r="A10" s="35">
        <v>7</v>
      </c>
      <c r="B10" s="38" t="str">
        <f>IF('(7b) Project List'!F15&lt;&gt;"",'(7b) Project List'!F15," ")</f>
        <v xml:space="preserve"> </v>
      </c>
      <c r="C10" s="38" t="str">
        <f t="shared" si="5"/>
        <v xml:space="preserve"> </v>
      </c>
      <c r="D10" s="38" t="str">
        <f>IF('(7b) Project List'!G15&lt;&gt;"",'(7b) Project List'!G15,"")</f>
        <v/>
      </c>
      <c r="E10" s="37" t="str">
        <f t="shared" si="6"/>
        <v/>
      </c>
      <c r="F10" s="36"/>
      <c r="G10" s="36"/>
      <c r="H10" s="35">
        <f>IF('(7b) Project List'!H15&lt;&gt;"",'(7b) Project List'!H15,"")</f>
        <v>0</v>
      </c>
      <c r="I10" s="35"/>
      <c r="J10" s="17">
        <f t="shared" si="7"/>
        <v>0</v>
      </c>
      <c r="K10" s="17" t="str">
        <f>IF(OR(('(7b) Project List'!$F$5=""),('(7b) Project List'!$C15&gt;'(7b) Project List'!$F15),('(7b) Project List'!$C15&gt;'(7b) Project List'!$G15),('(7b) Project List'!$C15&gt;'(7b) Project List'!$F$5),('(7b) Project List'!$G15&lt;'(7c) Project Schedule'!$B$25),('(7b) Project List'!$F15&gt;'(7b) Project List'!$D15),('(7c) Project Schedule'!$B$25&gt;'(7b) Project List'!$D15),('(7b) Project List'!$F15&gt;'(7b) Project List'!$F$5),('(7b) Project List'!$F15&gt;'(7b) Project List'!$G15),('(7b) Project List'!$G15&gt;'(7b) Project List'!$D15)),"",COUNTIF(S10:GP10,"&gt;0"))</f>
        <v/>
      </c>
      <c r="L10" s="16" t="str">
        <f t="shared" si="8"/>
        <v xml:space="preserve"> </v>
      </c>
      <c r="N10" s="16" t="str">
        <f t="shared" si="9"/>
        <v xml:space="preserve"> </v>
      </c>
      <c r="O10" s="16" t="str">
        <f t="shared" si="10"/>
        <v xml:space="preserve"> </v>
      </c>
      <c r="P10" s="16" t="str">
        <f t="shared" si="11"/>
        <v xml:space="preserve"> </v>
      </c>
      <c r="Q10" s="16" t="str">
        <f t="shared" si="12"/>
        <v xml:space="preserve"> </v>
      </c>
      <c r="S10" s="34" t="str">
        <f t="shared" si="13"/>
        <v/>
      </c>
      <c r="T10" s="34" t="str">
        <f t="shared" si="13"/>
        <v/>
      </c>
      <c r="U10" s="34" t="str">
        <f t="shared" si="13"/>
        <v/>
      </c>
      <c r="V10" s="34" t="str">
        <f t="shared" si="13"/>
        <v/>
      </c>
      <c r="W10" s="34" t="str">
        <f t="shared" si="13"/>
        <v/>
      </c>
      <c r="X10" s="34" t="str">
        <f t="shared" si="13"/>
        <v/>
      </c>
      <c r="Y10" s="34" t="str">
        <f t="shared" si="13"/>
        <v/>
      </c>
      <c r="Z10" s="34" t="str">
        <f t="shared" si="13"/>
        <v/>
      </c>
      <c r="AA10" s="34" t="str">
        <f t="shared" si="13"/>
        <v/>
      </c>
      <c r="AB10" s="34" t="str">
        <f t="shared" si="13"/>
        <v/>
      </c>
      <c r="AC10" s="34" t="str">
        <f t="shared" si="14"/>
        <v/>
      </c>
      <c r="AD10" s="33" t="str">
        <f t="shared" si="14"/>
        <v/>
      </c>
      <c r="AE10" s="34" t="str">
        <f t="shared" si="14"/>
        <v/>
      </c>
      <c r="AF10" s="34" t="str">
        <f t="shared" si="14"/>
        <v/>
      </c>
      <c r="AG10" s="34" t="str">
        <f t="shared" si="14"/>
        <v/>
      </c>
      <c r="AH10" s="34" t="str">
        <f t="shared" si="14"/>
        <v/>
      </c>
      <c r="AI10" s="34" t="str">
        <f t="shared" si="14"/>
        <v/>
      </c>
      <c r="AJ10" s="34" t="str">
        <f t="shared" si="14"/>
        <v/>
      </c>
      <c r="AK10" s="34" t="str">
        <f t="shared" si="14"/>
        <v/>
      </c>
      <c r="AL10" s="34" t="str">
        <f t="shared" si="14"/>
        <v/>
      </c>
      <c r="AM10" s="34" t="str">
        <f t="shared" si="15"/>
        <v/>
      </c>
      <c r="AN10" s="34" t="str">
        <f t="shared" si="15"/>
        <v/>
      </c>
      <c r="AO10" s="34" t="str">
        <f t="shared" si="15"/>
        <v/>
      </c>
      <c r="AP10" s="33" t="str">
        <f t="shared" si="15"/>
        <v/>
      </c>
      <c r="AQ10" s="34" t="str">
        <f t="shared" si="15"/>
        <v/>
      </c>
      <c r="AR10" s="34" t="str">
        <f t="shared" si="15"/>
        <v/>
      </c>
      <c r="AS10" s="34" t="str">
        <f t="shared" si="15"/>
        <v/>
      </c>
      <c r="AT10" s="34" t="str">
        <f t="shared" si="15"/>
        <v/>
      </c>
      <c r="AU10" s="34" t="str">
        <f t="shared" si="15"/>
        <v/>
      </c>
      <c r="AV10" s="34" t="str">
        <f t="shared" si="15"/>
        <v/>
      </c>
      <c r="AW10" s="34" t="str">
        <f t="shared" si="16"/>
        <v/>
      </c>
      <c r="AX10" s="34" t="str">
        <f t="shared" si="16"/>
        <v/>
      </c>
      <c r="AY10" s="34" t="str">
        <f t="shared" si="16"/>
        <v/>
      </c>
      <c r="AZ10" s="34" t="str">
        <f t="shared" si="16"/>
        <v/>
      </c>
      <c r="BA10" s="34" t="str">
        <f t="shared" si="16"/>
        <v/>
      </c>
      <c r="BB10" s="33" t="str">
        <f t="shared" si="16"/>
        <v/>
      </c>
      <c r="BC10" s="34" t="str">
        <f t="shared" si="16"/>
        <v/>
      </c>
      <c r="BD10" s="34" t="str">
        <f t="shared" si="16"/>
        <v/>
      </c>
      <c r="BE10" s="34" t="str">
        <f t="shared" si="16"/>
        <v/>
      </c>
      <c r="BF10" s="34" t="str">
        <f t="shared" si="16"/>
        <v/>
      </c>
      <c r="BG10" s="34" t="str">
        <f t="shared" si="17"/>
        <v/>
      </c>
      <c r="BH10" s="34" t="str">
        <f t="shared" si="17"/>
        <v/>
      </c>
      <c r="BI10" s="34" t="str">
        <f t="shared" si="17"/>
        <v/>
      </c>
      <c r="BJ10" s="34" t="str">
        <f t="shared" si="17"/>
        <v/>
      </c>
      <c r="BK10" s="34" t="str">
        <f t="shared" si="17"/>
        <v/>
      </c>
      <c r="BL10" s="34" t="str">
        <f t="shared" si="17"/>
        <v/>
      </c>
      <c r="BM10" s="34" t="str">
        <f t="shared" si="17"/>
        <v/>
      </c>
      <c r="BN10" s="33" t="str">
        <f t="shared" si="17"/>
        <v/>
      </c>
      <c r="BO10" s="34" t="str">
        <f t="shared" si="17"/>
        <v/>
      </c>
      <c r="BP10" s="34" t="str">
        <f t="shared" si="17"/>
        <v/>
      </c>
      <c r="BQ10" s="34" t="str">
        <f t="shared" si="18"/>
        <v/>
      </c>
      <c r="BR10" s="34" t="str">
        <f t="shared" si="18"/>
        <v/>
      </c>
      <c r="BS10" s="34" t="str">
        <f t="shared" si="18"/>
        <v/>
      </c>
      <c r="BT10" s="34" t="str">
        <f t="shared" si="18"/>
        <v/>
      </c>
      <c r="BU10" s="34" t="str">
        <f t="shared" si="18"/>
        <v/>
      </c>
      <c r="BV10" s="34" t="str">
        <f t="shared" si="18"/>
        <v/>
      </c>
      <c r="BW10" s="34" t="str">
        <f t="shared" si="18"/>
        <v/>
      </c>
      <c r="BX10" s="34" t="str">
        <f t="shared" si="18"/>
        <v/>
      </c>
      <c r="BY10" s="34" t="str">
        <f t="shared" si="18"/>
        <v/>
      </c>
      <c r="BZ10" s="33" t="str">
        <f t="shared" si="18"/>
        <v/>
      </c>
      <c r="CA10" s="34" t="str">
        <f t="shared" si="19"/>
        <v/>
      </c>
      <c r="CB10" s="34" t="str">
        <f t="shared" si="19"/>
        <v/>
      </c>
      <c r="CC10" s="34" t="str">
        <f t="shared" si="19"/>
        <v/>
      </c>
      <c r="CD10" s="34" t="str">
        <f t="shared" si="19"/>
        <v/>
      </c>
      <c r="CE10" s="34" t="str">
        <f t="shared" si="19"/>
        <v/>
      </c>
      <c r="CF10" s="34" t="str">
        <f t="shared" si="19"/>
        <v/>
      </c>
      <c r="CG10" s="34" t="str">
        <f t="shared" si="19"/>
        <v/>
      </c>
      <c r="CH10" s="34" t="str">
        <f t="shared" si="19"/>
        <v/>
      </c>
      <c r="CI10" s="34" t="str">
        <f t="shared" si="19"/>
        <v/>
      </c>
      <c r="CJ10" s="34" t="str">
        <f t="shared" si="19"/>
        <v/>
      </c>
      <c r="CK10" s="34" t="str">
        <f t="shared" si="20"/>
        <v/>
      </c>
      <c r="CL10" s="33" t="str">
        <f t="shared" si="20"/>
        <v/>
      </c>
      <c r="CM10" s="34" t="str">
        <f t="shared" si="20"/>
        <v/>
      </c>
      <c r="CN10" s="34" t="str">
        <f t="shared" si="20"/>
        <v/>
      </c>
      <c r="CO10" s="34" t="str">
        <f t="shared" si="20"/>
        <v/>
      </c>
      <c r="CP10" s="34" t="str">
        <f t="shared" si="20"/>
        <v/>
      </c>
      <c r="CQ10" s="34" t="str">
        <f t="shared" si="20"/>
        <v/>
      </c>
      <c r="CR10" s="34" t="str">
        <f t="shared" si="20"/>
        <v/>
      </c>
      <c r="CS10" s="34" t="str">
        <f t="shared" si="20"/>
        <v/>
      </c>
      <c r="CT10" s="34" t="str">
        <f t="shared" si="20"/>
        <v/>
      </c>
      <c r="CU10" s="34" t="str">
        <f t="shared" si="21"/>
        <v/>
      </c>
      <c r="CV10" s="34" t="str">
        <f t="shared" si="21"/>
        <v/>
      </c>
      <c r="CW10" s="34" t="str">
        <f t="shared" si="21"/>
        <v/>
      </c>
      <c r="CX10" s="33" t="str">
        <f t="shared" si="21"/>
        <v/>
      </c>
      <c r="CY10" s="34" t="str">
        <f t="shared" si="21"/>
        <v/>
      </c>
      <c r="CZ10" s="34" t="str">
        <f t="shared" si="21"/>
        <v/>
      </c>
      <c r="DA10" s="34" t="str">
        <f t="shared" si="21"/>
        <v/>
      </c>
      <c r="DB10" s="34" t="str">
        <f t="shared" si="21"/>
        <v/>
      </c>
      <c r="DC10" s="34" t="str">
        <f t="shared" si="21"/>
        <v/>
      </c>
      <c r="DD10" s="34" t="str">
        <f t="shared" si="21"/>
        <v/>
      </c>
      <c r="DE10" s="34" t="str">
        <f t="shared" si="22"/>
        <v/>
      </c>
      <c r="DF10" s="34" t="str">
        <f t="shared" si="22"/>
        <v/>
      </c>
      <c r="DG10" s="34" t="str">
        <f t="shared" si="22"/>
        <v/>
      </c>
      <c r="DH10" s="34" t="str">
        <f t="shared" si="22"/>
        <v/>
      </c>
      <c r="DI10" s="34" t="str">
        <f t="shared" si="22"/>
        <v/>
      </c>
      <c r="DJ10" s="33" t="str">
        <f t="shared" si="22"/>
        <v/>
      </c>
      <c r="DK10" s="34" t="str">
        <f t="shared" si="22"/>
        <v/>
      </c>
      <c r="DL10" s="34" t="str">
        <f t="shared" si="22"/>
        <v/>
      </c>
      <c r="DM10" s="34" t="str">
        <f t="shared" si="22"/>
        <v/>
      </c>
      <c r="DN10" s="34" t="str">
        <f t="shared" si="22"/>
        <v/>
      </c>
      <c r="DO10" s="34" t="str">
        <f t="shared" si="23"/>
        <v/>
      </c>
      <c r="DP10" s="34" t="str">
        <f t="shared" si="23"/>
        <v/>
      </c>
      <c r="DQ10" s="34" t="str">
        <f t="shared" si="23"/>
        <v/>
      </c>
      <c r="DR10" s="34" t="str">
        <f t="shared" si="23"/>
        <v/>
      </c>
      <c r="DS10" s="34" t="str">
        <f t="shared" si="23"/>
        <v/>
      </c>
      <c r="DT10" s="34" t="str">
        <f t="shared" si="23"/>
        <v/>
      </c>
      <c r="DU10" s="34" t="str">
        <f t="shared" si="23"/>
        <v/>
      </c>
      <c r="DV10" s="33" t="str">
        <f t="shared" si="23"/>
        <v/>
      </c>
      <c r="DW10" s="34" t="str">
        <f t="shared" si="23"/>
        <v/>
      </c>
      <c r="DX10" s="34" t="str">
        <f t="shared" si="23"/>
        <v/>
      </c>
      <c r="DY10" s="34" t="str">
        <f t="shared" si="24"/>
        <v/>
      </c>
      <c r="DZ10" s="34" t="str">
        <f t="shared" si="24"/>
        <v/>
      </c>
      <c r="EA10" s="34" t="str">
        <f t="shared" si="24"/>
        <v/>
      </c>
      <c r="EB10" s="34" t="str">
        <f t="shared" si="24"/>
        <v/>
      </c>
      <c r="EC10" s="34" t="str">
        <f t="shared" si="24"/>
        <v/>
      </c>
      <c r="ED10" s="34" t="str">
        <f t="shared" si="24"/>
        <v/>
      </c>
      <c r="EE10" s="34" t="str">
        <f t="shared" si="24"/>
        <v/>
      </c>
      <c r="EF10" s="34" t="str">
        <f t="shared" si="24"/>
        <v/>
      </c>
      <c r="EG10" s="34" t="str">
        <f t="shared" si="24"/>
        <v/>
      </c>
      <c r="EH10" s="33" t="str">
        <f t="shared" si="24"/>
        <v/>
      </c>
      <c r="EI10" s="34" t="str">
        <f t="shared" si="25"/>
        <v/>
      </c>
      <c r="EJ10" s="34" t="str">
        <f t="shared" si="25"/>
        <v/>
      </c>
      <c r="EK10" s="34" t="str">
        <f t="shared" si="25"/>
        <v/>
      </c>
      <c r="EL10" s="34" t="str">
        <f t="shared" si="25"/>
        <v/>
      </c>
      <c r="EM10" s="34" t="str">
        <f t="shared" si="25"/>
        <v/>
      </c>
      <c r="EN10" s="34" t="str">
        <f t="shared" si="25"/>
        <v/>
      </c>
      <c r="EO10" s="34" t="str">
        <f t="shared" si="25"/>
        <v/>
      </c>
      <c r="EP10" s="34" t="str">
        <f t="shared" si="25"/>
        <v/>
      </c>
      <c r="EQ10" s="34" t="str">
        <f t="shared" si="25"/>
        <v/>
      </c>
      <c r="ER10" s="34" t="str">
        <f t="shared" si="25"/>
        <v/>
      </c>
      <c r="ES10" s="34" t="str">
        <f t="shared" si="26"/>
        <v/>
      </c>
      <c r="ET10" s="33" t="str">
        <f t="shared" si="26"/>
        <v/>
      </c>
      <c r="EU10" s="34" t="str">
        <f t="shared" si="26"/>
        <v/>
      </c>
      <c r="EV10" s="34" t="str">
        <f t="shared" si="26"/>
        <v/>
      </c>
      <c r="EW10" s="34" t="str">
        <f t="shared" si="26"/>
        <v/>
      </c>
      <c r="EX10" s="34" t="str">
        <f t="shared" si="26"/>
        <v/>
      </c>
      <c r="EY10" s="34" t="str">
        <f t="shared" si="26"/>
        <v/>
      </c>
      <c r="EZ10" s="34" t="str">
        <f t="shared" si="26"/>
        <v/>
      </c>
      <c r="FA10" s="34" t="str">
        <f t="shared" si="26"/>
        <v/>
      </c>
      <c r="FB10" s="34" t="str">
        <f t="shared" si="26"/>
        <v/>
      </c>
      <c r="FC10" s="34" t="str">
        <f t="shared" si="26"/>
        <v/>
      </c>
      <c r="FD10" s="34" t="str">
        <f t="shared" si="26"/>
        <v/>
      </c>
      <c r="FE10" s="34" t="str">
        <f t="shared" si="26"/>
        <v/>
      </c>
      <c r="FF10" s="33" t="str">
        <f t="shared" si="26"/>
        <v/>
      </c>
      <c r="FG10" s="14"/>
      <c r="FH10" s="14"/>
      <c r="FI10" s="14"/>
      <c r="FJ10" s="14"/>
      <c r="FK10" s="14"/>
      <c r="FL10" s="14"/>
      <c r="FM10" s="14"/>
      <c r="FN10" s="14"/>
      <c r="FO10" s="14"/>
      <c r="FP10" s="14"/>
      <c r="FQ10" s="14"/>
      <c r="FR10" s="14"/>
      <c r="FS10" s="14"/>
      <c r="FT10" s="14"/>
      <c r="FU10" s="14"/>
      <c r="FV10" s="14"/>
      <c r="FW10" s="14"/>
      <c r="FX10" s="14"/>
      <c r="FY10" s="14"/>
      <c r="FZ10" s="14"/>
      <c r="GA10" s="14"/>
      <c r="GB10" s="14"/>
      <c r="GC10" s="14"/>
      <c r="GD10" s="14"/>
      <c r="GE10" s="14"/>
      <c r="GF10" s="14"/>
      <c r="GG10" s="14"/>
      <c r="GH10" s="14"/>
      <c r="GI10" s="14"/>
      <c r="GJ10" s="14"/>
      <c r="GK10" s="14"/>
      <c r="GL10" s="14"/>
      <c r="GM10" s="14"/>
      <c r="GN10" s="14"/>
      <c r="GO10" s="14"/>
      <c r="GP10" s="14"/>
      <c r="GQ10" s="14"/>
      <c r="GR10" s="14"/>
      <c r="GS10" s="14"/>
      <c r="GT10" s="14"/>
      <c r="GU10" s="14"/>
      <c r="GV10" s="14"/>
      <c r="GW10" s="14"/>
      <c r="GX10" s="14"/>
      <c r="GY10" s="14"/>
      <c r="GZ10" s="14"/>
      <c r="HA10" s="14"/>
      <c r="HB10" s="14"/>
    </row>
    <row r="11" spans="1:210">
      <c r="A11" s="35">
        <v>8</v>
      </c>
      <c r="B11" s="38" t="str">
        <f>IF('(7b) Project List'!F16&lt;&gt;"",'(7b) Project List'!F16," ")</f>
        <v xml:space="preserve"> </v>
      </c>
      <c r="C11" s="38" t="str">
        <f t="shared" si="5"/>
        <v xml:space="preserve"> </v>
      </c>
      <c r="D11" s="38" t="str">
        <f>IF('(7b) Project List'!G16&lt;&gt;"",'(7b) Project List'!G16,"")</f>
        <v/>
      </c>
      <c r="E11" s="37" t="str">
        <f t="shared" si="6"/>
        <v/>
      </c>
      <c r="F11" s="36"/>
      <c r="G11" s="36"/>
      <c r="H11" s="35">
        <f>IF('(7b) Project List'!H16&lt;&gt;"",'(7b) Project List'!H16,"")</f>
        <v>0</v>
      </c>
      <c r="I11" s="35"/>
      <c r="J11" s="17">
        <f t="shared" si="7"/>
        <v>0</v>
      </c>
      <c r="K11" s="17" t="str">
        <f>IF(OR(('(7b) Project List'!$F$5=""),('(7b) Project List'!$C16&gt;'(7b) Project List'!$F16),('(7b) Project List'!$C16&gt;'(7b) Project List'!$G16),('(7b) Project List'!$C16&gt;'(7b) Project List'!$F$5),('(7b) Project List'!$G16&lt;'(7c) Project Schedule'!$B$25),('(7b) Project List'!$F16&gt;'(7b) Project List'!$D16),('(7c) Project Schedule'!$B$25&gt;'(7b) Project List'!$D16),('(7b) Project List'!$F16&gt;'(7b) Project List'!$F$5),('(7b) Project List'!$F16&gt;'(7b) Project List'!$G16),('(7b) Project List'!$G16&gt;'(7b) Project List'!$D16)),"",COUNTIF(S11:GP11,"&gt;0"))</f>
        <v/>
      </c>
      <c r="L11" s="16" t="str">
        <f t="shared" si="8"/>
        <v xml:space="preserve"> </v>
      </c>
      <c r="N11" s="16" t="str">
        <f t="shared" si="9"/>
        <v xml:space="preserve"> </v>
      </c>
      <c r="O11" s="16" t="str">
        <f t="shared" si="10"/>
        <v xml:space="preserve"> </v>
      </c>
      <c r="P11" s="16" t="str">
        <f t="shared" si="11"/>
        <v xml:space="preserve"> </v>
      </c>
      <c r="Q11" s="16" t="str">
        <f t="shared" si="12"/>
        <v xml:space="preserve"> </v>
      </c>
      <c r="S11" s="34" t="str">
        <f t="shared" si="13"/>
        <v/>
      </c>
      <c r="T11" s="34" t="str">
        <f t="shared" si="13"/>
        <v/>
      </c>
      <c r="U11" s="34" t="str">
        <f t="shared" si="13"/>
        <v/>
      </c>
      <c r="V11" s="34" t="str">
        <f t="shared" si="13"/>
        <v/>
      </c>
      <c r="W11" s="34" t="str">
        <f t="shared" si="13"/>
        <v/>
      </c>
      <c r="X11" s="34" t="str">
        <f t="shared" si="13"/>
        <v/>
      </c>
      <c r="Y11" s="34" t="str">
        <f t="shared" si="13"/>
        <v/>
      </c>
      <c r="Z11" s="34" t="str">
        <f t="shared" si="13"/>
        <v/>
      </c>
      <c r="AA11" s="34" t="str">
        <f t="shared" si="13"/>
        <v/>
      </c>
      <c r="AB11" s="34" t="str">
        <f t="shared" si="13"/>
        <v/>
      </c>
      <c r="AC11" s="34" t="str">
        <f t="shared" si="14"/>
        <v/>
      </c>
      <c r="AD11" s="33" t="str">
        <f t="shared" si="14"/>
        <v/>
      </c>
      <c r="AE11" s="34" t="str">
        <f t="shared" si="14"/>
        <v/>
      </c>
      <c r="AF11" s="34" t="str">
        <f t="shared" si="14"/>
        <v/>
      </c>
      <c r="AG11" s="34" t="str">
        <f t="shared" si="14"/>
        <v/>
      </c>
      <c r="AH11" s="34" t="str">
        <f t="shared" si="14"/>
        <v/>
      </c>
      <c r="AI11" s="34" t="str">
        <f t="shared" si="14"/>
        <v/>
      </c>
      <c r="AJ11" s="34" t="str">
        <f t="shared" si="14"/>
        <v/>
      </c>
      <c r="AK11" s="34" t="str">
        <f t="shared" si="14"/>
        <v/>
      </c>
      <c r="AL11" s="34" t="str">
        <f t="shared" si="14"/>
        <v/>
      </c>
      <c r="AM11" s="34" t="str">
        <f t="shared" si="15"/>
        <v/>
      </c>
      <c r="AN11" s="34" t="str">
        <f t="shared" si="15"/>
        <v/>
      </c>
      <c r="AO11" s="34" t="str">
        <f t="shared" si="15"/>
        <v/>
      </c>
      <c r="AP11" s="33" t="str">
        <f t="shared" si="15"/>
        <v/>
      </c>
      <c r="AQ11" s="34" t="str">
        <f t="shared" si="15"/>
        <v/>
      </c>
      <c r="AR11" s="34" t="str">
        <f t="shared" si="15"/>
        <v/>
      </c>
      <c r="AS11" s="34" t="str">
        <f t="shared" si="15"/>
        <v/>
      </c>
      <c r="AT11" s="34" t="str">
        <f t="shared" si="15"/>
        <v/>
      </c>
      <c r="AU11" s="34" t="str">
        <f t="shared" si="15"/>
        <v/>
      </c>
      <c r="AV11" s="34" t="str">
        <f t="shared" si="15"/>
        <v/>
      </c>
      <c r="AW11" s="34" t="str">
        <f t="shared" si="16"/>
        <v/>
      </c>
      <c r="AX11" s="34" t="str">
        <f t="shared" si="16"/>
        <v/>
      </c>
      <c r="AY11" s="34" t="str">
        <f t="shared" si="16"/>
        <v/>
      </c>
      <c r="AZ11" s="34" t="str">
        <f t="shared" si="16"/>
        <v/>
      </c>
      <c r="BA11" s="34" t="str">
        <f t="shared" si="16"/>
        <v/>
      </c>
      <c r="BB11" s="33" t="str">
        <f t="shared" si="16"/>
        <v/>
      </c>
      <c r="BC11" s="34" t="str">
        <f t="shared" si="16"/>
        <v/>
      </c>
      <c r="BD11" s="34" t="str">
        <f t="shared" si="16"/>
        <v/>
      </c>
      <c r="BE11" s="34" t="str">
        <f t="shared" si="16"/>
        <v/>
      </c>
      <c r="BF11" s="34" t="str">
        <f t="shared" si="16"/>
        <v/>
      </c>
      <c r="BG11" s="34" t="str">
        <f t="shared" si="17"/>
        <v/>
      </c>
      <c r="BH11" s="34" t="str">
        <f t="shared" si="17"/>
        <v/>
      </c>
      <c r="BI11" s="34" t="str">
        <f t="shared" si="17"/>
        <v/>
      </c>
      <c r="BJ11" s="34" t="str">
        <f t="shared" si="17"/>
        <v/>
      </c>
      <c r="BK11" s="34" t="str">
        <f t="shared" si="17"/>
        <v/>
      </c>
      <c r="BL11" s="34" t="str">
        <f t="shared" si="17"/>
        <v/>
      </c>
      <c r="BM11" s="34" t="str">
        <f t="shared" si="17"/>
        <v/>
      </c>
      <c r="BN11" s="33" t="str">
        <f t="shared" si="17"/>
        <v/>
      </c>
      <c r="BO11" s="34" t="str">
        <f t="shared" si="17"/>
        <v/>
      </c>
      <c r="BP11" s="34" t="str">
        <f t="shared" si="17"/>
        <v/>
      </c>
      <c r="BQ11" s="34" t="str">
        <f t="shared" si="18"/>
        <v/>
      </c>
      <c r="BR11" s="34" t="str">
        <f t="shared" si="18"/>
        <v/>
      </c>
      <c r="BS11" s="34" t="str">
        <f t="shared" si="18"/>
        <v/>
      </c>
      <c r="BT11" s="34" t="str">
        <f t="shared" si="18"/>
        <v/>
      </c>
      <c r="BU11" s="34" t="str">
        <f t="shared" si="18"/>
        <v/>
      </c>
      <c r="BV11" s="34" t="str">
        <f t="shared" si="18"/>
        <v/>
      </c>
      <c r="BW11" s="34" t="str">
        <f t="shared" si="18"/>
        <v/>
      </c>
      <c r="BX11" s="34" t="str">
        <f t="shared" si="18"/>
        <v/>
      </c>
      <c r="BY11" s="34" t="str">
        <f t="shared" si="18"/>
        <v/>
      </c>
      <c r="BZ11" s="33" t="str">
        <f t="shared" si="18"/>
        <v/>
      </c>
      <c r="CA11" s="34" t="str">
        <f t="shared" si="19"/>
        <v/>
      </c>
      <c r="CB11" s="34" t="str">
        <f t="shared" si="19"/>
        <v/>
      </c>
      <c r="CC11" s="34" t="str">
        <f t="shared" si="19"/>
        <v/>
      </c>
      <c r="CD11" s="34" t="str">
        <f t="shared" si="19"/>
        <v/>
      </c>
      <c r="CE11" s="34" t="str">
        <f t="shared" si="19"/>
        <v/>
      </c>
      <c r="CF11" s="34" t="str">
        <f t="shared" si="19"/>
        <v/>
      </c>
      <c r="CG11" s="34" t="str">
        <f t="shared" si="19"/>
        <v/>
      </c>
      <c r="CH11" s="34" t="str">
        <f t="shared" si="19"/>
        <v/>
      </c>
      <c r="CI11" s="34" t="str">
        <f t="shared" si="19"/>
        <v/>
      </c>
      <c r="CJ11" s="34" t="str">
        <f t="shared" si="19"/>
        <v/>
      </c>
      <c r="CK11" s="34" t="str">
        <f t="shared" si="20"/>
        <v/>
      </c>
      <c r="CL11" s="33" t="str">
        <f t="shared" si="20"/>
        <v/>
      </c>
      <c r="CM11" s="34" t="str">
        <f t="shared" si="20"/>
        <v/>
      </c>
      <c r="CN11" s="34" t="str">
        <f t="shared" si="20"/>
        <v/>
      </c>
      <c r="CO11" s="34" t="str">
        <f t="shared" si="20"/>
        <v/>
      </c>
      <c r="CP11" s="34" t="str">
        <f t="shared" si="20"/>
        <v/>
      </c>
      <c r="CQ11" s="34" t="str">
        <f t="shared" si="20"/>
        <v/>
      </c>
      <c r="CR11" s="34" t="str">
        <f t="shared" si="20"/>
        <v/>
      </c>
      <c r="CS11" s="34" t="str">
        <f t="shared" si="20"/>
        <v/>
      </c>
      <c r="CT11" s="34" t="str">
        <f t="shared" si="20"/>
        <v/>
      </c>
      <c r="CU11" s="34" t="str">
        <f t="shared" si="21"/>
        <v/>
      </c>
      <c r="CV11" s="34" t="str">
        <f t="shared" si="21"/>
        <v/>
      </c>
      <c r="CW11" s="34" t="str">
        <f t="shared" si="21"/>
        <v/>
      </c>
      <c r="CX11" s="33" t="str">
        <f t="shared" si="21"/>
        <v/>
      </c>
      <c r="CY11" s="34" t="str">
        <f t="shared" si="21"/>
        <v/>
      </c>
      <c r="CZ11" s="34" t="str">
        <f t="shared" si="21"/>
        <v/>
      </c>
      <c r="DA11" s="34" t="str">
        <f t="shared" si="21"/>
        <v/>
      </c>
      <c r="DB11" s="34" t="str">
        <f t="shared" si="21"/>
        <v/>
      </c>
      <c r="DC11" s="34" t="str">
        <f t="shared" si="21"/>
        <v/>
      </c>
      <c r="DD11" s="34" t="str">
        <f t="shared" si="21"/>
        <v/>
      </c>
      <c r="DE11" s="34" t="str">
        <f t="shared" si="22"/>
        <v/>
      </c>
      <c r="DF11" s="34" t="str">
        <f t="shared" si="22"/>
        <v/>
      </c>
      <c r="DG11" s="34" t="str">
        <f t="shared" si="22"/>
        <v/>
      </c>
      <c r="DH11" s="34" t="str">
        <f t="shared" si="22"/>
        <v/>
      </c>
      <c r="DI11" s="34" t="str">
        <f t="shared" si="22"/>
        <v/>
      </c>
      <c r="DJ11" s="33" t="str">
        <f t="shared" si="22"/>
        <v/>
      </c>
      <c r="DK11" s="34" t="str">
        <f t="shared" si="22"/>
        <v/>
      </c>
      <c r="DL11" s="34" t="str">
        <f t="shared" si="22"/>
        <v/>
      </c>
      <c r="DM11" s="34" t="str">
        <f t="shared" si="22"/>
        <v/>
      </c>
      <c r="DN11" s="34" t="str">
        <f t="shared" si="22"/>
        <v/>
      </c>
      <c r="DO11" s="34" t="str">
        <f t="shared" si="23"/>
        <v/>
      </c>
      <c r="DP11" s="34" t="str">
        <f t="shared" si="23"/>
        <v/>
      </c>
      <c r="DQ11" s="34" t="str">
        <f t="shared" si="23"/>
        <v/>
      </c>
      <c r="DR11" s="34" t="str">
        <f t="shared" si="23"/>
        <v/>
      </c>
      <c r="DS11" s="34" t="str">
        <f t="shared" si="23"/>
        <v/>
      </c>
      <c r="DT11" s="34" t="str">
        <f t="shared" si="23"/>
        <v/>
      </c>
      <c r="DU11" s="34" t="str">
        <f t="shared" si="23"/>
        <v/>
      </c>
      <c r="DV11" s="33" t="str">
        <f t="shared" si="23"/>
        <v/>
      </c>
      <c r="DW11" s="34" t="str">
        <f t="shared" si="23"/>
        <v/>
      </c>
      <c r="DX11" s="34" t="str">
        <f t="shared" si="23"/>
        <v/>
      </c>
      <c r="DY11" s="34" t="str">
        <f t="shared" si="24"/>
        <v/>
      </c>
      <c r="DZ11" s="34" t="str">
        <f t="shared" si="24"/>
        <v/>
      </c>
      <c r="EA11" s="34" t="str">
        <f t="shared" si="24"/>
        <v/>
      </c>
      <c r="EB11" s="34" t="str">
        <f t="shared" si="24"/>
        <v/>
      </c>
      <c r="EC11" s="34" t="str">
        <f t="shared" si="24"/>
        <v/>
      </c>
      <c r="ED11" s="34" t="str">
        <f t="shared" si="24"/>
        <v/>
      </c>
      <c r="EE11" s="34" t="str">
        <f t="shared" si="24"/>
        <v/>
      </c>
      <c r="EF11" s="34" t="str">
        <f t="shared" si="24"/>
        <v/>
      </c>
      <c r="EG11" s="34" t="str">
        <f t="shared" si="24"/>
        <v/>
      </c>
      <c r="EH11" s="33" t="str">
        <f t="shared" si="24"/>
        <v/>
      </c>
      <c r="EI11" s="34" t="str">
        <f t="shared" si="25"/>
        <v/>
      </c>
      <c r="EJ11" s="34" t="str">
        <f t="shared" si="25"/>
        <v/>
      </c>
      <c r="EK11" s="34" t="str">
        <f t="shared" si="25"/>
        <v/>
      </c>
      <c r="EL11" s="34" t="str">
        <f t="shared" si="25"/>
        <v/>
      </c>
      <c r="EM11" s="34" t="str">
        <f t="shared" si="25"/>
        <v/>
      </c>
      <c r="EN11" s="34" t="str">
        <f t="shared" si="25"/>
        <v/>
      </c>
      <c r="EO11" s="34" t="str">
        <f t="shared" si="25"/>
        <v/>
      </c>
      <c r="EP11" s="34" t="str">
        <f t="shared" si="25"/>
        <v/>
      </c>
      <c r="EQ11" s="34" t="str">
        <f t="shared" si="25"/>
        <v/>
      </c>
      <c r="ER11" s="34" t="str">
        <f t="shared" si="25"/>
        <v/>
      </c>
      <c r="ES11" s="34" t="str">
        <f t="shared" si="26"/>
        <v/>
      </c>
      <c r="ET11" s="33" t="str">
        <f t="shared" si="26"/>
        <v/>
      </c>
      <c r="EU11" s="34" t="str">
        <f t="shared" si="26"/>
        <v/>
      </c>
      <c r="EV11" s="34" t="str">
        <f t="shared" si="26"/>
        <v/>
      </c>
      <c r="EW11" s="34" t="str">
        <f t="shared" si="26"/>
        <v/>
      </c>
      <c r="EX11" s="34" t="str">
        <f t="shared" si="26"/>
        <v/>
      </c>
      <c r="EY11" s="34" t="str">
        <f t="shared" si="26"/>
        <v/>
      </c>
      <c r="EZ11" s="34" t="str">
        <f t="shared" si="26"/>
        <v/>
      </c>
      <c r="FA11" s="34" t="str">
        <f t="shared" si="26"/>
        <v/>
      </c>
      <c r="FB11" s="34" t="str">
        <f t="shared" si="26"/>
        <v/>
      </c>
      <c r="FC11" s="34" t="str">
        <f t="shared" si="26"/>
        <v/>
      </c>
      <c r="FD11" s="34" t="str">
        <f t="shared" si="26"/>
        <v/>
      </c>
      <c r="FE11" s="34" t="str">
        <f t="shared" si="26"/>
        <v/>
      </c>
      <c r="FF11" s="33" t="str">
        <f t="shared" si="26"/>
        <v/>
      </c>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row>
    <row r="12" spans="1:210">
      <c r="A12" s="35">
        <v>9</v>
      </c>
      <c r="B12" s="38" t="str">
        <f>IF('(7b) Project List'!F17&lt;&gt;"",'(7b) Project List'!F17," ")</f>
        <v xml:space="preserve"> </v>
      </c>
      <c r="C12" s="38" t="str">
        <f t="shared" si="5"/>
        <v xml:space="preserve"> </v>
      </c>
      <c r="D12" s="38" t="str">
        <f>IF('(7b) Project List'!G17&lt;&gt;"",'(7b) Project List'!G17,"")</f>
        <v/>
      </c>
      <c r="E12" s="37" t="str">
        <f t="shared" si="6"/>
        <v/>
      </c>
      <c r="F12" s="36"/>
      <c r="G12" s="36"/>
      <c r="H12" s="35">
        <f>IF('(7b) Project List'!H17&lt;&gt;"",'(7b) Project List'!H17,"")</f>
        <v>0</v>
      </c>
      <c r="I12" s="35"/>
      <c r="J12" s="17">
        <f t="shared" si="7"/>
        <v>0</v>
      </c>
      <c r="K12" s="17" t="str">
        <f>IF(OR(('(7b) Project List'!$F$5=""),('(7b) Project List'!$C17&gt;'(7b) Project List'!$F17),('(7b) Project List'!$C17&gt;'(7b) Project List'!$G17),('(7b) Project List'!$C17&gt;'(7b) Project List'!$F$5),('(7b) Project List'!$G17&lt;'(7c) Project Schedule'!$B$25),('(7b) Project List'!$F17&gt;'(7b) Project List'!$D17),('(7c) Project Schedule'!$B$25&gt;'(7b) Project List'!$D17),('(7b) Project List'!$F17&gt;'(7b) Project List'!$F$5),('(7b) Project List'!$F17&gt;'(7b) Project List'!$G17),('(7b) Project List'!$G17&gt;'(7b) Project List'!$D17)),"",COUNTIF(S12:GP12,"&gt;0"))</f>
        <v/>
      </c>
      <c r="L12" s="16" t="str">
        <f t="shared" si="8"/>
        <v xml:space="preserve"> </v>
      </c>
      <c r="N12" s="16" t="str">
        <f t="shared" si="9"/>
        <v xml:space="preserve"> </v>
      </c>
      <c r="O12" s="16" t="str">
        <f t="shared" si="10"/>
        <v xml:space="preserve"> </v>
      </c>
      <c r="P12" s="16" t="str">
        <f t="shared" si="11"/>
        <v xml:space="preserve"> </v>
      </c>
      <c r="Q12" s="16" t="str">
        <f t="shared" si="12"/>
        <v xml:space="preserve"> </v>
      </c>
      <c r="S12" s="34" t="str">
        <f t="shared" si="13"/>
        <v/>
      </c>
      <c r="T12" s="34" t="str">
        <f t="shared" si="13"/>
        <v/>
      </c>
      <c r="U12" s="34" t="str">
        <f t="shared" si="13"/>
        <v/>
      </c>
      <c r="V12" s="34" t="str">
        <f t="shared" si="13"/>
        <v/>
      </c>
      <c r="W12" s="34" t="str">
        <f t="shared" si="13"/>
        <v/>
      </c>
      <c r="X12" s="34" t="str">
        <f t="shared" si="13"/>
        <v/>
      </c>
      <c r="Y12" s="34" t="str">
        <f t="shared" si="13"/>
        <v/>
      </c>
      <c r="Z12" s="34" t="str">
        <f t="shared" si="13"/>
        <v/>
      </c>
      <c r="AA12" s="34" t="str">
        <f t="shared" si="13"/>
        <v/>
      </c>
      <c r="AB12" s="34" t="str">
        <f t="shared" si="13"/>
        <v/>
      </c>
      <c r="AC12" s="34" t="str">
        <f t="shared" si="14"/>
        <v/>
      </c>
      <c r="AD12" s="33" t="str">
        <f t="shared" si="14"/>
        <v/>
      </c>
      <c r="AE12" s="34" t="str">
        <f t="shared" si="14"/>
        <v/>
      </c>
      <c r="AF12" s="34" t="str">
        <f t="shared" si="14"/>
        <v/>
      </c>
      <c r="AG12" s="34" t="str">
        <f t="shared" si="14"/>
        <v/>
      </c>
      <c r="AH12" s="34" t="str">
        <f t="shared" si="14"/>
        <v/>
      </c>
      <c r="AI12" s="34" t="str">
        <f t="shared" si="14"/>
        <v/>
      </c>
      <c r="AJ12" s="34" t="str">
        <f t="shared" si="14"/>
        <v/>
      </c>
      <c r="AK12" s="34" t="str">
        <f t="shared" si="14"/>
        <v/>
      </c>
      <c r="AL12" s="34" t="str">
        <f t="shared" si="14"/>
        <v/>
      </c>
      <c r="AM12" s="34" t="str">
        <f t="shared" si="15"/>
        <v/>
      </c>
      <c r="AN12" s="34" t="str">
        <f t="shared" si="15"/>
        <v/>
      </c>
      <c r="AO12" s="34" t="str">
        <f t="shared" si="15"/>
        <v/>
      </c>
      <c r="AP12" s="33" t="str">
        <f t="shared" si="15"/>
        <v/>
      </c>
      <c r="AQ12" s="34" t="str">
        <f t="shared" si="15"/>
        <v/>
      </c>
      <c r="AR12" s="34" t="str">
        <f t="shared" si="15"/>
        <v/>
      </c>
      <c r="AS12" s="34" t="str">
        <f t="shared" si="15"/>
        <v/>
      </c>
      <c r="AT12" s="34" t="str">
        <f t="shared" si="15"/>
        <v/>
      </c>
      <c r="AU12" s="34" t="str">
        <f t="shared" si="15"/>
        <v/>
      </c>
      <c r="AV12" s="34" t="str">
        <f t="shared" si="15"/>
        <v/>
      </c>
      <c r="AW12" s="34" t="str">
        <f t="shared" si="16"/>
        <v/>
      </c>
      <c r="AX12" s="34" t="str">
        <f t="shared" si="16"/>
        <v/>
      </c>
      <c r="AY12" s="34" t="str">
        <f t="shared" si="16"/>
        <v/>
      </c>
      <c r="AZ12" s="34" t="str">
        <f t="shared" si="16"/>
        <v/>
      </c>
      <c r="BA12" s="34" t="str">
        <f t="shared" si="16"/>
        <v/>
      </c>
      <c r="BB12" s="33" t="str">
        <f t="shared" si="16"/>
        <v/>
      </c>
      <c r="BC12" s="34" t="str">
        <f t="shared" si="16"/>
        <v/>
      </c>
      <c r="BD12" s="34" t="str">
        <f t="shared" si="16"/>
        <v/>
      </c>
      <c r="BE12" s="34" t="str">
        <f t="shared" si="16"/>
        <v/>
      </c>
      <c r="BF12" s="34" t="str">
        <f t="shared" si="16"/>
        <v/>
      </c>
      <c r="BG12" s="34" t="str">
        <f t="shared" si="17"/>
        <v/>
      </c>
      <c r="BH12" s="34" t="str">
        <f t="shared" si="17"/>
        <v/>
      </c>
      <c r="BI12" s="34" t="str">
        <f t="shared" si="17"/>
        <v/>
      </c>
      <c r="BJ12" s="34" t="str">
        <f t="shared" si="17"/>
        <v/>
      </c>
      <c r="BK12" s="34" t="str">
        <f t="shared" si="17"/>
        <v/>
      </c>
      <c r="BL12" s="34" t="str">
        <f t="shared" si="17"/>
        <v/>
      </c>
      <c r="BM12" s="34" t="str">
        <f t="shared" si="17"/>
        <v/>
      </c>
      <c r="BN12" s="33" t="str">
        <f t="shared" si="17"/>
        <v/>
      </c>
      <c r="BO12" s="34" t="str">
        <f t="shared" si="17"/>
        <v/>
      </c>
      <c r="BP12" s="34" t="str">
        <f t="shared" si="17"/>
        <v/>
      </c>
      <c r="BQ12" s="34" t="str">
        <f t="shared" si="18"/>
        <v/>
      </c>
      <c r="BR12" s="34" t="str">
        <f t="shared" si="18"/>
        <v/>
      </c>
      <c r="BS12" s="34" t="str">
        <f t="shared" si="18"/>
        <v/>
      </c>
      <c r="BT12" s="34" t="str">
        <f t="shared" si="18"/>
        <v/>
      </c>
      <c r="BU12" s="34" t="str">
        <f t="shared" si="18"/>
        <v/>
      </c>
      <c r="BV12" s="34" t="str">
        <f t="shared" si="18"/>
        <v/>
      </c>
      <c r="BW12" s="34" t="str">
        <f t="shared" si="18"/>
        <v/>
      </c>
      <c r="BX12" s="34" t="str">
        <f t="shared" si="18"/>
        <v/>
      </c>
      <c r="BY12" s="34" t="str">
        <f t="shared" si="18"/>
        <v/>
      </c>
      <c r="BZ12" s="33" t="str">
        <f t="shared" si="18"/>
        <v/>
      </c>
      <c r="CA12" s="34" t="str">
        <f t="shared" si="19"/>
        <v/>
      </c>
      <c r="CB12" s="34" t="str">
        <f t="shared" si="19"/>
        <v/>
      </c>
      <c r="CC12" s="34" t="str">
        <f t="shared" si="19"/>
        <v/>
      </c>
      <c r="CD12" s="34" t="str">
        <f t="shared" si="19"/>
        <v/>
      </c>
      <c r="CE12" s="34" t="str">
        <f t="shared" si="19"/>
        <v/>
      </c>
      <c r="CF12" s="34" t="str">
        <f t="shared" si="19"/>
        <v/>
      </c>
      <c r="CG12" s="34" t="str">
        <f t="shared" si="19"/>
        <v/>
      </c>
      <c r="CH12" s="34" t="str">
        <f t="shared" si="19"/>
        <v/>
      </c>
      <c r="CI12" s="34" t="str">
        <f t="shared" si="19"/>
        <v/>
      </c>
      <c r="CJ12" s="34" t="str">
        <f t="shared" si="19"/>
        <v/>
      </c>
      <c r="CK12" s="34" t="str">
        <f t="shared" si="20"/>
        <v/>
      </c>
      <c r="CL12" s="33" t="str">
        <f t="shared" si="20"/>
        <v/>
      </c>
      <c r="CM12" s="34" t="str">
        <f t="shared" si="20"/>
        <v/>
      </c>
      <c r="CN12" s="34" t="str">
        <f t="shared" si="20"/>
        <v/>
      </c>
      <c r="CO12" s="34" t="str">
        <f t="shared" si="20"/>
        <v/>
      </c>
      <c r="CP12" s="34" t="str">
        <f t="shared" si="20"/>
        <v/>
      </c>
      <c r="CQ12" s="34" t="str">
        <f t="shared" si="20"/>
        <v/>
      </c>
      <c r="CR12" s="34" t="str">
        <f t="shared" si="20"/>
        <v/>
      </c>
      <c r="CS12" s="34" t="str">
        <f t="shared" si="20"/>
        <v/>
      </c>
      <c r="CT12" s="34" t="str">
        <f t="shared" si="20"/>
        <v/>
      </c>
      <c r="CU12" s="34" t="str">
        <f t="shared" si="21"/>
        <v/>
      </c>
      <c r="CV12" s="34" t="str">
        <f t="shared" si="21"/>
        <v/>
      </c>
      <c r="CW12" s="34" t="str">
        <f t="shared" si="21"/>
        <v/>
      </c>
      <c r="CX12" s="33" t="str">
        <f t="shared" si="21"/>
        <v/>
      </c>
      <c r="CY12" s="34" t="str">
        <f t="shared" si="21"/>
        <v/>
      </c>
      <c r="CZ12" s="34" t="str">
        <f t="shared" si="21"/>
        <v/>
      </c>
      <c r="DA12" s="34" t="str">
        <f t="shared" si="21"/>
        <v/>
      </c>
      <c r="DB12" s="34" t="str">
        <f t="shared" si="21"/>
        <v/>
      </c>
      <c r="DC12" s="34" t="str">
        <f t="shared" si="21"/>
        <v/>
      </c>
      <c r="DD12" s="34" t="str">
        <f t="shared" si="21"/>
        <v/>
      </c>
      <c r="DE12" s="34" t="str">
        <f t="shared" si="22"/>
        <v/>
      </c>
      <c r="DF12" s="34" t="str">
        <f t="shared" si="22"/>
        <v/>
      </c>
      <c r="DG12" s="34" t="str">
        <f t="shared" si="22"/>
        <v/>
      </c>
      <c r="DH12" s="34" t="str">
        <f t="shared" si="22"/>
        <v/>
      </c>
      <c r="DI12" s="34" t="str">
        <f t="shared" si="22"/>
        <v/>
      </c>
      <c r="DJ12" s="33" t="str">
        <f t="shared" si="22"/>
        <v/>
      </c>
      <c r="DK12" s="34" t="str">
        <f t="shared" si="22"/>
        <v/>
      </c>
      <c r="DL12" s="34" t="str">
        <f t="shared" si="22"/>
        <v/>
      </c>
      <c r="DM12" s="34" t="str">
        <f t="shared" si="22"/>
        <v/>
      </c>
      <c r="DN12" s="34" t="str">
        <f t="shared" si="22"/>
        <v/>
      </c>
      <c r="DO12" s="34" t="str">
        <f t="shared" si="23"/>
        <v/>
      </c>
      <c r="DP12" s="34" t="str">
        <f t="shared" si="23"/>
        <v/>
      </c>
      <c r="DQ12" s="34" t="str">
        <f t="shared" si="23"/>
        <v/>
      </c>
      <c r="DR12" s="34" t="str">
        <f t="shared" si="23"/>
        <v/>
      </c>
      <c r="DS12" s="34" t="str">
        <f t="shared" si="23"/>
        <v/>
      </c>
      <c r="DT12" s="34" t="str">
        <f t="shared" si="23"/>
        <v/>
      </c>
      <c r="DU12" s="34" t="str">
        <f t="shared" si="23"/>
        <v/>
      </c>
      <c r="DV12" s="33" t="str">
        <f t="shared" si="23"/>
        <v/>
      </c>
      <c r="DW12" s="34" t="str">
        <f t="shared" si="23"/>
        <v/>
      </c>
      <c r="DX12" s="34" t="str">
        <f t="shared" si="23"/>
        <v/>
      </c>
      <c r="DY12" s="34" t="str">
        <f t="shared" si="24"/>
        <v/>
      </c>
      <c r="DZ12" s="34" t="str">
        <f t="shared" si="24"/>
        <v/>
      </c>
      <c r="EA12" s="34" t="str">
        <f t="shared" si="24"/>
        <v/>
      </c>
      <c r="EB12" s="34" t="str">
        <f t="shared" si="24"/>
        <v/>
      </c>
      <c r="EC12" s="34" t="str">
        <f t="shared" si="24"/>
        <v/>
      </c>
      <c r="ED12" s="34" t="str">
        <f t="shared" si="24"/>
        <v/>
      </c>
      <c r="EE12" s="34" t="str">
        <f t="shared" si="24"/>
        <v/>
      </c>
      <c r="EF12" s="34" t="str">
        <f t="shared" si="24"/>
        <v/>
      </c>
      <c r="EG12" s="34" t="str">
        <f t="shared" si="24"/>
        <v/>
      </c>
      <c r="EH12" s="33" t="str">
        <f t="shared" si="24"/>
        <v/>
      </c>
      <c r="EI12" s="34" t="str">
        <f t="shared" si="25"/>
        <v/>
      </c>
      <c r="EJ12" s="34" t="str">
        <f t="shared" si="25"/>
        <v/>
      </c>
      <c r="EK12" s="34" t="str">
        <f t="shared" si="25"/>
        <v/>
      </c>
      <c r="EL12" s="34" t="str">
        <f t="shared" si="25"/>
        <v/>
      </c>
      <c r="EM12" s="34" t="str">
        <f t="shared" si="25"/>
        <v/>
      </c>
      <c r="EN12" s="34" t="str">
        <f t="shared" si="25"/>
        <v/>
      </c>
      <c r="EO12" s="34" t="str">
        <f t="shared" si="25"/>
        <v/>
      </c>
      <c r="EP12" s="34" t="str">
        <f t="shared" si="25"/>
        <v/>
      </c>
      <c r="EQ12" s="34" t="str">
        <f t="shared" si="25"/>
        <v/>
      </c>
      <c r="ER12" s="34" t="str">
        <f t="shared" si="25"/>
        <v/>
      </c>
      <c r="ES12" s="34" t="str">
        <f t="shared" si="26"/>
        <v/>
      </c>
      <c r="ET12" s="33" t="str">
        <f t="shared" si="26"/>
        <v/>
      </c>
      <c r="EU12" s="34" t="str">
        <f t="shared" si="26"/>
        <v/>
      </c>
      <c r="EV12" s="34" t="str">
        <f t="shared" si="26"/>
        <v/>
      </c>
      <c r="EW12" s="34" t="str">
        <f t="shared" si="26"/>
        <v/>
      </c>
      <c r="EX12" s="34" t="str">
        <f t="shared" si="26"/>
        <v/>
      </c>
      <c r="EY12" s="34" t="str">
        <f t="shared" si="26"/>
        <v/>
      </c>
      <c r="EZ12" s="34" t="str">
        <f t="shared" si="26"/>
        <v/>
      </c>
      <c r="FA12" s="34" t="str">
        <f t="shared" si="26"/>
        <v/>
      </c>
      <c r="FB12" s="34" t="str">
        <f t="shared" si="26"/>
        <v/>
      </c>
      <c r="FC12" s="34" t="str">
        <f t="shared" si="26"/>
        <v/>
      </c>
      <c r="FD12" s="34" t="str">
        <f t="shared" si="26"/>
        <v/>
      </c>
      <c r="FE12" s="34" t="str">
        <f t="shared" si="26"/>
        <v/>
      </c>
      <c r="FF12" s="33" t="str">
        <f t="shared" si="26"/>
        <v/>
      </c>
      <c r="FG12" s="14"/>
      <c r="FH12" s="14"/>
      <c r="FI12" s="14"/>
      <c r="FJ12" s="14"/>
      <c r="FK12" s="14"/>
      <c r="FL12" s="14"/>
      <c r="FM12" s="14"/>
      <c r="FN12" s="14"/>
      <c r="FO12" s="14"/>
      <c r="FP12" s="14"/>
      <c r="FQ12" s="14"/>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row>
    <row r="13" spans="1:210">
      <c r="A13" s="35">
        <v>10</v>
      </c>
      <c r="B13" s="38" t="str">
        <f>IF('(7b) Project List'!F18&lt;&gt;"",'(7b) Project List'!F18," ")</f>
        <v xml:space="preserve"> </v>
      </c>
      <c r="C13" s="38" t="str">
        <f t="shared" si="5"/>
        <v xml:space="preserve"> </v>
      </c>
      <c r="D13" s="38" t="str">
        <f>IF('(7b) Project List'!G18&lt;&gt;"",'(7b) Project List'!G18,"")</f>
        <v/>
      </c>
      <c r="E13" s="37" t="str">
        <f t="shared" si="6"/>
        <v/>
      </c>
      <c r="F13" s="36"/>
      <c r="G13" s="36"/>
      <c r="H13" s="35">
        <f>IF('(7b) Project List'!H18&lt;&gt;"",'(7b) Project List'!H18,"")</f>
        <v>0</v>
      </c>
      <c r="I13" s="35"/>
      <c r="J13" s="17">
        <f t="shared" si="7"/>
        <v>0</v>
      </c>
      <c r="K13" s="17" t="str">
        <f>IF(OR(('(7b) Project List'!$F$5=""),('(7b) Project List'!$C18&gt;'(7b) Project List'!$F18),('(7b) Project List'!$C18&gt;'(7b) Project List'!$G18),('(7b) Project List'!$C18&gt;'(7b) Project List'!$F$5),('(7b) Project List'!$G18&lt;'(7c) Project Schedule'!$B$25),('(7b) Project List'!$F18&gt;'(7b) Project List'!$D18),('(7c) Project Schedule'!$B$25&gt;'(7b) Project List'!$D18),('(7b) Project List'!$F18&gt;'(7b) Project List'!$F$5),('(7b) Project List'!$F18&gt;'(7b) Project List'!$G18),('(7b) Project List'!$G18&gt;'(7b) Project List'!$D18)),"",COUNTIF(S13:GP13,"&gt;0"))</f>
        <v/>
      </c>
      <c r="L13" s="16" t="str">
        <f t="shared" si="8"/>
        <v xml:space="preserve"> </v>
      </c>
      <c r="N13" s="16" t="str">
        <f t="shared" si="9"/>
        <v xml:space="preserve"> </v>
      </c>
      <c r="O13" s="16" t="str">
        <f t="shared" si="10"/>
        <v xml:space="preserve"> </v>
      </c>
      <c r="P13" s="16" t="str">
        <f t="shared" si="11"/>
        <v xml:space="preserve"> </v>
      </c>
      <c r="Q13" s="16" t="str">
        <f t="shared" si="12"/>
        <v xml:space="preserve"> </v>
      </c>
      <c r="S13" s="34" t="str">
        <f t="shared" si="13"/>
        <v/>
      </c>
      <c r="T13" s="34" t="str">
        <f t="shared" si="13"/>
        <v/>
      </c>
      <c r="U13" s="34" t="str">
        <f t="shared" si="13"/>
        <v/>
      </c>
      <c r="V13" s="34" t="str">
        <f t="shared" si="13"/>
        <v/>
      </c>
      <c r="W13" s="34" t="str">
        <f t="shared" si="13"/>
        <v/>
      </c>
      <c r="X13" s="34" t="str">
        <f t="shared" si="13"/>
        <v/>
      </c>
      <c r="Y13" s="34" t="str">
        <f t="shared" si="13"/>
        <v/>
      </c>
      <c r="Z13" s="34" t="str">
        <f t="shared" si="13"/>
        <v/>
      </c>
      <c r="AA13" s="34" t="str">
        <f t="shared" si="13"/>
        <v/>
      </c>
      <c r="AB13" s="34" t="str">
        <f t="shared" si="13"/>
        <v/>
      </c>
      <c r="AC13" s="34" t="str">
        <f t="shared" si="14"/>
        <v/>
      </c>
      <c r="AD13" s="33" t="str">
        <f t="shared" si="14"/>
        <v/>
      </c>
      <c r="AE13" s="34" t="str">
        <f t="shared" si="14"/>
        <v/>
      </c>
      <c r="AF13" s="34" t="str">
        <f t="shared" si="14"/>
        <v/>
      </c>
      <c r="AG13" s="34" t="str">
        <f t="shared" si="14"/>
        <v/>
      </c>
      <c r="AH13" s="34" t="str">
        <f t="shared" si="14"/>
        <v/>
      </c>
      <c r="AI13" s="34" t="str">
        <f t="shared" si="14"/>
        <v/>
      </c>
      <c r="AJ13" s="34" t="str">
        <f t="shared" si="14"/>
        <v/>
      </c>
      <c r="AK13" s="34" t="str">
        <f t="shared" si="14"/>
        <v/>
      </c>
      <c r="AL13" s="34" t="str">
        <f t="shared" si="14"/>
        <v/>
      </c>
      <c r="AM13" s="34" t="str">
        <f t="shared" si="15"/>
        <v/>
      </c>
      <c r="AN13" s="34" t="str">
        <f t="shared" si="15"/>
        <v/>
      </c>
      <c r="AO13" s="34" t="str">
        <f t="shared" si="15"/>
        <v/>
      </c>
      <c r="AP13" s="33" t="str">
        <f t="shared" si="15"/>
        <v/>
      </c>
      <c r="AQ13" s="34" t="str">
        <f t="shared" si="15"/>
        <v/>
      </c>
      <c r="AR13" s="34" t="str">
        <f t="shared" si="15"/>
        <v/>
      </c>
      <c r="AS13" s="34" t="str">
        <f t="shared" si="15"/>
        <v/>
      </c>
      <c r="AT13" s="34" t="str">
        <f t="shared" si="15"/>
        <v/>
      </c>
      <c r="AU13" s="34" t="str">
        <f t="shared" si="15"/>
        <v/>
      </c>
      <c r="AV13" s="34" t="str">
        <f t="shared" si="15"/>
        <v/>
      </c>
      <c r="AW13" s="34" t="str">
        <f t="shared" si="16"/>
        <v/>
      </c>
      <c r="AX13" s="34" t="str">
        <f t="shared" si="16"/>
        <v/>
      </c>
      <c r="AY13" s="34" t="str">
        <f t="shared" si="16"/>
        <v/>
      </c>
      <c r="AZ13" s="34" t="str">
        <f t="shared" si="16"/>
        <v/>
      </c>
      <c r="BA13" s="34" t="str">
        <f t="shared" si="16"/>
        <v/>
      </c>
      <c r="BB13" s="33" t="str">
        <f t="shared" si="16"/>
        <v/>
      </c>
      <c r="BC13" s="34" t="str">
        <f t="shared" si="16"/>
        <v/>
      </c>
      <c r="BD13" s="34" t="str">
        <f t="shared" si="16"/>
        <v/>
      </c>
      <c r="BE13" s="34" t="str">
        <f t="shared" si="16"/>
        <v/>
      </c>
      <c r="BF13" s="34" t="str">
        <f t="shared" si="16"/>
        <v/>
      </c>
      <c r="BG13" s="34" t="str">
        <f t="shared" si="17"/>
        <v/>
      </c>
      <c r="BH13" s="34" t="str">
        <f t="shared" si="17"/>
        <v/>
      </c>
      <c r="BI13" s="34" t="str">
        <f t="shared" si="17"/>
        <v/>
      </c>
      <c r="BJ13" s="34" t="str">
        <f t="shared" si="17"/>
        <v/>
      </c>
      <c r="BK13" s="34" t="str">
        <f t="shared" si="17"/>
        <v/>
      </c>
      <c r="BL13" s="34" t="str">
        <f t="shared" si="17"/>
        <v/>
      </c>
      <c r="BM13" s="34" t="str">
        <f t="shared" si="17"/>
        <v/>
      </c>
      <c r="BN13" s="33" t="str">
        <f t="shared" si="17"/>
        <v/>
      </c>
      <c r="BO13" s="34" t="str">
        <f t="shared" si="17"/>
        <v/>
      </c>
      <c r="BP13" s="34" t="str">
        <f t="shared" si="17"/>
        <v/>
      </c>
      <c r="BQ13" s="34" t="str">
        <f t="shared" si="18"/>
        <v/>
      </c>
      <c r="BR13" s="34" t="str">
        <f t="shared" si="18"/>
        <v/>
      </c>
      <c r="BS13" s="34" t="str">
        <f t="shared" si="18"/>
        <v/>
      </c>
      <c r="BT13" s="34" t="str">
        <f t="shared" si="18"/>
        <v/>
      </c>
      <c r="BU13" s="34" t="str">
        <f t="shared" si="18"/>
        <v/>
      </c>
      <c r="BV13" s="34" t="str">
        <f t="shared" si="18"/>
        <v/>
      </c>
      <c r="BW13" s="34" t="str">
        <f t="shared" si="18"/>
        <v/>
      </c>
      <c r="BX13" s="34" t="str">
        <f t="shared" si="18"/>
        <v/>
      </c>
      <c r="BY13" s="34" t="str">
        <f t="shared" si="18"/>
        <v/>
      </c>
      <c r="BZ13" s="33" t="str">
        <f t="shared" si="18"/>
        <v/>
      </c>
      <c r="CA13" s="34" t="str">
        <f t="shared" si="19"/>
        <v/>
      </c>
      <c r="CB13" s="34" t="str">
        <f t="shared" si="19"/>
        <v/>
      </c>
      <c r="CC13" s="34" t="str">
        <f t="shared" si="19"/>
        <v/>
      </c>
      <c r="CD13" s="34" t="str">
        <f t="shared" si="19"/>
        <v/>
      </c>
      <c r="CE13" s="34" t="str">
        <f t="shared" si="19"/>
        <v/>
      </c>
      <c r="CF13" s="34" t="str">
        <f t="shared" si="19"/>
        <v/>
      </c>
      <c r="CG13" s="34" t="str">
        <f t="shared" si="19"/>
        <v/>
      </c>
      <c r="CH13" s="34" t="str">
        <f t="shared" si="19"/>
        <v/>
      </c>
      <c r="CI13" s="34" t="str">
        <f t="shared" si="19"/>
        <v/>
      </c>
      <c r="CJ13" s="34" t="str">
        <f t="shared" si="19"/>
        <v/>
      </c>
      <c r="CK13" s="34" t="str">
        <f t="shared" si="20"/>
        <v/>
      </c>
      <c r="CL13" s="33" t="str">
        <f t="shared" si="20"/>
        <v/>
      </c>
      <c r="CM13" s="34" t="str">
        <f t="shared" si="20"/>
        <v/>
      </c>
      <c r="CN13" s="34" t="str">
        <f t="shared" si="20"/>
        <v/>
      </c>
      <c r="CO13" s="34" t="str">
        <f t="shared" si="20"/>
        <v/>
      </c>
      <c r="CP13" s="34" t="str">
        <f t="shared" si="20"/>
        <v/>
      </c>
      <c r="CQ13" s="34" t="str">
        <f t="shared" si="20"/>
        <v/>
      </c>
      <c r="CR13" s="34" t="str">
        <f t="shared" si="20"/>
        <v/>
      </c>
      <c r="CS13" s="34" t="str">
        <f t="shared" si="20"/>
        <v/>
      </c>
      <c r="CT13" s="34" t="str">
        <f t="shared" si="20"/>
        <v/>
      </c>
      <c r="CU13" s="34" t="str">
        <f t="shared" si="21"/>
        <v/>
      </c>
      <c r="CV13" s="34" t="str">
        <f t="shared" si="21"/>
        <v/>
      </c>
      <c r="CW13" s="34" t="str">
        <f t="shared" si="21"/>
        <v/>
      </c>
      <c r="CX13" s="33" t="str">
        <f t="shared" si="21"/>
        <v/>
      </c>
      <c r="CY13" s="34" t="str">
        <f t="shared" si="21"/>
        <v/>
      </c>
      <c r="CZ13" s="34" t="str">
        <f t="shared" si="21"/>
        <v/>
      </c>
      <c r="DA13" s="34" t="str">
        <f t="shared" si="21"/>
        <v/>
      </c>
      <c r="DB13" s="34" t="str">
        <f t="shared" si="21"/>
        <v/>
      </c>
      <c r="DC13" s="34" t="str">
        <f t="shared" si="21"/>
        <v/>
      </c>
      <c r="DD13" s="34" t="str">
        <f t="shared" si="21"/>
        <v/>
      </c>
      <c r="DE13" s="34" t="str">
        <f t="shared" si="22"/>
        <v/>
      </c>
      <c r="DF13" s="34" t="str">
        <f t="shared" si="22"/>
        <v/>
      </c>
      <c r="DG13" s="34" t="str">
        <f t="shared" si="22"/>
        <v/>
      </c>
      <c r="DH13" s="34" t="str">
        <f t="shared" si="22"/>
        <v/>
      </c>
      <c r="DI13" s="34" t="str">
        <f t="shared" si="22"/>
        <v/>
      </c>
      <c r="DJ13" s="33" t="str">
        <f t="shared" si="22"/>
        <v/>
      </c>
      <c r="DK13" s="34" t="str">
        <f t="shared" si="22"/>
        <v/>
      </c>
      <c r="DL13" s="34" t="str">
        <f t="shared" si="22"/>
        <v/>
      </c>
      <c r="DM13" s="34" t="str">
        <f t="shared" si="22"/>
        <v/>
      </c>
      <c r="DN13" s="34" t="str">
        <f t="shared" si="22"/>
        <v/>
      </c>
      <c r="DO13" s="34" t="str">
        <f t="shared" si="23"/>
        <v/>
      </c>
      <c r="DP13" s="34" t="str">
        <f t="shared" si="23"/>
        <v/>
      </c>
      <c r="DQ13" s="34" t="str">
        <f t="shared" si="23"/>
        <v/>
      </c>
      <c r="DR13" s="34" t="str">
        <f t="shared" si="23"/>
        <v/>
      </c>
      <c r="DS13" s="34" t="str">
        <f t="shared" si="23"/>
        <v/>
      </c>
      <c r="DT13" s="34" t="str">
        <f t="shared" si="23"/>
        <v/>
      </c>
      <c r="DU13" s="34" t="str">
        <f t="shared" si="23"/>
        <v/>
      </c>
      <c r="DV13" s="33" t="str">
        <f t="shared" si="23"/>
        <v/>
      </c>
      <c r="DW13" s="34" t="str">
        <f t="shared" si="23"/>
        <v/>
      </c>
      <c r="DX13" s="34" t="str">
        <f t="shared" si="23"/>
        <v/>
      </c>
      <c r="DY13" s="34" t="str">
        <f t="shared" si="24"/>
        <v/>
      </c>
      <c r="DZ13" s="34" t="str">
        <f t="shared" si="24"/>
        <v/>
      </c>
      <c r="EA13" s="34" t="str">
        <f t="shared" si="24"/>
        <v/>
      </c>
      <c r="EB13" s="34" t="str">
        <f t="shared" si="24"/>
        <v/>
      </c>
      <c r="EC13" s="34" t="str">
        <f t="shared" si="24"/>
        <v/>
      </c>
      <c r="ED13" s="34" t="str">
        <f t="shared" si="24"/>
        <v/>
      </c>
      <c r="EE13" s="34" t="str">
        <f t="shared" si="24"/>
        <v/>
      </c>
      <c r="EF13" s="34" t="str">
        <f t="shared" si="24"/>
        <v/>
      </c>
      <c r="EG13" s="34" t="str">
        <f t="shared" si="24"/>
        <v/>
      </c>
      <c r="EH13" s="33" t="str">
        <f t="shared" si="24"/>
        <v/>
      </c>
      <c r="EI13" s="34" t="str">
        <f t="shared" si="25"/>
        <v/>
      </c>
      <c r="EJ13" s="34" t="str">
        <f t="shared" si="25"/>
        <v/>
      </c>
      <c r="EK13" s="34" t="str">
        <f t="shared" si="25"/>
        <v/>
      </c>
      <c r="EL13" s="34" t="str">
        <f t="shared" si="25"/>
        <v/>
      </c>
      <c r="EM13" s="34" t="str">
        <f t="shared" si="25"/>
        <v/>
      </c>
      <c r="EN13" s="34" t="str">
        <f t="shared" si="25"/>
        <v/>
      </c>
      <c r="EO13" s="34" t="str">
        <f t="shared" si="25"/>
        <v/>
      </c>
      <c r="EP13" s="34" t="str">
        <f t="shared" si="25"/>
        <v/>
      </c>
      <c r="EQ13" s="34" t="str">
        <f t="shared" si="25"/>
        <v/>
      </c>
      <c r="ER13" s="34" t="str">
        <f t="shared" si="25"/>
        <v/>
      </c>
      <c r="ES13" s="34" t="str">
        <f t="shared" si="26"/>
        <v/>
      </c>
      <c r="ET13" s="33" t="str">
        <f t="shared" si="26"/>
        <v/>
      </c>
      <c r="EU13" s="34" t="str">
        <f t="shared" si="26"/>
        <v/>
      </c>
      <c r="EV13" s="34" t="str">
        <f t="shared" si="26"/>
        <v/>
      </c>
      <c r="EW13" s="34" t="str">
        <f t="shared" si="26"/>
        <v/>
      </c>
      <c r="EX13" s="34" t="str">
        <f t="shared" si="26"/>
        <v/>
      </c>
      <c r="EY13" s="34" t="str">
        <f t="shared" si="26"/>
        <v/>
      </c>
      <c r="EZ13" s="34" t="str">
        <f t="shared" si="26"/>
        <v/>
      </c>
      <c r="FA13" s="34" t="str">
        <f t="shared" si="26"/>
        <v/>
      </c>
      <c r="FB13" s="34" t="str">
        <f t="shared" si="26"/>
        <v/>
      </c>
      <c r="FC13" s="34" t="str">
        <f t="shared" si="26"/>
        <v/>
      </c>
      <c r="FD13" s="34" t="str">
        <f t="shared" si="26"/>
        <v/>
      </c>
      <c r="FE13" s="34" t="str">
        <f t="shared" si="26"/>
        <v/>
      </c>
      <c r="FF13" s="33" t="str">
        <f t="shared" si="26"/>
        <v/>
      </c>
      <c r="FG13" s="14"/>
      <c r="FH13" s="14"/>
      <c r="FI13" s="14"/>
      <c r="FJ13" s="14"/>
      <c r="FK13" s="14"/>
      <c r="FL13" s="14"/>
      <c r="FM13" s="14"/>
      <c r="FN13" s="14"/>
      <c r="FO13" s="14"/>
      <c r="FP13" s="14"/>
      <c r="FQ13" s="14"/>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row>
    <row r="14" spans="1:210">
      <c r="A14" s="35">
        <v>11</v>
      </c>
      <c r="B14" s="38" t="str">
        <f>IF('(7b) Project List'!F19&lt;&gt;"",'(7b) Project List'!F19," ")</f>
        <v xml:space="preserve"> </v>
      </c>
      <c r="C14" s="38" t="str">
        <f t="shared" si="5"/>
        <v xml:space="preserve"> </v>
      </c>
      <c r="D14" s="38" t="str">
        <f>IF('(7b) Project List'!G19&lt;&gt;"",'(7b) Project List'!G19,"")</f>
        <v/>
      </c>
      <c r="E14" s="37" t="str">
        <f t="shared" si="6"/>
        <v/>
      </c>
      <c r="F14" s="36"/>
      <c r="G14" s="36"/>
      <c r="H14" s="35">
        <f>IF('(7b) Project List'!H19&lt;&gt;"",'(7b) Project List'!H19,"")</f>
        <v>0</v>
      </c>
      <c r="I14" s="35"/>
      <c r="J14" s="17">
        <f t="shared" si="7"/>
        <v>0</v>
      </c>
      <c r="K14" s="17" t="str">
        <f>IF(OR(('(7b) Project List'!$F$5=""),('(7b) Project List'!$C19&gt;'(7b) Project List'!$F19),('(7b) Project List'!$C19&gt;'(7b) Project List'!$G19),('(7b) Project List'!$C19&gt;'(7b) Project List'!$F$5),('(7b) Project List'!$G19&lt;'(7c) Project Schedule'!$B$25),('(7b) Project List'!$F19&gt;'(7b) Project List'!$D19),('(7c) Project Schedule'!$B$25&gt;'(7b) Project List'!$D19),('(7b) Project List'!$F19&gt;'(7b) Project List'!$F$5),('(7b) Project List'!$F19&gt;'(7b) Project List'!$G19),('(7b) Project List'!$G19&gt;'(7b) Project List'!$D19)),"",COUNTIF(S14:GP14,"&gt;0"))</f>
        <v/>
      </c>
      <c r="L14" s="16" t="str">
        <f t="shared" si="8"/>
        <v xml:space="preserve"> </v>
      </c>
      <c r="N14" s="16" t="str">
        <f t="shared" si="9"/>
        <v xml:space="preserve"> </v>
      </c>
      <c r="O14" s="16" t="str">
        <f t="shared" si="10"/>
        <v xml:space="preserve"> </v>
      </c>
      <c r="P14" s="16" t="str">
        <f t="shared" si="11"/>
        <v xml:space="preserve"> </v>
      </c>
      <c r="Q14" s="16" t="str">
        <f t="shared" si="12"/>
        <v xml:space="preserve"> </v>
      </c>
      <c r="S14" s="34" t="str">
        <f t="shared" ref="S14:AB23" si="27">IF($D14&lt;&gt;"",IF(EOMONTH($D14,0)&gt;=S$3,IF($B14&lt;=S$3,$H14,""),""),"")</f>
        <v/>
      </c>
      <c r="T14" s="34" t="str">
        <f t="shared" si="27"/>
        <v/>
      </c>
      <c r="U14" s="34" t="str">
        <f t="shared" si="27"/>
        <v/>
      </c>
      <c r="V14" s="34" t="str">
        <f t="shared" si="27"/>
        <v/>
      </c>
      <c r="W14" s="34" t="str">
        <f t="shared" si="27"/>
        <v/>
      </c>
      <c r="X14" s="34" t="str">
        <f t="shared" si="27"/>
        <v/>
      </c>
      <c r="Y14" s="34" t="str">
        <f t="shared" si="27"/>
        <v/>
      </c>
      <c r="Z14" s="34" t="str">
        <f t="shared" si="27"/>
        <v/>
      </c>
      <c r="AA14" s="34" t="str">
        <f t="shared" si="27"/>
        <v/>
      </c>
      <c r="AB14" s="34" t="str">
        <f t="shared" si="27"/>
        <v/>
      </c>
      <c r="AC14" s="34" t="str">
        <f t="shared" ref="AC14:AL23" si="28">IF($D14&lt;&gt;"",IF(EOMONTH($D14,0)&gt;=AC$3,IF($B14&lt;=AC$3,$H14,""),""),"")</f>
        <v/>
      </c>
      <c r="AD14" s="33" t="str">
        <f t="shared" si="28"/>
        <v/>
      </c>
      <c r="AE14" s="34" t="str">
        <f t="shared" si="28"/>
        <v/>
      </c>
      <c r="AF14" s="34" t="str">
        <f t="shared" si="28"/>
        <v/>
      </c>
      <c r="AG14" s="34" t="str">
        <f t="shared" si="28"/>
        <v/>
      </c>
      <c r="AH14" s="34" t="str">
        <f t="shared" si="28"/>
        <v/>
      </c>
      <c r="AI14" s="34" t="str">
        <f t="shared" si="28"/>
        <v/>
      </c>
      <c r="AJ14" s="34" t="str">
        <f t="shared" si="28"/>
        <v/>
      </c>
      <c r="AK14" s="34" t="str">
        <f t="shared" si="28"/>
        <v/>
      </c>
      <c r="AL14" s="34" t="str">
        <f t="shared" si="28"/>
        <v/>
      </c>
      <c r="AM14" s="34" t="str">
        <f t="shared" ref="AM14:AV23" si="29">IF($D14&lt;&gt;"",IF(EOMONTH($D14,0)&gt;=AM$3,IF($B14&lt;=AM$3,$H14,""),""),"")</f>
        <v/>
      </c>
      <c r="AN14" s="34" t="str">
        <f t="shared" si="29"/>
        <v/>
      </c>
      <c r="AO14" s="34" t="str">
        <f t="shared" si="29"/>
        <v/>
      </c>
      <c r="AP14" s="33" t="str">
        <f t="shared" si="29"/>
        <v/>
      </c>
      <c r="AQ14" s="34" t="str">
        <f t="shared" si="29"/>
        <v/>
      </c>
      <c r="AR14" s="34" t="str">
        <f t="shared" si="29"/>
        <v/>
      </c>
      <c r="AS14" s="34" t="str">
        <f t="shared" si="29"/>
        <v/>
      </c>
      <c r="AT14" s="34" t="str">
        <f t="shared" si="29"/>
        <v/>
      </c>
      <c r="AU14" s="34" t="str">
        <f t="shared" si="29"/>
        <v/>
      </c>
      <c r="AV14" s="34" t="str">
        <f t="shared" si="29"/>
        <v/>
      </c>
      <c r="AW14" s="34" t="str">
        <f t="shared" ref="AW14:BF23" si="30">IF($D14&lt;&gt;"",IF(EOMONTH($D14,0)&gt;=AW$3,IF($B14&lt;=AW$3,$H14,""),""),"")</f>
        <v/>
      </c>
      <c r="AX14" s="34" t="str">
        <f t="shared" si="30"/>
        <v/>
      </c>
      <c r="AY14" s="34" t="str">
        <f t="shared" si="30"/>
        <v/>
      </c>
      <c r="AZ14" s="34" t="str">
        <f t="shared" si="30"/>
        <v/>
      </c>
      <c r="BA14" s="34" t="str">
        <f t="shared" si="30"/>
        <v/>
      </c>
      <c r="BB14" s="33" t="str">
        <f t="shared" si="30"/>
        <v/>
      </c>
      <c r="BC14" s="34" t="str">
        <f t="shared" si="30"/>
        <v/>
      </c>
      <c r="BD14" s="34" t="str">
        <f t="shared" si="30"/>
        <v/>
      </c>
      <c r="BE14" s="34" t="str">
        <f t="shared" si="30"/>
        <v/>
      </c>
      <c r="BF14" s="34" t="str">
        <f t="shared" si="30"/>
        <v/>
      </c>
      <c r="BG14" s="34" t="str">
        <f t="shared" ref="BG14:BP23" si="31">IF($D14&lt;&gt;"",IF(EOMONTH($D14,0)&gt;=BG$3,IF($B14&lt;=BG$3,$H14,""),""),"")</f>
        <v/>
      </c>
      <c r="BH14" s="34" t="str">
        <f t="shared" si="31"/>
        <v/>
      </c>
      <c r="BI14" s="34" t="str">
        <f t="shared" si="31"/>
        <v/>
      </c>
      <c r="BJ14" s="34" t="str">
        <f t="shared" si="31"/>
        <v/>
      </c>
      <c r="BK14" s="34" t="str">
        <f t="shared" si="31"/>
        <v/>
      </c>
      <c r="BL14" s="34" t="str">
        <f t="shared" si="31"/>
        <v/>
      </c>
      <c r="BM14" s="34" t="str">
        <f t="shared" si="31"/>
        <v/>
      </c>
      <c r="BN14" s="33" t="str">
        <f t="shared" si="31"/>
        <v/>
      </c>
      <c r="BO14" s="34" t="str">
        <f t="shared" si="31"/>
        <v/>
      </c>
      <c r="BP14" s="34" t="str">
        <f t="shared" si="31"/>
        <v/>
      </c>
      <c r="BQ14" s="34" t="str">
        <f t="shared" ref="BQ14:BZ23" si="32">IF($D14&lt;&gt;"",IF(EOMONTH($D14,0)&gt;=BQ$3,IF($B14&lt;=BQ$3,$H14,""),""),"")</f>
        <v/>
      </c>
      <c r="BR14" s="34" t="str">
        <f t="shared" si="32"/>
        <v/>
      </c>
      <c r="BS14" s="34" t="str">
        <f t="shared" si="32"/>
        <v/>
      </c>
      <c r="BT14" s="34" t="str">
        <f t="shared" si="32"/>
        <v/>
      </c>
      <c r="BU14" s="34" t="str">
        <f t="shared" si="32"/>
        <v/>
      </c>
      <c r="BV14" s="34" t="str">
        <f t="shared" si="32"/>
        <v/>
      </c>
      <c r="BW14" s="34" t="str">
        <f t="shared" si="32"/>
        <v/>
      </c>
      <c r="BX14" s="34" t="str">
        <f t="shared" si="32"/>
        <v/>
      </c>
      <c r="BY14" s="34" t="str">
        <f t="shared" si="32"/>
        <v/>
      </c>
      <c r="BZ14" s="33" t="str">
        <f t="shared" si="32"/>
        <v/>
      </c>
      <c r="CA14" s="34" t="str">
        <f t="shared" ref="CA14:CJ23" si="33">IF($D14&lt;&gt;"",IF(EOMONTH($D14,0)&gt;=CA$3,IF($B14&lt;=CA$3,$H14,""),""),"")</f>
        <v/>
      </c>
      <c r="CB14" s="34" t="str">
        <f t="shared" si="33"/>
        <v/>
      </c>
      <c r="CC14" s="34" t="str">
        <f t="shared" si="33"/>
        <v/>
      </c>
      <c r="CD14" s="34" t="str">
        <f t="shared" si="33"/>
        <v/>
      </c>
      <c r="CE14" s="34" t="str">
        <f t="shared" si="33"/>
        <v/>
      </c>
      <c r="CF14" s="34" t="str">
        <f t="shared" si="33"/>
        <v/>
      </c>
      <c r="CG14" s="34" t="str">
        <f t="shared" si="33"/>
        <v/>
      </c>
      <c r="CH14" s="34" t="str">
        <f t="shared" si="33"/>
        <v/>
      </c>
      <c r="CI14" s="34" t="str">
        <f t="shared" si="33"/>
        <v/>
      </c>
      <c r="CJ14" s="34" t="str">
        <f t="shared" si="33"/>
        <v/>
      </c>
      <c r="CK14" s="34" t="str">
        <f t="shared" ref="CK14:CT23" si="34">IF($D14&lt;&gt;"",IF(EOMONTH($D14,0)&gt;=CK$3,IF($B14&lt;=CK$3,$H14,""),""),"")</f>
        <v/>
      </c>
      <c r="CL14" s="33" t="str">
        <f t="shared" si="34"/>
        <v/>
      </c>
      <c r="CM14" s="34" t="str">
        <f t="shared" si="34"/>
        <v/>
      </c>
      <c r="CN14" s="34" t="str">
        <f t="shared" si="34"/>
        <v/>
      </c>
      <c r="CO14" s="34" t="str">
        <f t="shared" si="34"/>
        <v/>
      </c>
      <c r="CP14" s="34" t="str">
        <f t="shared" si="34"/>
        <v/>
      </c>
      <c r="CQ14" s="34" t="str">
        <f t="shared" si="34"/>
        <v/>
      </c>
      <c r="CR14" s="34" t="str">
        <f t="shared" si="34"/>
        <v/>
      </c>
      <c r="CS14" s="34" t="str">
        <f t="shared" si="34"/>
        <v/>
      </c>
      <c r="CT14" s="34" t="str">
        <f t="shared" si="34"/>
        <v/>
      </c>
      <c r="CU14" s="34" t="str">
        <f t="shared" ref="CU14:DD23" si="35">IF($D14&lt;&gt;"",IF(EOMONTH($D14,0)&gt;=CU$3,IF($B14&lt;=CU$3,$H14,""),""),"")</f>
        <v/>
      </c>
      <c r="CV14" s="34" t="str">
        <f t="shared" si="35"/>
        <v/>
      </c>
      <c r="CW14" s="34" t="str">
        <f t="shared" si="35"/>
        <v/>
      </c>
      <c r="CX14" s="33" t="str">
        <f t="shared" si="35"/>
        <v/>
      </c>
      <c r="CY14" s="34" t="str">
        <f t="shared" si="35"/>
        <v/>
      </c>
      <c r="CZ14" s="34" t="str">
        <f t="shared" si="35"/>
        <v/>
      </c>
      <c r="DA14" s="34" t="str">
        <f t="shared" si="35"/>
        <v/>
      </c>
      <c r="DB14" s="34" t="str">
        <f t="shared" si="35"/>
        <v/>
      </c>
      <c r="DC14" s="34" t="str">
        <f t="shared" si="35"/>
        <v/>
      </c>
      <c r="DD14" s="34" t="str">
        <f t="shared" si="35"/>
        <v/>
      </c>
      <c r="DE14" s="34" t="str">
        <f t="shared" ref="DE14:DN23" si="36">IF($D14&lt;&gt;"",IF(EOMONTH($D14,0)&gt;=DE$3,IF($B14&lt;=DE$3,$H14,""),""),"")</f>
        <v/>
      </c>
      <c r="DF14" s="34" t="str">
        <f t="shared" si="36"/>
        <v/>
      </c>
      <c r="DG14" s="34" t="str">
        <f t="shared" si="36"/>
        <v/>
      </c>
      <c r="DH14" s="34" t="str">
        <f t="shared" si="36"/>
        <v/>
      </c>
      <c r="DI14" s="34" t="str">
        <f t="shared" si="36"/>
        <v/>
      </c>
      <c r="DJ14" s="33" t="str">
        <f t="shared" si="36"/>
        <v/>
      </c>
      <c r="DK14" s="34" t="str">
        <f t="shared" si="36"/>
        <v/>
      </c>
      <c r="DL14" s="34" t="str">
        <f t="shared" si="36"/>
        <v/>
      </c>
      <c r="DM14" s="34" t="str">
        <f t="shared" si="36"/>
        <v/>
      </c>
      <c r="DN14" s="34" t="str">
        <f t="shared" si="36"/>
        <v/>
      </c>
      <c r="DO14" s="34" t="str">
        <f t="shared" ref="DO14:DX23" si="37">IF($D14&lt;&gt;"",IF(EOMONTH($D14,0)&gt;=DO$3,IF($B14&lt;=DO$3,$H14,""),""),"")</f>
        <v/>
      </c>
      <c r="DP14" s="34" t="str">
        <f t="shared" si="37"/>
        <v/>
      </c>
      <c r="DQ14" s="34" t="str">
        <f t="shared" si="37"/>
        <v/>
      </c>
      <c r="DR14" s="34" t="str">
        <f t="shared" si="37"/>
        <v/>
      </c>
      <c r="DS14" s="34" t="str">
        <f t="shared" si="37"/>
        <v/>
      </c>
      <c r="DT14" s="34" t="str">
        <f t="shared" si="37"/>
        <v/>
      </c>
      <c r="DU14" s="34" t="str">
        <f t="shared" si="37"/>
        <v/>
      </c>
      <c r="DV14" s="33" t="str">
        <f t="shared" si="37"/>
        <v/>
      </c>
      <c r="DW14" s="34" t="str">
        <f t="shared" si="37"/>
        <v/>
      </c>
      <c r="DX14" s="34" t="str">
        <f t="shared" si="37"/>
        <v/>
      </c>
      <c r="DY14" s="34" t="str">
        <f t="shared" ref="DY14:EH23" si="38">IF($D14&lt;&gt;"",IF(EOMONTH($D14,0)&gt;=DY$3,IF($B14&lt;=DY$3,$H14,""),""),"")</f>
        <v/>
      </c>
      <c r="DZ14" s="34" t="str">
        <f t="shared" si="38"/>
        <v/>
      </c>
      <c r="EA14" s="34" t="str">
        <f t="shared" si="38"/>
        <v/>
      </c>
      <c r="EB14" s="34" t="str">
        <f t="shared" si="38"/>
        <v/>
      </c>
      <c r="EC14" s="34" t="str">
        <f t="shared" si="38"/>
        <v/>
      </c>
      <c r="ED14" s="34" t="str">
        <f t="shared" si="38"/>
        <v/>
      </c>
      <c r="EE14" s="34" t="str">
        <f t="shared" si="38"/>
        <v/>
      </c>
      <c r="EF14" s="34" t="str">
        <f t="shared" si="38"/>
        <v/>
      </c>
      <c r="EG14" s="34" t="str">
        <f t="shared" si="38"/>
        <v/>
      </c>
      <c r="EH14" s="33" t="str">
        <f t="shared" si="38"/>
        <v/>
      </c>
      <c r="EI14" s="34" t="str">
        <f t="shared" ref="EI14:ER23" si="39">IF($D14&lt;&gt;"",IF(EOMONTH($D14,0)&gt;=EI$3,IF($B14&lt;=EI$3,$H14,""),""),"")</f>
        <v/>
      </c>
      <c r="EJ14" s="34" t="str">
        <f t="shared" si="39"/>
        <v/>
      </c>
      <c r="EK14" s="34" t="str">
        <f t="shared" si="39"/>
        <v/>
      </c>
      <c r="EL14" s="34" t="str">
        <f t="shared" si="39"/>
        <v/>
      </c>
      <c r="EM14" s="34" t="str">
        <f t="shared" si="39"/>
        <v/>
      </c>
      <c r="EN14" s="34" t="str">
        <f t="shared" si="39"/>
        <v/>
      </c>
      <c r="EO14" s="34" t="str">
        <f t="shared" si="39"/>
        <v/>
      </c>
      <c r="EP14" s="34" t="str">
        <f t="shared" si="39"/>
        <v/>
      </c>
      <c r="EQ14" s="34" t="str">
        <f t="shared" si="39"/>
        <v/>
      </c>
      <c r="ER14" s="34" t="str">
        <f t="shared" si="39"/>
        <v/>
      </c>
      <c r="ES14" s="34" t="str">
        <f t="shared" ref="ES14:FF23" si="40">IF($D14&lt;&gt;"",IF(EOMONTH($D14,0)&gt;=ES$3,IF($B14&lt;=ES$3,$H14,""),""),"")</f>
        <v/>
      </c>
      <c r="ET14" s="33" t="str">
        <f t="shared" si="40"/>
        <v/>
      </c>
      <c r="EU14" s="34" t="str">
        <f t="shared" si="40"/>
        <v/>
      </c>
      <c r="EV14" s="34" t="str">
        <f t="shared" si="40"/>
        <v/>
      </c>
      <c r="EW14" s="34" t="str">
        <f t="shared" si="40"/>
        <v/>
      </c>
      <c r="EX14" s="34" t="str">
        <f t="shared" si="40"/>
        <v/>
      </c>
      <c r="EY14" s="34" t="str">
        <f t="shared" si="40"/>
        <v/>
      </c>
      <c r="EZ14" s="34" t="str">
        <f t="shared" si="40"/>
        <v/>
      </c>
      <c r="FA14" s="34" t="str">
        <f t="shared" si="40"/>
        <v/>
      </c>
      <c r="FB14" s="34" t="str">
        <f t="shared" si="40"/>
        <v/>
      </c>
      <c r="FC14" s="34" t="str">
        <f t="shared" si="40"/>
        <v/>
      </c>
      <c r="FD14" s="34" t="str">
        <f t="shared" si="40"/>
        <v/>
      </c>
      <c r="FE14" s="34" t="str">
        <f t="shared" si="40"/>
        <v/>
      </c>
      <c r="FF14" s="33" t="str">
        <f t="shared" si="40"/>
        <v/>
      </c>
      <c r="FG14" s="14"/>
      <c r="FH14" s="14"/>
      <c r="FI14" s="14"/>
      <c r="FJ14" s="14"/>
      <c r="FK14" s="14"/>
      <c r="FL14" s="14"/>
      <c r="FM14" s="14"/>
      <c r="FN14" s="14"/>
      <c r="FO14" s="14"/>
      <c r="FP14" s="14"/>
      <c r="FQ14" s="14"/>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row>
    <row r="15" spans="1:210">
      <c r="A15" s="35">
        <v>12</v>
      </c>
      <c r="B15" s="38" t="str">
        <f>IF('(7b) Project List'!F20&lt;&gt;"",'(7b) Project List'!F20," ")</f>
        <v xml:space="preserve"> </v>
      </c>
      <c r="C15" s="38" t="str">
        <f t="shared" si="5"/>
        <v xml:space="preserve"> </v>
      </c>
      <c r="D15" s="38" t="str">
        <f>IF('(7b) Project List'!G20&lt;&gt;"",'(7b) Project List'!G20,"")</f>
        <v/>
      </c>
      <c r="E15" s="37" t="str">
        <f t="shared" si="6"/>
        <v/>
      </c>
      <c r="F15" s="36"/>
      <c r="G15" s="36"/>
      <c r="H15" s="35">
        <f>IF('(7b) Project List'!H20&lt;&gt;"",'(7b) Project List'!H20,"")</f>
        <v>0</v>
      </c>
      <c r="I15" s="35"/>
      <c r="J15" s="17">
        <f t="shared" si="7"/>
        <v>0</v>
      </c>
      <c r="K15" s="17" t="str">
        <f>IF(OR(('(7b) Project List'!$F$5=""),('(7b) Project List'!$C20&gt;'(7b) Project List'!$F20),('(7b) Project List'!$C20&gt;'(7b) Project List'!$G20),('(7b) Project List'!$C20&gt;'(7b) Project List'!$F$5),('(7b) Project List'!$G20&lt;'(7c) Project Schedule'!$B$25),('(7b) Project List'!$F20&gt;'(7b) Project List'!$D20),('(7c) Project Schedule'!$B$25&gt;'(7b) Project List'!$D20),('(7b) Project List'!$F20&gt;'(7b) Project List'!$F$5),('(7b) Project List'!$F20&gt;'(7b) Project List'!$G20),('(7b) Project List'!$G20&gt;'(7b) Project List'!$D20)),"",COUNTIF(S15:GP15,"&gt;0"))</f>
        <v/>
      </c>
      <c r="L15" s="16" t="str">
        <f t="shared" si="8"/>
        <v xml:space="preserve"> </v>
      </c>
      <c r="N15" s="16" t="str">
        <f t="shared" si="9"/>
        <v xml:space="preserve"> </v>
      </c>
      <c r="O15" s="16" t="str">
        <f t="shared" si="10"/>
        <v xml:space="preserve"> </v>
      </c>
      <c r="P15" s="16" t="str">
        <f t="shared" si="11"/>
        <v xml:space="preserve"> </v>
      </c>
      <c r="Q15" s="16" t="str">
        <f t="shared" si="12"/>
        <v xml:space="preserve"> </v>
      </c>
      <c r="S15" s="34" t="str">
        <f t="shared" si="27"/>
        <v/>
      </c>
      <c r="T15" s="34" t="str">
        <f t="shared" si="27"/>
        <v/>
      </c>
      <c r="U15" s="34" t="str">
        <f t="shared" si="27"/>
        <v/>
      </c>
      <c r="V15" s="34" t="str">
        <f t="shared" si="27"/>
        <v/>
      </c>
      <c r="W15" s="34" t="str">
        <f t="shared" si="27"/>
        <v/>
      </c>
      <c r="X15" s="34" t="str">
        <f t="shared" si="27"/>
        <v/>
      </c>
      <c r="Y15" s="34" t="str">
        <f t="shared" si="27"/>
        <v/>
      </c>
      <c r="Z15" s="34" t="str">
        <f t="shared" si="27"/>
        <v/>
      </c>
      <c r="AA15" s="34" t="str">
        <f t="shared" si="27"/>
        <v/>
      </c>
      <c r="AB15" s="34" t="str">
        <f t="shared" si="27"/>
        <v/>
      </c>
      <c r="AC15" s="34" t="str">
        <f t="shared" si="28"/>
        <v/>
      </c>
      <c r="AD15" s="33" t="str">
        <f t="shared" si="28"/>
        <v/>
      </c>
      <c r="AE15" s="34" t="str">
        <f t="shared" si="28"/>
        <v/>
      </c>
      <c r="AF15" s="34" t="str">
        <f t="shared" si="28"/>
        <v/>
      </c>
      <c r="AG15" s="34" t="str">
        <f t="shared" si="28"/>
        <v/>
      </c>
      <c r="AH15" s="34" t="str">
        <f t="shared" si="28"/>
        <v/>
      </c>
      <c r="AI15" s="34" t="str">
        <f t="shared" si="28"/>
        <v/>
      </c>
      <c r="AJ15" s="34" t="str">
        <f t="shared" si="28"/>
        <v/>
      </c>
      <c r="AK15" s="34" t="str">
        <f t="shared" si="28"/>
        <v/>
      </c>
      <c r="AL15" s="34" t="str">
        <f t="shared" si="28"/>
        <v/>
      </c>
      <c r="AM15" s="34" t="str">
        <f t="shared" si="29"/>
        <v/>
      </c>
      <c r="AN15" s="34" t="str">
        <f t="shared" si="29"/>
        <v/>
      </c>
      <c r="AO15" s="34" t="str">
        <f t="shared" si="29"/>
        <v/>
      </c>
      <c r="AP15" s="33" t="str">
        <f t="shared" si="29"/>
        <v/>
      </c>
      <c r="AQ15" s="34" t="str">
        <f t="shared" si="29"/>
        <v/>
      </c>
      <c r="AR15" s="34" t="str">
        <f t="shared" si="29"/>
        <v/>
      </c>
      <c r="AS15" s="34" t="str">
        <f t="shared" si="29"/>
        <v/>
      </c>
      <c r="AT15" s="34" t="str">
        <f t="shared" si="29"/>
        <v/>
      </c>
      <c r="AU15" s="34" t="str">
        <f t="shared" si="29"/>
        <v/>
      </c>
      <c r="AV15" s="34" t="str">
        <f t="shared" si="29"/>
        <v/>
      </c>
      <c r="AW15" s="34" t="str">
        <f t="shared" si="30"/>
        <v/>
      </c>
      <c r="AX15" s="34" t="str">
        <f t="shared" si="30"/>
        <v/>
      </c>
      <c r="AY15" s="34" t="str">
        <f t="shared" si="30"/>
        <v/>
      </c>
      <c r="AZ15" s="34" t="str">
        <f t="shared" si="30"/>
        <v/>
      </c>
      <c r="BA15" s="34" t="str">
        <f t="shared" si="30"/>
        <v/>
      </c>
      <c r="BB15" s="33" t="str">
        <f t="shared" si="30"/>
        <v/>
      </c>
      <c r="BC15" s="34" t="str">
        <f t="shared" si="30"/>
        <v/>
      </c>
      <c r="BD15" s="34" t="str">
        <f t="shared" si="30"/>
        <v/>
      </c>
      <c r="BE15" s="34" t="str">
        <f t="shared" si="30"/>
        <v/>
      </c>
      <c r="BF15" s="34" t="str">
        <f t="shared" si="30"/>
        <v/>
      </c>
      <c r="BG15" s="34" t="str">
        <f t="shared" si="31"/>
        <v/>
      </c>
      <c r="BH15" s="34" t="str">
        <f t="shared" si="31"/>
        <v/>
      </c>
      <c r="BI15" s="34" t="str">
        <f t="shared" si="31"/>
        <v/>
      </c>
      <c r="BJ15" s="34" t="str">
        <f t="shared" si="31"/>
        <v/>
      </c>
      <c r="BK15" s="34" t="str">
        <f t="shared" si="31"/>
        <v/>
      </c>
      <c r="BL15" s="34" t="str">
        <f t="shared" si="31"/>
        <v/>
      </c>
      <c r="BM15" s="34" t="str">
        <f t="shared" si="31"/>
        <v/>
      </c>
      <c r="BN15" s="33" t="str">
        <f t="shared" si="31"/>
        <v/>
      </c>
      <c r="BO15" s="34" t="str">
        <f t="shared" si="31"/>
        <v/>
      </c>
      <c r="BP15" s="34" t="str">
        <f t="shared" si="31"/>
        <v/>
      </c>
      <c r="BQ15" s="34" t="str">
        <f t="shared" si="32"/>
        <v/>
      </c>
      <c r="BR15" s="34" t="str">
        <f t="shared" si="32"/>
        <v/>
      </c>
      <c r="BS15" s="34" t="str">
        <f t="shared" si="32"/>
        <v/>
      </c>
      <c r="BT15" s="34" t="str">
        <f t="shared" si="32"/>
        <v/>
      </c>
      <c r="BU15" s="34" t="str">
        <f t="shared" si="32"/>
        <v/>
      </c>
      <c r="BV15" s="34" t="str">
        <f t="shared" si="32"/>
        <v/>
      </c>
      <c r="BW15" s="34" t="str">
        <f t="shared" si="32"/>
        <v/>
      </c>
      <c r="BX15" s="34" t="str">
        <f t="shared" si="32"/>
        <v/>
      </c>
      <c r="BY15" s="34" t="str">
        <f t="shared" si="32"/>
        <v/>
      </c>
      <c r="BZ15" s="33" t="str">
        <f t="shared" si="32"/>
        <v/>
      </c>
      <c r="CA15" s="34" t="str">
        <f t="shared" si="33"/>
        <v/>
      </c>
      <c r="CB15" s="34" t="str">
        <f t="shared" si="33"/>
        <v/>
      </c>
      <c r="CC15" s="34" t="str">
        <f t="shared" si="33"/>
        <v/>
      </c>
      <c r="CD15" s="34" t="str">
        <f t="shared" si="33"/>
        <v/>
      </c>
      <c r="CE15" s="34" t="str">
        <f t="shared" si="33"/>
        <v/>
      </c>
      <c r="CF15" s="34" t="str">
        <f t="shared" si="33"/>
        <v/>
      </c>
      <c r="CG15" s="34" t="str">
        <f t="shared" si="33"/>
        <v/>
      </c>
      <c r="CH15" s="34" t="str">
        <f t="shared" si="33"/>
        <v/>
      </c>
      <c r="CI15" s="34" t="str">
        <f t="shared" si="33"/>
        <v/>
      </c>
      <c r="CJ15" s="34" t="str">
        <f t="shared" si="33"/>
        <v/>
      </c>
      <c r="CK15" s="34" t="str">
        <f t="shared" si="34"/>
        <v/>
      </c>
      <c r="CL15" s="33" t="str">
        <f t="shared" si="34"/>
        <v/>
      </c>
      <c r="CM15" s="34" t="str">
        <f t="shared" si="34"/>
        <v/>
      </c>
      <c r="CN15" s="34" t="str">
        <f t="shared" si="34"/>
        <v/>
      </c>
      <c r="CO15" s="34" t="str">
        <f t="shared" si="34"/>
        <v/>
      </c>
      <c r="CP15" s="34" t="str">
        <f t="shared" si="34"/>
        <v/>
      </c>
      <c r="CQ15" s="34" t="str">
        <f t="shared" si="34"/>
        <v/>
      </c>
      <c r="CR15" s="34" t="str">
        <f t="shared" si="34"/>
        <v/>
      </c>
      <c r="CS15" s="34" t="str">
        <f t="shared" si="34"/>
        <v/>
      </c>
      <c r="CT15" s="34" t="str">
        <f t="shared" si="34"/>
        <v/>
      </c>
      <c r="CU15" s="34" t="str">
        <f t="shared" si="35"/>
        <v/>
      </c>
      <c r="CV15" s="34" t="str">
        <f t="shared" si="35"/>
        <v/>
      </c>
      <c r="CW15" s="34" t="str">
        <f t="shared" si="35"/>
        <v/>
      </c>
      <c r="CX15" s="33" t="str">
        <f t="shared" si="35"/>
        <v/>
      </c>
      <c r="CY15" s="34" t="str">
        <f t="shared" si="35"/>
        <v/>
      </c>
      <c r="CZ15" s="34" t="str">
        <f t="shared" si="35"/>
        <v/>
      </c>
      <c r="DA15" s="34" t="str">
        <f t="shared" si="35"/>
        <v/>
      </c>
      <c r="DB15" s="34" t="str">
        <f t="shared" si="35"/>
        <v/>
      </c>
      <c r="DC15" s="34" t="str">
        <f t="shared" si="35"/>
        <v/>
      </c>
      <c r="DD15" s="34" t="str">
        <f t="shared" si="35"/>
        <v/>
      </c>
      <c r="DE15" s="34" t="str">
        <f t="shared" si="36"/>
        <v/>
      </c>
      <c r="DF15" s="34" t="str">
        <f t="shared" si="36"/>
        <v/>
      </c>
      <c r="DG15" s="34" t="str">
        <f t="shared" si="36"/>
        <v/>
      </c>
      <c r="DH15" s="34" t="str">
        <f t="shared" si="36"/>
        <v/>
      </c>
      <c r="DI15" s="34" t="str">
        <f t="shared" si="36"/>
        <v/>
      </c>
      <c r="DJ15" s="33" t="str">
        <f t="shared" si="36"/>
        <v/>
      </c>
      <c r="DK15" s="34" t="str">
        <f t="shared" si="36"/>
        <v/>
      </c>
      <c r="DL15" s="34" t="str">
        <f t="shared" si="36"/>
        <v/>
      </c>
      <c r="DM15" s="34" t="str">
        <f t="shared" si="36"/>
        <v/>
      </c>
      <c r="DN15" s="34" t="str">
        <f t="shared" si="36"/>
        <v/>
      </c>
      <c r="DO15" s="34" t="str">
        <f t="shared" si="37"/>
        <v/>
      </c>
      <c r="DP15" s="34" t="str">
        <f t="shared" si="37"/>
        <v/>
      </c>
      <c r="DQ15" s="34" t="str">
        <f t="shared" si="37"/>
        <v/>
      </c>
      <c r="DR15" s="34" t="str">
        <f t="shared" si="37"/>
        <v/>
      </c>
      <c r="DS15" s="34" t="str">
        <f t="shared" si="37"/>
        <v/>
      </c>
      <c r="DT15" s="34" t="str">
        <f t="shared" si="37"/>
        <v/>
      </c>
      <c r="DU15" s="34" t="str">
        <f t="shared" si="37"/>
        <v/>
      </c>
      <c r="DV15" s="33" t="str">
        <f t="shared" si="37"/>
        <v/>
      </c>
      <c r="DW15" s="34" t="str">
        <f t="shared" si="37"/>
        <v/>
      </c>
      <c r="DX15" s="34" t="str">
        <f t="shared" si="37"/>
        <v/>
      </c>
      <c r="DY15" s="34" t="str">
        <f t="shared" si="38"/>
        <v/>
      </c>
      <c r="DZ15" s="34" t="str">
        <f t="shared" si="38"/>
        <v/>
      </c>
      <c r="EA15" s="34" t="str">
        <f t="shared" si="38"/>
        <v/>
      </c>
      <c r="EB15" s="34" t="str">
        <f t="shared" si="38"/>
        <v/>
      </c>
      <c r="EC15" s="34" t="str">
        <f t="shared" si="38"/>
        <v/>
      </c>
      <c r="ED15" s="34" t="str">
        <f t="shared" si="38"/>
        <v/>
      </c>
      <c r="EE15" s="34" t="str">
        <f t="shared" si="38"/>
        <v/>
      </c>
      <c r="EF15" s="34" t="str">
        <f t="shared" si="38"/>
        <v/>
      </c>
      <c r="EG15" s="34" t="str">
        <f t="shared" si="38"/>
        <v/>
      </c>
      <c r="EH15" s="33" t="str">
        <f t="shared" si="38"/>
        <v/>
      </c>
      <c r="EI15" s="34" t="str">
        <f t="shared" si="39"/>
        <v/>
      </c>
      <c r="EJ15" s="34" t="str">
        <f t="shared" si="39"/>
        <v/>
      </c>
      <c r="EK15" s="34" t="str">
        <f t="shared" si="39"/>
        <v/>
      </c>
      <c r="EL15" s="34" t="str">
        <f t="shared" si="39"/>
        <v/>
      </c>
      <c r="EM15" s="34" t="str">
        <f t="shared" si="39"/>
        <v/>
      </c>
      <c r="EN15" s="34" t="str">
        <f t="shared" si="39"/>
        <v/>
      </c>
      <c r="EO15" s="34" t="str">
        <f t="shared" si="39"/>
        <v/>
      </c>
      <c r="EP15" s="34" t="str">
        <f t="shared" si="39"/>
        <v/>
      </c>
      <c r="EQ15" s="34" t="str">
        <f t="shared" si="39"/>
        <v/>
      </c>
      <c r="ER15" s="34" t="str">
        <f t="shared" si="39"/>
        <v/>
      </c>
      <c r="ES15" s="34" t="str">
        <f t="shared" si="40"/>
        <v/>
      </c>
      <c r="ET15" s="33" t="str">
        <f t="shared" si="40"/>
        <v/>
      </c>
      <c r="EU15" s="34" t="str">
        <f t="shared" si="40"/>
        <v/>
      </c>
      <c r="EV15" s="34" t="str">
        <f t="shared" si="40"/>
        <v/>
      </c>
      <c r="EW15" s="34" t="str">
        <f t="shared" si="40"/>
        <v/>
      </c>
      <c r="EX15" s="34" t="str">
        <f t="shared" si="40"/>
        <v/>
      </c>
      <c r="EY15" s="34" t="str">
        <f t="shared" si="40"/>
        <v/>
      </c>
      <c r="EZ15" s="34" t="str">
        <f t="shared" si="40"/>
        <v/>
      </c>
      <c r="FA15" s="34" t="str">
        <f t="shared" si="40"/>
        <v/>
      </c>
      <c r="FB15" s="34" t="str">
        <f t="shared" si="40"/>
        <v/>
      </c>
      <c r="FC15" s="34" t="str">
        <f t="shared" si="40"/>
        <v/>
      </c>
      <c r="FD15" s="34" t="str">
        <f t="shared" si="40"/>
        <v/>
      </c>
      <c r="FE15" s="34" t="str">
        <f t="shared" si="40"/>
        <v/>
      </c>
      <c r="FF15" s="33" t="str">
        <f t="shared" si="40"/>
        <v/>
      </c>
      <c r="FG15" s="14"/>
      <c r="FH15" s="14"/>
      <c r="FI15" s="14"/>
      <c r="FJ15" s="14"/>
      <c r="FK15" s="14"/>
      <c r="FL15" s="14"/>
      <c r="FM15" s="14"/>
      <c r="FN15" s="14"/>
      <c r="FO15" s="14"/>
      <c r="FP15" s="14"/>
      <c r="FQ15" s="14"/>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row>
    <row r="16" spans="1:210">
      <c r="A16" s="35">
        <v>13</v>
      </c>
      <c r="B16" s="38" t="str">
        <f>IF('(7b) Project List'!F21&lt;&gt;"",'(7b) Project List'!F21," ")</f>
        <v xml:space="preserve"> </v>
      </c>
      <c r="C16" s="38" t="str">
        <f t="shared" si="5"/>
        <v xml:space="preserve"> </v>
      </c>
      <c r="D16" s="38" t="str">
        <f>IF('(7b) Project List'!G21&lt;&gt;"",'(7b) Project List'!G21,"")</f>
        <v/>
      </c>
      <c r="E16" s="37" t="str">
        <f t="shared" si="6"/>
        <v/>
      </c>
      <c r="F16" s="36"/>
      <c r="G16" s="36"/>
      <c r="H16" s="35">
        <f>IF('(7b) Project List'!H21&lt;&gt;"",'(7b) Project List'!H21,"")</f>
        <v>0</v>
      </c>
      <c r="I16" s="35"/>
      <c r="J16" s="17">
        <f t="shared" si="7"/>
        <v>0</v>
      </c>
      <c r="K16" s="17" t="str">
        <f>IF(OR(('(7b) Project List'!$F$5=""),('(7b) Project List'!$C21&gt;'(7b) Project List'!$F21),('(7b) Project List'!$C21&gt;'(7b) Project List'!$G21),('(7b) Project List'!$C21&gt;'(7b) Project List'!$F$5),('(7b) Project List'!$G21&lt;'(7c) Project Schedule'!$B$25),('(7b) Project List'!$F21&gt;'(7b) Project List'!$D21),('(7c) Project Schedule'!$B$25&gt;'(7b) Project List'!$D21),('(7b) Project List'!$F21&gt;'(7b) Project List'!$F$5),('(7b) Project List'!$F21&gt;'(7b) Project List'!$G21),('(7b) Project List'!$G21&gt;'(7b) Project List'!$D21)),"",COUNTIF(S16:GP16,"&gt;0"))</f>
        <v/>
      </c>
      <c r="L16" s="16" t="str">
        <f t="shared" si="8"/>
        <v xml:space="preserve"> </v>
      </c>
      <c r="N16" s="16" t="str">
        <f t="shared" si="9"/>
        <v xml:space="preserve"> </v>
      </c>
      <c r="O16" s="16" t="str">
        <f t="shared" si="10"/>
        <v xml:space="preserve"> </v>
      </c>
      <c r="P16" s="16" t="str">
        <f t="shared" si="11"/>
        <v xml:space="preserve"> </v>
      </c>
      <c r="Q16" s="16" t="str">
        <f t="shared" si="12"/>
        <v xml:space="preserve"> </v>
      </c>
      <c r="S16" s="34" t="str">
        <f t="shared" si="27"/>
        <v/>
      </c>
      <c r="T16" s="34" t="str">
        <f t="shared" si="27"/>
        <v/>
      </c>
      <c r="U16" s="34" t="str">
        <f t="shared" si="27"/>
        <v/>
      </c>
      <c r="V16" s="34" t="str">
        <f t="shared" si="27"/>
        <v/>
      </c>
      <c r="W16" s="34" t="str">
        <f t="shared" si="27"/>
        <v/>
      </c>
      <c r="X16" s="34" t="str">
        <f t="shared" si="27"/>
        <v/>
      </c>
      <c r="Y16" s="34" t="str">
        <f t="shared" si="27"/>
        <v/>
      </c>
      <c r="Z16" s="34" t="str">
        <f t="shared" si="27"/>
        <v/>
      </c>
      <c r="AA16" s="34" t="str">
        <f t="shared" si="27"/>
        <v/>
      </c>
      <c r="AB16" s="34" t="str">
        <f t="shared" si="27"/>
        <v/>
      </c>
      <c r="AC16" s="34" t="str">
        <f t="shared" si="28"/>
        <v/>
      </c>
      <c r="AD16" s="33" t="str">
        <f t="shared" si="28"/>
        <v/>
      </c>
      <c r="AE16" s="34" t="str">
        <f t="shared" si="28"/>
        <v/>
      </c>
      <c r="AF16" s="34" t="str">
        <f t="shared" si="28"/>
        <v/>
      </c>
      <c r="AG16" s="34" t="str">
        <f t="shared" si="28"/>
        <v/>
      </c>
      <c r="AH16" s="34" t="str">
        <f t="shared" si="28"/>
        <v/>
      </c>
      <c r="AI16" s="34" t="str">
        <f t="shared" si="28"/>
        <v/>
      </c>
      <c r="AJ16" s="34" t="str">
        <f t="shared" si="28"/>
        <v/>
      </c>
      <c r="AK16" s="34" t="str">
        <f t="shared" si="28"/>
        <v/>
      </c>
      <c r="AL16" s="34" t="str">
        <f t="shared" si="28"/>
        <v/>
      </c>
      <c r="AM16" s="34" t="str">
        <f t="shared" si="29"/>
        <v/>
      </c>
      <c r="AN16" s="34" t="str">
        <f t="shared" si="29"/>
        <v/>
      </c>
      <c r="AO16" s="34" t="str">
        <f t="shared" si="29"/>
        <v/>
      </c>
      <c r="AP16" s="33" t="str">
        <f t="shared" si="29"/>
        <v/>
      </c>
      <c r="AQ16" s="34" t="str">
        <f t="shared" si="29"/>
        <v/>
      </c>
      <c r="AR16" s="34" t="str">
        <f t="shared" si="29"/>
        <v/>
      </c>
      <c r="AS16" s="34" t="str">
        <f t="shared" si="29"/>
        <v/>
      </c>
      <c r="AT16" s="34" t="str">
        <f t="shared" si="29"/>
        <v/>
      </c>
      <c r="AU16" s="34" t="str">
        <f t="shared" si="29"/>
        <v/>
      </c>
      <c r="AV16" s="34" t="str">
        <f t="shared" si="29"/>
        <v/>
      </c>
      <c r="AW16" s="34" t="str">
        <f t="shared" si="30"/>
        <v/>
      </c>
      <c r="AX16" s="34" t="str">
        <f t="shared" si="30"/>
        <v/>
      </c>
      <c r="AY16" s="34" t="str">
        <f t="shared" si="30"/>
        <v/>
      </c>
      <c r="AZ16" s="34" t="str">
        <f t="shared" si="30"/>
        <v/>
      </c>
      <c r="BA16" s="34" t="str">
        <f t="shared" si="30"/>
        <v/>
      </c>
      <c r="BB16" s="33" t="str">
        <f t="shared" si="30"/>
        <v/>
      </c>
      <c r="BC16" s="34" t="str">
        <f t="shared" si="30"/>
        <v/>
      </c>
      <c r="BD16" s="34" t="str">
        <f t="shared" si="30"/>
        <v/>
      </c>
      <c r="BE16" s="34" t="str">
        <f t="shared" si="30"/>
        <v/>
      </c>
      <c r="BF16" s="34" t="str">
        <f t="shared" si="30"/>
        <v/>
      </c>
      <c r="BG16" s="34" t="str">
        <f t="shared" si="31"/>
        <v/>
      </c>
      <c r="BH16" s="34" t="str">
        <f t="shared" si="31"/>
        <v/>
      </c>
      <c r="BI16" s="34" t="str">
        <f t="shared" si="31"/>
        <v/>
      </c>
      <c r="BJ16" s="34" t="str">
        <f t="shared" si="31"/>
        <v/>
      </c>
      <c r="BK16" s="34" t="str">
        <f t="shared" si="31"/>
        <v/>
      </c>
      <c r="BL16" s="34" t="str">
        <f t="shared" si="31"/>
        <v/>
      </c>
      <c r="BM16" s="34" t="str">
        <f t="shared" si="31"/>
        <v/>
      </c>
      <c r="BN16" s="33" t="str">
        <f t="shared" si="31"/>
        <v/>
      </c>
      <c r="BO16" s="34" t="str">
        <f t="shared" si="31"/>
        <v/>
      </c>
      <c r="BP16" s="34" t="str">
        <f t="shared" si="31"/>
        <v/>
      </c>
      <c r="BQ16" s="34" t="str">
        <f t="shared" si="32"/>
        <v/>
      </c>
      <c r="BR16" s="34" t="str">
        <f t="shared" si="32"/>
        <v/>
      </c>
      <c r="BS16" s="34" t="str">
        <f t="shared" si="32"/>
        <v/>
      </c>
      <c r="BT16" s="34" t="str">
        <f t="shared" si="32"/>
        <v/>
      </c>
      <c r="BU16" s="34" t="str">
        <f t="shared" si="32"/>
        <v/>
      </c>
      <c r="BV16" s="34" t="str">
        <f t="shared" si="32"/>
        <v/>
      </c>
      <c r="BW16" s="34" t="str">
        <f t="shared" si="32"/>
        <v/>
      </c>
      <c r="BX16" s="34" t="str">
        <f t="shared" si="32"/>
        <v/>
      </c>
      <c r="BY16" s="34" t="str">
        <f t="shared" si="32"/>
        <v/>
      </c>
      <c r="BZ16" s="33" t="str">
        <f t="shared" si="32"/>
        <v/>
      </c>
      <c r="CA16" s="34" t="str">
        <f t="shared" si="33"/>
        <v/>
      </c>
      <c r="CB16" s="34" t="str">
        <f t="shared" si="33"/>
        <v/>
      </c>
      <c r="CC16" s="34" t="str">
        <f t="shared" si="33"/>
        <v/>
      </c>
      <c r="CD16" s="34" t="str">
        <f t="shared" si="33"/>
        <v/>
      </c>
      <c r="CE16" s="34" t="str">
        <f t="shared" si="33"/>
        <v/>
      </c>
      <c r="CF16" s="34" t="str">
        <f t="shared" si="33"/>
        <v/>
      </c>
      <c r="CG16" s="34" t="str">
        <f t="shared" si="33"/>
        <v/>
      </c>
      <c r="CH16" s="34" t="str">
        <f t="shared" si="33"/>
        <v/>
      </c>
      <c r="CI16" s="34" t="str">
        <f t="shared" si="33"/>
        <v/>
      </c>
      <c r="CJ16" s="34" t="str">
        <f t="shared" si="33"/>
        <v/>
      </c>
      <c r="CK16" s="34" t="str">
        <f t="shared" si="34"/>
        <v/>
      </c>
      <c r="CL16" s="33" t="str">
        <f t="shared" si="34"/>
        <v/>
      </c>
      <c r="CM16" s="34" t="str">
        <f t="shared" si="34"/>
        <v/>
      </c>
      <c r="CN16" s="34" t="str">
        <f t="shared" si="34"/>
        <v/>
      </c>
      <c r="CO16" s="34" t="str">
        <f t="shared" si="34"/>
        <v/>
      </c>
      <c r="CP16" s="34" t="str">
        <f t="shared" si="34"/>
        <v/>
      </c>
      <c r="CQ16" s="34" t="str">
        <f t="shared" si="34"/>
        <v/>
      </c>
      <c r="CR16" s="34" t="str">
        <f t="shared" si="34"/>
        <v/>
      </c>
      <c r="CS16" s="34" t="str">
        <f t="shared" si="34"/>
        <v/>
      </c>
      <c r="CT16" s="34" t="str">
        <f t="shared" si="34"/>
        <v/>
      </c>
      <c r="CU16" s="34" t="str">
        <f t="shared" si="35"/>
        <v/>
      </c>
      <c r="CV16" s="34" t="str">
        <f t="shared" si="35"/>
        <v/>
      </c>
      <c r="CW16" s="34" t="str">
        <f t="shared" si="35"/>
        <v/>
      </c>
      <c r="CX16" s="33" t="str">
        <f t="shared" si="35"/>
        <v/>
      </c>
      <c r="CY16" s="34" t="str">
        <f t="shared" si="35"/>
        <v/>
      </c>
      <c r="CZ16" s="34" t="str">
        <f t="shared" si="35"/>
        <v/>
      </c>
      <c r="DA16" s="34" t="str">
        <f t="shared" si="35"/>
        <v/>
      </c>
      <c r="DB16" s="34" t="str">
        <f t="shared" si="35"/>
        <v/>
      </c>
      <c r="DC16" s="34" t="str">
        <f t="shared" si="35"/>
        <v/>
      </c>
      <c r="DD16" s="34" t="str">
        <f t="shared" si="35"/>
        <v/>
      </c>
      <c r="DE16" s="34" t="str">
        <f t="shared" si="36"/>
        <v/>
      </c>
      <c r="DF16" s="34" t="str">
        <f t="shared" si="36"/>
        <v/>
      </c>
      <c r="DG16" s="34" t="str">
        <f t="shared" si="36"/>
        <v/>
      </c>
      <c r="DH16" s="34" t="str">
        <f t="shared" si="36"/>
        <v/>
      </c>
      <c r="DI16" s="34" t="str">
        <f t="shared" si="36"/>
        <v/>
      </c>
      <c r="DJ16" s="33" t="str">
        <f t="shared" si="36"/>
        <v/>
      </c>
      <c r="DK16" s="34" t="str">
        <f t="shared" si="36"/>
        <v/>
      </c>
      <c r="DL16" s="34" t="str">
        <f t="shared" si="36"/>
        <v/>
      </c>
      <c r="DM16" s="34" t="str">
        <f t="shared" si="36"/>
        <v/>
      </c>
      <c r="DN16" s="34" t="str">
        <f t="shared" si="36"/>
        <v/>
      </c>
      <c r="DO16" s="34" t="str">
        <f t="shared" si="37"/>
        <v/>
      </c>
      <c r="DP16" s="34" t="str">
        <f t="shared" si="37"/>
        <v/>
      </c>
      <c r="DQ16" s="34" t="str">
        <f t="shared" si="37"/>
        <v/>
      </c>
      <c r="DR16" s="34" t="str">
        <f t="shared" si="37"/>
        <v/>
      </c>
      <c r="DS16" s="34" t="str">
        <f t="shared" si="37"/>
        <v/>
      </c>
      <c r="DT16" s="34" t="str">
        <f t="shared" si="37"/>
        <v/>
      </c>
      <c r="DU16" s="34" t="str">
        <f t="shared" si="37"/>
        <v/>
      </c>
      <c r="DV16" s="33" t="str">
        <f t="shared" si="37"/>
        <v/>
      </c>
      <c r="DW16" s="34" t="str">
        <f t="shared" si="37"/>
        <v/>
      </c>
      <c r="DX16" s="34" t="str">
        <f t="shared" si="37"/>
        <v/>
      </c>
      <c r="DY16" s="34" t="str">
        <f t="shared" si="38"/>
        <v/>
      </c>
      <c r="DZ16" s="34" t="str">
        <f t="shared" si="38"/>
        <v/>
      </c>
      <c r="EA16" s="34" t="str">
        <f t="shared" si="38"/>
        <v/>
      </c>
      <c r="EB16" s="34" t="str">
        <f t="shared" si="38"/>
        <v/>
      </c>
      <c r="EC16" s="34" t="str">
        <f t="shared" si="38"/>
        <v/>
      </c>
      <c r="ED16" s="34" t="str">
        <f t="shared" si="38"/>
        <v/>
      </c>
      <c r="EE16" s="34" t="str">
        <f t="shared" si="38"/>
        <v/>
      </c>
      <c r="EF16" s="34" t="str">
        <f t="shared" si="38"/>
        <v/>
      </c>
      <c r="EG16" s="34" t="str">
        <f t="shared" si="38"/>
        <v/>
      </c>
      <c r="EH16" s="33" t="str">
        <f t="shared" si="38"/>
        <v/>
      </c>
      <c r="EI16" s="34" t="str">
        <f t="shared" si="39"/>
        <v/>
      </c>
      <c r="EJ16" s="34" t="str">
        <f t="shared" si="39"/>
        <v/>
      </c>
      <c r="EK16" s="34" t="str">
        <f t="shared" si="39"/>
        <v/>
      </c>
      <c r="EL16" s="34" t="str">
        <f t="shared" si="39"/>
        <v/>
      </c>
      <c r="EM16" s="34" t="str">
        <f t="shared" si="39"/>
        <v/>
      </c>
      <c r="EN16" s="34" t="str">
        <f t="shared" si="39"/>
        <v/>
      </c>
      <c r="EO16" s="34" t="str">
        <f t="shared" si="39"/>
        <v/>
      </c>
      <c r="EP16" s="34" t="str">
        <f t="shared" si="39"/>
        <v/>
      </c>
      <c r="EQ16" s="34" t="str">
        <f t="shared" si="39"/>
        <v/>
      </c>
      <c r="ER16" s="34" t="str">
        <f t="shared" si="39"/>
        <v/>
      </c>
      <c r="ES16" s="34" t="str">
        <f t="shared" si="40"/>
        <v/>
      </c>
      <c r="ET16" s="33" t="str">
        <f t="shared" si="40"/>
        <v/>
      </c>
      <c r="EU16" s="34" t="str">
        <f t="shared" si="40"/>
        <v/>
      </c>
      <c r="EV16" s="34" t="str">
        <f t="shared" si="40"/>
        <v/>
      </c>
      <c r="EW16" s="34" t="str">
        <f t="shared" si="40"/>
        <v/>
      </c>
      <c r="EX16" s="34" t="str">
        <f t="shared" si="40"/>
        <v/>
      </c>
      <c r="EY16" s="34" t="str">
        <f t="shared" si="40"/>
        <v/>
      </c>
      <c r="EZ16" s="34" t="str">
        <f t="shared" si="40"/>
        <v/>
      </c>
      <c r="FA16" s="34" t="str">
        <f t="shared" si="40"/>
        <v/>
      </c>
      <c r="FB16" s="34" t="str">
        <f t="shared" si="40"/>
        <v/>
      </c>
      <c r="FC16" s="34" t="str">
        <f t="shared" si="40"/>
        <v/>
      </c>
      <c r="FD16" s="34" t="str">
        <f t="shared" si="40"/>
        <v/>
      </c>
      <c r="FE16" s="34" t="str">
        <f t="shared" si="40"/>
        <v/>
      </c>
      <c r="FF16" s="33" t="str">
        <f t="shared" si="40"/>
        <v/>
      </c>
      <c r="FG16" s="14"/>
      <c r="FH16" s="14"/>
      <c r="FI16" s="14"/>
      <c r="FJ16" s="14"/>
      <c r="FK16" s="14"/>
      <c r="FL16" s="14"/>
      <c r="FM16" s="14"/>
      <c r="FN16" s="14"/>
      <c r="FO16" s="14"/>
      <c r="FP16" s="14"/>
      <c r="FQ16" s="14"/>
      <c r="FR16" s="14"/>
      <c r="FS16" s="14"/>
      <c r="FT16" s="14"/>
      <c r="FU16" s="14"/>
      <c r="FV16" s="14"/>
      <c r="FW16" s="14"/>
      <c r="FX16" s="14"/>
      <c r="FY16" s="14"/>
      <c r="FZ16" s="14"/>
      <c r="GA16" s="14"/>
      <c r="GB16" s="14"/>
      <c r="GC16" s="14"/>
      <c r="GD16" s="14"/>
      <c r="GE16" s="14"/>
      <c r="GF16" s="14"/>
      <c r="GG16" s="14"/>
      <c r="GH16" s="14"/>
      <c r="GI16" s="14"/>
      <c r="GJ16" s="14"/>
      <c r="GK16" s="14"/>
      <c r="GL16" s="14"/>
      <c r="GM16" s="14"/>
      <c r="GN16" s="14"/>
      <c r="GO16" s="14"/>
      <c r="GP16" s="14"/>
      <c r="GQ16" s="14"/>
      <c r="GR16" s="14"/>
      <c r="GS16" s="14"/>
      <c r="GT16" s="14"/>
      <c r="GU16" s="14"/>
      <c r="GV16" s="14"/>
      <c r="GW16" s="14"/>
      <c r="GX16" s="14"/>
      <c r="GY16" s="14"/>
      <c r="GZ16" s="14"/>
      <c r="HA16" s="14"/>
      <c r="HB16" s="14"/>
    </row>
    <row r="17" spans="1:210">
      <c r="A17" s="35">
        <v>14</v>
      </c>
      <c r="B17" s="38" t="str">
        <f>IF('(7b) Project List'!F22&lt;&gt;"",'(7b) Project List'!F22," ")</f>
        <v xml:space="preserve"> </v>
      </c>
      <c r="C17" s="38" t="str">
        <f t="shared" si="5"/>
        <v xml:space="preserve"> </v>
      </c>
      <c r="D17" s="38" t="str">
        <f>IF('(7b) Project List'!G22&lt;&gt;"",'(7b) Project List'!G22,"")</f>
        <v/>
      </c>
      <c r="E17" s="37" t="str">
        <f t="shared" si="6"/>
        <v/>
      </c>
      <c r="F17" s="36"/>
      <c r="G17" s="36"/>
      <c r="H17" s="35">
        <f>IF('(7b) Project List'!H22&lt;&gt;"",'(7b) Project List'!H22,"")</f>
        <v>0</v>
      </c>
      <c r="I17" s="35"/>
      <c r="J17" s="17">
        <f t="shared" si="7"/>
        <v>0</v>
      </c>
      <c r="K17" s="17" t="str">
        <f>IF(OR(('(7b) Project List'!$F$5=""),('(7b) Project List'!$C22&gt;'(7b) Project List'!$F22),('(7b) Project List'!$C22&gt;'(7b) Project List'!$G22),('(7b) Project List'!$C22&gt;'(7b) Project List'!$F$5),('(7b) Project List'!$G22&lt;'(7c) Project Schedule'!$B$25),('(7b) Project List'!$F22&gt;'(7b) Project List'!$D22),('(7c) Project Schedule'!$B$25&gt;'(7b) Project List'!$D22),('(7b) Project List'!$F22&gt;'(7b) Project List'!$F$5),('(7b) Project List'!$F22&gt;'(7b) Project List'!$G22),('(7b) Project List'!$G22&gt;'(7b) Project List'!$D22)),"",COUNTIF(S17:GP17,"&gt;0"))</f>
        <v/>
      </c>
      <c r="L17" s="16" t="str">
        <f t="shared" si="8"/>
        <v xml:space="preserve"> </v>
      </c>
      <c r="N17" s="16" t="str">
        <f t="shared" si="9"/>
        <v xml:space="preserve"> </v>
      </c>
      <c r="O17" s="16" t="str">
        <f t="shared" si="10"/>
        <v xml:space="preserve"> </v>
      </c>
      <c r="P17" s="16" t="str">
        <f t="shared" si="11"/>
        <v xml:space="preserve"> </v>
      </c>
      <c r="Q17" s="16" t="str">
        <f t="shared" si="12"/>
        <v xml:space="preserve"> </v>
      </c>
      <c r="S17" s="34" t="str">
        <f t="shared" si="27"/>
        <v/>
      </c>
      <c r="T17" s="34" t="str">
        <f t="shared" si="27"/>
        <v/>
      </c>
      <c r="U17" s="34" t="str">
        <f t="shared" si="27"/>
        <v/>
      </c>
      <c r="V17" s="34" t="str">
        <f t="shared" si="27"/>
        <v/>
      </c>
      <c r="W17" s="34" t="str">
        <f t="shared" si="27"/>
        <v/>
      </c>
      <c r="X17" s="34" t="str">
        <f t="shared" si="27"/>
        <v/>
      </c>
      <c r="Y17" s="34" t="str">
        <f t="shared" si="27"/>
        <v/>
      </c>
      <c r="Z17" s="34" t="str">
        <f t="shared" si="27"/>
        <v/>
      </c>
      <c r="AA17" s="34" t="str">
        <f t="shared" si="27"/>
        <v/>
      </c>
      <c r="AB17" s="34" t="str">
        <f t="shared" si="27"/>
        <v/>
      </c>
      <c r="AC17" s="34" t="str">
        <f t="shared" si="28"/>
        <v/>
      </c>
      <c r="AD17" s="33" t="str">
        <f t="shared" si="28"/>
        <v/>
      </c>
      <c r="AE17" s="34" t="str">
        <f t="shared" si="28"/>
        <v/>
      </c>
      <c r="AF17" s="34" t="str">
        <f t="shared" si="28"/>
        <v/>
      </c>
      <c r="AG17" s="34" t="str">
        <f t="shared" si="28"/>
        <v/>
      </c>
      <c r="AH17" s="34" t="str">
        <f t="shared" si="28"/>
        <v/>
      </c>
      <c r="AI17" s="34" t="str">
        <f t="shared" si="28"/>
        <v/>
      </c>
      <c r="AJ17" s="34" t="str">
        <f t="shared" si="28"/>
        <v/>
      </c>
      <c r="AK17" s="34" t="str">
        <f t="shared" si="28"/>
        <v/>
      </c>
      <c r="AL17" s="34" t="str">
        <f t="shared" si="28"/>
        <v/>
      </c>
      <c r="AM17" s="34" t="str">
        <f t="shared" si="29"/>
        <v/>
      </c>
      <c r="AN17" s="34" t="str">
        <f t="shared" si="29"/>
        <v/>
      </c>
      <c r="AO17" s="34" t="str">
        <f t="shared" si="29"/>
        <v/>
      </c>
      <c r="AP17" s="33" t="str">
        <f t="shared" si="29"/>
        <v/>
      </c>
      <c r="AQ17" s="34" t="str">
        <f t="shared" si="29"/>
        <v/>
      </c>
      <c r="AR17" s="34" t="str">
        <f t="shared" si="29"/>
        <v/>
      </c>
      <c r="AS17" s="34" t="str">
        <f t="shared" si="29"/>
        <v/>
      </c>
      <c r="AT17" s="34" t="str">
        <f t="shared" si="29"/>
        <v/>
      </c>
      <c r="AU17" s="34" t="str">
        <f t="shared" si="29"/>
        <v/>
      </c>
      <c r="AV17" s="34" t="str">
        <f t="shared" si="29"/>
        <v/>
      </c>
      <c r="AW17" s="34" t="str">
        <f t="shared" si="30"/>
        <v/>
      </c>
      <c r="AX17" s="34" t="str">
        <f t="shared" si="30"/>
        <v/>
      </c>
      <c r="AY17" s="34" t="str">
        <f t="shared" si="30"/>
        <v/>
      </c>
      <c r="AZ17" s="34" t="str">
        <f t="shared" si="30"/>
        <v/>
      </c>
      <c r="BA17" s="34" t="str">
        <f t="shared" si="30"/>
        <v/>
      </c>
      <c r="BB17" s="33" t="str">
        <f t="shared" si="30"/>
        <v/>
      </c>
      <c r="BC17" s="34" t="str">
        <f t="shared" si="30"/>
        <v/>
      </c>
      <c r="BD17" s="34" t="str">
        <f t="shared" si="30"/>
        <v/>
      </c>
      <c r="BE17" s="34" t="str">
        <f t="shared" si="30"/>
        <v/>
      </c>
      <c r="BF17" s="34" t="str">
        <f t="shared" si="30"/>
        <v/>
      </c>
      <c r="BG17" s="34" t="str">
        <f t="shared" si="31"/>
        <v/>
      </c>
      <c r="BH17" s="34" t="str">
        <f t="shared" si="31"/>
        <v/>
      </c>
      <c r="BI17" s="34" t="str">
        <f t="shared" si="31"/>
        <v/>
      </c>
      <c r="BJ17" s="34" t="str">
        <f t="shared" si="31"/>
        <v/>
      </c>
      <c r="BK17" s="34" t="str">
        <f t="shared" si="31"/>
        <v/>
      </c>
      <c r="BL17" s="34" t="str">
        <f t="shared" si="31"/>
        <v/>
      </c>
      <c r="BM17" s="34" t="str">
        <f t="shared" si="31"/>
        <v/>
      </c>
      <c r="BN17" s="33" t="str">
        <f t="shared" si="31"/>
        <v/>
      </c>
      <c r="BO17" s="34" t="str">
        <f t="shared" si="31"/>
        <v/>
      </c>
      <c r="BP17" s="34" t="str">
        <f t="shared" si="31"/>
        <v/>
      </c>
      <c r="BQ17" s="34" t="str">
        <f t="shared" si="32"/>
        <v/>
      </c>
      <c r="BR17" s="34" t="str">
        <f t="shared" si="32"/>
        <v/>
      </c>
      <c r="BS17" s="34" t="str">
        <f t="shared" si="32"/>
        <v/>
      </c>
      <c r="BT17" s="34" t="str">
        <f t="shared" si="32"/>
        <v/>
      </c>
      <c r="BU17" s="34" t="str">
        <f t="shared" si="32"/>
        <v/>
      </c>
      <c r="BV17" s="34" t="str">
        <f t="shared" si="32"/>
        <v/>
      </c>
      <c r="BW17" s="34" t="str">
        <f t="shared" si="32"/>
        <v/>
      </c>
      <c r="BX17" s="34" t="str">
        <f t="shared" si="32"/>
        <v/>
      </c>
      <c r="BY17" s="34" t="str">
        <f t="shared" si="32"/>
        <v/>
      </c>
      <c r="BZ17" s="33" t="str">
        <f t="shared" si="32"/>
        <v/>
      </c>
      <c r="CA17" s="34" t="str">
        <f t="shared" si="33"/>
        <v/>
      </c>
      <c r="CB17" s="34" t="str">
        <f t="shared" si="33"/>
        <v/>
      </c>
      <c r="CC17" s="34" t="str">
        <f t="shared" si="33"/>
        <v/>
      </c>
      <c r="CD17" s="34" t="str">
        <f t="shared" si="33"/>
        <v/>
      </c>
      <c r="CE17" s="34" t="str">
        <f t="shared" si="33"/>
        <v/>
      </c>
      <c r="CF17" s="34" t="str">
        <f t="shared" si="33"/>
        <v/>
      </c>
      <c r="CG17" s="34" t="str">
        <f t="shared" si="33"/>
        <v/>
      </c>
      <c r="CH17" s="34" t="str">
        <f t="shared" si="33"/>
        <v/>
      </c>
      <c r="CI17" s="34" t="str">
        <f t="shared" si="33"/>
        <v/>
      </c>
      <c r="CJ17" s="34" t="str">
        <f t="shared" si="33"/>
        <v/>
      </c>
      <c r="CK17" s="34" t="str">
        <f t="shared" si="34"/>
        <v/>
      </c>
      <c r="CL17" s="33" t="str">
        <f t="shared" si="34"/>
        <v/>
      </c>
      <c r="CM17" s="34" t="str">
        <f t="shared" si="34"/>
        <v/>
      </c>
      <c r="CN17" s="34" t="str">
        <f t="shared" si="34"/>
        <v/>
      </c>
      <c r="CO17" s="34" t="str">
        <f t="shared" si="34"/>
        <v/>
      </c>
      <c r="CP17" s="34" t="str">
        <f t="shared" si="34"/>
        <v/>
      </c>
      <c r="CQ17" s="34" t="str">
        <f t="shared" si="34"/>
        <v/>
      </c>
      <c r="CR17" s="34" t="str">
        <f t="shared" si="34"/>
        <v/>
      </c>
      <c r="CS17" s="34" t="str">
        <f t="shared" si="34"/>
        <v/>
      </c>
      <c r="CT17" s="34" t="str">
        <f t="shared" si="34"/>
        <v/>
      </c>
      <c r="CU17" s="34" t="str">
        <f t="shared" si="35"/>
        <v/>
      </c>
      <c r="CV17" s="34" t="str">
        <f t="shared" si="35"/>
        <v/>
      </c>
      <c r="CW17" s="34" t="str">
        <f t="shared" si="35"/>
        <v/>
      </c>
      <c r="CX17" s="33" t="str">
        <f t="shared" si="35"/>
        <v/>
      </c>
      <c r="CY17" s="34" t="str">
        <f t="shared" si="35"/>
        <v/>
      </c>
      <c r="CZ17" s="34" t="str">
        <f t="shared" si="35"/>
        <v/>
      </c>
      <c r="DA17" s="34" t="str">
        <f t="shared" si="35"/>
        <v/>
      </c>
      <c r="DB17" s="34" t="str">
        <f t="shared" si="35"/>
        <v/>
      </c>
      <c r="DC17" s="34" t="str">
        <f t="shared" si="35"/>
        <v/>
      </c>
      <c r="DD17" s="34" t="str">
        <f t="shared" si="35"/>
        <v/>
      </c>
      <c r="DE17" s="34" t="str">
        <f t="shared" si="36"/>
        <v/>
      </c>
      <c r="DF17" s="34" t="str">
        <f t="shared" si="36"/>
        <v/>
      </c>
      <c r="DG17" s="34" t="str">
        <f t="shared" si="36"/>
        <v/>
      </c>
      <c r="DH17" s="34" t="str">
        <f t="shared" si="36"/>
        <v/>
      </c>
      <c r="DI17" s="34" t="str">
        <f t="shared" si="36"/>
        <v/>
      </c>
      <c r="DJ17" s="33" t="str">
        <f t="shared" si="36"/>
        <v/>
      </c>
      <c r="DK17" s="34" t="str">
        <f t="shared" si="36"/>
        <v/>
      </c>
      <c r="DL17" s="34" t="str">
        <f t="shared" si="36"/>
        <v/>
      </c>
      <c r="DM17" s="34" t="str">
        <f t="shared" si="36"/>
        <v/>
      </c>
      <c r="DN17" s="34" t="str">
        <f t="shared" si="36"/>
        <v/>
      </c>
      <c r="DO17" s="34" t="str">
        <f t="shared" si="37"/>
        <v/>
      </c>
      <c r="DP17" s="34" t="str">
        <f t="shared" si="37"/>
        <v/>
      </c>
      <c r="DQ17" s="34" t="str">
        <f t="shared" si="37"/>
        <v/>
      </c>
      <c r="DR17" s="34" t="str">
        <f t="shared" si="37"/>
        <v/>
      </c>
      <c r="DS17" s="34" t="str">
        <f t="shared" si="37"/>
        <v/>
      </c>
      <c r="DT17" s="34" t="str">
        <f t="shared" si="37"/>
        <v/>
      </c>
      <c r="DU17" s="34" t="str">
        <f t="shared" si="37"/>
        <v/>
      </c>
      <c r="DV17" s="33" t="str">
        <f t="shared" si="37"/>
        <v/>
      </c>
      <c r="DW17" s="34" t="str">
        <f t="shared" si="37"/>
        <v/>
      </c>
      <c r="DX17" s="34" t="str">
        <f t="shared" si="37"/>
        <v/>
      </c>
      <c r="DY17" s="34" t="str">
        <f t="shared" si="38"/>
        <v/>
      </c>
      <c r="DZ17" s="34" t="str">
        <f t="shared" si="38"/>
        <v/>
      </c>
      <c r="EA17" s="34" t="str">
        <f t="shared" si="38"/>
        <v/>
      </c>
      <c r="EB17" s="34" t="str">
        <f t="shared" si="38"/>
        <v/>
      </c>
      <c r="EC17" s="34" t="str">
        <f t="shared" si="38"/>
        <v/>
      </c>
      <c r="ED17" s="34" t="str">
        <f t="shared" si="38"/>
        <v/>
      </c>
      <c r="EE17" s="34" t="str">
        <f t="shared" si="38"/>
        <v/>
      </c>
      <c r="EF17" s="34" t="str">
        <f t="shared" si="38"/>
        <v/>
      </c>
      <c r="EG17" s="34" t="str">
        <f t="shared" si="38"/>
        <v/>
      </c>
      <c r="EH17" s="33" t="str">
        <f t="shared" si="38"/>
        <v/>
      </c>
      <c r="EI17" s="34" t="str">
        <f t="shared" si="39"/>
        <v/>
      </c>
      <c r="EJ17" s="34" t="str">
        <f t="shared" si="39"/>
        <v/>
      </c>
      <c r="EK17" s="34" t="str">
        <f t="shared" si="39"/>
        <v/>
      </c>
      <c r="EL17" s="34" t="str">
        <f t="shared" si="39"/>
        <v/>
      </c>
      <c r="EM17" s="34" t="str">
        <f t="shared" si="39"/>
        <v/>
      </c>
      <c r="EN17" s="34" t="str">
        <f t="shared" si="39"/>
        <v/>
      </c>
      <c r="EO17" s="34" t="str">
        <f t="shared" si="39"/>
        <v/>
      </c>
      <c r="EP17" s="34" t="str">
        <f t="shared" si="39"/>
        <v/>
      </c>
      <c r="EQ17" s="34" t="str">
        <f t="shared" si="39"/>
        <v/>
      </c>
      <c r="ER17" s="34" t="str">
        <f t="shared" si="39"/>
        <v/>
      </c>
      <c r="ES17" s="34" t="str">
        <f t="shared" si="40"/>
        <v/>
      </c>
      <c r="ET17" s="33" t="str">
        <f t="shared" si="40"/>
        <v/>
      </c>
      <c r="EU17" s="34" t="str">
        <f t="shared" si="40"/>
        <v/>
      </c>
      <c r="EV17" s="34" t="str">
        <f t="shared" si="40"/>
        <v/>
      </c>
      <c r="EW17" s="34" t="str">
        <f t="shared" si="40"/>
        <v/>
      </c>
      <c r="EX17" s="34" t="str">
        <f t="shared" si="40"/>
        <v/>
      </c>
      <c r="EY17" s="34" t="str">
        <f t="shared" si="40"/>
        <v/>
      </c>
      <c r="EZ17" s="34" t="str">
        <f t="shared" si="40"/>
        <v/>
      </c>
      <c r="FA17" s="34" t="str">
        <f t="shared" si="40"/>
        <v/>
      </c>
      <c r="FB17" s="34" t="str">
        <f t="shared" si="40"/>
        <v/>
      </c>
      <c r="FC17" s="34" t="str">
        <f t="shared" si="40"/>
        <v/>
      </c>
      <c r="FD17" s="34" t="str">
        <f t="shared" si="40"/>
        <v/>
      </c>
      <c r="FE17" s="34" t="str">
        <f t="shared" si="40"/>
        <v/>
      </c>
      <c r="FF17" s="33" t="str">
        <f t="shared" si="40"/>
        <v/>
      </c>
      <c r="FG17" s="14"/>
      <c r="FH17" s="14"/>
      <c r="FI17" s="14"/>
      <c r="FJ17" s="14"/>
      <c r="FK17" s="14"/>
      <c r="FL17" s="14"/>
      <c r="FM17" s="14"/>
      <c r="FN17" s="14"/>
      <c r="FO17" s="14"/>
      <c r="FP17" s="14"/>
      <c r="FQ17" s="14"/>
      <c r="FR17" s="14"/>
      <c r="FS17" s="14"/>
      <c r="FT17" s="14"/>
      <c r="FU17" s="14"/>
      <c r="FV17" s="14"/>
      <c r="FW17" s="14"/>
      <c r="FX17" s="14"/>
      <c r="FY17" s="14"/>
      <c r="FZ17" s="14"/>
      <c r="GA17" s="14"/>
      <c r="GB17" s="14"/>
      <c r="GC17" s="14"/>
      <c r="GD17" s="14"/>
      <c r="GE17" s="14"/>
      <c r="GF17" s="14"/>
      <c r="GG17" s="14"/>
      <c r="GH17" s="14"/>
      <c r="GI17" s="14"/>
      <c r="GJ17" s="14"/>
      <c r="GK17" s="14"/>
      <c r="GL17" s="14"/>
      <c r="GM17" s="14"/>
      <c r="GN17" s="14"/>
      <c r="GO17" s="14"/>
      <c r="GP17" s="14"/>
      <c r="GQ17" s="14"/>
      <c r="GR17" s="14"/>
      <c r="GS17" s="14"/>
      <c r="GT17" s="14"/>
      <c r="GU17" s="14"/>
      <c r="GV17" s="14"/>
      <c r="GW17" s="14"/>
      <c r="GX17" s="14"/>
      <c r="GY17" s="14"/>
      <c r="GZ17" s="14"/>
      <c r="HA17" s="14"/>
      <c r="HB17" s="14"/>
    </row>
    <row r="18" spans="1:210">
      <c r="A18" s="35">
        <v>15</v>
      </c>
      <c r="B18" s="38" t="str">
        <f>IF('(7b) Project List'!F23&lt;&gt;"",'(7b) Project List'!F23," ")</f>
        <v xml:space="preserve"> </v>
      </c>
      <c r="C18" s="38" t="str">
        <f t="shared" si="5"/>
        <v xml:space="preserve"> </v>
      </c>
      <c r="D18" s="38" t="str">
        <f>IF('(7b) Project List'!G23&lt;&gt;"",'(7b) Project List'!G23,"")</f>
        <v/>
      </c>
      <c r="E18" s="37" t="str">
        <f t="shared" si="6"/>
        <v/>
      </c>
      <c r="F18" s="36"/>
      <c r="G18" s="36"/>
      <c r="H18" s="35">
        <f>IF('(7b) Project List'!H23&lt;&gt;"",'(7b) Project List'!H23,"")</f>
        <v>0</v>
      </c>
      <c r="I18" s="35"/>
      <c r="J18" s="17">
        <f t="shared" si="7"/>
        <v>0</v>
      </c>
      <c r="K18" s="17" t="str">
        <f>IF(OR(('(7b) Project List'!$F$5=""),('(7b) Project List'!$C23&gt;'(7b) Project List'!$F23),('(7b) Project List'!$C23&gt;'(7b) Project List'!$G23),('(7b) Project List'!$C23&gt;'(7b) Project List'!$F$5),('(7b) Project List'!$G23&lt;'(7c) Project Schedule'!$B$25),('(7b) Project List'!$F23&gt;'(7b) Project List'!$D23),('(7c) Project Schedule'!$B$25&gt;'(7b) Project List'!$D23),('(7b) Project List'!$F23&gt;'(7b) Project List'!$F$5),('(7b) Project List'!$F23&gt;'(7b) Project List'!$G23),('(7b) Project List'!$G23&gt;'(7b) Project List'!$D23)),"",COUNTIF(S18:GP18,"&gt;0"))</f>
        <v/>
      </c>
      <c r="L18" s="16" t="str">
        <f t="shared" si="8"/>
        <v xml:space="preserve"> </v>
      </c>
      <c r="N18" s="16" t="str">
        <f t="shared" si="9"/>
        <v xml:space="preserve"> </v>
      </c>
      <c r="O18" s="16" t="str">
        <f t="shared" si="10"/>
        <v xml:space="preserve"> </v>
      </c>
      <c r="P18" s="16" t="str">
        <f t="shared" si="11"/>
        <v xml:space="preserve"> </v>
      </c>
      <c r="Q18" s="16" t="str">
        <f t="shared" si="12"/>
        <v xml:space="preserve"> </v>
      </c>
      <c r="S18" s="34" t="str">
        <f t="shared" si="27"/>
        <v/>
      </c>
      <c r="T18" s="34" t="str">
        <f t="shared" si="27"/>
        <v/>
      </c>
      <c r="U18" s="34" t="str">
        <f t="shared" si="27"/>
        <v/>
      </c>
      <c r="V18" s="34" t="str">
        <f t="shared" si="27"/>
        <v/>
      </c>
      <c r="W18" s="34" t="str">
        <f t="shared" si="27"/>
        <v/>
      </c>
      <c r="X18" s="34" t="str">
        <f t="shared" si="27"/>
        <v/>
      </c>
      <c r="Y18" s="34" t="str">
        <f t="shared" si="27"/>
        <v/>
      </c>
      <c r="Z18" s="34" t="str">
        <f t="shared" si="27"/>
        <v/>
      </c>
      <c r="AA18" s="34" t="str">
        <f t="shared" si="27"/>
        <v/>
      </c>
      <c r="AB18" s="34" t="str">
        <f t="shared" si="27"/>
        <v/>
      </c>
      <c r="AC18" s="34" t="str">
        <f t="shared" si="28"/>
        <v/>
      </c>
      <c r="AD18" s="33" t="str">
        <f t="shared" si="28"/>
        <v/>
      </c>
      <c r="AE18" s="34" t="str">
        <f t="shared" si="28"/>
        <v/>
      </c>
      <c r="AF18" s="34" t="str">
        <f t="shared" si="28"/>
        <v/>
      </c>
      <c r="AG18" s="34" t="str">
        <f t="shared" si="28"/>
        <v/>
      </c>
      <c r="AH18" s="34" t="str">
        <f t="shared" si="28"/>
        <v/>
      </c>
      <c r="AI18" s="34" t="str">
        <f t="shared" si="28"/>
        <v/>
      </c>
      <c r="AJ18" s="34" t="str">
        <f t="shared" si="28"/>
        <v/>
      </c>
      <c r="AK18" s="34" t="str">
        <f t="shared" si="28"/>
        <v/>
      </c>
      <c r="AL18" s="34" t="str">
        <f t="shared" si="28"/>
        <v/>
      </c>
      <c r="AM18" s="34" t="str">
        <f t="shared" si="29"/>
        <v/>
      </c>
      <c r="AN18" s="34" t="str">
        <f t="shared" si="29"/>
        <v/>
      </c>
      <c r="AO18" s="34" t="str">
        <f t="shared" si="29"/>
        <v/>
      </c>
      <c r="AP18" s="33" t="str">
        <f t="shared" si="29"/>
        <v/>
      </c>
      <c r="AQ18" s="34" t="str">
        <f t="shared" si="29"/>
        <v/>
      </c>
      <c r="AR18" s="34" t="str">
        <f t="shared" si="29"/>
        <v/>
      </c>
      <c r="AS18" s="34" t="str">
        <f t="shared" si="29"/>
        <v/>
      </c>
      <c r="AT18" s="34" t="str">
        <f t="shared" si="29"/>
        <v/>
      </c>
      <c r="AU18" s="34" t="str">
        <f t="shared" si="29"/>
        <v/>
      </c>
      <c r="AV18" s="34" t="str">
        <f t="shared" si="29"/>
        <v/>
      </c>
      <c r="AW18" s="34" t="str">
        <f t="shared" si="30"/>
        <v/>
      </c>
      <c r="AX18" s="34" t="str">
        <f t="shared" si="30"/>
        <v/>
      </c>
      <c r="AY18" s="34" t="str">
        <f t="shared" si="30"/>
        <v/>
      </c>
      <c r="AZ18" s="34" t="str">
        <f t="shared" si="30"/>
        <v/>
      </c>
      <c r="BA18" s="34" t="str">
        <f t="shared" si="30"/>
        <v/>
      </c>
      <c r="BB18" s="33" t="str">
        <f t="shared" si="30"/>
        <v/>
      </c>
      <c r="BC18" s="34" t="str">
        <f t="shared" si="30"/>
        <v/>
      </c>
      <c r="BD18" s="34" t="str">
        <f t="shared" si="30"/>
        <v/>
      </c>
      <c r="BE18" s="34" t="str">
        <f t="shared" si="30"/>
        <v/>
      </c>
      <c r="BF18" s="34" t="str">
        <f t="shared" si="30"/>
        <v/>
      </c>
      <c r="BG18" s="34" t="str">
        <f t="shared" si="31"/>
        <v/>
      </c>
      <c r="BH18" s="34" t="str">
        <f t="shared" si="31"/>
        <v/>
      </c>
      <c r="BI18" s="34" t="str">
        <f t="shared" si="31"/>
        <v/>
      </c>
      <c r="BJ18" s="34" t="str">
        <f t="shared" si="31"/>
        <v/>
      </c>
      <c r="BK18" s="34" t="str">
        <f t="shared" si="31"/>
        <v/>
      </c>
      <c r="BL18" s="34" t="str">
        <f t="shared" si="31"/>
        <v/>
      </c>
      <c r="BM18" s="34" t="str">
        <f t="shared" si="31"/>
        <v/>
      </c>
      <c r="BN18" s="33" t="str">
        <f t="shared" si="31"/>
        <v/>
      </c>
      <c r="BO18" s="34" t="str">
        <f t="shared" si="31"/>
        <v/>
      </c>
      <c r="BP18" s="34" t="str">
        <f t="shared" si="31"/>
        <v/>
      </c>
      <c r="BQ18" s="34" t="str">
        <f t="shared" si="32"/>
        <v/>
      </c>
      <c r="BR18" s="34" t="str">
        <f t="shared" si="32"/>
        <v/>
      </c>
      <c r="BS18" s="34" t="str">
        <f t="shared" si="32"/>
        <v/>
      </c>
      <c r="BT18" s="34" t="str">
        <f t="shared" si="32"/>
        <v/>
      </c>
      <c r="BU18" s="34" t="str">
        <f t="shared" si="32"/>
        <v/>
      </c>
      <c r="BV18" s="34" t="str">
        <f t="shared" si="32"/>
        <v/>
      </c>
      <c r="BW18" s="34" t="str">
        <f t="shared" si="32"/>
        <v/>
      </c>
      <c r="BX18" s="34" t="str">
        <f t="shared" si="32"/>
        <v/>
      </c>
      <c r="BY18" s="34" t="str">
        <f t="shared" si="32"/>
        <v/>
      </c>
      <c r="BZ18" s="33" t="str">
        <f t="shared" si="32"/>
        <v/>
      </c>
      <c r="CA18" s="34" t="str">
        <f t="shared" si="33"/>
        <v/>
      </c>
      <c r="CB18" s="34" t="str">
        <f t="shared" si="33"/>
        <v/>
      </c>
      <c r="CC18" s="34" t="str">
        <f t="shared" si="33"/>
        <v/>
      </c>
      <c r="CD18" s="34" t="str">
        <f t="shared" si="33"/>
        <v/>
      </c>
      <c r="CE18" s="34" t="str">
        <f t="shared" si="33"/>
        <v/>
      </c>
      <c r="CF18" s="34" t="str">
        <f t="shared" si="33"/>
        <v/>
      </c>
      <c r="CG18" s="34" t="str">
        <f t="shared" si="33"/>
        <v/>
      </c>
      <c r="CH18" s="34" t="str">
        <f t="shared" si="33"/>
        <v/>
      </c>
      <c r="CI18" s="34" t="str">
        <f t="shared" si="33"/>
        <v/>
      </c>
      <c r="CJ18" s="34" t="str">
        <f t="shared" si="33"/>
        <v/>
      </c>
      <c r="CK18" s="34" t="str">
        <f t="shared" si="34"/>
        <v/>
      </c>
      <c r="CL18" s="33" t="str">
        <f t="shared" si="34"/>
        <v/>
      </c>
      <c r="CM18" s="34" t="str">
        <f t="shared" si="34"/>
        <v/>
      </c>
      <c r="CN18" s="34" t="str">
        <f t="shared" si="34"/>
        <v/>
      </c>
      <c r="CO18" s="34" t="str">
        <f t="shared" si="34"/>
        <v/>
      </c>
      <c r="CP18" s="34" t="str">
        <f t="shared" si="34"/>
        <v/>
      </c>
      <c r="CQ18" s="34" t="str">
        <f t="shared" si="34"/>
        <v/>
      </c>
      <c r="CR18" s="34" t="str">
        <f t="shared" si="34"/>
        <v/>
      </c>
      <c r="CS18" s="34" t="str">
        <f t="shared" si="34"/>
        <v/>
      </c>
      <c r="CT18" s="34" t="str">
        <f t="shared" si="34"/>
        <v/>
      </c>
      <c r="CU18" s="34" t="str">
        <f t="shared" si="35"/>
        <v/>
      </c>
      <c r="CV18" s="34" t="str">
        <f t="shared" si="35"/>
        <v/>
      </c>
      <c r="CW18" s="34" t="str">
        <f t="shared" si="35"/>
        <v/>
      </c>
      <c r="CX18" s="33" t="str">
        <f t="shared" si="35"/>
        <v/>
      </c>
      <c r="CY18" s="34" t="str">
        <f t="shared" si="35"/>
        <v/>
      </c>
      <c r="CZ18" s="34" t="str">
        <f t="shared" si="35"/>
        <v/>
      </c>
      <c r="DA18" s="34" t="str">
        <f t="shared" si="35"/>
        <v/>
      </c>
      <c r="DB18" s="34" t="str">
        <f t="shared" si="35"/>
        <v/>
      </c>
      <c r="DC18" s="34" t="str">
        <f t="shared" si="35"/>
        <v/>
      </c>
      <c r="DD18" s="34" t="str">
        <f t="shared" si="35"/>
        <v/>
      </c>
      <c r="DE18" s="34" t="str">
        <f t="shared" si="36"/>
        <v/>
      </c>
      <c r="DF18" s="34" t="str">
        <f t="shared" si="36"/>
        <v/>
      </c>
      <c r="DG18" s="34" t="str">
        <f t="shared" si="36"/>
        <v/>
      </c>
      <c r="DH18" s="34" t="str">
        <f t="shared" si="36"/>
        <v/>
      </c>
      <c r="DI18" s="34" t="str">
        <f t="shared" si="36"/>
        <v/>
      </c>
      <c r="DJ18" s="33" t="str">
        <f t="shared" si="36"/>
        <v/>
      </c>
      <c r="DK18" s="34" t="str">
        <f t="shared" si="36"/>
        <v/>
      </c>
      <c r="DL18" s="34" t="str">
        <f t="shared" si="36"/>
        <v/>
      </c>
      <c r="DM18" s="34" t="str">
        <f t="shared" si="36"/>
        <v/>
      </c>
      <c r="DN18" s="34" t="str">
        <f t="shared" si="36"/>
        <v/>
      </c>
      <c r="DO18" s="34" t="str">
        <f t="shared" si="37"/>
        <v/>
      </c>
      <c r="DP18" s="34" t="str">
        <f t="shared" si="37"/>
        <v/>
      </c>
      <c r="DQ18" s="34" t="str">
        <f t="shared" si="37"/>
        <v/>
      </c>
      <c r="DR18" s="34" t="str">
        <f t="shared" si="37"/>
        <v/>
      </c>
      <c r="DS18" s="34" t="str">
        <f t="shared" si="37"/>
        <v/>
      </c>
      <c r="DT18" s="34" t="str">
        <f t="shared" si="37"/>
        <v/>
      </c>
      <c r="DU18" s="34" t="str">
        <f t="shared" si="37"/>
        <v/>
      </c>
      <c r="DV18" s="33" t="str">
        <f t="shared" si="37"/>
        <v/>
      </c>
      <c r="DW18" s="34" t="str">
        <f t="shared" si="37"/>
        <v/>
      </c>
      <c r="DX18" s="34" t="str">
        <f t="shared" si="37"/>
        <v/>
      </c>
      <c r="DY18" s="34" t="str">
        <f t="shared" si="38"/>
        <v/>
      </c>
      <c r="DZ18" s="34" t="str">
        <f t="shared" si="38"/>
        <v/>
      </c>
      <c r="EA18" s="34" t="str">
        <f t="shared" si="38"/>
        <v/>
      </c>
      <c r="EB18" s="34" t="str">
        <f t="shared" si="38"/>
        <v/>
      </c>
      <c r="EC18" s="34" t="str">
        <f t="shared" si="38"/>
        <v/>
      </c>
      <c r="ED18" s="34" t="str">
        <f t="shared" si="38"/>
        <v/>
      </c>
      <c r="EE18" s="34" t="str">
        <f t="shared" si="38"/>
        <v/>
      </c>
      <c r="EF18" s="34" t="str">
        <f t="shared" si="38"/>
        <v/>
      </c>
      <c r="EG18" s="34" t="str">
        <f t="shared" si="38"/>
        <v/>
      </c>
      <c r="EH18" s="33" t="str">
        <f t="shared" si="38"/>
        <v/>
      </c>
      <c r="EI18" s="34" t="str">
        <f t="shared" si="39"/>
        <v/>
      </c>
      <c r="EJ18" s="34" t="str">
        <f t="shared" si="39"/>
        <v/>
      </c>
      <c r="EK18" s="34" t="str">
        <f t="shared" si="39"/>
        <v/>
      </c>
      <c r="EL18" s="34" t="str">
        <f t="shared" si="39"/>
        <v/>
      </c>
      <c r="EM18" s="34" t="str">
        <f t="shared" si="39"/>
        <v/>
      </c>
      <c r="EN18" s="34" t="str">
        <f t="shared" si="39"/>
        <v/>
      </c>
      <c r="EO18" s="34" t="str">
        <f t="shared" si="39"/>
        <v/>
      </c>
      <c r="EP18" s="34" t="str">
        <f t="shared" si="39"/>
        <v/>
      </c>
      <c r="EQ18" s="34" t="str">
        <f t="shared" si="39"/>
        <v/>
      </c>
      <c r="ER18" s="34" t="str">
        <f t="shared" si="39"/>
        <v/>
      </c>
      <c r="ES18" s="34" t="str">
        <f t="shared" si="40"/>
        <v/>
      </c>
      <c r="ET18" s="33" t="str">
        <f t="shared" si="40"/>
        <v/>
      </c>
      <c r="EU18" s="34" t="str">
        <f t="shared" si="40"/>
        <v/>
      </c>
      <c r="EV18" s="34" t="str">
        <f t="shared" si="40"/>
        <v/>
      </c>
      <c r="EW18" s="34" t="str">
        <f t="shared" si="40"/>
        <v/>
      </c>
      <c r="EX18" s="34" t="str">
        <f t="shared" si="40"/>
        <v/>
      </c>
      <c r="EY18" s="34" t="str">
        <f t="shared" si="40"/>
        <v/>
      </c>
      <c r="EZ18" s="34" t="str">
        <f t="shared" si="40"/>
        <v/>
      </c>
      <c r="FA18" s="34" t="str">
        <f t="shared" si="40"/>
        <v/>
      </c>
      <c r="FB18" s="34" t="str">
        <f t="shared" si="40"/>
        <v/>
      </c>
      <c r="FC18" s="34" t="str">
        <f t="shared" si="40"/>
        <v/>
      </c>
      <c r="FD18" s="34" t="str">
        <f t="shared" si="40"/>
        <v/>
      </c>
      <c r="FE18" s="34" t="str">
        <f t="shared" si="40"/>
        <v/>
      </c>
      <c r="FF18" s="33" t="str">
        <f t="shared" si="40"/>
        <v/>
      </c>
      <c r="FG18" s="14"/>
      <c r="FH18" s="14"/>
      <c r="FI18" s="14"/>
      <c r="FJ18" s="14"/>
      <c r="FK18" s="14"/>
      <c r="FL18" s="14"/>
      <c r="FM18" s="14"/>
      <c r="FN18" s="14"/>
      <c r="FO18" s="14"/>
      <c r="FP18" s="14"/>
      <c r="FQ18" s="14"/>
      <c r="FR18" s="14"/>
      <c r="FS18" s="14"/>
      <c r="FT18" s="14"/>
      <c r="FU18" s="14"/>
      <c r="FV18" s="14"/>
      <c r="FW18" s="14"/>
      <c r="FX18" s="14"/>
      <c r="FY18" s="14"/>
      <c r="FZ18" s="14"/>
      <c r="GA18" s="14"/>
      <c r="GB18" s="14"/>
      <c r="GC18" s="14"/>
      <c r="GD18" s="14"/>
      <c r="GE18" s="14"/>
      <c r="GF18" s="14"/>
      <c r="GG18" s="14"/>
      <c r="GH18" s="14"/>
      <c r="GI18" s="14"/>
      <c r="GJ18" s="14"/>
      <c r="GK18" s="14"/>
      <c r="GL18" s="14"/>
      <c r="GM18" s="14"/>
      <c r="GN18" s="14"/>
      <c r="GO18" s="14"/>
      <c r="GP18" s="14"/>
      <c r="GQ18" s="14"/>
      <c r="GR18" s="14"/>
      <c r="GS18" s="14"/>
      <c r="GT18" s="14"/>
      <c r="GU18" s="14"/>
      <c r="GV18" s="14"/>
      <c r="GW18" s="14"/>
      <c r="GX18" s="14"/>
      <c r="GY18" s="14"/>
      <c r="GZ18" s="14"/>
      <c r="HA18" s="14"/>
      <c r="HB18" s="14"/>
    </row>
    <row r="19" spans="1:210">
      <c r="A19" s="35">
        <v>16</v>
      </c>
      <c r="B19" s="38" t="str">
        <f>IF('(7b) Project List'!F24&lt;&gt;"",'(7b) Project List'!F24," ")</f>
        <v xml:space="preserve"> </v>
      </c>
      <c r="C19" s="38" t="str">
        <f t="shared" si="5"/>
        <v xml:space="preserve"> </v>
      </c>
      <c r="D19" s="38" t="str">
        <f>IF('(7b) Project List'!G24&lt;&gt;"",'(7b) Project List'!G24,"")</f>
        <v/>
      </c>
      <c r="E19" s="37" t="str">
        <f t="shared" si="6"/>
        <v/>
      </c>
      <c r="F19" s="36"/>
      <c r="G19" s="36"/>
      <c r="H19" s="35">
        <f>IF('(7b) Project List'!H24&lt;&gt;"",'(7b) Project List'!H24,"")</f>
        <v>0</v>
      </c>
      <c r="I19" s="35"/>
      <c r="J19" s="17">
        <f t="shared" si="7"/>
        <v>0</v>
      </c>
      <c r="K19" s="17" t="str">
        <f>IF(OR(('(7b) Project List'!$F$5=""),('(7b) Project List'!$C24&gt;'(7b) Project List'!$F24),('(7b) Project List'!$C24&gt;'(7b) Project List'!$G24),('(7b) Project List'!$C24&gt;'(7b) Project List'!$F$5),('(7b) Project List'!$G24&lt;'(7c) Project Schedule'!$B$25),('(7b) Project List'!$F24&gt;'(7b) Project List'!$D24),('(7c) Project Schedule'!$B$25&gt;'(7b) Project List'!$D24),('(7b) Project List'!$F24&gt;'(7b) Project List'!$F$5),('(7b) Project List'!$F24&gt;'(7b) Project List'!$G24),('(7b) Project List'!$G24&gt;'(7b) Project List'!$D24)),"",COUNTIF(S19:GP19,"&gt;0"))</f>
        <v/>
      </c>
      <c r="L19" s="16" t="str">
        <f t="shared" si="8"/>
        <v xml:space="preserve"> </v>
      </c>
      <c r="N19" s="16" t="str">
        <f t="shared" si="9"/>
        <v xml:space="preserve"> </v>
      </c>
      <c r="O19" s="16" t="str">
        <f t="shared" si="10"/>
        <v xml:space="preserve"> </v>
      </c>
      <c r="P19" s="16" t="str">
        <f t="shared" si="11"/>
        <v xml:space="preserve"> </v>
      </c>
      <c r="Q19" s="16" t="str">
        <f t="shared" si="12"/>
        <v xml:space="preserve"> </v>
      </c>
      <c r="S19" s="34" t="str">
        <f t="shared" si="27"/>
        <v/>
      </c>
      <c r="T19" s="34" t="str">
        <f t="shared" si="27"/>
        <v/>
      </c>
      <c r="U19" s="34" t="str">
        <f t="shared" si="27"/>
        <v/>
      </c>
      <c r="V19" s="34" t="str">
        <f t="shared" si="27"/>
        <v/>
      </c>
      <c r="W19" s="34" t="str">
        <f t="shared" si="27"/>
        <v/>
      </c>
      <c r="X19" s="34" t="str">
        <f t="shared" si="27"/>
        <v/>
      </c>
      <c r="Y19" s="34" t="str">
        <f t="shared" si="27"/>
        <v/>
      </c>
      <c r="Z19" s="34" t="str">
        <f t="shared" si="27"/>
        <v/>
      </c>
      <c r="AA19" s="34" t="str">
        <f t="shared" si="27"/>
        <v/>
      </c>
      <c r="AB19" s="34" t="str">
        <f t="shared" si="27"/>
        <v/>
      </c>
      <c r="AC19" s="34" t="str">
        <f t="shared" si="28"/>
        <v/>
      </c>
      <c r="AD19" s="33" t="str">
        <f t="shared" si="28"/>
        <v/>
      </c>
      <c r="AE19" s="34" t="str">
        <f t="shared" si="28"/>
        <v/>
      </c>
      <c r="AF19" s="34" t="str">
        <f t="shared" si="28"/>
        <v/>
      </c>
      <c r="AG19" s="34" t="str">
        <f t="shared" si="28"/>
        <v/>
      </c>
      <c r="AH19" s="34" t="str">
        <f t="shared" si="28"/>
        <v/>
      </c>
      <c r="AI19" s="34" t="str">
        <f t="shared" si="28"/>
        <v/>
      </c>
      <c r="AJ19" s="34" t="str">
        <f t="shared" si="28"/>
        <v/>
      </c>
      <c r="AK19" s="34" t="str">
        <f t="shared" si="28"/>
        <v/>
      </c>
      <c r="AL19" s="34" t="str">
        <f t="shared" si="28"/>
        <v/>
      </c>
      <c r="AM19" s="34" t="str">
        <f t="shared" si="29"/>
        <v/>
      </c>
      <c r="AN19" s="34" t="str">
        <f t="shared" si="29"/>
        <v/>
      </c>
      <c r="AO19" s="34" t="str">
        <f t="shared" si="29"/>
        <v/>
      </c>
      <c r="AP19" s="33" t="str">
        <f t="shared" si="29"/>
        <v/>
      </c>
      <c r="AQ19" s="34" t="str">
        <f t="shared" si="29"/>
        <v/>
      </c>
      <c r="AR19" s="34" t="str">
        <f t="shared" si="29"/>
        <v/>
      </c>
      <c r="AS19" s="34" t="str">
        <f t="shared" si="29"/>
        <v/>
      </c>
      <c r="AT19" s="34" t="str">
        <f t="shared" si="29"/>
        <v/>
      </c>
      <c r="AU19" s="34" t="str">
        <f t="shared" si="29"/>
        <v/>
      </c>
      <c r="AV19" s="34" t="str">
        <f t="shared" si="29"/>
        <v/>
      </c>
      <c r="AW19" s="34" t="str">
        <f t="shared" si="30"/>
        <v/>
      </c>
      <c r="AX19" s="34" t="str">
        <f t="shared" si="30"/>
        <v/>
      </c>
      <c r="AY19" s="34" t="str">
        <f t="shared" si="30"/>
        <v/>
      </c>
      <c r="AZ19" s="34" t="str">
        <f t="shared" si="30"/>
        <v/>
      </c>
      <c r="BA19" s="34" t="str">
        <f t="shared" si="30"/>
        <v/>
      </c>
      <c r="BB19" s="33" t="str">
        <f t="shared" si="30"/>
        <v/>
      </c>
      <c r="BC19" s="34" t="str">
        <f t="shared" si="30"/>
        <v/>
      </c>
      <c r="BD19" s="34" t="str">
        <f t="shared" si="30"/>
        <v/>
      </c>
      <c r="BE19" s="34" t="str">
        <f t="shared" si="30"/>
        <v/>
      </c>
      <c r="BF19" s="34" t="str">
        <f t="shared" si="30"/>
        <v/>
      </c>
      <c r="BG19" s="34" t="str">
        <f t="shared" si="31"/>
        <v/>
      </c>
      <c r="BH19" s="34" t="str">
        <f t="shared" si="31"/>
        <v/>
      </c>
      <c r="BI19" s="34" t="str">
        <f t="shared" si="31"/>
        <v/>
      </c>
      <c r="BJ19" s="34" t="str">
        <f t="shared" si="31"/>
        <v/>
      </c>
      <c r="BK19" s="34" t="str">
        <f t="shared" si="31"/>
        <v/>
      </c>
      <c r="BL19" s="34" t="str">
        <f t="shared" si="31"/>
        <v/>
      </c>
      <c r="BM19" s="34" t="str">
        <f t="shared" si="31"/>
        <v/>
      </c>
      <c r="BN19" s="33" t="str">
        <f t="shared" si="31"/>
        <v/>
      </c>
      <c r="BO19" s="34" t="str">
        <f t="shared" si="31"/>
        <v/>
      </c>
      <c r="BP19" s="34" t="str">
        <f t="shared" si="31"/>
        <v/>
      </c>
      <c r="BQ19" s="34" t="str">
        <f t="shared" si="32"/>
        <v/>
      </c>
      <c r="BR19" s="34" t="str">
        <f t="shared" si="32"/>
        <v/>
      </c>
      <c r="BS19" s="34" t="str">
        <f t="shared" si="32"/>
        <v/>
      </c>
      <c r="BT19" s="34" t="str">
        <f t="shared" si="32"/>
        <v/>
      </c>
      <c r="BU19" s="34" t="str">
        <f t="shared" si="32"/>
        <v/>
      </c>
      <c r="BV19" s="34" t="str">
        <f t="shared" si="32"/>
        <v/>
      </c>
      <c r="BW19" s="34" t="str">
        <f t="shared" si="32"/>
        <v/>
      </c>
      <c r="BX19" s="34" t="str">
        <f t="shared" si="32"/>
        <v/>
      </c>
      <c r="BY19" s="34" t="str">
        <f t="shared" si="32"/>
        <v/>
      </c>
      <c r="BZ19" s="33" t="str">
        <f t="shared" si="32"/>
        <v/>
      </c>
      <c r="CA19" s="34" t="str">
        <f t="shared" si="33"/>
        <v/>
      </c>
      <c r="CB19" s="34" t="str">
        <f t="shared" si="33"/>
        <v/>
      </c>
      <c r="CC19" s="34" t="str">
        <f t="shared" si="33"/>
        <v/>
      </c>
      <c r="CD19" s="34" t="str">
        <f t="shared" si="33"/>
        <v/>
      </c>
      <c r="CE19" s="34" t="str">
        <f t="shared" si="33"/>
        <v/>
      </c>
      <c r="CF19" s="34" t="str">
        <f t="shared" si="33"/>
        <v/>
      </c>
      <c r="CG19" s="34" t="str">
        <f t="shared" si="33"/>
        <v/>
      </c>
      <c r="CH19" s="34" t="str">
        <f t="shared" si="33"/>
        <v/>
      </c>
      <c r="CI19" s="34" t="str">
        <f t="shared" si="33"/>
        <v/>
      </c>
      <c r="CJ19" s="34" t="str">
        <f t="shared" si="33"/>
        <v/>
      </c>
      <c r="CK19" s="34" t="str">
        <f t="shared" si="34"/>
        <v/>
      </c>
      <c r="CL19" s="33" t="str">
        <f t="shared" si="34"/>
        <v/>
      </c>
      <c r="CM19" s="34" t="str">
        <f t="shared" si="34"/>
        <v/>
      </c>
      <c r="CN19" s="34" t="str">
        <f t="shared" si="34"/>
        <v/>
      </c>
      <c r="CO19" s="34" t="str">
        <f t="shared" si="34"/>
        <v/>
      </c>
      <c r="CP19" s="34" t="str">
        <f t="shared" si="34"/>
        <v/>
      </c>
      <c r="CQ19" s="34" t="str">
        <f t="shared" si="34"/>
        <v/>
      </c>
      <c r="CR19" s="34" t="str">
        <f t="shared" si="34"/>
        <v/>
      </c>
      <c r="CS19" s="34" t="str">
        <f t="shared" si="34"/>
        <v/>
      </c>
      <c r="CT19" s="34" t="str">
        <f t="shared" si="34"/>
        <v/>
      </c>
      <c r="CU19" s="34" t="str">
        <f t="shared" si="35"/>
        <v/>
      </c>
      <c r="CV19" s="34" t="str">
        <f t="shared" si="35"/>
        <v/>
      </c>
      <c r="CW19" s="34" t="str">
        <f t="shared" si="35"/>
        <v/>
      </c>
      <c r="CX19" s="33" t="str">
        <f t="shared" si="35"/>
        <v/>
      </c>
      <c r="CY19" s="34" t="str">
        <f t="shared" si="35"/>
        <v/>
      </c>
      <c r="CZ19" s="34" t="str">
        <f t="shared" si="35"/>
        <v/>
      </c>
      <c r="DA19" s="34" t="str">
        <f t="shared" si="35"/>
        <v/>
      </c>
      <c r="DB19" s="34" t="str">
        <f t="shared" si="35"/>
        <v/>
      </c>
      <c r="DC19" s="34" t="str">
        <f t="shared" si="35"/>
        <v/>
      </c>
      <c r="DD19" s="34" t="str">
        <f t="shared" si="35"/>
        <v/>
      </c>
      <c r="DE19" s="34" t="str">
        <f t="shared" si="36"/>
        <v/>
      </c>
      <c r="DF19" s="34" t="str">
        <f t="shared" si="36"/>
        <v/>
      </c>
      <c r="DG19" s="34" t="str">
        <f t="shared" si="36"/>
        <v/>
      </c>
      <c r="DH19" s="34" t="str">
        <f t="shared" si="36"/>
        <v/>
      </c>
      <c r="DI19" s="34" t="str">
        <f t="shared" si="36"/>
        <v/>
      </c>
      <c r="DJ19" s="33" t="str">
        <f t="shared" si="36"/>
        <v/>
      </c>
      <c r="DK19" s="34" t="str">
        <f t="shared" si="36"/>
        <v/>
      </c>
      <c r="DL19" s="34" t="str">
        <f t="shared" si="36"/>
        <v/>
      </c>
      <c r="DM19" s="34" t="str">
        <f t="shared" si="36"/>
        <v/>
      </c>
      <c r="DN19" s="34" t="str">
        <f t="shared" si="36"/>
        <v/>
      </c>
      <c r="DO19" s="34" t="str">
        <f t="shared" si="37"/>
        <v/>
      </c>
      <c r="DP19" s="34" t="str">
        <f t="shared" si="37"/>
        <v/>
      </c>
      <c r="DQ19" s="34" t="str">
        <f t="shared" si="37"/>
        <v/>
      </c>
      <c r="DR19" s="34" t="str">
        <f t="shared" si="37"/>
        <v/>
      </c>
      <c r="DS19" s="34" t="str">
        <f t="shared" si="37"/>
        <v/>
      </c>
      <c r="DT19" s="34" t="str">
        <f t="shared" si="37"/>
        <v/>
      </c>
      <c r="DU19" s="34" t="str">
        <f t="shared" si="37"/>
        <v/>
      </c>
      <c r="DV19" s="33" t="str">
        <f t="shared" si="37"/>
        <v/>
      </c>
      <c r="DW19" s="34" t="str">
        <f t="shared" si="37"/>
        <v/>
      </c>
      <c r="DX19" s="34" t="str">
        <f t="shared" si="37"/>
        <v/>
      </c>
      <c r="DY19" s="34" t="str">
        <f t="shared" si="38"/>
        <v/>
      </c>
      <c r="DZ19" s="34" t="str">
        <f t="shared" si="38"/>
        <v/>
      </c>
      <c r="EA19" s="34" t="str">
        <f t="shared" si="38"/>
        <v/>
      </c>
      <c r="EB19" s="34" t="str">
        <f t="shared" si="38"/>
        <v/>
      </c>
      <c r="EC19" s="34" t="str">
        <f t="shared" si="38"/>
        <v/>
      </c>
      <c r="ED19" s="34" t="str">
        <f t="shared" si="38"/>
        <v/>
      </c>
      <c r="EE19" s="34" t="str">
        <f t="shared" si="38"/>
        <v/>
      </c>
      <c r="EF19" s="34" t="str">
        <f t="shared" si="38"/>
        <v/>
      </c>
      <c r="EG19" s="34" t="str">
        <f t="shared" si="38"/>
        <v/>
      </c>
      <c r="EH19" s="33" t="str">
        <f t="shared" si="38"/>
        <v/>
      </c>
      <c r="EI19" s="34" t="str">
        <f t="shared" si="39"/>
        <v/>
      </c>
      <c r="EJ19" s="34" t="str">
        <f t="shared" si="39"/>
        <v/>
      </c>
      <c r="EK19" s="34" t="str">
        <f t="shared" si="39"/>
        <v/>
      </c>
      <c r="EL19" s="34" t="str">
        <f t="shared" si="39"/>
        <v/>
      </c>
      <c r="EM19" s="34" t="str">
        <f t="shared" si="39"/>
        <v/>
      </c>
      <c r="EN19" s="34" t="str">
        <f t="shared" si="39"/>
        <v/>
      </c>
      <c r="EO19" s="34" t="str">
        <f t="shared" si="39"/>
        <v/>
      </c>
      <c r="EP19" s="34" t="str">
        <f t="shared" si="39"/>
        <v/>
      </c>
      <c r="EQ19" s="34" t="str">
        <f t="shared" si="39"/>
        <v/>
      </c>
      <c r="ER19" s="34" t="str">
        <f t="shared" si="39"/>
        <v/>
      </c>
      <c r="ES19" s="34" t="str">
        <f t="shared" si="40"/>
        <v/>
      </c>
      <c r="ET19" s="33" t="str">
        <f t="shared" si="40"/>
        <v/>
      </c>
      <c r="EU19" s="34" t="str">
        <f t="shared" si="40"/>
        <v/>
      </c>
      <c r="EV19" s="34" t="str">
        <f t="shared" si="40"/>
        <v/>
      </c>
      <c r="EW19" s="34" t="str">
        <f t="shared" si="40"/>
        <v/>
      </c>
      <c r="EX19" s="34" t="str">
        <f t="shared" si="40"/>
        <v/>
      </c>
      <c r="EY19" s="34" t="str">
        <f t="shared" si="40"/>
        <v/>
      </c>
      <c r="EZ19" s="34" t="str">
        <f t="shared" si="40"/>
        <v/>
      </c>
      <c r="FA19" s="34" t="str">
        <f t="shared" si="40"/>
        <v/>
      </c>
      <c r="FB19" s="34" t="str">
        <f t="shared" si="40"/>
        <v/>
      </c>
      <c r="FC19" s="34" t="str">
        <f t="shared" si="40"/>
        <v/>
      </c>
      <c r="FD19" s="34" t="str">
        <f t="shared" si="40"/>
        <v/>
      </c>
      <c r="FE19" s="34" t="str">
        <f t="shared" si="40"/>
        <v/>
      </c>
      <c r="FF19" s="33" t="str">
        <f t="shared" si="40"/>
        <v/>
      </c>
      <c r="FG19" s="14"/>
      <c r="FH19" s="14"/>
      <c r="FI19" s="14"/>
      <c r="FJ19" s="14"/>
      <c r="FK19" s="14"/>
      <c r="FL19" s="14"/>
      <c r="FM19" s="14"/>
      <c r="FN19" s="14"/>
      <c r="FO19" s="14"/>
      <c r="FP19" s="14"/>
      <c r="FQ19" s="14"/>
      <c r="FR19" s="14"/>
      <c r="FS19" s="14"/>
      <c r="FT19" s="14"/>
      <c r="FU19" s="14"/>
      <c r="FV19" s="14"/>
      <c r="FW19" s="14"/>
      <c r="FX19" s="14"/>
      <c r="FY19" s="14"/>
      <c r="FZ19" s="14"/>
      <c r="GA19" s="14"/>
      <c r="GB19" s="14"/>
      <c r="GC19" s="14"/>
      <c r="GD19" s="14"/>
      <c r="GE19" s="14"/>
      <c r="GF19" s="14"/>
      <c r="GG19" s="14"/>
      <c r="GH19" s="14"/>
      <c r="GI19" s="14"/>
      <c r="GJ19" s="14"/>
      <c r="GK19" s="14"/>
      <c r="GL19" s="14"/>
      <c r="GM19" s="14"/>
      <c r="GN19" s="14"/>
      <c r="GO19" s="14"/>
      <c r="GP19" s="14"/>
      <c r="GQ19" s="14"/>
      <c r="GR19" s="14"/>
      <c r="GS19" s="14"/>
      <c r="GT19" s="14"/>
      <c r="GU19" s="14"/>
      <c r="GV19" s="14"/>
      <c r="GW19" s="14"/>
      <c r="GX19" s="14"/>
      <c r="GY19" s="14"/>
      <c r="GZ19" s="14"/>
      <c r="HA19" s="14"/>
      <c r="HB19" s="14"/>
    </row>
    <row r="20" spans="1:210">
      <c r="A20" s="35">
        <v>17</v>
      </c>
      <c r="B20" s="38" t="str">
        <f>IF('(7b) Project List'!F25&lt;&gt;"",'(7b) Project List'!F25," ")</f>
        <v xml:space="preserve"> </v>
      </c>
      <c r="C20" s="38" t="str">
        <f t="shared" si="5"/>
        <v xml:space="preserve"> </v>
      </c>
      <c r="D20" s="38" t="str">
        <f>IF('(7b) Project List'!G25&lt;&gt;"",'(7b) Project List'!G25,"")</f>
        <v/>
      </c>
      <c r="E20" s="37" t="str">
        <f t="shared" si="6"/>
        <v/>
      </c>
      <c r="F20" s="36"/>
      <c r="G20" s="36"/>
      <c r="H20" s="35">
        <f>IF('(7b) Project List'!H25&lt;&gt;"",'(7b) Project List'!H25,"")</f>
        <v>0</v>
      </c>
      <c r="I20" s="35"/>
      <c r="J20" s="17">
        <f t="shared" si="7"/>
        <v>0</v>
      </c>
      <c r="K20" s="17" t="str">
        <f>IF(OR(('(7b) Project List'!$F$5=""),('(7b) Project List'!$C25&gt;'(7b) Project List'!$F25),('(7b) Project List'!$C25&gt;'(7b) Project List'!$G25),('(7b) Project List'!$C25&gt;'(7b) Project List'!$F$5),('(7b) Project List'!$G25&lt;'(7c) Project Schedule'!$B$25),('(7b) Project List'!$F25&gt;'(7b) Project List'!$D25),('(7c) Project Schedule'!$B$25&gt;'(7b) Project List'!$D25),('(7b) Project List'!$F25&gt;'(7b) Project List'!$F$5),('(7b) Project List'!$F25&gt;'(7b) Project List'!$G25),('(7b) Project List'!$G25&gt;'(7b) Project List'!$D25)),"",COUNTIF(S20:GP20,"&gt;0"))</f>
        <v/>
      </c>
      <c r="L20" s="16" t="str">
        <f t="shared" si="8"/>
        <v xml:space="preserve"> </v>
      </c>
      <c r="N20" s="16" t="str">
        <f t="shared" si="9"/>
        <v xml:space="preserve"> </v>
      </c>
      <c r="O20" s="16" t="str">
        <f t="shared" si="10"/>
        <v xml:space="preserve"> </v>
      </c>
      <c r="P20" s="16" t="str">
        <f t="shared" si="11"/>
        <v xml:space="preserve"> </v>
      </c>
      <c r="Q20" s="16" t="str">
        <f t="shared" si="12"/>
        <v xml:space="preserve"> </v>
      </c>
      <c r="S20" s="34" t="str">
        <f t="shared" si="27"/>
        <v/>
      </c>
      <c r="T20" s="34" t="str">
        <f t="shared" si="27"/>
        <v/>
      </c>
      <c r="U20" s="34" t="str">
        <f t="shared" si="27"/>
        <v/>
      </c>
      <c r="V20" s="34" t="str">
        <f t="shared" si="27"/>
        <v/>
      </c>
      <c r="W20" s="34" t="str">
        <f t="shared" si="27"/>
        <v/>
      </c>
      <c r="X20" s="34" t="str">
        <f t="shared" si="27"/>
        <v/>
      </c>
      <c r="Y20" s="34" t="str">
        <f t="shared" si="27"/>
        <v/>
      </c>
      <c r="Z20" s="34" t="str">
        <f t="shared" si="27"/>
        <v/>
      </c>
      <c r="AA20" s="34" t="str">
        <f t="shared" si="27"/>
        <v/>
      </c>
      <c r="AB20" s="34" t="str">
        <f t="shared" si="27"/>
        <v/>
      </c>
      <c r="AC20" s="34" t="str">
        <f t="shared" si="28"/>
        <v/>
      </c>
      <c r="AD20" s="33" t="str">
        <f t="shared" si="28"/>
        <v/>
      </c>
      <c r="AE20" s="34" t="str">
        <f t="shared" si="28"/>
        <v/>
      </c>
      <c r="AF20" s="34" t="str">
        <f t="shared" si="28"/>
        <v/>
      </c>
      <c r="AG20" s="34" t="str">
        <f t="shared" si="28"/>
        <v/>
      </c>
      <c r="AH20" s="34" t="str">
        <f t="shared" si="28"/>
        <v/>
      </c>
      <c r="AI20" s="34" t="str">
        <f t="shared" si="28"/>
        <v/>
      </c>
      <c r="AJ20" s="34" t="str">
        <f t="shared" si="28"/>
        <v/>
      </c>
      <c r="AK20" s="34" t="str">
        <f t="shared" si="28"/>
        <v/>
      </c>
      <c r="AL20" s="34" t="str">
        <f t="shared" si="28"/>
        <v/>
      </c>
      <c r="AM20" s="34" t="str">
        <f t="shared" si="29"/>
        <v/>
      </c>
      <c r="AN20" s="34" t="str">
        <f t="shared" si="29"/>
        <v/>
      </c>
      <c r="AO20" s="34" t="str">
        <f t="shared" si="29"/>
        <v/>
      </c>
      <c r="AP20" s="33" t="str">
        <f t="shared" si="29"/>
        <v/>
      </c>
      <c r="AQ20" s="34" t="str">
        <f t="shared" si="29"/>
        <v/>
      </c>
      <c r="AR20" s="34" t="str">
        <f t="shared" si="29"/>
        <v/>
      </c>
      <c r="AS20" s="34" t="str">
        <f t="shared" si="29"/>
        <v/>
      </c>
      <c r="AT20" s="34" t="str">
        <f t="shared" si="29"/>
        <v/>
      </c>
      <c r="AU20" s="34" t="str">
        <f t="shared" si="29"/>
        <v/>
      </c>
      <c r="AV20" s="34" t="str">
        <f t="shared" si="29"/>
        <v/>
      </c>
      <c r="AW20" s="34" t="str">
        <f t="shared" si="30"/>
        <v/>
      </c>
      <c r="AX20" s="34" t="str">
        <f t="shared" si="30"/>
        <v/>
      </c>
      <c r="AY20" s="34" t="str">
        <f t="shared" si="30"/>
        <v/>
      </c>
      <c r="AZ20" s="34" t="str">
        <f t="shared" si="30"/>
        <v/>
      </c>
      <c r="BA20" s="34" t="str">
        <f t="shared" si="30"/>
        <v/>
      </c>
      <c r="BB20" s="33" t="str">
        <f t="shared" si="30"/>
        <v/>
      </c>
      <c r="BC20" s="34" t="str">
        <f t="shared" si="30"/>
        <v/>
      </c>
      <c r="BD20" s="34" t="str">
        <f t="shared" si="30"/>
        <v/>
      </c>
      <c r="BE20" s="34" t="str">
        <f t="shared" si="30"/>
        <v/>
      </c>
      <c r="BF20" s="34" t="str">
        <f t="shared" si="30"/>
        <v/>
      </c>
      <c r="BG20" s="34" t="str">
        <f t="shared" si="31"/>
        <v/>
      </c>
      <c r="BH20" s="34" t="str">
        <f t="shared" si="31"/>
        <v/>
      </c>
      <c r="BI20" s="34" t="str">
        <f t="shared" si="31"/>
        <v/>
      </c>
      <c r="BJ20" s="34" t="str">
        <f t="shared" si="31"/>
        <v/>
      </c>
      <c r="BK20" s="34" t="str">
        <f t="shared" si="31"/>
        <v/>
      </c>
      <c r="BL20" s="34" t="str">
        <f t="shared" si="31"/>
        <v/>
      </c>
      <c r="BM20" s="34" t="str">
        <f t="shared" si="31"/>
        <v/>
      </c>
      <c r="BN20" s="33" t="str">
        <f t="shared" si="31"/>
        <v/>
      </c>
      <c r="BO20" s="34" t="str">
        <f t="shared" si="31"/>
        <v/>
      </c>
      <c r="BP20" s="34" t="str">
        <f t="shared" si="31"/>
        <v/>
      </c>
      <c r="BQ20" s="34" t="str">
        <f t="shared" si="32"/>
        <v/>
      </c>
      <c r="BR20" s="34" t="str">
        <f t="shared" si="32"/>
        <v/>
      </c>
      <c r="BS20" s="34" t="str">
        <f t="shared" si="32"/>
        <v/>
      </c>
      <c r="BT20" s="34" t="str">
        <f t="shared" si="32"/>
        <v/>
      </c>
      <c r="BU20" s="34" t="str">
        <f t="shared" si="32"/>
        <v/>
      </c>
      <c r="BV20" s="34" t="str">
        <f t="shared" si="32"/>
        <v/>
      </c>
      <c r="BW20" s="34" t="str">
        <f t="shared" si="32"/>
        <v/>
      </c>
      <c r="BX20" s="34" t="str">
        <f t="shared" si="32"/>
        <v/>
      </c>
      <c r="BY20" s="34" t="str">
        <f t="shared" si="32"/>
        <v/>
      </c>
      <c r="BZ20" s="33" t="str">
        <f t="shared" si="32"/>
        <v/>
      </c>
      <c r="CA20" s="34" t="str">
        <f t="shared" si="33"/>
        <v/>
      </c>
      <c r="CB20" s="34" t="str">
        <f t="shared" si="33"/>
        <v/>
      </c>
      <c r="CC20" s="34" t="str">
        <f t="shared" si="33"/>
        <v/>
      </c>
      <c r="CD20" s="34" t="str">
        <f t="shared" si="33"/>
        <v/>
      </c>
      <c r="CE20" s="34" t="str">
        <f t="shared" si="33"/>
        <v/>
      </c>
      <c r="CF20" s="34" t="str">
        <f t="shared" si="33"/>
        <v/>
      </c>
      <c r="CG20" s="34" t="str">
        <f t="shared" si="33"/>
        <v/>
      </c>
      <c r="CH20" s="34" t="str">
        <f t="shared" si="33"/>
        <v/>
      </c>
      <c r="CI20" s="34" t="str">
        <f t="shared" si="33"/>
        <v/>
      </c>
      <c r="CJ20" s="34" t="str">
        <f t="shared" si="33"/>
        <v/>
      </c>
      <c r="CK20" s="34" t="str">
        <f t="shared" si="34"/>
        <v/>
      </c>
      <c r="CL20" s="33" t="str">
        <f t="shared" si="34"/>
        <v/>
      </c>
      <c r="CM20" s="34" t="str">
        <f t="shared" si="34"/>
        <v/>
      </c>
      <c r="CN20" s="34" t="str">
        <f t="shared" si="34"/>
        <v/>
      </c>
      <c r="CO20" s="34" t="str">
        <f t="shared" si="34"/>
        <v/>
      </c>
      <c r="CP20" s="34" t="str">
        <f t="shared" si="34"/>
        <v/>
      </c>
      <c r="CQ20" s="34" t="str">
        <f t="shared" si="34"/>
        <v/>
      </c>
      <c r="CR20" s="34" t="str">
        <f t="shared" si="34"/>
        <v/>
      </c>
      <c r="CS20" s="34" t="str">
        <f t="shared" si="34"/>
        <v/>
      </c>
      <c r="CT20" s="34" t="str">
        <f t="shared" si="34"/>
        <v/>
      </c>
      <c r="CU20" s="34" t="str">
        <f t="shared" si="35"/>
        <v/>
      </c>
      <c r="CV20" s="34" t="str">
        <f t="shared" si="35"/>
        <v/>
      </c>
      <c r="CW20" s="34" t="str">
        <f t="shared" si="35"/>
        <v/>
      </c>
      <c r="CX20" s="33" t="str">
        <f t="shared" si="35"/>
        <v/>
      </c>
      <c r="CY20" s="34" t="str">
        <f t="shared" si="35"/>
        <v/>
      </c>
      <c r="CZ20" s="34" t="str">
        <f t="shared" si="35"/>
        <v/>
      </c>
      <c r="DA20" s="34" t="str">
        <f t="shared" si="35"/>
        <v/>
      </c>
      <c r="DB20" s="34" t="str">
        <f t="shared" si="35"/>
        <v/>
      </c>
      <c r="DC20" s="34" t="str">
        <f t="shared" si="35"/>
        <v/>
      </c>
      <c r="DD20" s="34" t="str">
        <f t="shared" si="35"/>
        <v/>
      </c>
      <c r="DE20" s="34" t="str">
        <f t="shared" si="36"/>
        <v/>
      </c>
      <c r="DF20" s="34" t="str">
        <f t="shared" si="36"/>
        <v/>
      </c>
      <c r="DG20" s="34" t="str">
        <f t="shared" si="36"/>
        <v/>
      </c>
      <c r="DH20" s="34" t="str">
        <f t="shared" si="36"/>
        <v/>
      </c>
      <c r="DI20" s="34" t="str">
        <f t="shared" si="36"/>
        <v/>
      </c>
      <c r="DJ20" s="33" t="str">
        <f t="shared" si="36"/>
        <v/>
      </c>
      <c r="DK20" s="34" t="str">
        <f t="shared" si="36"/>
        <v/>
      </c>
      <c r="DL20" s="34" t="str">
        <f t="shared" si="36"/>
        <v/>
      </c>
      <c r="DM20" s="34" t="str">
        <f t="shared" si="36"/>
        <v/>
      </c>
      <c r="DN20" s="34" t="str">
        <f t="shared" si="36"/>
        <v/>
      </c>
      <c r="DO20" s="34" t="str">
        <f t="shared" si="37"/>
        <v/>
      </c>
      <c r="DP20" s="34" t="str">
        <f t="shared" si="37"/>
        <v/>
      </c>
      <c r="DQ20" s="34" t="str">
        <f t="shared" si="37"/>
        <v/>
      </c>
      <c r="DR20" s="34" t="str">
        <f t="shared" si="37"/>
        <v/>
      </c>
      <c r="DS20" s="34" t="str">
        <f t="shared" si="37"/>
        <v/>
      </c>
      <c r="DT20" s="34" t="str">
        <f t="shared" si="37"/>
        <v/>
      </c>
      <c r="DU20" s="34" t="str">
        <f t="shared" si="37"/>
        <v/>
      </c>
      <c r="DV20" s="33" t="str">
        <f t="shared" si="37"/>
        <v/>
      </c>
      <c r="DW20" s="34" t="str">
        <f t="shared" si="37"/>
        <v/>
      </c>
      <c r="DX20" s="34" t="str">
        <f t="shared" si="37"/>
        <v/>
      </c>
      <c r="DY20" s="34" t="str">
        <f t="shared" si="38"/>
        <v/>
      </c>
      <c r="DZ20" s="34" t="str">
        <f t="shared" si="38"/>
        <v/>
      </c>
      <c r="EA20" s="34" t="str">
        <f t="shared" si="38"/>
        <v/>
      </c>
      <c r="EB20" s="34" t="str">
        <f t="shared" si="38"/>
        <v/>
      </c>
      <c r="EC20" s="34" t="str">
        <f t="shared" si="38"/>
        <v/>
      </c>
      <c r="ED20" s="34" t="str">
        <f t="shared" si="38"/>
        <v/>
      </c>
      <c r="EE20" s="34" t="str">
        <f t="shared" si="38"/>
        <v/>
      </c>
      <c r="EF20" s="34" t="str">
        <f t="shared" si="38"/>
        <v/>
      </c>
      <c r="EG20" s="34" t="str">
        <f t="shared" si="38"/>
        <v/>
      </c>
      <c r="EH20" s="33" t="str">
        <f t="shared" si="38"/>
        <v/>
      </c>
      <c r="EI20" s="34" t="str">
        <f t="shared" si="39"/>
        <v/>
      </c>
      <c r="EJ20" s="34" t="str">
        <f t="shared" si="39"/>
        <v/>
      </c>
      <c r="EK20" s="34" t="str">
        <f t="shared" si="39"/>
        <v/>
      </c>
      <c r="EL20" s="34" t="str">
        <f t="shared" si="39"/>
        <v/>
      </c>
      <c r="EM20" s="34" t="str">
        <f t="shared" si="39"/>
        <v/>
      </c>
      <c r="EN20" s="34" t="str">
        <f t="shared" si="39"/>
        <v/>
      </c>
      <c r="EO20" s="34" t="str">
        <f t="shared" si="39"/>
        <v/>
      </c>
      <c r="EP20" s="34" t="str">
        <f t="shared" si="39"/>
        <v/>
      </c>
      <c r="EQ20" s="34" t="str">
        <f t="shared" si="39"/>
        <v/>
      </c>
      <c r="ER20" s="34" t="str">
        <f t="shared" si="39"/>
        <v/>
      </c>
      <c r="ES20" s="34" t="str">
        <f t="shared" si="40"/>
        <v/>
      </c>
      <c r="ET20" s="33" t="str">
        <f t="shared" si="40"/>
        <v/>
      </c>
      <c r="EU20" s="34" t="str">
        <f t="shared" si="40"/>
        <v/>
      </c>
      <c r="EV20" s="34" t="str">
        <f t="shared" si="40"/>
        <v/>
      </c>
      <c r="EW20" s="34" t="str">
        <f t="shared" si="40"/>
        <v/>
      </c>
      <c r="EX20" s="34" t="str">
        <f t="shared" si="40"/>
        <v/>
      </c>
      <c r="EY20" s="34" t="str">
        <f t="shared" si="40"/>
        <v/>
      </c>
      <c r="EZ20" s="34" t="str">
        <f t="shared" si="40"/>
        <v/>
      </c>
      <c r="FA20" s="34" t="str">
        <f t="shared" si="40"/>
        <v/>
      </c>
      <c r="FB20" s="34" t="str">
        <f t="shared" si="40"/>
        <v/>
      </c>
      <c r="FC20" s="34" t="str">
        <f t="shared" si="40"/>
        <v/>
      </c>
      <c r="FD20" s="34" t="str">
        <f t="shared" si="40"/>
        <v/>
      </c>
      <c r="FE20" s="34" t="str">
        <f t="shared" si="40"/>
        <v/>
      </c>
      <c r="FF20" s="33" t="str">
        <f t="shared" si="40"/>
        <v/>
      </c>
      <c r="FG20" s="14"/>
      <c r="FH20" s="14"/>
      <c r="FI20" s="14"/>
      <c r="FJ20" s="14"/>
      <c r="FK20" s="14"/>
      <c r="FL20" s="14"/>
      <c r="FM20" s="14"/>
      <c r="FN20" s="14"/>
      <c r="FO20" s="14"/>
      <c r="FP20" s="14"/>
      <c r="FQ20" s="14"/>
      <c r="FR20" s="14"/>
      <c r="FS20" s="14"/>
      <c r="FT20" s="14"/>
      <c r="FU20" s="14"/>
      <c r="FV20" s="14"/>
      <c r="FW20" s="14"/>
      <c r="FX20" s="14"/>
      <c r="FY20" s="14"/>
      <c r="FZ20" s="14"/>
      <c r="GA20" s="14"/>
      <c r="GB20" s="14"/>
      <c r="GC20" s="14"/>
      <c r="GD20" s="14"/>
      <c r="GE20" s="14"/>
      <c r="GF20" s="14"/>
      <c r="GG20" s="14"/>
      <c r="GH20" s="14"/>
      <c r="GI20" s="14"/>
      <c r="GJ20" s="14"/>
      <c r="GK20" s="14"/>
      <c r="GL20" s="14"/>
      <c r="GM20" s="14"/>
      <c r="GN20" s="14"/>
      <c r="GO20" s="14"/>
      <c r="GP20" s="14"/>
      <c r="GQ20" s="14"/>
      <c r="GR20" s="14"/>
      <c r="GS20" s="14"/>
      <c r="GT20" s="14"/>
      <c r="GU20" s="14"/>
      <c r="GV20" s="14"/>
      <c r="GW20" s="14"/>
      <c r="GX20" s="14"/>
      <c r="GY20" s="14"/>
      <c r="GZ20" s="14"/>
      <c r="HA20" s="14"/>
      <c r="HB20" s="14"/>
    </row>
    <row r="21" spans="1:210">
      <c r="A21" s="35">
        <v>18</v>
      </c>
      <c r="B21" s="38" t="str">
        <f>IF('(7b) Project List'!F26&lt;&gt;"",'(7b) Project List'!F26," ")</f>
        <v xml:space="preserve"> </v>
      </c>
      <c r="C21" s="38" t="str">
        <f t="shared" si="5"/>
        <v xml:space="preserve"> </v>
      </c>
      <c r="D21" s="38" t="str">
        <f>IF('(7b) Project List'!G26&lt;&gt;"",'(7b) Project List'!G26,"")</f>
        <v/>
      </c>
      <c r="E21" s="37" t="str">
        <f t="shared" si="6"/>
        <v/>
      </c>
      <c r="F21" s="36"/>
      <c r="G21" s="36"/>
      <c r="H21" s="35" t="str">
        <f>IF('(7b) Project List'!H26&lt;&gt;"",'(7b) Project List'!H26,"")</f>
        <v/>
      </c>
      <c r="I21" s="35"/>
      <c r="J21" s="17" t="str">
        <f t="shared" si="7"/>
        <v/>
      </c>
      <c r="K21" s="17">
        <f>IF(OR(('(7b) Project List'!$F$5=""),('(7b) Project List'!$C26&gt;'(7b) Project List'!$F26),('(7b) Project List'!$C26&gt;'(7b) Project List'!$G26),('(7b) Project List'!$C26&gt;'(7b) Project List'!$F$5),('(7b) Project List'!$G26&lt;'(7c) Project Schedule'!$B$25),('(7b) Project List'!$F26&gt;'(7b) Project List'!$D26),('(7c) Project Schedule'!$B$25&gt;'(7b) Project List'!$D26),('(7b) Project List'!$F26&gt;'(7b) Project List'!$F$5),('(7b) Project List'!$F26&gt;'(7b) Project List'!$G26),('(7b) Project List'!$G26&gt;'(7b) Project List'!$D26)),"",COUNTIF(S21:GP21,"&gt;0"))</f>
        <v>0</v>
      </c>
      <c r="L21" s="16" t="str">
        <f t="shared" si="8"/>
        <v xml:space="preserve"> </v>
      </c>
      <c r="N21" s="16" t="str">
        <f t="shared" si="9"/>
        <v xml:space="preserve"> </v>
      </c>
      <c r="O21" s="16" t="str">
        <f t="shared" si="10"/>
        <v xml:space="preserve"> </v>
      </c>
      <c r="P21" s="16" t="str">
        <f t="shared" si="11"/>
        <v xml:space="preserve"> </v>
      </c>
      <c r="Q21" s="16" t="str">
        <f t="shared" si="12"/>
        <v xml:space="preserve"> </v>
      </c>
      <c r="S21" s="34" t="str">
        <f t="shared" si="27"/>
        <v/>
      </c>
      <c r="T21" s="34" t="str">
        <f t="shared" si="27"/>
        <v/>
      </c>
      <c r="U21" s="34" t="str">
        <f t="shared" si="27"/>
        <v/>
      </c>
      <c r="V21" s="34" t="str">
        <f t="shared" si="27"/>
        <v/>
      </c>
      <c r="W21" s="34" t="str">
        <f t="shared" si="27"/>
        <v/>
      </c>
      <c r="X21" s="34" t="str">
        <f t="shared" si="27"/>
        <v/>
      </c>
      <c r="Y21" s="34" t="str">
        <f t="shared" si="27"/>
        <v/>
      </c>
      <c r="Z21" s="34" t="str">
        <f t="shared" si="27"/>
        <v/>
      </c>
      <c r="AA21" s="34" t="str">
        <f t="shared" si="27"/>
        <v/>
      </c>
      <c r="AB21" s="34" t="str">
        <f t="shared" si="27"/>
        <v/>
      </c>
      <c r="AC21" s="34" t="str">
        <f t="shared" si="28"/>
        <v/>
      </c>
      <c r="AD21" s="33" t="str">
        <f t="shared" si="28"/>
        <v/>
      </c>
      <c r="AE21" s="34" t="str">
        <f t="shared" si="28"/>
        <v/>
      </c>
      <c r="AF21" s="34" t="str">
        <f t="shared" si="28"/>
        <v/>
      </c>
      <c r="AG21" s="34" t="str">
        <f t="shared" si="28"/>
        <v/>
      </c>
      <c r="AH21" s="34" t="str">
        <f t="shared" si="28"/>
        <v/>
      </c>
      <c r="AI21" s="34" t="str">
        <f t="shared" si="28"/>
        <v/>
      </c>
      <c r="AJ21" s="34" t="str">
        <f t="shared" si="28"/>
        <v/>
      </c>
      <c r="AK21" s="34" t="str">
        <f t="shared" si="28"/>
        <v/>
      </c>
      <c r="AL21" s="34" t="str">
        <f t="shared" si="28"/>
        <v/>
      </c>
      <c r="AM21" s="34" t="str">
        <f t="shared" si="29"/>
        <v/>
      </c>
      <c r="AN21" s="34" t="str">
        <f t="shared" si="29"/>
        <v/>
      </c>
      <c r="AO21" s="34" t="str">
        <f t="shared" si="29"/>
        <v/>
      </c>
      <c r="AP21" s="33" t="str">
        <f t="shared" si="29"/>
        <v/>
      </c>
      <c r="AQ21" s="34" t="str">
        <f t="shared" si="29"/>
        <v/>
      </c>
      <c r="AR21" s="34" t="str">
        <f t="shared" si="29"/>
        <v/>
      </c>
      <c r="AS21" s="34" t="str">
        <f t="shared" si="29"/>
        <v/>
      </c>
      <c r="AT21" s="34" t="str">
        <f t="shared" si="29"/>
        <v/>
      </c>
      <c r="AU21" s="34" t="str">
        <f t="shared" si="29"/>
        <v/>
      </c>
      <c r="AV21" s="34" t="str">
        <f t="shared" si="29"/>
        <v/>
      </c>
      <c r="AW21" s="34" t="str">
        <f t="shared" si="30"/>
        <v/>
      </c>
      <c r="AX21" s="34" t="str">
        <f t="shared" si="30"/>
        <v/>
      </c>
      <c r="AY21" s="34" t="str">
        <f t="shared" si="30"/>
        <v/>
      </c>
      <c r="AZ21" s="34" t="str">
        <f t="shared" si="30"/>
        <v/>
      </c>
      <c r="BA21" s="34" t="str">
        <f t="shared" si="30"/>
        <v/>
      </c>
      <c r="BB21" s="33" t="str">
        <f t="shared" si="30"/>
        <v/>
      </c>
      <c r="BC21" s="34" t="str">
        <f t="shared" si="30"/>
        <v/>
      </c>
      <c r="BD21" s="34" t="str">
        <f t="shared" si="30"/>
        <v/>
      </c>
      <c r="BE21" s="34" t="str">
        <f t="shared" si="30"/>
        <v/>
      </c>
      <c r="BF21" s="34" t="str">
        <f t="shared" si="30"/>
        <v/>
      </c>
      <c r="BG21" s="34" t="str">
        <f t="shared" si="31"/>
        <v/>
      </c>
      <c r="BH21" s="34" t="str">
        <f t="shared" si="31"/>
        <v/>
      </c>
      <c r="BI21" s="34" t="str">
        <f t="shared" si="31"/>
        <v/>
      </c>
      <c r="BJ21" s="34" t="str">
        <f t="shared" si="31"/>
        <v/>
      </c>
      <c r="BK21" s="34" t="str">
        <f t="shared" si="31"/>
        <v/>
      </c>
      <c r="BL21" s="34" t="str">
        <f t="shared" si="31"/>
        <v/>
      </c>
      <c r="BM21" s="34" t="str">
        <f t="shared" si="31"/>
        <v/>
      </c>
      <c r="BN21" s="33" t="str">
        <f t="shared" si="31"/>
        <v/>
      </c>
      <c r="BO21" s="34" t="str">
        <f t="shared" si="31"/>
        <v/>
      </c>
      <c r="BP21" s="34" t="str">
        <f t="shared" si="31"/>
        <v/>
      </c>
      <c r="BQ21" s="34" t="str">
        <f t="shared" si="32"/>
        <v/>
      </c>
      <c r="BR21" s="34" t="str">
        <f t="shared" si="32"/>
        <v/>
      </c>
      <c r="BS21" s="34" t="str">
        <f t="shared" si="32"/>
        <v/>
      </c>
      <c r="BT21" s="34" t="str">
        <f t="shared" si="32"/>
        <v/>
      </c>
      <c r="BU21" s="34" t="str">
        <f t="shared" si="32"/>
        <v/>
      </c>
      <c r="BV21" s="34" t="str">
        <f t="shared" si="32"/>
        <v/>
      </c>
      <c r="BW21" s="34" t="str">
        <f t="shared" si="32"/>
        <v/>
      </c>
      <c r="BX21" s="34" t="str">
        <f t="shared" si="32"/>
        <v/>
      </c>
      <c r="BY21" s="34" t="str">
        <f t="shared" si="32"/>
        <v/>
      </c>
      <c r="BZ21" s="33" t="str">
        <f t="shared" si="32"/>
        <v/>
      </c>
      <c r="CA21" s="34" t="str">
        <f t="shared" si="33"/>
        <v/>
      </c>
      <c r="CB21" s="34" t="str">
        <f t="shared" si="33"/>
        <v/>
      </c>
      <c r="CC21" s="34" t="str">
        <f t="shared" si="33"/>
        <v/>
      </c>
      <c r="CD21" s="34" t="str">
        <f t="shared" si="33"/>
        <v/>
      </c>
      <c r="CE21" s="34" t="str">
        <f t="shared" si="33"/>
        <v/>
      </c>
      <c r="CF21" s="34" t="str">
        <f t="shared" si="33"/>
        <v/>
      </c>
      <c r="CG21" s="34" t="str">
        <f t="shared" si="33"/>
        <v/>
      </c>
      <c r="CH21" s="34" t="str">
        <f t="shared" si="33"/>
        <v/>
      </c>
      <c r="CI21" s="34" t="str">
        <f t="shared" si="33"/>
        <v/>
      </c>
      <c r="CJ21" s="34" t="str">
        <f t="shared" si="33"/>
        <v/>
      </c>
      <c r="CK21" s="34" t="str">
        <f t="shared" si="34"/>
        <v/>
      </c>
      <c r="CL21" s="33" t="str">
        <f t="shared" si="34"/>
        <v/>
      </c>
      <c r="CM21" s="34" t="str">
        <f t="shared" si="34"/>
        <v/>
      </c>
      <c r="CN21" s="34" t="str">
        <f t="shared" si="34"/>
        <v/>
      </c>
      <c r="CO21" s="34" t="str">
        <f t="shared" si="34"/>
        <v/>
      </c>
      <c r="CP21" s="34" t="str">
        <f t="shared" si="34"/>
        <v/>
      </c>
      <c r="CQ21" s="34" t="str">
        <f t="shared" si="34"/>
        <v/>
      </c>
      <c r="CR21" s="34" t="str">
        <f t="shared" si="34"/>
        <v/>
      </c>
      <c r="CS21" s="34" t="str">
        <f t="shared" si="34"/>
        <v/>
      </c>
      <c r="CT21" s="34" t="str">
        <f t="shared" si="34"/>
        <v/>
      </c>
      <c r="CU21" s="34" t="str">
        <f t="shared" si="35"/>
        <v/>
      </c>
      <c r="CV21" s="34" t="str">
        <f t="shared" si="35"/>
        <v/>
      </c>
      <c r="CW21" s="34" t="str">
        <f t="shared" si="35"/>
        <v/>
      </c>
      <c r="CX21" s="33" t="str">
        <f t="shared" si="35"/>
        <v/>
      </c>
      <c r="CY21" s="34" t="str">
        <f t="shared" si="35"/>
        <v/>
      </c>
      <c r="CZ21" s="34" t="str">
        <f t="shared" si="35"/>
        <v/>
      </c>
      <c r="DA21" s="34" t="str">
        <f t="shared" si="35"/>
        <v/>
      </c>
      <c r="DB21" s="34" t="str">
        <f t="shared" si="35"/>
        <v/>
      </c>
      <c r="DC21" s="34" t="str">
        <f t="shared" si="35"/>
        <v/>
      </c>
      <c r="DD21" s="34" t="str">
        <f t="shared" si="35"/>
        <v/>
      </c>
      <c r="DE21" s="34" t="str">
        <f t="shared" si="36"/>
        <v/>
      </c>
      <c r="DF21" s="34" t="str">
        <f t="shared" si="36"/>
        <v/>
      </c>
      <c r="DG21" s="34" t="str">
        <f t="shared" si="36"/>
        <v/>
      </c>
      <c r="DH21" s="34" t="str">
        <f t="shared" si="36"/>
        <v/>
      </c>
      <c r="DI21" s="34" t="str">
        <f t="shared" si="36"/>
        <v/>
      </c>
      <c r="DJ21" s="33" t="str">
        <f t="shared" si="36"/>
        <v/>
      </c>
      <c r="DK21" s="34" t="str">
        <f t="shared" si="36"/>
        <v/>
      </c>
      <c r="DL21" s="34" t="str">
        <f t="shared" si="36"/>
        <v/>
      </c>
      <c r="DM21" s="34" t="str">
        <f t="shared" si="36"/>
        <v/>
      </c>
      <c r="DN21" s="34" t="str">
        <f t="shared" si="36"/>
        <v/>
      </c>
      <c r="DO21" s="34" t="str">
        <f t="shared" si="37"/>
        <v/>
      </c>
      <c r="DP21" s="34" t="str">
        <f t="shared" si="37"/>
        <v/>
      </c>
      <c r="DQ21" s="34" t="str">
        <f t="shared" si="37"/>
        <v/>
      </c>
      <c r="DR21" s="34" t="str">
        <f t="shared" si="37"/>
        <v/>
      </c>
      <c r="DS21" s="34" t="str">
        <f t="shared" si="37"/>
        <v/>
      </c>
      <c r="DT21" s="34" t="str">
        <f t="shared" si="37"/>
        <v/>
      </c>
      <c r="DU21" s="34" t="str">
        <f t="shared" si="37"/>
        <v/>
      </c>
      <c r="DV21" s="33" t="str">
        <f t="shared" si="37"/>
        <v/>
      </c>
      <c r="DW21" s="34" t="str">
        <f t="shared" si="37"/>
        <v/>
      </c>
      <c r="DX21" s="34" t="str">
        <f t="shared" si="37"/>
        <v/>
      </c>
      <c r="DY21" s="34" t="str">
        <f t="shared" si="38"/>
        <v/>
      </c>
      <c r="DZ21" s="34" t="str">
        <f t="shared" si="38"/>
        <v/>
      </c>
      <c r="EA21" s="34" t="str">
        <f t="shared" si="38"/>
        <v/>
      </c>
      <c r="EB21" s="34" t="str">
        <f t="shared" si="38"/>
        <v/>
      </c>
      <c r="EC21" s="34" t="str">
        <f t="shared" si="38"/>
        <v/>
      </c>
      <c r="ED21" s="34" t="str">
        <f t="shared" si="38"/>
        <v/>
      </c>
      <c r="EE21" s="34" t="str">
        <f t="shared" si="38"/>
        <v/>
      </c>
      <c r="EF21" s="34" t="str">
        <f t="shared" si="38"/>
        <v/>
      </c>
      <c r="EG21" s="34" t="str">
        <f t="shared" si="38"/>
        <v/>
      </c>
      <c r="EH21" s="33" t="str">
        <f t="shared" si="38"/>
        <v/>
      </c>
      <c r="EI21" s="34" t="str">
        <f t="shared" si="39"/>
        <v/>
      </c>
      <c r="EJ21" s="34" t="str">
        <f t="shared" si="39"/>
        <v/>
      </c>
      <c r="EK21" s="34" t="str">
        <f t="shared" si="39"/>
        <v/>
      </c>
      <c r="EL21" s="34" t="str">
        <f t="shared" si="39"/>
        <v/>
      </c>
      <c r="EM21" s="34" t="str">
        <f t="shared" si="39"/>
        <v/>
      </c>
      <c r="EN21" s="34" t="str">
        <f t="shared" si="39"/>
        <v/>
      </c>
      <c r="EO21" s="34" t="str">
        <f t="shared" si="39"/>
        <v/>
      </c>
      <c r="EP21" s="34" t="str">
        <f t="shared" si="39"/>
        <v/>
      </c>
      <c r="EQ21" s="34" t="str">
        <f t="shared" si="39"/>
        <v/>
      </c>
      <c r="ER21" s="34" t="str">
        <f t="shared" si="39"/>
        <v/>
      </c>
      <c r="ES21" s="34" t="str">
        <f t="shared" si="40"/>
        <v/>
      </c>
      <c r="ET21" s="33" t="str">
        <f t="shared" si="40"/>
        <v/>
      </c>
      <c r="EU21" s="34" t="str">
        <f t="shared" si="40"/>
        <v/>
      </c>
      <c r="EV21" s="34" t="str">
        <f t="shared" si="40"/>
        <v/>
      </c>
      <c r="EW21" s="34" t="str">
        <f t="shared" si="40"/>
        <v/>
      </c>
      <c r="EX21" s="34" t="str">
        <f t="shared" si="40"/>
        <v/>
      </c>
      <c r="EY21" s="34" t="str">
        <f t="shared" si="40"/>
        <v/>
      </c>
      <c r="EZ21" s="34" t="str">
        <f t="shared" si="40"/>
        <v/>
      </c>
      <c r="FA21" s="34" t="str">
        <f t="shared" si="40"/>
        <v/>
      </c>
      <c r="FB21" s="34" t="str">
        <f t="shared" si="40"/>
        <v/>
      </c>
      <c r="FC21" s="34" t="str">
        <f t="shared" si="40"/>
        <v/>
      </c>
      <c r="FD21" s="34" t="str">
        <f t="shared" si="40"/>
        <v/>
      </c>
      <c r="FE21" s="34" t="str">
        <f t="shared" si="40"/>
        <v/>
      </c>
      <c r="FF21" s="33" t="str">
        <f t="shared" si="40"/>
        <v/>
      </c>
      <c r="FG21" s="14"/>
      <c r="FH21" s="14"/>
      <c r="FI21" s="14"/>
      <c r="FJ21" s="14"/>
      <c r="FK21" s="14"/>
      <c r="FL21" s="14"/>
      <c r="FM21" s="14"/>
      <c r="FN21" s="14"/>
      <c r="FO21" s="14"/>
      <c r="FP21" s="14"/>
      <c r="FQ21" s="14"/>
      <c r="FR21" s="14"/>
      <c r="FS21" s="14"/>
      <c r="FT21" s="14"/>
      <c r="FU21" s="14"/>
      <c r="FV21" s="14"/>
      <c r="FW21" s="14"/>
      <c r="FX21" s="14"/>
      <c r="FY21" s="14"/>
      <c r="FZ21" s="14"/>
      <c r="GA21" s="14"/>
      <c r="GB21" s="14"/>
      <c r="GC21" s="14"/>
      <c r="GD21" s="14"/>
      <c r="GE21" s="14"/>
      <c r="GF21" s="14"/>
      <c r="GG21" s="14"/>
      <c r="GH21" s="14"/>
      <c r="GI21" s="14"/>
      <c r="GJ21" s="14"/>
      <c r="GK21" s="14"/>
      <c r="GL21" s="14"/>
      <c r="GM21" s="14"/>
      <c r="GN21" s="14"/>
      <c r="GO21" s="14"/>
      <c r="GP21" s="14"/>
      <c r="GQ21" s="14"/>
      <c r="GR21" s="14"/>
      <c r="GS21" s="14"/>
      <c r="GT21" s="14"/>
      <c r="GU21" s="14"/>
      <c r="GV21" s="14"/>
      <c r="GW21" s="14"/>
      <c r="GX21" s="14"/>
      <c r="GY21" s="14"/>
      <c r="GZ21" s="14"/>
      <c r="HA21" s="14"/>
      <c r="HB21" s="14"/>
    </row>
    <row r="22" spans="1:210">
      <c r="A22" s="35">
        <v>19</v>
      </c>
      <c r="B22" s="38" t="str">
        <f>IF('(7b) Project List'!F27&lt;&gt;"",'(7b) Project List'!F27," ")</f>
        <v xml:space="preserve"> </v>
      </c>
      <c r="C22" s="38" t="str">
        <f t="shared" si="5"/>
        <v xml:space="preserve"> </v>
      </c>
      <c r="D22" s="38" t="str">
        <f>IF('(7b) Project List'!G27&lt;&gt;"",'(7b) Project List'!G27,"")</f>
        <v/>
      </c>
      <c r="E22" s="37" t="str">
        <f t="shared" si="6"/>
        <v/>
      </c>
      <c r="F22" s="36"/>
      <c r="G22" s="36"/>
      <c r="H22" s="35" t="str">
        <f>IF('(7b) Project List'!H27&lt;&gt;"",'(7b) Project List'!H27,"")</f>
        <v/>
      </c>
      <c r="I22" s="35"/>
      <c r="J22" s="17" t="str">
        <f t="shared" si="7"/>
        <v/>
      </c>
      <c r="K22" s="17">
        <f>IF(OR(('(7b) Project List'!$F$5=""),('(7b) Project List'!$C27&gt;'(7b) Project List'!$F27),('(7b) Project List'!$C27&gt;'(7b) Project List'!$G27),('(7b) Project List'!$C27&gt;'(7b) Project List'!$F$5),('(7b) Project List'!$G27&lt;'(7c) Project Schedule'!$B$25),('(7b) Project List'!$F27&gt;'(7b) Project List'!$D27),('(7c) Project Schedule'!$B$25&gt;'(7b) Project List'!$D27),('(7b) Project List'!$F27&gt;'(7b) Project List'!$F$5),('(7b) Project List'!$F27&gt;'(7b) Project List'!$G27),('(7b) Project List'!$G27&gt;'(7b) Project List'!$D27)),"",COUNTIF(S22:GP22,"&gt;0"))</f>
        <v>0</v>
      </c>
      <c r="L22" s="16" t="str">
        <f t="shared" si="8"/>
        <v xml:space="preserve"> </v>
      </c>
      <c r="N22" s="16" t="str">
        <f t="shared" si="9"/>
        <v xml:space="preserve"> </v>
      </c>
      <c r="O22" s="16" t="str">
        <f t="shared" si="10"/>
        <v xml:space="preserve"> </v>
      </c>
      <c r="P22" s="16" t="str">
        <f t="shared" si="11"/>
        <v xml:space="preserve"> </v>
      </c>
      <c r="Q22" s="16" t="str">
        <f t="shared" si="12"/>
        <v xml:space="preserve"> </v>
      </c>
      <c r="S22" s="34" t="str">
        <f t="shared" si="27"/>
        <v/>
      </c>
      <c r="T22" s="34" t="str">
        <f t="shared" si="27"/>
        <v/>
      </c>
      <c r="U22" s="34" t="str">
        <f t="shared" si="27"/>
        <v/>
      </c>
      <c r="V22" s="34" t="str">
        <f t="shared" si="27"/>
        <v/>
      </c>
      <c r="W22" s="34" t="str">
        <f t="shared" si="27"/>
        <v/>
      </c>
      <c r="X22" s="34" t="str">
        <f t="shared" si="27"/>
        <v/>
      </c>
      <c r="Y22" s="34" t="str">
        <f t="shared" si="27"/>
        <v/>
      </c>
      <c r="Z22" s="34" t="str">
        <f t="shared" si="27"/>
        <v/>
      </c>
      <c r="AA22" s="34" t="str">
        <f t="shared" si="27"/>
        <v/>
      </c>
      <c r="AB22" s="34" t="str">
        <f t="shared" si="27"/>
        <v/>
      </c>
      <c r="AC22" s="34" t="str">
        <f t="shared" si="28"/>
        <v/>
      </c>
      <c r="AD22" s="33" t="str">
        <f t="shared" si="28"/>
        <v/>
      </c>
      <c r="AE22" s="34" t="str">
        <f t="shared" si="28"/>
        <v/>
      </c>
      <c r="AF22" s="34" t="str">
        <f t="shared" si="28"/>
        <v/>
      </c>
      <c r="AG22" s="34" t="str">
        <f t="shared" si="28"/>
        <v/>
      </c>
      <c r="AH22" s="34" t="str">
        <f t="shared" si="28"/>
        <v/>
      </c>
      <c r="AI22" s="34" t="str">
        <f t="shared" si="28"/>
        <v/>
      </c>
      <c r="AJ22" s="34" t="str">
        <f t="shared" si="28"/>
        <v/>
      </c>
      <c r="AK22" s="34" t="str">
        <f t="shared" si="28"/>
        <v/>
      </c>
      <c r="AL22" s="34" t="str">
        <f t="shared" si="28"/>
        <v/>
      </c>
      <c r="AM22" s="34" t="str">
        <f t="shared" si="29"/>
        <v/>
      </c>
      <c r="AN22" s="34" t="str">
        <f t="shared" si="29"/>
        <v/>
      </c>
      <c r="AO22" s="34" t="str">
        <f t="shared" si="29"/>
        <v/>
      </c>
      <c r="AP22" s="33" t="str">
        <f t="shared" si="29"/>
        <v/>
      </c>
      <c r="AQ22" s="34" t="str">
        <f t="shared" si="29"/>
        <v/>
      </c>
      <c r="AR22" s="34" t="str">
        <f t="shared" si="29"/>
        <v/>
      </c>
      <c r="AS22" s="34" t="str">
        <f t="shared" si="29"/>
        <v/>
      </c>
      <c r="AT22" s="34" t="str">
        <f t="shared" si="29"/>
        <v/>
      </c>
      <c r="AU22" s="34" t="str">
        <f t="shared" si="29"/>
        <v/>
      </c>
      <c r="AV22" s="34" t="str">
        <f t="shared" si="29"/>
        <v/>
      </c>
      <c r="AW22" s="34" t="str">
        <f t="shared" si="30"/>
        <v/>
      </c>
      <c r="AX22" s="34" t="str">
        <f t="shared" si="30"/>
        <v/>
      </c>
      <c r="AY22" s="34" t="str">
        <f t="shared" si="30"/>
        <v/>
      </c>
      <c r="AZ22" s="34" t="str">
        <f t="shared" si="30"/>
        <v/>
      </c>
      <c r="BA22" s="34" t="str">
        <f t="shared" si="30"/>
        <v/>
      </c>
      <c r="BB22" s="33" t="str">
        <f t="shared" si="30"/>
        <v/>
      </c>
      <c r="BC22" s="34" t="str">
        <f t="shared" si="30"/>
        <v/>
      </c>
      <c r="BD22" s="34" t="str">
        <f t="shared" si="30"/>
        <v/>
      </c>
      <c r="BE22" s="34" t="str">
        <f t="shared" si="30"/>
        <v/>
      </c>
      <c r="BF22" s="34" t="str">
        <f t="shared" si="30"/>
        <v/>
      </c>
      <c r="BG22" s="34" t="str">
        <f t="shared" si="31"/>
        <v/>
      </c>
      <c r="BH22" s="34" t="str">
        <f t="shared" si="31"/>
        <v/>
      </c>
      <c r="BI22" s="34" t="str">
        <f t="shared" si="31"/>
        <v/>
      </c>
      <c r="BJ22" s="34" t="str">
        <f t="shared" si="31"/>
        <v/>
      </c>
      <c r="BK22" s="34" t="str">
        <f t="shared" si="31"/>
        <v/>
      </c>
      <c r="BL22" s="34" t="str">
        <f t="shared" si="31"/>
        <v/>
      </c>
      <c r="BM22" s="34" t="str">
        <f t="shared" si="31"/>
        <v/>
      </c>
      <c r="BN22" s="33" t="str">
        <f t="shared" si="31"/>
        <v/>
      </c>
      <c r="BO22" s="34" t="str">
        <f t="shared" si="31"/>
        <v/>
      </c>
      <c r="BP22" s="34" t="str">
        <f t="shared" si="31"/>
        <v/>
      </c>
      <c r="BQ22" s="34" t="str">
        <f t="shared" si="32"/>
        <v/>
      </c>
      <c r="BR22" s="34" t="str">
        <f t="shared" si="32"/>
        <v/>
      </c>
      <c r="BS22" s="34" t="str">
        <f t="shared" si="32"/>
        <v/>
      </c>
      <c r="BT22" s="34" t="str">
        <f t="shared" si="32"/>
        <v/>
      </c>
      <c r="BU22" s="34" t="str">
        <f t="shared" si="32"/>
        <v/>
      </c>
      <c r="BV22" s="34" t="str">
        <f t="shared" si="32"/>
        <v/>
      </c>
      <c r="BW22" s="34" t="str">
        <f t="shared" si="32"/>
        <v/>
      </c>
      <c r="BX22" s="34" t="str">
        <f t="shared" si="32"/>
        <v/>
      </c>
      <c r="BY22" s="34" t="str">
        <f t="shared" si="32"/>
        <v/>
      </c>
      <c r="BZ22" s="33" t="str">
        <f t="shared" si="32"/>
        <v/>
      </c>
      <c r="CA22" s="34" t="str">
        <f t="shared" si="33"/>
        <v/>
      </c>
      <c r="CB22" s="34" t="str">
        <f t="shared" si="33"/>
        <v/>
      </c>
      <c r="CC22" s="34" t="str">
        <f t="shared" si="33"/>
        <v/>
      </c>
      <c r="CD22" s="34" t="str">
        <f t="shared" si="33"/>
        <v/>
      </c>
      <c r="CE22" s="34" t="str">
        <f t="shared" si="33"/>
        <v/>
      </c>
      <c r="CF22" s="34" t="str">
        <f t="shared" si="33"/>
        <v/>
      </c>
      <c r="CG22" s="34" t="str">
        <f t="shared" si="33"/>
        <v/>
      </c>
      <c r="CH22" s="34" t="str">
        <f t="shared" si="33"/>
        <v/>
      </c>
      <c r="CI22" s="34" t="str">
        <f t="shared" si="33"/>
        <v/>
      </c>
      <c r="CJ22" s="34" t="str">
        <f t="shared" si="33"/>
        <v/>
      </c>
      <c r="CK22" s="34" t="str">
        <f t="shared" si="34"/>
        <v/>
      </c>
      <c r="CL22" s="33" t="str">
        <f t="shared" si="34"/>
        <v/>
      </c>
      <c r="CM22" s="34" t="str">
        <f t="shared" si="34"/>
        <v/>
      </c>
      <c r="CN22" s="34" t="str">
        <f t="shared" si="34"/>
        <v/>
      </c>
      <c r="CO22" s="34" t="str">
        <f t="shared" si="34"/>
        <v/>
      </c>
      <c r="CP22" s="34" t="str">
        <f t="shared" si="34"/>
        <v/>
      </c>
      <c r="CQ22" s="34" t="str">
        <f t="shared" si="34"/>
        <v/>
      </c>
      <c r="CR22" s="34" t="str">
        <f t="shared" si="34"/>
        <v/>
      </c>
      <c r="CS22" s="34" t="str">
        <f t="shared" si="34"/>
        <v/>
      </c>
      <c r="CT22" s="34" t="str">
        <f t="shared" si="34"/>
        <v/>
      </c>
      <c r="CU22" s="34" t="str">
        <f t="shared" si="35"/>
        <v/>
      </c>
      <c r="CV22" s="34" t="str">
        <f t="shared" si="35"/>
        <v/>
      </c>
      <c r="CW22" s="34" t="str">
        <f t="shared" si="35"/>
        <v/>
      </c>
      <c r="CX22" s="33" t="str">
        <f t="shared" si="35"/>
        <v/>
      </c>
      <c r="CY22" s="34" t="str">
        <f t="shared" si="35"/>
        <v/>
      </c>
      <c r="CZ22" s="34" t="str">
        <f t="shared" si="35"/>
        <v/>
      </c>
      <c r="DA22" s="34" t="str">
        <f t="shared" si="35"/>
        <v/>
      </c>
      <c r="DB22" s="34" t="str">
        <f t="shared" si="35"/>
        <v/>
      </c>
      <c r="DC22" s="34" t="str">
        <f t="shared" si="35"/>
        <v/>
      </c>
      <c r="DD22" s="34" t="str">
        <f t="shared" si="35"/>
        <v/>
      </c>
      <c r="DE22" s="34" t="str">
        <f t="shared" si="36"/>
        <v/>
      </c>
      <c r="DF22" s="34" t="str">
        <f t="shared" si="36"/>
        <v/>
      </c>
      <c r="DG22" s="34" t="str">
        <f t="shared" si="36"/>
        <v/>
      </c>
      <c r="DH22" s="34" t="str">
        <f t="shared" si="36"/>
        <v/>
      </c>
      <c r="DI22" s="34" t="str">
        <f t="shared" si="36"/>
        <v/>
      </c>
      <c r="DJ22" s="33" t="str">
        <f t="shared" si="36"/>
        <v/>
      </c>
      <c r="DK22" s="34" t="str">
        <f t="shared" si="36"/>
        <v/>
      </c>
      <c r="DL22" s="34" t="str">
        <f t="shared" si="36"/>
        <v/>
      </c>
      <c r="DM22" s="34" t="str">
        <f t="shared" si="36"/>
        <v/>
      </c>
      <c r="DN22" s="34" t="str">
        <f t="shared" si="36"/>
        <v/>
      </c>
      <c r="DO22" s="34" t="str">
        <f t="shared" si="37"/>
        <v/>
      </c>
      <c r="DP22" s="34" t="str">
        <f t="shared" si="37"/>
        <v/>
      </c>
      <c r="DQ22" s="34" t="str">
        <f t="shared" si="37"/>
        <v/>
      </c>
      <c r="DR22" s="34" t="str">
        <f t="shared" si="37"/>
        <v/>
      </c>
      <c r="DS22" s="34" t="str">
        <f t="shared" si="37"/>
        <v/>
      </c>
      <c r="DT22" s="34" t="str">
        <f t="shared" si="37"/>
        <v/>
      </c>
      <c r="DU22" s="34" t="str">
        <f t="shared" si="37"/>
        <v/>
      </c>
      <c r="DV22" s="33" t="str">
        <f t="shared" si="37"/>
        <v/>
      </c>
      <c r="DW22" s="34" t="str">
        <f t="shared" si="37"/>
        <v/>
      </c>
      <c r="DX22" s="34" t="str">
        <f t="shared" si="37"/>
        <v/>
      </c>
      <c r="DY22" s="34" t="str">
        <f t="shared" si="38"/>
        <v/>
      </c>
      <c r="DZ22" s="34" t="str">
        <f t="shared" si="38"/>
        <v/>
      </c>
      <c r="EA22" s="34" t="str">
        <f t="shared" si="38"/>
        <v/>
      </c>
      <c r="EB22" s="34" t="str">
        <f t="shared" si="38"/>
        <v/>
      </c>
      <c r="EC22" s="34" t="str">
        <f t="shared" si="38"/>
        <v/>
      </c>
      <c r="ED22" s="34" t="str">
        <f t="shared" si="38"/>
        <v/>
      </c>
      <c r="EE22" s="34" t="str">
        <f t="shared" si="38"/>
        <v/>
      </c>
      <c r="EF22" s="34" t="str">
        <f t="shared" si="38"/>
        <v/>
      </c>
      <c r="EG22" s="34" t="str">
        <f t="shared" si="38"/>
        <v/>
      </c>
      <c r="EH22" s="33" t="str">
        <f t="shared" si="38"/>
        <v/>
      </c>
      <c r="EI22" s="34" t="str">
        <f t="shared" si="39"/>
        <v/>
      </c>
      <c r="EJ22" s="34" t="str">
        <f t="shared" si="39"/>
        <v/>
      </c>
      <c r="EK22" s="34" t="str">
        <f t="shared" si="39"/>
        <v/>
      </c>
      <c r="EL22" s="34" t="str">
        <f t="shared" si="39"/>
        <v/>
      </c>
      <c r="EM22" s="34" t="str">
        <f t="shared" si="39"/>
        <v/>
      </c>
      <c r="EN22" s="34" t="str">
        <f t="shared" si="39"/>
        <v/>
      </c>
      <c r="EO22" s="34" t="str">
        <f t="shared" si="39"/>
        <v/>
      </c>
      <c r="EP22" s="34" t="str">
        <f t="shared" si="39"/>
        <v/>
      </c>
      <c r="EQ22" s="34" t="str">
        <f t="shared" si="39"/>
        <v/>
      </c>
      <c r="ER22" s="34" t="str">
        <f t="shared" si="39"/>
        <v/>
      </c>
      <c r="ES22" s="34" t="str">
        <f t="shared" si="40"/>
        <v/>
      </c>
      <c r="ET22" s="33" t="str">
        <f t="shared" si="40"/>
        <v/>
      </c>
      <c r="EU22" s="34" t="str">
        <f t="shared" si="40"/>
        <v/>
      </c>
      <c r="EV22" s="34" t="str">
        <f t="shared" si="40"/>
        <v/>
      </c>
      <c r="EW22" s="34" t="str">
        <f t="shared" si="40"/>
        <v/>
      </c>
      <c r="EX22" s="34" t="str">
        <f t="shared" si="40"/>
        <v/>
      </c>
      <c r="EY22" s="34" t="str">
        <f t="shared" si="40"/>
        <v/>
      </c>
      <c r="EZ22" s="34" t="str">
        <f t="shared" si="40"/>
        <v/>
      </c>
      <c r="FA22" s="34" t="str">
        <f t="shared" si="40"/>
        <v/>
      </c>
      <c r="FB22" s="34" t="str">
        <f t="shared" si="40"/>
        <v/>
      </c>
      <c r="FC22" s="34" t="str">
        <f t="shared" si="40"/>
        <v/>
      </c>
      <c r="FD22" s="34" t="str">
        <f t="shared" si="40"/>
        <v/>
      </c>
      <c r="FE22" s="34" t="str">
        <f t="shared" si="40"/>
        <v/>
      </c>
      <c r="FF22" s="33" t="str">
        <f t="shared" si="40"/>
        <v/>
      </c>
      <c r="FG22" s="14"/>
      <c r="FH22" s="14"/>
      <c r="FI22" s="14"/>
      <c r="FJ22" s="14"/>
      <c r="FK22" s="14"/>
      <c r="FL22" s="14"/>
      <c r="FM22" s="14"/>
      <c r="FN22" s="14"/>
      <c r="FO22" s="14"/>
      <c r="FP22" s="14"/>
      <c r="FQ22" s="14"/>
      <c r="FR22" s="14"/>
      <c r="FS22" s="14"/>
      <c r="FT22" s="14"/>
      <c r="FU22" s="14"/>
      <c r="FV22" s="14"/>
      <c r="FW22" s="14"/>
      <c r="FX22" s="14"/>
      <c r="FY22" s="14"/>
      <c r="FZ22" s="14"/>
      <c r="GA22" s="14"/>
      <c r="GB22" s="14"/>
      <c r="GC22" s="14"/>
      <c r="GD22" s="14"/>
      <c r="GE22" s="14"/>
      <c r="GF22" s="14"/>
      <c r="GG22" s="14"/>
      <c r="GH22" s="14"/>
      <c r="GI22" s="14"/>
      <c r="GJ22" s="14"/>
      <c r="GK22" s="14"/>
      <c r="GL22" s="14"/>
      <c r="GM22" s="14"/>
      <c r="GN22" s="14"/>
      <c r="GO22" s="14"/>
      <c r="GP22" s="14"/>
      <c r="GQ22" s="14"/>
      <c r="GR22" s="14"/>
      <c r="GS22" s="14"/>
      <c r="GT22" s="14"/>
      <c r="GU22" s="14"/>
      <c r="GV22" s="14"/>
      <c r="GW22" s="14"/>
      <c r="GX22" s="14"/>
      <c r="GY22" s="14"/>
      <c r="GZ22" s="14"/>
      <c r="HA22" s="14"/>
      <c r="HB22" s="14"/>
    </row>
    <row r="23" spans="1:210">
      <c r="A23" s="35">
        <v>20</v>
      </c>
      <c r="B23" s="38" t="str">
        <f>IF('(7b) Project List'!F28&lt;&gt;"",'(7b) Project List'!F28," ")</f>
        <v xml:space="preserve"> </v>
      </c>
      <c r="C23" s="38" t="str">
        <f t="shared" si="5"/>
        <v xml:space="preserve"> </v>
      </c>
      <c r="D23" s="38" t="str">
        <f>IF('(7b) Project List'!G28&lt;&gt;"",'(7b) Project List'!G28,"")</f>
        <v/>
      </c>
      <c r="E23" s="37" t="str">
        <f t="shared" si="6"/>
        <v/>
      </c>
      <c r="F23" s="36"/>
      <c r="G23" s="36"/>
      <c r="H23" s="35" t="str">
        <f>IF('(7b) Project List'!H28&lt;&gt;"",'(7b) Project List'!H28,"")</f>
        <v/>
      </c>
      <c r="I23" s="35"/>
      <c r="J23" s="17" t="str">
        <f t="shared" si="7"/>
        <v/>
      </c>
      <c r="K23" s="17">
        <f>IF(OR(('(7b) Project List'!$F$5=""),('(7b) Project List'!$C28&gt;'(7b) Project List'!$F28),('(7b) Project List'!$C28&gt;'(7b) Project List'!$G28),('(7b) Project List'!$C28&gt;'(7b) Project List'!$F$5),('(7b) Project List'!$G28&lt;'(7c) Project Schedule'!$B$25),('(7b) Project List'!$F28&gt;'(7b) Project List'!$D28),('(7c) Project Schedule'!$B$25&gt;'(7b) Project List'!$D28),('(7b) Project List'!$F28&gt;'(7b) Project List'!$F$5),('(7b) Project List'!$F28&gt;'(7b) Project List'!$G28),('(7b) Project List'!$G28&gt;'(7b) Project List'!$D28)),"",COUNTIF(S23:GP23,"&gt;0"))</f>
        <v>0</v>
      </c>
      <c r="L23" s="16" t="str">
        <f t="shared" si="8"/>
        <v xml:space="preserve"> </v>
      </c>
      <c r="N23" s="16" t="str">
        <f t="shared" si="9"/>
        <v xml:space="preserve"> </v>
      </c>
      <c r="O23" s="16" t="str">
        <f t="shared" si="10"/>
        <v xml:space="preserve"> </v>
      </c>
      <c r="P23" s="16" t="str">
        <f t="shared" si="11"/>
        <v xml:space="preserve"> </v>
      </c>
      <c r="Q23" s="16" t="str">
        <f t="shared" si="12"/>
        <v xml:space="preserve"> </v>
      </c>
      <c r="S23" s="34" t="str">
        <f t="shared" si="27"/>
        <v/>
      </c>
      <c r="T23" s="34" t="str">
        <f t="shared" si="27"/>
        <v/>
      </c>
      <c r="U23" s="34" t="str">
        <f t="shared" si="27"/>
        <v/>
      </c>
      <c r="V23" s="34" t="str">
        <f t="shared" si="27"/>
        <v/>
      </c>
      <c r="W23" s="34" t="str">
        <f t="shared" si="27"/>
        <v/>
      </c>
      <c r="X23" s="34" t="str">
        <f t="shared" si="27"/>
        <v/>
      </c>
      <c r="Y23" s="34" t="str">
        <f t="shared" si="27"/>
        <v/>
      </c>
      <c r="Z23" s="34" t="str">
        <f t="shared" si="27"/>
        <v/>
      </c>
      <c r="AA23" s="34" t="str">
        <f t="shared" si="27"/>
        <v/>
      </c>
      <c r="AB23" s="34" t="str">
        <f t="shared" si="27"/>
        <v/>
      </c>
      <c r="AC23" s="34" t="str">
        <f t="shared" si="28"/>
        <v/>
      </c>
      <c r="AD23" s="33" t="str">
        <f t="shared" si="28"/>
        <v/>
      </c>
      <c r="AE23" s="34" t="str">
        <f t="shared" si="28"/>
        <v/>
      </c>
      <c r="AF23" s="34" t="str">
        <f t="shared" si="28"/>
        <v/>
      </c>
      <c r="AG23" s="34" t="str">
        <f t="shared" si="28"/>
        <v/>
      </c>
      <c r="AH23" s="34" t="str">
        <f t="shared" si="28"/>
        <v/>
      </c>
      <c r="AI23" s="34" t="str">
        <f t="shared" si="28"/>
        <v/>
      </c>
      <c r="AJ23" s="34" t="str">
        <f t="shared" si="28"/>
        <v/>
      </c>
      <c r="AK23" s="34" t="str">
        <f t="shared" si="28"/>
        <v/>
      </c>
      <c r="AL23" s="34" t="str">
        <f t="shared" si="28"/>
        <v/>
      </c>
      <c r="AM23" s="34" t="str">
        <f t="shared" si="29"/>
        <v/>
      </c>
      <c r="AN23" s="34" t="str">
        <f t="shared" si="29"/>
        <v/>
      </c>
      <c r="AO23" s="34" t="str">
        <f t="shared" si="29"/>
        <v/>
      </c>
      <c r="AP23" s="33" t="str">
        <f t="shared" si="29"/>
        <v/>
      </c>
      <c r="AQ23" s="34" t="str">
        <f t="shared" si="29"/>
        <v/>
      </c>
      <c r="AR23" s="34" t="str">
        <f t="shared" si="29"/>
        <v/>
      </c>
      <c r="AS23" s="34" t="str">
        <f t="shared" si="29"/>
        <v/>
      </c>
      <c r="AT23" s="34" t="str">
        <f t="shared" si="29"/>
        <v/>
      </c>
      <c r="AU23" s="34" t="str">
        <f t="shared" si="29"/>
        <v/>
      </c>
      <c r="AV23" s="34" t="str">
        <f t="shared" si="29"/>
        <v/>
      </c>
      <c r="AW23" s="34" t="str">
        <f t="shared" si="30"/>
        <v/>
      </c>
      <c r="AX23" s="34" t="str">
        <f t="shared" si="30"/>
        <v/>
      </c>
      <c r="AY23" s="34" t="str">
        <f t="shared" si="30"/>
        <v/>
      </c>
      <c r="AZ23" s="34" t="str">
        <f t="shared" si="30"/>
        <v/>
      </c>
      <c r="BA23" s="34" t="str">
        <f t="shared" si="30"/>
        <v/>
      </c>
      <c r="BB23" s="33" t="str">
        <f t="shared" si="30"/>
        <v/>
      </c>
      <c r="BC23" s="34" t="str">
        <f t="shared" si="30"/>
        <v/>
      </c>
      <c r="BD23" s="34" t="str">
        <f t="shared" si="30"/>
        <v/>
      </c>
      <c r="BE23" s="34" t="str">
        <f t="shared" si="30"/>
        <v/>
      </c>
      <c r="BF23" s="34" t="str">
        <f t="shared" si="30"/>
        <v/>
      </c>
      <c r="BG23" s="34" t="str">
        <f t="shared" si="31"/>
        <v/>
      </c>
      <c r="BH23" s="34" t="str">
        <f t="shared" si="31"/>
        <v/>
      </c>
      <c r="BI23" s="34" t="str">
        <f t="shared" si="31"/>
        <v/>
      </c>
      <c r="BJ23" s="34" t="str">
        <f t="shared" si="31"/>
        <v/>
      </c>
      <c r="BK23" s="34" t="str">
        <f t="shared" si="31"/>
        <v/>
      </c>
      <c r="BL23" s="34" t="str">
        <f t="shared" si="31"/>
        <v/>
      </c>
      <c r="BM23" s="34" t="str">
        <f t="shared" si="31"/>
        <v/>
      </c>
      <c r="BN23" s="33" t="str">
        <f t="shared" si="31"/>
        <v/>
      </c>
      <c r="BO23" s="34" t="str">
        <f t="shared" si="31"/>
        <v/>
      </c>
      <c r="BP23" s="34" t="str">
        <f t="shared" si="31"/>
        <v/>
      </c>
      <c r="BQ23" s="34" t="str">
        <f t="shared" si="32"/>
        <v/>
      </c>
      <c r="BR23" s="34" t="str">
        <f t="shared" si="32"/>
        <v/>
      </c>
      <c r="BS23" s="34" t="str">
        <f t="shared" si="32"/>
        <v/>
      </c>
      <c r="BT23" s="34" t="str">
        <f t="shared" si="32"/>
        <v/>
      </c>
      <c r="BU23" s="34" t="str">
        <f t="shared" si="32"/>
        <v/>
      </c>
      <c r="BV23" s="34" t="str">
        <f t="shared" si="32"/>
        <v/>
      </c>
      <c r="BW23" s="34" t="str">
        <f t="shared" si="32"/>
        <v/>
      </c>
      <c r="BX23" s="34" t="str">
        <f t="shared" si="32"/>
        <v/>
      </c>
      <c r="BY23" s="34" t="str">
        <f t="shared" si="32"/>
        <v/>
      </c>
      <c r="BZ23" s="33" t="str">
        <f t="shared" si="32"/>
        <v/>
      </c>
      <c r="CA23" s="34" t="str">
        <f t="shared" si="33"/>
        <v/>
      </c>
      <c r="CB23" s="34" t="str">
        <f t="shared" si="33"/>
        <v/>
      </c>
      <c r="CC23" s="34" t="str">
        <f t="shared" si="33"/>
        <v/>
      </c>
      <c r="CD23" s="34" t="str">
        <f t="shared" si="33"/>
        <v/>
      </c>
      <c r="CE23" s="34" t="str">
        <f t="shared" si="33"/>
        <v/>
      </c>
      <c r="CF23" s="34" t="str">
        <f t="shared" si="33"/>
        <v/>
      </c>
      <c r="CG23" s="34" t="str">
        <f t="shared" si="33"/>
        <v/>
      </c>
      <c r="CH23" s="34" t="str">
        <f t="shared" si="33"/>
        <v/>
      </c>
      <c r="CI23" s="34" t="str">
        <f t="shared" si="33"/>
        <v/>
      </c>
      <c r="CJ23" s="34" t="str">
        <f t="shared" si="33"/>
        <v/>
      </c>
      <c r="CK23" s="34" t="str">
        <f t="shared" si="34"/>
        <v/>
      </c>
      <c r="CL23" s="33" t="str">
        <f t="shared" si="34"/>
        <v/>
      </c>
      <c r="CM23" s="34" t="str">
        <f t="shared" si="34"/>
        <v/>
      </c>
      <c r="CN23" s="34" t="str">
        <f t="shared" si="34"/>
        <v/>
      </c>
      <c r="CO23" s="34" t="str">
        <f t="shared" si="34"/>
        <v/>
      </c>
      <c r="CP23" s="34" t="str">
        <f t="shared" si="34"/>
        <v/>
      </c>
      <c r="CQ23" s="34" t="str">
        <f t="shared" si="34"/>
        <v/>
      </c>
      <c r="CR23" s="34" t="str">
        <f t="shared" si="34"/>
        <v/>
      </c>
      <c r="CS23" s="34" t="str">
        <f t="shared" si="34"/>
        <v/>
      </c>
      <c r="CT23" s="34" t="str">
        <f t="shared" si="34"/>
        <v/>
      </c>
      <c r="CU23" s="34" t="str">
        <f t="shared" si="35"/>
        <v/>
      </c>
      <c r="CV23" s="34" t="str">
        <f t="shared" si="35"/>
        <v/>
      </c>
      <c r="CW23" s="34" t="str">
        <f t="shared" si="35"/>
        <v/>
      </c>
      <c r="CX23" s="33" t="str">
        <f t="shared" si="35"/>
        <v/>
      </c>
      <c r="CY23" s="34" t="str">
        <f t="shared" si="35"/>
        <v/>
      </c>
      <c r="CZ23" s="34" t="str">
        <f t="shared" si="35"/>
        <v/>
      </c>
      <c r="DA23" s="34" t="str">
        <f t="shared" si="35"/>
        <v/>
      </c>
      <c r="DB23" s="34" t="str">
        <f t="shared" si="35"/>
        <v/>
      </c>
      <c r="DC23" s="34" t="str">
        <f t="shared" si="35"/>
        <v/>
      </c>
      <c r="DD23" s="34" t="str">
        <f t="shared" si="35"/>
        <v/>
      </c>
      <c r="DE23" s="34" t="str">
        <f t="shared" si="36"/>
        <v/>
      </c>
      <c r="DF23" s="34" t="str">
        <f t="shared" si="36"/>
        <v/>
      </c>
      <c r="DG23" s="34" t="str">
        <f t="shared" si="36"/>
        <v/>
      </c>
      <c r="DH23" s="34" t="str">
        <f t="shared" si="36"/>
        <v/>
      </c>
      <c r="DI23" s="34" t="str">
        <f t="shared" si="36"/>
        <v/>
      </c>
      <c r="DJ23" s="33" t="str">
        <f t="shared" si="36"/>
        <v/>
      </c>
      <c r="DK23" s="34" t="str">
        <f t="shared" si="36"/>
        <v/>
      </c>
      <c r="DL23" s="34" t="str">
        <f t="shared" si="36"/>
        <v/>
      </c>
      <c r="DM23" s="34" t="str">
        <f t="shared" si="36"/>
        <v/>
      </c>
      <c r="DN23" s="34" t="str">
        <f t="shared" si="36"/>
        <v/>
      </c>
      <c r="DO23" s="34" t="str">
        <f t="shared" si="37"/>
        <v/>
      </c>
      <c r="DP23" s="34" t="str">
        <f t="shared" si="37"/>
        <v/>
      </c>
      <c r="DQ23" s="34" t="str">
        <f t="shared" si="37"/>
        <v/>
      </c>
      <c r="DR23" s="34" t="str">
        <f t="shared" si="37"/>
        <v/>
      </c>
      <c r="DS23" s="34" t="str">
        <f t="shared" si="37"/>
        <v/>
      </c>
      <c r="DT23" s="34" t="str">
        <f t="shared" si="37"/>
        <v/>
      </c>
      <c r="DU23" s="34" t="str">
        <f t="shared" si="37"/>
        <v/>
      </c>
      <c r="DV23" s="33" t="str">
        <f t="shared" si="37"/>
        <v/>
      </c>
      <c r="DW23" s="34" t="str">
        <f t="shared" si="37"/>
        <v/>
      </c>
      <c r="DX23" s="34" t="str">
        <f t="shared" si="37"/>
        <v/>
      </c>
      <c r="DY23" s="34" t="str">
        <f t="shared" si="38"/>
        <v/>
      </c>
      <c r="DZ23" s="34" t="str">
        <f t="shared" si="38"/>
        <v/>
      </c>
      <c r="EA23" s="34" t="str">
        <f t="shared" si="38"/>
        <v/>
      </c>
      <c r="EB23" s="34" t="str">
        <f t="shared" si="38"/>
        <v/>
      </c>
      <c r="EC23" s="34" t="str">
        <f t="shared" si="38"/>
        <v/>
      </c>
      <c r="ED23" s="34" t="str">
        <f t="shared" si="38"/>
        <v/>
      </c>
      <c r="EE23" s="34" t="str">
        <f t="shared" si="38"/>
        <v/>
      </c>
      <c r="EF23" s="34" t="str">
        <f t="shared" si="38"/>
        <v/>
      </c>
      <c r="EG23" s="34" t="str">
        <f t="shared" si="38"/>
        <v/>
      </c>
      <c r="EH23" s="33" t="str">
        <f t="shared" si="38"/>
        <v/>
      </c>
      <c r="EI23" s="34" t="str">
        <f t="shared" si="39"/>
        <v/>
      </c>
      <c r="EJ23" s="34" t="str">
        <f t="shared" si="39"/>
        <v/>
      </c>
      <c r="EK23" s="34" t="str">
        <f t="shared" si="39"/>
        <v/>
      </c>
      <c r="EL23" s="34" t="str">
        <f t="shared" si="39"/>
        <v/>
      </c>
      <c r="EM23" s="34" t="str">
        <f t="shared" si="39"/>
        <v/>
      </c>
      <c r="EN23" s="34" t="str">
        <f t="shared" si="39"/>
        <v/>
      </c>
      <c r="EO23" s="34" t="str">
        <f t="shared" si="39"/>
        <v/>
      </c>
      <c r="EP23" s="34" t="str">
        <f t="shared" si="39"/>
        <v/>
      </c>
      <c r="EQ23" s="34" t="str">
        <f t="shared" si="39"/>
        <v/>
      </c>
      <c r="ER23" s="34" t="str">
        <f t="shared" si="39"/>
        <v/>
      </c>
      <c r="ES23" s="34" t="str">
        <f t="shared" si="40"/>
        <v/>
      </c>
      <c r="ET23" s="33" t="str">
        <f t="shared" si="40"/>
        <v/>
      </c>
      <c r="EU23" s="34" t="str">
        <f t="shared" si="40"/>
        <v/>
      </c>
      <c r="EV23" s="34" t="str">
        <f t="shared" si="40"/>
        <v/>
      </c>
      <c r="EW23" s="34" t="str">
        <f t="shared" si="40"/>
        <v/>
      </c>
      <c r="EX23" s="34" t="str">
        <f t="shared" si="40"/>
        <v/>
      </c>
      <c r="EY23" s="34" t="str">
        <f t="shared" si="40"/>
        <v/>
      </c>
      <c r="EZ23" s="34" t="str">
        <f t="shared" si="40"/>
        <v/>
      </c>
      <c r="FA23" s="34" t="str">
        <f t="shared" si="40"/>
        <v/>
      </c>
      <c r="FB23" s="34" t="str">
        <f t="shared" si="40"/>
        <v/>
      </c>
      <c r="FC23" s="34" t="str">
        <f t="shared" si="40"/>
        <v/>
      </c>
      <c r="FD23" s="34" t="str">
        <f t="shared" si="40"/>
        <v/>
      </c>
      <c r="FE23" s="34" t="str">
        <f t="shared" si="40"/>
        <v/>
      </c>
      <c r="FF23" s="33" t="str">
        <f t="shared" si="40"/>
        <v/>
      </c>
      <c r="FG23" s="14"/>
      <c r="FH23" s="14"/>
      <c r="FI23" s="14"/>
      <c r="FJ23" s="14"/>
      <c r="FK23" s="14"/>
      <c r="FL23" s="14"/>
      <c r="FM23" s="14"/>
      <c r="FN23" s="14"/>
      <c r="FO23" s="14"/>
      <c r="FP23" s="14"/>
      <c r="FQ23" s="14"/>
      <c r="FR23" s="14"/>
      <c r="FS23" s="14"/>
      <c r="FT23" s="14"/>
      <c r="FU23" s="14"/>
      <c r="FV23" s="14"/>
      <c r="FW23" s="14"/>
      <c r="FX23" s="14"/>
      <c r="FY23" s="14"/>
      <c r="FZ23" s="14"/>
      <c r="GA23" s="14"/>
      <c r="GB23" s="14"/>
      <c r="GC23" s="14"/>
      <c r="GD23" s="14"/>
      <c r="GE23" s="14"/>
      <c r="GF23" s="14"/>
      <c r="GG23" s="14"/>
      <c r="GH23" s="14"/>
      <c r="GI23" s="14"/>
      <c r="GJ23" s="14"/>
      <c r="GK23" s="14"/>
      <c r="GL23" s="14"/>
      <c r="GM23" s="14"/>
      <c r="GN23" s="14"/>
      <c r="GO23" s="14"/>
      <c r="GP23" s="14"/>
      <c r="GQ23" s="14"/>
      <c r="GR23" s="14"/>
      <c r="GS23" s="14"/>
      <c r="GT23" s="14"/>
      <c r="GU23" s="14"/>
      <c r="GV23" s="14"/>
      <c r="GW23" s="14"/>
      <c r="GX23" s="14"/>
      <c r="GY23" s="14"/>
      <c r="GZ23" s="14"/>
      <c r="HA23" s="14"/>
      <c r="HB23" s="14"/>
    </row>
    <row r="24" spans="1:210">
      <c r="L24" s="16" t="str">
        <f>IF(H24=""," ",H24*K24/(L21*100))</f>
        <v xml:space="preserve"> </v>
      </c>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c r="DP24" s="14"/>
      <c r="DQ24" s="14"/>
      <c r="DR24" s="14"/>
      <c r="DS24" s="14"/>
      <c r="DT24" s="14"/>
      <c r="DU24" s="14"/>
      <c r="DV24" s="14"/>
      <c r="DW24" s="14"/>
      <c r="DX24" s="14"/>
      <c r="DY24" s="14"/>
      <c r="DZ24" s="14"/>
      <c r="EA24" s="14"/>
      <c r="EB24" s="14"/>
      <c r="EC24" s="14"/>
      <c r="ED24" s="14"/>
      <c r="EE24" s="14"/>
      <c r="EF24" s="14"/>
      <c r="EG24" s="14"/>
      <c r="EH24" s="14"/>
      <c r="EI24" s="14"/>
      <c r="EJ24" s="14"/>
      <c r="EK24" s="14"/>
      <c r="EL24" s="14"/>
      <c r="EM24" s="14"/>
      <c r="EN24" s="14"/>
      <c r="EO24" s="14"/>
      <c r="EP24" s="14"/>
      <c r="EQ24" s="14"/>
      <c r="ER24" s="14"/>
      <c r="ES24" s="14"/>
      <c r="ET24" s="14"/>
      <c r="EU24" s="14"/>
      <c r="EV24" s="14"/>
      <c r="EW24" s="14"/>
      <c r="EX24" s="14"/>
      <c r="EY24" s="14"/>
      <c r="EZ24" s="14"/>
      <c r="FA24" s="14"/>
      <c r="FB24" s="14"/>
      <c r="FC24" s="14"/>
      <c r="FD24" s="14"/>
      <c r="FE24" s="14"/>
      <c r="FF24" s="14"/>
      <c r="FG24" s="14"/>
      <c r="FH24" s="14"/>
      <c r="FI24" s="14"/>
      <c r="FJ24" s="14"/>
      <c r="FK24" s="14"/>
      <c r="FL24" s="14"/>
      <c r="FM24" s="14"/>
      <c r="FN24" s="14"/>
      <c r="FO24" s="14"/>
      <c r="FP24" s="14"/>
      <c r="FQ24" s="14"/>
      <c r="FR24" s="14"/>
      <c r="FS24" s="14"/>
      <c r="FT24" s="14"/>
      <c r="FU24" s="14"/>
      <c r="FV24" s="14"/>
      <c r="FW24" s="14"/>
      <c r="FX24" s="14"/>
      <c r="FY24" s="14"/>
      <c r="FZ24" s="14"/>
      <c r="GA24" s="14"/>
      <c r="GB24" s="14"/>
      <c r="GC24" s="14"/>
      <c r="GD24" s="14"/>
      <c r="GE24" s="14"/>
      <c r="GF24" s="14"/>
      <c r="GG24" s="14"/>
      <c r="GH24" s="14"/>
      <c r="GI24" s="14"/>
      <c r="GJ24" s="14"/>
      <c r="GK24" s="14"/>
      <c r="GL24" s="14"/>
      <c r="GM24" s="14"/>
      <c r="GN24" s="14"/>
      <c r="GO24" s="14"/>
      <c r="GP24" s="14"/>
      <c r="GQ24" s="14"/>
      <c r="GR24" s="14"/>
      <c r="GS24" s="14"/>
      <c r="GT24" s="14"/>
      <c r="GU24" s="14"/>
      <c r="GV24" s="14"/>
      <c r="GW24" s="14"/>
      <c r="GX24" s="14"/>
      <c r="GY24" s="14"/>
      <c r="GZ24" s="14"/>
      <c r="HA24" s="14"/>
      <c r="HB24" s="14"/>
    </row>
    <row r="25" spans="1:210" s="87" customFormat="1" ht="22.5" customHeight="1">
      <c r="A25" s="30"/>
      <c r="B25" s="32" t="str">
        <f>IF(B4=" ","",IF(MIN(B4:B23)&lt;=DATE(YEAR(L$1),MONTH(L$1)-$N$1,DAY(L$1)),DATE(YEAR(L$1),MONTH(L$1)-$N$1,DAY(L$1)),MIN(B4:B23)))</f>
        <v/>
      </c>
      <c r="C25" s="32"/>
      <c r="D25" s="32" t="str">
        <f>IF(D4="","",IF(MAX(D4:D23)&gt;=L$1,L$1,MAX(D4:D23)))</f>
        <v/>
      </c>
      <c r="E25" s="31"/>
      <c r="F25" s="30"/>
      <c r="G25" s="30"/>
      <c r="H25" s="30" t="str">
        <f>IF(SUM(H4:H23)&lt;&gt;SUM(J4:J23),"geändert","")</f>
        <v/>
      </c>
      <c r="I25" s="30"/>
      <c r="J25" s="30"/>
      <c r="K25" s="29" t="s">
        <v>131</v>
      </c>
      <c r="L25" s="27">
        <f>SUM(L4:L23)</f>
        <v>0</v>
      </c>
      <c r="M25" s="28"/>
      <c r="N25" s="27">
        <f>SUM(N4:N23)</f>
        <v>0</v>
      </c>
      <c r="O25" s="27">
        <f>SUM(O4:O23)</f>
        <v>0</v>
      </c>
      <c r="P25" s="27">
        <f>SUM(P4:P23)</f>
        <v>0</v>
      </c>
      <c r="Q25" s="27">
        <f>SUM(Q4:Q23)</f>
        <v>0</v>
      </c>
      <c r="R25" s="26"/>
      <c r="S25" s="23">
        <f t="shared" ref="S25:AX25" si="41">SUM(S4:S23)</f>
        <v>0</v>
      </c>
      <c r="T25" s="23">
        <f t="shared" si="41"/>
        <v>0</v>
      </c>
      <c r="U25" s="23">
        <f t="shared" si="41"/>
        <v>0</v>
      </c>
      <c r="V25" s="23">
        <f t="shared" si="41"/>
        <v>0</v>
      </c>
      <c r="W25" s="23">
        <f t="shared" si="41"/>
        <v>0</v>
      </c>
      <c r="X25" s="23">
        <f t="shared" si="41"/>
        <v>0</v>
      </c>
      <c r="Y25" s="23">
        <f t="shared" si="41"/>
        <v>0</v>
      </c>
      <c r="Z25" s="23">
        <f t="shared" si="41"/>
        <v>0</v>
      </c>
      <c r="AA25" s="23">
        <f t="shared" si="41"/>
        <v>0</v>
      </c>
      <c r="AB25" s="23">
        <f t="shared" si="41"/>
        <v>0</v>
      </c>
      <c r="AC25" s="23">
        <f t="shared" si="41"/>
        <v>0</v>
      </c>
      <c r="AD25" s="23">
        <f t="shared" si="41"/>
        <v>0</v>
      </c>
      <c r="AE25" s="23">
        <f t="shared" si="41"/>
        <v>0</v>
      </c>
      <c r="AF25" s="23">
        <f t="shared" si="41"/>
        <v>0</v>
      </c>
      <c r="AG25" s="23">
        <f t="shared" si="41"/>
        <v>0</v>
      </c>
      <c r="AH25" s="23">
        <f t="shared" si="41"/>
        <v>0</v>
      </c>
      <c r="AI25" s="23">
        <f t="shared" si="41"/>
        <v>0</v>
      </c>
      <c r="AJ25" s="23">
        <f t="shared" si="41"/>
        <v>0</v>
      </c>
      <c r="AK25" s="23">
        <f t="shared" si="41"/>
        <v>0</v>
      </c>
      <c r="AL25" s="23">
        <f t="shared" si="41"/>
        <v>0</v>
      </c>
      <c r="AM25" s="23">
        <f t="shared" si="41"/>
        <v>0</v>
      </c>
      <c r="AN25" s="23">
        <f t="shared" si="41"/>
        <v>0</v>
      </c>
      <c r="AO25" s="23">
        <f t="shared" si="41"/>
        <v>0</v>
      </c>
      <c r="AP25" s="23">
        <f t="shared" si="41"/>
        <v>0</v>
      </c>
      <c r="AQ25" s="23">
        <f t="shared" si="41"/>
        <v>0</v>
      </c>
      <c r="AR25" s="23">
        <f t="shared" si="41"/>
        <v>0</v>
      </c>
      <c r="AS25" s="23">
        <f t="shared" si="41"/>
        <v>0</v>
      </c>
      <c r="AT25" s="23">
        <f t="shared" si="41"/>
        <v>0</v>
      </c>
      <c r="AU25" s="23">
        <f t="shared" si="41"/>
        <v>0</v>
      </c>
      <c r="AV25" s="23">
        <f t="shared" si="41"/>
        <v>0</v>
      </c>
      <c r="AW25" s="23">
        <f t="shared" si="41"/>
        <v>0</v>
      </c>
      <c r="AX25" s="23">
        <f t="shared" si="41"/>
        <v>0</v>
      </c>
      <c r="AY25" s="23">
        <f t="shared" ref="AY25:CD25" si="42">SUM(AY4:AY23)</f>
        <v>0</v>
      </c>
      <c r="AZ25" s="23">
        <f t="shared" si="42"/>
        <v>0</v>
      </c>
      <c r="BA25" s="23">
        <f t="shared" si="42"/>
        <v>0</v>
      </c>
      <c r="BB25" s="23">
        <f t="shared" si="42"/>
        <v>0</v>
      </c>
      <c r="BC25" s="23">
        <f t="shared" si="42"/>
        <v>0</v>
      </c>
      <c r="BD25" s="23">
        <f t="shared" si="42"/>
        <v>0</v>
      </c>
      <c r="BE25" s="23">
        <f t="shared" si="42"/>
        <v>0</v>
      </c>
      <c r="BF25" s="23">
        <f t="shared" si="42"/>
        <v>0</v>
      </c>
      <c r="BG25" s="23">
        <f t="shared" si="42"/>
        <v>0</v>
      </c>
      <c r="BH25" s="23">
        <f t="shared" si="42"/>
        <v>0</v>
      </c>
      <c r="BI25" s="23">
        <f t="shared" si="42"/>
        <v>0</v>
      </c>
      <c r="BJ25" s="23">
        <f t="shared" si="42"/>
        <v>0</v>
      </c>
      <c r="BK25" s="23">
        <f t="shared" si="42"/>
        <v>0</v>
      </c>
      <c r="BL25" s="23">
        <f t="shared" si="42"/>
        <v>0</v>
      </c>
      <c r="BM25" s="23">
        <f t="shared" si="42"/>
        <v>0</v>
      </c>
      <c r="BN25" s="23">
        <f t="shared" si="42"/>
        <v>0</v>
      </c>
      <c r="BO25" s="23">
        <f t="shared" si="42"/>
        <v>0</v>
      </c>
      <c r="BP25" s="23">
        <f t="shared" si="42"/>
        <v>0</v>
      </c>
      <c r="BQ25" s="23">
        <f t="shared" si="42"/>
        <v>0</v>
      </c>
      <c r="BR25" s="23">
        <f t="shared" si="42"/>
        <v>0</v>
      </c>
      <c r="BS25" s="23">
        <f t="shared" si="42"/>
        <v>0</v>
      </c>
      <c r="BT25" s="23">
        <f t="shared" si="42"/>
        <v>0</v>
      </c>
      <c r="BU25" s="23">
        <f t="shared" si="42"/>
        <v>0</v>
      </c>
      <c r="BV25" s="23">
        <f t="shared" si="42"/>
        <v>0</v>
      </c>
      <c r="BW25" s="23">
        <f t="shared" si="42"/>
        <v>0</v>
      </c>
      <c r="BX25" s="23">
        <f t="shared" si="42"/>
        <v>0</v>
      </c>
      <c r="BY25" s="23">
        <f t="shared" si="42"/>
        <v>0</v>
      </c>
      <c r="BZ25" s="23">
        <f t="shared" si="42"/>
        <v>0</v>
      </c>
      <c r="CA25" s="23">
        <f t="shared" si="42"/>
        <v>0</v>
      </c>
      <c r="CB25" s="23">
        <f t="shared" si="42"/>
        <v>0</v>
      </c>
      <c r="CC25" s="23">
        <f t="shared" si="42"/>
        <v>0</v>
      </c>
      <c r="CD25" s="23">
        <f t="shared" si="42"/>
        <v>0</v>
      </c>
      <c r="CE25" s="23">
        <f t="shared" ref="CE25:DJ25" si="43">SUM(CE4:CE23)</f>
        <v>0</v>
      </c>
      <c r="CF25" s="23">
        <f t="shared" si="43"/>
        <v>0</v>
      </c>
      <c r="CG25" s="23">
        <f t="shared" si="43"/>
        <v>0</v>
      </c>
      <c r="CH25" s="23">
        <f t="shared" si="43"/>
        <v>0</v>
      </c>
      <c r="CI25" s="23">
        <f t="shared" si="43"/>
        <v>0</v>
      </c>
      <c r="CJ25" s="23">
        <f t="shared" si="43"/>
        <v>0</v>
      </c>
      <c r="CK25" s="23">
        <f t="shared" si="43"/>
        <v>0</v>
      </c>
      <c r="CL25" s="23">
        <f t="shared" si="43"/>
        <v>0</v>
      </c>
      <c r="CM25" s="23">
        <f t="shared" si="43"/>
        <v>0</v>
      </c>
      <c r="CN25" s="23">
        <f t="shared" si="43"/>
        <v>0</v>
      </c>
      <c r="CO25" s="23">
        <f t="shared" si="43"/>
        <v>0</v>
      </c>
      <c r="CP25" s="23">
        <f t="shared" si="43"/>
        <v>0</v>
      </c>
      <c r="CQ25" s="23">
        <f t="shared" si="43"/>
        <v>0</v>
      </c>
      <c r="CR25" s="23">
        <f t="shared" si="43"/>
        <v>0</v>
      </c>
      <c r="CS25" s="23">
        <f t="shared" si="43"/>
        <v>0</v>
      </c>
      <c r="CT25" s="23">
        <f t="shared" si="43"/>
        <v>0</v>
      </c>
      <c r="CU25" s="23">
        <f t="shared" si="43"/>
        <v>0</v>
      </c>
      <c r="CV25" s="23">
        <f t="shared" si="43"/>
        <v>0</v>
      </c>
      <c r="CW25" s="23">
        <f t="shared" si="43"/>
        <v>0</v>
      </c>
      <c r="CX25" s="23">
        <f t="shared" si="43"/>
        <v>0</v>
      </c>
      <c r="CY25" s="23">
        <f t="shared" si="43"/>
        <v>0</v>
      </c>
      <c r="CZ25" s="23">
        <f t="shared" si="43"/>
        <v>0</v>
      </c>
      <c r="DA25" s="23">
        <f t="shared" si="43"/>
        <v>0</v>
      </c>
      <c r="DB25" s="23">
        <f t="shared" si="43"/>
        <v>0</v>
      </c>
      <c r="DC25" s="23">
        <f t="shared" si="43"/>
        <v>0</v>
      </c>
      <c r="DD25" s="23">
        <f t="shared" si="43"/>
        <v>0</v>
      </c>
      <c r="DE25" s="23">
        <f t="shared" si="43"/>
        <v>0</v>
      </c>
      <c r="DF25" s="23">
        <f t="shared" si="43"/>
        <v>0</v>
      </c>
      <c r="DG25" s="23">
        <f t="shared" si="43"/>
        <v>0</v>
      </c>
      <c r="DH25" s="23">
        <f t="shared" si="43"/>
        <v>0</v>
      </c>
      <c r="DI25" s="23">
        <f t="shared" si="43"/>
        <v>0</v>
      </c>
      <c r="DJ25" s="23">
        <f t="shared" si="43"/>
        <v>0</v>
      </c>
      <c r="DK25" s="23">
        <f t="shared" ref="DK25:EP25" si="44">SUM(DK4:DK23)</f>
        <v>0</v>
      </c>
      <c r="DL25" s="23">
        <f t="shared" si="44"/>
        <v>0</v>
      </c>
      <c r="DM25" s="23">
        <f t="shared" si="44"/>
        <v>0</v>
      </c>
      <c r="DN25" s="23">
        <f t="shared" si="44"/>
        <v>0</v>
      </c>
      <c r="DO25" s="23">
        <f t="shared" si="44"/>
        <v>0</v>
      </c>
      <c r="DP25" s="23">
        <f t="shared" si="44"/>
        <v>0</v>
      </c>
      <c r="DQ25" s="23">
        <f t="shared" si="44"/>
        <v>0</v>
      </c>
      <c r="DR25" s="23">
        <f t="shared" si="44"/>
        <v>0</v>
      </c>
      <c r="DS25" s="23">
        <f t="shared" si="44"/>
        <v>0</v>
      </c>
      <c r="DT25" s="23">
        <f t="shared" si="44"/>
        <v>0</v>
      </c>
      <c r="DU25" s="23">
        <f t="shared" si="44"/>
        <v>0</v>
      </c>
      <c r="DV25" s="23">
        <f t="shared" si="44"/>
        <v>0</v>
      </c>
      <c r="DW25" s="23">
        <f t="shared" si="44"/>
        <v>0</v>
      </c>
      <c r="DX25" s="23">
        <f t="shared" si="44"/>
        <v>0</v>
      </c>
      <c r="DY25" s="23">
        <f t="shared" si="44"/>
        <v>0</v>
      </c>
      <c r="DZ25" s="23">
        <f t="shared" si="44"/>
        <v>0</v>
      </c>
      <c r="EA25" s="23">
        <f t="shared" si="44"/>
        <v>0</v>
      </c>
      <c r="EB25" s="23">
        <f t="shared" si="44"/>
        <v>0</v>
      </c>
      <c r="EC25" s="23">
        <f t="shared" si="44"/>
        <v>0</v>
      </c>
      <c r="ED25" s="23">
        <f t="shared" si="44"/>
        <v>0</v>
      </c>
      <c r="EE25" s="23">
        <f t="shared" si="44"/>
        <v>0</v>
      </c>
      <c r="EF25" s="23">
        <f t="shared" si="44"/>
        <v>0</v>
      </c>
      <c r="EG25" s="23">
        <f t="shared" si="44"/>
        <v>0</v>
      </c>
      <c r="EH25" s="23">
        <f t="shared" si="44"/>
        <v>0</v>
      </c>
      <c r="EI25" s="23">
        <f t="shared" si="44"/>
        <v>0</v>
      </c>
      <c r="EJ25" s="23">
        <f t="shared" si="44"/>
        <v>0</v>
      </c>
      <c r="EK25" s="23">
        <f t="shared" si="44"/>
        <v>0</v>
      </c>
      <c r="EL25" s="23">
        <f t="shared" si="44"/>
        <v>0</v>
      </c>
      <c r="EM25" s="23">
        <f t="shared" si="44"/>
        <v>0</v>
      </c>
      <c r="EN25" s="23">
        <f t="shared" si="44"/>
        <v>0</v>
      </c>
      <c r="EO25" s="23">
        <f t="shared" si="44"/>
        <v>0</v>
      </c>
      <c r="EP25" s="23">
        <f t="shared" si="44"/>
        <v>0</v>
      </c>
      <c r="EQ25" s="23">
        <f t="shared" ref="EQ25:FF25" si="45">SUM(EQ4:EQ23)</f>
        <v>0</v>
      </c>
      <c r="ER25" s="23">
        <f t="shared" si="45"/>
        <v>0</v>
      </c>
      <c r="ES25" s="23">
        <f t="shared" si="45"/>
        <v>0</v>
      </c>
      <c r="ET25" s="23">
        <f t="shared" si="45"/>
        <v>0</v>
      </c>
      <c r="EU25" s="23">
        <f t="shared" si="45"/>
        <v>0</v>
      </c>
      <c r="EV25" s="23">
        <f t="shared" si="45"/>
        <v>0</v>
      </c>
      <c r="EW25" s="23">
        <f t="shared" si="45"/>
        <v>0</v>
      </c>
      <c r="EX25" s="23">
        <f t="shared" si="45"/>
        <v>0</v>
      </c>
      <c r="EY25" s="23">
        <f t="shared" si="45"/>
        <v>0</v>
      </c>
      <c r="EZ25" s="23">
        <f t="shared" si="45"/>
        <v>0</v>
      </c>
      <c r="FA25" s="23">
        <f t="shared" si="45"/>
        <v>0</v>
      </c>
      <c r="FB25" s="23">
        <f t="shared" si="45"/>
        <v>0</v>
      </c>
      <c r="FC25" s="23">
        <f t="shared" si="45"/>
        <v>0</v>
      </c>
      <c r="FD25" s="23">
        <f t="shared" si="45"/>
        <v>0</v>
      </c>
      <c r="FE25" s="23">
        <f t="shared" si="45"/>
        <v>0</v>
      </c>
      <c r="FF25" s="23">
        <f t="shared" si="45"/>
        <v>0</v>
      </c>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row>
    <row r="26" spans="1:210">
      <c r="K26" s="17" t="s">
        <v>130</v>
      </c>
      <c r="L26" s="25" t="str">
        <f>IF(L25&gt;0,L25*$L2/100," ")</f>
        <v xml:space="preserve"> </v>
      </c>
      <c r="N26" s="25" t="str">
        <f>IF(N25&gt;0,N25*$L2/100," ")</f>
        <v xml:space="preserve"> </v>
      </c>
      <c r="O26" s="25" t="str">
        <f>IF(O25&gt;0,O25*$L2/100," ")</f>
        <v xml:space="preserve"> </v>
      </c>
      <c r="P26" s="25" t="str">
        <f>IF(P25&gt;0,P25*$L2/100," ")</f>
        <v xml:space="preserve"> </v>
      </c>
      <c r="Q26" s="25" t="str">
        <f>IF(Q25&gt;0,Q25*$L2/100," ")</f>
        <v xml:space="preserve"> </v>
      </c>
    </row>
    <row r="28" spans="1:210">
      <c r="A28" s="24" t="s">
        <v>129</v>
      </c>
      <c r="S28" s="23"/>
      <c r="T28" s="82" t="s">
        <v>125</v>
      </c>
      <c r="U28" s="81" t="s">
        <v>128</v>
      </c>
    </row>
    <row r="29" spans="1:210">
      <c r="A29" s="20" t="s">
        <v>127</v>
      </c>
      <c r="S29" s="22"/>
      <c r="T29" s="82" t="s">
        <v>125</v>
      </c>
      <c r="U29" s="81" t="s">
        <v>126</v>
      </c>
    </row>
    <row r="30" spans="1:210">
      <c r="S30" s="21"/>
      <c r="T30" s="82" t="s">
        <v>125</v>
      </c>
      <c r="U30" s="81" t="s">
        <v>124</v>
      </c>
    </row>
    <row r="32" spans="1:210">
      <c r="A32" s="20" t="s">
        <v>123</v>
      </c>
      <c r="C32" s="19" t="str">
        <f>IF('(7b) Project List'!G2="","FALSCH","WAHR")</f>
        <v>FALSCH</v>
      </c>
      <c r="S32" s="83" t="s">
        <v>495</v>
      </c>
    </row>
    <row r="33" spans="19:19">
      <c r="S33" s="81" t="s">
        <v>496</v>
      </c>
    </row>
    <row r="35" spans="19:19">
      <c r="S35" s="84" t="s">
        <v>105</v>
      </c>
    </row>
  </sheetData>
  <sheetProtection algorithmName="SHA-512" hashValue="+Lm4Sv3QKwt7KO6xS+R13+1zuyAM+ybi6rhnrWn1lYkcwDbfTQ/s+aZVYepctKrusUowQZ7Vrtr7VcEKLiQRLw==" saltValue="q+7ic9F/IX4ertCFy8ELZQ==" spinCount="100000" sheet="1" objects="1" scenarios="1" selectLockedCells="1" selectUnlockedCells="1"/>
  <mergeCells count="1">
    <mergeCell ref="B2:D2"/>
  </mergeCells>
  <conditionalFormatting sqref="H25:I25">
    <cfRule type="cellIs" dxfId="335" priority="1" stopIfTrue="1" operator="equal">
      <formula>"geändert"</formula>
    </cfRule>
  </conditionalFormatting>
  <conditionalFormatting sqref="M4:M23">
    <cfRule type="expression" dxfId="334" priority="16" stopIfTrue="1">
      <formula>#REF!=""</formula>
    </cfRule>
    <cfRule type="expression" dxfId="333" priority="17" stopIfTrue="1">
      <formula>#REF!=""</formula>
    </cfRule>
    <cfRule type="expression" dxfId="332" priority="18" stopIfTrue="1">
      <formula>#REF!&lt;&gt;#REF!</formula>
    </cfRule>
  </conditionalFormatting>
  <conditionalFormatting sqref="S28">
    <cfRule type="cellIs" dxfId="331" priority="5" stopIfTrue="1" operator="lessThanOrEqual">
      <formula>80</formula>
    </cfRule>
    <cfRule type="cellIs" dxfId="330" priority="6" stopIfTrue="1" operator="lessThanOrEqual">
      <formula>120</formula>
    </cfRule>
    <cfRule type="cellIs" dxfId="329" priority="7" stopIfTrue="1" operator="greaterThan">
      <formula>120</formula>
    </cfRule>
  </conditionalFormatting>
  <pageMargins left="0.7" right="0.7" top="0.78740157499999996" bottom="0.78740157499999996" header="0.3" footer="0.3"/>
  <pageSetup paperSize="9" scale="46" orientation="portrait" r:id="rId1"/>
  <headerFooter>
    <oddFooter>&amp;LDok.-Nr./Rev./Datum
F01         /  03   / 04.12.2020
&amp;F&amp;C&amp;U&amp;A&amp;RSeite &amp;P / &amp;N</oddFooter>
  </headerFooter>
  <drawing r:id="rId2"/>
  <legacyDrawing r:id="rId3"/>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Level_CB_Exam_Eval">
    <tabColor rgb="FFC00000"/>
  </sheetPr>
  <dimension ref="B1:BR227"/>
  <sheetViews>
    <sheetView showGridLines="0" zoomScale="80" zoomScaleNormal="80" zoomScalePageLayoutView="125" workbookViewId="0">
      <pane xSplit="4" ySplit="11" topLeftCell="E12" activePane="bottomRight" state="frozenSplit"/>
      <selection activeCell="B109" sqref="B109"/>
      <selection pane="topRight" activeCell="B109" sqref="B109"/>
      <selection pane="bottomLeft" activeCell="B109" sqref="B109"/>
      <selection pane="bottomRight" activeCell="J7" sqref="J7:K7"/>
    </sheetView>
  </sheetViews>
  <sheetFormatPr baseColWidth="10" defaultColWidth="10" defaultRowHeight="14"/>
  <cols>
    <col min="1" max="1" width="2.33203125" style="314" customWidth="1"/>
    <col min="2" max="2" width="7.83203125" style="313" customWidth="1"/>
    <col min="3" max="3" width="17.5" style="313" customWidth="1"/>
    <col min="4" max="4" width="20.1640625" style="314" customWidth="1"/>
    <col min="5" max="5" width="1.5" style="314" customWidth="1"/>
    <col min="6" max="6" width="9" style="314" customWidth="1"/>
    <col min="7" max="7" width="3.33203125" style="314" customWidth="1"/>
    <col min="8" max="8" width="49.33203125" style="313" customWidth="1"/>
    <col min="9" max="9" width="9.33203125" style="314" customWidth="1"/>
    <col min="10" max="10" width="18.6640625" style="314" customWidth="1"/>
    <col min="11" max="11" width="14.6640625" style="314" customWidth="1"/>
    <col min="12" max="12" width="14.5" style="314" customWidth="1"/>
    <col min="13" max="13" width="1.6640625" style="314" customWidth="1"/>
    <col min="14" max="14" width="2.33203125" style="314" customWidth="1"/>
    <col min="15" max="18" width="14.5" style="314" customWidth="1"/>
    <col min="19" max="20" width="14" style="1626" hidden="1" customWidth="1"/>
    <col min="21" max="22" width="14" style="314" hidden="1" customWidth="1"/>
    <col min="23" max="23" width="81" style="314" hidden="1" customWidth="1"/>
    <col min="24" max="24" width="14" style="1626" hidden="1" customWidth="1"/>
    <col min="25" max="25" width="14" style="314" hidden="1" customWidth="1"/>
    <col min="26" max="26" width="3.5" style="314" hidden="1" customWidth="1"/>
    <col min="27" max="39" width="14" style="314" hidden="1" customWidth="1"/>
    <col min="40" max="40" width="5.6640625" style="314" hidden="1" customWidth="1"/>
    <col min="41" max="41" width="6.5" style="314" hidden="1" customWidth="1"/>
    <col min="42" max="45" width="5.5" style="314" hidden="1" customWidth="1"/>
    <col min="46" max="70" width="10" style="314" hidden="1" customWidth="1"/>
    <col min="71" max="16384" width="10" style="314"/>
  </cols>
  <sheetData>
    <row r="1" spans="2:67" ht="23.25" customHeight="1">
      <c r="F1" s="1327"/>
      <c r="H1" s="1328" t="s">
        <v>718</v>
      </c>
      <c r="I1" s="317"/>
      <c r="J1" s="317" t="str">
        <f>COV!S13</f>
        <v>Lead Assessor:</v>
      </c>
      <c r="K1" s="1328" t="str">
        <f>COV!S14</f>
        <v>Co Assessor:</v>
      </c>
      <c r="L1" s="1328" t="str">
        <f>COV!S12</f>
        <v>Zert. Nummer:</v>
      </c>
    </row>
    <row r="2" spans="2:67" ht="18" customHeight="1">
      <c r="D2" s="316" t="str">
        <f>Dictionary!B848</f>
        <v>Prüfungsbewertung</v>
      </c>
      <c r="F2" s="2384"/>
      <c r="G2" s="2384"/>
      <c r="H2" s="1330" t="str">
        <f>APPLICATION_LVL&amp;", "&amp;APPLICATION_DOM</f>
        <v>A, Projekt</v>
      </c>
      <c r="I2" s="1331"/>
      <c r="J2" s="1330" t="str">
        <f>COV!V13</f>
        <v>Lead Assessor:</v>
      </c>
      <c r="K2" s="1331" t="str">
        <f>COV!V14</f>
        <v>Co Assessor:</v>
      </c>
      <c r="L2" s="1330" t="str">
        <f>Cert_Round</f>
        <v>Zert. Nummer:</v>
      </c>
      <c r="M2" s="317"/>
      <c r="N2" s="317"/>
      <c r="O2" s="317"/>
      <c r="P2" s="317"/>
      <c r="Q2" s="317"/>
      <c r="R2" s="317"/>
      <c r="S2" s="1627"/>
      <c r="T2" s="1627"/>
      <c r="U2" s="317"/>
      <c r="V2" s="317"/>
      <c r="W2" s="317"/>
      <c r="X2" s="1627"/>
      <c r="Y2" s="317"/>
      <c r="Z2" s="317"/>
      <c r="AA2" s="317"/>
      <c r="AB2" s="317"/>
      <c r="AC2" s="317"/>
      <c r="AD2" s="317"/>
      <c r="AE2" s="317"/>
      <c r="AF2" s="317"/>
      <c r="AG2" s="317"/>
      <c r="AH2" s="317"/>
      <c r="AI2" s="317"/>
      <c r="AJ2" s="317"/>
      <c r="AK2" s="317"/>
      <c r="AL2" s="317"/>
      <c r="AM2" s="317"/>
      <c r="AN2" s="317"/>
      <c r="AO2" s="318"/>
      <c r="AP2" s="318"/>
      <c r="AQ2" s="318"/>
      <c r="AR2" s="318"/>
    </row>
    <row r="3" spans="2:67" ht="28.5" customHeight="1">
      <c r="D3" s="1332" t="str">
        <f>'EXP Eval'!B3</f>
        <v xml:space="preserve">, </v>
      </c>
      <c r="F3" s="1329"/>
      <c r="G3" s="1329"/>
      <c r="H3" s="386"/>
      <c r="I3" s="1333"/>
      <c r="J3" s="386"/>
      <c r="K3" s="389"/>
      <c r="L3" s="389"/>
      <c r="M3" s="317"/>
      <c r="N3" s="317"/>
      <c r="O3" s="317"/>
      <c r="P3" s="317"/>
      <c r="Q3" s="317"/>
      <c r="R3" s="317"/>
      <c r="S3" s="1627"/>
      <c r="T3" s="1627"/>
      <c r="U3" s="317"/>
      <c r="V3" s="317"/>
      <c r="W3" s="317"/>
      <c r="X3" s="1627"/>
      <c r="Y3" s="317"/>
      <c r="Z3" s="317"/>
      <c r="AA3" s="317"/>
      <c r="AB3" s="317"/>
      <c r="AC3" s="317"/>
      <c r="AD3" s="317"/>
      <c r="AE3" s="317"/>
      <c r="AF3" s="317"/>
      <c r="AG3" s="317"/>
      <c r="AH3" s="317"/>
      <c r="AI3" s="317"/>
      <c r="AJ3" s="317"/>
      <c r="AK3" s="317"/>
      <c r="AL3" s="317"/>
      <c r="AM3" s="317"/>
      <c r="AN3" s="317"/>
      <c r="AO3" s="318"/>
      <c r="AP3" s="318"/>
      <c r="AQ3" s="318"/>
      <c r="AR3" s="318"/>
    </row>
    <row r="4" spans="2:67" ht="19.25" customHeight="1">
      <c r="B4" s="1788" t="str">
        <f>Dictionary!B832</f>
        <v>Variante:</v>
      </c>
      <c r="C4" s="2386" t="str">
        <f>IF(J7="","",J7)</f>
        <v>Custom</v>
      </c>
      <c r="D4" s="2387"/>
      <c r="E4" s="320"/>
      <c r="F4" s="2367" t="str">
        <f>Dictionary!B836</f>
        <v>Bewerten Sie, inwieweit Sie der folgenden Aussage zustimmen:
   Der Kandidat hat einen klaren und überzeugenden Nachweis seiner Fähigkeiten und Fertigkeiten in dem 
   angegebenen KCI anhand eines Projekts nachgewiesen, das für das angestrebte Level ausreichend komplex ist.</v>
      </c>
      <c r="G4" s="2368"/>
      <c r="H4" s="2369"/>
      <c r="I4" s="2361" t="str">
        <f>Dictionary!B838</f>
        <v>Vorformatierter Bogen für vordefinierte Prüfungsvarianten</v>
      </c>
      <c r="J4" s="2362"/>
      <c r="K4" s="2362"/>
      <c r="L4" s="2363"/>
      <c r="M4" s="321"/>
      <c r="S4" s="1628"/>
      <c r="T4" s="1628"/>
      <c r="U4" s="321"/>
      <c r="V4" s="321"/>
      <c r="W4" s="321"/>
      <c r="X4" s="1628"/>
      <c r="Y4" s="321"/>
      <c r="Z4" s="321"/>
      <c r="AA4" s="321"/>
      <c r="AB4" s="321"/>
      <c r="AC4" s="321"/>
      <c r="AD4" s="321"/>
      <c r="AE4" s="321"/>
      <c r="AF4" s="321"/>
      <c r="AG4" s="321"/>
      <c r="AH4" s="321"/>
      <c r="AI4" s="321"/>
      <c r="AJ4" s="321"/>
      <c r="AK4" s="321"/>
      <c r="AL4" s="321"/>
      <c r="AM4" s="321"/>
      <c r="AN4" s="321"/>
      <c r="AO4" s="321"/>
      <c r="AP4" s="321"/>
      <c r="AQ4" s="321"/>
      <c r="AR4" s="321"/>
    </row>
    <row r="5" spans="2:67" ht="19.25" customHeight="1">
      <c r="B5" s="1780">
        <f>COUNTIFS(C14:C51,"???*")</f>
        <v>0</v>
      </c>
      <c r="C5" s="1784" t="str">
        <f>Dictionary!B833</f>
        <v>KCI in der Prüfung:</v>
      </c>
      <c r="D5" s="1785"/>
      <c r="E5" s="320"/>
      <c r="F5" s="2370"/>
      <c r="G5" s="2371"/>
      <c r="H5" s="2372"/>
      <c r="I5" s="2364"/>
      <c r="J5" s="2365"/>
      <c r="K5" s="2365"/>
      <c r="L5" s="2366"/>
      <c r="M5" s="321"/>
      <c r="S5" s="1628"/>
      <c r="T5" s="1628"/>
      <c r="U5" s="321"/>
      <c r="V5" s="321"/>
      <c r="W5" s="321"/>
      <c r="X5" s="1628"/>
      <c r="Y5" s="321"/>
      <c r="Z5" s="321"/>
      <c r="AA5" s="321"/>
      <c r="AB5" s="321"/>
      <c r="AC5" s="321"/>
      <c r="AD5" s="321"/>
      <c r="AE5" s="321"/>
      <c r="AF5" s="321"/>
      <c r="AG5" s="321"/>
      <c r="AH5" s="321"/>
      <c r="AI5" s="321"/>
      <c r="AJ5" s="321"/>
      <c r="AK5" s="321"/>
      <c r="AL5" s="321"/>
      <c r="AM5" s="321"/>
      <c r="AN5" s="321"/>
      <c r="AO5" s="321"/>
      <c r="AP5" s="321"/>
      <c r="AQ5" s="321"/>
      <c r="AR5" s="321"/>
    </row>
    <row r="6" spans="2:67" ht="19.25" customHeight="1">
      <c r="B6" s="1781">
        <f>COUNTIF(Y14:Y189,"&gt;0")</f>
        <v>0</v>
      </c>
      <c r="C6" s="393" t="str">
        <f>Dictionary!B834</f>
        <v>KCIs bestanden:</v>
      </c>
      <c r="D6" s="1782"/>
      <c r="E6" s="320"/>
      <c r="F6" s="2370"/>
      <c r="G6" s="2371"/>
      <c r="H6" s="2372"/>
      <c r="I6" s="1334"/>
      <c r="J6" s="1335"/>
      <c r="K6" s="1335"/>
      <c r="L6" s="322"/>
      <c r="M6" s="321"/>
      <c r="S6" s="1628"/>
      <c r="T6" s="1628"/>
      <c r="U6" s="321"/>
      <c r="V6" s="321"/>
      <c r="W6" s="321"/>
      <c r="X6" s="1628"/>
      <c r="Y6" s="321"/>
      <c r="Z6" s="321"/>
      <c r="AA6" s="321"/>
      <c r="AB6" s="321"/>
      <c r="AC6" s="321"/>
      <c r="AD6" s="321"/>
      <c r="AE6" s="321"/>
      <c r="AF6" s="321"/>
      <c r="AG6" s="321"/>
      <c r="AH6" s="321"/>
      <c r="AI6" s="321"/>
      <c r="AJ6" s="321"/>
      <c r="AK6" s="321"/>
      <c r="AL6" s="321"/>
      <c r="AM6" s="321"/>
      <c r="AN6" s="321"/>
      <c r="AO6" s="321"/>
      <c r="AP6" s="321"/>
      <c r="AQ6" s="321"/>
      <c r="AR6" s="321"/>
    </row>
    <row r="7" spans="2:67" ht="19.25" customHeight="1">
      <c r="B7" s="1781">
        <f>ROUNDDOWN(B5/2,0)</f>
        <v>0</v>
      </c>
      <c r="C7" s="1786" t="str">
        <f>Dictionary!B835</f>
        <v>KCI erforderlich zum Bestehen:</v>
      </c>
      <c r="D7" s="1787"/>
      <c r="E7" s="320"/>
      <c r="F7" s="2370"/>
      <c r="G7" s="2371"/>
      <c r="H7" s="2372"/>
      <c r="I7" s="1334"/>
      <c r="J7" s="2359" t="s">
        <v>3864</v>
      </c>
      <c r="K7" s="2360"/>
      <c r="L7" s="322"/>
      <c r="M7" s="321"/>
      <c r="S7" s="1628"/>
      <c r="T7" s="1628"/>
      <c r="U7" s="321"/>
      <c r="V7" s="321"/>
      <c r="W7" s="321"/>
      <c r="X7" s="1628"/>
      <c r="Y7" s="321"/>
      <c r="Z7" s="321"/>
      <c r="AA7" s="321"/>
      <c r="AB7" s="321"/>
      <c r="AC7" s="321"/>
      <c r="AD7" s="321"/>
      <c r="AE7" s="321"/>
      <c r="AF7" s="321"/>
      <c r="AG7" s="321"/>
      <c r="AH7" s="321"/>
      <c r="AI7" s="321"/>
      <c r="AJ7" s="321"/>
      <c r="AK7" s="321"/>
      <c r="AL7" s="321"/>
      <c r="AM7" s="321"/>
      <c r="AN7" s="321"/>
      <c r="AO7" s="321"/>
      <c r="AP7" s="321"/>
      <c r="AQ7" s="321"/>
      <c r="AR7" s="321"/>
    </row>
    <row r="8" spans="2:67" ht="19.25" customHeight="1">
      <c r="B8" s="1781" t="str">
        <f>Dictionary!B849</f>
        <v>Ergebnis</v>
      </c>
      <c r="C8" s="2388" t="str">
        <f>IF(AND(Exam_Total_KCIs="",Exam_Variant_Name=""),Dictionary!B850,IF(AND(B7&lt;=B6,B7&gt;0),Dictionary!B9,Dictionary!B10))</f>
        <v>Noch nicht best.</v>
      </c>
      <c r="D8" s="2389"/>
      <c r="E8" s="320"/>
      <c r="F8" s="2370"/>
      <c r="G8" s="2371"/>
      <c r="H8" s="2372"/>
      <c r="I8" s="1334"/>
      <c r="J8" s="1335"/>
      <c r="K8" s="1335"/>
      <c r="L8" s="322"/>
      <c r="M8" s="321"/>
      <c r="S8" s="1628"/>
      <c r="T8" s="1628"/>
      <c r="U8" s="321"/>
      <c r="V8" s="321"/>
      <c r="W8" s="321"/>
      <c r="X8" s="1628"/>
      <c r="Y8" s="321"/>
      <c r="Z8" s="321"/>
      <c r="AA8" s="321"/>
      <c r="AB8" s="321"/>
      <c r="AC8" s="321"/>
      <c r="AD8" s="321"/>
      <c r="AE8" s="321"/>
      <c r="AF8" s="321"/>
      <c r="AG8" s="321"/>
      <c r="AH8" s="321"/>
      <c r="AI8" s="321"/>
      <c r="AJ8" s="321"/>
      <c r="AK8" s="321"/>
      <c r="AL8" s="321"/>
      <c r="AM8" s="321"/>
      <c r="AN8" s="321"/>
      <c r="AO8" s="321"/>
      <c r="AP8" s="321"/>
      <c r="AQ8" s="321"/>
      <c r="AR8" s="321"/>
    </row>
    <row r="9" spans="2:67" ht="17" customHeight="1">
      <c r="B9" s="1602"/>
      <c r="C9" s="1602"/>
      <c r="D9" s="1783"/>
      <c r="E9" s="318"/>
      <c r="F9" s="2379" t="str">
        <f>Dictionary!B837</f>
        <v>1 = JA (bestanden), 0 = Nein (nicht bestanden)</v>
      </c>
      <c r="G9" s="2380"/>
      <c r="H9" s="2380"/>
      <c r="I9" s="2380"/>
      <c r="J9" s="2380"/>
      <c r="K9" s="2380"/>
      <c r="L9" s="2381"/>
      <c r="M9" s="321"/>
      <c r="S9" s="1628"/>
      <c r="T9" s="1628"/>
      <c r="U9" s="321"/>
      <c r="V9" s="321"/>
      <c r="W9" s="321"/>
      <c r="X9" s="1628"/>
      <c r="Y9" s="321"/>
      <c r="Z9" s="321"/>
      <c r="AA9" s="321"/>
      <c r="AB9" s="321"/>
      <c r="AC9" s="321"/>
      <c r="AD9" s="321"/>
      <c r="AE9" s="321"/>
      <c r="AF9" s="321"/>
      <c r="AG9" s="321"/>
      <c r="AH9" s="321"/>
      <c r="AI9" s="321"/>
      <c r="AJ9" s="321"/>
      <c r="AK9" s="321"/>
      <c r="AL9" s="321"/>
      <c r="AM9" s="321"/>
      <c r="AN9" s="321"/>
      <c r="AO9" s="323"/>
      <c r="AP9" s="323"/>
      <c r="AQ9" s="323"/>
      <c r="AR9" s="318"/>
    </row>
    <row r="10" spans="2:67" s="326" customFormat="1" ht="10.25" customHeight="1">
      <c r="B10" s="313"/>
      <c r="C10" s="313"/>
      <c r="D10" s="324"/>
      <c r="E10" s="325"/>
      <c r="F10" s="325"/>
      <c r="H10" s="328"/>
      <c r="I10" s="317"/>
      <c r="J10" s="329"/>
      <c r="K10" s="330"/>
      <c r="L10" s="321"/>
      <c r="M10" s="321"/>
      <c r="N10" s="321"/>
      <c r="O10" s="314"/>
      <c r="P10" s="314"/>
      <c r="Q10" s="314"/>
      <c r="R10" s="314"/>
      <c r="S10" s="1628"/>
      <c r="T10" s="1628"/>
      <c r="U10" s="321"/>
      <c r="V10" s="321"/>
      <c r="W10" s="321"/>
      <c r="X10" s="1628"/>
      <c r="Y10" s="321"/>
      <c r="Z10" s="321"/>
      <c r="AA10" s="321"/>
      <c r="AB10" s="321"/>
      <c r="AC10" s="321"/>
      <c r="AD10" s="321"/>
      <c r="AE10" s="321"/>
      <c r="AF10" s="321"/>
      <c r="AG10" s="321"/>
      <c r="AH10" s="321"/>
      <c r="AI10" s="321"/>
      <c r="AJ10" s="321"/>
      <c r="AK10" s="321"/>
      <c r="AL10" s="321"/>
      <c r="AM10" s="321"/>
      <c r="AN10" s="321"/>
      <c r="AO10" s="331"/>
      <c r="AP10" s="331"/>
      <c r="AQ10" s="331"/>
      <c r="AR10" s="325"/>
    </row>
    <row r="11" spans="2:67" s="326" customFormat="1" ht="36" customHeight="1">
      <c r="F11" s="1388" t="str">
        <f>Y11</f>
        <v>Prüfung</v>
      </c>
      <c r="H11" s="2373" t="str">
        <f>Dictionary!B842</f>
        <v>Anmerkungen</v>
      </c>
      <c r="I11" s="2374"/>
      <c r="J11" s="2374"/>
      <c r="K11" s="2374"/>
      <c r="L11" s="2375"/>
      <c r="M11" s="317"/>
      <c r="N11" s="321"/>
      <c r="O11" s="2382" t="str">
        <f>Dictionary!B843</f>
        <v>Freie Prüfungskonfiguration</v>
      </c>
      <c r="P11" s="2383"/>
      <c r="Q11" s="321"/>
      <c r="R11" s="321"/>
      <c r="S11" s="1627"/>
      <c r="T11" s="1627"/>
      <c r="U11" s="332"/>
      <c r="V11" s="332"/>
      <c r="X11" s="1634"/>
      <c r="Y11" s="1388" t="str">
        <f>Dictionary!B840</f>
        <v>Prüfung</v>
      </c>
      <c r="Z11" s="334"/>
      <c r="AA11" s="335"/>
      <c r="AB11" s="334"/>
      <c r="AC11" s="335"/>
      <c r="AD11" s="334"/>
      <c r="AE11" s="335"/>
      <c r="AF11" s="325"/>
      <c r="AG11" s="336" t="s">
        <v>3990</v>
      </c>
      <c r="AH11" s="337"/>
      <c r="AI11" s="338" t="s">
        <v>3992</v>
      </c>
      <c r="AK11" s="331"/>
      <c r="AL11" s="1387" t="str">
        <f>Dictionary!B841</f>
        <v>CE Ergebnis</v>
      </c>
      <c r="AM11" s="317"/>
      <c r="AN11" s="317"/>
      <c r="AU11" s="2385" t="s">
        <v>3414</v>
      </c>
      <c r="AV11" s="2385"/>
      <c r="AY11" s="326" t="s">
        <v>3864</v>
      </c>
      <c r="AZ11" s="1632" t="str">
        <f>IF(GC_Flag="","C-PJM V01","")</f>
        <v>C-PJM V01</v>
      </c>
      <c r="BA11" s="1632" t="str">
        <f>IF(GC_Flag="","C-PJM V02","")</f>
        <v>C-PJM V02</v>
      </c>
      <c r="BB11" s="1632" t="str">
        <f>IF(GC_Flag="","C-PJM V03","")</f>
        <v>C-PJM V03</v>
      </c>
      <c r="BC11" s="1632" t="s">
        <v>3888</v>
      </c>
      <c r="BD11" s="1632" t="s">
        <v>3889</v>
      </c>
      <c r="BE11" s="1632" t="s">
        <v>3890</v>
      </c>
      <c r="BF11" s="1632" t="str">
        <f>IF(GC_Flag="","B-PJM V01","")</f>
        <v>B-PJM V01</v>
      </c>
      <c r="BG11" s="1632" t="str">
        <f>IF(GC_Flag="","B-PJM V02","")</f>
        <v>B-PJM V02</v>
      </c>
      <c r="BH11" s="1632" t="str">
        <f>IF(GC_Flag="","B-PJM V03","")</f>
        <v>B-PJM V03</v>
      </c>
      <c r="BI11" s="1632" t="s">
        <v>3899</v>
      </c>
      <c r="BJ11" s="1632" t="str">
        <f>IF(GC_Flag="","B-PGM V01","")</f>
        <v>B-PGM V01</v>
      </c>
      <c r="BK11" s="1632" t="str">
        <f>IF(GC_Flag="","B-PGM V02","")</f>
        <v>B-PGM V02</v>
      </c>
      <c r="BL11" s="1632" t="str">
        <f>IF(GC_Flag="","B-PGM V03 (N/A)","")</f>
        <v>B-PGM V03 (N/A)</v>
      </c>
      <c r="BM11" s="1632" t="str">
        <f>IF(GC_Flag="","B-PFM V01","")</f>
        <v>B-PFM V01</v>
      </c>
      <c r="BN11" s="1632" t="str">
        <f>IF(GC_Flag="","B-PFM V02","")</f>
        <v>B-PFM V02</v>
      </c>
      <c r="BO11" s="1632" t="str">
        <f>IF(GC_Flag="","B-PFM V03 (N/A)","")</f>
        <v>B-PFM V03 (N/A)</v>
      </c>
    </row>
    <row r="12" spans="2:67" ht="23.25" customHeight="1">
      <c r="N12" s="321"/>
      <c r="O12" s="321"/>
      <c r="P12" s="321"/>
      <c r="Q12" s="321"/>
      <c r="R12" s="321"/>
      <c r="U12" s="313"/>
      <c r="V12" s="313"/>
      <c r="W12" s="334" t="str">
        <f>Dictionary!B844</f>
        <v>Perspective Kompetenz Elemente</v>
      </c>
      <c r="X12" s="1635"/>
      <c r="Y12" s="315"/>
      <c r="Z12" s="315"/>
      <c r="AA12" s="315"/>
      <c r="AB12" s="315"/>
      <c r="AC12" s="315"/>
      <c r="AD12" s="315"/>
      <c r="AE12" s="315"/>
      <c r="AF12" s="315"/>
      <c r="AG12" s="315"/>
      <c r="AH12" s="315"/>
      <c r="AI12" s="315"/>
      <c r="AK12" s="315"/>
      <c r="AL12" s="315"/>
      <c r="AO12" s="340"/>
      <c r="AP12" s="340"/>
      <c r="AQ12" s="340"/>
      <c r="AR12" s="326"/>
    </row>
    <row r="13" spans="2:67" ht="23.25" customHeight="1">
      <c r="B13" s="1413" t="s">
        <v>4099</v>
      </c>
      <c r="C13" s="1413" t="s">
        <v>2021</v>
      </c>
      <c r="D13" s="1413" t="str">
        <f>IF(GC_Flag="",Dictionary!B851,Dictionary!B852)</f>
        <v>K.Stufe</v>
      </c>
      <c r="H13" s="347"/>
      <c r="I13" s="348"/>
      <c r="J13" s="348"/>
      <c r="K13" s="348"/>
      <c r="L13" s="348"/>
      <c r="M13" s="348"/>
      <c r="N13" s="321"/>
      <c r="O13" s="321"/>
      <c r="P13" s="1664" t="s">
        <v>2021</v>
      </c>
      <c r="Q13" s="321"/>
      <c r="R13" s="321"/>
      <c r="S13" s="1628"/>
      <c r="T13" s="1628" t="s">
        <v>475</v>
      </c>
      <c r="U13" s="341" t="s">
        <v>475</v>
      </c>
      <c r="V13" s="1624"/>
      <c r="W13" s="342" t="str">
        <f>Dictionary!B1229</f>
        <v>Strategie</v>
      </c>
      <c r="X13" s="1635"/>
      <c r="Y13" s="344"/>
      <c r="Z13" s="343"/>
      <c r="AA13" s="344"/>
      <c r="AB13" s="345"/>
      <c r="AC13" s="344"/>
      <c r="AD13" s="345"/>
      <c r="AE13" s="344"/>
      <c r="AF13" s="343"/>
      <c r="AG13" s="344"/>
      <c r="AH13" s="345"/>
      <c r="AI13" s="344"/>
      <c r="AK13" s="343"/>
      <c r="AL13" s="346" t="str">
        <f t="shared" ref="AL13:AL41" si="0">AQ13</f>
        <v/>
      </c>
      <c r="AM13" s="348"/>
      <c r="AN13" s="348"/>
      <c r="AO13" s="349">
        <v>5</v>
      </c>
      <c r="AP13" s="349">
        <f>ROUNDUP(AO13/2,0)</f>
        <v>3</v>
      </c>
      <c r="AQ13" s="346" t="str">
        <f>IF(COUNTBLANK(AQ14:AQ18)=$AO13,"",IF((COUNTIF(AQ14:AQ18,"&gt;=1")&gt;=AP13),"Pass","Fail"))</f>
        <v/>
      </c>
    </row>
    <row r="14" spans="2:67" ht="23.25" customHeight="1">
      <c r="B14" s="350">
        <v>1</v>
      </c>
      <c r="C14" s="1633" t="str">
        <f t="shared" ref="C14:C51" si="1">IF(OR(AU14="",AU14=0),"",IF(LEFT(AU14,1)="0",VALUE(LEFT(AU14,2))&amp;"."&amp;VALUE(MID(AU14,4,2))&amp;"."&amp;VALUE(MID(AU14,7,2))&amp;"."&amp;VALUE(RIGHT(AU14,2)),AU14))</f>
        <v/>
      </c>
      <c r="D14" s="1633" t="str">
        <f>IF(C14="","",IFERROR(INDEX(Dictionary!$X$1263:$X$1491,MATCH(C14,Dictionary!$I$1263:$I$1491,0)),""))</f>
        <v/>
      </c>
      <c r="F14" s="353"/>
      <c r="H14" s="2376"/>
      <c r="I14" s="2377"/>
      <c r="J14" s="2377"/>
      <c r="K14" s="2377"/>
      <c r="L14" s="2378"/>
      <c r="M14" s="348"/>
      <c r="N14" s="321"/>
      <c r="O14" s="350">
        <v>1</v>
      </c>
      <c r="P14" s="1665"/>
      <c r="Q14" s="321"/>
      <c r="R14" s="321"/>
      <c r="S14" s="1628"/>
      <c r="T14" s="1628" t="s">
        <v>475</v>
      </c>
      <c r="U14" s="350" t="str">
        <f>".1"</f>
        <v>.1</v>
      </c>
      <c r="V14" s="1625" t="s">
        <v>1293</v>
      </c>
      <c r="W14" s="1390" t="str">
        <f>Dictionary!B1264</f>
        <v>Das Projekt mit der Mission und der Vision der Organisation in Einklang bringen</v>
      </c>
      <c r="X14" s="1636" t="str">
        <f>IFERROR(INDEX($AV$14:$AV$51,MATCH($V14,$C$14:$C$51,0)),"")</f>
        <v/>
      </c>
      <c r="Y14" s="1336" t="str">
        <f>IF(OR(X14=0,X14=1,X14=2,X14=3,X14=4,X14=5),X14,"")</f>
        <v/>
      </c>
      <c r="Z14" s="354"/>
      <c r="AA14" s="1336"/>
      <c r="AB14" s="354"/>
      <c r="AC14" s="1336"/>
      <c r="AD14" s="354"/>
      <c r="AE14" s="1336"/>
      <c r="AF14" s="354"/>
      <c r="AG14" s="349" t="str">
        <f>IF(AND(Y14="",AA14="",AC14="",AE14=""),"",MAX(Y14,AA14,AC14,AE14))</f>
        <v/>
      </c>
      <c r="AH14" s="354"/>
      <c r="AI14" s="1337" t="str">
        <f>IF(Y14="","",IF(GC_Flag="","",IF(OR(Y14&lt;=Dictionary!$I$52,Y14=""),0,1)))</f>
        <v/>
      </c>
      <c r="AK14" s="356" t="str">
        <f>IF(Y14="","",IF(Y14&gt;=0,Y14,""))</f>
        <v/>
      </c>
      <c r="AL14" s="349" t="str">
        <f t="shared" si="0"/>
        <v/>
      </c>
      <c r="AM14" s="348"/>
      <c r="AN14" s="348"/>
      <c r="AO14" s="349"/>
      <c r="AP14" s="349"/>
      <c r="AQ14" s="357" t="str">
        <f>IF(AI14="",AG14,AI14)</f>
        <v/>
      </c>
      <c r="AU14" s="1390">
        <f t="shared" ref="AU14:AU51" si="2">IF(Exam_Variant_Name="","",INDEX($AY14:$BO14,1,MATCH($C$4,$AY$11:$BO$11,0)))</f>
        <v>0</v>
      </c>
      <c r="AV14" s="1633" t="str">
        <f>IF(F14="","X",F14)</f>
        <v>X</v>
      </c>
      <c r="AX14" s="350">
        <v>1</v>
      </c>
      <c r="AY14" s="1390">
        <f>P14</f>
        <v>0</v>
      </c>
      <c r="AZ14" s="1390" t="s">
        <v>3833</v>
      </c>
      <c r="BA14" s="1390" t="s">
        <v>3833</v>
      </c>
      <c r="BB14" s="1390" t="s">
        <v>3833</v>
      </c>
      <c r="BC14" s="1390" t="s">
        <v>3891</v>
      </c>
      <c r="BD14" s="1390" t="s">
        <v>3833</v>
      </c>
      <c r="BE14" s="1390" t="s">
        <v>3891</v>
      </c>
      <c r="BF14" s="1390" t="s">
        <v>3833</v>
      </c>
      <c r="BG14" s="1390" t="s">
        <v>3833</v>
      </c>
      <c r="BH14" s="1390" t="s">
        <v>3833</v>
      </c>
      <c r="BI14" s="1390" t="s">
        <v>3833</v>
      </c>
      <c r="BJ14" s="1390" t="s">
        <v>3833</v>
      </c>
      <c r="BK14" s="1390" t="s">
        <v>3833</v>
      </c>
      <c r="BL14" s="1390" t="s">
        <v>3833</v>
      </c>
      <c r="BM14" s="1390" t="s">
        <v>3833</v>
      </c>
      <c r="BN14" s="1390" t="s">
        <v>3833</v>
      </c>
      <c r="BO14" s="1390" t="s">
        <v>3833</v>
      </c>
    </row>
    <row r="15" spans="2:67" ht="23.25" customHeight="1">
      <c r="B15" s="350">
        <v>2</v>
      </c>
      <c r="C15" s="1633" t="str">
        <f t="shared" si="1"/>
        <v/>
      </c>
      <c r="D15" s="1633" t="str">
        <f>IF(C15="","",IFERROR(INDEX(Dictionary!$X$1263:$X$1491,MATCH(C15,Dictionary!$I$1263:$I$1491,0)),""))</f>
        <v/>
      </c>
      <c r="F15" s="353"/>
      <c r="H15" s="2376"/>
      <c r="I15" s="2377"/>
      <c r="J15" s="2377"/>
      <c r="K15" s="2377"/>
      <c r="L15" s="2378"/>
      <c r="M15" s="348"/>
      <c r="N15" s="321"/>
      <c r="O15" s="350">
        <v>2</v>
      </c>
      <c r="P15" s="1665"/>
      <c r="Q15" s="321"/>
      <c r="R15" s="321"/>
      <c r="S15" s="1628"/>
      <c r="T15" s="1628" t="s">
        <v>475</v>
      </c>
      <c r="U15" s="350" t="str">
        <f>".2"</f>
        <v>.2</v>
      </c>
      <c r="V15" s="1625" t="s">
        <v>1303</v>
      </c>
      <c r="W15" s="1390" t="str">
        <f>Dictionary!B1265</f>
        <v>Chancen identifizieren und ausschöpfen, die Strategie der Organisation zu beeinflussen</v>
      </c>
      <c r="X15" s="1636" t="str">
        <f>IFERROR(INDEX($AV$14:$AV$51,MATCH($V15,$C$14:$C$51,0)),"")</f>
        <v/>
      </c>
      <c r="Y15" s="1336" t="str">
        <f t="shared" ref="Y15:Y18" si="3">IF(OR(X15=0,X15=1,X15=2,X15=3,X15=4,X15=5),X15,"")</f>
        <v/>
      </c>
      <c r="Z15" s="354"/>
      <c r="AA15" s="1336"/>
      <c r="AB15" s="354"/>
      <c r="AC15" s="1336"/>
      <c r="AD15" s="354"/>
      <c r="AE15" s="1336"/>
      <c r="AF15" s="354"/>
      <c r="AG15" s="349" t="str">
        <f>IF(AND(Y15="",AA15="",AC15="",AE15=""),"",MAX(Y15,AA15,AC15,AE15))</f>
        <v/>
      </c>
      <c r="AH15" s="354"/>
      <c r="AI15" s="1337" t="str">
        <f>IF(Y15="","",IF(GC_Flag="","",IF(OR(Y15&lt;=Dictionary!$I$52,Y15=""),0,1)))</f>
        <v/>
      </c>
      <c r="AK15" s="356" t="str">
        <f>IF(Y15="","",IF(Y15&gt;=0,Y15,""))</f>
        <v/>
      </c>
      <c r="AL15" s="349" t="str">
        <f t="shared" si="0"/>
        <v/>
      </c>
      <c r="AM15" s="348"/>
      <c r="AN15" s="348"/>
      <c r="AO15" s="349"/>
      <c r="AP15" s="349"/>
      <c r="AQ15" s="357" t="str">
        <f>IF(AI15="",AG15,AI15)</f>
        <v/>
      </c>
      <c r="AU15" s="1390">
        <f t="shared" si="2"/>
        <v>0</v>
      </c>
      <c r="AV15" s="1633" t="str">
        <f t="shared" ref="AV15:AV39" si="4">IF(F15="","X",F15)</f>
        <v>X</v>
      </c>
      <c r="AX15" s="350">
        <v>2</v>
      </c>
      <c r="AY15" s="1390">
        <f>P15</f>
        <v>0</v>
      </c>
      <c r="AZ15" s="1390" t="s">
        <v>3834</v>
      </c>
      <c r="BA15" s="1390" t="s">
        <v>3834</v>
      </c>
      <c r="BB15" s="1390" t="s">
        <v>3834</v>
      </c>
      <c r="BC15" s="1390" t="s">
        <v>3892</v>
      </c>
      <c r="BD15" s="1390" t="s">
        <v>3834</v>
      </c>
      <c r="BE15" s="1390" t="s">
        <v>3892</v>
      </c>
      <c r="BF15" s="1390" t="s">
        <v>3834</v>
      </c>
      <c r="BG15" s="1390" t="s">
        <v>3834</v>
      </c>
      <c r="BH15" s="1390" t="s">
        <v>3834</v>
      </c>
      <c r="BI15" s="1390" t="s">
        <v>3834</v>
      </c>
      <c r="BJ15" s="1390" t="s">
        <v>3834</v>
      </c>
      <c r="BK15" s="1390" t="s">
        <v>3834</v>
      </c>
      <c r="BL15" s="1390" t="s">
        <v>3834</v>
      </c>
      <c r="BM15" s="1390" t="s">
        <v>3834</v>
      </c>
      <c r="BN15" s="1390" t="s">
        <v>3834</v>
      </c>
      <c r="BO15" s="1390" t="s">
        <v>3834</v>
      </c>
    </row>
    <row r="16" spans="2:67" ht="23.25" customHeight="1">
      <c r="B16" s="350">
        <v>3</v>
      </c>
      <c r="C16" s="1633" t="str">
        <f t="shared" si="1"/>
        <v/>
      </c>
      <c r="D16" s="1633" t="str">
        <f>IF(C16="","",IFERROR(INDEX(Dictionary!$X$1263:$X$1491,MATCH(C16,Dictionary!$I$1263:$I$1491,0)),""))</f>
        <v/>
      </c>
      <c r="F16" s="353"/>
      <c r="H16" s="2376"/>
      <c r="I16" s="2377"/>
      <c r="J16" s="2377"/>
      <c r="K16" s="2377"/>
      <c r="L16" s="2378"/>
      <c r="M16" s="348"/>
      <c r="N16" s="321"/>
      <c r="O16" s="350">
        <v>3</v>
      </c>
      <c r="P16" s="1665"/>
      <c r="Q16" s="321"/>
      <c r="R16" s="321"/>
      <c r="S16" s="1628"/>
      <c r="T16" s="1628" t="s">
        <v>475</v>
      </c>
      <c r="U16" s="350" t="str">
        <f>".3"</f>
        <v>.3</v>
      </c>
      <c r="V16" s="1625" t="s">
        <v>1598</v>
      </c>
      <c r="W16" s="1390" t="str">
        <f>Dictionary!B1266</f>
        <v>Rechtfertigung für das Projekt entwickeln und sicherstellen, dass die betriebswirtschaftlichen und / oder organisationalen Gründe, die zum Projekt geführt haben, weiterhin bestehen</v>
      </c>
      <c r="X16" s="1636" t="str">
        <f>IFERROR(INDEX($AV$14:$AV$51,MATCH($V16,$C$14:$C$51,0)),"")</f>
        <v/>
      </c>
      <c r="Y16" s="1336" t="str">
        <f t="shared" si="3"/>
        <v/>
      </c>
      <c r="Z16" s="354"/>
      <c r="AA16" s="1336"/>
      <c r="AB16" s="354"/>
      <c r="AC16" s="1336"/>
      <c r="AD16" s="354"/>
      <c r="AE16" s="1336"/>
      <c r="AF16" s="354"/>
      <c r="AG16" s="349" t="str">
        <f>IF(AND(Y16="",AA16="",AC16="",AE16=""),"",MAX(Y16,AA16,AC16,AE16))</f>
        <v/>
      </c>
      <c r="AH16" s="354"/>
      <c r="AI16" s="1337" t="str">
        <f>IF(Y16="","",IF(GC_Flag="","",IF(OR(Y16&lt;=Dictionary!$I$52,Y16=""),0,1)))</f>
        <v/>
      </c>
      <c r="AK16" s="356" t="str">
        <f>IF(Y16="","",IF(Y16&gt;=0,Y16,""))</f>
        <v/>
      </c>
      <c r="AL16" s="349" t="str">
        <f t="shared" si="0"/>
        <v/>
      </c>
      <c r="AM16" s="348"/>
      <c r="AN16" s="348"/>
      <c r="AO16" s="349"/>
      <c r="AP16" s="349"/>
      <c r="AQ16" s="357" t="str">
        <f>IF(AI16="",AG16,AI16)</f>
        <v/>
      </c>
      <c r="AU16" s="1390">
        <f t="shared" si="2"/>
        <v>0</v>
      </c>
      <c r="AV16" s="1633" t="str">
        <f t="shared" si="4"/>
        <v>X</v>
      </c>
      <c r="AX16" s="350">
        <v>3</v>
      </c>
      <c r="AY16" s="1390">
        <f t="shared" ref="AY16:AY51" si="5">P16</f>
        <v>0</v>
      </c>
      <c r="AZ16" s="1390" t="s">
        <v>3835</v>
      </c>
      <c r="BA16" s="1390" t="s">
        <v>3835</v>
      </c>
      <c r="BB16" s="1390" t="s">
        <v>3835</v>
      </c>
      <c r="BC16" s="1390" t="s">
        <v>3893</v>
      </c>
      <c r="BD16" s="1390" t="s">
        <v>3835</v>
      </c>
      <c r="BE16" s="1390" t="s">
        <v>3893</v>
      </c>
      <c r="BF16" s="1390" t="s">
        <v>3835</v>
      </c>
      <c r="BG16" s="1390" t="s">
        <v>3835</v>
      </c>
      <c r="BH16" s="1390" t="s">
        <v>3835</v>
      </c>
      <c r="BI16" s="1390" t="s">
        <v>3835</v>
      </c>
      <c r="BJ16" s="1390" t="s">
        <v>3835</v>
      </c>
      <c r="BK16" s="1390" t="s">
        <v>3835</v>
      </c>
      <c r="BL16" s="1390" t="s">
        <v>3835</v>
      </c>
      <c r="BM16" s="1390" t="s">
        <v>3835</v>
      </c>
      <c r="BN16" s="1390" t="s">
        <v>3835</v>
      </c>
      <c r="BO16" s="1390" t="s">
        <v>3835</v>
      </c>
    </row>
    <row r="17" spans="2:67" ht="23.25" customHeight="1">
      <c r="B17" s="350">
        <v>4</v>
      </c>
      <c r="C17" s="1633" t="str">
        <f t="shared" si="1"/>
        <v/>
      </c>
      <c r="D17" s="1633" t="str">
        <f>IF(C17="","",IFERROR(INDEX(Dictionary!$X$1263:$X$1491,MATCH(C17,Dictionary!$I$1263:$I$1491,0)),""))</f>
        <v/>
      </c>
      <c r="F17" s="353"/>
      <c r="H17" s="2376"/>
      <c r="I17" s="2377"/>
      <c r="J17" s="2377"/>
      <c r="K17" s="2377"/>
      <c r="L17" s="2378"/>
      <c r="M17" s="348"/>
      <c r="N17" s="321"/>
      <c r="O17" s="350">
        <v>4</v>
      </c>
      <c r="P17" s="1665"/>
      <c r="Q17" s="321"/>
      <c r="R17" s="321"/>
      <c r="S17" s="1628"/>
      <c r="T17" s="1628" t="s">
        <v>475</v>
      </c>
      <c r="U17" s="350" t="str">
        <f>".4"</f>
        <v>.4</v>
      </c>
      <c r="V17" s="1625" t="s">
        <v>1599</v>
      </c>
      <c r="W17" s="1390" t="str">
        <f>Dictionary!B1267</f>
        <v>Kritische Erfolgsfaktoren (KEF) bestimmen, beurteilen und überprüfen</v>
      </c>
      <c r="X17" s="1636" t="str">
        <f>IFERROR(INDEX($AV$14:$AV$51,MATCH($V17,$C$14:$C$51,0)),"")</f>
        <v/>
      </c>
      <c r="Y17" s="1336" t="str">
        <f t="shared" si="3"/>
        <v/>
      </c>
      <c r="Z17" s="354"/>
      <c r="AA17" s="1336"/>
      <c r="AB17" s="354"/>
      <c r="AC17" s="1336"/>
      <c r="AD17" s="354"/>
      <c r="AE17" s="1336"/>
      <c r="AF17" s="354"/>
      <c r="AG17" s="349" t="str">
        <f>IF(AND(Y17="",AA17="",AC17="",AE17=""),"",MAX(Y17,AA17,AC17,AE17))</f>
        <v/>
      </c>
      <c r="AH17" s="354"/>
      <c r="AI17" s="1337" t="str">
        <f>IF(Y17="","",IF(GC_Flag="","",IF(OR(Y17&lt;=Dictionary!$I$52,Y17=""),0,1)))</f>
        <v/>
      </c>
      <c r="AK17" s="356" t="str">
        <f>IF(Y17="","",IF(Y17&gt;=0,Y17,""))</f>
        <v/>
      </c>
      <c r="AL17" s="349" t="str">
        <f t="shared" si="0"/>
        <v/>
      </c>
      <c r="AM17" s="348"/>
      <c r="AN17" s="348"/>
      <c r="AO17" s="349"/>
      <c r="AP17" s="349"/>
      <c r="AQ17" s="357" t="str">
        <f>IF(AI17="",AG17,AI17)</f>
        <v/>
      </c>
      <c r="AU17" s="1390">
        <f t="shared" si="2"/>
        <v>0</v>
      </c>
      <c r="AV17" s="1633" t="str">
        <f t="shared" si="4"/>
        <v>X</v>
      </c>
      <c r="AX17" s="350">
        <v>4</v>
      </c>
      <c r="AY17" s="1390">
        <f t="shared" si="5"/>
        <v>0</v>
      </c>
      <c r="AZ17" s="1390" t="s">
        <v>3836</v>
      </c>
      <c r="BA17" s="1390" t="s">
        <v>3836</v>
      </c>
      <c r="BB17" s="1390" t="s">
        <v>3836</v>
      </c>
      <c r="BC17" s="1390" t="s">
        <v>3894</v>
      </c>
      <c r="BD17" s="1390" t="s">
        <v>3836</v>
      </c>
      <c r="BE17" s="1390" t="s">
        <v>3894</v>
      </c>
      <c r="BF17" s="1390" t="s">
        <v>3836</v>
      </c>
      <c r="BG17" s="1390" t="s">
        <v>3836</v>
      </c>
      <c r="BH17" s="1390" t="s">
        <v>3836</v>
      </c>
      <c r="BI17" s="1390" t="s">
        <v>3836</v>
      </c>
      <c r="BJ17" s="1390" t="s">
        <v>3836</v>
      </c>
      <c r="BK17" s="1390" t="s">
        <v>3836</v>
      </c>
      <c r="BL17" s="1390" t="s">
        <v>3836</v>
      </c>
      <c r="BM17" s="1390" t="s">
        <v>3836</v>
      </c>
      <c r="BN17" s="1390" t="s">
        <v>3836</v>
      </c>
      <c r="BO17" s="1390" t="s">
        <v>3836</v>
      </c>
    </row>
    <row r="18" spans="2:67" ht="23.25" customHeight="1">
      <c r="B18" s="350">
        <v>5</v>
      </c>
      <c r="C18" s="1633" t="str">
        <f t="shared" si="1"/>
        <v/>
      </c>
      <c r="D18" s="1633" t="str">
        <f>IF(C18="","",IFERROR(INDEX(Dictionary!$X$1263:$X$1491,MATCH(C18,Dictionary!$I$1263:$I$1491,0)),""))</f>
        <v/>
      </c>
      <c r="F18" s="353"/>
      <c r="H18" s="2376"/>
      <c r="I18" s="2377"/>
      <c r="J18" s="2377"/>
      <c r="K18" s="2377"/>
      <c r="L18" s="2378"/>
      <c r="M18" s="348"/>
      <c r="N18" s="321"/>
      <c r="O18" s="350">
        <v>5</v>
      </c>
      <c r="P18" s="1665"/>
      <c r="Q18" s="321"/>
      <c r="R18" s="321"/>
      <c r="S18" s="1628"/>
      <c r="T18" s="1628" t="s">
        <v>475</v>
      </c>
      <c r="U18" s="350" t="str">
        <f>".5"</f>
        <v>.5</v>
      </c>
      <c r="V18" s="1625" t="s">
        <v>1600</v>
      </c>
      <c r="W18" s="1390" t="str">
        <f>Dictionary!B1268</f>
        <v>Key Performance Indikatoren (KPI) bestimmen, beurteilen und überprüfen</v>
      </c>
      <c r="X18" s="1636" t="str">
        <f>IFERROR(INDEX($AV$14:$AV$51,MATCH($V18,$C$14:$C$51,0)),"")</f>
        <v/>
      </c>
      <c r="Y18" s="1336" t="str">
        <f t="shared" si="3"/>
        <v/>
      </c>
      <c r="Z18" s="354"/>
      <c r="AA18" s="1336"/>
      <c r="AB18" s="354"/>
      <c r="AC18" s="1336"/>
      <c r="AD18" s="354"/>
      <c r="AE18" s="1336"/>
      <c r="AF18" s="354"/>
      <c r="AG18" s="349" t="str">
        <f>IF(AND(Y18="",AA18="",AC18="",AE18=""),"",MAX(Y18,AA18,AC18,AE18))</f>
        <v/>
      </c>
      <c r="AH18" s="354"/>
      <c r="AI18" s="1337" t="str">
        <f>IF(Y18="","",IF(GC_Flag="","",IF(OR(Y18&lt;=Dictionary!$I$52,Y18=""),0,1)))</f>
        <v/>
      </c>
      <c r="AK18" s="356" t="str">
        <f>IF(Y18="","",IF(Y18&gt;=0,Y18,""))</f>
        <v/>
      </c>
      <c r="AL18" s="349" t="str">
        <f t="shared" si="0"/>
        <v/>
      </c>
      <c r="AM18" s="348"/>
      <c r="AN18" s="348"/>
      <c r="AO18" s="349"/>
      <c r="AP18" s="349"/>
      <c r="AQ18" s="357" t="str">
        <f>IF(AI18="",AG18,AI18)</f>
        <v/>
      </c>
      <c r="AU18" s="1390">
        <f t="shared" si="2"/>
        <v>0</v>
      </c>
      <c r="AV18" s="1633" t="str">
        <f t="shared" si="4"/>
        <v>X</v>
      </c>
      <c r="AX18" s="350">
        <v>5</v>
      </c>
      <c r="AY18" s="1390">
        <f t="shared" si="5"/>
        <v>0</v>
      </c>
      <c r="AZ18" s="1390" t="s">
        <v>3837</v>
      </c>
      <c r="BA18" s="1390" t="s">
        <v>3837</v>
      </c>
      <c r="BB18" s="1390" t="s">
        <v>3837</v>
      </c>
      <c r="BC18" s="1390" t="s">
        <v>3895</v>
      </c>
      <c r="BD18" s="1390" t="s">
        <v>3837</v>
      </c>
      <c r="BE18" s="1390" t="s">
        <v>3895</v>
      </c>
      <c r="BF18" s="1390" t="s">
        <v>3837</v>
      </c>
      <c r="BG18" s="1390" t="s">
        <v>3837</v>
      </c>
      <c r="BH18" s="1390" t="s">
        <v>3837</v>
      </c>
      <c r="BI18" s="1390" t="s">
        <v>3837</v>
      </c>
      <c r="BJ18" s="1390" t="s">
        <v>3837</v>
      </c>
      <c r="BK18" s="1390" t="s">
        <v>3837</v>
      </c>
      <c r="BL18" s="1390" t="s">
        <v>3837</v>
      </c>
      <c r="BM18" s="1390" t="s">
        <v>3837</v>
      </c>
      <c r="BN18" s="1390" t="s">
        <v>3837</v>
      </c>
      <c r="BO18" s="1390" t="s">
        <v>3837</v>
      </c>
    </row>
    <row r="19" spans="2:67" ht="23.25" customHeight="1">
      <c r="B19" s="350">
        <v>6</v>
      </c>
      <c r="C19" s="1633" t="str">
        <f t="shared" si="1"/>
        <v/>
      </c>
      <c r="D19" s="1633" t="str">
        <f>IF(C19="","",IFERROR(INDEX(Dictionary!$X$1263:$X$1491,MATCH(C19,Dictionary!$I$1263:$I$1491,0)),""))</f>
        <v/>
      </c>
      <c r="F19" s="353"/>
      <c r="G19" s="360"/>
      <c r="H19" s="2376"/>
      <c r="I19" s="2377"/>
      <c r="J19" s="2377"/>
      <c r="K19" s="2377"/>
      <c r="L19" s="2378"/>
      <c r="M19" s="348"/>
      <c r="N19" s="321"/>
      <c r="O19" s="350">
        <v>6</v>
      </c>
      <c r="P19" s="1665"/>
      <c r="Q19" s="321"/>
      <c r="R19" s="321"/>
      <c r="S19" s="1628"/>
      <c r="T19" s="1628" t="s">
        <v>469</v>
      </c>
      <c r="U19" s="341" t="s">
        <v>469</v>
      </c>
      <c r="V19" s="1624"/>
      <c r="W19" s="342" t="str">
        <f>Dictionary!B1230</f>
        <v>Governance, Strukturen und Prozesse</v>
      </c>
      <c r="X19" s="1635"/>
      <c r="Y19" s="359"/>
      <c r="Z19" s="359"/>
      <c r="AA19" s="359"/>
      <c r="AB19" s="359"/>
      <c r="AC19" s="359"/>
      <c r="AD19" s="359"/>
      <c r="AE19" s="359"/>
      <c r="AF19" s="359"/>
      <c r="AG19" s="359"/>
      <c r="AH19" s="359"/>
      <c r="AI19" s="359"/>
      <c r="AJ19" s="360"/>
      <c r="AK19" s="356"/>
      <c r="AL19" s="361" t="str">
        <f t="shared" si="0"/>
        <v/>
      </c>
      <c r="AM19" s="348"/>
      <c r="AN19" s="348"/>
      <c r="AO19" s="362">
        <f>Scoring!AK19</f>
        <v>7</v>
      </c>
      <c r="AP19" s="349">
        <f>ROUNDUP(AO19/2,0)</f>
        <v>4</v>
      </c>
      <c r="AQ19" s="346" t="str">
        <f>IF((COUNTBLANK(AQ20:AQ26)-COUNTBLANK(W20:W26))=$AO19,"",IF((COUNTIF(AQ20:AQ26,"&gt;=1")&gt;=AP19),"Pass","Fail"))</f>
        <v/>
      </c>
      <c r="AU19" s="1390">
        <f t="shared" si="2"/>
        <v>0</v>
      </c>
      <c r="AV19" s="1633" t="str">
        <f t="shared" si="4"/>
        <v>X</v>
      </c>
      <c r="AX19" s="350">
        <v>6</v>
      </c>
      <c r="AY19" s="1390">
        <f t="shared" si="5"/>
        <v>0</v>
      </c>
      <c r="AZ19" s="1390" t="s">
        <v>3865</v>
      </c>
      <c r="BA19" s="1390" t="s">
        <v>3865</v>
      </c>
      <c r="BB19" s="1390" t="s">
        <v>3838</v>
      </c>
      <c r="BC19" s="1390" t="s">
        <v>3833</v>
      </c>
      <c r="BD19" s="1390" t="s">
        <v>3878</v>
      </c>
      <c r="BE19" s="1390" t="s">
        <v>3833</v>
      </c>
      <c r="BF19" s="1390" t="s">
        <v>3838</v>
      </c>
      <c r="BG19" s="1390" t="s">
        <v>3838</v>
      </c>
      <c r="BH19" s="1390" t="s">
        <v>3838</v>
      </c>
      <c r="BI19" s="1390" t="s">
        <v>3838</v>
      </c>
      <c r="BJ19" s="1390" t="s">
        <v>3838</v>
      </c>
      <c r="BK19" s="1390" t="s">
        <v>3838</v>
      </c>
      <c r="BL19" s="1390" t="s">
        <v>3838</v>
      </c>
      <c r="BM19" s="1390" t="s">
        <v>3838</v>
      </c>
      <c r="BN19" s="1390" t="s">
        <v>3838</v>
      </c>
      <c r="BO19" s="1390" t="s">
        <v>3838</v>
      </c>
    </row>
    <row r="20" spans="2:67" ht="23.25" customHeight="1">
      <c r="B20" s="350">
        <v>7</v>
      </c>
      <c r="C20" s="1633" t="str">
        <f t="shared" si="1"/>
        <v/>
      </c>
      <c r="D20" s="1633" t="str">
        <f>IF(C20="","",IFERROR(INDEX(Dictionary!$X$1263:$X$1491,MATCH(C20,Dictionary!$I$1263:$I$1491,0)),""))</f>
        <v/>
      </c>
      <c r="F20" s="353"/>
      <c r="H20" s="2376"/>
      <c r="I20" s="2377"/>
      <c r="J20" s="2377"/>
      <c r="K20" s="2377"/>
      <c r="L20" s="2378"/>
      <c r="M20" s="348"/>
      <c r="N20" s="321"/>
      <c r="O20" s="350">
        <v>7</v>
      </c>
      <c r="P20" s="1665"/>
      <c r="Q20" s="321"/>
      <c r="R20" s="321"/>
      <c r="S20" s="1628"/>
      <c r="T20" s="1628" t="s">
        <v>469</v>
      </c>
      <c r="U20" s="350" t="s">
        <v>516</v>
      </c>
      <c r="V20" s="1625" t="s">
        <v>1602</v>
      </c>
      <c r="W20" s="1390" t="str">
        <f>Dictionary!B1272</f>
        <v>Die Grundlagen des Projektmanagements und deren Einführung kennen und anwenden</v>
      </c>
      <c r="X20" s="1636" t="str">
        <f t="shared" ref="X20:X26" si="6">IFERROR(INDEX($AV$14:$AV$51,MATCH($V20,$C$14:$C$51,0)),"")</f>
        <v/>
      </c>
      <c r="Y20" s="1336" t="str">
        <f>IF(OR(X20=0,X20=1,X20=2,X20=3,X20=4,X20=5),X20,"")</f>
        <v/>
      </c>
      <c r="Z20" s="354"/>
      <c r="AA20" s="1336"/>
      <c r="AB20" s="354"/>
      <c r="AC20" s="1336"/>
      <c r="AD20" s="354"/>
      <c r="AE20" s="1336"/>
      <c r="AF20" s="354"/>
      <c r="AG20" s="349" t="str">
        <f>IF(AND(Y20="",AA20="",AC20="",AE20=""),"",MAX(Y20,AA20,AC20,AE20))</f>
        <v/>
      </c>
      <c r="AH20" s="354"/>
      <c r="AI20" s="1337" t="str">
        <f>IF(Y20="","",IF(GC_Flag="","",IF(OR(Y20&lt;=Dictionary!$I$52,Y20=""),0,1)))</f>
        <v/>
      </c>
      <c r="AK20" s="356" t="str">
        <f t="shared" ref="AK20:AK82" si="7">IF(Y20="","",IF(Y20&gt;=0,Y20,""))</f>
        <v/>
      </c>
      <c r="AL20" s="349" t="str">
        <f t="shared" si="0"/>
        <v/>
      </c>
      <c r="AM20" s="348"/>
      <c r="AN20" s="348"/>
      <c r="AO20" s="349"/>
      <c r="AP20" s="349"/>
      <c r="AQ20" s="357" t="str">
        <f t="shared" ref="AQ20:AQ26" si="8">IF(AI20="",AG20,AI20)</f>
        <v/>
      </c>
      <c r="AU20" s="1390">
        <f t="shared" si="2"/>
        <v>0</v>
      </c>
      <c r="AV20" s="1633" t="str">
        <f t="shared" si="4"/>
        <v>X</v>
      </c>
      <c r="AX20" s="350">
        <v>7</v>
      </c>
      <c r="AY20" s="1390">
        <f t="shared" si="5"/>
        <v>0</v>
      </c>
      <c r="AZ20" s="1390" t="s">
        <v>3838</v>
      </c>
      <c r="BA20" s="1390" t="s">
        <v>3838</v>
      </c>
      <c r="BB20" s="1390" t="s">
        <v>3839</v>
      </c>
      <c r="BC20" s="1390" t="s">
        <v>3834</v>
      </c>
      <c r="BD20" s="1390" t="s">
        <v>3865</v>
      </c>
      <c r="BE20" s="1390" t="s">
        <v>3834</v>
      </c>
      <c r="BF20" s="1390" t="s">
        <v>3839</v>
      </c>
      <c r="BG20" s="1390" t="s">
        <v>3839</v>
      </c>
      <c r="BH20" s="1390" t="s">
        <v>3839</v>
      </c>
      <c r="BI20" s="1390" t="s">
        <v>3839</v>
      </c>
      <c r="BJ20" s="1390" t="s">
        <v>3839</v>
      </c>
      <c r="BK20" s="1390" t="s">
        <v>3839</v>
      </c>
      <c r="BL20" s="1390" t="s">
        <v>3839</v>
      </c>
      <c r="BM20" s="1390" t="s">
        <v>3839</v>
      </c>
      <c r="BN20" s="1390" t="s">
        <v>3839</v>
      </c>
      <c r="BO20" s="1390" t="s">
        <v>3839</v>
      </c>
    </row>
    <row r="21" spans="2:67" ht="23.25" customHeight="1">
      <c r="B21" s="350">
        <v>8</v>
      </c>
      <c r="C21" s="1633" t="str">
        <f t="shared" si="1"/>
        <v/>
      </c>
      <c r="D21" s="1633" t="str">
        <f>IF(C21="","",IFERROR(INDEX(Dictionary!$X$1263:$X$1491,MATCH(C21,Dictionary!$I$1263:$I$1491,0)),""))</f>
        <v/>
      </c>
      <c r="F21" s="353"/>
      <c r="H21" s="2376"/>
      <c r="I21" s="2377"/>
      <c r="J21" s="2377"/>
      <c r="K21" s="2377"/>
      <c r="L21" s="2378"/>
      <c r="M21" s="348"/>
      <c r="N21" s="321"/>
      <c r="O21" s="350">
        <v>8</v>
      </c>
      <c r="P21" s="1665"/>
      <c r="Q21" s="321"/>
      <c r="R21" s="321"/>
      <c r="S21" s="1628"/>
      <c r="T21" s="1628" t="s">
        <v>469</v>
      </c>
      <c r="U21" s="350" t="s">
        <v>517</v>
      </c>
      <c r="V21" s="1625" t="s">
        <v>1934</v>
      </c>
      <c r="W21" s="1390" t="str">
        <f>Dictionary!B1273</f>
        <v>Die Grundlagen des Programmmanagements und deren Einführung kennen</v>
      </c>
      <c r="X21" s="1636" t="str">
        <f t="shared" si="6"/>
        <v/>
      </c>
      <c r="Y21" s="1336" t="str">
        <f t="shared" ref="Y21:Y26" si="9">IF(OR(X21=0,X21=1,X21=2,X21=3,X21=4,X21=5),X21,"")</f>
        <v/>
      </c>
      <c r="Z21" s="354"/>
      <c r="AA21" s="1336"/>
      <c r="AB21" s="354"/>
      <c r="AC21" s="1336"/>
      <c r="AD21" s="354"/>
      <c r="AE21" s="1336"/>
      <c r="AF21" s="354"/>
      <c r="AG21" s="349" t="str">
        <f t="shared" ref="AG21:AG26" si="10">IF(AND(Y21="",AA21="",AC21="",AE21=""),"",MAX(Y21,AA21,AC21,AE21))</f>
        <v/>
      </c>
      <c r="AH21" s="354"/>
      <c r="AI21" s="1337" t="str">
        <f>IF(Y21="","",IF(GC_Flag="","",IF(OR(Y21&lt;=Dictionary!$I$52,Y21=""),0,1)))</f>
        <v/>
      </c>
      <c r="AK21" s="356" t="str">
        <f t="shared" si="7"/>
        <v/>
      </c>
      <c r="AL21" s="349" t="str">
        <f t="shared" si="0"/>
        <v/>
      </c>
      <c r="AM21" s="348"/>
      <c r="AN21" s="348"/>
      <c r="AO21" s="349"/>
      <c r="AP21" s="349"/>
      <c r="AQ21" s="357" t="str">
        <f t="shared" si="8"/>
        <v/>
      </c>
      <c r="AU21" s="1390">
        <f t="shared" si="2"/>
        <v>0</v>
      </c>
      <c r="AV21" s="1633" t="str">
        <f t="shared" si="4"/>
        <v>X</v>
      </c>
      <c r="AX21" s="350">
        <v>8</v>
      </c>
      <c r="AY21" s="1390">
        <f t="shared" si="5"/>
        <v>0</v>
      </c>
      <c r="AZ21" s="1390" t="s">
        <v>3839</v>
      </c>
      <c r="BA21" s="1390" t="s">
        <v>3839</v>
      </c>
      <c r="BB21" s="1390" t="s">
        <v>3840</v>
      </c>
      <c r="BC21" s="1390" t="s">
        <v>3835</v>
      </c>
      <c r="BD21" s="1390" t="s">
        <v>3838</v>
      </c>
      <c r="BE21" s="1390" t="s">
        <v>3835</v>
      </c>
      <c r="BF21" s="1390" t="s">
        <v>3841</v>
      </c>
      <c r="BG21" s="1390" t="s">
        <v>3841</v>
      </c>
      <c r="BH21" s="1390" t="s">
        <v>3841</v>
      </c>
      <c r="BI21" s="1390" t="s">
        <v>3841</v>
      </c>
      <c r="BJ21" s="1390" t="s">
        <v>3841</v>
      </c>
      <c r="BK21" s="1390" t="s">
        <v>3841</v>
      </c>
      <c r="BL21" s="1390" t="s">
        <v>3841</v>
      </c>
      <c r="BM21" s="1390" t="s">
        <v>3841</v>
      </c>
      <c r="BN21" s="1390" t="s">
        <v>3841</v>
      </c>
      <c r="BO21" s="1390" t="s">
        <v>3841</v>
      </c>
    </row>
    <row r="22" spans="2:67" ht="23.25" customHeight="1">
      <c r="B22" s="350">
        <v>9</v>
      </c>
      <c r="C22" s="1633" t="str">
        <f t="shared" si="1"/>
        <v/>
      </c>
      <c r="D22" s="1633" t="str">
        <f>IF(C22="","",IFERROR(INDEX(Dictionary!$X$1263:$X$1491,MATCH(C22,Dictionary!$I$1263:$I$1491,0)),""))</f>
        <v/>
      </c>
      <c r="F22" s="353"/>
      <c r="H22" s="2376"/>
      <c r="I22" s="2377"/>
      <c r="J22" s="2377"/>
      <c r="K22" s="2377"/>
      <c r="L22" s="2378"/>
      <c r="M22" s="348"/>
      <c r="N22" s="321"/>
      <c r="O22" s="350">
        <v>9</v>
      </c>
      <c r="P22" s="1665"/>
      <c r="Q22" s="321"/>
      <c r="R22" s="321"/>
      <c r="S22" s="1628"/>
      <c r="T22" s="1628" t="s">
        <v>469</v>
      </c>
      <c r="U22" s="350" t="s">
        <v>519</v>
      </c>
      <c r="V22" s="1625" t="s">
        <v>1935</v>
      </c>
      <c r="W22" s="1390" t="str">
        <f>Dictionary!B1274</f>
        <v>Die Grundlagen des Portfoliomanagements und deren Einführung kennen</v>
      </c>
      <c r="X22" s="1636" t="str">
        <f t="shared" si="6"/>
        <v/>
      </c>
      <c r="Y22" s="1336" t="str">
        <f t="shared" si="9"/>
        <v/>
      </c>
      <c r="Z22" s="354"/>
      <c r="AA22" s="1336"/>
      <c r="AB22" s="354"/>
      <c r="AC22" s="1336"/>
      <c r="AD22" s="354"/>
      <c r="AE22" s="1336"/>
      <c r="AF22" s="354"/>
      <c r="AG22" s="349" t="str">
        <f t="shared" si="10"/>
        <v/>
      </c>
      <c r="AH22" s="354"/>
      <c r="AI22" s="1337" t="str">
        <f>IF(Y22="","",IF(GC_Flag="","",IF(OR(Y22&lt;=Dictionary!$I$52,Y22=""),0,1)))</f>
        <v/>
      </c>
      <c r="AK22" s="356" t="str">
        <f t="shared" si="7"/>
        <v/>
      </c>
      <c r="AL22" s="349" t="str">
        <f t="shared" si="0"/>
        <v/>
      </c>
      <c r="AM22" s="348"/>
      <c r="AN22" s="348"/>
      <c r="AO22" s="349"/>
      <c r="AP22" s="349"/>
      <c r="AQ22" s="357" t="str">
        <f t="shared" si="8"/>
        <v/>
      </c>
      <c r="AU22" s="1390">
        <f t="shared" si="2"/>
        <v>0</v>
      </c>
      <c r="AV22" s="1633" t="str">
        <f t="shared" si="4"/>
        <v>X</v>
      </c>
      <c r="AX22" s="350">
        <v>9</v>
      </c>
      <c r="AY22" s="1390">
        <f t="shared" si="5"/>
        <v>0</v>
      </c>
      <c r="AZ22" s="1390" t="s">
        <v>3840</v>
      </c>
      <c r="BA22" s="1390" t="s">
        <v>3840</v>
      </c>
      <c r="BB22" s="1390" t="s">
        <v>3841</v>
      </c>
      <c r="BC22" s="1390" t="s">
        <v>3836</v>
      </c>
      <c r="BD22" s="1390" t="s">
        <v>3839</v>
      </c>
      <c r="BE22" s="1390" t="s">
        <v>3836</v>
      </c>
      <c r="BF22" s="1390" t="s">
        <v>3842</v>
      </c>
      <c r="BG22" s="1390" t="s">
        <v>3842</v>
      </c>
      <c r="BH22" s="1390" t="s">
        <v>3842</v>
      </c>
      <c r="BI22" s="1390" t="s">
        <v>3842</v>
      </c>
      <c r="BJ22" s="1390" t="s">
        <v>3842</v>
      </c>
      <c r="BK22" s="1390" t="s">
        <v>3842</v>
      </c>
      <c r="BL22" s="1390" t="s">
        <v>3842</v>
      </c>
      <c r="BM22" s="1390" t="s">
        <v>3842</v>
      </c>
      <c r="BN22" s="1390" t="s">
        <v>3842</v>
      </c>
      <c r="BO22" s="1390" t="s">
        <v>3842</v>
      </c>
    </row>
    <row r="23" spans="2:67" ht="23.25" customHeight="1">
      <c r="B23" s="350">
        <v>10</v>
      </c>
      <c r="C23" s="1633" t="str">
        <f t="shared" si="1"/>
        <v/>
      </c>
      <c r="D23" s="1633" t="str">
        <f>IF(C23="","",IFERROR(INDEX(Dictionary!$X$1263:$X$1491,MATCH(C23,Dictionary!$I$1263:$I$1491,0)),""))</f>
        <v/>
      </c>
      <c r="F23" s="353"/>
      <c r="H23" s="2376"/>
      <c r="I23" s="2377"/>
      <c r="J23" s="2377"/>
      <c r="K23" s="2377"/>
      <c r="L23" s="2378"/>
      <c r="M23" s="348"/>
      <c r="N23" s="321"/>
      <c r="O23" s="350">
        <v>10</v>
      </c>
      <c r="P23" s="1665"/>
      <c r="Q23" s="321"/>
      <c r="R23" s="321"/>
      <c r="S23" s="1628"/>
      <c r="T23" s="1628" t="s">
        <v>469</v>
      </c>
      <c r="U23" s="350" t="s">
        <v>521</v>
      </c>
      <c r="V23" s="1625" t="s">
        <v>1603</v>
      </c>
      <c r="W23" s="1390" t="str">
        <f>Dictionary!B1275</f>
        <v>Das Projekt mit den Supportfunktionen in Einklang bringen</v>
      </c>
      <c r="X23" s="1636" t="str">
        <f t="shared" si="6"/>
        <v/>
      </c>
      <c r="Y23" s="1336" t="str">
        <f t="shared" si="9"/>
        <v/>
      </c>
      <c r="Z23" s="354"/>
      <c r="AA23" s="1336"/>
      <c r="AB23" s="354"/>
      <c r="AC23" s="1336"/>
      <c r="AD23" s="354"/>
      <c r="AE23" s="1336"/>
      <c r="AF23" s="354"/>
      <c r="AG23" s="349" t="str">
        <f t="shared" si="10"/>
        <v/>
      </c>
      <c r="AH23" s="354"/>
      <c r="AI23" s="1337" t="str">
        <f>IF(Y23="","",IF(GC_Flag="","",IF(OR(Y23&lt;=Dictionary!$I$52,Y23=""),0,1)))</f>
        <v/>
      </c>
      <c r="AK23" s="356" t="str">
        <f t="shared" si="7"/>
        <v/>
      </c>
      <c r="AL23" s="349" t="str">
        <f t="shared" si="0"/>
        <v/>
      </c>
      <c r="AM23" s="348"/>
      <c r="AN23" s="348"/>
      <c r="AO23" s="349"/>
      <c r="AP23" s="349"/>
      <c r="AQ23" s="357" t="str">
        <f t="shared" si="8"/>
        <v/>
      </c>
      <c r="AU23" s="1390">
        <f t="shared" si="2"/>
        <v>0</v>
      </c>
      <c r="AV23" s="1633" t="str">
        <f t="shared" si="4"/>
        <v>X</v>
      </c>
      <c r="AX23" s="350">
        <v>10</v>
      </c>
      <c r="AY23" s="1390">
        <f t="shared" si="5"/>
        <v>0</v>
      </c>
      <c r="AZ23" s="1390" t="s">
        <v>3841</v>
      </c>
      <c r="BA23" s="1390" t="s">
        <v>3841</v>
      </c>
      <c r="BB23" s="1390" t="s">
        <v>3842</v>
      </c>
      <c r="BC23" s="1390" t="s">
        <v>3837</v>
      </c>
      <c r="BD23" s="1390" t="s">
        <v>3840</v>
      </c>
      <c r="BE23" s="1390" t="s">
        <v>3837</v>
      </c>
      <c r="BF23" s="1390" t="s">
        <v>3843</v>
      </c>
      <c r="BG23" s="1390" t="s">
        <v>3843</v>
      </c>
      <c r="BH23" s="1390" t="s">
        <v>3843</v>
      </c>
      <c r="BI23" s="1390" t="s">
        <v>3843</v>
      </c>
      <c r="BJ23" s="1390" t="s">
        <v>3843</v>
      </c>
      <c r="BK23" s="1390" t="s">
        <v>3843</v>
      </c>
      <c r="BL23" s="1390" t="s">
        <v>3843</v>
      </c>
      <c r="BM23" s="1390" t="s">
        <v>3843</v>
      </c>
      <c r="BN23" s="1390" t="s">
        <v>3843</v>
      </c>
      <c r="BO23" s="1390" t="s">
        <v>3843</v>
      </c>
    </row>
    <row r="24" spans="2:67" ht="23.25" customHeight="1">
      <c r="B24" s="350">
        <v>11</v>
      </c>
      <c r="C24" s="1633" t="str">
        <f t="shared" si="1"/>
        <v/>
      </c>
      <c r="D24" s="1633" t="str">
        <f>IF(C24="","",IFERROR(INDEX(Dictionary!$X$1263:$X$1491,MATCH(C24,Dictionary!$I$1263:$I$1491,0)),""))</f>
        <v/>
      </c>
      <c r="F24" s="353"/>
      <c r="H24" s="2376"/>
      <c r="I24" s="2377"/>
      <c r="J24" s="2377"/>
      <c r="K24" s="2377"/>
      <c r="L24" s="2378"/>
      <c r="M24" s="348"/>
      <c r="N24" s="321"/>
      <c r="O24" s="350">
        <v>11</v>
      </c>
      <c r="P24" s="1665"/>
      <c r="Q24" s="321"/>
      <c r="R24" s="321"/>
      <c r="S24" s="1628"/>
      <c r="T24" s="1628" t="s">
        <v>469</v>
      </c>
      <c r="U24" s="350" t="s">
        <v>522</v>
      </c>
      <c r="V24" s="1625" t="s">
        <v>1604</v>
      </c>
      <c r="W24" s="1390" t="str">
        <f>Dictionary!B1276</f>
        <v>Das Projekt mit den Entscheidungs- und Berichterstattungsstrukturen sowie den Qualitätsanforderungen der Organisation in Einklang bringen</v>
      </c>
      <c r="X24" s="1636" t="str">
        <f t="shared" si="6"/>
        <v/>
      </c>
      <c r="Y24" s="1336" t="str">
        <f t="shared" si="9"/>
        <v/>
      </c>
      <c r="Z24" s="354"/>
      <c r="AA24" s="1336"/>
      <c r="AB24" s="354"/>
      <c r="AC24" s="1336"/>
      <c r="AD24" s="354"/>
      <c r="AE24" s="1336"/>
      <c r="AF24" s="354"/>
      <c r="AG24" s="349" t="str">
        <f t="shared" si="10"/>
        <v/>
      </c>
      <c r="AH24" s="354"/>
      <c r="AI24" s="1337" t="str">
        <f>IF(Y24="","",IF(GC_Flag="","",IF(OR(Y24&lt;=Dictionary!$I$52,Y24=""),0,1)))</f>
        <v/>
      </c>
      <c r="AK24" s="356" t="str">
        <f t="shared" si="7"/>
        <v/>
      </c>
      <c r="AL24" s="349" t="str">
        <f t="shared" si="0"/>
        <v/>
      </c>
      <c r="AM24" s="348"/>
      <c r="AN24" s="348"/>
      <c r="AO24" s="349"/>
      <c r="AP24" s="349"/>
      <c r="AQ24" s="357" t="str">
        <f t="shared" si="8"/>
        <v/>
      </c>
      <c r="AU24" s="1390">
        <f t="shared" si="2"/>
        <v>0</v>
      </c>
      <c r="AV24" s="1633" t="str">
        <f t="shared" si="4"/>
        <v>X</v>
      </c>
      <c r="AX24" s="350">
        <v>11</v>
      </c>
      <c r="AY24" s="1390">
        <f t="shared" si="5"/>
        <v>0</v>
      </c>
      <c r="AZ24" s="1390" t="s">
        <v>3842</v>
      </c>
      <c r="BA24" s="1390" t="s">
        <v>3842</v>
      </c>
      <c r="BB24" s="1390" t="s">
        <v>3843</v>
      </c>
      <c r="BC24" s="1390" t="s">
        <v>3878</v>
      </c>
      <c r="BD24" s="1390" t="s">
        <v>3841</v>
      </c>
      <c r="BE24" s="1390" t="s">
        <v>3878</v>
      </c>
      <c r="BF24" s="1390" t="s">
        <v>3844</v>
      </c>
      <c r="BG24" s="1390" t="s">
        <v>3844</v>
      </c>
      <c r="BH24" s="1390" t="s">
        <v>3844</v>
      </c>
      <c r="BI24" s="1390" t="s">
        <v>3844</v>
      </c>
      <c r="BJ24" s="1390" t="s">
        <v>3844</v>
      </c>
      <c r="BK24" s="1390" t="s">
        <v>3844</v>
      </c>
      <c r="BL24" s="1390" t="s">
        <v>3844</v>
      </c>
      <c r="BM24" s="1390" t="s">
        <v>3844</v>
      </c>
      <c r="BN24" s="1390" t="s">
        <v>3844</v>
      </c>
      <c r="BO24" s="1390" t="s">
        <v>3844</v>
      </c>
    </row>
    <row r="25" spans="2:67" ht="23.25" customHeight="1">
      <c r="B25" s="350">
        <v>12</v>
      </c>
      <c r="C25" s="1633" t="str">
        <f t="shared" si="1"/>
        <v/>
      </c>
      <c r="D25" s="1633" t="str">
        <f>IF(C25="","",IFERROR(INDEX(Dictionary!$X$1263:$X$1491,MATCH(C25,Dictionary!$I$1263:$I$1491,0)),""))</f>
        <v/>
      </c>
      <c r="F25" s="353"/>
      <c r="H25" s="2376"/>
      <c r="I25" s="2377"/>
      <c r="J25" s="2377"/>
      <c r="K25" s="2377"/>
      <c r="L25" s="2378"/>
      <c r="M25" s="348"/>
      <c r="N25" s="321"/>
      <c r="O25" s="350">
        <v>12</v>
      </c>
      <c r="P25" s="1665"/>
      <c r="Q25" s="321"/>
      <c r="R25" s="321"/>
      <c r="S25" s="1628"/>
      <c r="T25" s="1628" t="s">
        <v>469</v>
      </c>
      <c r="U25" s="350" t="s">
        <v>523</v>
      </c>
      <c r="V25" s="1625" t="s">
        <v>1606</v>
      </c>
      <c r="W25" s="1390" t="str">
        <f>Dictionary!B1277</f>
        <v>Das Projekt mit den Prozessen und Funktionen des HR (Personalwesens) in Einklang bringen</v>
      </c>
      <c r="X25" s="1636" t="str">
        <f t="shared" si="6"/>
        <v/>
      </c>
      <c r="Y25" s="1336" t="str">
        <f>IF(OR(X25=0,X25=1,X25=2,X25=3,X25=4,X25=5),X25,"")</f>
        <v/>
      </c>
      <c r="Z25" s="354"/>
      <c r="AA25" s="1336"/>
      <c r="AB25" s="354"/>
      <c r="AC25" s="1336"/>
      <c r="AD25" s="354"/>
      <c r="AE25" s="1336"/>
      <c r="AF25" s="354"/>
      <c r="AG25" s="349" t="str">
        <f>IF(AND(Y25="",AA25="",AC25="",AE25=""),"",MAX(Y25,AA25,AC25,AE25))</f>
        <v/>
      </c>
      <c r="AH25" s="354"/>
      <c r="AI25" s="1337" t="str">
        <f>IF(Y25="","",IF(GC_Flag="","",IF(OR(Y25&lt;=Dictionary!$I$52,Y25=""),0,1)))</f>
        <v/>
      </c>
      <c r="AK25" s="356" t="str">
        <f t="shared" si="7"/>
        <v/>
      </c>
      <c r="AL25" s="349" t="str">
        <f t="shared" si="0"/>
        <v/>
      </c>
      <c r="AM25" s="348"/>
      <c r="AN25" s="348"/>
      <c r="AO25" s="349"/>
      <c r="AP25" s="349"/>
      <c r="AQ25" s="357" t="str">
        <f t="shared" si="8"/>
        <v/>
      </c>
      <c r="AU25" s="1390">
        <f t="shared" si="2"/>
        <v>0</v>
      </c>
      <c r="AV25" s="1633" t="str">
        <f t="shared" si="4"/>
        <v>X</v>
      </c>
      <c r="AX25" s="350">
        <v>12</v>
      </c>
      <c r="AY25" s="1390">
        <f t="shared" si="5"/>
        <v>0</v>
      </c>
      <c r="AZ25" s="1390" t="s">
        <v>3843</v>
      </c>
      <c r="BA25" s="1390" t="s">
        <v>3843</v>
      </c>
      <c r="BB25" s="1390" t="s">
        <v>3844</v>
      </c>
      <c r="BC25" s="1390" t="s">
        <v>3865</v>
      </c>
      <c r="BD25" s="1390" t="s">
        <v>3842</v>
      </c>
      <c r="BE25" s="1390" t="s">
        <v>3865</v>
      </c>
      <c r="BF25" s="1390" t="s">
        <v>3846</v>
      </c>
      <c r="BG25" s="1390" t="s">
        <v>3846</v>
      </c>
      <c r="BH25" s="1390" t="s">
        <v>3846</v>
      </c>
      <c r="BI25" s="1390" t="s">
        <v>3845</v>
      </c>
      <c r="BJ25" s="1390" t="s">
        <v>3845</v>
      </c>
      <c r="BK25" s="1390" t="s">
        <v>3845</v>
      </c>
      <c r="BL25" s="1390" t="s">
        <v>3845</v>
      </c>
      <c r="BM25" s="1390" t="s">
        <v>3846</v>
      </c>
      <c r="BN25" s="1390" t="s">
        <v>3846</v>
      </c>
      <c r="BO25" s="1390" t="s">
        <v>3846</v>
      </c>
    </row>
    <row r="26" spans="2:67" ht="23.25" customHeight="1">
      <c r="B26" s="350">
        <v>13</v>
      </c>
      <c r="C26" s="1633" t="str">
        <f t="shared" si="1"/>
        <v/>
      </c>
      <c r="D26" s="1633" t="str">
        <f>IF(C26="","",IFERROR(INDEX(Dictionary!$X$1263:$X$1491,MATCH(C26,Dictionary!$I$1263:$I$1491,0)),""))</f>
        <v/>
      </c>
      <c r="F26" s="353"/>
      <c r="H26" s="2376"/>
      <c r="I26" s="2377"/>
      <c r="J26" s="2377"/>
      <c r="K26" s="2377"/>
      <c r="L26" s="2378"/>
      <c r="M26" s="348"/>
      <c r="N26" s="321"/>
      <c r="O26" s="350">
        <v>13</v>
      </c>
      <c r="P26" s="1665"/>
      <c r="Q26" s="321"/>
      <c r="R26" s="321"/>
      <c r="S26" s="1628"/>
      <c r="T26" s="1628" t="s">
        <v>469</v>
      </c>
      <c r="U26" s="350" t="s">
        <v>524</v>
      </c>
      <c r="V26" s="1625" t="s">
        <v>1607</v>
      </c>
      <c r="W26" s="1390" t="str">
        <f>Dictionary!B1278</f>
        <v>Das Projekt mit den Finanz- und Controlling-Prozessen in Einklang bringen</v>
      </c>
      <c r="X26" s="1636" t="str">
        <f t="shared" si="6"/>
        <v/>
      </c>
      <c r="Y26" s="1336" t="str">
        <f t="shared" si="9"/>
        <v/>
      </c>
      <c r="Z26" s="354"/>
      <c r="AA26" s="1336"/>
      <c r="AB26" s="354"/>
      <c r="AC26" s="1336"/>
      <c r="AD26" s="354"/>
      <c r="AE26" s="1336"/>
      <c r="AF26" s="354"/>
      <c r="AG26" s="349" t="str">
        <f t="shared" si="10"/>
        <v/>
      </c>
      <c r="AH26" s="354"/>
      <c r="AI26" s="1337" t="str">
        <f>IF(Y26="","",IF(GC_Flag="","",IF(OR(Y26&lt;=Dictionary!$I$52,Y26=""),0,1)))</f>
        <v/>
      </c>
      <c r="AK26" s="356" t="str">
        <f t="shared" si="7"/>
        <v/>
      </c>
      <c r="AL26" s="349" t="str">
        <f t="shared" si="0"/>
        <v/>
      </c>
      <c r="AM26" s="348"/>
      <c r="AN26" s="348"/>
      <c r="AO26" s="349"/>
      <c r="AP26" s="349"/>
      <c r="AQ26" s="357" t="str">
        <f t="shared" si="8"/>
        <v/>
      </c>
      <c r="AU26" s="1390">
        <f t="shared" si="2"/>
        <v>0</v>
      </c>
      <c r="AV26" s="1633" t="str">
        <f t="shared" si="4"/>
        <v>X</v>
      </c>
      <c r="AX26" s="350">
        <v>13</v>
      </c>
      <c r="AY26" s="1390">
        <f t="shared" si="5"/>
        <v>0</v>
      </c>
      <c r="AZ26" s="1390" t="s">
        <v>3844</v>
      </c>
      <c r="BA26" s="1390" t="s">
        <v>3844</v>
      </c>
      <c r="BB26" s="1390" t="s">
        <v>3845</v>
      </c>
      <c r="BC26" s="1390" t="s">
        <v>3879</v>
      </c>
      <c r="BD26" s="1390" t="s">
        <v>3843</v>
      </c>
      <c r="BE26" s="1390" t="s">
        <v>3879</v>
      </c>
      <c r="BF26" s="1390" t="s">
        <v>3847</v>
      </c>
      <c r="BG26" s="1390" t="s">
        <v>3847</v>
      </c>
      <c r="BH26" s="1390" t="s">
        <v>3847</v>
      </c>
      <c r="BI26" s="1390" t="s">
        <v>3847</v>
      </c>
      <c r="BJ26" s="1390" t="s">
        <v>3847</v>
      </c>
      <c r="BK26" s="1390" t="s">
        <v>3847</v>
      </c>
      <c r="BL26" s="1390" t="s">
        <v>3847</v>
      </c>
      <c r="BM26" s="1390" t="s">
        <v>3847</v>
      </c>
      <c r="BN26" s="1390" t="s">
        <v>3847</v>
      </c>
      <c r="BO26" s="1390" t="s">
        <v>3847</v>
      </c>
    </row>
    <row r="27" spans="2:67" ht="23.25" customHeight="1">
      <c r="B27" s="350">
        <v>14</v>
      </c>
      <c r="C27" s="1633" t="str">
        <f t="shared" si="1"/>
        <v/>
      </c>
      <c r="D27" s="1633" t="str">
        <f>IF(C27="","",IFERROR(INDEX(Dictionary!$X$1263:$X$1491,MATCH(C27,Dictionary!$I$1263:$I$1491,0)),""))</f>
        <v/>
      </c>
      <c r="F27" s="353"/>
      <c r="H27" s="2376"/>
      <c r="I27" s="2377"/>
      <c r="J27" s="2377"/>
      <c r="K27" s="2377"/>
      <c r="L27" s="2378"/>
      <c r="M27" s="348"/>
      <c r="N27" s="321"/>
      <c r="O27" s="350">
        <v>14</v>
      </c>
      <c r="P27" s="1665"/>
      <c r="Q27" s="321"/>
      <c r="R27" s="321"/>
      <c r="S27" s="1628"/>
      <c r="T27" s="1628" t="s">
        <v>463</v>
      </c>
      <c r="U27" s="341" t="s">
        <v>463</v>
      </c>
      <c r="V27" s="1624"/>
      <c r="W27" s="342" t="str">
        <f>Dictionary!B1231</f>
        <v>Compliance, Standards und Regularien</v>
      </c>
      <c r="X27" s="1635"/>
      <c r="Y27" s="359"/>
      <c r="Z27" s="315"/>
      <c r="AA27" s="359"/>
      <c r="AB27" s="360"/>
      <c r="AC27" s="359"/>
      <c r="AD27" s="360"/>
      <c r="AE27" s="359"/>
      <c r="AF27" s="315"/>
      <c r="AG27" s="359"/>
      <c r="AH27" s="360"/>
      <c r="AI27" s="359"/>
      <c r="AK27" s="356"/>
      <c r="AL27" s="361" t="str">
        <f t="shared" si="0"/>
        <v/>
      </c>
      <c r="AM27" s="348"/>
      <c r="AN27" s="348"/>
      <c r="AO27" s="349">
        <v>6</v>
      </c>
      <c r="AP27" s="349">
        <f>ROUNDUP(AO27/2,0)</f>
        <v>3</v>
      </c>
      <c r="AQ27" s="346" t="str">
        <f>IF(COUNTBLANK(AQ28:AQ33)=$AO27,"",IF((COUNTIF(AQ28:AQ33,"&gt;=1")&gt;=AP27),"Pass","Fail"))</f>
        <v/>
      </c>
      <c r="AU27" s="1390">
        <f t="shared" si="2"/>
        <v>0</v>
      </c>
      <c r="AV27" s="1633" t="str">
        <f t="shared" si="4"/>
        <v>X</v>
      </c>
      <c r="AX27" s="350">
        <v>14</v>
      </c>
      <c r="AY27" s="1390">
        <f t="shared" si="5"/>
        <v>0</v>
      </c>
      <c r="AZ27" s="1390" t="s">
        <v>3845</v>
      </c>
      <c r="BA27" s="1390" t="s">
        <v>3845</v>
      </c>
      <c r="BB27" s="1390" t="s">
        <v>3846</v>
      </c>
      <c r="BC27" s="1390" t="s">
        <v>3880</v>
      </c>
      <c r="BD27" s="1390" t="s">
        <v>3879</v>
      </c>
      <c r="BE27" s="1390" t="s">
        <v>3880</v>
      </c>
      <c r="BF27" s="1390" t="s">
        <v>3848</v>
      </c>
      <c r="BG27" s="1390" t="s">
        <v>3848</v>
      </c>
      <c r="BH27" s="1390" t="s">
        <v>3848</v>
      </c>
      <c r="BI27" s="1390" t="s">
        <v>3848</v>
      </c>
      <c r="BJ27" s="1390" t="s">
        <v>3848</v>
      </c>
      <c r="BK27" s="1390" t="s">
        <v>3848</v>
      </c>
      <c r="BL27" s="1390" t="s">
        <v>3848</v>
      </c>
      <c r="BM27" s="1390" t="s">
        <v>3848</v>
      </c>
      <c r="BN27" s="1390" t="s">
        <v>3848</v>
      </c>
      <c r="BO27" s="1390" t="s">
        <v>3848</v>
      </c>
    </row>
    <row r="28" spans="2:67" ht="23.25" customHeight="1">
      <c r="B28" s="350">
        <v>15</v>
      </c>
      <c r="C28" s="1633" t="str">
        <f t="shared" si="1"/>
        <v/>
      </c>
      <c r="D28" s="1633" t="str">
        <f>IF(C28="","",IFERROR(INDEX(Dictionary!$X$1263:$X$1491,MATCH(C28,Dictionary!$I$1263:$I$1491,0)),""))</f>
        <v/>
      </c>
      <c r="F28" s="353"/>
      <c r="H28" s="2376"/>
      <c r="I28" s="2377"/>
      <c r="J28" s="2377"/>
      <c r="K28" s="2377"/>
      <c r="L28" s="2378"/>
      <c r="M28" s="348"/>
      <c r="N28" s="321"/>
      <c r="O28" s="350">
        <v>15</v>
      </c>
      <c r="P28" s="1665"/>
      <c r="Q28" s="321"/>
      <c r="R28" s="321"/>
      <c r="S28" s="1628"/>
      <c r="T28" s="1628" t="s">
        <v>463</v>
      </c>
      <c r="U28" s="350" t="str">
        <f>".1"</f>
        <v>.1</v>
      </c>
      <c r="V28" s="1625" t="s">
        <v>1608</v>
      </c>
      <c r="W28" s="1390" t="str">
        <f>Dictionary!B1281</f>
        <v>Die für das Projekt und dessen Komponenten gültigen Rechtsvorschriften identifizieren und einhalten</v>
      </c>
      <c r="X28" s="1636" t="str">
        <f t="shared" ref="X28:X33" si="11">IFERROR(INDEX($AV$14:$AV$51,MATCH($V28,$C$14:$C$51,0)),"")</f>
        <v/>
      </c>
      <c r="Y28" s="1336" t="str">
        <f>IF(OR(X28=0,X28=1,X28=2,X28=3,X28=4,X28=5),X28,"")</f>
        <v/>
      </c>
      <c r="Z28" s="354"/>
      <c r="AA28" s="1336"/>
      <c r="AB28" s="354"/>
      <c r="AC28" s="1336"/>
      <c r="AD28" s="354"/>
      <c r="AE28" s="1336"/>
      <c r="AF28" s="354"/>
      <c r="AG28" s="349" t="str">
        <f t="shared" ref="AG28:AG33" si="12">IF(AND(Y28="",AA28="",AC28="",AE28=""),"",MAX(Y28,AA28,AC28,AE28))</f>
        <v/>
      </c>
      <c r="AH28" s="354"/>
      <c r="AI28" s="1337" t="str">
        <f>IF(Y28="","",IF(GC_Flag="","",IF(OR(Y28&lt;=Dictionary!$I$52,Y28=""),0,1)))</f>
        <v/>
      </c>
      <c r="AK28" s="356" t="str">
        <f t="shared" si="7"/>
        <v/>
      </c>
      <c r="AL28" s="349" t="str">
        <f t="shared" si="0"/>
        <v/>
      </c>
      <c r="AM28" s="348"/>
      <c r="AN28" s="348"/>
      <c r="AO28" s="349"/>
      <c r="AP28" s="349"/>
      <c r="AQ28" s="357" t="str">
        <f t="shared" ref="AQ28:AQ33" si="13">IF(AI28="",AG28,AI28)</f>
        <v/>
      </c>
      <c r="AU28" s="1390">
        <f t="shared" si="2"/>
        <v>0</v>
      </c>
      <c r="AV28" s="1633" t="str">
        <f t="shared" si="4"/>
        <v>X</v>
      </c>
      <c r="AX28" s="350">
        <v>15</v>
      </c>
      <c r="AY28" s="1390">
        <f t="shared" si="5"/>
        <v>0</v>
      </c>
      <c r="AZ28" s="1390" t="s">
        <v>3846</v>
      </c>
      <c r="BA28" s="1390" t="s">
        <v>3846</v>
      </c>
      <c r="BB28" s="1390" t="s">
        <v>3847</v>
      </c>
      <c r="BC28" s="1390" t="s">
        <v>3881</v>
      </c>
      <c r="BD28" s="1390" t="s">
        <v>3880</v>
      </c>
      <c r="BE28" s="1390" t="s">
        <v>3881</v>
      </c>
      <c r="BF28" s="1390" t="s">
        <v>3849</v>
      </c>
      <c r="BG28" s="1390" t="s">
        <v>3849</v>
      </c>
      <c r="BH28" s="1390" t="s">
        <v>3849</v>
      </c>
      <c r="BI28" s="1390" t="s">
        <v>3849</v>
      </c>
      <c r="BJ28" s="1390" t="s">
        <v>3849</v>
      </c>
      <c r="BK28" s="1390" t="s">
        <v>3849</v>
      </c>
      <c r="BL28" s="1390" t="s">
        <v>3849</v>
      </c>
      <c r="BM28" s="1390" t="s">
        <v>3849</v>
      </c>
      <c r="BN28" s="1390" t="s">
        <v>3849</v>
      </c>
      <c r="BO28" s="1390" t="s">
        <v>3849</v>
      </c>
    </row>
    <row r="29" spans="2:67" ht="23.25" customHeight="1">
      <c r="B29" s="350">
        <v>16</v>
      </c>
      <c r="C29" s="1633" t="str">
        <f t="shared" si="1"/>
        <v/>
      </c>
      <c r="D29" s="1633" t="str">
        <f>IF(C29="","",IFERROR(INDEX(Dictionary!$X$1263:$X$1491,MATCH(C29,Dictionary!$I$1263:$I$1491,0)),""))</f>
        <v/>
      </c>
      <c r="F29" s="353"/>
      <c r="H29" s="2376"/>
      <c r="I29" s="2377"/>
      <c r="J29" s="2377"/>
      <c r="K29" s="2377"/>
      <c r="L29" s="2378"/>
      <c r="M29" s="348"/>
      <c r="N29" s="321"/>
      <c r="O29" s="350">
        <v>16</v>
      </c>
      <c r="P29" s="1665"/>
      <c r="Q29" s="321"/>
      <c r="R29" s="321"/>
      <c r="S29" s="1628"/>
      <c r="T29" s="1628" t="s">
        <v>463</v>
      </c>
      <c r="U29" s="350" t="str">
        <f>".2"</f>
        <v>.2</v>
      </c>
      <c r="V29" s="1625" t="s">
        <v>1609</v>
      </c>
      <c r="W29" s="1390" t="str">
        <f>Dictionary!B1282</f>
        <v>Alle für das Projekt relevanten Vorschriften für Sicherheit, Gesundheit, und Umweltschutz (SGU) identifizieren und einhalten</v>
      </c>
      <c r="X29" s="1636" t="str">
        <f t="shared" si="11"/>
        <v/>
      </c>
      <c r="Y29" s="1336" t="str">
        <f t="shared" ref="Y29:Y32" si="14">IF(OR(X29=0,X29=1,X29=2,X29=3,X29=4,X29=5),X29,"")</f>
        <v/>
      </c>
      <c r="Z29" s="354"/>
      <c r="AA29" s="1336"/>
      <c r="AB29" s="354"/>
      <c r="AC29" s="1336"/>
      <c r="AD29" s="354"/>
      <c r="AE29" s="1336"/>
      <c r="AF29" s="354"/>
      <c r="AG29" s="349" t="str">
        <f t="shared" si="12"/>
        <v/>
      </c>
      <c r="AH29" s="354"/>
      <c r="AI29" s="1337" t="str">
        <f>IF(Y29="","",IF(GC_Flag="","",IF(OR(Y29&lt;=Dictionary!$I$52,Y29=""),0,1)))</f>
        <v/>
      </c>
      <c r="AK29" s="356" t="str">
        <f t="shared" si="7"/>
        <v/>
      </c>
      <c r="AL29" s="349" t="str">
        <f t="shared" si="0"/>
        <v/>
      </c>
      <c r="AM29" s="348"/>
      <c r="AN29" s="348"/>
      <c r="AO29" s="349"/>
      <c r="AP29" s="349"/>
      <c r="AQ29" s="357" t="str">
        <f t="shared" si="13"/>
        <v/>
      </c>
      <c r="AU29" s="1390">
        <f t="shared" si="2"/>
        <v>0</v>
      </c>
      <c r="AV29" s="1633" t="str">
        <f t="shared" si="4"/>
        <v>X</v>
      </c>
      <c r="AX29" s="350">
        <v>16</v>
      </c>
      <c r="AY29" s="1390">
        <f t="shared" si="5"/>
        <v>0</v>
      </c>
      <c r="AZ29" s="1390" t="s">
        <v>3847</v>
      </c>
      <c r="BA29" s="1390" t="s">
        <v>3847</v>
      </c>
      <c r="BB29" s="1390" t="s">
        <v>3848</v>
      </c>
      <c r="BC29" s="1390" t="s">
        <v>3844</v>
      </c>
      <c r="BD29" s="1390" t="s">
        <v>3881</v>
      </c>
      <c r="BE29" s="1390" t="s">
        <v>3844</v>
      </c>
      <c r="BF29" s="1390" t="s">
        <v>3859</v>
      </c>
      <c r="BG29" s="1390" t="s">
        <v>3859</v>
      </c>
      <c r="BH29" s="1390" t="s">
        <v>3859</v>
      </c>
      <c r="BI29" s="1390" t="s">
        <v>3859</v>
      </c>
      <c r="BJ29" s="1390" t="s">
        <v>3859</v>
      </c>
      <c r="BK29" s="1390" t="s">
        <v>3859</v>
      </c>
      <c r="BL29" s="1390" t="s">
        <v>3859</v>
      </c>
      <c r="BM29" s="1390" t="s">
        <v>3859</v>
      </c>
      <c r="BN29" s="1390" t="s">
        <v>3859</v>
      </c>
      <c r="BO29" s="1390" t="s">
        <v>3859</v>
      </c>
    </row>
    <row r="30" spans="2:67" ht="23.25" customHeight="1">
      <c r="B30" s="350">
        <v>17</v>
      </c>
      <c r="C30" s="1633" t="str">
        <f t="shared" si="1"/>
        <v/>
      </c>
      <c r="D30" s="1633" t="str">
        <f>IF(C30="","",IFERROR(INDEX(Dictionary!$X$1263:$X$1491,MATCH(C30,Dictionary!$I$1263:$I$1491,0)),""))</f>
        <v/>
      </c>
      <c r="F30" s="353"/>
      <c r="H30" s="2376"/>
      <c r="I30" s="2377"/>
      <c r="J30" s="2377"/>
      <c r="K30" s="2377"/>
      <c r="L30" s="2378"/>
      <c r="M30" s="348"/>
      <c r="N30" s="321"/>
      <c r="O30" s="350">
        <v>17</v>
      </c>
      <c r="P30" s="1665"/>
      <c r="Q30" s="321"/>
      <c r="R30" s="321"/>
      <c r="S30" s="1628"/>
      <c r="T30" s="1628" t="s">
        <v>463</v>
      </c>
      <c r="U30" s="350" t="str">
        <f>".3"</f>
        <v>.3</v>
      </c>
      <c r="V30" s="1625" t="s">
        <v>1610</v>
      </c>
      <c r="W30" s="1390" t="str">
        <f>Dictionary!B1283</f>
        <v>Alle für das Projekt relevanten Verhaltensregeln und Berufsvorschriften identifizieren und einhalten</v>
      </c>
      <c r="X30" s="1636" t="str">
        <f t="shared" si="11"/>
        <v/>
      </c>
      <c r="Y30" s="1336" t="str">
        <f t="shared" si="14"/>
        <v/>
      </c>
      <c r="Z30" s="354"/>
      <c r="AA30" s="1336"/>
      <c r="AB30" s="354"/>
      <c r="AC30" s="1336"/>
      <c r="AD30" s="354"/>
      <c r="AE30" s="1336"/>
      <c r="AF30" s="354"/>
      <c r="AG30" s="349" t="str">
        <f t="shared" si="12"/>
        <v/>
      </c>
      <c r="AH30" s="354"/>
      <c r="AI30" s="1337" t="str">
        <f>IF(Y30="","",IF(GC_Flag="","",IF(OR(Y30&lt;=Dictionary!$I$52,Y30=""),0,1)))</f>
        <v/>
      </c>
      <c r="AK30" s="356" t="str">
        <f t="shared" si="7"/>
        <v/>
      </c>
      <c r="AL30" s="349" t="str">
        <f t="shared" si="0"/>
        <v/>
      </c>
      <c r="AM30" s="348"/>
      <c r="AN30" s="348"/>
      <c r="AO30" s="349"/>
      <c r="AP30" s="349"/>
      <c r="AQ30" s="357" t="str">
        <f t="shared" si="13"/>
        <v/>
      </c>
      <c r="AU30" s="1390">
        <f t="shared" si="2"/>
        <v>0</v>
      </c>
      <c r="AV30" s="1633" t="str">
        <f t="shared" si="4"/>
        <v>X</v>
      </c>
      <c r="AX30" s="350">
        <v>17</v>
      </c>
      <c r="AY30" s="1390">
        <f t="shared" si="5"/>
        <v>0</v>
      </c>
      <c r="AZ30" s="1390" t="s">
        <v>3848</v>
      </c>
      <c r="BA30" s="1390" t="s">
        <v>3848</v>
      </c>
      <c r="BB30" s="1390" t="s">
        <v>3849</v>
      </c>
      <c r="BC30" s="1390" t="s">
        <v>3845</v>
      </c>
      <c r="BD30" s="1390" t="s">
        <v>3844</v>
      </c>
      <c r="BE30" s="1390" t="s">
        <v>3845</v>
      </c>
      <c r="BF30" s="1390" t="s">
        <v>3851</v>
      </c>
      <c r="BG30" s="1390" t="s">
        <v>3851</v>
      </c>
      <c r="BH30" s="1390" t="s">
        <v>3851</v>
      </c>
      <c r="BI30" s="1390" t="s">
        <v>3852</v>
      </c>
      <c r="BJ30" s="1390" t="s">
        <v>3871</v>
      </c>
      <c r="BK30" s="1390" t="s">
        <v>3871</v>
      </c>
      <c r="BL30" s="1390" t="s">
        <v>3871</v>
      </c>
      <c r="BM30" s="1390" t="s">
        <v>3851</v>
      </c>
      <c r="BN30" s="1390" t="s">
        <v>3851</v>
      </c>
      <c r="BO30" s="1390" t="s">
        <v>3851</v>
      </c>
    </row>
    <row r="31" spans="2:67" ht="23.25" customHeight="1">
      <c r="B31" s="350">
        <v>18</v>
      </c>
      <c r="C31" s="1633" t="str">
        <f t="shared" si="1"/>
        <v/>
      </c>
      <c r="D31" s="1633" t="str">
        <f>IF(C31="","",IFERROR(INDEX(Dictionary!$X$1263:$X$1491,MATCH(C31,Dictionary!$I$1263:$I$1491,0)),""))</f>
        <v/>
      </c>
      <c r="F31" s="353"/>
      <c r="H31" s="2376"/>
      <c r="I31" s="2377"/>
      <c r="J31" s="2377"/>
      <c r="K31" s="2377"/>
      <c r="L31" s="2378"/>
      <c r="M31" s="348"/>
      <c r="N31" s="321"/>
      <c r="O31" s="350">
        <v>18</v>
      </c>
      <c r="P31" s="1665"/>
      <c r="Q31" s="321"/>
      <c r="R31" s="321"/>
      <c r="S31" s="1628"/>
      <c r="T31" s="1628" t="s">
        <v>463</v>
      </c>
      <c r="U31" s="350" t="str">
        <f>".4"</f>
        <v>.4</v>
      </c>
      <c r="V31" s="1625" t="s">
        <v>1611</v>
      </c>
      <c r="W31" s="1390" t="str">
        <f>Dictionary!B1284</f>
        <v>Für das Projekt relevante Prinzipien und Ziele der Nachhaltigkeit identifizieren und einhalten</v>
      </c>
      <c r="X31" s="1636" t="str">
        <f t="shared" si="11"/>
        <v/>
      </c>
      <c r="Y31" s="1336" t="str">
        <f t="shared" si="14"/>
        <v/>
      </c>
      <c r="Z31" s="354"/>
      <c r="AA31" s="1336"/>
      <c r="AB31" s="354"/>
      <c r="AC31" s="1336"/>
      <c r="AD31" s="354"/>
      <c r="AE31" s="1336"/>
      <c r="AF31" s="354"/>
      <c r="AG31" s="349" t="str">
        <f t="shared" si="12"/>
        <v/>
      </c>
      <c r="AH31" s="354"/>
      <c r="AI31" s="1337" t="str">
        <f>IF(Y31="","",IF(GC_Flag="","",IF(OR(Y31&lt;=Dictionary!$I$52,Y31=""),0,1)))</f>
        <v/>
      </c>
      <c r="AK31" s="356" t="str">
        <f t="shared" si="7"/>
        <v/>
      </c>
      <c r="AL31" s="349" t="str">
        <f t="shared" si="0"/>
        <v/>
      </c>
      <c r="AM31" s="348"/>
      <c r="AN31" s="348"/>
      <c r="AO31" s="349"/>
      <c r="AP31" s="349"/>
      <c r="AQ31" s="357" t="str">
        <f t="shared" si="13"/>
        <v/>
      </c>
      <c r="AU31" s="1390">
        <f t="shared" si="2"/>
        <v>0</v>
      </c>
      <c r="AV31" s="1633" t="str">
        <f t="shared" si="4"/>
        <v>X</v>
      </c>
      <c r="AX31" s="350">
        <v>18</v>
      </c>
      <c r="AY31" s="1390">
        <f t="shared" si="5"/>
        <v>0</v>
      </c>
      <c r="AZ31" s="1390" t="s">
        <v>3849</v>
      </c>
      <c r="BA31" s="1390" t="s">
        <v>3849</v>
      </c>
      <c r="BB31" s="1390" t="s">
        <v>3850</v>
      </c>
      <c r="BC31" s="1390" t="s">
        <v>3846</v>
      </c>
      <c r="BD31" s="1390" t="s">
        <v>3845</v>
      </c>
      <c r="BE31" s="1390" t="s">
        <v>3846</v>
      </c>
      <c r="BF31" s="1390" t="s">
        <v>3853</v>
      </c>
      <c r="BG31" s="1390" t="s">
        <v>3853</v>
      </c>
      <c r="BH31" s="1390" t="s">
        <v>3853</v>
      </c>
      <c r="BI31" s="1390" t="s">
        <v>3853</v>
      </c>
      <c r="BJ31" s="1390" t="s">
        <v>3872</v>
      </c>
      <c r="BK31" s="1390" t="s">
        <v>3872</v>
      </c>
      <c r="BL31" s="1390" t="s">
        <v>3872</v>
      </c>
      <c r="BM31" s="1390" t="s">
        <v>3860</v>
      </c>
      <c r="BN31" s="1390" t="s">
        <v>3860</v>
      </c>
      <c r="BO31" s="1390" t="s">
        <v>3860</v>
      </c>
    </row>
    <row r="32" spans="2:67" ht="23.25" customHeight="1">
      <c r="B32" s="350">
        <v>19</v>
      </c>
      <c r="C32" s="1633" t="str">
        <f t="shared" si="1"/>
        <v/>
      </c>
      <c r="D32" s="1633" t="str">
        <f>IF(C32="","",IFERROR(INDEX(Dictionary!$X$1263:$X$1491,MATCH(C32,Dictionary!$I$1263:$I$1491,0)),""))</f>
        <v/>
      </c>
      <c r="F32" s="353"/>
      <c r="H32" s="2376"/>
      <c r="I32" s="2377"/>
      <c r="J32" s="2377"/>
      <c r="K32" s="2377"/>
      <c r="L32" s="2378"/>
      <c r="M32" s="348"/>
      <c r="N32" s="321"/>
      <c r="O32" s="350">
        <v>19</v>
      </c>
      <c r="P32" s="1665"/>
      <c r="Q32" s="321"/>
      <c r="R32" s="321"/>
      <c r="S32" s="1628"/>
      <c r="T32" s="1628" t="s">
        <v>463</v>
      </c>
      <c r="U32" s="350" t="str">
        <f>".5"</f>
        <v>.5</v>
      </c>
      <c r="V32" s="1625" t="s">
        <v>1612</v>
      </c>
      <c r="W32" s="1390" t="str">
        <f>Dictionary!B1285</f>
        <v>Für das Projekt relevante fachliche Standards und Tools beurteilen, nutzen und weiterentwickeln</v>
      </c>
      <c r="X32" s="1636" t="str">
        <f t="shared" si="11"/>
        <v/>
      </c>
      <c r="Y32" s="1336" t="str">
        <f t="shared" si="14"/>
        <v/>
      </c>
      <c r="Z32" s="354"/>
      <c r="AA32" s="1336"/>
      <c r="AB32" s="354"/>
      <c r="AC32" s="1336"/>
      <c r="AD32" s="354"/>
      <c r="AE32" s="1336"/>
      <c r="AF32" s="354"/>
      <c r="AG32" s="349" t="str">
        <f t="shared" si="12"/>
        <v/>
      </c>
      <c r="AH32" s="354"/>
      <c r="AI32" s="1337" t="str">
        <f>IF(Y32="","",IF(GC_Flag="","",IF(OR(Y32&lt;=Dictionary!$I$52,Y32=""),0,1)))</f>
        <v/>
      </c>
      <c r="AK32" s="356" t="str">
        <f t="shared" si="7"/>
        <v/>
      </c>
      <c r="AL32" s="349" t="str">
        <f t="shared" si="0"/>
        <v/>
      </c>
      <c r="AM32" s="348"/>
      <c r="AN32" s="348"/>
      <c r="AO32" s="349"/>
      <c r="AP32" s="349"/>
      <c r="AQ32" s="357" t="str">
        <f t="shared" si="13"/>
        <v/>
      </c>
      <c r="AU32" s="1390">
        <f t="shared" si="2"/>
        <v>0</v>
      </c>
      <c r="AV32" s="1633" t="str">
        <f t="shared" si="4"/>
        <v>X</v>
      </c>
      <c r="AX32" s="350">
        <v>19</v>
      </c>
      <c r="AY32" s="1390">
        <f t="shared" si="5"/>
        <v>0</v>
      </c>
      <c r="AZ32" s="1390" t="s">
        <v>3850</v>
      </c>
      <c r="BA32" s="1390" t="s">
        <v>3850</v>
      </c>
      <c r="BB32" s="1390" t="s">
        <v>3851</v>
      </c>
      <c r="BC32" s="1390" t="s">
        <v>3847</v>
      </c>
      <c r="BD32" s="1390" t="s">
        <v>3846</v>
      </c>
      <c r="BE32" s="1390" t="s">
        <v>3847</v>
      </c>
      <c r="BF32" s="1390" t="s">
        <v>3854</v>
      </c>
      <c r="BG32" s="1390" t="s">
        <v>3854</v>
      </c>
      <c r="BH32" s="1390" t="s">
        <v>3854</v>
      </c>
      <c r="BI32" s="1390" t="s">
        <v>3854</v>
      </c>
      <c r="BJ32" s="1390" t="s">
        <v>3873</v>
      </c>
      <c r="BK32" s="1390" t="s">
        <v>3873</v>
      </c>
      <c r="BL32" s="1390" t="s">
        <v>3873</v>
      </c>
      <c r="BM32" s="1390" t="s">
        <v>3856</v>
      </c>
      <c r="BN32" s="1390" t="s">
        <v>3856</v>
      </c>
      <c r="BO32" s="1390" t="s">
        <v>3856</v>
      </c>
    </row>
    <row r="33" spans="2:67" ht="23.25" customHeight="1">
      <c r="B33" s="350">
        <v>20</v>
      </c>
      <c r="C33" s="1633" t="str">
        <f t="shared" si="1"/>
        <v/>
      </c>
      <c r="D33" s="1633" t="str">
        <f>IF(C33="","",IFERROR(INDEX(Dictionary!$X$1263:$X$1491,MATCH(C33,Dictionary!$I$1263:$I$1491,0)),""))</f>
        <v/>
      </c>
      <c r="F33" s="353"/>
      <c r="H33" s="2376"/>
      <c r="I33" s="2377"/>
      <c r="J33" s="2377"/>
      <c r="K33" s="2377"/>
      <c r="L33" s="2378"/>
      <c r="M33" s="348"/>
      <c r="N33" s="321"/>
      <c r="O33" s="350">
        <v>20</v>
      </c>
      <c r="P33" s="1665"/>
      <c r="Q33" s="321"/>
      <c r="R33" s="321"/>
      <c r="S33" s="1628"/>
      <c r="T33" s="1628" t="s">
        <v>463</v>
      </c>
      <c r="U33" s="350" t="str">
        <f>".6"</f>
        <v>.6</v>
      </c>
      <c r="V33" s="1625" t="s">
        <v>1613</v>
      </c>
      <c r="W33" s="1390" t="str">
        <f>Dictionary!B1286</f>
        <v>Die Projektmanagementkompetenz der Organisation beurteilen, vergleichen und verbessern</v>
      </c>
      <c r="X33" s="1636" t="str">
        <f t="shared" si="11"/>
        <v/>
      </c>
      <c r="Y33" s="1336" t="str">
        <f>IF(OR(X33=0,X33=1,X33=2,X33=3,X33=4,X33=5),X33,"")</f>
        <v/>
      </c>
      <c r="Z33" s="354"/>
      <c r="AA33" s="1336"/>
      <c r="AB33" s="354"/>
      <c r="AC33" s="1336"/>
      <c r="AD33" s="354"/>
      <c r="AE33" s="1336"/>
      <c r="AF33" s="354"/>
      <c r="AG33" s="349" t="str">
        <f t="shared" si="12"/>
        <v/>
      </c>
      <c r="AH33" s="354"/>
      <c r="AI33" s="1337" t="str">
        <f>IF(Y33="","",IF(GC_Flag="","",IF(OR(Y33&lt;=Dictionary!$I$52,Y33=""),0,1)))</f>
        <v/>
      </c>
      <c r="AK33" s="356" t="str">
        <f t="shared" si="7"/>
        <v/>
      </c>
      <c r="AL33" s="349" t="str">
        <f t="shared" si="0"/>
        <v/>
      </c>
      <c r="AM33" s="348"/>
      <c r="AN33" s="348"/>
      <c r="AO33" s="349"/>
      <c r="AP33" s="349"/>
      <c r="AQ33" s="357" t="str">
        <f t="shared" si="13"/>
        <v/>
      </c>
      <c r="AU33" s="1390">
        <f t="shared" si="2"/>
        <v>0</v>
      </c>
      <c r="AV33" s="1633" t="str">
        <f t="shared" si="4"/>
        <v>X</v>
      </c>
      <c r="AX33" s="350">
        <v>20</v>
      </c>
      <c r="AY33" s="1390">
        <f t="shared" si="5"/>
        <v>0</v>
      </c>
      <c r="AZ33" s="1390" t="s">
        <v>3851</v>
      </c>
      <c r="BA33" s="1390" t="s">
        <v>3851</v>
      </c>
      <c r="BB33" s="1390" t="s">
        <v>3852</v>
      </c>
      <c r="BC33" s="1390" t="s">
        <v>3848</v>
      </c>
      <c r="BD33" s="1390" t="s">
        <v>3847</v>
      </c>
      <c r="BE33" s="1390" t="s">
        <v>3848</v>
      </c>
      <c r="BF33" s="1390" t="s">
        <v>3855</v>
      </c>
      <c r="BG33" s="1390" t="s">
        <v>3855</v>
      </c>
      <c r="BH33" s="1390" t="s">
        <v>3855</v>
      </c>
      <c r="BI33" s="1390" t="s">
        <v>3855</v>
      </c>
      <c r="BJ33" s="1390" t="s">
        <v>3874</v>
      </c>
      <c r="BK33" s="1390" t="s">
        <v>3874</v>
      </c>
      <c r="BL33" s="1390" t="s">
        <v>3874</v>
      </c>
      <c r="BM33" s="1390" t="s">
        <v>3857</v>
      </c>
      <c r="BN33" s="1390" t="s">
        <v>3857</v>
      </c>
      <c r="BO33" s="1390" t="s">
        <v>3857</v>
      </c>
    </row>
    <row r="34" spans="2:67" ht="23.25" customHeight="1">
      <c r="B34" s="350">
        <v>21</v>
      </c>
      <c r="C34" s="1633" t="str">
        <f t="shared" si="1"/>
        <v/>
      </c>
      <c r="D34" s="1633" t="str">
        <f>IF(C34="","",IFERROR(INDEX(Dictionary!$X$1263:$X$1491,MATCH(C34,Dictionary!$I$1263:$I$1491,0)),""))</f>
        <v/>
      </c>
      <c r="F34" s="353"/>
      <c r="H34" s="2376"/>
      <c r="I34" s="2377"/>
      <c r="J34" s="2377"/>
      <c r="K34" s="2377"/>
      <c r="L34" s="2378"/>
      <c r="M34" s="348"/>
      <c r="N34" s="321"/>
      <c r="O34" s="350">
        <v>21</v>
      </c>
      <c r="P34" s="1665"/>
      <c r="Q34" s="321"/>
      <c r="R34" s="321"/>
      <c r="S34" s="1628"/>
      <c r="T34" s="1628" t="s">
        <v>456</v>
      </c>
      <c r="U34" s="341" t="s">
        <v>456</v>
      </c>
      <c r="V34" s="1624"/>
      <c r="W34" s="1391" t="str">
        <f>Dictionary!B1232</f>
        <v>Macht und Interessen</v>
      </c>
      <c r="X34" s="1635"/>
      <c r="Y34" s="359"/>
      <c r="Z34" s="315"/>
      <c r="AA34" s="359"/>
      <c r="AB34" s="360"/>
      <c r="AC34" s="359"/>
      <c r="AD34" s="360"/>
      <c r="AE34" s="359"/>
      <c r="AF34" s="315"/>
      <c r="AG34" s="359"/>
      <c r="AH34" s="360"/>
      <c r="AI34" s="359"/>
      <c r="AK34" s="356"/>
      <c r="AL34" s="361" t="str">
        <f t="shared" si="0"/>
        <v/>
      </c>
      <c r="AM34" s="348"/>
      <c r="AN34" s="348"/>
      <c r="AO34" s="349">
        <v>3</v>
      </c>
      <c r="AP34" s="349">
        <f>ROUNDUP(AO34/2,0)</f>
        <v>2</v>
      </c>
      <c r="AQ34" s="346" t="str">
        <f>IF(COUNTBLANK(AQ35:AQ37)=$AO34,"",IF((COUNTIF(AQ35:AQ37,"&gt;=1")&gt;=AP34),"Pass","Fail"))</f>
        <v/>
      </c>
      <c r="AU34" s="1390">
        <f t="shared" si="2"/>
        <v>0</v>
      </c>
      <c r="AV34" s="1633" t="str">
        <f t="shared" si="4"/>
        <v>X</v>
      </c>
      <c r="AX34" s="350">
        <v>21</v>
      </c>
      <c r="AY34" s="1390">
        <f t="shared" si="5"/>
        <v>0</v>
      </c>
      <c r="AZ34" s="1390" t="s">
        <v>3852</v>
      </c>
      <c r="BA34" s="1390" t="s">
        <v>3852</v>
      </c>
      <c r="BB34" s="1390" t="s">
        <v>3853</v>
      </c>
      <c r="BC34" s="1390" t="s">
        <v>3849</v>
      </c>
      <c r="BD34" s="1390" t="s">
        <v>3848</v>
      </c>
      <c r="BE34" s="1390" t="s">
        <v>3849</v>
      </c>
      <c r="BF34" s="1390" t="s">
        <v>3860</v>
      </c>
      <c r="BG34" s="1390" t="s">
        <v>3860</v>
      </c>
      <c r="BH34" s="1390" t="s">
        <v>3860</v>
      </c>
      <c r="BI34" s="1390" t="s">
        <v>3860</v>
      </c>
      <c r="BJ34" s="1390" t="s">
        <v>3875</v>
      </c>
      <c r="BK34" s="1390" t="s">
        <v>3875</v>
      </c>
      <c r="BL34" s="1390" t="s">
        <v>3875</v>
      </c>
      <c r="BM34" s="1390" t="s">
        <v>3858</v>
      </c>
      <c r="BN34" s="1390" t="s">
        <v>3858</v>
      </c>
      <c r="BO34" s="1390" t="s">
        <v>3858</v>
      </c>
    </row>
    <row r="35" spans="2:67" ht="23.25" customHeight="1">
      <c r="B35" s="350">
        <v>22</v>
      </c>
      <c r="C35" s="1633" t="str">
        <f t="shared" si="1"/>
        <v/>
      </c>
      <c r="D35" s="1633" t="str">
        <f>IF(C35="","",IFERROR(INDEX(Dictionary!$X$1263:$X$1491,MATCH(C35,Dictionary!$I$1263:$I$1491,0)),""))</f>
        <v/>
      </c>
      <c r="F35" s="353"/>
      <c r="H35" s="2376"/>
      <c r="I35" s="2377"/>
      <c r="J35" s="2377"/>
      <c r="K35" s="2377"/>
      <c r="L35" s="2378"/>
      <c r="M35" s="348"/>
      <c r="N35" s="321"/>
      <c r="O35" s="350">
        <v>22</v>
      </c>
      <c r="P35" s="1665"/>
      <c r="Q35" s="321"/>
      <c r="R35" s="321"/>
      <c r="S35" s="1628"/>
      <c r="T35" s="1628" t="s">
        <v>456</v>
      </c>
      <c r="U35" s="350" t="str">
        <f>".1"</f>
        <v>.1</v>
      </c>
      <c r="V35" s="1625" t="s">
        <v>1614</v>
      </c>
      <c r="W35" s="1390" t="str">
        <f>Dictionary!B1290</f>
        <v>Persönliche Ambitionen und Interessen Dritter und deren potenzielle Auswirkungen auf das Projekt beurteilen sowie diese Kenntnisse zum Nutzen des Projekts einsetzen</v>
      </c>
      <c r="X35" s="1636" t="str">
        <f>IFERROR(INDEX($AV$14:$AV$51,MATCH($V35,$C$14:$C$51,0)),"")</f>
        <v/>
      </c>
      <c r="Y35" s="1336" t="str">
        <f>IF(OR(X35=0,X35=1,X35=2,X35=3,X35=4,X35=5),X35,"")</f>
        <v/>
      </c>
      <c r="Z35" s="354"/>
      <c r="AA35" s="1336"/>
      <c r="AB35" s="354"/>
      <c r="AC35" s="1336"/>
      <c r="AD35" s="354"/>
      <c r="AE35" s="1336"/>
      <c r="AF35" s="354"/>
      <c r="AG35" s="349" t="str">
        <f>IF(AND(Y35="",AA35="",AC35="",AE35=""),"",MAX(Y35,AA35,AC35,AE35))</f>
        <v/>
      </c>
      <c r="AH35" s="354"/>
      <c r="AI35" s="1337" t="str">
        <f>IF(Y35="","",IF(GC_Flag="","",IF(OR(Y35&lt;=Dictionary!$I$52,Y35=""),0,1)))</f>
        <v/>
      </c>
      <c r="AK35" s="356" t="str">
        <f t="shared" si="7"/>
        <v/>
      </c>
      <c r="AL35" s="349" t="str">
        <f t="shared" si="0"/>
        <v/>
      </c>
      <c r="AM35" s="348"/>
      <c r="AN35" s="348"/>
      <c r="AO35" s="349"/>
      <c r="AP35" s="349"/>
      <c r="AQ35" s="357" t="str">
        <f>IF(AI35="",AG35,AI35)</f>
        <v/>
      </c>
      <c r="AU35" s="1390">
        <f t="shared" si="2"/>
        <v>0</v>
      </c>
      <c r="AV35" s="1633" t="str">
        <f t="shared" si="4"/>
        <v>X</v>
      </c>
      <c r="AX35" s="350">
        <v>22</v>
      </c>
      <c r="AY35" s="1390">
        <f t="shared" si="5"/>
        <v>0</v>
      </c>
      <c r="AZ35" s="1390" t="s">
        <v>3853</v>
      </c>
      <c r="BA35" s="1390" t="s">
        <v>3853</v>
      </c>
      <c r="BB35" s="1390" t="s">
        <v>3854</v>
      </c>
      <c r="BC35" s="1390" t="s">
        <v>3850</v>
      </c>
      <c r="BD35" s="1390" t="s">
        <v>3849</v>
      </c>
      <c r="BE35" s="1390" t="s">
        <v>3850</v>
      </c>
      <c r="BF35" s="1390" t="s">
        <v>3861</v>
      </c>
      <c r="BG35" s="1390" t="s">
        <v>3861</v>
      </c>
      <c r="BH35" s="1390" t="s">
        <v>3861</v>
      </c>
      <c r="BI35" s="1390" t="s">
        <v>3861</v>
      </c>
      <c r="BJ35" s="1390" t="s">
        <v>3876</v>
      </c>
      <c r="BK35" s="1390" t="s">
        <v>3876</v>
      </c>
      <c r="BL35" s="1390" t="s">
        <v>3876</v>
      </c>
      <c r="BM35" s="1390" t="s">
        <v>3866</v>
      </c>
      <c r="BN35" s="1390" t="s">
        <v>3866</v>
      </c>
      <c r="BO35" s="1390" t="s">
        <v>3866</v>
      </c>
    </row>
    <row r="36" spans="2:67" ht="23.25" customHeight="1">
      <c r="B36" s="350">
        <v>23</v>
      </c>
      <c r="C36" s="1633" t="str">
        <f t="shared" si="1"/>
        <v/>
      </c>
      <c r="D36" s="1633" t="str">
        <f>IF(C36="","",IFERROR(INDEX(Dictionary!$X$1263:$X$1491,MATCH(C36,Dictionary!$I$1263:$I$1491,0)),""))</f>
        <v/>
      </c>
      <c r="F36" s="353"/>
      <c r="H36" s="2376"/>
      <c r="I36" s="2377"/>
      <c r="J36" s="2377"/>
      <c r="K36" s="2377"/>
      <c r="L36" s="2378"/>
      <c r="M36" s="348"/>
      <c r="N36" s="321"/>
      <c r="O36" s="350">
        <v>23</v>
      </c>
      <c r="P36" s="1665"/>
      <c r="Q36" s="321"/>
      <c r="R36" s="321"/>
      <c r="S36" s="1628"/>
      <c r="T36" s="1628" t="s">
        <v>456</v>
      </c>
      <c r="U36" s="350" t="str">
        <f>".2"</f>
        <v>.2</v>
      </c>
      <c r="V36" s="1625" t="s">
        <v>1615</v>
      </c>
      <c r="W36" s="1390" t="str">
        <f>Dictionary!B1291</f>
        <v>Informellen Einfluss von Einzelpersonen und Personengruppen und deren potenzielle Auswirkungen auf das Projekt beurteilen sowie diese Kenntnisse zum Nutzen des Projekts verwenden</v>
      </c>
      <c r="X36" s="1636" t="str">
        <f>IFERROR(INDEX($AV$14:$AV$51,MATCH($V36,$C$14:$C$51,0)),"")</f>
        <v/>
      </c>
      <c r="Y36" s="1336" t="str">
        <f t="shared" ref="Y36:Y37" si="15">IF(OR(X36=0,X36=1,X36=2,X36=3,X36=4,X36=5),X36,"")</f>
        <v/>
      </c>
      <c r="Z36" s="354"/>
      <c r="AA36" s="1336"/>
      <c r="AB36" s="354"/>
      <c r="AC36" s="1336"/>
      <c r="AD36" s="354"/>
      <c r="AE36" s="1336"/>
      <c r="AF36" s="354"/>
      <c r="AG36" s="349" t="str">
        <f>IF(AND(Y36="",AA36="",AC36="",AE36=""),"",MAX(Y36,AA36,AC36,AE36))</f>
        <v/>
      </c>
      <c r="AH36" s="354"/>
      <c r="AI36" s="1337" t="str">
        <f>IF(Y36="","",IF(GC_Flag="","",IF(OR(Y36&lt;=Dictionary!$I$52,Y36=""),0,1)))</f>
        <v/>
      </c>
      <c r="AK36" s="356" t="str">
        <f t="shared" si="7"/>
        <v/>
      </c>
      <c r="AL36" s="349" t="str">
        <f t="shared" si="0"/>
        <v/>
      </c>
      <c r="AM36" s="348"/>
      <c r="AN36" s="348"/>
      <c r="AO36" s="349"/>
      <c r="AP36" s="349"/>
      <c r="AQ36" s="357" t="str">
        <f>IF(AI36="",AG36,AI36)</f>
        <v/>
      </c>
      <c r="AU36" s="1390">
        <f t="shared" si="2"/>
        <v>0</v>
      </c>
      <c r="AV36" s="1633" t="str">
        <f t="shared" si="4"/>
        <v>X</v>
      </c>
      <c r="AX36" s="350">
        <v>23</v>
      </c>
      <c r="AY36" s="1390">
        <f t="shared" si="5"/>
        <v>0</v>
      </c>
      <c r="AZ36" s="1390" t="s">
        <v>3854</v>
      </c>
      <c r="BA36" s="1390" t="s">
        <v>3854</v>
      </c>
      <c r="BB36" s="1390" t="s">
        <v>3855</v>
      </c>
      <c r="BC36" s="1390" t="s">
        <v>3859</v>
      </c>
      <c r="BD36" s="1390" t="s">
        <v>3850</v>
      </c>
      <c r="BE36" s="1390" t="s">
        <v>3859</v>
      </c>
      <c r="BF36" s="1390" t="s">
        <v>3862</v>
      </c>
      <c r="BG36" s="1390" t="s">
        <v>3862</v>
      </c>
      <c r="BH36" s="1390" t="s">
        <v>3862</v>
      </c>
      <c r="BI36" s="1390" t="s">
        <v>3862</v>
      </c>
      <c r="BJ36" s="1390" t="s">
        <v>3877</v>
      </c>
      <c r="BK36" s="1390" t="s">
        <v>3877</v>
      </c>
      <c r="BL36" s="1390" t="s">
        <v>3877</v>
      </c>
      <c r="BM36" s="1390" t="s">
        <v>3867</v>
      </c>
      <c r="BN36" s="1390" t="s">
        <v>3867</v>
      </c>
      <c r="BO36" s="1390" t="s">
        <v>3867</v>
      </c>
    </row>
    <row r="37" spans="2:67" ht="23.25" customHeight="1">
      <c r="B37" s="350">
        <v>24</v>
      </c>
      <c r="C37" s="1633" t="str">
        <f t="shared" si="1"/>
        <v/>
      </c>
      <c r="D37" s="1633" t="str">
        <f>IF(C37="","",IFERROR(INDEX(Dictionary!$X$1263:$X$1491,MATCH(C37,Dictionary!$I$1263:$I$1491,0)),""))</f>
        <v/>
      </c>
      <c r="F37" s="353"/>
      <c r="H37" s="2376"/>
      <c r="I37" s="2377"/>
      <c r="J37" s="2377"/>
      <c r="K37" s="2377"/>
      <c r="L37" s="2378"/>
      <c r="M37" s="348"/>
      <c r="N37" s="321"/>
      <c r="O37" s="350">
        <v>24</v>
      </c>
      <c r="P37" s="1665"/>
      <c r="Q37" s="321"/>
      <c r="R37" s="321"/>
      <c r="S37" s="1628"/>
      <c r="T37" s="1628" t="s">
        <v>456</v>
      </c>
      <c r="U37" s="350" t="str">
        <f>".3"</f>
        <v>.3</v>
      </c>
      <c r="V37" s="1625" t="s">
        <v>1616</v>
      </c>
      <c r="W37" s="1390" t="str">
        <f>Dictionary!B1292</f>
        <v>Persönlichkeiten und Arbeitsstile Dritter beurteilen und zum Nutzen des Projekts einsetzen</v>
      </c>
      <c r="X37" s="1636" t="str">
        <f>IFERROR(INDEX($AV$14:$AV$51,MATCH($V37,$C$14:$C$51,0)),"")</f>
        <v/>
      </c>
      <c r="Y37" s="1336" t="str">
        <f t="shared" si="15"/>
        <v/>
      </c>
      <c r="Z37" s="354"/>
      <c r="AA37" s="1336"/>
      <c r="AB37" s="354"/>
      <c r="AC37" s="1336"/>
      <c r="AD37" s="354"/>
      <c r="AE37" s="1336"/>
      <c r="AF37" s="354"/>
      <c r="AG37" s="349" t="str">
        <f>IF(AND(Y37="",AA37="",AC37="",AE37=""),"",MAX(Y37,AA37,AC37,AE37))</f>
        <v/>
      </c>
      <c r="AH37" s="354"/>
      <c r="AI37" s="1337" t="str">
        <f>IF(Y37="","",IF(GC_Flag="","",IF(OR(Y37&lt;=Dictionary!$I$52,Y37=""),0,1)))</f>
        <v/>
      </c>
      <c r="AK37" s="356" t="str">
        <f t="shared" si="7"/>
        <v/>
      </c>
      <c r="AL37" s="349" t="str">
        <f t="shared" si="0"/>
        <v/>
      </c>
      <c r="AM37" s="348"/>
      <c r="AN37" s="348"/>
      <c r="AO37" s="349"/>
      <c r="AP37" s="349"/>
      <c r="AQ37" s="357" t="str">
        <f>IF(AI37="",AG37,AI37)</f>
        <v/>
      </c>
      <c r="AU37" s="1390">
        <f t="shared" si="2"/>
        <v>0</v>
      </c>
      <c r="AV37" s="1633" t="str">
        <f t="shared" si="4"/>
        <v>X</v>
      </c>
      <c r="AX37" s="350">
        <v>24</v>
      </c>
      <c r="AY37" s="1390">
        <f t="shared" si="5"/>
        <v>0</v>
      </c>
      <c r="AZ37" s="1390" t="s">
        <v>3855</v>
      </c>
      <c r="BA37" s="1390" t="s">
        <v>3855</v>
      </c>
      <c r="BB37" s="1390" t="s">
        <v>3856</v>
      </c>
      <c r="BC37" s="1390" t="s">
        <v>3896</v>
      </c>
      <c r="BD37" s="1390" t="s">
        <v>3859</v>
      </c>
      <c r="BE37" s="1390" t="s">
        <v>3896</v>
      </c>
      <c r="BF37" s="1390" t="s">
        <v>3856</v>
      </c>
      <c r="BG37" s="1390" t="s">
        <v>3856</v>
      </c>
      <c r="BH37" s="1390" t="s">
        <v>3856</v>
      </c>
      <c r="BI37" s="1390" t="s">
        <v>3857</v>
      </c>
      <c r="BJ37" s="1390" t="s">
        <v>3866</v>
      </c>
      <c r="BK37" s="1390" t="s">
        <v>3866</v>
      </c>
      <c r="BL37" s="1390" t="s">
        <v>3866</v>
      </c>
      <c r="BM37" s="1390" t="s">
        <v>3868</v>
      </c>
      <c r="BN37" s="1390" t="s">
        <v>3868</v>
      </c>
      <c r="BO37" s="1390" t="s">
        <v>3868</v>
      </c>
    </row>
    <row r="38" spans="2:67" ht="23.25" customHeight="1">
      <c r="B38" s="350">
        <v>25</v>
      </c>
      <c r="C38" s="1633" t="str">
        <f t="shared" si="1"/>
        <v/>
      </c>
      <c r="D38" s="1633" t="str">
        <f>IF(C38="","",IFERROR(INDEX(Dictionary!$X$1263:$X$1491,MATCH(C38,Dictionary!$I$1263:$I$1491,0)),""))</f>
        <v/>
      </c>
      <c r="F38" s="353"/>
      <c r="H38" s="2376"/>
      <c r="I38" s="2377"/>
      <c r="J38" s="2377"/>
      <c r="K38" s="2377"/>
      <c r="L38" s="2378"/>
      <c r="M38" s="348"/>
      <c r="N38" s="321"/>
      <c r="O38" s="350">
        <v>25</v>
      </c>
      <c r="P38" s="1665"/>
      <c r="Q38" s="321"/>
      <c r="R38" s="321"/>
      <c r="S38" s="1628"/>
      <c r="T38" s="1628" t="s">
        <v>452</v>
      </c>
      <c r="U38" s="341" t="s">
        <v>452</v>
      </c>
      <c r="V38" s="1624"/>
      <c r="W38" s="342" t="str">
        <f>Dictionary!B1233</f>
        <v>Kultur und Werte</v>
      </c>
      <c r="X38" s="1635"/>
      <c r="Y38" s="359"/>
      <c r="Z38" s="315"/>
      <c r="AA38" s="359"/>
      <c r="AB38" s="360"/>
      <c r="AC38" s="359"/>
      <c r="AD38" s="360"/>
      <c r="AE38" s="359"/>
      <c r="AF38" s="315"/>
      <c r="AG38" s="359"/>
      <c r="AH38" s="360"/>
      <c r="AI38" s="359"/>
      <c r="AK38" s="356"/>
      <c r="AL38" s="361" t="str">
        <f t="shared" si="0"/>
        <v/>
      </c>
      <c r="AM38" s="348"/>
      <c r="AN38" s="348"/>
      <c r="AO38" s="349">
        <v>3</v>
      </c>
      <c r="AP38" s="349">
        <f>ROUNDUP(AO38/2,0)</f>
        <v>2</v>
      </c>
      <c r="AQ38" s="346" t="str">
        <f>IF(COUNTBLANK(AQ39:AQ41)=$AO38,"",IF((COUNTIF(AQ39:AQ41,"&gt;=1")&gt;=AP38),"Pass","Fail"))</f>
        <v/>
      </c>
      <c r="AU38" s="1390">
        <f t="shared" si="2"/>
        <v>0</v>
      </c>
      <c r="AV38" s="1633" t="str">
        <f t="shared" si="4"/>
        <v>X</v>
      </c>
      <c r="AX38" s="350">
        <v>25</v>
      </c>
      <c r="AY38" s="1390">
        <f t="shared" si="5"/>
        <v>0</v>
      </c>
      <c r="AZ38" s="1390" t="s">
        <v>3857</v>
      </c>
      <c r="BA38" s="1390" t="s">
        <v>3857</v>
      </c>
      <c r="BB38" s="1390" t="s">
        <v>3857</v>
      </c>
      <c r="BC38" s="1390" t="s">
        <v>3897</v>
      </c>
      <c r="BD38" s="1390" t="s">
        <v>3851</v>
      </c>
      <c r="BE38" s="1390" t="s">
        <v>3897</v>
      </c>
      <c r="BF38" s="1390" t="s">
        <v>3858</v>
      </c>
      <c r="BG38" s="1390" t="s">
        <v>3858</v>
      </c>
      <c r="BH38" s="1390" t="s">
        <v>3858</v>
      </c>
      <c r="BI38" s="1390" t="s">
        <v>3858</v>
      </c>
      <c r="BJ38" s="1390" t="s">
        <v>3867</v>
      </c>
      <c r="BK38" s="1390" t="s">
        <v>3867</v>
      </c>
      <c r="BL38" s="1390" t="s">
        <v>3867</v>
      </c>
      <c r="BM38" s="1390" t="s">
        <v>3869</v>
      </c>
      <c r="BN38" s="1390" t="s">
        <v>3869</v>
      </c>
      <c r="BO38" s="1390" t="s">
        <v>3869</v>
      </c>
    </row>
    <row r="39" spans="2:67" ht="23.25" customHeight="1">
      <c r="B39" s="350">
        <v>26</v>
      </c>
      <c r="C39" s="1633" t="str">
        <f t="shared" si="1"/>
        <v/>
      </c>
      <c r="D39" s="1633" t="str">
        <f>IF(C39="","",IFERROR(INDEX(Dictionary!$X$1263:$X$1491,MATCH(C39,Dictionary!$I$1263:$I$1491,0)),""))</f>
        <v/>
      </c>
      <c r="F39" s="353"/>
      <c r="H39" s="2376"/>
      <c r="I39" s="2377"/>
      <c r="J39" s="2377"/>
      <c r="K39" s="2377"/>
      <c r="L39" s="2378"/>
      <c r="M39" s="348"/>
      <c r="N39" s="321"/>
      <c r="O39" s="350">
        <v>26</v>
      </c>
      <c r="P39" s="1665"/>
      <c r="Q39" s="321"/>
      <c r="R39" s="321"/>
      <c r="S39" s="1628"/>
      <c r="T39" s="1628" t="s">
        <v>452</v>
      </c>
      <c r="U39" s="350" t="str">
        <f>".1"</f>
        <v>.1</v>
      </c>
      <c r="V39" s="1625" t="s">
        <v>1617</v>
      </c>
      <c r="W39" s="1390" t="str">
        <f>Dictionary!B1296</f>
        <v>Kultur und Werte der Gesellschaft und deren Auswirkungen auf das Projekt beurteilen</v>
      </c>
      <c r="X39" s="1636" t="str">
        <f>IFERROR(INDEX($AV$14:$AV$51,MATCH($V39,$C$14:$C$51,0)),"")</f>
        <v/>
      </c>
      <c r="Y39" s="1336" t="str">
        <f>IF(OR(X39=0,X39=1,X39=2,X39=3,X39=4,X39=5),X39,"")</f>
        <v/>
      </c>
      <c r="Z39" s="354"/>
      <c r="AA39" s="1336"/>
      <c r="AB39" s="354"/>
      <c r="AC39" s="1336"/>
      <c r="AD39" s="354"/>
      <c r="AE39" s="1336"/>
      <c r="AF39" s="354"/>
      <c r="AG39" s="349" t="str">
        <f>IF(AND(Y39="",AA39="",AC39="",AE39=""),"",MAX(Y39,AA39,AC39,AE39))</f>
        <v/>
      </c>
      <c r="AH39" s="354"/>
      <c r="AI39" s="1337" t="str">
        <f>IF(Y39="","",IF(GC_Flag="","",IF(OR(Y39&lt;=Dictionary!$I$52,Y39=""),0,1)))</f>
        <v/>
      </c>
      <c r="AK39" s="356" t="str">
        <f t="shared" si="7"/>
        <v/>
      </c>
      <c r="AL39" s="349" t="str">
        <f t="shared" si="0"/>
        <v/>
      </c>
      <c r="AM39" s="348"/>
      <c r="AN39" s="348"/>
      <c r="AO39" s="349"/>
      <c r="AP39" s="349"/>
      <c r="AQ39" s="357" t="str">
        <f>IF(AI39="",AG39,AI39)</f>
        <v/>
      </c>
      <c r="AU39" s="1390">
        <f t="shared" si="2"/>
        <v>0</v>
      </c>
      <c r="AV39" s="1633" t="str">
        <f t="shared" si="4"/>
        <v>X</v>
      </c>
      <c r="AX39" s="350">
        <v>26</v>
      </c>
      <c r="AY39" s="1390">
        <f t="shared" si="5"/>
        <v>0</v>
      </c>
      <c r="AZ39" s="1390" t="s">
        <v>3858</v>
      </c>
      <c r="BA39" s="1390" t="s">
        <v>3858</v>
      </c>
      <c r="BB39" s="1390" t="s">
        <v>3858</v>
      </c>
      <c r="BC39" s="1390" t="s">
        <v>3898</v>
      </c>
      <c r="BD39" s="1390" t="s">
        <v>3852</v>
      </c>
      <c r="BE39" s="1390" t="s">
        <v>3898</v>
      </c>
      <c r="BF39" s="1390" t="s">
        <v>3863</v>
      </c>
      <c r="BG39" s="1390" t="s">
        <v>3863</v>
      </c>
      <c r="BH39" s="1390" t="s">
        <v>3863</v>
      </c>
      <c r="BI39" s="1390" t="s">
        <v>3863</v>
      </c>
      <c r="BJ39" s="1390" t="s">
        <v>3868</v>
      </c>
      <c r="BK39" s="1390" t="s">
        <v>3868</v>
      </c>
      <c r="BL39" s="1390" t="s">
        <v>3868</v>
      </c>
      <c r="BM39" s="1390" t="s">
        <v>3870</v>
      </c>
      <c r="BN39" s="1390" t="s">
        <v>3870</v>
      </c>
      <c r="BO39" s="1390" t="s">
        <v>3870</v>
      </c>
    </row>
    <row r="40" spans="2:67" ht="23.25" customHeight="1">
      <c r="B40" s="350">
        <v>27</v>
      </c>
      <c r="C40" s="1633" t="str">
        <f t="shared" si="1"/>
        <v/>
      </c>
      <c r="D40" s="1633" t="str">
        <f>IF(C40="","",IFERROR(INDEX(Dictionary!$X$1263:$X$1491,MATCH(C40,Dictionary!$I$1263:$I$1491,0)),""))</f>
        <v/>
      </c>
      <c r="F40" s="353"/>
      <c r="H40" s="2376"/>
      <c r="I40" s="2377"/>
      <c r="J40" s="2377"/>
      <c r="K40" s="2377"/>
      <c r="L40" s="2378"/>
      <c r="M40" s="348"/>
      <c r="N40" s="321"/>
      <c r="O40" s="350">
        <v>27</v>
      </c>
      <c r="P40" s="1665"/>
      <c r="Q40" s="321"/>
      <c r="R40" s="321"/>
      <c r="S40" s="1628"/>
      <c r="T40" s="1628" t="s">
        <v>452</v>
      </c>
      <c r="U40" s="350" t="str">
        <f>".2"</f>
        <v>.2</v>
      </c>
      <c r="V40" s="1625" t="s">
        <v>1618</v>
      </c>
      <c r="W40" s="1390" t="str">
        <f>Dictionary!B1297</f>
        <v>Das Projekt mit der formellen Kultur und den Werten der Organisation in Einklang bringen</v>
      </c>
      <c r="X40" s="1636" t="str">
        <f>IFERROR(INDEX($AV$14:$AV$51,MATCH($V40,$C$14:$C$51,0)),"")</f>
        <v/>
      </c>
      <c r="Y40" s="1336" t="str">
        <f t="shared" ref="Y40:Y41" si="16">IF(OR(X40=0,X40=1,X40=2,X40=3,X40=4,X40=5),X40,"")</f>
        <v/>
      </c>
      <c r="Z40" s="354"/>
      <c r="AA40" s="1336"/>
      <c r="AB40" s="354"/>
      <c r="AC40" s="1336"/>
      <c r="AD40" s="354"/>
      <c r="AE40" s="1336"/>
      <c r="AF40" s="354"/>
      <c r="AG40" s="349" t="str">
        <f>IF(AND(Y40="",AA40="",AC40="",AE40=""),"",MAX(Y40,AA40,AC40,AE40))</f>
        <v/>
      </c>
      <c r="AH40" s="354"/>
      <c r="AI40" s="1337" t="str">
        <f>IF(Y40="","",IF(GC_Flag="","",IF(OR(Y40&lt;=Dictionary!$I$52,Y40=""),0,1)))</f>
        <v/>
      </c>
      <c r="AK40" s="356" t="str">
        <f t="shared" si="7"/>
        <v/>
      </c>
      <c r="AL40" s="349" t="str">
        <f t="shared" si="0"/>
        <v/>
      </c>
      <c r="AM40" s="348"/>
      <c r="AN40" s="348"/>
      <c r="AO40" s="349"/>
      <c r="AP40" s="349"/>
      <c r="AQ40" s="357" t="str">
        <f>IF(AI40="",AG40,AI40)</f>
        <v/>
      </c>
      <c r="AU40" s="1390">
        <f t="shared" si="2"/>
        <v>0</v>
      </c>
      <c r="AV40" s="1633" t="str">
        <f t="shared" ref="AV40:AV51" si="17">IF(F40="","X",F40)</f>
        <v>X</v>
      </c>
      <c r="AX40" s="350">
        <v>27</v>
      </c>
      <c r="AY40" s="1390">
        <f t="shared" si="5"/>
        <v>0</v>
      </c>
      <c r="BC40" s="1390" t="s">
        <v>3860</v>
      </c>
      <c r="BD40" s="1390" t="s">
        <v>3853</v>
      </c>
      <c r="BE40" s="1390" t="s">
        <v>3860</v>
      </c>
    </row>
    <row r="41" spans="2:67" ht="23.25" customHeight="1">
      <c r="B41" s="350">
        <v>28</v>
      </c>
      <c r="C41" s="1633" t="str">
        <f t="shared" si="1"/>
        <v/>
      </c>
      <c r="D41" s="1633" t="str">
        <f>IF(C41="","",IFERROR(INDEX(Dictionary!$X$1263:$X$1491,MATCH(C41,Dictionary!$I$1263:$I$1491,0)),""))</f>
        <v/>
      </c>
      <c r="F41" s="353"/>
      <c r="H41" s="2376"/>
      <c r="I41" s="2377"/>
      <c r="J41" s="2377"/>
      <c r="K41" s="2377"/>
      <c r="L41" s="2378"/>
      <c r="M41" s="348"/>
      <c r="N41" s="321"/>
      <c r="O41" s="350">
        <v>28</v>
      </c>
      <c r="P41" s="1665"/>
      <c r="Q41" s="321"/>
      <c r="R41" s="321"/>
      <c r="S41" s="1628"/>
      <c r="T41" s="1628" t="s">
        <v>452</v>
      </c>
      <c r="U41" s="350" t="str">
        <f>".3"</f>
        <v>.3</v>
      </c>
      <c r="V41" s="1625" t="s">
        <v>1619</v>
      </c>
      <c r="W41" s="1390" t="str">
        <f>Dictionary!B1298</f>
        <v>Die informelle Kultur und Werte der Organisation und deren Auswirkungen auf das Projekt beurteilen</v>
      </c>
      <c r="X41" s="1636" t="str">
        <f>IFERROR(INDEX($AV$14:$AV$51,MATCH($V41,$C$14:$C$51,0)),"")</f>
        <v/>
      </c>
      <c r="Y41" s="1336" t="str">
        <f t="shared" si="16"/>
        <v/>
      </c>
      <c r="Z41" s="354"/>
      <c r="AA41" s="1336"/>
      <c r="AB41" s="354"/>
      <c r="AC41" s="1336"/>
      <c r="AD41" s="354"/>
      <c r="AE41" s="1336"/>
      <c r="AF41" s="354"/>
      <c r="AG41" s="349" t="str">
        <f>IF(AND(Y41="",AA41="",AC41="",AE41=""),"",MAX(Y41,AA41,AC41,AE41))</f>
        <v/>
      </c>
      <c r="AH41" s="354"/>
      <c r="AI41" s="1337" t="str">
        <f>IF(Y41="","",IF(GC_Flag="","",IF(OR(Y41&lt;=Dictionary!$I$52,Y41=""),0,1)))</f>
        <v/>
      </c>
      <c r="AK41" s="356" t="str">
        <f t="shared" si="7"/>
        <v/>
      </c>
      <c r="AL41" s="349" t="str">
        <f t="shared" si="0"/>
        <v/>
      </c>
      <c r="AM41" s="348"/>
      <c r="AN41" s="348"/>
      <c r="AO41" s="349"/>
      <c r="AP41" s="349"/>
      <c r="AQ41" s="357" t="str">
        <f>IF(AI41="",AG41,AI41)</f>
        <v/>
      </c>
      <c r="AU41" s="1390">
        <f t="shared" si="2"/>
        <v>0</v>
      </c>
      <c r="AV41" s="1633" t="str">
        <f t="shared" si="17"/>
        <v>X</v>
      </c>
      <c r="AX41" s="350">
        <v>28</v>
      </c>
      <c r="AY41" s="1390">
        <f t="shared" si="5"/>
        <v>0</v>
      </c>
      <c r="BC41" s="1390" t="s">
        <v>3861</v>
      </c>
      <c r="BD41" s="1390" t="s">
        <v>3854</v>
      </c>
      <c r="BE41" s="1390" t="s">
        <v>3861</v>
      </c>
    </row>
    <row r="42" spans="2:67" ht="23.25" customHeight="1">
      <c r="B42" s="350">
        <v>29</v>
      </c>
      <c r="C42" s="1633" t="str">
        <f t="shared" si="1"/>
        <v/>
      </c>
      <c r="D42" s="1633" t="str">
        <f>IF(C42="","",IFERROR(INDEX(Dictionary!$X$1263:$X$1491,MATCH(C42,Dictionary!$I$1263:$I$1491,0)),""))</f>
        <v/>
      </c>
      <c r="F42" s="353"/>
      <c r="H42" s="2376"/>
      <c r="I42" s="2377"/>
      <c r="J42" s="2377"/>
      <c r="K42" s="2377"/>
      <c r="L42" s="2378"/>
      <c r="M42" s="313"/>
      <c r="N42" s="321"/>
      <c r="O42" s="350">
        <v>29</v>
      </c>
      <c r="P42" s="1665"/>
      <c r="Q42" s="321"/>
      <c r="R42" s="321"/>
      <c r="S42" s="1629"/>
      <c r="T42" s="1629"/>
      <c r="U42" s="313"/>
      <c r="V42" s="313"/>
      <c r="W42" s="363"/>
      <c r="X42" s="1635"/>
      <c r="Y42" s="315"/>
      <c r="Z42" s="315"/>
      <c r="AA42" s="315"/>
      <c r="AB42" s="315"/>
      <c r="AC42" s="315"/>
      <c r="AD42" s="315"/>
      <c r="AE42" s="315"/>
      <c r="AF42" s="315"/>
      <c r="AG42" s="315"/>
      <c r="AH42" s="315"/>
      <c r="AI42" s="315"/>
      <c r="AK42" s="356"/>
      <c r="AL42" s="365"/>
      <c r="AM42" s="313"/>
      <c r="AN42" s="313"/>
      <c r="AO42" s="315"/>
      <c r="AP42" s="315"/>
      <c r="AQ42" s="315"/>
      <c r="AU42" s="1390">
        <f t="shared" si="2"/>
        <v>0</v>
      </c>
      <c r="AV42" s="1633" t="str">
        <f t="shared" si="17"/>
        <v>X</v>
      </c>
      <c r="AX42" s="350">
        <v>29</v>
      </c>
      <c r="AY42" s="1390">
        <f t="shared" si="5"/>
        <v>0</v>
      </c>
      <c r="BC42" s="1390" t="s">
        <v>3882</v>
      </c>
      <c r="BD42" s="1390" t="s">
        <v>3855</v>
      </c>
      <c r="BE42" s="1390" t="s">
        <v>3882</v>
      </c>
    </row>
    <row r="43" spans="2:67" ht="23.25" customHeight="1">
      <c r="B43" s="350">
        <v>30</v>
      </c>
      <c r="C43" s="1633" t="str">
        <f t="shared" si="1"/>
        <v/>
      </c>
      <c r="D43" s="1633" t="str">
        <f>IF(C43="","",IFERROR(INDEX(Dictionary!$X$1263:$X$1491,MATCH(C43,Dictionary!$I$1263:$I$1491,0)),""))</f>
        <v/>
      </c>
      <c r="F43" s="353"/>
      <c r="H43" s="2376"/>
      <c r="I43" s="2377"/>
      <c r="J43" s="2377"/>
      <c r="K43" s="2377"/>
      <c r="L43" s="2378"/>
      <c r="M43" s="313"/>
      <c r="N43" s="321"/>
      <c r="O43" s="350">
        <v>30</v>
      </c>
      <c r="P43" s="1665"/>
      <c r="Q43" s="321"/>
      <c r="R43" s="321"/>
      <c r="S43" s="1629"/>
      <c r="T43" s="1629"/>
      <c r="U43" s="313"/>
      <c r="V43" s="313"/>
      <c r="W43" s="366" t="str">
        <f>Dictionary!B845</f>
        <v>People Kompetenz Elemente</v>
      </c>
      <c r="X43" s="1635"/>
      <c r="Y43" s="315"/>
      <c r="Z43" s="315"/>
      <c r="AA43" s="315"/>
      <c r="AB43" s="315"/>
      <c r="AC43" s="315"/>
      <c r="AD43" s="315"/>
      <c r="AE43" s="315"/>
      <c r="AF43" s="315"/>
      <c r="AG43" s="315"/>
      <c r="AH43" s="315"/>
      <c r="AI43" s="315"/>
      <c r="AK43" s="356"/>
      <c r="AL43" s="367"/>
      <c r="AM43" s="313"/>
      <c r="AN43" s="313"/>
      <c r="AO43" s="334"/>
      <c r="AP43" s="334"/>
      <c r="AQ43" s="315"/>
      <c r="AU43" s="1390">
        <f t="shared" si="2"/>
        <v>0</v>
      </c>
      <c r="AV43" s="1633" t="str">
        <f t="shared" si="17"/>
        <v>X</v>
      </c>
      <c r="AX43" s="350">
        <v>30</v>
      </c>
      <c r="AY43" s="1390">
        <f t="shared" si="5"/>
        <v>0</v>
      </c>
      <c r="BC43" s="1390" t="s">
        <v>3862</v>
      </c>
      <c r="BD43" s="1390" t="s">
        <v>3860</v>
      </c>
      <c r="BE43" s="1390" t="s">
        <v>3862</v>
      </c>
    </row>
    <row r="44" spans="2:67" ht="23.25" customHeight="1">
      <c r="B44" s="350">
        <v>31</v>
      </c>
      <c r="C44" s="1633" t="str">
        <f t="shared" si="1"/>
        <v/>
      </c>
      <c r="D44" s="1633" t="str">
        <f>IF(C44="","",IFERROR(INDEX(Dictionary!$X$1263:$X$1491,MATCH(C44,Dictionary!$I$1263:$I$1491,0)),""))</f>
        <v/>
      </c>
      <c r="F44" s="353"/>
      <c r="H44" s="2376"/>
      <c r="I44" s="2377"/>
      <c r="J44" s="2377"/>
      <c r="K44" s="2377"/>
      <c r="L44" s="2378"/>
      <c r="M44" s="348"/>
      <c r="N44" s="321"/>
      <c r="O44" s="350">
        <v>31</v>
      </c>
      <c r="P44" s="1665"/>
      <c r="Q44" s="321"/>
      <c r="R44" s="321"/>
      <c r="S44" s="1628"/>
      <c r="T44" s="1628" t="s">
        <v>448</v>
      </c>
      <c r="U44" s="341" t="s">
        <v>448</v>
      </c>
      <c r="V44" s="1624"/>
      <c r="W44" s="342" t="str">
        <f>Dictionary!B1235</f>
        <v>Selbstreflexion und Selbstmanagement</v>
      </c>
      <c r="X44" s="1635"/>
      <c r="Y44" s="359"/>
      <c r="Z44" s="315"/>
      <c r="AA44" s="359"/>
      <c r="AB44" s="360"/>
      <c r="AC44" s="359"/>
      <c r="AD44" s="360"/>
      <c r="AE44" s="359"/>
      <c r="AF44" s="315"/>
      <c r="AG44" s="359"/>
      <c r="AH44" s="360"/>
      <c r="AI44" s="359"/>
      <c r="AK44" s="356"/>
      <c r="AL44" s="346" t="str">
        <f t="shared" ref="AL44:AL75" si="18">AQ44</f>
        <v/>
      </c>
      <c r="AM44" s="348"/>
      <c r="AN44" s="348"/>
      <c r="AO44" s="349">
        <v>5</v>
      </c>
      <c r="AP44" s="349">
        <f>ROUNDUP(AO44/2,0)</f>
        <v>3</v>
      </c>
      <c r="AQ44" s="346" t="str">
        <f>IF(COUNTBLANK(AQ45:AQ49)=$AO44,"",IF((COUNTIF(AQ45:AQ49,"&gt;=1")&gt;=AP44),"Pass","Fail"))</f>
        <v/>
      </c>
      <c r="AU44" s="1390">
        <f t="shared" si="2"/>
        <v>0</v>
      </c>
      <c r="AV44" s="1633" t="str">
        <f t="shared" si="17"/>
        <v>X</v>
      </c>
      <c r="AX44" s="350">
        <v>31</v>
      </c>
      <c r="AY44" s="1390">
        <f t="shared" si="5"/>
        <v>0</v>
      </c>
      <c r="BC44" s="1390" t="s">
        <v>3856</v>
      </c>
      <c r="BD44" s="1390" t="s">
        <v>3861</v>
      </c>
      <c r="BE44" s="1390" t="s">
        <v>3883</v>
      </c>
    </row>
    <row r="45" spans="2:67" ht="23.25" customHeight="1">
      <c r="B45" s="350">
        <v>32</v>
      </c>
      <c r="C45" s="1633" t="str">
        <f t="shared" si="1"/>
        <v/>
      </c>
      <c r="D45" s="1633" t="str">
        <f>IF(C45="","",IFERROR(INDEX(Dictionary!$X$1263:$X$1491,MATCH(C45,Dictionary!$I$1263:$I$1491,0)),""))</f>
        <v/>
      </c>
      <c r="F45" s="353"/>
      <c r="H45" s="2376"/>
      <c r="I45" s="2377"/>
      <c r="J45" s="2377"/>
      <c r="K45" s="2377"/>
      <c r="L45" s="2378"/>
      <c r="M45" s="348"/>
      <c r="N45" s="321"/>
      <c r="O45" s="350">
        <v>32</v>
      </c>
      <c r="P45" s="1665"/>
      <c r="Q45" s="321"/>
      <c r="R45" s="321"/>
      <c r="S45" s="1628"/>
      <c r="T45" s="1628" t="s">
        <v>448</v>
      </c>
      <c r="U45" s="350" t="str">
        <f>".1"</f>
        <v>.1</v>
      </c>
      <c r="V45" s="1625" t="s">
        <v>1620</v>
      </c>
      <c r="W45" s="1390" t="str">
        <f>Dictionary!B1303</f>
        <v>Einfluss der eigenen Werte und persönlichen Erfahrungen auf die Arbeit identifizieren und reflektieren</v>
      </c>
      <c r="X45" s="1636" t="str">
        <f>IFERROR(INDEX($AV$14:$AV$51,MATCH($V45,$C$14:$C$51,0)),"")</f>
        <v/>
      </c>
      <c r="Y45" s="1336" t="str">
        <f>IF(OR(X45=0,X45=1,X45=2,X45=3,X45=4,X45=5),X45,"")</f>
        <v/>
      </c>
      <c r="Z45" s="354"/>
      <c r="AA45" s="1336"/>
      <c r="AB45" s="354"/>
      <c r="AC45" s="1336"/>
      <c r="AD45" s="354"/>
      <c r="AE45" s="1336"/>
      <c r="AF45" s="354"/>
      <c r="AG45" s="349" t="str">
        <f>IF(AND(Y45="",AA45="",AC45="",AE45=""),"",MAX(Y45,AA45,AC45,AE45))</f>
        <v/>
      </c>
      <c r="AH45" s="354"/>
      <c r="AI45" s="1337" t="str">
        <f>IF(Y45="","",IF(GC_Flag="","",IF(OR(Y45&lt;=Dictionary!$I$52,Y45=""),0,1)))</f>
        <v/>
      </c>
      <c r="AK45" s="356" t="str">
        <f t="shared" si="7"/>
        <v/>
      </c>
      <c r="AL45" s="349" t="str">
        <f t="shared" si="18"/>
        <v/>
      </c>
      <c r="AM45" s="348"/>
      <c r="AN45" s="348"/>
      <c r="AO45" s="349"/>
      <c r="AP45" s="349"/>
      <c r="AQ45" s="357" t="str">
        <f>IF(AI45="",AG45,AI45)</f>
        <v/>
      </c>
      <c r="AU45" s="1390">
        <f t="shared" si="2"/>
        <v>0</v>
      </c>
      <c r="AV45" s="1633" t="str">
        <f t="shared" si="17"/>
        <v>X</v>
      </c>
      <c r="AX45" s="350">
        <v>32</v>
      </c>
      <c r="AY45" s="1390">
        <f t="shared" si="5"/>
        <v>0</v>
      </c>
      <c r="BC45" s="1390" t="s">
        <v>3857</v>
      </c>
      <c r="BD45" s="1390" t="s">
        <v>3882</v>
      </c>
      <c r="BE45" s="1390" t="s">
        <v>3884</v>
      </c>
    </row>
    <row r="46" spans="2:67" ht="23.25" customHeight="1">
      <c r="B46" s="350">
        <v>33</v>
      </c>
      <c r="C46" s="1633" t="str">
        <f t="shared" si="1"/>
        <v/>
      </c>
      <c r="D46" s="1633" t="str">
        <f>IF(C46="","",IFERROR(INDEX(Dictionary!$X$1263:$X$1491,MATCH(C46,Dictionary!$I$1263:$I$1491,0)),""))</f>
        <v/>
      </c>
      <c r="F46" s="353"/>
      <c r="H46" s="2376"/>
      <c r="I46" s="2377"/>
      <c r="J46" s="2377"/>
      <c r="K46" s="2377"/>
      <c r="L46" s="2378"/>
      <c r="M46" s="348"/>
      <c r="N46" s="321"/>
      <c r="O46" s="350">
        <v>33</v>
      </c>
      <c r="P46" s="1665"/>
      <c r="Q46" s="321"/>
      <c r="R46" s="321"/>
      <c r="S46" s="1628"/>
      <c r="T46" s="1628" t="s">
        <v>448</v>
      </c>
      <c r="U46" s="350" t="str">
        <f>".2"</f>
        <v>.2</v>
      </c>
      <c r="V46" s="1625" t="s">
        <v>1621</v>
      </c>
      <c r="W46" s="1390" t="str">
        <f>Dictionary!B1304</f>
        <v>Selbstvertrauen auf der Basis von persönlichen Stärken und Schwächen aufbauen</v>
      </c>
      <c r="X46" s="1636" t="str">
        <f>IFERROR(INDEX($AV$14:$AV$51,MATCH($V46,$C$14:$C$51,0)),"")</f>
        <v/>
      </c>
      <c r="Y46" s="1336" t="str">
        <f t="shared" ref="Y46:Y49" si="19">IF(OR(X46=0,X46=1,X46=2,X46=3,X46=4,X46=5),X46,"")</f>
        <v/>
      </c>
      <c r="Z46" s="354"/>
      <c r="AA46" s="1336"/>
      <c r="AB46" s="354"/>
      <c r="AC46" s="1336"/>
      <c r="AD46" s="354"/>
      <c r="AE46" s="1336"/>
      <c r="AF46" s="354"/>
      <c r="AG46" s="349" t="str">
        <f>IF(AND(Y46="",AA46="",AC46="",AE46=""),"",MAX(Y46,AA46,AC46,AE46))</f>
        <v/>
      </c>
      <c r="AH46" s="354"/>
      <c r="AI46" s="1337" t="str">
        <f>IF(Y46="","",IF(GC_Flag="","",IF(OR(Y46&lt;=Dictionary!$I$52,Y46=""),0,1)))</f>
        <v/>
      </c>
      <c r="AK46" s="356" t="str">
        <f t="shared" si="7"/>
        <v/>
      </c>
      <c r="AL46" s="349" t="str">
        <f t="shared" si="18"/>
        <v/>
      </c>
      <c r="AM46" s="348"/>
      <c r="AN46" s="348"/>
      <c r="AO46" s="349"/>
      <c r="AP46" s="349"/>
      <c r="AQ46" s="357" t="str">
        <f>IF(AI46="",AG46,AI46)</f>
        <v/>
      </c>
      <c r="AU46" s="1390">
        <f t="shared" si="2"/>
        <v>0</v>
      </c>
      <c r="AV46" s="1633" t="str">
        <f t="shared" si="17"/>
        <v>X</v>
      </c>
      <c r="AX46" s="350">
        <v>33</v>
      </c>
      <c r="AY46" s="1390">
        <f t="shared" si="5"/>
        <v>0</v>
      </c>
      <c r="BC46" s="1390" t="s">
        <v>3858</v>
      </c>
      <c r="BD46" s="1390" t="s">
        <v>3862</v>
      </c>
      <c r="BE46" s="1390" t="s">
        <v>3885</v>
      </c>
    </row>
    <row r="47" spans="2:67" ht="23.25" customHeight="1">
      <c r="B47" s="350">
        <v>34</v>
      </c>
      <c r="C47" s="1633" t="str">
        <f t="shared" si="1"/>
        <v/>
      </c>
      <c r="D47" s="1633" t="str">
        <f>IF(C47="","",IFERROR(INDEX(Dictionary!$X$1263:$X$1491,MATCH(C47,Dictionary!$I$1263:$I$1491,0)),""))</f>
        <v/>
      </c>
      <c r="F47" s="353"/>
      <c r="H47" s="2376"/>
      <c r="I47" s="2377"/>
      <c r="J47" s="2377"/>
      <c r="K47" s="2377"/>
      <c r="L47" s="2378"/>
      <c r="M47" s="348"/>
      <c r="N47" s="321"/>
      <c r="O47" s="350">
        <v>34</v>
      </c>
      <c r="P47" s="1665"/>
      <c r="Q47" s="321"/>
      <c r="R47" s="321"/>
      <c r="S47" s="1628"/>
      <c r="T47" s="1628" t="s">
        <v>448</v>
      </c>
      <c r="U47" s="350" t="str">
        <f>".3"</f>
        <v>.3</v>
      </c>
      <c r="V47" s="1625" t="s">
        <v>1622</v>
      </c>
      <c r="W47" s="1390" t="str">
        <f>Dictionary!B1305</f>
        <v>Persönliche Motivationen identifizieren und reflektieren, um persönliche Ziele zu setzen und darauf zu fokussieren</v>
      </c>
      <c r="X47" s="1636" t="str">
        <f>IFERROR(INDEX($AV$14:$AV$51,MATCH($V47,$C$14:$C$51,0)),"")</f>
        <v/>
      </c>
      <c r="Y47" s="1336" t="str">
        <f t="shared" si="19"/>
        <v/>
      </c>
      <c r="Z47" s="354"/>
      <c r="AA47" s="1336"/>
      <c r="AB47" s="354"/>
      <c r="AC47" s="1336"/>
      <c r="AD47" s="354"/>
      <c r="AE47" s="1336"/>
      <c r="AF47" s="354"/>
      <c r="AG47" s="349" t="str">
        <f>IF(AND(Y47="",AA47="",AC47="",AE47=""),"",MAX(Y47,AA47,AC47,AE47))</f>
        <v/>
      </c>
      <c r="AH47" s="354"/>
      <c r="AI47" s="1337" t="str">
        <f>IF(Y47="","",IF(GC_Flag="","",IF(OR(Y47&lt;=Dictionary!$I$52,Y47=""),0,1)))</f>
        <v/>
      </c>
      <c r="AK47" s="356" t="str">
        <f t="shared" si="7"/>
        <v/>
      </c>
      <c r="AL47" s="349" t="str">
        <f t="shared" si="18"/>
        <v/>
      </c>
      <c r="AM47" s="348"/>
      <c r="AN47" s="348"/>
      <c r="AO47" s="349"/>
      <c r="AP47" s="349"/>
      <c r="AQ47" s="357" t="str">
        <f>IF(AI47="",AG47,AI47)</f>
        <v/>
      </c>
      <c r="AU47" s="1390">
        <f t="shared" si="2"/>
        <v>0</v>
      </c>
      <c r="AV47" s="1633" t="str">
        <f t="shared" si="17"/>
        <v>X</v>
      </c>
      <c r="AX47" s="350">
        <v>34</v>
      </c>
      <c r="AY47" s="1390">
        <f t="shared" si="5"/>
        <v>0</v>
      </c>
      <c r="BC47" s="1390" t="s">
        <v>3863</v>
      </c>
      <c r="BD47" s="1390" t="s">
        <v>3883</v>
      </c>
      <c r="BE47" s="1390" t="s">
        <v>3886</v>
      </c>
    </row>
    <row r="48" spans="2:67" ht="23.25" customHeight="1">
      <c r="B48" s="350">
        <v>35</v>
      </c>
      <c r="C48" s="1633" t="str">
        <f t="shared" si="1"/>
        <v/>
      </c>
      <c r="D48" s="1633" t="str">
        <f>IF(C48="","",IFERROR(INDEX(Dictionary!$X$1263:$X$1491,MATCH(C48,Dictionary!$I$1263:$I$1491,0)),""))</f>
        <v/>
      </c>
      <c r="F48" s="353"/>
      <c r="H48" s="2376"/>
      <c r="I48" s="2377"/>
      <c r="J48" s="2377"/>
      <c r="K48" s="2377"/>
      <c r="L48" s="2378"/>
      <c r="M48" s="348"/>
      <c r="N48" s="321"/>
      <c r="O48" s="350">
        <v>35</v>
      </c>
      <c r="P48" s="1665"/>
      <c r="Q48" s="321"/>
      <c r="R48" s="321"/>
      <c r="S48" s="1628"/>
      <c r="T48" s="1628" t="s">
        <v>448</v>
      </c>
      <c r="U48" s="350" t="str">
        <f>".4"</f>
        <v>.4</v>
      </c>
      <c r="V48" s="1625" t="s">
        <v>1623</v>
      </c>
      <c r="W48" s="1390" t="str">
        <f>Dictionary!B1306</f>
        <v>Eigene Arbeit abhängig von der Situation und den eigenen Ressourcen organisieren</v>
      </c>
      <c r="X48" s="1636" t="str">
        <f>IFERROR(INDEX($AV$14:$AV$51,MATCH($V48,$C$14:$C$51,0)),"")</f>
        <v/>
      </c>
      <c r="Y48" s="1336" t="str">
        <f>IF(OR(X48=0,X48=1,X48=2,X48=3,X48=4,X48=5),X48,"")</f>
        <v/>
      </c>
      <c r="Z48" s="354"/>
      <c r="AA48" s="1336"/>
      <c r="AB48" s="354"/>
      <c r="AC48" s="1336"/>
      <c r="AD48" s="354"/>
      <c r="AE48" s="1336"/>
      <c r="AF48" s="354"/>
      <c r="AG48" s="349" t="str">
        <f>IF(AND(Y48="",AA48="",AC48="",AE48=""),"",MAX(Y48,AA48,AC48,AE48))</f>
        <v/>
      </c>
      <c r="AH48" s="354"/>
      <c r="AI48" s="1337" t="str">
        <f>IF(Y48="","",IF(GC_Flag="","",IF(OR(Y48&lt;=Dictionary!$I$52,Y48=""),0,1)))</f>
        <v/>
      </c>
      <c r="AK48" s="356" t="str">
        <f t="shared" si="7"/>
        <v/>
      </c>
      <c r="AL48" s="349" t="str">
        <f t="shared" si="18"/>
        <v/>
      </c>
      <c r="AM48" s="348"/>
      <c r="AN48" s="348"/>
      <c r="AO48" s="349"/>
      <c r="AP48" s="349"/>
      <c r="AQ48" s="357" t="str">
        <f>IF(AI48="",AG48,AI48)</f>
        <v/>
      </c>
      <c r="AU48" s="1390">
        <f t="shared" si="2"/>
        <v>0</v>
      </c>
      <c r="AV48" s="1633" t="str">
        <f t="shared" si="17"/>
        <v>X</v>
      </c>
      <c r="AX48" s="350">
        <v>35</v>
      </c>
      <c r="AY48" s="1390">
        <f t="shared" si="5"/>
        <v>0</v>
      </c>
      <c r="BD48" s="1390" t="s">
        <v>3884</v>
      </c>
      <c r="BE48" s="1390" t="s">
        <v>3887</v>
      </c>
    </row>
    <row r="49" spans="2:57" ht="23.25" customHeight="1">
      <c r="B49" s="350">
        <v>36</v>
      </c>
      <c r="C49" s="1633" t="str">
        <f t="shared" si="1"/>
        <v/>
      </c>
      <c r="D49" s="1633" t="str">
        <f>IF(C49="","",IFERROR(INDEX(Dictionary!$X$1263:$X$1491,MATCH(C49,Dictionary!$I$1263:$I$1491,0)),""))</f>
        <v/>
      </c>
      <c r="F49" s="353"/>
      <c r="H49" s="2376"/>
      <c r="I49" s="2377"/>
      <c r="J49" s="2377"/>
      <c r="K49" s="2377"/>
      <c r="L49" s="2378"/>
      <c r="M49" s="348"/>
      <c r="N49" s="321"/>
      <c r="O49" s="350">
        <v>36</v>
      </c>
      <c r="P49" s="1665"/>
      <c r="Q49" s="321"/>
      <c r="R49" s="321"/>
      <c r="S49" s="1628"/>
      <c r="T49" s="1628" t="s">
        <v>448</v>
      </c>
      <c r="U49" s="350" t="str">
        <f>".5"</f>
        <v>.5</v>
      </c>
      <c r="V49" s="1625" t="s">
        <v>1624</v>
      </c>
      <c r="W49" s="1390" t="str">
        <f>Dictionary!B1307</f>
        <v>Verantwortung für das persönliche Lernen und die persönliche Weiterentwicklung übernehmen</v>
      </c>
      <c r="X49" s="1636" t="str">
        <f>IFERROR(INDEX($AV$14:$AV$51,MATCH($V49,$C$14:$C$51,0)),"")</f>
        <v/>
      </c>
      <c r="Y49" s="1336" t="str">
        <f t="shared" si="19"/>
        <v/>
      </c>
      <c r="Z49" s="354"/>
      <c r="AA49" s="1336"/>
      <c r="AB49" s="354"/>
      <c r="AC49" s="1336"/>
      <c r="AD49" s="354"/>
      <c r="AE49" s="1336"/>
      <c r="AF49" s="354"/>
      <c r="AG49" s="349" t="str">
        <f>IF(AND(Y49="",AA49="",AC49="",AE49=""),"",MAX(Y49,AA49,AC49,AE49))</f>
        <v/>
      </c>
      <c r="AH49" s="354"/>
      <c r="AI49" s="1337" t="str">
        <f>IF(Y49="","",IF(GC_Flag="","",IF(OR(Y49&lt;=Dictionary!$I$52,Y49=""),0,1)))</f>
        <v/>
      </c>
      <c r="AK49" s="356" t="str">
        <f t="shared" si="7"/>
        <v/>
      </c>
      <c r="AL49" s="349" t="str">
        <f t="shared" si="18"/>
        <v/>
      </c>
      <c r="AM49" s="348"/>
      <c r="AN49" s="348"/>
      <c r="AO49" s="349"/>
      <c r="AP49" s="349"/>
      <c r="AQ49" s="357" t="str">
        <f>IF(AI49="",AG49,AI49)</f>
        <v/>
      </c>
      <c r="AU49" s="1390">
        <f t="shared" si="2"/>
        <v>0</v>
      </c>
      <c r="AV49" s="1633" t="str">
        <f t="shared" si="17"/>
        <v>X</v>
      </c>
      <c r="AX49" s="350">
        <v>36</v>
      </c>
      <c r="AY49" s="1390">
        <f t="shared" si="5"/>
        <v>0</v>
      </c>
      <c r="BD49" s="1390" t="s">
        <v>3885</v>
      </c>
      <c r="BE49" s="1390"/>
    </row>
    <row r="50" spans="2:57" ht="23.25" customHeight="1">
      <c r="B50" s="350">
        <v>37</v>
      </c>
      <c r="C50" s="1633" t="str">
        <f t="shared" si="1"/>
        <v/>
      </c>
      <c r="D50" s="1633" t="str">
        <f>IF(C50="","",IFERROR(INDEX(Dictionary!$X$1263:$X$1491,MATCH(C50,Dictionary!$I$1263:$I$1491,0)),""))</f>
        <v/>
      </c>
      <c r="F50" s="353"/>
      <c r="H50" s="2376"/>
      <c r="I50" s="2377"/>
      <c r="J50" s="2377"/>
      <c r="K50" s="2377"/>
      <c r="L50" s="2378"/>
      <c r="M50" s="348"/>
      <c r="N50" s="321"/>
      <c r="O50" s="350">
        <v>37</v>
      </c>
      <c r="P50" s="1665"/>
      <c r="Q50" s="321"/>
      <c r="R50" s="321"/>
      <c r="S50" s="1628"/>
      <c r="T50" s="1628" t="s">
        <v>442</v>
      </c>
      <c r="U50" s="341" t="s">
        <v>442</v>
      </c>
      <c r="V50" s="1624"/>
      <c r="W50" s="342" t="str">
        <f>Dictionary!B1236</f>
        <v>Persönliche Integrität und Verlässlichkeit</v>
      </c>
      <c r="X50" s="1637" t="str">
        <f>IF(COUNTBLANK(X51:X55)=$AO50,"",IF((COUNTIF(X51:X55,"&gt;=4")/$AO50*100)&gt;=50,"Pass","Fail"))</f>
        <v/>
      </c>
      <c r="Y50" s="359"/>
      <c r="Z50" s="315"/>
      <c r="AA50" s="359"/>
      <c r="AB50" s="360"/>
      <c r="AC50" s="359"/>
      <c r="AD50" s="360"/>
      <c r="AE50" s="359"/>
      <c r="AF50" s="315"/>
      <c r="AG50" s="359"/>
      <c r="AH50" s="360"/>
      <c r="AI50" s="359"/>
      <c r="AK50" s="356"/>
      <c r="AL50" s="361" t="str">
        <f t="shared" si="18"/>
        <v/>
      </c>
      <c r="AM50" s="348"/>
      <c r="AN50" s="348"/>
      <c r="AO50" s="349">
        <v>5</v>
      </c>
      <c r="AP50" s="349">
        <f>ROUNDUP(AO50/2,0)</f>
        <v>3</v>
      </c>
      <c r="AQ50" s="346" t="str">
        <f>IF(COUNTBLANK(AQ51:AQ55)=$AO50,"",IF((COUNTIF(AQ51:AQ55,"&gt;=1")&gt;=AP50),"Pass","Fail"))</f>
        <v/>
      </c>
      <c r="AU50" s="1390">
        <f t="shared" si="2"/>
        <v>0</v>
      </c>
      <c r="AV50" s="1633" t="str">
        <f t="shared" si="17"/>
        <v>X</v>
      </c>
      <c r="AX50" s="350">
        <v>37</v>
      </c>
      <c r="AY50" s="1390">
        <f t="shared" si="5"/>
        <v>0</v>
      </c>
      <c r="BD50" s="1390" t="s">
        <v>3886</v>
      </c>
      <c r="BE50" s="1390"/>
    </row>
    <row r="51" spans="2:57" ht="23.25" customHeight="1">
      <c r="B51" s="350">
        <v>38</v>
      </c>
      <c r="C51" s="1633" t="str">
        <f t="shared" si="1"/>
        <v/>
      </c>
      <c r="D51" s="1633" t="str">
        <f>IF(C51="","",IFERROR(INDEX(Dictionary!$X$1263:$X$1491,MATCH(C51,Dictionary!$I$1263:$I$1491,0)),""))</f>
        <v/>
      </c>
      <c r="F51" s="353"/>
      <c r="H51" s="2376"/>
      <c r="I51" s="2377"/>
      <c r="J51" s="2377"/>
      <c r="K51" s="2377"/>
      <c r="L51" s="2378"/>
      <c r="M51" s="348"/>
      <c r="N51" s="321"/>
      <c r="O51" s="350">
        <v>38</v>
      </c>
      <c r="P51" s="1665"/>
      <c r="Q51" s="321"/>
      <c r="R51" s="321"/>
      <c r="S51" s="1628"/>
      <c r="T51" s="1628" t="s">
        <v>442</v>
      </c>
      <c r="U51" s="350" t="str">
        <f>".1"</f>
        <v>.1</v>
      </c>
      <c r="V51" s="1625" t="s">
        <v>1625</v>
      </c>
      <c r="W51" s="1390" t="str">
        <f>Dictionary!B1311</f>
        <v>Ethische Werte bei allen Entscheidungen und Handlungen anerkennen und anwenden</v>
      </c>
      <c r="X51" s="1636" t="str">
        <f>IFERROR(INDEX($AV$14:$AV$51,MATCH($V51,$C$14:$C$51,0)),"")</f>
        <v/>
      </c>
      <c r="Y51" s="1336" t="str">
        <f>IF(OR(X51=0,X51=1,X51=2,X51=3,X51=4,X51=5),X51,"")</f>
        <v/>
      </c>
      <c r="Z51" s="354"/>
      <c r="AA51" s="1336"/>
      <c r="AB51" s="354"/>
      <c r="AC51" s="1336"/>
      <c r="AD51" s="354"/>
      <c r="AE51" s="1336"/>
      <c r="AF51" s="354"/>
      <c r="AG51" s="349" t="str">
        <f>IF(AND(Y51="",AA51="",AC51="",AE51=""),"",MAX(Y51,AA51,AC51,AE51))</f>
        <v/>
      </c>
      <c r="AH51" s="354"/>
      <c r="AI51" s="1337" t="str">
        <f>IF(Y51="","",IF(GC_Flag="","",IF(OR(Y51&lt;=Dictionary!$I$52,Y51=""),0,1)))</f>
        <v/>
      </c>
      <c r="AK51" s="356" t="str">
        <f t="shared" si="7"/>
        <v/>
      </c>
      <c r="AL51" s="349" t="str">
        <f t="shared" si="18"/>
        <v/>
      </c>
      <c r="AM51" s="348"/>
      <c r="AN51" s="348"/>
      <c r="AO51" s="349"/>
      <c r="AP51" s="349"/>
      <c r="AQ51" s="357" t="str">
        <f>IF(AI51="",AG51,AI51)</f>
        <v/>
      </c>
      <c r="AU51" s="1390">
        <f t="shared" si="2"/>
        <v>0</v>
      </c>
      <c r="AV51" s="1633" t="str">
        <f t="shared" si="17"/>
        <v>X</v>
      </c>
      <c r="AX51" s="350">
        <v>38</v>
      </c>
      <c r="AY51" s="1390">
        <f t="shared" si="5"/>
        <v>0</v>
      </c>
      <c r="BD51" s="1390" t="s">
        <v>3887</v>
      </c>
      <c r="BE51" s="1390"/>
    </row>
    <row r="52" spans="2:57" ht="23.25" customHeight="1">
      <c r="I52" s="321"/>
      <c r="J52" s="321"/>
      <c r="K52" s="321"/>
      <c r="L52" s="321"/>
      <c r="M52" s="348"/>
      <c r="N52" s="321"/>
      <c r="O52" s="321"/>
      <c r="P52" s="321"/>
      <c r="Q52" s="321"/>
      <c r="R52" s="321"/>
      <c r="S52" s="1628"/>
      <c r="T52" s="1628" t="s">
        <v>442</v>
      </c>
      <c r="U52" s="350" t="str">
        <f>".2"</f>
        <v>.2</v>
      </c>
      <c r="V52" s="1625" t="s">
        <v>1626</v>
      </c>
      <c r="W52" s="1390" t="str">
        <f>Dictionary!B1312</f>
        <v>Nachhaltigkeit von Leistungen und Ergebnissen fördern</v>
      </c>
      <c r="X52" s="1636" t="str">
        <f>IFERROR(INDEX($AV$14:$AV$51,MATCH($V52,$C$14:$C$51,0)),"")</f>
        <v/>
      </c>
      <c r="Y52" s="1336" t="str">
        <f t="shared" ref="Y52:Y55" si="20">IF(OR(X52=0,X52=1,X52=2,X52=3,X52=4,X52=5),X52,"")</f>
        <v/>
      </c>
      <c r="Z52" s="354"/>
      <c r="AA52" s="1336"/>
      <c r="AB52" s="354"/>
      <c r="AC52" s="1336"/>
      <c r="AD52" s="354"/>
      <c r="AE52" s="1336"/>
      <c r="AF52" s="354"/>
      <c r="AG52" s="349" t="str">
        <f>IF(AND(Y52="",AA52="",AC52="",AE52=""),"",MAX(Y52,AA52,AC52,AE52))</f>
        <v/>
      </c>
      <c r="AH52" s="354"/>
      <c r="AI52" s="1337" t="str">
        <f>IF(Y52="","",IF(GC_Flag="","",IF(OR(Y52&lt;=Dictionary!$I$52,Y52=""),0,1)))</f>
        <v/>
      </c>
      <c r="AK52" s="356" t="str">
        <f t="shared" si="7"/>
        <v/>
      </c>
      <c r="AL52" s="349" t="str">
        <f t="shared" si="18"/>
        <v/>
      </c>
      <c r="AM52" s="348"/>
      <c r="AN52" s="348"/>
      <c r="AO52" s="349"/>
      <c r="AP52" s="349"/>
      <c r="AQ52" s="357" t="str">
        <f>IF(AI52="",AG52,AI52)</f>
        <v/>
      </c>
    </row>
    <row r="53" spans="2:57" ht="23.25" customHeight="1">
      <c r="I53" s="321"/>
      <c r="J53" s="321"/>
      <c r="K53" s="321"/>
      <c r="L53" s="321"/>
      <c r="M53" s="348"/>
      <c r="N53" s="321"/>
      <c r="O53" s="321"/>
      <c r="P53" s="321"/>
      <c r="Q53" s="321"/>
      <c r="R53" s="321"/>
      <c r="S53" s="1628"/>
      <c r="T53" s="1628" t="s">
        <v>442</v>
      </c>
      <c r="U53" s="350" t="str">
        <f>".3"</f>
        <v>.3</v>
      </c>
      <c r="V53" s="1625" t="s">
        <v>1627</v>
      </c>
      <c r="W53" s="1390" t="str">
        <f>Dictionary!B1313</f>
        <v>Verantwortung für die eigenen Entscheidungen und Handlungen übernehmen</v>
      </c>
      <c r="X53" s="1636" t="str">
        <f>IFERROR(INDEX($AV$14:$AV$51,MATCH($V53,$C$14:$C$51,0)),"")</f>
        <v/>
      </c>
      <c r="Y53" s="1336" t="str">
        <f t="shared" si="20"/>
        <v/>
      </c>
      <c r="Z53" s="354"/>
      <c r="AA53" s="1336"/>
      <c r="AB53" s="354"/>
      <c r="AC53" s="1336"/>
      <c r="AD53" s="354"/>
      <c r="AE53" s="1336"/>
      <c r="AF53" s="354"/>
      <c r="AG53" s="349" t="str">
        <f>IF(AND(Y53="",AA53="",AC53="",AE53=""),"",MAX(Y53,AA53,AC53,AE53))</f>
        <v/>
      </c>
      <c r="AH53" s="354"/>
      <c r="AI53" s="1337" t="str">
        <f>IF(Y53="","",IF(GC_Flag="","",IF(OR(Y53&lt;=Dictionary!$I$52,Y53=""),0,1)))</f>
        <v/>
      </c>
      <c r="AK53" s="356" t="str">
        <f t="shared" si="7"/>
        <v/>
      </c>
      <c r="AL53" s="349" t="str">
        <f t="shared" si="18"/>
        <v/>
      </c>
      <c r="AM53" s="348"/>
      <c r="AN53" s="348"/>
      <c r="AO53" s="349"/>
      <c r="AP53" s="349"/>
      <c r="AQ53" s="357" t="str">
        <f>IF(AI53="",AG53,AI53)</f>
        <v/>
      </c>
    </row>
    <row r="54" spans="2:57" ht="23.25" customHeight="1">
      <c r="I54" s="321"/>
      <c r="J54" s="321"/>
      <c r="K54" s="321"/>
      <c r="L54" s="321"/>
      <c r="M54" s="348"/>
      <c r="N54" s="321"/>
      <c r="O54" s="321"/>
      <c r="P54" s="321"/>
      <c r="Q54" s="321"/>
      <c r="R54" s="321"/>
      <c r="S54" s="1628"/>
      <c r="T54" s="1628" t="s">
        <v>442</v>
      </c>
      <c r="U54" s="350" t="str">
        <f>".4"</f>
        <v>.4</v>
      </c>
      <c r="V54" s="1625" t="s">
        <v>1628</v>
      </c>
      <c r="W54" s="1390" t="str">
        <f>Dictionary!B1314</f>
        <v>Widerspruchsfrei handeln, Entscheidungen treffen und kommunizieren</v>
      </c>
      <c r="X54" s="1636" t="str">
        <f>IFERROR(INDEX($AV$14:$AV$51,MATCH($V54,$C$14:$C$51,0)),"")</f>
        <v/>
      </c>
      <c r="Y54" s="1336" t="str">
        <f>IF(OR(X54=0,X54=1,X54=2,X54=3,X54=4,X54=5),X54,"")</f>
        <v/>
      </c>
      <c r="Z54" s="354"/>
      <c r="AA54" s="1336"/>
      <c r="AB54" s="354"/>
      <c r="AC54" s="1336"/>
      <c r="AD54" s="354"/>
      <c r="AE54" s="1336"/>
      <c r="AF54" s="354"/>
      <c r="AG54" s="349" t="str">
        <f>IF(AND(Y54="",AA54="",AC54="",AE54=""),"",MAX(Y54,AA54,AC54,AE54))</f>
        <v/>
      </c>
      <c r="AH54" s="354"/>
      <c r="AI54" s="1337" t="str">
        <f>IF(Y54="","",IF(GC_Flag="","",IF(OR(Y54&lt;=Dictionary!$I$52,Y54=""),0,1)))</f>
        <v/>
      </c>
      <c r="AK54" s="356" t="str">
        <f t="shared" si="7"/>
        <v/>
      </c>
      <c r="AL54" s="349" t="str">
        <f t="shared" si="18"/>
        <v/>
      </c>
      <c r="AM54" s="348"/>
      <c r="AN54" s="348"/>
      <c r="AO54" s="349"/>
      <c r="AP54" s="349"/>
      <c r="AQ54" s="357" t="str">
        <f>IF(AI54="",AG54,AI54)</f>
        <v/>
      </c>
    </row>
    <row r="55" spans="2:57" ht="23.25" customHeight="1">
      <c r="I55" s="321"/>
      <c r="J55" s="321"/>
      <c r="K55" s="321"/>
      <c r="L55" s="321"/>
      <c r="M55" s="348"/>
      <c r="N55" s="321"/>
      <c r="O55" s="321"/>
      <c r="P55" s="321"/>
      <c r="Q55" s="321"/>
      <c r="R55" s="321"/>
      <c r="S55" s="1628"/>
      <c r="T55" s="1628" t="s">
        <v>442</v>
      </c>
      <c r="U55" s="350" t="str">
        <f>".5"</f>
        <v>.5</v>
      </c>
      <c r="V55" s="1625" t="s">
        <v>1629</v>
      </c>
      <c r="W55" s="1390" t="str">
        <f>Dictionary!B1315</f>
        <v>Aufgaben sorgfältig erfüllen, um Vertrauen bei anderen zu schaffen</v>
      </c>
      <c r="X55" s="1636" t="str">
        <f>IFERROR(INDEX($AV$14:$AV$51,MATCH($V55,$C$14:$C$51,0)),"")</f>
        <v/>
      </c>
      <c r="Y55" s="1336" t="str">
        <f t="shared" si="20"/>
        <v/>
      </c>
      <c r="Z55" s="354"/>
      <c r="AA55" s="1336"/>
      <c r="AB55" s="354"/>
      <c r="AC55" s="1336"/>
      <c r="AD55" s="354"/>
      <c r="AE55" s="1336"/>
      <c r="AF55" s="354"/>
      <c r="AG55" s="349" t="str">
        <f>IF(AND(Y55="",AA55="",AC55="",AE55=""),"",MAX(Y55,AA55,AC55,AE55))</f>
        <v/>
      </c>
      <c r="AH55" s="354"/>
      <c r="AI55" s="1337" t="str">
        <f>IF(Y55="","",IF(GC_Flag="","",IF(OR(Y55&lt;=Dictionary!$I$52,Y55=""),0,1)))</f>
        <v/>
      </c>
      <c r="AK55" s="356" t="str">
        <f t="shared" si="7"/>
        <v/>
      </c>
      <c r="AL55" s="349" t="str">
        <f t="shared" si="18"/>
        <v/>
      </c>
      <c r="AM55" s="348"/>
      <c r="AN55" s="348"/>
      <c r="AO55" s="349"/>
      <c r="AP55" s="349"/>
      <c r="AQ55" s="357" t="str">
        <f>IF(AI55="",AG55,AI55)</f>
        <v/>
      </c>
    </row>
    <row r="56" spans="2:57" ht="23.25" customHeight="1">
      <c r="I56" s="321"/>
      <c r="J56" s="321"/>
      <c r="K56" s="321"/>
      <c r="L56" s="321"/>
      <c r="M56" s="348"/>
      <c r="N56" s="321"/>
      <c r="O56" s="321"/>
      <c r="P56" s="321"/>
      <c r="Q56" s="321"/>
      <c r="R56" s="321"/>
      <c r="S56" s="1628"/>
      <c r="T56" s="1628" t="s">
        <v>436</v>
      </c>
      <c r="U56" s="341" t="s">
        <v>436</v>
      </c>
      <c r="V56" s="1624"/>
      <c r="W56" s="342" t="str">
        <f>Dictionary!B1237</f>
        <v>Persönliche Kommunikation</v>
      </c>
      <c r="X56" s="1635"/>
      <c r="Y56" s="359"/>
      <c r="Z56" s="315"/>
      <c r="AA56" s="359"/>
      <c r="AB56" s="360"/>
      <c r="AC56" s="359"/>
      <c r="AD56" s="360"/>
      <c r="AE56" s="359"/>
      <c r="AF56" s="315"/>
      <c r="AG56" s="359"/>
      <c r="AH56" s="360"/>
      <c r="AI56" s="359"/>
      <c r="AK56" s="356"/>
      <c r="AL56" s="361" t="str">
        <f t="shared" si="18"/>
        <v/>
      </c>
      <c r="AM56" s="348"/>
      <c r="AN56" s="369"/>
      <c r="AO56" s="349">
        <v>5</v>
      </c>
      <c r="AP56" s="349">
        <f>ROUNDUP(AO56/2,0)</f>
        <v>3</v>
      </c>
      <c r="AQ56" s="346" t="str">
        <f>IF(COUNTBLANK(AQ57:AQ61)=$AO56,"",IF((COUNTIF(AQ57:AQ61,"&gt;=1")&gt;=AP56),"Pass","Fail"))</f>
        <v/>
      </c>
    </row>
    <row r="57" spans="2:57" ht="23.25" customHeight="1">
      <c r="I57" s="321"/>
      <c r="J57" s="321"/>
      <c r="K57" s="321"/>
      <c r="L57" s="321"/>
      <c r="M57" s="348"/>
      <c r="N57" s="321"/>
      <c r="O57" s="321"/>
      <c r="P57" s="321"/>
      <c r="Q57" s="321"/>
      <c r="R57" s="321"/>
      <c r="S57" s="1628"/>
      <c r="T57" s="1628" t="s">
        <v>436</v>
      </c>
      <c r="U57" s="350" t="str">
        <f>".1"</f>
        <v>.1</v>
      </c>
      <c r="V57" s="1625" t="s">
        <v>1630</v>
      </c>
      <c r="W57" s="1390" t="str">
        <f>Dictionary!B1319</f>
        <v>Eindeutige und strukturierte Informationen an andere weitergeben und deren gleiches Verständnis sicherstellen</v>
      </c>
      <c r="X57" s="1636" t="str">
        <f>IFERROR(INDEX($AV$14:$AV$51,MATCH($V57,$C$14:$C$51,0)),"")</f>
        <v/>
      </c>
      <c r="Y57" s="1336" t="str">
        <f>IF(OR(X57=0,X57=1,X57=2,X57=3,X57=4,X57=5),X57,"")</f>
        <v/>
      </c>
      <c r="Z57" s="354"/>
      <c r="AA57" s="1336"/>
      <c r="AB57" s="354"/>
      <c r="AC57" s="1336"/>
      <c r="AD57" s="354"/>
      <c r="AE57" s="1336"/>
      <c r="AF57" s="354"/>
      <c r="AG57" s="349" t="str">
        <f>IF(AND(Y57="",AA57="",AC57="",AE57=""),"",MAX(Y57,AA57,AC57,AE57))</f>
        <v/>
      </c>
      <c r="AH57" s="354"/>
      <c r="AI57" s="1337" t="str">
        <f>IF(Y57="","",IF(GC_Flag="","",IF(OR(Y57&lt;=Dictionary!$I$52,Y57=""),0,1)))</f>
        <v/>
      </c>
      <c r="AK57" s="356" t="str">
        <f t="shared" si="7"/>
        <v/>
      </c>
      <c r="AL57" s="349" t="str">
        <f t="shared" si="18"/>
        <v/>
      </c>
      <c r="AM57" s="348"/>
      <c r="AN57" s="348"/>
      <c r="AO57" s="349"/>
      <c r="AP57" s="349"/>
      <c r="AQ57" s="357" t="str">
        <f>IF(AI57="",AG57,AI57)</f>
        <v/>
      </c>
    </row>
    <row r="58" spans="2:57" ht="23.25" customHeight="1">
      <c r="I58" s="321"/>
      <c r="J58" s="321"/>
      <c r="K58" s="321"/>
      <c r="L58" s="321"/>
      <c r="M58" s="348"/>
      <c r="N58" s="321"/>
      <c r="O58" s="321"/>
      <c r="P58" s="321"/>
      <c r="Q58" s="321"/>
      <c r="R58" s="321"/>
      <c r="S58" s="1628"/>
      <c r="T58" s="1628" t="s">
        <v>436</v>
      </c>
      <c r="U58" s="350" t="str">
        <f>".2"</f>
        <v>.2</v>
      </c>
      <c r="V58" s="1625" t="s">
        <v>1631</v>
      </c>
      <c r="W58" s="1390" t="str">
        <f>Dictionary!B1320</f>
        <v>Offene Kommunikation ermöglichen und fördern</v>
      </c>
      <c r="X58" s="1636" t="str">
        <f>IFERROR(INDEX($AV$14:$AV$51,MATCH($V58,$C$14:$C$51,0)),"")</f>
        <v/>
      </c>
      <c r="Y58" s="1336" t="str">
        <f t="shared" ref="Y58:Y61" si="21">IF(OR(X58=0,X58=1,X58=2,X58=3,X58=4,X58=5),X58,"")</f>
        <v/>
      </c>
      <c r="Z58" s="354"/>
      <c r="AA58" s="1336"/>
      <c r="AB58" s="354"/>
      <c r="AC58" s="1336"/>
      <c r="AD58" s="354"/>
      <c r="AE58" s="1336"/>
      <c r="AF58" s="354"/>
      <c r="AG58" s="349" t="str">
        <f>IF(AND(Y58="",AA58="",AC58="",AE58=""),"",MAX(Y58,AA58,AC58,AE58))</f>
        <v/>
      </c>
      <c r="AH58" s="354"/>
      <c r="AI58" s="1337" t="str">
        <f>IF(Y58="","",IF(GC_Flag="","",IF(OR(Y58&lt;=Dictionary!$I$52,Y58=""),0,1)))</f>
        <v/>
      </c>
      <c r="AK58" s="356" t="str">
        <f t="shared" si="7"/>
        <v/>
      </c>
      <c r="AL58" s="349" t="str">
        <f t="shared" si="18"/>
        <v/>
      </c>
      <c r="AM58" s="348"/>
      <c r="AN58" s="348"/>
      <c r="AO58" s="349"/>
      <c r="AP58" s="349"/>
      <c r="AQ58" s="357" t="str">
        <f>IF(AI58="",AG58,AI58)</f>
        <v/>
      </c>
    </row>
    <row r="59" spans="2:57" ht="23.25" customHeight="1">
      <c r="I59" s="321"/>
      <c r="J59" s="321"/>
      <c r="K59" s="321"/>
      <c r="L59" s="321"/>
      <c r="M59" s="348"/>
      <c r="N59" s="321"/>
      <c r="O59" s="321"/>
      <c r="P59" s="321"/>
      <c r="Q59" s="321"/>
      <c r="R59" s="321"/>
      <c r="S59" s="1628"/>
      <c r="T59" s="1628" t="s">
        <v>436</v>
      </c>
      <c r="U59" s="350" t="str">
        <f>".3"</f>
        <v>.3</v>
      </c>
      <c r="V59" s="1625" t="s">
        <v>1632</v>
      </c>
      <c r="W59" s="1390" t="str">
        <f>Dictionary!B1321</f>
        <v>Kommunikationsarten und -kanäle auswählen, um die Bedürfnisse der Zielgruppe, der Situation und der Führungsebene zu erfüllen</v>
      </c>
      <c r="X59" s="1636" t="str">
        <f>IFERROR(INDEX($AV$14:$AV$51,MATCH($V59,$C$14:$C$51,0)),"")</f>
        <v/>
      </c>
      <c r="Y59" s="1336" t="str">
        <f t="shared" si="21"/>
        <v/>
      </c>
      <c r="Z59" s="354"/>
      <c r="AA59" s="1336"/>
      <c r="AB59" s="354"/>
      <c r="AC59" s="1336"/>
      <c r="AD59" s="354"/>
      <c r="AE59" s="1336"/>
      <c r="AF59" s="354"/>
      <c r="AG59" s="349" t="str">
        <f>IF(AND(Y59="",AA59="",AC59="",AE59=""),"",MAX(Y59,AA59,AC59,AE59))</f>
        <v/>
      </c>
      <c r="AH59" s="354"/>
      <c r="AI59" s="1337" t="str">
        <f>IF(Y59="","",IF(GC_Flag="","",IF(OR(Y59&lt;=Dictionary!$I$52,Y59=""),0,1)))</f>
        <v/>
      </c>
      <c r="AK59" s="356" t="str">
        <f t="shared" si="7"/>
        <v/>
      </c>
      <c r="AL59" s="349" t="str">
        <f t="shared" si="18"/>
        <v/>
      </c>
      <c r="AM59" s="348"/>
      <c r="AN59" s="348"/>
      <c r="AO59" s="349"/>
      <c r="AP59" s="349"/>
      <c r="AQ59" s="357" t="str">
        <f>IF(AI59="",AG59,AI59)</f>
        <v/>
      </c>
    </row>
    <row r="60" spans="2:57" ht="23.25" customHeight="1">
      <c r="I60" s="321"/>
      <c r="J60" s="321"/>
      <c r="K60" s="321"/>
      <c r="L60" s="321"/>
      <c r="M60" s="348"/>
      <c r="N60" s="321"/>
      <c r="O60" s="321"/>
      <c r="P60" s="321"/>
      <c r="Q60" s="321"/>
      <c r="R60" s="321"/>
      <c r="S60" s="1628"/>
      <c r="T60" s="1628" t="s">
        <v>436</v>
      </c>
      <c r="U60" s="350" t="str">
        <f>".4"</f>
        <v>.4</v>
      </c>
      <c r="V60" s="1625" t="s">
        <v>1633</v>
      </c>
      <c r="W60" s="1390" t="str">
        <f>Dictionary!B1322</f>
        <v>Mit virtuellen Teams effektiv kommunizieren</v>
      </c>
      <c r="X60" s="1636" t="str">
        <f>IFERROR(INDEX($AV$14:$AV$51,MATCH($V60,$C$14:$C$51,0)),"")</f>
        <v/>
      </c>
      <c r="Y60" s="1336" t="str">
        <f>IF(OR(X60=0,X60=1,X60=2,X60=3,X60=4,X60=5),X60,"")</f>
        <v/>
      </c>
      <c r="Z60" s="354"/>
      <c r="AA60" s="1336"/>
      <c r="AB60" s="354"/>
      <c r="AC60" s="1336"/>
      <c r="AD60" s="354"/>
      <c r="AE60" s="1336"/>
      <c r="AF60" s="354"/>
      <c r="AG60" s="349" t="str">
        <f>IF(AND(Y60="",AA60="",AC60="",AE60=""),"",MAX(Y60,AA60,AC60,AE60))</f>
        <v/>
      </c>
      <c r="AH60" s="354"/>
      <c r="AI60" s="1337" t="str">
        <f>IF(Y60="","",IF(GC_Flag="","",IF(OR(Y60&lt;=Dictionary!$I$52,Y60=""),0,1)))</f>
        <v/>
      </c>
      <c r="AK60" s="356" t="str">
        <f t="shared" si="7"/>
        <v/>
      </c>
      <c r="AL60" s="349" t="str">
        <f t="shared" si="18"/>
        <v/>
      </c>
      <c r="AM60" s="348"/>
      <c r="AN60" s="348"/>
      <c r="AO60" s="349"/>
      <c r="AP60" s="349"/>
      <c r="AQ60" s="357" t="str">
        <f>IF(AI60="",AG60,AI60)</f>
        <v/>
      </c>
    </row>
    <row r="61" spans="2:57" ht="23.25" customHeight="1">
      <c r="I61" s="321"/>
      <c r="J61" s="321"/>
      <c r="K61" s="321"/>
      <c r="L61" s="321"/>
      <c r="M61" s="348"/>
      <c r="N61" s="321"/>
      <c r="O61" s="321"/>
      <c r="P61" s="321"/>
      <c r="Q61" s="321"/>
      <c r="R61" s="321"/>
      <c r="S61" s="1628"/>
      <c r="T61" s="1628" t="s">
        <v>436</v>
      </c>
      <c r="U61" s="350" t="str">
        <f>".5"</f>
        <v>.5</v>
      </c>
      <c r="V61" s="1625" t="s">
        <v>1634</v>
      </c>
      <c r="W61" s="1390" t="str">
        <f>Dictionary!B1323</f>
        <v>Humor und Perspektivenwechsel angemessen verwenden</v>
      </c>
      <c r="X61" s="1636" t="str">
        <f>IFERROR(INDEX($AV$14:$AV$51,MATCH($V61,$C$14:$C$51,0)),"")</f>
        <v/>
      </c>
      <c r="Y61" s="1336" t="str">
        <f t="shared" si="21"/>
        <v/>
      </c>
      <c r="Z61" s="354"/>
      <c r="AA61" s="1336"/>
      <c r="AB61" s="354"/>
      <c r="AC61" s="1336"/>
      <c r="AD61" s="354"/>
      <c r="AE61" s="1336"/>
      <c r="AF61" s="354"/>
      <c r="AG61" s="349" t="str">
        <f>IF(AND(Y61="",AA61="",AC61="",AE61=""),"",MAX(Y61,AA61,AC61,AE61))</f>
        <v/>
      </c>
      <c r="AH61" s="354"/>
      <c r="AI61" s="1337" t="str">
        <f>IF(Y61="","",IF(GC_Flag="","",IF(OR(Y61&lt;=Dictionary!$I$52,Y61=""),0,1)))</f>
        <v/>
      </c>
      <c r="AK61" s="356" t="str">
        <f t="shared" si="7"/>
        <v/>
      </c>
      <c r="AL61" s="349" t="str">
        <f t="shared" si="18"/>
        <v/>
      </c>
      <c r="AM61" s="348"/>
      <c r="AN61" s="348"/>
      <c r="AO61" s="349"/>
      <c r="AP61" s="349"/>
      <c r="AQ61" s="357" t="str">
        <f>IF(AI61="",AG61,AI61)</f>
        <v/>
      </c>
    </row>
    <row r="62" spans="2:57" ht="23.25" customHeight="1">
      <c r="I62" s="321"/>
      <c r="J62" s="321"/>
      <c r="K62" s="321"/>
      <c r="L62" s="321"/>
      <c r="M62" s="348"/>
      <c r="N62" s="321"/>
      <c r="O62" s="321"/>
      <c r="P62" s="321"/>
      <c r="Q62" s="321"/>
      <c r="R62" s="321"/>
      <c r="S62" s="1628"/>
      <c r="T62" s="1628" t="s">
        <v>430</v>
      </c>
      <c r="U62" s="341" t="s">
        <v>430</v>
      </c>
      <c r="V62" s="1624"/>
      <c r="W62" s="342" t="str">
        <f>Dictionary!B1238</f>
        <v>Beziehungen und Engagement</v>
      </c>
      <c r="X62" s="1635"/>
      <c r="Y62" s="359"/>
      <c r="Z62" s="315"/>
      <c r="AA62" s="359"/>
      <c r="AB62" s="360"/>
      <c r="AC62" s="359"/>
      <c r="AD62" s="360"/>
      <c r="AE62" s="359"/>
      <c r="AF62" s="315"/>
      <c r="AG62" s="359"/>
      <c r="AH62" s="360"/>
      <c r="AI62" s="359"/>
      <c r="AK62" s="356"/>
      <c r="AL62" s="361" t="str">
        <f t="shared" si="18"/>
        <v/>
      </c>
      <c r="AM62" s="348"/>
      <c r="AN62" s="369"/>
      <c r="AO62" s="349">
        <v>5</v>
      </c>
      <c r="AP62" s="349">
        <f>ROUNDUP(AO62/2,0)</f>
        <v>3</v>
      </c>
      <c r="AQ62" s="346" t="str">
        <f>IF(COUNTBLANK(AQ63:AQ67)=$AO62,"",IF((COUNTIF(AQ63:AQ67,"&gt;=1")&gt;=AP62),"Pass","Fail"))</f>
        <v/>
      </c>
    </row>
    <row r="63" spans="2:57" ht="23.25" customHeight="1">
      <c r="I63" s="321"/>
      <c r="J63" s="321"/>
      <c r="K63" s="321"/>
      <c r="L63" s="321"/>
      <c r="M63" s="348"/>
      <c r="N63" s="321"/>
      <c r="O63" s="321"/>
      <c r="P63" s="321"/>
      <c r="Q63" s="321"/>
      <c r="R63" s="321"/>
      <c r="S63" s="1628"/>
      <c r="T63" s="1628" t="s">
        <v>430</v>
      </c>
      <c r="U63" s="350" t="str">
        <f>".1"</f>
        <v>.1</v>
      </c>
      <c r="V63" s="1625" t="s">
        <v>1635</v>
      </c>
      <c r="W63" s="1390" t="str">
        <f>Dictionary!B1327</f>
        <v>Persönliche und berufliche Beziehungen aufbauen und pflegen</v>
      </c>
      <c r="X63" s="1636" t="str">
        <f>IFERROR(INDEX($AV$14:$AV$51,MATCH($V63,$C$14:$C$51,0)),"")</f>
        <v/>
      </c>
      <c r="Y63" s="1336" t="str">
        <f>IF(OR(X63=0,X63=1,X63=2,X63=3,X63=4,X63=5),X63,"")</f>
        <v/>
      </c>
      <c r="Z63" s="354"/>
      <c r="AA63" s="1336"/>
      <c r="AB63" s="354"/>
      <c r="AC63" s="1336"/>
      <c r="AD63" s="354"/>
      <c r="AE63" s="1336"/>
      <c r="AF63" s="354"/>
      <c r="AG63" s="349" t="str">
        <f>IF(AND(Y63="",AA63="",AC63="",AE63=""),"",MAX(Y63,AA63,AC63,AE63))</f>
        <v/>
      </c>
      <c r="AH63" s="354"/>
      <c r="AI63" s="1337" t="str">
        <f>IF(Y63="","",IF(GC_Flag="","",IF(OR(Y63&lt;=Dictionary!$I$52,Y63=""),0,1)))</f>
        <v/>
      </c>
      <c r="AK63" s="356" t="str">
        <f t="shared" si="7"/>
        <v/>
      </c>
      <c r="AL63" s="349" t="str">
        <f t="shared" si="18"/>
        <v/>
      </c>
      <c r="AM63" s="348"/>
      <c r="AN63" s="348"/>
      <c r="AO63" s="349"/>
      <c r="AP63" s="349"/>
      <c r="AQ63" s="357" t="str">
        <f>IF(AI63="",AG63,AI63)</f>
        <v/>
      </c>
    </row>
    <row r="64" spans="2:57" ht="23.25" customHeight="1">
      <c r="I64" s="321"/>
      <c r="J64" s="321"/>
      <c r="K64" s="321"/>
      <c r="L64" s="321"/>
      <c r="M64" s="348"/>
      <c r="N64" s="321"/>
      <c r="O64" s="321"/>
      <c r="P64" s="321"/>
      <c r="Q64" s="321"/>
      <c r="R64" s="321"/>
      <c r="S64" s="1628"/>
      <c r="T64" s="1628" t="s">
        <v>430</v>
      </c>
      <c r="U64" s="350" t="str">
        <f>".2"</f>
        <v>.2</v>
      </c>
      <c r="V64" s="1625" t="s">
        <v>1636</v>
      </c>
      <c r="W64" s="1390" t="str">
        <f>Dictionary!B1328</f>
        <v>Soziale Netzwerke aufbauen, moderieren und an ihnen teilnehmen</v>
      </c>
      <c r="X64" s="1636" t="str">
        <f>IFERROR(INDEX($AV$14:$AV$51,MATCH($V64,$C$14:$C$51,0)),"")</f>
        <v/>
      </c>
      <c r="Y64" s="1336" t="str">
        <f t="shared" ref="Y64:Y67" si="22">IF(OR(X64=0,X64=1,X64=2,X64=3,X64=4,X64=5),X64,"")</f>
        <v/>
      </c>
      <c r="Z64" s="354"/>
      <c r="AA64" s="1336"/>
      <c r="AB64" s="354"/>
      <c r="AC64" s="1336"/>
      <c r="AD64" s="354"/>
      <c r="AE64" s="1336"/>
      <c r="AF64" s="354"/>
      <c r="AG64" s="349" t="str">
        <f>IF(AND(Y64="",AA64="",AC64="",AE64=""),"",MAX(Y64,AA64,AC64,AE64))</f>
        <v/>
      </c>
      <c r="AH64" s="354"/>
      <c r="AI64" s="1337" t="str">
        <f>IF(Y64="","",IF(GC_Flag="","",IF(OR(Y64&lt;=Dictionary!$I$52,Y64=""),0,1)))</f>
        <v/>
      </c>
      <c r="AK64" s="356" t="str">
        <f t="shared" si="7"/>
        <v/>
      </c>
      <c r="AL64" s="349" t="str">
        <f t="shared" si="18"/>
        <v/>
      </c>
      <c r="AM64" s="348"/>
      <c r="AN64" s="348"/>
      <c r="AO64" s="349"/>
      <c r="AP64" s="349"/>
      <c r="AQ64" s="357" t="str">
        <f>IF(AI64="",AG64,AI64)</f>
        <v/>
      </c>
    </row>
    <row r="65" spans="9:43" ht="23.25" customHeight="1">
      <c r="I65" s="321"/>
      <c r="J65" s="321"/>
      <c r="K65" s="321"/>
      <c r="L65" s="321"/>
      <c r="M65" s="348"/>
      <c r="N65" s="321"/>
      <c r="O65" s="321"/>
      <c r="P65" s="321"/>
      <c r="Q65" s="321"/>
      <c r="R65" s="321"/>
      <c r="S65" s="1628"/>
      <c r="T65" s="1628" t="s">
        <v>430</v>
      </c>
      <c r="U65" s="350" t="str">
        <f>".3"</f>
        <v>.3</v>
      </c>
      <c r="V65" s="1625" t="s">
        <v>1637</v>
      </c>
      <c r="W65" s="1390" t="str">
        <f>Dictionary!B1329</f>
        <v>Durch Zuhören, Verständnis und Unterstützung Empathie zeigen</v>
      </c>
      <c r="X65" s="1636" t="str">
        <f>IFERROR(INDEX($AV$14:$AV$51,MATCH($V65,$C$14:$C$51,0)),"")</f>
        <v/>
      </c>
      <c r="Y65" s="1336" t="str">
        <f t="shared" si="22"/>
        <v/>
      </c>
      <c r="Z65" s="354"/>
      <c r="AA65" s="1336"/>
      <c r="AB65" s="354"/>
      <c r="AC65" s="1336"/>
      <c r="AD65" s="354"/>
      <c r="AE65" s="1336"/>
      <c r="AF65" s="354"/>
      <c r="AG65" s="349" t="str">
        <f>IF(AND(Y65="",AA65="",AC65="",AE65=""),"",MAX(Y65,AA65,AC65,AE65))</f>
        <v/>
      </c>
      <c r="AH65" s="354"/>
      <c r="AI65" s="1337" t="str">
        <f>IF(Y65="","",IF(GC_Flag="","",IF(OR(Y65&lt;=Dictionary!$I$52,Y65=""),0,1)))</f>
        <v/>
      </c>
      <c r="AK65" s="356" t="str">
        <f t="shared" si="7"/>
        <v/>
      </c>
      <c r="AL65" s="349" t="str">
        <f t="shared" si="18"/>
        <v/>
      </c>
      <c r="AM65" s="348"/>
      <c r="AN65" s="348"/>
      <c r="AO65" s="349"/>
      <c r="AP65" s="349"/>
      <c r="AQ65" s="357" t="str">
        <f>IF(AI65="",AG65,AI65)</f>
        <v/>
      </c>
    </row>
    <row r="66" spans="9:43" ht="23.25" customHeight="1">
      <c r="I66" s="321"/>
      <c r="J66" s="321"/>
      <c r="K66" s="321"/>
      <c r="L66" s="321"/>
      <c r="M66" s="348"/>
      <c r="N66" s="321"/>
      <c r="O66" s="321"/>
      <c r="P66" s="321"/>
      <c r="Q66" s="321"/>
      <c r="R66" s="321"/>
      <c r="S66" s="1628"/>
      <c r="T66" s="1628" t="s">
        <v>430</v>
      </c>
      <c r="U66" s="350" t="str">
        <f>".4"</f>
        <v>.4</v>
      </c>
      <c r="V66" s="1625" t="s">
        <v>1638</v>
      </c>
      <c r="W66" s="1390" t="str">
        <f>Dictionary!B1330</f>
        <v>Vertrauen und Respekt zeigen, indem andere ermutigt werden, ihre Meinungen und Bedenken zu äußern</v>
      </c>
      <c r="X66" s="1636" t="str">
        <f>IFERROR(INDEX($AV$14:$AV$51,MATCH($V66,$C$14:$C$51,0)),"")</f>
        <v/>
      </c>
      <c r="Y66" s="1336" t="str">
        <f>IF(OR(X66=0,X66=1,X66=2,X66=3,X66=4,X66=5),X66,"")</f>
        <v/>
      </c>
      <c r="Z66" s="354"/>
      <c r="AA66" s="1336"/>
      <c r="AB66" s="354"/>
      <c r="AC66" s="1336"/>
      <c r="AD66" s="354"/>
      <c r="AE66" s="1336"/>
      <c r="AF66" s="354"/>
      <c r="AG66" s="349" t="str">
        <f>IF(AND(Y66="",AA66="",AC66="",AE66=""),"",MAX(Y66,AA66,AC66,AE66))</f>
        <v/>
      </c>
      <c r="AH66" s="354"/>
      <c r="AI66" s="1337" t="str">
        <f>IF(Y66="","",IF(GC_Flag="","",IF(OR(Y66&lt;=Dictionary!$I$52,Y66=""),0,1)))</f>
        <v/>
      </c>
      <c r="AK66" s="356" t="str">
        <f t="shared" si="7"/>
        <v/>
      </c>
      <c r="AL66" s="349" t="str">
        <f t="shared" si="18"/>
        <v/>
      </c>
      <c r="AM66" s="348"/>
      <c r="AN66" s="348"/>
      <c r="AO66" s="349"/>
      <c r="AP66" s="349"/>
      <c r="AQ66" s="357" t="str">
        <f>IF(AI66="",AG66,AI66)</f>
        <v/>
      </c>
    </row>
    <row r="67" spans="9:43" ht="23.25" customHeight="1">
      <c r="I67" s="321"/>
      <c r="J67" s="321"/>
      <c r="K67" s="321"/>
      <c r="L67" s="321"/>
      <c r="M67" s="348"/>
      <c r="N67" s="321"/>
      <c r="O67" s="321"/>
      <c r="P67" s="321"/>
      <c r="Q67" s="321"/>
      <c r="R67" s="321"/>
      <c r="S67" s="1628"/>
      <c r="T67" s="1628" t="s">
        <v>430</v>
      </c>
      <c r="U67" s="350" t="str">
        <f>".5"</f>
        <v>.5</v>
      </c>
      <c r="V67" s="1625" t="s">
        <v>1639</v>
      </c>
      <c r="W67" s="1390" t="str">
        <f>Dictionary!B1331</f>
        <v>Eigene Visionen und Ziele kommunizieren, um Engagement und Commitment Dritter zu erreichen</v>
      </c>
      <c r="X67" s="1636" t="str">
        <f>IFERROR(INDEX($AV$14:$AV$51,MATCH($V67,$C$14:$C$51,0)),"")</f>
        <v/>
      </c>
      <c r="Y67" s="1336" t="str">
        <f t="shared" si="22"/>
        <v/>
      </c>
      <c r="Z67" s="354"/>
      <c r="AA67" s="1336"/>
      <c r="AB67" s="354"/>
      <c r="AC67" s="1336"/>
      <c r="AD67" s="354"/>
      <c r="AE67" s="1336"/>
      <c r="AF67" s="354"/>
      <c r="AG67" s="349" t="str">
        <f>IF(AND(Y67="",AA67="",AC67="",AE67=""),"",MAX(Y67,AA67,AC67,AE67))</f>
        <v/>
      </c>
      <c r="AH67" s="354"/>
      <c r="AI67" s="1337" t="str">
        <f>IF(Y67="","",IF(GC_Flag="","",IF(OR(Y67&lt;=Dictionary!$I$52,Y67=""),0,1)))</f>
        <v/>
      </c>
      <c r="AK67" s="356" t="str">
        <f t="shared" si="7"/>
        <v/>
      </c>
      <c r="AL67" s="349" t="str">
        <f t="shared" si="18"/>
        <v/>
      </c>
      <c r="AM67" s="348"/>
      <c r="AN67" s="348"/>
      <c r="AO67" s="349"/>
      <c r="AP67" s="349"/>
      <c r="AQ67" s="357" t="str">
        <f>IF(AI67="",AG67,AI67)</f>
        <v/>
      </c>
    </row>
    <row r="68" spans="9:43" ht="23.25" customHeight="1">
      <c r="I68" s="321"/>
      <c r="J68" s="321"/>
      <c r="K68" s="321"/>
      <c r="L68" s="321"/>
      <c r="M68" s="348"/>
      <c r="N68" s="321"/>
      <c r="O68" s="321"/>
      <c r="P68" s="321"/>
      <c r="Q68" s="321"/>
      <c r="R68" s="321"/>
      <c r="S68" s="1628"/>
      <c r="T68" s="1628" t="s">
        <v>424</v>
      </c>
      <c r="U68" s="341" t="s">
        <v>424</v>
      </c>
      <c r="V68" s="1624"/>
      <c r="W68" s="342" t="str">
        <f>Dictionary!B1239</f>
        <v>Führung</v>
      </c>
      <c r="X68" s="1635"/>
      <c r="Y68" s="359"/>
      <c r="Z68" s="315"/>
      <c r="AA68" s="359"/>
      <c r="AB68" s="360"/>
      <c r="AC68" s="359"/>
      <c r="AD68" s="360"/>
      <c r="AE68" s="359"/>
      <c r="AF68" s="315"/>
      <c r="AG68" s="359"/>
      <c r="AH68" s="360"/>
      <c r="AI68" s="359"/>
      <c r="AK68" s="356"/>
      <c r="AL68" s="361" t="str">
        <f t="shared" si="18"/>
        <v/>
      </c>
      <c r="AM68" s="348"/>
      <c r="AN68" s="348"/>
      <c r="AO68" s="349">
        <v>5</v>
      </c>
      <c r="AP68" s="349">
        <f>ROUNDUP(AO68/2,0)</f>
        <v>3</v>
      </c>
      <c r="AQ68" s="346" t="str">
        <f>IF(COUNTBLANK(AQ69:AQ73)=$AO68,"",IF((COUNTIF(AQ69:AQ73,"&gt;=1")&gt;=AP68),"Pass","Fail"))</f>
        <v/>
      </c>
    </row>
    <row r="69" spans="9:43" ht="23.25" customHeight="1">
      <c r="I69" s="321"/>
      <c r="J69" s="321"/>
      <c r="K69" s="321"/>
      <c r="L69" s="321"/>
      <c r="M69" s="348"/>
      <c r="N69" s="321"/>
      <c r="O69" s="321"/>
      <c r="P69" s="321"/>
      <c r="Q69" s="321"/>
      <c r="R69" s="321"/>
      <c r="S69" s="1628"/>
      <c r="T69" s="1628" t="s">
        <v>424</v>
      </c>
      <c r="U69" s="350" t="str">
        <f>".1"</f>
        <v>.1</v>
      </c>
      <c r="V69" s="1625" t="s">
        <v>1640</v>
      </c>
      <c r="W69" s="1390" t="str">
        <f>Dictionary!B1335</f>
        <v>Initiative ergreifen und proaktiv mit Rat und Tat zur Seite stehen</v>
      </c>
      <c r="X69" s="1636" t="str">
        <f>IFERROR(INDEX($AV$14:$AV$51,MATCH($V69,$C$14:$C$51,0)),"")</f>
        <v/>
      </c>
      <c r="Y69" s="1336" t="str">
        <f>IF(OR(X69=0,X69=1,X69=2,X69=3,X69=4,X69=5),X69,"")</f>
        <v/>
      </c>
      <c r="Z69" s="354"/>
      <c r="AA69" s="1336"/>
      <c r="AB69" s="354"/>
      <c r="AC69" s="1336"/>
      <c r="AD69" s="354"/>
      <c r="AE69" s="1336"/>
      <c r="AF69" s="354"/>
      <c r="AG69" s="349" t="str">
        <f>IF(AND(Y69="",AA69="",AC69="",AE69=""),"",MAX(Y69,AA69,AC69,AE69))</f>
        <v/>
      </c>
      <c r="AH69" s="354"/>
      <c r="AI69" s="1337" t="str">
        <f>IF(Y69="","",IF(GC_Flag="","",IF(OR(Y69&lt;=Dictionary!$I$52,Y69=""),0,1)))</f>
        <v/>
      </c>
      <c r="AK69" s="356" t="str">
        <f t="shared" si="7"/>
        <v/>
      </c>
      <c r="AL69" s="349" t="str">
        <f t="shared" si="18"/>
        <v/>
      </c>
      <c r="AM69" s="348"/>
      <c r="AN69" s="348"/>
      <c r="AO69" s="349"/>
      <c r="AP69" s="349"/>
      <c r="AQ69" s="357" t="str">
        <f>IF(AI69="",AG69,AI69)</f>
        <v/>
      </c>
    </row>
    <row r="70" spans="9:43" ht="23.25" customHeight="1">
      <c r="I70" s="321"/>
      <c r="J70" s="321"/>
      <c r="K70" s="321"/>
      <c r="L70" s="321"/>
      <c r="M70" s="348"/>
      <c r="N70" s="321"/>
      <c r="O70" s="321"/>
      <c r="P70" s="321"/>
      <c r="Q70" s="321"/>
      <c r="R70" s="321"/>
      <c r="S70" s="1628"/>
      <c r="T70" s="1628" t="s">
        <v>424</v>
      </c>
      <c r="U70" s="350" t="str">
        <f>".2"</f>
        <v>.2</v>
      </c>
      <c r="V70" s="1625" t="s">
        <v>1641</v>
      </c>
      <c r="W70" s="1390" t="str">
        <f>Dictionary!B1336</f>
        <v>Ownership übernehmen und Commitment zeigen</v>
      </c>
      <c r="X70" s="1636" t="str">
        <f>IFERROR(INDEX($AV$14:$AV$51,MATCH($V70,$C$14:$C$51,0)),"")</f>
        <v/>
      </c>
      <c r="Y70" s="1336" t="str">
        <f t="shared" ref="Y70:Y73" si="23">IF(OR(X70=0,X70=1,X70=2,X70=3,X70=4,X70=5),X70,"")</f>
        <v/>
      </c>
      <c r="Z70" s="354"/>
      <c r="AA70" s="1336"/>
      <c r="AB70" s="354"/>
      <c r="AC70" s="1336"/>
      <c r="AD70" s="354"/>
      <c r="AE70" s="1336"/>
      <c r="AF70" s="354"/>
      <c r="AG70" s="349" t="str">
        <f>IF(AND(Y70="",AA70="",AC70="",AE70=""),"",MAX(Y70,AA70,AC70,AE70))</f>
        <v/>
      </c>
      <c r="AH70" s="354"/>
      <c r="AI70" s="1337" t="str">
        <f>IF(Y70="","",IF(GC_Flag="","",IF(OR(Y70&lt;=Dictionary!$I$52,Y70=""),0,1)))</f>
        <v/>
      </c>
      <c r="AK70" s="356" t="str">
        <f t="shared" si="7"/>
        <v/>
      </c>
      <c r="AL70" s="349" t="str">
        <f t="shared" si="18"/>
        <v/>
      </c>
      <c r="AM70" s="348"/>
      <c r="AN70" s="348"/>
      <c r="AO70" s="349"/>
      <c r="AP70" s="349"/>
      <c r="AQ70" s="357" t="str">
        <f>IF(AI70="",AG70,AI70)</f>
        <v/>
      </c>
    </row>
    <row r="71" spans="9:43" ht="23.25" customHeight="1">
      <c r="I71" s="321"/>
      <c r="J71" s="321"/>
      <c r="K71" s="321"/>
      <c r="L71" s="321"/>
      <c r="M71" s="348"/>
      <c r="N71" s="321"/>
      <c r="O71" s="321"/>
      <c r="P71" s="321"/>
      <c r="Q71" s="321"/>
      <c r="R71" s="321"/>
      <c r="S71" s="1628"/>
      <c r="T71" s="1628" t="s">
        <v>424</v>
      </c>
      <c r="U71" s="350" t="str">
        <f>".3"</f>
        <v>.3</v>
      </c>
      <c r="V71" s="1625" t="s">
        <v>1642</v>
      </c>
      <c r="W71" s="1390" t="str">
        <f>Dictionary!B1337</f>
        <v>Durch Vorgeben der Richtung, durch Coaching und Mentoring die Arbeit von Einzelpersonen und Teams leiten und verbessern</v>
      </c>
      <c r="X71" s="1636" t="str">
        <f>IFERROR(INDEX($AV$14:$AV$51,MATCH($V71,$C$14:$C$51,0)),"")</f>
        <v/>
      </c>
      <c r="Y71" s="1336" t="str">
        <f t="shared" si="23"/>
        <v/>
      </c>
      <c r="Z71" s="354"/>
      <c r="AA71" s="1336"/>
      <c r="AB71" s="354"/>
      <c r="AC71" s="1336"/>
      <c r="AD71" s="354"/>
      <c r="AE71" s="1336"/>
      <c r="AF71" s="354"/>
      <c r="AG71" s="349" t="str">
        <f>IF(AND(Y71="",AA71="",AC71="",AE71=""),"",MAX(Y71,AA71,AC71,AE71))</f>
        <v/>
      </c>
      <c r="AH71" s="354"/>
      <c r="AI71" s="1337" t="str">
        <f>IF(Y71="","",IF(GC_Flag="","",IF(OR(Y71&lt;=Dictionary!$I$52,Y71=""),0,1)))</f>
        <v/>
      </c>
      <c r="AK71" s="356" t="str">
        <f t="shared" si="7"/>
        <v/>
      </c>
      <c r="AL71" s="349" t="str">
        <f t="shared" si="18"/>
        <v/>
      </c>
      <c r="AM71" s="348"/>
      <c r="AN71" s="348"/>
      <c r="AO71" s="349"/>
      <c r="AP71" s="349"/>
      <c r="AQ71" s="357" t="str">
        <f>IF(AI71="",AG71,AI71)</f>
        <v/>
      </c>
    </row>
    <row r="72" spans="9:43" ht="23.25" customHeight="1">
      <c r="I72" s="321"/>
      <c r="J72" s="321"/>
      <c r="K72" s="321"/>
      <c r="L72" s="321"/>
      <c r="M72" s="348"/>
      <c r="N72" s="321"/>
      <c r="O72" s="321"/>
      <c r="P72" s="321"/>
      <c r="Q72" s="321"/>
      <c r="R72" s="321"/>
      <c r="S72" s="1628"/>
      <c r="T72" s="1628" t="s">
        <v>424</v>
      </c>
      <c r="U72" s="350" t="str">
        <f>".4"</f>
        <v>.4</v>
      </c>
      <c r="V72" s="1625" t="s">
        <v>1643</v>
      </c>
      <c r="W72" s="1390" t="str">
        <f>Dictionary!B1338</f>
        <v>Macht und Einfluss angemessen auf Dritte ausüben, um die Ziele zu erreichen</v>
      </c>
      <c r="X72" s="1636" t="str">
        <f>IFERROR(INDEX($AV$14:$AV$51,MATCH($V72,$C$14:$C$51,0)),"")</f>
        <v/>
      </c>
      <c r="Y72" s="1336" t="str">
        <f>IF(OR(X72=0,X72=1,X72=2,X72=3,X72=4,X72=5),X72,"")</f>
        <v/>
      </c>
      <c r="Z72" s="354"/>
      <c r="AA72" s="1336"/>
      <c r="AB72" s="354"/>
      <c r="AC72" s="1336"/>
      <c r="AD72" s="354"/>
      <c r="AE72" s="1336"/>
      <c r="AF72" s="354"/>
      <c r="AG72" s="349" t="str">
        <f>IF(AND(Y72="",AA72="",AC72="",AE72=""),"",MAX(Y72,AA72,AC72,AE72))</f>
        <v/>
      </c>
      <c r="AH72" s="354"/>
      <c r="AI72" s="1337" t="str">
        <f>IF(Y72="","",IF(GC_Flag="","",IF(OR(Y72&lt;=Dictionary!$I$52,Y72=""),0,1)))</f>
        <v/>
      </c>
      <c r="AK72" s="356" t="str">
        <f t="shared" si="7"/>
        <v/>
      </c>
      <c r="AL72" s="349" t="str">
        <f t="shared" si="18"/>
        <v/>
      </c>
      <c r="AM72" s="348"/>
      <c r="AN72" s="348"/>
      <c r="AO72" s="349"/>
      <c r="AP72" s="349"/>
      <c r="AQ72" s="357" t="str">
        <f>IF(AI72="",AG72,AI72)</f>
        <v/>
      </c>
    </row>
    <row r="73" spans="9:43" ht="23.25" customHeight="1">
      <c r="I73" s="321"/>
      <c r="J73" s="321"/>
      <c r="K73" s="321"/>
      <c r="L73" s="321"/>
      <c r="M73" s="348"/>
      <c r="N73" s="321"/>
      <c r="O73" s="321"/>
      <c r="P73" s="321"/>
      <c r="Q73" s="321"/>
      <c r="R73" s="321"/>
      <c r="S73" s="1628"/>
      <c r="T73" s="1628" t="s">
        <v>424</v>
      </c>
      <c r="U73" s="350" t="str">
        <f>".5"</f>
        <v>.5</v>
      </c>
      <c r="V73" s="1625" t="s">
        <v>1644</v>
      </c>
      <c r="W73" s="1390" t="str">
        <f>Dictionary!B1339</f>
        <v>Entscheidungen treffen, durchsetzen und überprüfen</v>
      </c>
      <c r="X73" s="1636" t="str">
        <f>IFERROR(INDEX($AV$14:$AV$51,MATCH($V73,$C$14:$C$51,0)),"")</f>
        <v/>
      </c>
      <c r="Y73" s="1336" t="str">
        <f t="shared" si="23"/>
        <v/>
      </c>
      <c r="Z73" s="354"/>
      <c r="AA73" s="1336"/>
      <c r="AB73" s="354"/>
      <c r="AC73" s="1336"/>
      <c r="AD73" s="354"/>
      <c r="AE73" s="1336"/>
      <c r="AF73" s="354"/>
      <c r="AG73" s="349" t="str">
        <f>IF(AND(Y73="",AA73="",AC73="",AE73=""),"",MAX(Y73,AA73,AC73,AE73))</f>
        <v/>
      </c>
      <c r="AH73" s="354"/>
      <c r="AI73" s="1337" t="str">
        <f>IF(Y73="","",IF(GC_Flag="","",IF(OR(Y73&lt;=Dictionary!$I$52,Y73=""),0,1)))</f>
        <v/>
      </c>
      <c r="AK73" s="356" t="str">
        <f t="shared" si="7"/>
        <v/>
      </c>
      <c r="AL73" s="349" t="str">
        <f t="shared" si="18"/>
        <v/>
      </c>
      <c r="AM73" s="348"/>
      <c r="AN73" s="348"/>
      <c r="AO73" s="349"/>
      <c r="AP73" s="349"/>
      <c r="AQ73" s="357" t="str">
        <f>IF(AI73="",AG73,AI73)</f>
        <v/>
      </c>
    </row>
    <row r="74" spans="9:43" ht="23.25" customHeight="1">
      <c r="I74" s="321"/>
      <c r="J74" s="321"/>
      <c r="K74" s="321"/>
      <c r="L74" s="321"/>
      <c r="M74" s="348"/>
      <c r="N74" s="321"/>
      <c r="O74" s="321"/>
      <c r="P74" s="321"/>
      <c r="Q74" s="321"/>
      <c r="R74" s="321"/>
      <c r="S74" s="1628"/>
      <c r="T74" s="1628" t="s">
        <v>418</v>
      </c>
      <c r="U74" s="341" t="s">
        <v>418</v>
      </c>
      <c r="V74" s="1624"/>
      <c r="W74" s="342" t="str">
        <f>Dictionary!B1240</f>
        <v>Teamarbeit</v>
      </c>
      <c r="X74" s="1635"/>
      <c r="Y74" s="359"/>
      <c r="Z74" s="315"/>
      <c r="AA74" s="359"/>
      <c r="AB74" s="360"/>
      <c r="AC74" s="359"/>
      <c r="AD74" s="360"/>
      <c r="AE74" s="359"/>
      <c r="AF74" s="315"/>
      <c r="AG74" s="359"/>
      <c r="AH74" s="360"/>
      <c r="AI74" s="359"/>
      <c r="AK74" s="356"/>
      <c r="AL74" s="361" t="str">
        <f t="shared" si="18"/>
        <v/>
      </c>
      <c r="AM74" s="348"/>
      <c r="AN74" s="348"/>
      <c r="AO74" s="349">
        <v>5</v>
      </c>
      <c r="AP74" s="349">
        <f>ROUNDUP(AO74/2,0)</f>
        <v>3</v>
      </c>
      <c r="AQ74" s="346" t="str">
        <f>IF(COUNTBLANK(AQ75:AQ79)=$AO74,"",IF((COUNTIF(AQ75:AQ79,"&gt;=1")&gt;=AP74),"Pass","Fail"))</f>
        <v/>
      </c>
    </row>
    <row r="75" spans="9:43" ht="23.25" customHeight="1">
      <c r="I75" s="321"/>
      <c r="J75" s="321"/>
      <c r="K75" s="321"/>
      <c r="L75" s="321"/>
      <c r="M75" s="348"/>
      <c r="N75" s="321"/>
      <c r="O75" s="321"/>
      <c r="P75" s="321"/>
      <c r="Q75" s="321"/>
      <c r="R75" s="321"/>
      <c r="S75" s="1628"/>
      <c r="T75" s="1628" t="s">
        <v>418</v>
      </c>
      <c r="U75" s="350" t="str">
        <f>".1"</f>
        <v>.1</v>
      </c>
      <c r="V75" s="1625" t="s">
        <v>1645</v>
      </c>
      <c r="W75" s="1390" t="str">
        <f>Dictionary!B1343</f>
        <v>Das Team zusammenstellen und entwickeln</v>
      </c>
      <c r="X75" s="1636" t="str">
        <f>IFERROR(INDEX($AV$14:$AV$51,MATCH($V75,$C$14:$C$51,0)),"")</f>
        <v/>
      </c>
      <c r="Y75" s="1336" t="str">
        <f>IF(OR(X75=0,X75=1,X75=2,X75=3,X75=4,X75=5),X75,"")</f>
        <v/>
      </c>
      <c r="Z75" s="354"/>
      <c r="AA75" s="1336"/>
      <c r="AB75" s="354"/>
      <c r="AC75" s="1336"/>
      <c r="AD75" s="354"/>
      <c r="AE75" s="1336"/>
      <c r="AF75" s="354"/>
      <c r="AG75" s="349" t="str">
        <f>IF(AND(Y75="",AA75="",AC75="",AE75=""),"",MAX(Y75,AA75,AC75,AE75))</f>
        <v/>
      </c>
      <c r="AH75" s="354"/>
      <c r="AI75" s="1337" t="str">
        <f>IF(Y75="","",IF(GC_Flag="","",IF(OR(Y75&lt;=Dictionary!$I$52,Y75=""),0,1)))</f>
        <v/>
      </c>
      <c r="AK75" s="356" t="str">
        <f t="shared" si="7"/>
        <v/>
      </c>
      <c r="AL75" s="349" t="str">
        <f t="shared" si="18"/>
        <v/>
      </c>
      <c r="AM75" s="348"/>
      <c r="AN75" s="348"/>
      <c r="AO75" s="349"/>
      <c r="AP75" s="349"/>
      <c r="AQ75" s="357" t="str">
        <f>IF(AI75="",AG75,AI75)</f>
        <v/>
      </c>
    </row>
    <row r="76" spans="9:43" ht="23.25" customHeight="1">
      <c r="I76" s="321"/>
      <c r="J76" s="321"/>
      <c r="K76" s="321"/>
      <c r="L76" s="321"/>
      <c r="M76" s="348"/>
      <c r="N76" s="321"/>
      <c r="O76" s="321"/>
      <c r="P76" s="321"/>
      <c r="Q76" s="321"/>
      <c r="R76" s="321"/>
      <c r="S76" s="1628"/>
      <c r="T76" s="1628" t="s">
        <v>418</v>
      </c>
      <c r="U76" s="350" t="str">
        <f>".2"</f>
        <v>.2</v>
      </c>
      <c r="V76" s="1625" t="s">
        <v>1646</v>
      </c>
      <c r="W76" s="1390" t="str">
        <f>Dictionary!B1344</f>
        <v>Zusammenarbeit und Netzwerken zwischen Teammitgliedern fördern</v>
      </c>
      <c r="X76" s="1636" t="str">
        <f>IFERROR(INDEX($AV$14:$AV$51,MATCH($V76,$C$14:$C$51,0)),"")</f>
        <v/>
      </c>
      <c r="Y76" s="1336" t="str">
        <f t="shared" ref="Y76:Y79" si="24">IF(OR(X76=0,X76=1,X76=2,X76=3,X76=4,X76=5),X76,"")</f>
        <v/>
      </c>
      <c r="Z76" s="354"/>
      <c r="AA76" s="1336"/>
      <c r="AB76" s="354"/>
      <c r="AC76" s="1336"/>
      <c r="AD76" s="354"/>
      <c r="AE76" s="1336"/>
      <c r="AF76" s="354"/>
      <c r="AG76" s="349" t="str">
        <f>IF(AND(Y76="",AA76="",AC76="",AE76=""),"",MAX(Y76,AA76,AC76,AE76))</f>
        <v/>
      </c>
      <c r="AH76" s="354"/>
      <c r="AI76" s="1337" t="str">
        <f>IF(Y76="","",IF(GC_Flag="","",IF(OR(Y76&lt;=Dictionary!$I$52,Y76=""),0,1)))</f>
        <v/>
      </c>
      <c r="AK76" s="356" t="str">
        <f t="shared" si="7"/>
        <v/>
      </c>
      <c r="AL76" s="349" t="str">
        <f t="shared" ref="AL76:AL102" si="25">AQ76</f>
        <v/>
      </c>
      <c r="AM76" s="348"/>
      <c r="AN76" s="348"/>
      <c r="AO76" s="349"/>
      <c r="AP76" s="349"/>
      <c r="AQ76" s="357" t="str">
        <f>IF(AI76="",AG76,AI76)</f>
        <v/>
      </c>
    </row>
    <row r="77" spans="9:43" ht="23.25" customHeight="1">
      <c r="I77" s="321"/>
      <c r="J77" s="321"/>
      <c r="K77" s="321"/>
      <c r="L77" s="321"/>
      <c r="M77" s="348"/>
      <c r="N77" s="321"/>
      <c r="O77" s="321"/>
      <c r="P77" s="321"/>
      <c r="Q77" s="321"/>
      <c r="R77" s="321"/>
      <c r="S77" s="1628"/>
      <c r="T77" s="1628" t="s">
        <v>418</v>
      </c>
      <c r="U77" s="350" t="str">
        <f>".3"</f>
        <v>.3</v>
      </c>
      <c r="V77" s="1625" t="s">
        <v>1647</v>
      </c>
      <c r="W77" s="1390" t="str">
        <f>Dictionary!B1345</f>
        <v>Die Entwicklung des Teams und der Teammitglieder ermöglichen, unterstützen und überprüfen</v>
      </c>
      <c r="X77" s="1636" t="str">
        <f>IFERROR(INDEX($AV$14:$AV$51,MATCH($V77,$C$14:$C$51,0)),"")</f>
        <v/>
      </c>
      <c r="Y77" s="1336" t="str">
        <f t="shared" si="24"/>
        <v/>
      </c>
      <c r="Z77" s="354"/>
      <c r="AA77" s="1336"/>
      <c r="AB77" s="354"/>
      <c r="AC77" s="1336"/>
      <c r="AD77" s="354"/>
      <c r="AE77" s="1336"/>
      <c r="AF77" s="354"/>
      <c r="AG77" s="349" t="str">
        <f>IF(AND(Y77="",AA77="",AC77="",AE77=""),"",MAX(Y77,AA77,AC77,AE77))</f>
        <v/>
      </c>
      <c r="AH77" s="354"/>
      <c r="AI77" s="1337" t="str">
        <f>IF(Y77="","",IF(GC_Flag="","",IF(OR(Y77&lt;=Dictionary!$I$52,Y77=""),0,1)))</f>
        <v/>
      </c>
      <c r="AK77" s="356" t="str">
        <f t="shared" si="7"/>
        <v/>
      </c>
      <c r="AL77" s="349" t="str">
        <f t="shared" si="25"/>
        <v/>
      </c>
      <c r="AM77" s="348"/>
      <c r="AN77" s="348"/>
      <c r="AO77" s="349"/>
      <c r="AP77" s="349"/>
      <c r="AQ77" s="357" t="str">
        <f>IF(AI77="",AG77,AI77)</f>
        <v/>
      </c>
    </row>
    <row r="78" spans="9:43" ht="23.25" customHeight="1">
      <c r="I78" s="321"/>
      <c r="J78" s="321"/>
      <c r="K78" s="321"/>
      <c r="L78" s="321"/>
      <c r="M78" s="348"/>
      <c r="N78" s="321"/>
      <c r="O78" s="321"/>
      <c r="P78" s="321"/>
      <c r="Q78" s="321"/>
      <c r="R78" s="321"/>
      <c r="S78" s="1628"/>
      <c r="T78" s="1628" t="s">
        <v>418</v>
      </c>
      <c r="U78" s="350" t="str">
        <f>".4"</f>
        <v>.4</v>
      </c>
      <c r="V78" s="1625" t="s">
        <v>1648</v>
      </c>
      <c r="W78" s="1390" t="str">
        <f>Dictionary!B1346</f>
        <v>Teams durch das Delegieren von Aufgaben und Verantwortlichkeiten stärken</v>
      </c>
      <c r="X78" s="1636" t="str">
        <f>IFERROR(INDEX($AV$14:$AV$51,MATCH($V78,$C$14:$C$51,0)),"")</f>
        <v/>
      </c>
      <c r="Y78" s="1336" t="str">
        <f>IF(OR(X78=0,X78=1,X78=2,X78=3,X78=4,X78=5),X78,"")</f>
        <v/>
      </c>
      <c r="Z78" s="354"/>
      <c r="AA78" s="1336"/>
      <c r="AB78" s="354"/>
      <c r="AC78" s="1336"/>
      <c r="AD78" s="354"/>
      <c r="AE78" s="1336"/>
      <c r="AF78" s="354"/>
      <c r="AG78" s="349" t="str">
        <f>IF(AND(Y78="",AA78="",AC78="",AE78=""),"",MAX(Y78,AA78,AC78,AE78))</f>
        <v/>
      </c>
      <c r="AH78" s="354"/>
      <c r="AI78" s="1337" t="str">
        <f>IF(Y78="","",IF(GC_Flag="","",IF(OR(Y78&lt;=Dictionary!$I$52,Y78=""),0,1)))</f>
        <v/>
      </c>
      <c r="AK78" s="356" t="str">
        <f t="shared" si="7"/>
        <v/>
      </c>
      <c r="AL78" s="349" t="str">
        <f t="shared" si="25"/>
        <v/>
      </c>
      <c r="AM78" s="348"/>
      <c r="AN78" s="348"/>
      <c r="AO78" s="349"/>
      <c r="AP78" s="349"/>
      <c r="AQ78" s="357" t="str">
        <f>IF(AI78="",AG78,AI78)</f>
        <v/>
      </c>
    </row>
    <row r="79" spans="9:43" ht="23.25" customHeight="1">
      <c r="I79" s="321"/>
      <c r="J79" s="321"/>
      <c r="K79" s="321"/>
      <c r="L79" s="321"/>
      <c r="M79" s="348"/>
      <c r="N79" s="321"/>
      <c r="O79" s="321"/>
      <c r="P79" s="321"/>
      <c r="Q79" s="321"/>
      <c r="R79" s="321"/>
      <c r="S79" s="1628"/>
      <c r="T79" s="1628" t="s">
        <v>418</v>
      </c>
      <c r="U79" s="350" t="str">
        <f>".5"</f>
        <v>.5</v>
      </c>
      <c r="V79" s="1625" t="s">
        <v>1649</v>
      </c>
      <c r="W79" s="1390" t="str">
        <f>Dictionary!B1347</f>
        <v>Fehler erkennen, um das Lernen aus Fehlern zu ermöglichen</v>
      </c>
      <c r="X79" s="1636" t="str">
        <f>IFERROR(INDEX($AV$14:$AV$51,MATCH($V79,$C$14:$C$51,0)),"")</f>
        <v/>
      </c>
      <c r="Y79" s="1336" t="str">
        <f t="shared" si="24"/>
        <v/>
      </c>
      <c r="Z79" s="354"/>
      <c r="AA79" s="1336"/>
      <c r="AB79" s="354"/>
      <c r="AC79" s="1336"/>
      <c r="AD79" s="354"/>
      <c r="AE79" s="1336"/>
      <c r="AF79" s="354"/>
      <c r="AG79" s="349" t="str">
        <f>IF(AND(Y79="",AA79="",AC79="",AE79=""),"",MAX(Y79,AA79,AC79,AE79))</f>
        <v/>
      </c>
      <c r="AH79" s="354"/>
      <c r="AI79" s="1337" t="str">
        <f>IF(Y79="","",IF(GC_Flag="","",IF(OR(Y79&lt;=Dictionary!$I$52,Y79=""),0,1)))</f>
        <v/>
      </c>
      <c r="AK79" s="356" t="str">
        <f t="shared" si="7"/>
        <v/>
      </c>
      <c r="AL79" s="349" t="str">
        <f t="shared" si="25"/>
        <v/>
      </c>
      <c r="AM79" s="348"/>
      <c r="AN79" s="348"/>
      <c r="AO79" s="349"/>
      <c r="AP79" s="349"/>
      <c r="AQ79" s="357" t="str">
        <f>IF(AI79="",AG79,AI79)</f>
        <v/>
      </c>
    </row>
    <row r="80" spans="9:43" ht="23.25" customHeight="1">
      <c r="I80" s="321"/>
      <c r="J80" s="321"/>
      <c r="K80" s="321"/>
      <c r="L80" s="321"/>
      <c r="M80" s="348"/>
      <c r="N80" s="321"/>
      <c r="O80" s="321"/>
      <c r="P80" s="321"/>
      <c r="Q80" s="321"/>
      <c r="R80" s="321"/>
      <c r="S80" s="1628"/>
      <c r="T80" s="1628" t="s">
        <v>412</v>
      </c>
      <c r="U80" s="341" t="s">
        <v>412</v>
      </c>
      <c r="V80" s="1624"/>
      <c r="W80" s="342" t="str">
        <f>Dictionary!B1241</f>
        <v>Konflikte und Krisen</v>
      </c>
      <c r="X80" s="1635"/>
      <c r="Y80" s="359"/>
      <c r="Z80" s="315"/>
      <c r="AA80" s="359"/>
      <c r="AB80" s="360"/>
      <c r="AC80" s="359"/>
      <c r="AD80" s="360"/>
      <c r="AE80" s="359"/>
      <c r="AF80" s="315"/>
      <c r="AG80" s="359"/>
      <c r="AH80" s="360"/>
      <c r="AI80" s="359"/>
      <c r="AK80" s="356"/>
      <c r="AL80" s="361" t="str">
        <f t="shared" si="25"/>
        <v/>
      </c>
      <c r="AM80" s="348"/>
      <c r="AN80" s="348"/>
      <c r="AO80" s="349">
        <v>4</v>
      </c>
      <c r="AP80" s="349">
        <f>ROUNDUP(AO80/2,0)</f>
        <v>2</v>
      </c>
      <c r="AQ80" s="346" t="str">
        <f>IF(COUNTBLANK(AQ81:AQ84)=$AO80,"",IF((COUNTIF(AQ81:AQ84,"&gt;=1")&gt;=AP80),"Pass","Fail"))</f>
        <v/>
      </c>
    </row>
    <row r="81" spans="9:43" ht="23.25" customHeight="1">
      <c r="I81" s="321"/>
      <c r="J81" s="321"/>
      <c r="K81" s="321"/>
      <c r="L81" s="321"/>
      <c r="M81" s="348"/>
      <c r="N81" s="321"/>
      <c r="O81" s="321"/>
      <c r="P81" s="321"/>
      <c r="Q81" s="321"/>
      <c r="R81" s="321"/>
      <c r="S81" s="1628"/>
      <c r="T81" s="1628" t="s">
        <v>412</v>
      </c>
      <c r="U81" s="350" t="str">
        <f>".1"</f>
        <v>.1</v>
      </c>
      <c r="V81" s="1625" t="s">
        <v>1650</v>
      </c>
      <c r="W81" s="1390" t="str">
        <f>Dictionary!B1351</f>
        <v>Konflikte und Krisen antizipieren und, wenn möglich, verhindern</v>
      </c>
      <c r="X81" s="1636" t="str">
        <f>IFERROR(INDEX($AV$14:$AV$51,MATCH($V81,$C$14:$C$51,0)),"")</f>
        <v/>
      </c>
      <c r="Y81" s="1336" t="str">
        <f>IF(OR(X81=0,X81=1,X81=2,X81=3,X81=4,X81=5),X81,"")</f>
        <v/>
      </c>
      <c r="Z81" s="354"/>
      <c r="AA81" s="1336"/>
      <c r="AB81" s="354"/>
      <c r="AC81" s="1336"/>
      <c r="AD81" s="354"/>
      <c r="AE81" s="1336"/>
      <c r="AF81" s="354"/>
      <c r="AG81" s="349" t="str">
        <f>IF(AND(Y81="",AA81="",AC81="",AE81=""),"",MAX(Y81,AA81,AC81,AE81))</f>
        <v/>
      </c>
      <c r="AH81" s="354"/>
      <c r="AI81" s="1337" t="str">
        <f>IF(Y81="","",IF(GC_Flag="","",IF(OR(Y81&lt;=Dictionary!$I$52,Y81=""),0,1)))</f>
        <v/>
      </c>
      <c r="AK81" s="356" t="str">
        <f t="shared" si="7"/>
        <v/>
      </c>
      <c r="AL81" s="349" t="str">
        <f t="shared" si="25"/>
        <v/>
      </c>
      <c r="AM81" s="348"/>
      <c r="AN81" s="348"/>
      <c r="AO81" s="349"/>
      <c r="AP81" s="349"/>
      <c r="AQ81" s="357" t="str">
        <f>IF(AI81="",AG81,AI81)</f>
        <v/>
      </c>
    </row>
    <row r="82" spans="9:43" ht="23.25" customHeight="1">
      <c r="I82" s="321"/>
      <c r="J82" s="321"/>
      <c r="K82" s="321"/>
      <c r="L82" s="321"/>
      <c r="M82" s="348"/>
      <c r="N82" s="321"/>
      <c r="O82" s="321"/>
      <c r="P82" s="321"/>
      <c r="Q82" s="321"/>
      <c r="R82" s="321"/>
      <c r="S82" s="1628"/>
      <c r="T82" s="1628" t="s">
        <v>412</v>
      </c>
      <c r="U82" s="350" t="str">
        <f>".2"</f>
        <v>.2</v>
      </c>
      <c r="V82" s="1625" t="s">
        <v>1651</v>
      </c>
      <c r="W82" s="1390" t="str">
        <f>Dictionary!B1352</f>
        <v>Ursachen und Auswirkungen von Konflikten und Krisen analysieren und angemessene Reaktionen auswählen</v>
      </c>
      <c r="X82" s="1636" t="str">
        <f>IFERROR(INDEX($AV$14:$AV$51,MATCH($V82,$C$14:$C$51,0)),"")</f>
        <v/>
      </c>
      <c r="Y82" s="1336" t="str">
        <f t="shared" ref="Y82:Y83" si="26">IF(OR(X82=0,X82=1,X82=2,X82=3,X82=4,X82=5),X82,"")</f>
        <v/>
      </c>
      <c r="Z82" s="354"/>
      <c r="AA82" s="1336"/>
      <c r="AB82" s="354"/>
      <c r="AC82" s="1336"/>
      <c r="AD82" s="354"/>
      <c r="AE82" s="1336"/>
      <c r="AF82" s="354"/>
      <c r="AG82" s="349" t="str">
        <f>IF(AND(Y82="",AA82="",AC82="",AE82=""),"",MAX(Y82,AA82,AC82,AE82))</f>
        <v/>
      </c>
      <c r="AH82" s="354"/>
      <c r="AI82" s="1337" t="str">
        <f>IF(Y82="","",IF(GC_Flag="","",IF(OR(Y82&lt;=Dictionary!$I$52,Y82=""),0,1)))</f>
        <v/>
      </c>
      <c r="AK82" s="356" t="str">
        <f t="shared" si="7"/>
        <v/>
      </c>
      <c r="AL82" s="349" t="str">
        <f t="shared" si="25"/>
        <v/>
      </c>
      <c r="AM82" s="348"/>
      <c r="AN82" s="348"/>
      <c r="AO82" s="349"/>
      <c r="AP82" s="349"/>
      <c r="AQ82" s="357" t="str">
        <f>IF(AI82="",AG82,AI82)</f>
        <v/>
      </c>
    </row>
    <row r="83" spans="9:43" ht="23.25" customHeight="1">
      <c r="I83" s="321"/>
      <c r="J83" s="321"/>
      <c r="K83" s="321"/>
      <c r="L83" s="321"/>
      <c r="M83" s="348"/>
      <c r="N83" s="321"/>
      <c r="O83" s="321"/>
      <c r="P83" s="321"/>
      <c r="Q83" s="321"/>
      <c r="R83" s="321"/>
      <c r="S83" s="1628"/>
      <c r="T83" s="1628" t="s">
        <v>412</v>
      </c>
      <c r="U83" s="350" t="str">
        <f>".3"</f>
        <v>.3</v>
      </c>
      <c r="V83" s="1625" t="s">
        <v>1652</v>
      </c>
      <c r="W83" s="1390" t="str">
        <f>Dictionary!B1353</f>
        <v>Konflikte und Krisen und / oder deren Auswirkungen lösen bzw in ihnen vermitteln</v>
      </c>
      <c r="X83" s="1636" t="str">
        <f>IFERROR(INDEX($AV$14:$AV$51,MATCH($V83,$C$14:$C$51,0)),"")</f>
        <v/>
      </c>
      <c r="Y83" s="1336" t="str">
        <f t="shared" si="26"/>
        <v/>
      </c>
      <c r="Z83" s="354"/>
      <c r="AA83" s="1336"/>
      <c r="AB83" s="354"/>
      <c r="AC83" s="1336"/>
      <c r="AD83" s="354"/>
      <c r="AE83" s="1336"/>
      <c r="AF83" s="354"/>
      <c r="AG83" s="349" t="str">
        <f>IF(AND(Y83="",AA83="",AC83="",AE83=""),"",MAX(Y83,AA83,AC83,AE83))</f>
        <v/>
      </c>
      <c r="AH83" s="354"/>
      <c r="AI83" s="1337" t="str">
        <f>IF(Y83="","",IF(GC_Flag="","",IF(OR(Y83&lt;=Dictionary!$I$52,Y83=""),0,1)))</f>
        <v/>
      </c>
      <c r="AK83" s="356" t="str">
        <f t="shared" ref="AK83:AK151" si="27">IF(Y83="","",IF(Y83&gt;=0,Y83,""))</f>
        <v/>
      </c>
      <c r="AL83" s="349" t="str">
        <f t="shared" si="25"/>
        <v/>
      </c>
      <c r="AM83" s="348"/>
      <c r="AN83" s="348"/>
      <c r="AO83" s="349"/>
      <c r="AP83" s="349"/>
      <c r="AQ83" s="357" t="str">
        <f>IF(AI83="",AG83,AI83)</f>
        <v/>
      </c>
    </row>
    <row r="84" spans="9:43" ht="23.25" customHeight="1">
      <c r="I84" s="321"/>
      <c r="J84" s="321"/>
      <c r="K84" s="321"/>
      <c r="L84" s="321"/>
      <c r="M84" s="348"/>
      <c r="N84" s="321"/>
      <c r="O84" s="321"/>
      <c r="P84" s="321"/>
      <c r="Q84" s="321"/>
      <c r="R84" s="321"/>
      <c r="S84" s="1628"/>
      <c r="T84" s="1628" t="s">
        <v>412</v>
      </c>
      <c r="U84" s="350" t="str">
        <f>".4"</f>
        <v>.4</v>
      </c>
      <c r="V84" s="1625" t="s">
        <v>1653</v>
      </c>
      <c r="W84" s="1390" t="str">
        <f>Dictionary!B1354</f>
        <v>Lernergebnisse aus Konflikten und Krisen identifizieren und weitergehen, um die zukünftige Arbeit zu verbessern</v>
      </c>
      <c r="X84" s="1636" t="str">
        <f>IFERROR(INDEX($AV$14:$AV$51,MATCH($V84,$C$14:$C$51,0)),"")</f>
        <v/>
      </c>
      <c r="Y84" s="1336" t="str">
        <f>IF(OR(X84=0,X84=1,X84=2,X84=3,X84=4,X84=5),X84,"")</f>
        <v/>
      </c>
      <c r="Z84" s="354"/>
      <c r="AA84" s="1336"/>
      <c r="AB84" s="354"/>
      <c r="AC84" s="1336"/>
      <c r="AD84" s="354"/>
      <c r="AE84" s="1336"/>
      <c r="AF84" s="354"/>
      <c r="AG84" s="349" t="str">
        <f>IF(AND(Y84="",AA84="",AC84="",AE84=""),"",MAX(Y84,AA84,AC84,AE84))</f>
        <v/>
      </c>
      <c r="AH84" s="354"/>
      <c r="AI84" s="1337" t="str">
        <f>IF(Y84="","",IF(GC_Flag="","",IF(OR(Y84&lt;=Dictionary!$I$52,Y84=""),0,1)))</f>
        <v/>
      </c>
      <c r="AK84" s="356" t="str">
        <f t="shared" si="27"/>
        <v/>
      </c>
      <c r="AL84" s="349" t="str">
        <f t="shared" si="25"/>
        <v/>
      </c>
      <c r="AM84" s="348"/>
      <c r="AN84" s="348"/>
      <c r="AO84" s="349"/>
      <c r="AP84" s="349"/>
      <c r="AQ84" s="357" t="str">
        <f>IF(AI84="",AG84,AI84)</f>
        <v/>
      </c>
    </row>
    <row r="85" spans="9:43" ht="23.25" customHeight="1">
      <c r="I85" s="321"/>
      <c r="J85" s="321"/>
      <c r="K85" s="321"/>
      <c r="L85" s="321"/>
      <c r="M85" s="348"/>
      <c r="N85" s="321"/>
      <c r="O85" s="321"/>
      <c r="P85" s="321"/>
      <c r="Q85" s="321"/>
      <c r="R85" s="321"/>
      <c r="S85" s="1628"/>
      <c r="T85" s="1628" t="s">
        <v>407</v>
      </c>
      <c r="U85" s="341" t="s">
        <v>407</v>
      </c>
      <c r="V85" s="1624"/>
      <c r="W85" s="342" t="str">
        <f>Dictionary!B1242</f>
        <v>Vielseitigkeit</v>
      </c>
      <c r="X85" s="1635"/>
      <c r="Y85" s="359"/>
      <c r="Z85" s="315"/>
      <c r="AA85" s="359"/>
      <c r="AB85" s="360"/>
      <c r="AC85" s="359"/>
      <c r="AD85" s="360"/>
      <c r="AE85" s="359"/>
      <c r="AF85" s="315"/>
      <c r="AG85" s="359"/>
      <c r="AH85" s="360"/>
      <c r="AI85" s="359"/>
      <c r="AK85" s="356"/>
      <c r="AL85" s="361" t="str">
        <f t="shared" si="25"/>
        <v/>
      </c>
      <c r="AM85" s="348"/>
      <c r="AN85" s="348"/>
      <c r="AO85" s="349">
        <v>5</v>
      </c>
      <c r="AP85" s="349">
        <f>ROUNDUP(AO85/2,0)</f>
        <v>3</v>
      </c>
      <c r="AQ85" s="346" t="str">
        <f>IF(COUNTBLANK(AQ86:AQ90)=$AO85,"",IF((COUNTIF(AQ86:AQ90,"&gt;=1")&gt;=AP85),"Pass","Fail"))</f>
        <v/>
      </c>
    </row>
    <row r="86" spans="9:43" ht="23.25" customHeight="1">
      <c r="I86" s="321"/>
      <c r="J86" s="321"/>
      <c r="K86" s="321"/>
      <c r="L86" s="321"/>
      <c r="M86" s="348"/>
      <c r="N86" s="321"/>
      <c r="O86" s="321"/>
      <c r="P86" s="321"/>
      <c r="Q86" s="321"/>
      <c r="R86" s="321"/>
      <c r="S86" s="1628"/>
      <c r="T86" s="1628" t="s">
        <v>407</v>
      </c>
      <c r="U86" s="350" t="str">
        <f>".1"</f>
        <v>.1</v>
      </c>
      <c r="V86" s="1625" t="s">
        <v>1654</v>
      </c>
      <c r="W86" s="1390" t="str">
        <f>Dictionary!B1358</f>
        <v>Ein offenes und kreatives Umfeld schaffen und unterstützen</v>
      </c>
      <c r="X86" s="1636" t="str">
        <f>IFERROR(INDEX($AV$14:$AV$51,MATCH($V86,$C$14:$C$51,0)),"")</f>
        <v/>
      </c>
      <c r="Y86" s="1336" t="str">
        <f>IF(OR(X86=0,X86=1,X86=2,X86=3,X86=4,X86=5),X86,"")</f>
        <v/>
      </c>
      <c r="Z86" s="354"/>
      <c r="AA86" s="1336"/>
      <c r="AB86" s="354"/>
      <c r="AC86" s="1336"/>
      <c r="AD86" s="354"/>
      <c r="AE86" s="1336"/>
      <c r="AF86" s="354"/>
      <c r="AG86" s="349" t="str">
        <f>IF(AND(Y86="",AA86="",AC86="",AE86=""),"",MAX(Y86,AA86,AC86,AE86))</f>
        <v/>
      </c>
      <c r="AH86" s="354"/>
      <c r="AI86" s="1337" t="str">
        <f>IF(Y86="","",IF(GC_Flag="","",IF(OR(Y86&lt;=Dictionary!$I$52,Y86=""),0,1)))</f>
        <v/>
      </c>
      <c r="AK86" s="356" t="str">
        <f t="shared" si="27"/>
        <v/>
      </c>
      <c r="AL86" s="349" t="str">
        <f t="shared" si="25"/>
        <v/>
      </c>
      <c r="AM86" s="348"/>
      <c r="AN86" s="348"/>
      <c r="AO86" s="349"/>
      <c r="AP86" s="349"/>
      <c r="AQ86" s="357" t="str">
        <f>IF(AI86="",AG86,AI86)</f>
        <v/>
      </c>
    </row>
    <row r="87" spans="9:43" ht="23.25" customHeight="1">
      <c r="I87" s="321"/>
      <c r="J87" s="321"/>
      <c r="K87" s="321"/>
      <c r="L87" s="321"/>
      <c r="M87" s="348"/>
      <c r="N87" s="321"/>
      <c r="O87" s="321"/>
      <c r="P87" s="321"/>
      <c r="Q87" s="321"/>
      <c r="R87" s="321"/>
      <c r="S87" s="1628"/>
      <c r="T87" s="1628" t="s">
        <v>407</v>
      </c>
      <c r="U87" s="350" t="str">
        <f>".2"</f>
        <v>.2</v>
      </c>
      <c r="V87" s="1625" t="s">
        <v>1655</v>
      </c>
      <c r="W87" s="1390" t="str">
        <f>Dictionary!B1359</f>
        <v>Konzeptionelles Denken anwenden, um Situationen zu analysieren und Lösungsstrategien zu definieren</v>
      </c>
      <c r="X87" s="1636" t="str">
        <f>IFERROR(INDEX($AV$14:$AV$51,MATCH($V87,$C$14:$C$51,0)),"")</f>
        <v/>
      </c>
      <c r="Y87" s="1336" t="str">
        <f t="shared" ref="Y87:Y90" si="28">IF(OR(X87=0,X87=1,X87=2,X87=3,X87=4,X87=5),X87,"")</f>
        <v/>
      </c>
      <c r="Z87" s="354"/>
      <c r="AA87" s="1336"/>
      <c r="AB87" s="354"/>
      <c r="AC87" s="1336"/>
      <c r="AD87" s="354"/>
      <c r="AE87" s="1336"/>
      <c r="AF87" s="354"/>
      <c r="AG87" s="349" t="str">
        <f>IF(AND(Y87="",AA87="",AC87="",AE87=""),"",MAX(Y87,AA87,AC87,AE87))</f>
        <v/>
      </c>
      <c r="AH87" s="354"/>
      <c r="AI87" s="1337" t="str">
        <f>IF(Y87="","",IF(GC_Flag="","",IF(OR(Y87&lt;=Dictionary!$I$52,Y87=""),0,1)))</f>
        <v/>
      </c>
      <c r="AK87" s="356" t="str">
        <f t="shared" si="27"/>
        <v/>
      </c>
      <c r="AL87" s="349" t="str">
        <f t="shared" si="25"/>
        <v/>
      </c>
      <c r="AM87" s="348"/>
      <c r="AN87" s="348"/>
      <c r="AO87" s="349"/>
      <c r="AP87" s="349"/>
      <c r="AQ87" s="357" t="str">
        <f>IF(AI87="",AG87,AI87)</f>
        <v/>
      </c>
    </row>
    <row r="88" spans="9:43" ht="23.25" customHeight="1">
      <c r="I88" s="321"/>
      <c r="J88" s="321"/>
      <c r="K88" s="321"/>
      <c r="L88" s="321"/>
      <c r="M88" s="348"/>
      <c r="N88" s="321"/>
      <c r="O88" s="321"/>
      <c r="P88" s="321"/>
      <c r="Q88" s="321"/>
      <c r="R88" s="321"/>
      <c r="S88" s="1628"/>
      <c r="T88" s="1628" t="s">
        <v>407</v>
      </c>
      <c r="U88" s="350" t="str">
        <f>".3"</f>
        <v>.3</v>
      </c>
      <c r="V88" s="1625" t="s">
        <v>1656</v>
      </c>
      <c r="W88" s="1390" t="str">
        <f>Dictionary!B1360</f>
        <v>Analytische Techniken anwenden, um Situationen, Informationen und Trends zu analysieren</v>
      </c>
      <c r="X88" s="1636" t="str">
        <f>IFERROR(INDEX($AV$14:$AV$51,MATCH($V88,$C$14:$C$51,0)),"")</f>
        <v/>
      </c>
      <c r="Y88" s="1336" t="str">
        <f t="shared" si="28"/>
        <v/>
      </c>
      <c r="Z88" s="354"/>
      <c r="AA88" s="1336"/>
      <c r="AB88" s="354"/>
      <c r="AC88" s="1336"/>
      <c r="AD88" s="354"/>
      <c r="AE88" s="1336"/>
      <c r="AF88" s="354"/>
      <c r="AG88" s="349" t="str">
        <f>IF(AND(Y88="",AA88="",AC88="",AE88=""),"",MAX(Y88,AA88,AC88,AE88))</f>
        <v/>
      </c>
      <c r="AH88" s="354"/>
      <c r="AI88" s="1337" t="str">
        <f>IF(Y88="","",IF(GC_Flag="","",IF(OR(Y88&lt;=Dictionary!$I$52,Y88=""),0,1)))</f>
        <v/>
      </c>
      <c r="AK88" s="356" t="str">
        <f t="shared" si="27"/>
        <v/>
      </c>
      <c r="AL88" s="349" t="str">
        <f t="shared" si="25"/>
        <v/>
      </c>
      <c r="AM88" s="348"/>
      <c r="AN88" s="348"/>
      <c r="AO88" s="349"/>
      <c r="AP88" s="349"/>
      <c r="AQ88" s="357" t="str">
        <f>IF(AI88="",AG88,AI88)</f>
        <v/>
      </c>
    </row>
    <row r="89" spans="9:43" ht="23.25" customHeight="1">
      <c r="I89" s="321"/>
      <c r="J89" s="321"/>
      <c r="K89" s="321"/>
      <c r="L89" s="321"/>
      <c r="M89" s="348"/>
      <c r="N89" s="321"/>
      <c r="O89" s="321"/>
      <c r="P89" s="321"/>
      <c r="Q89" s="321"/>
      <c r="R89" s="321"/>
      <c r="S89" s="1628"/>
      <c r="T89" s="1628" t="s">
        <v>407</v>
      </c>
      <c r="U89" s="350" t="str">
        <f>".4"</f>
        <v>.4</v>
      </c>
      <c r="V89" s="1625" t="s">
        <v>1657</v>
      </c>
      <c r="W89" s="1390" t="str">
        <f>Dictionary!B1361</f>
        <v>Kreative Techniken fördern und anwenden, um Alternativen und Lösungen zu finden</v>
      </c>
      <c r="X89" s="1636" t="str">
        <f>IFERROR(INDEX($AV$14:$AV$51,MATCH($V89,$C$14:$C$51,0)),"")</f>
        <v/>
      </c>
      <c r="Y89" s="1336" t="str">
        <f>IF(OR(X89=0,X89=1,X89=2,X89=3,X89=4,X89=5),X89,"")</f>
        <v/>
      </c>
      <c r="Z89" s="354"/>
      <c r="AA89" s="1336"/>
      <c r="AB89" s="354"/>
      <c r="AC89" s="1336"/>
      <c r="AD89" s="354"/>
      <c r="AE89" s="1336"/>
      <c r="AF89" s="354"/>
      <c r="AG89" s="349" t="str">
        <f>IF(AND(Y89="",AA89="",AC89="",AE89=""),"",MAX(Y89,AA89,AC89,AE89))</f>
        <v/>
      </c>
      <c r="AH89" s="354"/>
      <c r="AI89" s="1337" t="str">
        <f>IF(Y89="","",IF(GC_Flag="","",IF(OR(Y89&lt;=Dictionary!$I$52,Y89=""),0,1)))</f>
        <v/>
      </c>
      <c r="AK89" s="356" t="str">
        <f t="shared" si="27"/>
        <v/>
      </c>
      <c r="AL89" s="349" t="str">
        <f t="shared" si="25"/>
        <v/>
      </c>
      <c r="AM89" s="348"/>
      <c r="AN89" s="348"/>
      <c r="AO89" s="349"/>
      <c r="AP89" s="349"/>
      <c r="AQ89" s="357" t="str">
        <f>IF(AI89="",AG89,AI89)</f>
        <v/>
      </c>
    </row>
    <row r="90" spans="9:43" ht="23.25" customHeight="1">
      <c r="I90" s="321"/>
      <c r="J90" s="321"/>
      <c r="K90" s="321"/>
      <c r="L90" s="321"/>
      <c r="M90" s="348"/>
      <c r="N90" s="321"/>
      <c r="O90" s="321"/>
      <c r="P90" s="321"/>
      <c r="Q90" s="321"/>
      <c r="R90" s="321"/>
      <c r="S90" s="1628"/>
      <c r="T90" s="1628" t="s">
        <v>407</v>
      </c>
      <c r="U90" s="350" t="str">
        <f>".5"</f>
        <v>.5</v>
      </c>
      <c r="V90" s="1625" t="s">
        <v>1658</v>
      </c>
      <c r="W90" s="1390" t="str">
        <f>Dictionary!B1362</f>
        <v>Ganzheitliche Sicht auf das Projekt und seinen Kontext fördern, um den Entscheidungsprozess zu verbessern</v>
      </c>
      <c r="X90" s="1636" t="str">
        <f>IFERROR(INDEX($AV$14:$AV$51,MATCH($V90,$C$14:$C$51,0)),"")</f>
        <v/>
      </c>
      <c r="Y90" s="1336" t="str">
        <f t="shared" si="28"/>
        <v/>
      </c>
      <c r="Z90" s="354"/>
      <c r="AA90" s="1336"/>
      <c r="AB90" s="354"/>
      <c r="AC90" s="1336"/>
      <c r="AD90" s="354"/>
      <c r="AE90" s="1336"/>
      <c r="AF90" s="354"/>
      <c r="AG90" s="349" t="str">
        <f>IF(AND(Y90="",AA90="",AC90="",AE90=""),"",MAX(Y90,AA90,AC90,AE90))</f>
        <v/>
      </c>
      <c r="AH90" s="354"/>
      <c r="AI90" s="1337" t="str">
        <f>IF(Y90="","",IF(GC_Flag="","",IF(OR(Y90&lt;=Dictionary!$I$52,Y90=""),0,1)))</f>
        <v/>
      </c>
      <c r="AK90" s="356" t="str">
        <f t="shared" si="27"/>
        <v/>
      </c>
      <c r="AL90" s="349" t="str">
        <f t="shared" si="25"/>
        <v/>
      </c>
      <c r="AM90" s="348"/>
      <c r="AN90" s="348"/>
      <c r="AO90" s="349"/>
      <c r="AP90" s="349"/>
      <c r="AQ90" s="357" t="str">
        <f>IF(AI90="",AG90,AI90)</f>
        <v/>
      </c>
    </row>
    <row r="91" spans="9:43" ht="23.25" customHeight="1">
      <c r="I91" s="321"/>
      <c r="J91" s="321"/>
      <c r="K91" s="321"/>
      <c r="L91" s="321"/>
      <c r="M91" s="348"/>
      <c r="N91" s="321"/>
      <c r="O91" s="321"/>
      <c r="P91" s="321"/>
      <c r="Q91" s="321"/>
      <c r="R91" s="321"/>
      <c r="S91" s="1628"/>
      <c r="T91" s="1628" t="s">
        <v>401</v>
      </c>
      <c r="U91" s="341" t="s">
        <v>401</v>
      </c>
      <c r="V91" s="1624"/>
      <c r="W91" s="342" t="str">
        <f>Dictionary!B1243</f>
        <v>Verhandlungen</v>
      </c>
      <c r="X91" s="1635"/>
      <c r="Y91" s="359"/>
      <c r="Z91" s="315"/>
      <c r="AA91" s="359"/>
      <c r="AB91" s="360"/>
      <c r="AC91" s="359"/>
      <c r="AD91" s="360"/>
      <c r="AE91" s="359"/>
      <c r="AF91" s="315"/>
      <c r="AG91" s="359"/>
      <c r="AH91" s="360"/>
      <c r="AI91" s="359"/>
      <c r="AK91" s="356"/>
      <c r="AL91" s="361" t="str">
        <f t="shared" si="25"/>
        <v/>
      </c>
      <c r="AM91" s="348"/>
      <c r="AN91" s="348"/>
      <c r="AO91" s="349">
        <v>5</v>
      </c>
      <c r="AP91" s="349">
        <f>ROUNDUP(AO91/2,0)</f>
        <v>3</v>
      </c>
      <c r="AQ91" s="346" t="str">
        <f>IF(COUNTBLANK(AQ92:AQ96)=$AO91,"",IF((COUNTIF(AQ92:AQ96,"&gt;=1")&gt;=AP91),"Pass","Fail"))</f>
        <v/>
      </c>
    </row>
    <row r="92" spans="9:43" ht="23.25" customHeight="1">
      <c r="I92" s="321"/>
      <c r="J92" s="321"/>
      <c r="K92" s="321"/>
      <c r="L92" s="321"/>
      <c r="M92" s="348"/>
      <c r="N92" s="321"/>
      <c r="O92" s="321"/>
      <c r="P92" s="321"/>
      <c r="Q92" s="321"/>
      <c r="R92" s="321"/>
      <c r="S92" s="1628"/>
      <c r="T92" s="1628" t="s">
        <v>401</v>
      </c>
      <c r="U92" s="350" t="str">
        <f>".1"</f>
        <v>.1</v>
      </c>
      <c r="V92" s="1625" t="s">
        <v>1659</v>
      </c>
      <c r="W92" s="1390" t="str">
        <f>Dictionary!B1366</f>
        <v>Interessen aller Parteien, die an den Verhandlungen beteiligt sind, identifizieren und analysieren</v>
      </c>
      <c r="X92" s="1636" t="str">
        <f>IFERROR(INDEX($AV$14:$AV$51,MATCH($V92,$C$14:$C$51,0)),"")</f>
        <v/>
      </c>
      <c r="Y92" s="1336" t="str">
        <f>IF(OR(X92=0,X92=1,X92=2,X92=3,X92=4,X92=5),X92,"")</f>
        <v/>
      </c>
      <c r="Z92" s="354"/>
      <c r="AA92" s="1336"/>
      <c r="AB92" s="354"/>
      <c r="AC92" s="1336"/>
      <c r="AD92" s="354"/>
      <c r="AE92" s="1336"/>
      <c r="AF92" s="354"/>
      <c r="AG92" s="349" t="str">
        <f>IF(AND(Y92="",AA92="",AC92="",AE92=""),"",MAX(Y92,AA92,AC92,AE92))</f>
        <v/>
      </c>
      <c r="AH92" s="354"/>
      <c r="AI92" s="1337" t="str">
        <f>IF(Y92="","",IF(GC_Flag="","",IF(OR(Y92&lt;=Dictionary!$I$52,Y92=""),0,1)))</f>
        <v/>
      </c>
      <c r="AK92" s="356" t="str">
        <f t="shared" si="27"/>
        <v/>
      </c>
      <c r="AL92" s="349" t="str">
        <f t="shared" si="25"/>
        <v/>
      </c>
      <c r="AM92" s="348"/>
      <c r="AN92" s="348"/>
      <c r="AO92" s="349"/>
      <c r="AP92" s="349"/>
      <c r="AQ92" s="357" t="str">
        <f>IF(AI92="",AG92,AI92)</f>
        <v/>
      </c>
    </row>
    <row r="93" spans="9:43" ht="23.25" customHeight="1">
      <c r="I93" s="321"/>
      <c r="J93" s="321"/>
      <c r="K93" s="321"/>
      <c r="L93" s="321"/>
      <c r="M93" s="348"/>
      <c r="N93" s="321"/>
      <c r="O93" s="321"/>
      <c r="P93" s="321"/>
      <c r="Q93" s="321"/>
      <c r="R93" s="321"/>
      <c r="S93" s="1628"/>
      <c r="T93" s="1628" t="s">
        <v>401</v>
      </c>
      <c r="U93" s="350" t="str">
        <f>".2"</f>
        <v>.2</v>
      </c>
      <c r="V93" s="1625" t="s">
        <v>1660</v>
      </c>
      <c r="W93" s="1390" t="str">
        <f>Dictionary!B1367</f>
        <v>Optionen und Alternativen entwickeln und evaluieren, die das Potenzial haben, die Bedürfnisse aller Beteiligten zu erfüllen</v>
      </c>
      <c r="X93" s="1636" t="str">
        <f>IFERROR(INDEX($AV$14:$AV$51,MATCH($V93,$C$14:$C$51,0)),"")</f>
        <v/>
      </c>
      <c r="Y93" s="1336" t="str">
        <f t="shared" ref="Y93:Y96" si="29">IF(OR(X93=0,X93=1,X93=2,X93=3,X93=4,X93=5),X93,"")</f>
        <v/>
      </c>
      <c r="Z93" s="354"/>
      <c r="AA93" s="1336"/>
      <c r="AB93" s="354"/>
      <c r="AC93" s="1336"/>
      <c r="AD93" s="354"/>
      <c r="AE93" s="1336"/>
      <c r="AF93" s="354"/>
      <c r="AG93" s="349" t="str">
        <f>IF(AND(Y93="",AA93="",AC93="",AE93=""),"",MAX(Y93,AA93,AC93,AE93))</f>
        <v/>
      </c>
      <c r="AH93" s="354"/>
      <c r="AI93" s="1337" t="str">
        <f>IF(Y93="","",IF(GC_Flag="","",IF(OR(Y93&lt;=Dictionary!$I$52,Y93=""),0,1)))</f>
        <v/>
      </c>
      <c r="AK93" s="356" t="str">
        <f t="shared" si="27"/>
        <v/>
      </c>
      <c r="AL93" s="349" t="str">
        <f t="shared" si="25"/>
        <v/>
      </c>
      <c r="AM93" s="348"/>
      <c r="AN93" s="348"/>
      <c r="AO93" s="349"/>
      <c r="AP93" s="349"/>
      <c r="AQ93" s="357" t="str">
        <f>IF(AI93="",AG93,AI93)</f>
        <v/>
      </c>
    </row>
    <row r="94" spans="9:43" ht="23.25" customHeight="1">
      <c r="I94" s="321"/>
      <c r="J94" s="321"/>
      <c r="K94" s="321"/>
      <c r="L94" s="321"/>
      <c r="M94" s="348"/>
      <c r="N94" s="321"/>
      <c r="O94" s="321"/>
      <c r="P94" s="321"/>
      <c r="Q94" s="321"/>
      <c r="R94" s="321"/>
      <c r="S94" s="1628"/>
      <c r="T94" s="1628" t="s">
        <v>401</v>
      </c>
      <c r="U94" s="350" t="str">
        <f>".3"</f>
        <v>.3</v>
      </c>
      <c r="V94" s="1625" t="s">
        <v>1661</v>
      </c>
      <c r="W94" s="1390" t="str">
        <f>Dictionary!B1368</f>
        <v>Verhandlungsstrategie definieren, die mit den eigenen Zielen übereinstimmt und für alle beteiligten Parteien akzeptabel ist</v>
      </c>
      <c r="X94" s="1636" t="str">
        <f>IFERROR(INDEX($AV$14:$AV$51,MATCH($V94,$C$14:$C$51,0)),"")</f>
        <v/>
      </c>
      <c r="Y94" s="1336" t="str">
        <f t="shared" si="29"/>
        <v/>
      </c>
      <c r="Z94" s="354"/>
      <c r="AA94" s="1336"/>
      <c r="AB94" s="354"/>
      <c r="AC94" s="1336"/>
      <c r="AD94" s="354"/>
      <c r="AE94" s="1336"/>
      <c r="AF94" s="354"/>
      <c r="AG94" s="349" t="str">
        <f>IF(AND(Y94="",AA94="",AC94="",AE94=""),"",MAX(Y94,AA94,AC94,AE94))</f>
        <v/>
      </c>
      <c r="AH94" s="354"/>
      <c r="AI94" s="1337" t="str">
        <f>IF(Y94="","",IF(GC_Flag="","",IF(OR(Y94&lt;=Dictionary!$I$52,Y94=""),0,1)))</f>
        <v/>
      </c>
      <c r="AK94" s="356" t="str">
        <f t="shared" si="27"/>
        <v/>
      </c>
      <c r="AL94" s="349" t="str">
        <f t="shared" si="25"/>
        <v/>
      </c>
      <c r="AM94" s="348"/>
      <c r="AN94" s="348"/>
      <c r="AO94" s="349"/>
      <c r="AP94" s="349"/>
      <c r="AQ94" s="357" t="str">
        <f>IF(AI94="",AG94,AI94)</f>
        <v/>
      </c>
    </row>
    <row r="95" spans="9:43" ht="23.25" customHeight="1">
      <c r="I95" s="321"/>
      <c r="J95" s="321"/>
      <c r="K95" s="321"/>
      <c r="L95" s="321"/>
      <c r="M95" s="348"/>
      <c r="N95" s="321"/>
      <c r="O95" s="321"/>
      <c r="P95" s="321"/>
      <c r="Q95" s="321"/>
      <c r="R95" s="321"/>
      <c r="S95" s="1628"/>
      <c r="T95" s="1628" t="s">
        <v>401</v>
      </c>
      <c r="U95" s="350" t="str">
        <f>".4"</f>
        <v>.4</v>
      </c>
      <c r="V95" s="1625" t="s">
        <v>1662</v>
      </c>
      <c r="W95" s="1390" t="str">
        <f>Dictionary!B1369</f>
        <v>Einigungen mit anderen Parteien erzielen, die mit den eigenen Zielen übereinstimmen</v>
      </c>
      <c r="X95" s="1636" t="str">
        <f>IFERROR(INDEX($AV$14:$AV$51,MATCH($V95,$C$14:$C$51,0)),"")</f>
        <v/>
      </c>
      <c r="Y95" s="1336" t="str">
        <f>IF(OR(X95=0,X95=1,X95=2,X95=3,X95=4,X95=5),X95,"")</f>
        <v/>
      </c>
      <c r="Z95" s="354"/>
      <c r="AA95" s="1336"/>
      <c r="AB95" s="354"/>
      <c r="AC95" s="1336"/>
      <c r="AD95" s="354"/>
      <c r="AE95" s="1336"/>
      <c r="AF95" s="354"/>
      <c r="AG95" s="349" t="str">
        <f>IF(AND(Y95="",AA95="",AC95="",AE95=""),"",MAX(Y95,AA95,AC95,AE95))</f>
        <v/>
      </c>
      <c r="AH95" s="354"/>
      <c r="AI95" s="1337" t="str">
        <f>IF(Y95="","",IF(GC_Flag="","",IF(OR(Y95&lt;=Dictionary!$I$52,Y95=""),0,1)))</f>
        <v/>
      </c>
      <c r="AK95" s="356" t="str">
        <f t="shared" si="27"/>
        <v/>
      </c>
      <c r="AL95" s="349" t="str">
        <f t="shared" si="25"/>
        <v/>
      </c>
      <c r="AM95" s="348"/>
      <c r="AN95" s="348"/>
      <c r="AO95" s="349"/>
      <c r="AP95" s="349"/>
      <c r="AQ95" s="357" t="str">
        <f>IF(AI95="",AG95,AI95)</f>
        <v/>
      </c>
    </row>
    <row r="96" spans="9:43" ht="23.25" customHeight="1">
      <c r="I96" s="321"/>
      <c r="J96" s="321"/>
      <c r="K96" s="321"/>
      <c r="L96" s="321"/>
      <c r="M96" s="348"/>
      <c r="N96" s="321"/>
      <c r="O96" s="321"/>
      <c r="P96" s="321"/>
      <c r="Q96" s="321"/>
      <c r="R96" s="321"/>
      <c r="S96" s="1628"/>
      <c r="T96" s="1628" t="s">
        <v>401</v>
      </c>
      <c r="U96" s="350" t="str">
        <f>".5"</f>
        <v>.5</v>
      </c>
      <c r="V96" s="1625" t="s">
        <v>1663</v>
      </c>
      <c r="W96" s="1390" t="str">
        <f>Dictionary!B1370</f>
        <v>Zusätzliche Verkaufs- und Akquisitionsmöglichkeiten entdecken und ausschöpfen</v>
      </c>
      <c r="X96" s="1636" t="str">
        <f>IFERROR(INDEX($AV$14:$AV$51,MATCH($V96,$C$14:$C$51,0)),"")</f>
        <v/>
      </c>
      <c r="Y96" s="1336" t="str">
        <f t="shared" si="29"/>
        <v/>
      </c>
      <c r="Z96" s="354"/>
      <c r="AA96" s="1336"/>
      <c r="AB96" s="354"/>
      <c r="AC96" s="1336"/>
      <c r="AD96" s="354"/>
      <c r="AE96" s="1336"/>
      <c r="AF96" s="354"/>
      <c r="AG96" s="349" t="str">
        <f>IF(AND(Y96="",AA96="",AC96="",AE96=""),"",MAX(Y96,AA96,AC96,AE96))</f>
        <v/>
      </c>
      <c r="AH96" s="354"/>
      <c r="AI96" s="1337" t="str">
        <f>IF(Y96="","",IF(GC_Flag="","",IF(OR(Y96&lt;=Dictionary!$I$52,Y96=""),0,1)))</f>
        <v/>
      </c>
      <c r="AK96" s="356" t="str">
        <f t="shared" si="27"/>
        <v/>
      </c>
      <c r="AL96" s="349" t="str">
        <f t="shared" si="25"/>
        <v/>
      </c>
      <c r="AM96" s="348"/>
      <c r="AN96" s="348"/>
      <c r="AO96" s="349"/>
      <c r="AP96" s="349"/>
      <c r="AQ96" s="357" t="str">
        <f>IF(AI96="",AG96,AI96)</f>
        <v/>
      </c>
    </row>
    <row r="97" spans="9:43" ht="23.25" customHeight="1">
      <c r="I97" s="321"/>
      <c r="J97" s="321"/>
      <c r="K97" s="321"/>
      <c r="L97" s="321"/>
      <c r="M97" s="348"/>
      <c r="N97" s="321"/>
      <c r="O97" s="321"/>
      <c r="P97" s="321"/>
      <c r="Q97" s="321"/>
      <c r="R97" s="321"/>
      <c r="S97" s="1628"/>
      <c r="T97" s="1628" t="s">
        <v>395</v>
      </c>
      <c r="U97" s="341" t="s">
        <v>395</v>
      </c>
      <c r="V97" s="1624"/>
      <c r="W97" s="342" t="str">
        <f>Dictionary!B1244</f>
        <v>Ergebnisorientierung</v>
      </c>
      <c r="X97" s="1635"/>
      <c r="Y97" s="359"/>
      <c r="Z97" s="315"/>
      <c r="AA97" s="359"/>
      <c r="AB97" s="360"/>
      <c r="AC97" s="359"/>
      <c r="AD97" s="360"/>
      <c r="AE97" s="359"/>
      <c r="AF97" s="315"/>
      <c r="AG97" s="359"/>
      <c r="AH97" s="360"/>
      <c r="AI97" s="359"/>
      <c r="AK97" s="356"/>
      <c r="AL97" s="361" t="str">
        <f t="shared" si="25"/>
        <v/>
      </c>
      <c r="AM97" s="348"/>
      <c r="AN97" s="348"/>
      <c r="AO97" s="349">
        <v>5</v>
      </c>
      <c r="AP97" s="349">
        <f>ROUNDUP(AO97/2,0)</f>
        <v>3</v>
      </c>
      <c r="AQ97" s="346" t="str">
        <f>IF(COUNTBLANK(AQ98:AQ102)=$AO97,"",IF((COUNTIF(AQ98:AQ102,"&gt;=1")&gt;=AP97),"Pass","Fail"))</f>
        <v/>
      </c>
    </row>
    <row r="98" spans="9:43" ht="23.25" customHeight="1">
      <c r="I98" s="321"/>
      <c r="J98" s="321"/>
      <c r="K98" s="321"/>
      <c r="L98" s="321"/>
      <c r="M98" s="348"/>
      <c r="N98" s="321"/>
      <c r="O98" s="321"/>
      <c r="P98" s="321"/>
      <c r="Q98" s="321"/>
      <c r="R98" s="321"/>
      <c r="S98" s="1628"/>
      <c r="T98" s="1628" t="s">
        <v>395</v>
      </c>
      <c r="U98" s="350" t="str">
        <f>".1"</f>
        <v>.1</v>
      </c>
      <c r="V98" s="1625" t="s">
        <v>1664</v>
      </c>
      <c r="W98" s="1390" t="str">
        <f>Dictionary!B1374</f>
        <v>Alle Entscheidungen und Handlungen hinsichtlich ihrer Auswirkung auf den Projekterfolg und die Ziele der Organisation evaluieren</v>
      </c>
      <c r="X98" s="1636" t="str">
        <f>IFERROR(INDEX($AV$14:$AV$51,MATCH($V98,$C$14:$C$51,0)),"")</f>
        <v/>
      </c>
      <c r="Y98" s="1336" t="str">
        <f>IF(OR(X98=0,X98=1,X98=2,X98=3,X98=4,X98=5),X98,"")</f>
        <v/>
      </c>
      <c r="Z98" s="354"/>
      <c r="AA98" s="1336"/>
      <c r="AB98" s="354"/>
      <c r="AC98" s="1336"/>
      <c r="AD98" s="354"/>
      <c r="AE98" s="1336"/>
      <c r="AF98" s="354"/>
      <c r="AG98" s="349" t="str">
        <f>IF(AND(Y98="",AA98="",AC98="",AE98=""),"",MAX(Y98,AA98,AC98,AE98))</f>
        <v/>
      </c>
      <c r="AH98" s="354"/>
      <c r="AI98" s="1337" t="str">
        <f>IF(Y98="","",IF(GC_Flag="","",IF(OR(Y98&lt;=Dictionary!$I$52,Y98=""),0,1)))</f>
        <v/>
      </c>
      <c r="AK98" s="356" t="str">
        <f t="shared" si="27"/>
        <v/>
      </c>
      <c r="AL98" s="349" t="str">
        <f t="shared" si="25"/>
        <v/>
      </c>
      <c r="AM98" s="348"/>
      <c r="AN98" s="348"/>
      <c r="AO98" s="349"/>
      <c r="AP98" s="349"/>
      <c r="AQ98" s="357" t="str">
        <f>IF(AI98="",AG98,AI98)</f>
        <v/>
      </c>
    </row>
    <row r="99" spans="9:43" ht="23.25" customHeight="1">
      <c r="I99" s="321"/>
      <c r="J99" s="321"/>
      <c r="K99" s="321"/>
      <c r="L99" s="321"/>
      <c r="M99" s="348"/>
      <c r="N99" s="321"/>
      <c r="O99" s="321"/>
      <c r="P99" s="321"/>
      <c r="Q99" s="321"/>
      <c r="R99" s="321"/>
      <c r="S99" s="1628"/>
      <c r="T99" s="1628" t="s">
        <v>395</v>
      </c>
      <c r="U99" s="350" t="str">
        <f>".2"</f>
        <v>.2</v>
      </c>
      <c r="V99" s="1625" t="s">
        <v>1665</v>
      </c>
      <c r="W99" s="1390" t="str">
        <f>Dictionary!B1375</f>
        <v>Bedürfnisse und Mittel aufeinander abstimmen, um Ergebnisse und Erfolge zu optimieren</v>
      </c>
      <c r="X99" s="1636" t="str">
        <f>IFERROR(INDEX($AV$14:$AV$51,MATCH($V99,$C$14:$C$51,0)),"")</f>
        <v/>
      </c>
      <c r="Y99" s="1336" t="str">
        <f t="shared" ref="Y99:Y102" si="30">IF(OR(X99=0,X99=1,X99=2,X99=3,X99=4,X99=5),X99,"")</f>
        <v/>
      </c>
      <c r="Z99" s="354"/>
      <c r="AA99" s="1336"/>
      <c r="AB99" s="354"/>
      <c r="AC99" s="1336"/>
      <c r="AD99" s="354"/>
      <c r="AE99" s="1336"/>
      <c r="AF99" s="354"/>
      <c r="AG99" s="349" t="str">
        <f>IF(AND(Y99="",AA99="",AC99="",AE99=""),"",MAX(Y99,AA99,AC99,AE99))</f>
        <v/>
      </c>
      <c r="AH99" s="354"/>
      <c r="AI99" s="1337" t="str">
        <f>IF(Y99="","",IF(GC_Flag="","",IF(OR(Y99&lt;=Dictionary!$I$52,Y99=""),0,1)))</f>
        <v/>
      </c>
      <c r="AK99" s="356" t="str">
        <f t="shared" si="27"/>
        <v/>
      </c>
      <c r="AL99" s="349" t="str">
        <f t="shared" si="25"/>
        <v/>
      </c>
      <c r="AM99" s="348"/>
      <c r="AN99" s="348"/>
      <c r="AO99" s="349"/>
      <c r="AP99" s="349"/>
      <c r="AQ99" s="357" t="str">
        <f>IF(AI99="",AG99,AI99)</f>
        <v/>
      </c>
    </row>
    <row r="100" spans="9:43" ht="23.25" customHeight="1">
      <c r="I100" s="321"/>
      <c r="J100" s="321"/>
      <c r="K100" s="321"/>
      <c r="L100" s="321"/>
      <c r="M100" s="348"/>
      <c r="N100" s="321"/>
      <c r="O100" s="321"/>
      <c r="P100" s="321"/>
      <c r="Q100" s="321"/>
      <c r="R100" s="321"/>
      <c r="S100" s="1628"/>
      <c r="T100" s="1628" t="s">
        <v>395</v>
      </c>
      <c r="U100" s="350" t="str">
        <f>".3"</f>
        <v>.3</v>
      </c>
      <c r="V100" s="1625" t="s">
        <v>1666</v>
      </c>
      <c r="W100" s="1390" t="str">
        <f>Dictionary!B1376</f>
        <v>Gesunde, sichere und produktive Arbeitsumgebung schaffen und diese aufrecht erhalten</v>
      </c>
      <c r="X100" s="1636" t="str">
        <f>IFERROR(INDEX($AV$14:$AV$51,MATCH($V100,$C$14:$C$51,0)),"")</f>
        <v/>
      </c>
      <c r="Y100" s="1336" t="str">
        <f t="shared" si="30"/>
        <v/>
      </c>
      <c r="Z100" s="354"/>
      <c r="AA100" s="1336"/>
      <c r="AB100" s="354"/>
      <c r="AC100" s="1336"/>
      <c r="AD100" s="354"/>
      <c r="AE100" s="1336"/>
      <c r="AF100" s="354"/>
      <c r="AG100" s="349" t="str">
        <f>IF(AND(Y100="",AA100="",AC100="",AE100=""),"",MAX(Y100,AA100,AC100,AE100))</f>
        <v/>
      </c>
      <c r="AH100" s="354"/>
      <c r="AI100" s="1337" t="str">
        <f>IF(Y100="","",IF(GC_Flag="","",IF(OR(Y100&lt;=Dictionary!$I$52,Y100=""),0,1)))</f>
        <v/>
      </c>
      <c r="AK100" s="356" t="str">
        <f t="shared" si="27"/>
        <v/>
      </c>
      <c r="AL100" s="349" t="str">
        <f t="shared" si="25"/>
        <v/>
      </c>
      <c r="AM100" s="348"/>
      <c r="AN100" s="348"/>
      <c r="AO100" s="349"/>
      <c r="AP100" s="349"/>
      <c r="AQ100" s="357" t="str">
        <f>IF(AI100="",AG100,AI100)</f>
        <v/>
      </c>
    </row>
    <row r="101" spans="9:43" ht="23.25" customHeight="1">
      <c r="I101" s="321"/>
      <c r="J101" s="321"/>
      <c r="K101" s="321"/>
      <c r="L101" s="321"/>
      <c r="M101" s="348"/>
      <c r="N101" s="321"/>
      <c r="O101" s="321"/>
      <c r="P101" s="321"/>
      <c r="Q101" s="321"/>
      <c r="R101" s="321"/>
      <c r="S101" s="1628"/>
      <c r="T101" s="1628" t="s">
        <v>395</v>
      </c>
      <c r="U101" s="350" t="str">
        <f>".4"</f>
        <v>.4</v>
      </c>
      <c r="V101" s="1625" t="s">
        <v>1667</v>
      </c>
      <c r="W101" s="1390" t="str">
        <f>Dictionary!B1377</f>
        <v>Das Projekt, seine Prozesse und Ergebnisse promoten und diese ‚verkaufen‘</v>
      </c>
      <c r="X101" s="1636" t="str">
        <f>IFERROR(INDEX($AV$14:$AV$51,MATCH($V101,$C$14:$C$51,0)),"")</f>
        <v/>
      </c>
      <c r="Y101" s="1336" t="str">
        <f>IF(OR(X101=0,X101=1,X101=2,X101=3,X101=4,X101=5),X101,"")</f>
        <v/>
      </c>
      <c r="Z101" s="354"/>
      <c r="AA101" s="1336"/>
      <c r="AB101" s="354"/>
      <c r="AC101" s="1336"/>
      <c r="AD101" s="354"/>
      <c r="AE101" s="1336"/>
      <c r="AF101" s="354"/>
      <c r="AG101" s="349" t="str">
        <f>IF(AND(Y101="",AA101="",AC101="",AE101=""),"",MAX(Y101,AA101,AC101,AE101))</f>
        <v/>
      </c>
      <c r="AH101" s="354"/>
      <c r="AI101" s="1337" t="str">
        <f>IF(Y101="","",IF(GC_Flag="","",IF(OR(Y101&lt;=Dictionary!$I$52,Y101=""),0,1)))</f>
        <v/>
      </c>
      <c r="AK101" s="356" t="str">
        <f t="shared" si="27"/>
        <v/>
      </c>
      <c r="AL101" s="349" t="str">
        <f t="shared" si="25"/>
        <v/>
      </c>
      <c r="AM101" s="348"/>
      <c r="AN101" s="348"/>
      <c r="AO101" s="349"/>
      <c r="AP101" s="349"/>
      <c r="AQ101" s="357" t="str">
        <f>IF(AI101="",AG101,AI101)</f>
        <v/>
      </c>
    </row>
    <row r="102" spans="9:43" ht="23.25" customHeight="1">
      <c r="I102" s="321"/>
      <c r="J102" s="321"/>
      <c r="K102" s="321"/>
      <c r="L102" s="321"/>
      <c r="M102" s="348"/>
      <c r="N102" s="321"/>
      <c r="O102" s="321"/>
      <c r="P102" s="321"/>
      <c r="Q102" s="321"/>
      <c r="R102" s="321"/>
      <c r="S102" s="1628"/>
      <c r="T102" s="1628" t="s">
        <v>395</v>
      </c>
      <c r="U102" s="350" t="str">
        <f>".5"</f>
        <v>.5</v>
      </c>
      <c r="V102" s="1625" t="s">
        <v>1668</v>
      </c>
      <c r="W102" s="1390" t="str">
        <f>Dictionary!B1378</f>
        <v>Ergebnisse liefern und Akzeptanz erhalten</v>
      </c>
      <c r="X102" s="1636" t="str">
        <f>IFERROR(INDEX($AV$14:$AV$51,MATCH($V102,$C$14:$C$51,0)),"")</f>
        <v/>
      </c>
      <c r="Y102" s="1336" t="str">
        <f t="shared" si="30"/>
        <v/>
      </c>
      <c r="Z102" s="354"/>
      <c r="AA102" s="1336"/>
      <c r="AB102" s="354"/>
      <c r="AC102" s="1336"/>
      <c r="AD102" s="354"/>
      <c r="AE102" s="1336"/>
      <c r="AF102" s="354"/>
      <c r="AG102" s="349" t="str">
        <f>IF(AND(Y102="",AA102="",AC102="",AE102=""),"",MAX(Y102,AA102,AC102,AE102))</f>
        <v/>
      </c>
      <c r="AH102" s="354"/>
      <c r="AI102" s="1337" t="str">
        <f>IF(Y102="","",IF(GC_Flag="","",IF(OR(Y102&lt;=Dictionary!$I$52,Y102=""),0,1)))</f>
        <v/>
      </c>
      <c r="AK102" s="356" t="str">
        <f t="shared" si="27"/>
        <v/>
      </c>
      <c r="AL102" s="349" t="str">
        <f t="shared" si="25"/>
        <v/>
      </c>
      <c r="AM102" s="348"/>
      <c r="AN102" s="348"/>
      <c r="AO102" s="349"/>
      <c r="AP102" s="349"/>
      <c r="AQ102" s="357" t="str">
        <f>IF(AI102="",AG102,AI102)</f>
        <v/>
      </c>
    </row>
    <row r="103" spans="9:43" ht="23.25" customHeight="1">
      <c r="I103" s="321"/>
      <c r="J103" s="321"/>
      <c r="K103" s="321"/>
      <c r="L103" s="321"/>
      <c r="M103" s="313"/>
      <c r="N103" s="321"/>
      <c r="O103" s="321"/>
      <c r="P103" s="321"/>
      <c r="Q103" s="321"/>
      <c r="R103" s="321"/>
      <c r="S103" s="1629"/>
      <c r="T103" s="1629"/>
      <c r="U103" s="313"/>
      <c r="V103" s="313"/>
      <c r="W103" s="363"/>
      <c r="X103" s="1635"/>
      <c r="Y103" s="315"/>
      <c r="Z103" s="315"/>
      <c r="AA103" s="315"/>
      <c r="AB103" s="315"/>
      <c r="AC103" s="315"/>
      <c r="AD103" s="315"/>
      <c r="AE103" s="315"/>
      <c r="AF103" s="315"/>
      <c r="AG103" s="315"/>
      <c r="AH103" s="315"/>
      <c r="AI103" s="315"/>
      <c r="AK103" s="356"/>
      <c r="AL103" s="365"/>
      <c r="AM103" s="313"/>
      <c r="AN103" s="313"/>
      <c r="AO103" s="370"/>
      <c r="AP103" s="370"/>
      <c r="AQ103" s="315"/>
    </row>
    <row r="104" spans="9:43" ht="23.25" customHeight="1">
      <c r="I104" s="321"/>
      <c r="J104" s="321"/>
      <c r="K104" s="321"/>
      <c r="L104" s="321"/>
      <c r="M104" s="313"/>
      <c r="N104" s="321"/>
      <c r="O104" s="321"/>
      <c r="P104" s="321"/>
      <c r="Q104" s="321"/>
      <c r="R104" s="321"/>
      <c r="S104" s="1629"/>
      <c r="T104" s="1629"/>
      <c r="U104" s="313"/>
      <c r="V104" s="313"/>
      <c r="W104" s="366" t="str">
        <f>Dictionary!B846</f>
        <v>Practice Kompetenz Elements</v>
      </c>
      <c r="X104" s="1635"/>
      <c r="Y104" s="315"/>
      <c r="Z104" s="315"/>
      <c r="AA104" s="315"/>
      <c r="AB104" s="315"/>
      <c r="AC104" s="315"/>
      <c r="AD104" s="315"/>
      <c r="AE104" s="315"/>
      <c r="AF104" s="315"/>
      <c r="AG104" s="315"/>
      <c r="AH104" s="315"/>
      <c r="AI104" s="315"/>
      <c r="AK104" s="356"/>
      <c r="AL104" s="367"/>
      <c r="AM104" s="313"/>
      <c r="AN104" s="313"/>
      <c r="AO104" s="334"/>
      <c r="AP104" s="334"/>
      <c r="AQ104" s="315"/>
    </row>
    <row r="105" spans="9:43" ht="23.25" customHeight="1">
      <c r="I105" s="321"/>
      <c r="J105" s="321"/>
      <c r="K105" s="321"/>
      <c r="L105" s="321"/>
      <c r="M105" s="348"/>
      <c r="N105" s="321"/>
      <c r="O105" s="321"/>
      <c r="P105" s="321"/>
      <c r="Q105" s="321"/>
      <c r="R105" s="321"/>
      <c r="S105" s="1628"/>
      <c r="T105" s="1628" t="s">
        <v>388</v>
      </c>
      <c r="U105" s="341" t="s">
        <v>388</v>
      </c>
      <c r="V105" s="1624"/>
      <c r="W105" s="342" t="str">
        <f>Dictionary!B1246</f>
        <v>Projektdesign</v>
      </c>
      <c r="X105" s="1635"/>
      <c r="Y105" s="359"/>
      <c r="Z105" s="315"/>
      <c r="AA105" s="359"/>
      <c r="AB105" s="360"/>
      <c r="AC105" s="359"/>
      <c r="AD105" s="360"/>
      <c r="AE105" s="359"/>
      <c r="AF105" s="315"/>
      <c r="AG105" s="359"/>
      <c r="AH105" s="360"/>
      <c r="AI105" s="359"/>
      <c r="AK105" s="356"/>
      <c r="AL105" s="346" t="str">
        <f t="shared" ref="AL105:AL136" si="31">AQ105</f>
        <v/>
      </c>
      <c r="AM105" s="348"/>
      <c r="AN105" s="348"/>
      <c r="AO105" s="349">
        <f>Scoring!AK105</f>
        <v>5</v>
      </c>
      <c r="AP105" s="349">
        <f>ROUNDUP(AO105/2,0)</f>
        <v>3</v>
      </c>
      <c r="AQ105" s="346" t="str">
        <f>IF((COUNTBLANK(AQ106:AQ113)-COUNTBLANK(W106:W113))=$AO105,"",IF((COUNTIF(AQ106:AQ113,"&gt;=1")&gt;=AP105),"Pass","Fail"))</f>
        <v/>
      </c>
    </row>
    <row r="106" spans="9:43" ht="23.25" customHeight="1">
      <c r="I106" s="321"/>
      <c r="J106" s="321"/>
      <c r="K106" s="321"/>
      <c r="L106" s="321"/>
      <c r="M106" s="348"/>
      <c r="N106" s="321"/>
      <c r="O106" s="321"/>
      <c r="P106" s="321"/>
      <c r="Q106" s="321"/>
      <c r="R106" s="321"/>
      <c r="S106" s="1628"/>
      <c r="T106" s="1628" t="s">
        <v>388</v>
      </c>
      <c r="U106" s="350" t="str">
        <f>".1"</f>
        <v>.1</v>
      </c>
      <c r="V106" s="1625" t="s">
        <v>1755</v>
      </c>
      <c r="W106" s="1390" t="str">
        <f>Dictionary!B1382</f>
        <v>Erfolgskriterien anerkennen, priorisieren und überprüfen</v>
      </c>
      <c r="X106" s="1636" t="str">
        <f t="shared" ref="X106:X113" si="32">IFERROR(INDEX($AV$14:$AV$51,MATCH($V106,$C$14:$C$51,0)),"")</f>
        <v/>
      </c>
      <c r="Y106" s="1336" t="str">
        <f>IF(OR(X106=0,X106=1,X106=2,X106=3,X106=4,X106=5),X106,"")</f>
        <v/>
      </c>
      <c r="Z106" s="354"/>
      <c r="AA106" s="1336"/>
      <c r="AB106" s="354"/>
      <c r="AC106" s="1336"/>
      <c r="AD106" s="354"/>
      <c r="AE106" s="1336"/>
      <c r="AF106" s="354"/>
      <c r="AG106" s="349" t="str">
        <f>IF(AND(Y106="",AA106="",AC106="",AE106=""),"",MAX(Y106,AA106,AC106,AE106))</f>
        <v/>
      </c>
      <c r="AH106" s="354"/>
      <c r="AI106" s="1337" t="str">
        <f>IF(Y106="","",IF(GC_Flag="","",IF(OR(Y106&lt;=Dictionary!$I$52,Y106=""),0,1)))</f>
        <v/>
      </c>
      <c r="AK106" s="356" t="str">
        <f t="shared" si="27"/>
        <v/>
      </c>
      <c r="AL106" s="349" t="str">
        <f t="shared" si="31"/>
        <v/>
      </c>
      <c r="AM106" s="348"/>
      <c r="AN106" s="348"/>
      <c r="AO106" s="349"/>
      <c r="AP106" s="349"/>
      <c r="AQ106" s="357" t="str">
        <f t="shared" ref="AQ106:AQ113" si="33">IF(AI106="",AG106,AI106)</f>
        <v/>
      </c>
    </row>
    <row r="107" spans="9:43" ht="23.25" customHeight="1">
      <c r="I107" s="321"/>
      <c r="J107" s="321"/>
      <c r="K107" s="321"/>
      <c r="L107" s="321"/>
      <c r="M107" s="348"/>
      <c r="N107" s="321"/>
      <c r="O107" s="321"/>
      <c r="P107" s="321"/>
      <c r="Q107" s="321"/>
      <c r="R107" s="321"/>
      <c r="S107" s="1628"/>
      <c r="T107" s="1628" t="s">
        <v>388</v>
      </c>
      <c r="U107" s="350" t="str">
        <f>".2"</f>
        <v>.2</v>
      </c>
      <c r="V107" s="1625" t="s">
        <v>1756</v>
      </c>
      <c r="W107" s="1390" t="str">
        <f>Dictionary!B1383</f>
        <v>Lessons Learned aus und mit anderen Projekten überprüfen, anwenden und austauschen</v>
      </c>
      <c r="X107" s="1636" t="str">
        <f t="shared" si="32"/>
        <v/>
      </c>
      <c r="Y107" s="1336" t="str">
        <f t="shared" ref="Y107:Y113" si="34">IF(OR(X107=0,X107=1,X107=2,X107=3,X107=4,X107=5),X107,"")</f>
        <v/>
      </c>
      <c r="Z107" s="354"/>
      <c r="AA107" s="1336"/>
      <c r="AB107" s="354"/>
      <c r="AC107" s="1336"/>
      <c r="AD107" s="354"/>
      <c r="AE107" s="1336"/>
      <c r="AF107" s="354"/>
      <c r="AG107" s="349" t="str">
        <f>IF(AND(Y107="",AA107="",AC107="",AE107=""),"",MAX(Y107,AA107,AC107,AE107))</f>
        <v/>
      </c>
      <c r="AH107" s="354"/>
      <c r="AI107" s="1337" t="str">
        <f>IF(Y107="","",IF(GC_Flag="","",IF(OR(Y107&lt;=Dictionary!$I$52,Y107=""),0,1)))</f>
        <v/>
      </c>
      <c r="AK107" s="356" t="str">
        <f t="shared" si="27"/>
        <v/>
      </c>
      <c r="AL107" s="349" t="str">
        <f t="shared" si="31"/>
        <v/>
      </c>
      <c r="AM107" s="348"/>
      <c r="AN107" s="348"/>
      <c r="AO107" s="349"/>
      <c r="AP107" s="349"/>
      <c r="AQ107" s="357" t="str">
        <f t="shared" si="33"/>
        <v/>
      </c>
    </row>
    <row r="108" spans="9:43" ht="23.25" customHeight="1">
      <c r="I108" s="321"/>
      <c r="J108" s="321"/>
      <c r="K108" s="321"/>
      <c r="L108" s="321"/>
      <c r="M108" s="348"/>
      <c r="N108" s="321"/>
      <c r="O108" s="321"/>
      <c r="P108" s="321"/>
      <c r="Q108" s="321"/>
      <c r="R108" s="321"/>
      <c r="S108" s="1628"/>
      <c r="T108" s="1628" t="s">
        <v>388</v>
      </c>
      <c r="U108" s="350" t="str">
        <f>".3"</f>
        <v>.3</v>
      </c>
      <c r="V108" s="1625" t="s">
        <v>1757</v>
      </c>
      <c r="W108" s="1390" t="str">
        <f>Dictionary!B1384</f>
        <v>Projektkomplexität und ihre Konsequenzen für den Projektmanagementansatz bestimmen</v>
      </c>
      <c r="X108" s="1636" t="str">
        <f t="shared" si="32"/>
        <v/>
      </c>
      <c r="Y108" s="1336" t="str">
        <f t="shared" si="34"/>
        <v/>
      </c>
      <c r="Z108" s="354"/>
      <c r="AA108" s="1336"/>
      <c r="AB108" s="354"/>
      <c r="AC108" s="1336"/>
      <c r="AD108" s="354"/>
      <c r="AE108" s="1336"/>
      <c r="AF108" s="354"/>
      <c r="AG108" s="349" t="str">
        <f>IF(AND(Y108="",AA108="",AC108="",AE108=""),"",MAX(Y108,AA108,AC108,AE108))</f>
        <v/>
      </c>
      <c r="AH108" s="354"/>
      <c r="AI108" s="1337" t="str">
        <f>IF(Y108="","",IF(GC_Flag="","",IF(OR(Y108&lt;=Dictionary!$I$52,Y108=""),0,1)))</f>
        <v/>
      </c>
      <c r="AK108" s="356" t="str">
        <f t="shared" si="27"/>
        <v/>
      </c>
      <c r="AL108" s="349" t="str">
        <f t="shared" si="31"/>
        <v/>
      </c>
      <c r="AM108" s="348"/>
      <c r="AN108" s="348"/>
      <c r="AO108" s="349"/>
      <c r="AP108" s="349"/>
      <c r="AQ108" s="357" t="str">
        <f t="shared" si="33"/>
        <v/>
      </c>
    </row>
    <row r="109" spans="9:43" ht="23.25" customHeight="1">
      <c r="I109" s="321"/>
      <c r="J109" s="321"/>
      <c r="K109" s="321"/>
      <c r="L109" s="321"/>
      <c r="M109" s="348"/>
      <c r="N109" s="321"/>
      <c r="O109" s="321"/>
      <c r="P109" s="321"/>
      <c r="Q109" s="321"/>
      <c r="R109" s="321"/>
      <c r="S109" s="1628"/>
      <c r="T109" s="1628" t="s">
        <v>388</v>
      </c>
      <c r="U109" s="350" t="str">
        <f>".4"</f>
        <v>.4</v>
      </c>
      <c r="V109" s="1625" t="s">
        <v>1758</v>
      </c>
      <c r="W109" s="1390" t="str">
        <f>Dictionary!B1385</f>
        <v>Generellen Projektmanagementansatz auswählen und anpassen</v>
      </c>
      <c r="X109" s="1636" t="str">
        <f t="shared" si="32"/>
        <v/>
      </c>
      <c r="Y109" s="1336" t="str">
        <f>IF(OR(X109=0,X109=1,X109=2,X109=3,X109=4,X109=5),X109,"")</f>
        <v/>
      </c>
      <c r="Z109" s="354"/>
      <c r="AA109" s="1336"/>
      <c r="AB109" s="354"/>
      <c r="AC109" s="1336"/>
      <c r="AD109" s="354"/>
      <c r="AE109" s="1336"/>
      <c r="AF109" s="354"/>
      <c r="AG109" s="349" t="str">
        <f>IF(AND(Y109="",AA109="",AC109="",AE109=""),"",MAX(Y109,AA109,AC109,AE109))</f>
        <v/>
      </c>
      <c r="AH109" s="354"/>
      <c r="AI109" s="1337" t="str">
        <f>IF(Y109="","",IF(GC_Flag="","",IF(OR(Y109&lt;=Dictionary!$I$52,Y109=""),0,1)))</f>
        <v/>
      </c>
      <c r="AK109" s="356" t="str">
        <f t="shared" si="27"/>
        <v/>
      </c>
      <c r="AL109" s="349" t="str">
        <f t="shared" si="31"/>
        <v/>
      </c>
      <c r="AM109" s="348"/>
      <c r="AN109" s="348"/>
      <c r="AO109" s="349"/>
      <c r="AP109" s="349"/>
      <c r="AQ109" s="357" t="str">
        <f t="shared" si="33"/>
        <v/>
      </c>
    </row>
    <row r="110" spans="9:43" ht="23.25" customHeight="1">
      <c r="I110" s="321"/>
      <c r="J110" s="321"/>
      <c r="K110" s="321"/>
      <c r="L110" s="321"/>
      <c r="M110" s="348"/>
      <c r="N110" s="321"/>
      <c r="O110" s="321"/>
      <c r="P110" s="321"/>
      <c r="Q110" s="321"/>
      <c r="R110" s="321"/>
      <c r="S110" s="1628"/>
      <c r="T110" s="1628" t="s">
        <v>388</v>
      </c>
      <c r="U110" s="350" t="str">
        <f>".5"</f>
        <v>.5</v>
      </c>
      <c r="V110" s="1625" t="s">
        <v>1763</v>
      </c>
      <c r="W110" s="1390" t="str">
        <f>Dictionary!B1386</f>
        <v>Konzept für die Projektdurchführung entwerfen, überwachen und anpassen</v>
      </c>
      <c r="X110" s="1636" t="str">
        <f t="shared" si="32"/>
        <v/>
      </c>
      <c r="Y110" s="1336" t="str">
        <f t="shared" si="34"/>
        <v/>
      </c>
      <c r="Z110" s="354"/>
      <c r="AA110" s="1336"/>
      <c r="AB110" s="354"/>
      <c r="AC110" s="1336"/>
      <c r="AD110" s="354"/>
      <c r="AE110" s="1336"/>
      <c r="AF110" s="354"/>
      <c r="AG110" s="349" t="str">
        <f>IF(AND(Y110="",AA110="",AC110="",AE110=""),"",MAX(Y110,AA110,AC110,AE110))</f>
        <v/>
      </c>
      <c r="AH110" s="354"/>
      <c r="AI110" s="1337" t="str">
        <f>IF(Y110="","",IF(GC_Flag="","",IF(OR(Y110&lt;=Dictionary!$I$52,Y110=""),0,1)))</f>
        <v/>
      </c>
      <c r="AK110" s="356" t="str">
        <f t="shared" si="27"/>
        <v/>
      </c>
      <c r="AL110" s="349" t="str">
        <f t="shared" si="31"/>
        <v/>
      </c>
      <c r="AM110" s="348"/>
      <c r="AN110" s="348"/>
      <c r="AO110" s="349"/>
      <c r="AP110" s="349"/>
      <c r="AQ110" s="357" t="str">
        <f t="shared" si="33"/>
        <v/>
      </c>
    </row>
    <row r="111" spans="9:43" ht="23.25" customHeight="1">
      <c r="I111" s="321"/>
      <c r="J111" s="321"/>
      <c r="K111" s="321"/>
      <c r="L111" s="321"/>
      <c r="M111" s="348"/>
      <c r="N111" s="321"/>
      <c r="O111" s="321"/>
      <c r="P111" s="321"/>
      <c r="Q111" s="321"/>
      <c r="R111" s="321"/>
      <c r="S111" s="1628"/>
      <c r="T111" s="1628" t="s">
        <v>388</v>
      </c>
      <c r="U111" s="350" t="str">
        <f>".6"</f>
        <v>.6</v>
      </c>
      <c r="V111" s="1625" t="s">
        <v>1765</v>
      </c>
      <c r="W111" s="1390" t="str">
        <f>Dictionary!B1387</f>
        <v/>
      </c>
      <c r="X111" s="1636" t="str">
        <f t="shared" si="32"/>
        <v/>
      </c>
      <c r="Y111" s="1336" t="str">
        <f>IF(OR(X111=0,X111=1,X111=2,X111=3,X111=4,X111=5),X111,"")</f>
        <v/>
      </c>
      <c r="Z111" s="1106"/>
      <c r="AA111" s="1336"/>
      <c r="AB111" s="1106"/>
      <c r="AC111" s="1336"/>
      <c r="AD111" s="1106"/>
      <c r="AE111" s="1336"/>
      <c r="AF111" s="1106"/>
      <c r="AG111" s="349" t="str">
        <f t="shared" ref="AG111:AG113" si="35">IF(AND(Y111="",AA111="",AC111="",AE111=""),"",MAX(Y111,AA111,AC111,AE111))</f>
        <v/>
      </c>
      <c r="AH111" s="1106"/>
      <c r="AI111" s="1337" t="str">
        <f>IF(Y111="","",IF(GC_Flag="","",IF(OR(Y111&lt;=Dictionary!$I$52,Y111=""),0,1)))</f>
        <v/>
      </c>
      <c r="AK111" s="356"/>
      <c r="AL111" s="349" t="str">
        <f t="shared" si="31"/>
        <v/>
      </c>
      <c r="AM111" s="348"/>
      <c r="AN111" s="348"/>
      <c r="AO111" s="349"/>
      <c r="AP111" s="349"/>
      <c r="AQ111" s="357" t="str">
        <f t="shared" si="33"/>
        <v/>
      </c>
    </row>
    <row r="112" spans="9:43" ht="23.25" customHeight="1">
      <c r="I112" s="321"/>
      <c r="J112" s="321"/>
      <c r="K112" s="321"/>
      <c r="L112" s="321"/>
      <c r="M112" s="348"/>
      <c r="N112" s="321"/>
      <c r="O112" s="321"/>
      <c r="P112" s="321"/>
      <c r="Q112" s="321"/>
      <c r="R112" s="321"/>
      <c r="S112" s="1628"/>
      <c r="T112" s="1628" t="s">
        <v>388</v>
      </c>
      <c r="U112" s="350" t="str">
        <f>".7"</f>
        <v>.7</v>
      </c>
      <c r="V112" s="1625" t="s">
        <v>1768</v>
      </c>
      <c r="W112" s="1390" t="str">
        <f>Dictionary!B1388</f>
        <v/>
      </c>
      <c r="X112" s="1636" t="str">
        <f t="shared" si="32"/>
        <v/>
      </c>
      <c r="Y112" s="1336" t="str">
        <f t="shared" si="34"/>
        <v/>
      </c>
      <c r="Z112" s="1106"/>
      <c r="AA112" s="1336"/>
      <c r="AB112" s="1106"/>
      <c r="AC112" s="1336"/>
      <c r="AD112" s="1106"/>
      <c r="AE112" s="1336"/>
      <c r="AF112" s="1106"/>
      <c r="AG112" s="349" t="str">
        <f t="shared" si="35"/>
        <v/>
      </c>
      <c r="AH112" s="1106"/>
      <c r="AI112" s="1337" t="str">
        <f>IF(Y112="","",IF(GC_Flag="","",IF(OR(Y112&lt;=Dictionary!$I$52,Y112=""),0,1)))</f>
        <v/>
      </c>
      <c r="AK112" s="356"/>
      <c r="AL112" s="349" t="str">
        <f t="shared" si="31"/>
        <v/>
      </c>
      <c r="AM112" s="348"/>
      <c r="AN112" s="348"/>
      <c r="AO112" s="349"/>
      <c r="AP112" s="349"/>
      <c r="AQ112" s="357" t="str">
        <f t="shared" si="33"/>
        <v/>
      </c>
    </row>
    <row r="113" spans="9:43" ht="23.25" customHeight="1">
      <c r="I113" s="321"/>
      <c r="J113" s="321"/>
      <c r="K113" s="321"/>
      <c r="L113" s="321"/>
      <c r="M113" s="348"/>
      <c r="N113" s="321"/>
      <c r="O113" s="321"/>
      <c r="P113" s="321"/>
      <c r="Q113" s="321"/>
      <c r="R113" s="321"/>
      <c r="S113" s="1628"/>
      <c r="T113" s="1628" t="s">
        <v>388</v>
      </c>
      <c r="U113" s="350" t="str">
        <f>".8"</f>
        <v>.8</v>
      </c>
      <c r="V113" s="1625" t="s">
        <v>1770</v>
      </c>
      <c r="W113" s="1390" t="str">
        <f>Dictionary!B1389</f>
        <v/>
      </c>
      <c r="X113" s="1636" t="str">
        <f t="shared" si="32"/>
        <v/>
      </c>
      <c r="Y113" s="1336" t="str">
        <f t="shared" si="34"/>
        <v/>
      </c>
      <c r="Z113" s="1106"/>
      <c r="AA113" s="1336"/>
      <c r="AB113" s="1106"/>
      <c r="AC113" s="1336"/>
      <c r="AD113" s="1106"/>
      <c r="AE113" s="1336"/>
      <c r="AF113" s="1106"/>
      <c r="AG113" s="349" t="str">
        <f t="shared" si="35"/>
        <v/>
      </c>
      <c r="AH113" s="1106"/>
      <c r="AI113" s="1337" t="str">
        <f>IF(Y113="","",IF(GC_Flag="","",IF(OR(Y113&lt;=Dictionary!$I$52,Y113=""),0,1)))</f>
        <v/>
      </c>
      <c r="AK113" s="356"/>
      <c r="AL113" s="349" t="str">
        <f t="shared" si="31"/>
        <v/>
      </c>
      <c r="AM113" s="348"/>
      <c r="AN113" s="348"/>
      <c r="AO113" s="349"/>
      <c r="AP113" s="349"/>
      <c r="AQ113" s="357" t="str">
        <f t="shared" si="33"/>
        <v/>
      </c>
    </row>
    <row r="114" spans="9:43" ht="23.25" customHeight="1">
      <c r="I114" s="321"/>
      <c r="J114" s="321"/>
      <c r="K114" s="321"/>
      <c r="L114" s="321"/>
      <c r="M114" s="348"/>
      <c r="N114" s="321"/>
      <c r="O114" s="321"/>
      <c r="P114" s="321"/>
      <c r="Q114" s="321"/>
      <c r="R114" s="321"/>
      <c r="S114" s="1628"/>
      <c r="T114" s="1628" t="s">
        <v>382</v>
      </c>
      <c r="U114" s="341" t="s">
        <v>382</v>
      </c>
      <c r="V114" s="1624"/>
      <c r="W114" s="342" t="str">
        <f>Dictionary!B1247</f>
        <v>Anforderungen und Ziele</v>
      </c>
      <c r="X114" s="1635"/>
      <c r="Y114" s="359"/>
      <c r="Z114" s="315"/>
      <c r="AA114" s="359"/>
      <c r="AB114" s="360"/>
      <c r="AC114" s="359"/>
      <c r="AD114" s="360"/>
      <c r="AE114" s="359"/>
      <c r="AF114" s="315"/>
      <c r="AG114" s="359"/>
      <c r="AH114" s="360"/>
      <c r="AI114" s="359"/>
      <c r="AK114" s="356"/>
      <c r="AL114" s="361" t="str">
        <f t="shared" si="31"/>
        <v/>
      </c>
      <c r="AM114" s="348"/>
      <c r="AN114" s="348"/>
      <c r="AO114" s="349">
        <f>Scoring!AK114</f>
        <v>3</v>
      </c>
      <c r="AP114" s="349">
        <f>ROUNDUP(AO114/2,0)</f>
        <v>2</v>
      </c>
      <c r="AQ114" s="346" t="str">
        <f>IF((COUNTBLANK(AQ115:AQ119)-COUNTBLANK(W115:W119))=$AO114,"",IF((COUNTIF(AQ115:AQ119,"&gt;=1")&gt;=AP114),"Pass","Fail"))</f>
        <v/>
      </c>
    </row>
    <row r="115" spans="9:43" ht="23.25" customHeight="1">
      <c r="I115" s="321"/>
      <c r="J115" s="321"/>
      <c r="K115" s="321"/>
      <c r="L115" s="321"/>
      <c r="M115" s="348"/>
      <c r="N115" s="321"/>
      <c r="O115" s="321"/>
      <c r="P115" s="321"/>
      <c r="Q115" s="321"/>
      <c r="R115" s="321"/>
      <c r="S115" s="1628"/>
      <c r="T115" s="1628" t="s">
        <v>382</v>
      </c>
      <c r="U115" s="350" t="str">
        <f>".1"</f>
        <v>.1</v>
      </c>
      <c r="V115" s="1625" t="s">
        <v>1773</v>
      </c>
      <c r="W115" s="1390" t="str">
        <f>Dictionary!B1393</f>
        <v>Hierarchie der Projektziele definieren und entwickeln</v>
      </c>
      <c r="X115" s="1636" t="str">
        <f>IFERROR(INDEX($AV$14:$AV$51,MATCH($V115,$C$14:$C$51,0)),"")</f>
        <v/>
      </c>
      <c r="Y115" s="1336" t="str">
        <f>IF(OR(X115=0,X115=1,X115=2,X115=3,X115=4,X115=5),X115,"")</f>
        <v/>
      </c>
      <c r="Z115" s="354"/>
      <c r="AA115" s="1336"/>
      <c r="AB115" s="354"/>
      <c r="AC115" s="1336"/>
      <c r="AD115" s="354"/>
      <c r="AE115" s="1336"/>
      <c r="AF115" s="354"/>
      <c r="AG115" s="349" t="str">
        <f>IF(AND(Y115="",AA115="",AC115="",AE115=""),"",MAX(Y115,AA115,AC115,AE115))</f>
        <v/>
      </c>
      <c r="AH115" s="354"/>
      <c r="AI115" s="1337" t="str">
        <f>IF(Y115="","",IF(GC_Flag="","",IF(OR(Y115&lt;=Dictionary!$I$52,Y115=""),0,1)))</f>
        <v/>
      </c>
      <c r="AK115" s="356" t="str">
        <f t="shared" si="27"/>
        <v/>
      </c>
      <c r="AL115" s="349" t="str">
        <f t="shared" si="31"/>
        <v/>
      </c>
      <c r="AM115" s="348"/>
      <c r="AN115" s="348"/>
      <c r="AO115" s="349"/>
      <c r="AP115" s="349"/>
      <c r="AQ115" s="357" t="str">
        <f>IF(AI115="",AG115,AI115)</f>
        <v/>
      </c>
    </row>
    <row r="116" spans="9:43" ht="23.25" customHeight="1">
      <c r="I116" s="321"/>
      <c r="J116" s="321"/>
      <c r="K116" s="321"/>
      <c r="L116" s="321"/>
      <c r="M116" s="348"/>
      <c r="N116" s="321"/>
      <c r="O116" s="321"/>
      <c r="P116" s="321"/>
      <c r="Q116" s="321"/>
      <c r="R116" s="321"/>
      <c r="S116" s="1628"/>
      <c r="T116" s="1628" t="s">
        <v>382</v>
      </c>
      <c r="U116" s="350" t="str">
        <f>".2"</f>
        <v>.2</v>
      </c>
      <c r="V116" s="1625" t="s">
        <v>1776</v>
      </c>
      <c r="W116" s="1390" t="str">
        <f>Dictionary!B1394</f>
        <v>Bedürfnisse und Anforderungen der Projekt-Stakeholder identifizieren und analysieren</v>
      </c>
      <c r="X116" s="1636" t="str">
        <f>IFERROR(INDEX($AV$14:$AV$51,MATCH($V116,$C$14:$C$51,0)),"")</f>
        <v/>
      </c>
      <c r="Y116" s="1336" t="str">
        <f t="shared" ref="Y116:Y119" si="36">IF(OR(X116=0,X116=1,X116=2,X116=3,X116=4,X116=5),X116,"")</f>
        <v/>
      </c>
      <c r="Z116" s="354"/>
      <c r="AA116" s="1336"/>
      <c r="AB116" s="354"/>
      <c r="AC116" s="1336"/>
      <c r="AD116" s="354"/>
      <c r="AE116" s="1336"/>
      <c r="AF116" s="354"/>
      <c r="AG116" s="349" t="str">
        <f>IF(AND(Y116="",AA116="",AC116="",AE116=""),"",MAX(Y116,AA116,AC116,AE116))</f>
        <v/>
      </c>
      <c r="AH116" s="354"/>
      <c r="AI116" s="1337" t="str">
        <f>IF(Y116="","",IF(GC_Flag="","",IF(OR(Y116&lt;=Dictionary!$I$52,Y116=""),0,1)))</f>
        <v/>
      </c>
      <c r="AK116" s="356" t="str">
        <f t="shared" si="27"/>
        <v/>
      </c>
      <c r="AL116" s="349" t="str">
        <f t="shared" si="31"/>
        <v/>
      </c>
      <c r="AM116" s="348"/>
      <c r="AN116" s="348"/>
      <c r="AO116" s="349"/>
      <c r="AP116" s="349"/>
      <c r="AQ116" s="357" t="str">
        <f>IF(AI116="",AG116,AI116)</f>
        <v/>
      </c>
    </row>
    <row r="117" spans="9:43" ht="23.25" customHeight="1">
      <c r="I117" s="321"/>
      <c r="J117" s="321"/>
      <c r="K117" s="321"/>
      <c r="L117" s="321"/>
      <c r="M117" s="348"/>
      <c r="N117" s="321"/>
      <c r="O117" s="321"/>
      <c r="P117" s="321"/>
      <c r="Q117" s="321"/>
      <c r="R117" s="321"/>
      <c r="S117" s="1628"/>
      <c r="T117" s="1628" t="s">
        <v>382</v>
      </c>
      <c r="U117" s="350" t="str">
        <f>".3"</f>
        <v>.3</v>
      </c>
      <c r="V117" s="1625" t="s">
        <v>1777</v>
      </c>
      <c r="W117" s="1390" t="str">
        <f>Dictionary!B1395</f>
        <v>Anforderungen und Abnahmekriterien priorisieren und darüber entscheiden</v>
      </c>
      <c r="X117" s="1636" t="str">
        <f>IFERROR(INDEX($AV$14:$AV$51,MATCH($V117,$C$14:$C$51,0)),"")</f>
        <v/>
      </c>
      <c r="Y117" s="1336" t="str">
        <f t="shared" si="36"/>
        <v/>
      </c>
      <c r="Z117" s="354"/>
      <c r="AA117" s="1336"/>
      <c r="AB117" s="354"/>
      <c r="AC117" s="1336"/>
      <c r="AD117" s="354"/>
      <c r="AE117" s="1336"/>
      <c r="AF117" s="354"/>
      <c r="AG117" s="349" t="str">
        <f>IF(AND(Y117="",AA117="",AC117="",AE117=""),"",MAX(Y117,AA117,AC117,AE117))</f>
        <v/>
      </c>
      <c r="AH117" s="354"/>
      <c r="AI117" s="1337" t="str">
        <f>IF(Y117="","",IF(GC_Flag="","",IF(OR(Y117&lt;=Dictionary!$I$52,Y117=""),0,1)))</f>
        <v/>
      </c>
      <c r="AK117" s="356" t="str">
        <f t="shared" si="27"/>
        <v/>
      </c>
      <c r="AL117" s="349" t="str">
        <f t="shared" si="31"/>
        <v/>
      </c>
      <c r="AM117" s="348"/>
      <c r="AN117" s="348"/>
      <c r="AO117" s="349"/>
      <c r="AP117" s="349"/>
      <c r="AQ117" s="357" t="str">
        <f>IF(AI117="",AG117,AI117)</f>
        <v/>
      </c>
    </row>
    <row r="118" spans="9:43" ht="23.25" customHeight="1">
      <c r="I118" s="321"/>
      <c r="J118" s="321"/>
      <c r="K118" s="321"/>
      <c r="L118" s="321"/>
      <c r="M118" s="348"/>
      <c r="N118" s="321"/>
      <c r="O118" s="321"/>
      <c r="P118" s="321"/>
      <c r="Q118" s="321"/>
      <c r="R118" s="321"/>
      <c r="S118" s="1628"/>
      <c r="T118" s="1628" t="s">
        <v>382</v>
      </c>
      <c r="U118" s="350" t="str">
        <f>".4"</f>
        <v>.4</v>
      </c>
      <c r="V118" s="1625" t="s">
        <v>1780</v>
      </c>
      <c r="W118" s="1390" t="str">
        <f>Dictionary!B1396</f>
        <v/>
      </c>
      <c r="X118" s="1636" t="str">
        <f>IFERROR(INDEX($AV$14:$AV$51,MATCH($V118,$C$14:$C$51,0)),"")</f>
        <v/>
      </c>
      <c r="Y118" s="1336" t="str">
        <f>IF(OR(X118=0,X118=1,X118=2,X118=3,X118=4,X118=5),X118,"")</f>
        <v/>
      </c>
      <c r="Z118" s="354"/>
      <c r="AA118" s="1336"/>
      <c r="AB118" s="354"/>
      <c r="AC118" s="1336"/>
      <c r="AD118" s="354"/>
      <c r="AE118" s="1336"/>
      <c r="AF118" s="354"/>
      <c r="AG118" s="349" t="str">
        <f t="shared" ref="AG118:AG119" si="37">IF(AND(Y118="",AA118="",AC118="",AE118=""),"",MAX(Y118,AA118,AC118,AE118))</f>
        <v/>
      </c>
      <c r="AH118" s="354"/>
      <c r="AI118" s="1337" t="str">
        <f>IF(Y118="","",IF(GC_Flag="","",IF(OR(Y118&lt;=Dictionary!$I$52,Y118=""),0,1)))</f>
        <v/>
      </c>
      <c r="AK118" s="356" t="str">
        <f t="shared" ref="AK118:AK119" si="38">IF(Y118="","",IF(Y118&gt;=0,Y118,""))</f>
        <v/>
      </c>
      <c r="AL118" s="349" t="str">
        <f t="shared" si="31"/>
        <v/>
      </c>
      <c r="AM118" s="348"/>
      <c r="AN118" s="348"/>
      <c r="AO118" s="349"/>
      <c r="AP118" s="349"/>
      <c r="AQ118" s="357" t="str">
        <f>IF(AI118="",AG118,AI118)</f>
        <v/>
      </c>
    </row>
    <row r="119" spans="9:43" ht="23.25" customHeight="1">
      <c r="I119" s="321"/>
      <c r="J119" s="321"/>
      <c r="K119" s="321"/>
      <c r="L119" s="321"/>
      <c r="M119" s="348"/>
      <c r="N119" s="321"/>
      <c r="O119" s="321"/>
      <c r="P119" s="321"/>
      <c r="Q119" s="321"/>
      <c r="R119" s="321"/>
      <c r="S119" s="1628"/>
      <c r="T119" s="1628" t="s">
        <v>382</v>
      </c>
      <c r="U119" s="350" t="str">
        <f>".5"</f>
        <v>.5</v>
      </c>
      <c r="V119" s="1625" t="s">
        <v>1783</v>
      </c>
      <c r="W119" s="1390" t="str">
        <f>Dictionary!B1397</f>
        <v/>
      </c>
      <c r="X119" s="1636" t="str">
        <f>IFERROR(INDEX($AV$14:$AV$51,MATCH($V119,$C$14:$C$51,0)),"")</f>
        <v/>
      </c>
      <c r="Y119" s="1336" t="str">
        <f t="shared" si="36"/>
        <v/>
      </c>
      <c r="Z119" s="354"/>
      <c r="AA119" s="1336"/>
      <c r="AB119" s="354"/>
      <c r="AC119" s="1336"/>
      <c r="AD119" s="354"/>
      <c r="AE119" s="1336"/>
      <c r="AF119" s="354"/>
      <c r="AG119" s="349" t="str">
        <f t="shared" si="37"/>
        <v/>
      </c>
      <c r="AH119" s="354"/>
      <c r="AI119" s="1337" t="str">
        <f>IF(Y119="","",IF(GC_Flag="","",IF(OR(Y119&lt;=Dictionary!$I$52,Y119=""),0,1)))</f>
        <v/>
      </c>
      <c r="AK119" s="356" t="str">
        <f t="shared" si="38"/>
        <v/>
      </c>
      <c r="AL119" s="349" t="str">
        <f t="shared" si="31"/>
        <v/>
      </c>
      <c r="AM119" s="348"/>
      <c r="AN119" s="348"/>
      <c r="AO119" s="349"/>
      <c r="AP119" s="349"/>
      <c r="AQ119" s="357" t="str">
        <f>IF(AI119="",AG119,AI119)</f>
        <v/>
      </c>
    </row>
    <row r="120" spans="9:43" ht="23.25" customHeight="1">
      <c r="I120" s="321"/>
      <c r="J120" s="321"/>
      <c r="K120" s="321"/>
      <c r="L120" s="321"/>
      <c r="M120" s="348"/>
      <c r="N120" s="321"/>
      <c r="O120" s="321"/>
      <c r="P120" s="321"/>
      <c r="Q120" s="321"/>
      <c r="R120" s="321"/>
      <c r="S120" s="1628"/>
      <c r="T120" s="1628" t="s">
        <v>378</v>
      </c>
      <c r="U120" s="341" t="s">
        <v>378</v>
      </c>
      <c r="V120" s="1624"/>
      <c r="W120" s="342" t="str">
        <f>Dictionary!B1248</f>
        <v>Leistungsumfang</v>
      </c>
      <c r="X120" s="1635"/>
      <c r="Y120" s="359"/>
      <c r="Z120" s="315"/>
      <c r="AA120" s="359"/>
      <c r="AB120" s="360"/>
      <c r="AC120" s="359"/>
      <c r="AD120" s="360"/>
      <c r="AE120" s="359"/>
      <c r="AF120" s="315"/>
      <c r="AG120" s="359"/>
      <c r="AH120" s="360"/>
      <c r="AI120" s="359"/>
      <c r="AK120" s="356"/>
      <c r="AL120" s="361" t="str">
        <f t="shared" si="31"/>
        <v/>
      </c>
      <c r="AM120" s="348"/>
      <c r="AN120" s="348"/>
      <c r="AO120" s="349">
        <f>Scoring!AK120</f>
        <v>4</v>
      </c>
      <c r="AP120" s="349">
        <f>ROUNDUP(AO120/2,0)</f>
        <v>2</v>
      </c>
      <c r="AQ120" s="346" t="str">
        <f>IF((COUNTBLANK(AQ121:AQ124)-COUNTBLANK(W121:W124))=$AO120,"",IF((COUNTIF(AQ121:AQ124,"&gt;=1")&gt;=AP120),"Pass","Fail"))</f>
        <v/>
      </c>
    </row>
    <row r="121" spans="9:43" ht="23.25" customHeight="1">
      <c r="I121" s="321"/>
      <c r="J121" s="321"/>
      <c r="K121" s="321"/>
      <c r="L121" s="321"/>
      <c r="M121" s="348"/>
      <c r="N121" s="321"/>
      <c r="O121" s="321"/>
      <c r="P121" s="321"/>
      <c r="Q121" s="321"/>
      <c r="R121" s="321"/>
      <c r="S121" s="1628"/>
      <c r="T121" s="1628" t="s">
        <v>378</v>
      </c>
      <c r="U121" s="350" t="str">
        <f>".1"</f>
        <v>.1</v>
      </c>
      <c r="V121" s="1625" t="s">
        <v>1787</v>
      </c>
      <c r="W121" s="1390" t="str">
        <f>Dictionary!B1401</f>
        <v>Lieferobjekte definieren</v>
      </c>
      <c r="X121" s="1636" t="str">
        <f>IFERROR(INDEX($AV$14:$AV$51,MATCH($V121,$C$14:$C$51,0)),"")</f>
        <v/>
      </c>
      <c r="Y121" s="1336" t="str">
        <f>IF(OR(X121=0,X121=1,X121=2,X121=3,X121=4,X121=5),X121,"")</f>
        <v/>
      </c>
      <c r="Z121" s="354"/>
      <c r="AA121" s="1336"/>
      <c r="AB121" s="354"/>
      <c r="AC121" s="1336"/>
      <c r="AD121" s="354"/>
      <c r="AE121" s="1336"/>
      <c r="AF121" s="354"/>
      <c r="AG121" s="349" t="str">
        <f>IF(AND(Y121="",AA121="",AC121="",AE121=""),"",MAX(Y121,AA121,AC121,AE121))</f>
        <v/>
      </c>
      <c r="AH121" s="354"/>
      <c r="AI121" s="1337" t="str">
        <f>IF(Y121="","",IF(GC_Flag="","",IF(OR(Y121&lt;=Dictionary!$I$52,Y121=""),0,1)))</f>
        <v/>
      </c>
      <c r="AK121" s="356" t="str">
        <f t="shared" si="27"/>
        <v/>
      </c>
      <c r="AL121" s="349" t="str">
        <f t="shared" si="31"/>
        <v/>
      </c>
      <c r="AM121" s="348"/>
      <c r="AN121" s="348"/>
      <c r="AO121" s="349"/>
      <c r="AP121" s="349"/>
      <c r="AQ121" s="357" t="str">
        <f>IF(AI121="",AG121,AI121)</f>
        <v/>
      </c>
    </row>
    <row r="122" spans="9:43" ht="23.25" customHeight="1">
      <c r="I122" s="321"/>
      <c r="J122" s="321"/>
      <c r="K122" s="321"/>
      <c r="L122" s="321"/>
      <c r="M122" s="348"/>
      <c r="N122" s="321"/>
      <c r="O122" s="321"/>
      <c r="P122" s="321"/>
      <c r="Q122" s="321"/>
      <c r="R122" s="321"/>
      <c r="S122" s="1628"/>
      <c r="T122" s="1628" t="s">
        <v>378</v>
      </c>
      <c r="U122" s="350" t="str">
        <f>".2"</f>
        <v>.2</v>
      </c>
      <c r="V122" s="1625" t="s">
        <v>1789</v>
      </c>
      <c r="W122" s="1390" t="str">
        <f>Dictionary!B1402</f>
        <v>Leistungsumfang strukturieren</v>
      </c>
      <c r="X122" s="1636" t="str">
        <f>IFERROR(INDEX($AV$14:$AV$51,MATCH($V122,$C$14:$C$51,0)),"")</f>
        <v/>
      </c>
      <c r="Y122" s="1336" t="str">
        <f t="shared" ref="Y122:Y123" si="39">IF(OR(X122=0,X122=1,X122=2,X122=3,X122=4,X122=5),X122,"")</f>
        <v/>
      </c>
      <c r="Z122" s="354"/>
      <c r="AA122" s="1336"/>
      <c r="AB122" s="354"/>
      <c r="AC122" s="1336"/>
      <c r="AD122" s="354"/>
      <c r="AE122" s="1336"/>
      <c r="AF122" s="354"/>
      <c r="AG122" s="349" t="str">
        <f>IF(AND(Y122="",AA122="",AC122="",AE122=""),"",MAX(Y122,AA122,AC122,AE122))</f>
        <v/>
      </c>
      <c r="AH122" s="354"/>
      <c r="AI122" s="1337" t="str">
        <f>IF(Y122="","",IF(GC_Flag="","",IF(OR(Y122&lt;=Dictionary!$I$52,Y122=""),0,1)))</f>
        <v/>
      </c>
      <c r="AK122" s="356" t="str">
        <f t="shared" si="27"/>
        <v/>
      </c>
      <c r="AL122" s="349" t="str">
        <f t="shared" si="31"/>
        <v/>
      </c>
      <c r="AM122" s="348"/>
      <c r="AN122" s="348"/>
      <c r="AO122" s="349"/>
      <c r="AP122" s="349"/>
      <c r="AQ122" s="357" t="str">
        <f>IF(AI122="",AG122,AI122)</f>
        <v/>
      </c>
    </row>
    <row r="123" spans="9:43" ht="23.25" customHeight="1">
      <c r="I123" s="321"/>
      <c r="J123" s="321"/>
      <c r="K123" s="321"/>
      <c r="L123" s="321"/>
      <c r="M123" s="348"/>
      <c r="N123" s="321"/>
      <c r="O123" s="321"/>
      <c r="P123" s="321"/>
      <c r="Q123" s="321"/>
      <c r="R123" s="321"/>
      <c r="S123" s="1628"/>
      <c r="T123" s="1628" t="s">
        <v>378</v>
      </c>
      <c r="U123" s="350" t="str">
        <f>".3"</f>
        <v>.3</v>
      </c>
      <c r="V123" s="1625" t="s">
        <v>1790</v>
      </c>
      <c r="W123" s="1390" t="str">
        <f>Dictionary!B1403</f>
        <v>Arbeitspakete definieren</v>
      </c>
      <c r="X123" s="1636" t="str">
        <f>IFERROR(INDEX($AV$14:$AV$51,MATCH($V123,$C$14:$C$51,0)),"")</f>
        <v/>
      </c>
      <c r="Y123" s="1336" t="str">
        <f t="shared" si="39"/>
        <v/>
      </c>
      <c r="Z123" s="354"/>
      <c r="AA123" s="1336"/>
      <c r="AB123" s="354"/>
      <c r="AC123" s="1336"/>
      <c r="AD123" s="354"/>
      <c r="AE123" s="1336"/>
      <c r="AF123" s="354"/>
      <c r="AG123" s="349" t="str">
        <f>IF(AND(Y123="",AA123="",AC123="",AE123=""),"",MAX(Y123,AA123,AC123,AE123))</f>
        <v/>
      </c>
      <c r="AH123" s="354"/>
      <c r="AI123" s="1337" t="str">
        <f>IF(Y123="","",IF(GC_Flag="","",IF(OR(Y123&lt;=Dictionary!$I$52,Y123=""),0,1)))</f>
        <v/>
      </c>
      <c r="AK123" s="356" t="str">
        <f t="shared" si="27"/>
        <v/>
      </c>
      <c r="AL123" s="349" t="str">
        <f t="shared" si="31"/>
        <v/>
      </c>
      <c r="AM123" s="348"/>
      <c r="AN123" s="348"/>
      <c r="AO123" s="349"/>
      <c r="AP123" s="349"/>
      <c r="AQ123" s="357" t="str">
        <f>IF(AI123="",AG123,AI123)</f>
        <v/>
      </c>
    </row>
    <row r="124" spans="9:43" ht="23.25" customHeight="1">
      <c r="I124" s="321"/>
      <c r="J124" s="321"/>
      <c r="K124" s="321"/>
      <c r="L124" s="321"/>
      <c r="M124" s="348"/>
      <c r="N124" s="321"/>
      <c r="O124" s="321"/>
      <c r="P124" s="321"/>
      <c r="Q124" s="321"/>
      <c r="R124" s="321"/>
      <c r="S124" s="1628"/>
      <c r="T124" s="1628" t="s">
        <v>378</v>
      </c>
      <c r="U124" s="350" t="str">
        <f>".4"</f>
        <v>.4</v>
      </c>
      <c r="V124" s="1625" t="s">
        <v>1791</v>
      </c>
      <c r="W124" s="1390" t="str">
        <f>Dictionary!B1404</f>
        <v>Konfiguration des Leistungsumfangs erstellen und aufrechterhalten</v>
      </c>
      <c r="X124" s="1636" t="str">
        <f>IFERROR(INDEX($AV$14:$AV$51,MATCH($V124,$C$14:$C$51,0)),"")</f>
        <v/>
      </c>
      <c r="Y124" s="1336" t="str">
        <f>IF(OR(X124=0,X124=1,X124=2,X124=3,X124=4,X124=5),X124,"")</f>
        <v/>
      </c>
      <c r="Z124" s="354"/>
      <c r="AA124" s="1336"/>
      <c r="AB124" s="354"/>
      <c r="AC124" s="1336"/>
      <c r="AD124" s="354"/>
      <c r="AE124" s="1336"/>
      <c r="AF124" s="354"/>
      <c r="AG124" s="349" t="str">
        <f>IF(AND(Y124="",AA124="",AC124="",AE124=""),"",MAX(Y124,AA124,AC124,AE124))</f>
        <v/>
      </c>
      <c r="AH124" s="354"/>
      <c r="AI124" s="1337" t="str">
        <f>IF(Y124="","",IF(GC_Flag="","",IF(OR(Y124&lt;=Dictionary!$I$52,Y124=""),0,1)))</f>
        <v/>
      </c>
      <c r="AK124" s="356" t="str">
        <f t="shared" si="27"/>
        <v/>
      </c>
      <c r="AL124" s="349" t="str">
        <f t="shared" si="31"/>
        <v/>
      </c>
      <c r="AM124" s="348"/>
      <c r="AN124" s="348"/>
      <c r="AO124" s="349"/>
      <c r="AP124" s="349"/>
      <c r="AQ124" s="357" t="str">
        <f>IF(AI124="",AG124,AI124)</f>
        <v/>
      </c>
    </row>
    <row r="125" spans="9:43" ht="23.25" customHeight="1">
      <c r="I125" s="321"/>
      <c r="J125" s="321"/>
      <c r="K125" s="321"/>
      <c r="L125" s="321"/>
      <c r="M125" s="348"/>
      <c r="N125" s="321"/>
      <c r="O125" s="321"/>
      <c r="P125" s="321"/>
      <c r="Q125" s="321"/>
      <c r="R125" s="321"/>
      <c r="S125" s="1628"/>
      <c r="T125" s="1628" t="s">
        <v>373</v>
      </c>
      <c r="U125" s="341" t="s">
        <v>373</v>
      </c>
      <c r="V125" s="1624"/>
      <c r="W125" s="342" t="str">
        <f>Dictionary!B1249</f>
        <v>Ablauf und Termine</v>
      </c>
      <c r="X125" s="1635"/>
      <c r="Y125" s="359"/>
      <c r="Z125" s="315"/>
      <c r="AA125" s="359"/>
      <c r="AB125" s="360"/>
      <c r="AC125" s="359"/>
      <c r="AD125" s="360"/>
      <c r="AE125" s="359"/>
      <c r="AF125" s="315"/>
      <c r="AG125" s="359"/>
      <c r="AH125" s="360"/>
      <c r="AI125" s="359"/>
      <c r="AK125" s="356"/>
      <c r="AL125" s="361" t="str">
        <f t="shared" si="31"/>
        <v/>
      </c>
      <c r="AM125" s="348"/>
      <c r="AN125" s="348"/>
      <c r="AO125" s="349">
        <f>Scoring!AK125</f>
        <v>5</v>
      </c>
      <c r="AP125" s="349">
        <f>ROUNDUP(AO125/2,0)</f>
        <v>3</v>
      </c>
      <c r="AQ125" s="346" t="str">
        <f>IF((COUNTBLANK(AQ126:AQ130)-COUNTBLANK(W126:W130))=$AO125,"",IF((COUNTIF(AQ126:AQ130,"&gt;=1")&gt;=AP125),"Pass","Fail"))</f>
        <v/>
      </c>
    </row>
    <row r="126" spans="9:43" ht="23.25" customHeight="1">
      <c r="I126" s="321"/>
      <c r="J126" s="321"/>
      <c r="K126" s="321"/>
      <c r="L126" s="321"/>
      <c r="M126" s="348"/>
      <c r="N126" s="321"/>
      <c r="O126" s="321"/>
      <c r="P126" s="321"/>
      <c r="Q126" s="321"/>
      <c r="R126" s="321"/>
      <c r="S126" s="1628"/>
      <c r="T126" s="1628" t="s">
        <v>373</v>
      </c>
      <c r="U126" s="350" t="str">
        <f>".1"</f>
        <v>.1</v>
      </c>
      <c r="V126" s="1625" t="s">
        <v>1796</v>
      </c>
      <c r="W126" s="1390" t="str">
        <f>Dictionary!B1408</f>
        <v>Aktivitäten definieren, die nötig sind, um das Projekt (ab)liefern zu können</v>
      </c>
      <c r="X126" s="1636" t="str">
        <f>IFERROR(INDEX($AV$14:$AV$51,MATCH($V126,$C$14:$C$51,0)),"")</f>
        <v/>
      </c>
      <c r="Y126" s="1336" t="str">
        <f>IF(OR(X126=0,X126=1,X126=2,X126=3,X126=4,X126=5),X126,"")</f>
        <v/>
      </c>
      <c r="Z126" s="354"/>
      <c r="AA126" s="1336"/>
      <c r="AB126" s="354"/>
      <c r="AC126" s="1336"/>
      <c r="AD126" s="354"/>
      <c r="AE126" s="1336"/>
      <c r="AF126" s="354"/>
      <c r="AG126" s="349" t="str">
        <f>IF(AND(Y126="",AA126="",AC126="",AE126=""),"",MAX(Y126,AA126,AC126,AE126))</f>
        <v/>
      </c>
      <c r="AH126" s="354"/>
      <c r="AI126" s="1337" t="str">
        <f>IF(Y126="","",IF(GC_Flag="","",IF(OR(Y126&lt;=Dictionary!$I$52,Y126=""),0,1)))</f>
        <v/>
      </c>
      <c r="AK126" s="356" t="str">
        <f t="shared" si="27"/>
        <v/>
      </c>
      <c r="AL126" s="349" t="str">
        <f t="shared" si="31"/>
        <v/>
      </c>
      <c r="AM126" s="348"/>
      <c r="AN126" s="348"/>
      <c r="AO126" s="349"/>
      <c r="AP126" s="349"/>
      <c r="AQ126" s="357" t="str">
        <f>IF(AI126="",AG126,AI126)</f>
        <v/>
      </c>
    </row>
    <row r="127" spans="9:43" ht="23.25" customHeight="1">
      <c r="I127" s="321"/>
      <c r="J127" s="321"/>
      <c r="K127" s="321"/>
      <c r="L127" s="321"/>
      <c r="M127" s="348"/>
      <c r="N127" s="321"/>
      <c r="O127" s="321"/>
      <c r="P127" s="321"/>
      <c r="Q127" s="321"/>
      <c r="R127" s="321"/>
      <c r="S127" s="1628"/>
      <c r="T127" s="1628" t="s">
        <v>373</v>
      </c>
      <c r="U127" s="350" t="str">
        <f>".2"</f>
        <v>.2</v>
      </c>
      <c r="V127" s="1625" t="s">
        <v>1798</v>
      </c>
      <c r="W127" s="1390" t="str">
        <f>Dictionary!B1409</f>
        <v>Arbeitsaufwand und Dauer von Aktivitäten festlegen</v>
      </c>
      <c r="X127" s="1636" t="str">
        <f>IFERROR(INDEX($AV$14:$AV$51,MATCH($V127,$C$14:$C$51,0)),"")</f>
        <v/>
      </c>
      <c r="Y127" s="1336" t="str">
        <f t="shared" ref="Y127:Y128" si="40">IF(OR(X127=0,X127=1,X127=2,X127=3,X127=4,X127=5),X127,"")</f>
        <v/>
      </c>
      <c r="Z127" s="354"/>
      <c r="AA127" s="1336"/>
      <c r="AB127" s="354"/>
      <c r="AC127" s="1336"/>
      <c r="AD127" s="354"/>
      <c r="AE127" s="1336"/>
      <c r="AF127" s="354"/>
      <c r="AG127" s="349" t="str">
        <f>IF(AND(Y127="",AA127="",AC127="",AE127=""),"",MAX(Y127,AA127,AC127,AE127))</f>
        <v/>
      </c>
      <c r="AH127" s="354"/>
      <c r="AI127" s="1337" t="str">
        <f>IF(Y127="","",IF(GC_Flag="","",IF(OR(Y127&lt;=Dictionary!$I$52,Y127=""),0,1)))</f>
        <v/>
      </c>
      <c r="AK127" s="356" t="str">
        <f t="shared" si="27"/>
        <v/>
      </c>
      <c r="AL127" s="349" t="str">
        <f t="shared" si="31"/>
        <v/>
      </c>
      <c r="AM127" s="348"/>
      <c r="AN127" s="348"/>
      <c r="AO127" s="349"/>
      <c r="AP127" s="349"/>
      <c r="AQ127" s="357" t="str">
        <f>IF(AI127="",AG127,AI127)</f>
        <v/>
      </c>
    </row>
    <row r="128" spans="9:43" ht="23.25" customHeight="1">
      <c r="I128" s="321"/>
      <c r="J128" s="321"/>
      <c r="K128" s="321"/>
      <c r="L128" s="321"/>
      <c r="M128" s="348"/>
      <c r="N128" s="321"/>
      <c r="O128" s="321"/>
      <c r="P128" s="321"/>
      <c r="Q128" s="321"/>
      <c r="R128" s="321"/>
      <c r="S128" s="1628"/>
      <c r="T128" s="1628" t="s">
        <v>373</v>
      </c>
      <c r="U128" s="350" t="str">
        <f>".3"</f>
        <v>.3</v>
      </c>
      <c r="V128" s="1625" t="s">
        <v>1799</v>
      </c>
      <c r="W128" s="1390" t="str">
        <f>Dictionary!B1410</f>
        <v>Vorgehensweise für Termine und Phasen, ggf. Sprints festlegen</v>
      </c>
      <c r="X128" s="1636" t="str">
        <f>IFERROR(INDEX($AV$14:$AV$51,MATCH($V128,$C$14:$C$51,0)),"")</f>
        <v/>
      </c>
      <c r="Y128" s="1336" t="str">
        <f t="shared" si="40"/>
        <v/>
      </c>
      <c r="Z128" s="354"/>
      <c r="AA128" s="1336"/>
      <c r="AB128" s="354"/>
      <c r="AC128" s="1336"/>
      <c r="AD128" s="354"/>
      <c r="AE128" s="1336"/>
      <c r="AF128" s="354"/>
      <c r="AG128" s="349" t="str">
        <f>IF(AND(Y128="",AA128="",AC128="",AE128=""),"",MAX(Y128,AA128,AC128,AE128))</f>
        <v/>
      </c>
      <c r="AH128" s="354"/>
      <c r="AI128" s="1337" t="str">
        <f>IF(Y128="","",IF(GC_Flag="","",IF(OR(Y128&lt;=Dictionary!$I$52,Y128=""),0,1)))</f>
        <v/>
      </c>
      <c r="AK128" s="356" t="str">
        <f t="shared" si="27"/>
        <v/>
      </c>
      <c r="AL128" s="349" t="str">
        <f t="shared" si="31"/>
        <v/>
      </c>
      <c r="AM128" s="348"/>
      <c r="AN128" s="348"/>
      <c r="AO128" s="349"/>
      <c r="AP128" s="349"/>
      <c r="AQ128" s="357" t="str">
        <f>IF(AI128="",AG128,AI128)</f>
        <v/>
      </c>
    </row>
    <row r="129" spans="9:43" ht="23.25" customHeight="1">
      <c r="I129" s="321"/>
      <c r="J129" s="321"/>
      <c r="K129" s="321"/>
      <c r="L129" s="321"/>
      <c r="M129" s="348"/>
      <c r="N129" s="321"/>
      <c r="O129" s="321"/>
      <c r="P129" s="321"/>
      <c r="Q129" s="321"/>
      <c r="R129" s="321"/>
      <c r="S129" s="1628"/>
      <c r="T129" s="1628" t="s">
        <v>373</v>
      </c>
      <c r="U129" s="350" t="str">
        <f>".4"</f>
        <v>.4</v>
      </c>
      <c r="V129" s="1625" t="s">
        <v>1800</v>
      </c>
      <c r="W129" s="1390" t="str">
        <f>Dictionary!B1411</f>
        <v>Abfolge der Projektaktivitäten bestimmen und einen Ablauf- und Terminplan erstellen</v>
      </c>
      <c r="X129" s="1636" t="str">
        <f>IFERROR(INDEX($AV$14:$AV$51,MATCH($V129,$C$14:$C$51,0)),"")</f>
        <v/>
      </c>
      <c r="Y129" s="1336" t="str">
        <f>IF(OR(X129=0,X129=1,X129=2,X129=3,X129=4,X129=5),X129,"")</f>
        <v/>
      </c>
      <c r="Z129" s="354"/>
      <c r="AA129" s="1336"/>
      <c r="AB129" s="354"/>
      <c r="AC129" s="1336"/>
      <c r="AD129" s="354"/>
      <c r="AE129" s="1336"/>
      <c r="AF129" s="354"/>
      <c r="AG129" s="349" t="str">
        <f>IF(AND(Y129="",AA129="",AC129="",AE129=""),"",MAX(Y129,AA129,AC129,AE129))</f>
        <v/>
      </c>
      <c r="AH129" s="354"/>
      <c r="AI129" s="1337" t="str">
        <f>IF(Y129="","",IF(GC_Flag="","",IF(OR(Y129&lt;=Dictionary!$I$52,Y129=""),0,1)))</f>
        <v/>
      </c>
      <c r="AK129" s="356" t="str">
        <f t="shared" si="27"/>
        <v/>
      </c>
      <c r="AL129" s="349" t="str">
        <f t="shared" si="31"/>
        <v/>
      </c>
      <c r="AM129" s="348"/>
      <c r="AN129" s="348"/>
      <c r="AO129" s="349"/>
      <c r="AP129" s="349"/>
      <c r="AQ129" s="357" t="str">
        <f>IF(AI129="",AG129,AI129)</f>
        <v/>
      </c>
    </row>
    <row r="130" spans="9:43" ht="23.25" customHeight="1">
      <c r="I130" s="321"/>
      <c r="J130" s="321"/>
      <c r="K130" s="321"/>
      <c r="L130" s="321"/>
      <c r="M130" s="348"/>
      <c r="N130" s="321"/>
      <c r="O130" s="321"/>
      <c r="P130" s="321"/>
      <c r="Q130" s="321"/>
      <c r="R130" s="321"/>
      <c r="S130" s="1628"/>
      <c r="T130" s="1628" t="s">
        <v>373</v>
      </c>
      <c r="U130" s="350" t="str">
        <f>".5"</f>
        <v>.5</v>
      </c>
      <c r="V130" s="1625" t="s">
        <v>1801</v>
      </c>
      <c r="W130" s="1390" t="str">
        <f>Dictionary!B1412</f>
        <v>Fortschritt anhand des Terminplans überwachen und notwendige Anpassungen vornehmen</v>
      </c>
      <c r="X130" s="1636" t="str">
        <f>IFERROR(INDEX($AV$14:$AV$51,MATCH($V130,$C$14:$C$51,0)),"")</f>
        <v/>
      </c>
      <c r="Y130" s="1336" t="str">
        <f>IF(OR(X130=0,X130=1,X130=2,X130=3,X130=4,X130=5),X130,"")</f>
        <v/>
      </c>
      <c r="Z130" s="354"/>
      <c r="AA130" s="1336"/>
      <c r="AB130" s="354"/>
      <c r="AC130" s="1336"/>
      <c r="AD130" s="354"/>
      <c r="AE130" s="1336"/>
      <c r="AF130" s="354"/>
      <c r="AG130" s="349" t="str">
        <f>IF(AND(Y130="",AA130="",AC130="",AE130=""),"",MAX(Y130,AA130,AC130,AE130))</f>
        <v/>
      </c>
      <c r="AH130" s="354"/>
      <c r="AI130" s="1337" t="str">
        <f>IF(Y130="","",IF(GC_Flag="","",IF(OR(Y130&lt;=Dictionary!$I$52,Y130=""),0,1)))</f>
        <v/>
      </c>
      <c r="AK130" s="356" t="str">
        <f t="shared" si="27"/>
        <v/>
      </c>
      <c r="AL130" s="349" t="str">
        <f t="shared" si="31"/>
        <v/>
      </c>
      <c r="AM130" s="348"/>
      <c r="AN130" s="348"/>
      <c r="AO130" s="349"/>
      <c r="AP130" s="349"/>
      <c r="AQ130" s="357" t="str">
        <f>IF(AI130="",AG130,AI130)</f>
        <v/>
      </c>
    </row>
    <row r="131" spans="9:43" ht="23.25" customHeight="1">
      <c r="I131" s="321"/>
      <c r="J131" s="321"/>
      <c r="K131" s="321"/>
      <c r="L131" s="321"/>
      <c r="M131" s="348"/>
      <c r="N131" s="321"/>
      <c r="O131" s="321"/>
      <c r="P131" s="321"/>
      <c r="Q131" s="321"/>
      <c r="R131" s="321"/>
      <c r="S131" s="1628"/>
      <c r="T131" s="1628" t="s">
        <v>367</v>
      </c>
      <c r="U131" s="341" t="s">
        <v>367</v>
      </c>
      <c r="V131" s="1624"/>
      <c r="W131" s="342" t="str">
        <f>Dictionary!B1250</f>
        <v>Organisation und Information</v>
      </c>
      <c r="X131" s="1635"/>
      <c r="Y131" s="359"/>
      <c r="Z131" s="315"/>
      <c r="AA131" s="359"/>
      <c r="AB131" s="360"/>
      <c r="AC131" s="359"/>
      <c r="AD131" s="360"/>
      <c r="AE131" s="359"/>
      <c r="AF131" s="315"/>
      <c r="AG131" s="359"/>
      <c r="AH131" s="360"/>
      <c r="AI131" s="359"/>
      <c r="AK131" s="356"/>
      <c r="AL131" s="361" t="str">
        <f t="shared" si="31"/>
        <v/>
      </c>
      <c r="AM131" s="348"/>
      <c r="AN131" s="348"/>
      <c r="AO131" s="349">
        <f>Scoring!AK131</f>
        <v>4</v>
      </c>
      <c r="AP131" s="349">
        <f>ROUNDUP(AO131/2,0)</f>
        <v>2</v>
      </c>
      <c r="AQ131" s="346" t="str">
        <f>IF((COUNTBLANK(AQ132:AQ135)-COUNTBLANK(W132:W135))=$AO131,"",IF((COUNTIF(AQ132:AQ135,"&gt;=1")&gt;=AP131),"Pass","Fail"))</f>
        <v/>
      </c>
    </row>
    <row r="132" spans="9:43" ht="23.25" customHeight="1">
      <c r="I132" s="321"/>
      <c r="J132" s="321"/>
      <c r="K132" s="321"/>
      <c r="L132" s="321"/>
      <c r="M132" s="348"/>
      <c r="N132" s="321"/>
      <c r="O132" s="321"/>
      <c r="P132" s="321"/>
      <c r="Q132" s="321"/>
      <c r="R132" s="321"/>
      <c r="S132" s="1628"/>
      <c r="T132" s="1628" t="s">
        <v>367</v>
      </c>
      <c r="U132" s="350" t="str">
        <f>".1"</f>
        <v>.1</v>
      </c>
      <c r="V132" s="1625" t="s">
        <v>1807</v>
      </c>
      <c r="W132" s="1390" t="str">
        <f>Dictionary!B1416</f>
        <v>Bedürfnisse der Stakeholder bezüglich Information und Dokumentation beurteilen und bestimmen</v>
      </c>
      <c r="X132" s="1636" t="str">
        <f>IFERROR(INDEX($AV$14:$AV$51,MATCH($V132,$C$14:$C$51,0)),"")</f>
        <v/>
      </c>
      <c r="Y132" s="1336" t="str">
        <f>IF(OR(X132=0,X132=1,X132=2,X132=3,X132=4,X132=5),X132,"")</f>
        <v/>
      </c>
      <c r="Z132" s="354"/>
      <c r="AA132" s="1336"/>
      <c r="AB132" s="354"/>
      <c r="AC132" s="1336"/>
      <c r="AD132" s="354"/>
      <c r="AE132" s="1336"/>
      <c r="AF132" s="354"/>
      <c r="AG132" s="349" t="str">
        <f>IF(AND(Y132="",AA132="",AC132="",AE132=""),"",MAX(Y132,AA132,AC132,AE132))</f>
        <v/>
      </c>
      <c r="AH132" s="354"/>
      <c r="AI132" s="1337" t="str">
        <f>IF(Y132="","",IF(GC_Flag="","",IF(OR(Y132&lt;=Dictionary!$I$52,Y132=""),0,1)))</f>
        <v/>
      </c>
      <c r="AK132" s="356" t="str">
        <f t="shared" si="27"/>
        <v/>
      </c>
      <c r="AL132" s="349" t="str">
        <f t="shared" si="31"/>
        <v/>
      </c>
      <c r="AM132" s="348"/>
      <c r="AN132" s="348"/>
      <c r="AO132" s="349"/>
      <c r="AP132" s="349"/>
      <c r="AQ132" s="357" t="str">
        <f>IF(AI132="",AG132,AI132)</f>
        <v/>
      </c>
    </row>
    <row r="133" spans="9:43" ht="23.25" customHeight="1">
      <c r="I133" s="321"/>
      <c r="J133" s="321"/>
      <c r="K133" s="321"/>
      <c r="L133" s="321"/>
      <c r="M133" s="348"/>
      <c r="N133" s="321"/>
      <c r="O133" s="321"/>
      <c r="P133" s="321"/>
      <c r="Q133" s="321"/>
      <c r="R133" s="321"/>
      <c r="S133" s="1628"/>
      <c r="T133" s="1628" t="s">
        <v>367</v>
      </c>
      <c r="U133" s="350" t="str">
        <f>".2"</f>
        <v>.2</v>
      </c>
      <c r="V133" s="1625" t="s">
        <v>1809</v>
      </c>
      <c r="W133" s="1390" t="str">
        <f>Dictionary!B1417</f>
        <v>Struktur, Rollen und Verantwortlichkeiten im Projekt definieren</v>
      </c>
      <c r="X133" s="1636" t="str">
        <f>IFERROR(INDEX($AV$14:$AV$51,MATCH($V133,$C$14:$C$51,0)),"")</f>
        <v/>
      </c>
      <c r="Y133" s="1336" t="str">
        <f t="shared" ref="Y133:Y134" si="41">IF(OR(X133=0,X133=1,X133=2,X133=3,X133=4,X133=5),X133,"")</f>
        <v/>
      </c>
      <c r="Z133" s="354"/>
      <c r="AA133" s="1336"/>
      <c r="AB133" s="354"/>
      <c r="AC133" s="1336"/>
      <c r="AD133" s="354"/>
      <c r="AE133" s="1336"/>
      <c r="AF133" s="354"/>
      <c r="AG133" s="349" t="str">
        <f>IF(AND(Y133="",AA133="",AC133="",AE133=""),"",MAX(Y133,AA133,AC133,AE133))</f>
        <v/>
      </c>
      <c r="AH133" s="354"/>
      <c r="AI133" s="1337" t="str">
        <f>IF(Y133="","",IF(GC_Flag="","",IF(OR(Y133&lt;=Dictionary!$I$52,Y133=""),0,1)))</f>
        <v/>
      </c>
      <c r="AK133" s="356" t="str">
        <f t="shared" si="27"/>
        <v/>
      </c>
      <c r="AL133" s="349" t="str">
        <f t="shared" si="31"/>
        <v/>
      </c>
      <c r="AM133" s="348"/>
      <c r="AN133" s="348"/>
      <c r="AO133" s="349"/>
      <c r="AP133" s="349"/>
      <c r="AQ133" s="357" t="str">
        <f>IF(AI133="",AG133,AI133)</f>
        <v/>
      </c>
    </row>
    <row r="134" spans="9:43" ht="23.25" customHeight="1">
      <c r="I134" s="321"/>
      <c r="J134" s="321"/>
      <c r="K134" s="321"/>
      <c r="L134" s="321"/>
      <c r="M134" s="348"/>
      <c r="N134" s="321"/>
      <c r="O134" s="321"/>
      <c r="P134" s="321"/>
      <c r="Q134" s="321"/>
      <c r="R134" s="321"/>
      <c r="S134" s="1628"/>
      <c r="T134" s="1628" t="s">
        <v>367</v>
      </c>
      <c r="U134" s="350" t="str">
        <f>".3"</f>
        <v>.3</v>
      </c>
      <c r="V134" s="1625" t="s">
        <v>1810</v>
      </c>
      <c r="W134" s="1390" t="str">
        <f>Dictionary!B1418</f>
        <v>Infrastruktur, Prozesse und Informationssysteme aufbauen</v>
      </c>
      <c r="X134" s="1636" t="str">
        <f>IFERROR(INDEX($AV$14:$AV$51,MATCH($V134,$C$14:$C$51,0)),"")</f>
        <v/>
      </c>
      <c r="Y134" s="1336" t="str">
        <f t="shared" si="41"/>
        <v/>
      </c>
      <c r="Z134" s="354"/>
      <c r="AA134" s="1336"/>
      <c r="AB134" s="354"/>
      <c r="AC134" s="1336"/>
      <c r="AD134" s="354"/>
      <c r="AE134" s="1336"/>
      <c r="AF134" s="354"/>
      <c r="AG134" s="349" t="str">
        <f>IF(AND(Y134="",AA134="",AC134="",AE134=""),"",MAX(Y134,AA134,AC134,AE134))</f>
        <v/>
      </c>
      <c r="AH134" s="354"/>
      <c r="AI134" s="1337" t="str">
        <f>IF(Y134="","",IF(GC_Flag="","",IF(OR(Y134&lt;=Dictionary!$I$52,Y134=""),0,1)))</f>
        <v/>
      </c>
      <c r="AK134" s="356" t="str">
        <f t="shared" si="27"/>
        <v/>
      </c>
      <c r="AL134" s="349" t="str">
        <f t="shared" si="31"/>
        <v/>
      </c>
      <c r="AM134" s="348"/>
      <c r="AN134" s="348"/>
      <c r="AO134" s="349"/>
      <c r="AP134" s="349"/>
      <c r="AQ134" s="357" t="str">
        <f>IF(AI134="",AG134,AI134)</f>
        <v/>
      </c>
    </row>
    <row r="135" spans="9:43" ht="23.25" customHeight="1">
      <c r="I135" s="321"/>
      <c r="J135" s="321"/>
      <c r="K135" s="321"/>
      <c r="L135" s="321"/>
      <c r="M135" s="348"/>
      <c r="N135" s="321"/>
      <c r="O135" s="321"/>
      <c r="P135" s="321"/>
      <c r="Q135" s="321"/>
      <c r="R135" s="321"/>
      <c r="S135" s="1628"/>
      <c r="T135" s="1628" t="s">
        <v>367</v>
      </c>
      <c r="U135" s="350" t="str">
        <f>".4"</f>
        <v>.4</v>
      </c>
      <c r="V135" s="1625" t="s">
        <v>1811</v>
      </c>
      <c r="W135" s="1390" t="str">
        <f>Dictionary!B1419</f>
        <v>Organisation des Projekts implementieren, überwachen und anpassen</v>
      </c>
      <c r="X135" s="1636" t="str">
        <f>IFERROR(INDEX($AV$14:$AV$51,MATCH($V135,$C$14:$C$51,0)),"")</f>
        <v/>
      </c>
      <c r="Y135" s="1336" t="str">
        <f>IF(OR(X135=0,X135=1,X135=2,X135=3,X135=4,X135=5),X135,"")</f>
        <v/>
      </c>
      <c r="Z135" s="354"/>
      <c r="AA135" s="1336"/>
      <c r="AB135" s="354"/>
      <c r="AC135" s="1336"/>
      <c r="AD135" s="354"/>
      <c r="AE135" s="1336"/>
      <c r="AF135" s="354"/>
      <c r="AG135" s="349" t="str">
        <f>IF(AND(Y135="",AA135="",AC135="",AE135=""),"",MAX(Y135,AA135,AC135,AE135))</f>
        <v/>
      </c>
      <c r="AH135" s="354"/>
      <c r="AI135" s="1337" t="str">
        <f>IF(Y135="","",IF(GC_Flag="","",IF(OR(Y135&lt;=Dictionary!$I$52,Y135=""),0,1)))</f>
        <v/>
      </c>
      <c r="AK135" s="356" t="str">
        <f t="shared" si="27"/>
        <v/>
      </c>
      <c r="AL135" s="349" t="str">
        <f t="shared" si="31"/>
        <v/>
      </c>
      <c r="AM135" s="348"/>
      <c r="AN135" s="348"/>
      <c r="AO135" s="349"/>
      <c r="AP135" s="349"/>
      <c r="AQ135" s="357" t="str">
        <f>IF(AI135="",AG135,AI135)</f>
        <v/>
      </c>
    </row>
    <row r="136" spans="9:43" ht="23.25" customHeight="1">
      <c r="I136" s="321"/>
      <c r="J136" s="321"/>
      <c r="K136" s="321"/>
      <c r="L136" s="321"/>
      <c r="M136" s="348"/>
      <c r="N136" s="321"/>
      <c r="O136" s="321"/>
      <c r="P136" s="321"/>
      <c r="Q136" s="321"/>
      <c r="R136" s="321"/>
      <c r="S136" s="1628"/>
      <c r="T136" s="1628" t="s">
        <v>361</v>
      </c>
      <c r="U136" s="341" t="s">
        <v>361</v>
      </c>
      <c r="V136" s="1624"/>
      <c r="W136" s="342" t="str">
        <f>Dictionary!B1251</f>
        <v>Qualität</v>
      </c>
      <c r="X136" s="1635"/>
      <c r="Y136" s="359"/>
      <c r="Z136" s="315"/>
      <c r="AA136" s="359"/>
      <c r="AB136" s="360"/>
      <c r="AC136" s="359"/>
      <c r="AD136" s="360"/>
      <c r="AE136" s="359"/>
      <c r="AF136" s="315"/>
      <c r="AG136" s="359"/>
      <c r="AH136" s="360"/>
      <c r="AI136" s="359"/>
      <c r="AK136" s="356"/>
      <c r="AL136" s="361" t="str">
        <f t="shared" si="31"/>
        <v/>
      </c>
      <c r="AM136" s="348"/>
      <c r="AN136" s="348"/>
      <c r="AO136" s="349">
        <f>Scoring!AK136</f>
        <v>5</v>
      </c>
      <c r="AP136" s="349">
        <f>ROUNDUP(AO136/2,0)</f>
        <v>3</v>
      </c>
      <c r="AQ136" s="346" t="str">
        <f>IF((COUNTBLANK(AQ137:AQ141)-COUNTBLANK(W137:W141))=$AO136,"",IF((COUNTIF(AQ137:AQ141,"&gt;=1")&gt;=AP136),"Pass","Fail"))</f>
        <v/>
      </c>
    </row>
    <row r="137" spans="9:43" ht="23.25" customHeight="1">
      <c r="I137" s="321"/>
      <c r="J137" s="321"/>
      <c r="K137" s="321"/>
      <c r="L137" s="321"/>
      <c r="M137" s="348"/>
      <c r="N137" s="321"/>
      <c r="O137" s="321"/>
      <c r="P137" s="321"/>
      <c r="Q137" s="321"/>
      <c r="R137" s="321"/>
      <c r="S137" s="1628"/>
      <c r="T137" s="1628" t="s">
        <v>361</v>
      </c>
      <c r="U137" s="350" t="str">
        <f>".1"</f>
        <v>.1</v>
      </c>
      <c r="V137" s="1625" t="s">
        <v>1816</v>
      </c>
      <c r="W137" s="1390" t="str">
        <f>Dictionary!B1423</f>
        <v>Qualitätsmanagementplan für das Projekt entwickeln, die Implementierung überwachen und gegebenenfalls überarbeiten</v>
      </c>
      <c r="X137" s="1636" t="str">
        <f>IFERROR(INDEX($AV$14:$AV$51,MATCH($V137,$C$14:$C$51,0)),"")</f>
        <v/>
      </c>
      <c r="Y137" s="1336" t="str">
        <f>IF(OR(X137=0,X137=1,X137=2,X137=3,X137=4,X137=5),X137,"")</f>
        <v/>
      </c>
      <c r="Z137" s="354"/>
      <c r="AA137" s="1336"/>
      <c r="AB137" s="354"/>
      <c r="AC137" s="1336"/>
      <c r="AD137" s="354"/>
      <c r="AE137" s="1336"/>
      <c r="AF137" s="354"/>
      <c r="AG137" s="349" t="str">
        <f>IF(AND(Y137="",AA137="",AC137="",AE137=""),"",MAX(Y137,AA137,AC137,AE137))</f>
        <v/>
      </c>
      <c r="AH137" s="354"/>
      <c r="AI137" s="1337" t="str">
        <f>IF(Y137="","",IF(GC_Flag="","",IF(OR(Y137&lt;=Dictionary!$I$52,Y137=""),0,1)))</f>
        <v/>
      </c>
      <c r="AK137" s="356" t="str">
        <f t="shared" si="27"/>
        <v/>
      </c>
      <c r="AL137" s="349" t="str">
        <f t="shared" ref="AL137:AL168" si="42">AQ137</f>
        <v/>
      </c>
      <c r="AM137" s="348"/>
      <c r="AN137" s="348"/>
      <c r="AO137" s="349"/>
      <c r="AP137" s="349"/>
      <c r="AQ137" s="357" t="str">
        <f>IF(AI137="",AG137,AI137)</f>
        <v/>
      </c>
    </row>
    <row r="138" spans="9:43" ht="23.25" customHeight="1">
      <c r="I138" s="321"/>
      <c r="J138" s="321"/>
      <c r="K138" s="321"/>
      <c r="L138" s="321"/>
      <c r="M138" s="348"/>
      <c r="N138" s="321"/>
      <c r="O138" s="321"/>
      <c r="P138" s="321"/>
      <c r="Q138" s="321"/>
      <c r="R138" s="321"/>
      <c r="S138" s="1628"/>
      <c r="T138" s="1628" t="s">
        <v>361</v>
      </c>
      <c r="U138" s="350" t="str">
        <f>".2"</f>
        <v>.2</v>
      </c>
      <c r="V138" s="1625" t="s">
        <v>1818</v>
      </c>
      <c r="W138" s="1390" t="str">
        <f>Dictionary!B1424</f>
        <v>Projekt mit seinen Lieferobjekten überprüfen, um sicherzustellen, dass sie die Anforderungen des Qualitätsmanagementplans weiterhin erfüllen</v>
      </c>
      <c r="X138" s="1636" t="str">
        <f>IFERROR(INDEX($AV$14:$AV$51,MATCH($V138,$C$14:$C$51,0)),"")</f>
        <v/>
      </c>
      <c r="Y138" s="1336" t="str">
        <f t="shared" ref="Y138:Y141" si="43">IF(OR(X138=0,X138=1,X138=2,X138=3,X138=4,X138=5),X138,"")</f>
        <v/>
      </c>
      <c r="Z138" s="354"/>
      <c r="AA138" s="1336"/>
      <c r="AB138" s="354"/>
      <c r="AC138" s="1336"/>
      <c r="AD138" s="354"/>
      <c r="AE138" s="1336"/>
      <c r="AF138" s="354"/>
      <c r="AG138" s="349" t="str">
        <f>IF(AND(Y138="",AA138="",AC138="",AE138=""),"",MAX(Y138,AA138,AC138,AE138))</f>
        <v/>
      </c>
      <c r="AH138" s="354"/>
      <c r="AI138" s="1337" t="str">
        <f>IF(Y138="","",IF(GC_Flag="","",IF(OR(Y138&lt;=Dictionary!$I$52,Y138=""),0,1)))</f>
        <v/>
      </c>
      <c r="AK138" s="356" t="str">
        <f t="shared" si="27"/>
        <v/>
      </c>
      <c r="AL138" s="349" t="str">
        <f t="shared" si="42"/>
        <v/>
      </c>
      <c r="AM138" s="348"/>
      <c r="AN138" s="348"/>
      <c r="AO138" s="349"/>
      <c r="AP138" s="349"/>
      <c r="AQ138" s="357" t="str">
        <f>IF(AI138="",AG138,AI138)</f>
        <v/>
      </c>
    </row>
    <row r="139" spans="9:43" ht="23.25" customHeight="1">
      <c r="I139" s="321"/>
      <c r="J139" s="321"/>
      <c r="K139" s="321"/>
      <c r="L139" s="321"/>
      <c r="M139" s="348"/>
      <c r="N139" s="321"/>
      <c r="O139" s="321"/>
      <c r="P139" s="321"/>
      <c r="Q139" s="321"/>
      <c r="R139" s="321"/>
      <c r="S139" s="1628"/>
      <c r="T139" s="1628" t="s">
        <v>361</v>
      </c>
      <c r="U139" s="350" t="str">
        <f>".3"</f>
        <v>.3</v>
      </c>
      <c r="V139" s="1625" t="s">
        <v>1819</v>
      </c>
      <c r="W139" s="1390" t="str">
        <f>Dictionary!B1425</f>
        <v>Erreichung der Qualitätsziele des Projekts verifizieren und erforderliche korrektive und/oder präventive Maßnahmen empfehlen</v>
      </c>
      <c r="X139" s="1636" t="str">
        <f>IFERROR(INDEX($AV$14:$AV$51,MATCH($V139,$C$14:$C$51,0)),"")</f>
        <v/>
      </c>
      <c r="Y139" s="1336" t="str">
        <f t="shared" si="43"/>
        <v/>
      </c>
      <c r="Z139" s="354"/>
      <c r="AA139" s="1336"/>
      <c r="AB139" s="354"/>
      <c r="AC139" s="1336"/>
      <c r="AD139" s="354"/>
      <c r="AE139" s="1336"/>
      <c r="AF139" s="354"/>
      <c r="AG139" s="349" t="str">
        <f>IF(AND(Y139="",AA139="",AC139="",AE139=""),"",MAX(Y139,AA139,AC139,AE139))</f>
        <v/>
      </c>
      <c r="AH139" s="354"/>
      <c r="AI139" s="1337" t="str">
        <f>IF(Y139="","",IF(GC_Flag="","",IF(OR(Y139&lt;=Dictionary!$I$52,Y139=""),0,1)))</f>
        <v/>
      </c>
      <c r="AK139" s="356" t="str">
        <f t="shared" si="27"/>
        <v/>
      </c>
      <c r="AL139" s="349" t="str">
        <f t="shared" si="42"/>
        <v/>
      </c>
      <c r="AM139" s="348"/>
      <c r="AN139" s="348"/>
      <c r="AO139" s="349"/>
      <c r="AP139" s="349"/>
      <c r="AQ139" s="357" t="str">
        <f>IF(AI139="",AG139,AI139)</f>
        <v/>
      </c>
    </row>
    <row r="140" spans="9:43" ht="23.25" customHeight="1">
      <c r="I140" s="321"/>
      <c r="J140" s="321"/>
      <c r="K140" s="321"/>
      <c r="L140" s="321"/>
      <c r="M140" s="348"/>
      <c r="N140" s="321"/>
      <c r="O140" s="321"/>
      <c r="P140" s="321"/>
      <c r="Q140" s="321"/>
      <c r="R140" s="321"/>
      <c r="S140" s="1628"/>
      <c r="T140" s="1628" t="s">
        <v>361</v>
      </c>
      <c r="U140" s="350" t="str">
        <f>".4"</f>
        <v>.4</v>
      </c>
      <c r="V140" s="1625" t="s">
        <v>1820</v>
      </c>
      <c r="W140" s="1390" t="str">
        <f>Dictionary!B1426</f>
        <v>Validierung von Projektergebnissen planen und organisieren</v>
      </c>
      <c r="X140" s="1636" t="str">
        <f>IFERROR(INDEX($AV$14:$AV$51,MATCH($V140,$C$14:$C$51,0)),"")</f>
        <v/>
      </c>
      <c r="Y140" s="1336" t="str">
        <f t="shared" si="43"/>
        <v/>
      </c>
      <c r="Z140" s="354"/>
      <c r="AA140" s="1336"/>
      <c r="AB140" s="354"/>
      <c r="AC140" s="1336"/>
      <c r="AD140" s="354"/>
      <c r="AE140" s="1336"/>
      <c r="AF140" s="354"/>
      <c r="AG140" s="349" t="str">
        <f>IF(AND(Y140="",AA140="",AC140="",AE140=""),"",MAX(Y140,AA140,AC140,AE140))</f>
        <v/>
      </c>
      <c r="AH140" s="354"/>
      <c r="AI140" s="1337" t="str">
        <f>IF(Y140="","",IF(GC_Flag="","",IF(OR(Y140&lt;=Dictionary!$I$52,Y140=""),0,1)))</f>
        <v/>
      </c>
      <c r="AK140" s="356" t="str">
        <f t="shared" si="27"/>
        <v/>
      </c>
      <c r="AL140" s="349" t="str">
        <f t="shared" si="42"/>
        <v/>
      </c>
      <c r="AM140" s="348"/>
      <c r="AN140" s="348"/>
      <c r="AO140" s="349"/>
      <c r="AP140" s="349"/>
      <c r="AQ140" s="357" t="str">
        <f>IF(AI140="",AG140,AI140)</f>
        <v/>
      </c>
    </row>
    <row r="141" spans="9:43" ht="23.25" customHeight="1">
      <c r="I141" s="321"/>
      <c r="J141" s="321"/>
      <c r="K141" s="321"/>
      <c r="L141" s="321"/>
      <c r="M141" s="348"/>
      <c r="N141" s="321"/>
      <c r="O141" s="321"/>
      <c r="P141" s="321"/>
      <c r="Q141" s="321"/>
      <c r="R141" s="321"/>
      <c r="S141" s="1628"/>
      <c r="T141" s="1628" t="s">
        <v>361</v>
      </c>
      <c r="U141" s="350" t="str">
        <f>".5"</f>
        <v>.5</v>
      </c>
      <c r="V141" s="1625" t="s">
        <v>1825</v>
      </c>
      <c r="W141" s="1390" t="str">
        <f>Dictionary!B1427</f>
        <v>Qualität im Verlauf des Projekts sicherstellen</v>
      </c>
      <c r="X141" s="1636" t="str">
        <f>IFERROR(INDEX($AV$14:$AV$51,MATCH($V141,$C$14:$C$51,0)),"")</f>
        <v/>
      </c>
      <c r="Y141" s="1336" t="str">
        <f t="shared" si="43"/>
        <v/>
      </c>
      <c r="Z141" s="354"/>
      <c r="AA141" s="1336"/>
      <c r="AB141" s="354"/>
      <c r="AC141" s="1336"/>
      <c r="AD141" s="354"/>
      <c r="AE141" s="1336"/>
      <c r="AF141" s="354"/>
      <c r="AG141" s="349" t="str">
        <f>IF(AND(Y141="",AA141="",AC141="",AE141=""),"",MAX(Y141,AA141,AC141,AE141))</f>
        <v/>
      </c>
      <c r="AH141" s="354"/>
      <c r="AI141" s="1337" t="str">
        <f>IF(Y141="","",IF(GC_Flag="","",IF(OR(Y141&lt;=Dictionary!$I$52,Y141=""),0,1)))</f>
        <v/>
      </c>
      <c r="AK141" s="356" t="str">
        <f t="shared" si="27"/>
        <v/>
      </c>
      <c r="AL141" s="349" t="str">
        <f t="shared" si="42"/>
        <v/>
      </c>
      <c r="AM141" s="348"/>
      <c r="AN141" s="348"/>
      <c r="AO141" s="349"/>
      <c r="AP141" s="349"/>
      <c r="AQ141" s="357" t="str">
        <f>IF(AI141="",AG141,AI141)</f>
        <v/>
      </c>
    </row>
    <row r="142" spans="9:43" ht="23.25" customHeight="1">
      <c r="I142" s="321"/>
      <c r="J142" s="321"/>
      <c r="K142" s="321"/>
      <c r="L142" s="321"/>
      <c r="M142" s="348"/>
      <c r="N142" s="321"/>
      <c r="O142" s="321"/>
      <c r="P142" s="321"/>
      <c r="Q142" s="321"/>
      <c r="R142" s="321"/>
      <c r="S142" s="1628"/>
      <c r="T142" s="1628" t="s">
        <v>355</v>
      </c>
      <c r="U142" s="341" t="s">
        <v>355</v>
      </c>
      <c r="V142" s="1624"/>
      <c r="W142" s="342" t="str">
        <f>Dictionary!B1252</f>
        <v>Kosten &amp; Finanzierung</v>
      </c>
      <c r="X142" s="1635"/>
      <c r="Y142" s="359"/>
      <c r="Z142" s="315"/>
      <c r="AA142" s="359"/>
      <c r="AB142" s="360"/>
      <c r="AC142" s="359"/>
      <c r="AD142" s="360"/>
      <c r="AE142" s="359"/>
      <c r="AF142" s="315"/>
      <c r="AG142" s="359"/>
      <c r="AH142" s="360"/>
      <c r="AI142" s="359"/>
      <c r="AK142" s="356"/>
      <c r="AL142" s="361" t="str">
        <f t="shared" si="42"/>
        <v/>
      </c>
      <c r="AM142" s="348"/>
      <c r="AN142" s="348"/>
      <c r="AO142" s="349">
        <f>Scoring!AK142</f>
        <v>5</v>
      </c>
      <c r="AP142" s="349">
        <f>ROUNDUP(AO142/2,0)</f>
        <v>3</v>
      </c>
      <c r="AQ142" s="346" t="str">
        <f>IF((COUNTBLANK(AQ143:AQ147)-COUNTBLANK(W143:W147))=$AO142,"",IF((COUNTIF(AQ143:AQ147,"&gt;=1")&gt;=AP142),"Pass","Fail"))</f>
        <v/>
      </c>
    </row>
    <row r="143" spans="9:43" ht="23.25" customHeight="1">
      <c r="I143" s="321"/>
      <c r="J143" s="321"/>
      <c r="K143" s="321"/>
      <c r="L143" s="321"/>
      <c r="M143" s="348"/>
      <c r="N143" s="321"/>
      <c r="O143" s="321"/>
      <c r="P143" s="321"/>
      <c r="Q143" s="321"/>
      <c r="R143" s="321"/>
      <c r="S143" s="1628"/>
      <c r="T143" s="1628" t="s">
        <v>355</v>
      </c>
      <c r="U143" s="350" t="str">
        <f>".1"</f>
        <v>.1</v>
      </c>
      <c r="V143" s="1625" t="s">
        <v>1827</v>
      </c>
      <c r="W143" s="1390" t="str">
        <f>Dictionary!B1431</f>
        <v>Projektkosten abschätzen</v>
      </c>
      <c r="X143" s="1636" t="str">
        <f>IFERROR(INDEX($AV$14:$AV$51,MATCH($V143,$C$14:$C$51,0)),"")</f>
        <v/>
      </c>
      <c r="Y143" s="1336" t="str">
        <f>IF(OR(X143=0,X143=1,X143=2,X143=3,X143=4,X143=5),X143,"")</f>
        <v/>
      </c>
      <c r="Z143" s="354"/>
      <c r="AA143" s="1336"/>
      <c r="AB143" s="354"/>
      <c r="AC143" s="1336"/>
      <c r="AD143" s="354"/>
      <c r="AE143" s="1336"/>
      <c r="AF143" s="354"/>
      <c r="AG143" s="349" t="str">
        <f>IF(AND(Y143="",AA143="",AC143="",AE143=""),"",MAX(Y143,AA143,AC143,AE143))</f>
        <v/>
      </c>
      <c r="AH143" s="354"/>
      <c r="AI143" s="1337" t="str">
        <f>IF(Y143="","",IF(GC_Flag="","",IF(OR(Y143&lt;=Dictionary!$I$52,Y143=""),0,1)))</f>
        <v/>
      </c>
      <c r="AK143" s="356" t="str">
        <f t="shared" si="27"/>
        <v/>
      </c>
      <c r="AL143" s="349" t="str">
        <f t="shared" si="42"/>
        <v/>
      </c>
      <c r="AM143" s="348"/>
      <c r="AN143" s="348"/>
      <c r="AO143" s="349"/>
      <c r="AP143" s="349"/>
      <c r="AQ143" s="357" t="str">
        <f>IF(AI143="",AG143,AI143)</f>
        <v/>
      </c>
    </row>
    <row r="144" spans="9:43" ht="23.25" customHeight="1">
      <c r="I144" s="321"/>
      <c r="J144" s="321"/>
      <c r="K144" s="321"/>
      <c r="L144" s="321"/>
      <c r="M144" s="348"/>
      <c r="N144" s="321"/>
      <c r="O144" s="321"/>
      <c r="P144" s="321"/>
      <c r="Q144" s="321"/>
      <c r="R144" s="321"/>
      <c r="S144" s="1628"/>
      <c r="T144" s="1628" t="s">
        <v>355</v>
      </c>
      <c r="U144" s="350" t="str">
        <f>".2"</f>
        <v>.2</v>
      </c>
      <c r="V144" s="1625" t="s">
        <v>1829</v>
      </c>
      <c r="W144" s="1390" t="str">
        <f>Dictionary!B1432</f>
        <v>Projektbudget erstellen</v>
      </c>
      <c r="X144" s="1636" t="str">
        <f>IFERROR(INDEX($AV$14:$AV$51,MATCH($V144,$C$14:$C$51,0)),"")</f>
        <v/>
      </c>
      <c r="Y144" s="1336" t="str">
        <f t="shared" ref="Y144:Y147" si="44">IF(OR(X144=0,X144=1,X144=2,X144=3,X144=4,X144=5),X144,"")</f>
        <v/>
      </c>
      <c r="Z144" s="354"/>
      <c r="AA144" s="1336"/>
      <c r="AB144" s="354"/>
      <c r="AC144" s="1336"/>
      <c r="AD144" s="354"/>
      <c r="AE144" s="1336"/>
      <c r="AF144" s="354"/>
      <c r="AG144" s="349" t="str">
        <f>IF(AND(Y144="",AA144="",AC144="",AE144=""),"",MAX(Y144,AA144,AC144,AE144))</f>
        <v/>
      </c>
      <c r="AH144" s="354"/>
      <c r="AI144" s="1337" t="str">
        <f>IF(Y144="","",IF(GC_Flag="","",IF(OR(Y144&lt;=Dictionary!$I$52,Y144=""),0,1)))</f>
        <v/>
      </c>
      <c r="AK144" s="356" t="str">
        <f t="shared" si="27"/>
        <v/>
      </c>
      <c r="AL144" s="349" t="str">
        <f t="shared" si="42"/>
        <v/>
      </c>
      <c r="AM144" s="348"/>
      <c r="AN144" s="348"/>
      <c r="AO144" s="349"/>
      <c r="AP144" s="349"/>
      <c r="AQ144" s="357" t="str">
        <f>IF(AI144="",AG144,AI144)</f>
        <v/>
      </c>
    </row>
    <row r="145" spans="9:43" ht="23.25" customHeight="1">
      <c r="I145" s="321"/>
      <c r="J145" s="321"/>
      <c r="K145" s="321"/>
      <c r="L145" s="321"/>
      <c r="M145" s="348"/>
      <c r="N145" s="321"/>
      <c r="O145" s="321"/>
      <c r="P145" s="321"/>
      <c r="Q145" s="321"/>
      <c r="R145" s="321"/>
      <c r="S145" s="1628"/>
      <c r="T145" s="1628" t="s">
        <v>355</v>
      </c>
      <c r="U145" s="350" t="str">
        <f>".3"</f>
        <v>.3</v>
      </c>
      <c r="V145" s="1625" t="s">
        <v>1830</v>
      </c>
      <c r="W145" s="1390" t="str">
        <f>Dictionary!B1433</f>
        <v>Projektfinanzierung sichern</v>
      </c>
      <c r="X145" s="1636" t="str">
        <f>IFERROR(INDEX($AV$14:$AV$51,MATCH($V145,$C$14:$C$51,0)),"")</f>
        <v/>
      </c>
      <c r="Y145" s="1336" t="str">
        <f t="shared" si="44"/>
        <v/>
      </c>
      <c r="Z145" s="354"/>
      <c r="AA145" s="1336"/>
      <c r="AB145" s="354"/>
      <c r="AC145" s="1336"/>
      <c r="AD145" s="354"/>
      <c r="AE145" s="1336"/>
      <c r="AF145" s="354"/>
      <c r="AG145" s="349" t="str">
        <f>IF(AND(Y145="",AA145="",AC145="",AE145=""),"",MAX(Y145,AA145,AC145,AE145))</f>
        <v/>
      </c>
      <c r="AH145" s="354"/>
      <c r="AI145" s="1337" t="str">
        <f>IF(Y145="","",IF(GC_Flag="","",IF(OR(Y145&lt;=Dictionary!$I$52,Y145=""),0,1)))</f>
        <v/>
      </c>
      <c r="AK145" s="356" t="str">
        <f t="shared" si="27"/>
        <v/>
      </c>
      <c r="AL145" s="349" t="str">
        <f t="shared" si="42"/>
        <v/>
      </c>
      <c r="AM145" s="348"/>
      <c r="AN145" s="348"/>
      <c r="AO145" s="349"/>
      <c r="AP145" s="349"/>
      <c r="AQ145" s="357" t="str">
        <f>IF(AI145="",AG145,AI145)</f>
        <v/>
      </c>
    </row>
    <row r="146" spans="9:43" ht="23.25" customHeight="1">
      <c r="I146" s="321"/>
      <c r="J146" s="321"/>
      <c r="K146" s="321"/>
      <c r="L146" s="321"/>
      <c r="M146" s="348"/>
      <c r="N146" s="321"/>
      <c r="O146" s="321"/>
      <c r="P146" s="321"/>
      <c r="Q146" s="321"/>
      <c r="R146" s="321"/>
      <c r="S146" s="1628"/>
      <c r="T146" s="1628" t="s">
        <v>355</v>
      </c>
      <c r="U146" s="350" t="str">
        <f>".4"</f>
        <v>.4</v>
      </c>
      <c r="V146" s="1625" t="s">
        <v>1831</v>
      </c>
      <c r="W146" s="1390" t="str">
        <f>Dictionary!B1434</f>
        <v>Finanzmanagement- und Berichtssystem für das Projekt entwickeln, einrichten und aufrechterhalten</v>
      </c>
      <c r="X146" s="1636" t="str">
        <f>IFERROR(INDEX($AV$14:$AV$51,MATCH($V146,$C$14:$C$51,0)),"")</f>
        <v/>
      </c>
      <c r="Y146" s="1336" t="str">
        <f t="shared" si="44"/>
        <v/>
      </c>
      <c r="Z146" s="354"/>
      <c r="AA146" s="1336"/>
      <c r="AB146" s="354"/>
      <c r="AC146" s="1336"/>
      <c r="AD146" s="354"/>
      <c r="AE146" s="1336"/>
      <c r="AF146" s="354"/>
      <c r="AG146" s="349" t="str">
        <f>IF(AND(Y146="",AA146="",AC146="",AE146=""),"",MAX(Y146,AA146,AC146,AE146))</f>
        <v/>
      </c>
      <c r="AH146" s="354"/>
      <c r="AI146" s="1337" t="str">
        <f>IF(Y146="","",IF(GC_Flag="","",IF(OR(Y146&lt;=Dictionary!$I$52,Y146=""),0,1)))</f>
        <v/>
      </c>
      <c r="AK146" s="356" t="str">
        <f t="shared" si="27"/>
        <v/>
      </c>
      <c r="AL146" s="349" t="str">
        <f t="shared" si="42"/>
        <v/>
      </c>
      <c r="AM146" s="348"/>
      <c r="AN146" s="348"/>
      <c r="AO146" s="349"/>
      <c r="AP146" s="349"/>
      <c r="AQ146" s="357" t="str">
        <f>IF(AI146="",AG146,AI146)</f>
        <v/>
      </c>
    </row>
    <row r="147" spans="9:43" ht="23.25" customHeight="1">
      <c r="I147" s="321"/>
      <c r="J147" s="321"/>
      <c r="K147" s="321"/>
      <c r="L147" s="321"/>
      <c r="M147" s="348"/>
      <c r="N147" s="321"/>
      <c r="O147" s="321"/>
      <c r="P147" s="321"/>
      <c r="Q147" s="321"/>
      <c r="R147" s="321"/>
      <c r="S147" s="1628"/>
      <c r="T147" s="1628" t="s">
        <v>355</v>
      </c>
      <c r="U147" s="350" t="str">
        <f>".5"</f>
        <v>.5</v>
      </c>
      <c r="V147" s="1625" t="s">
        <v>1832</v>
      </c>
      <c r="W147" s="1390" t="str">
        <f>Dictionary!B1435</f>
        <v>Finanzen überwachen, um Abweichungen vom Projektplan zu identifizieren und zu korrigieren</v>
      </c>
      <c r="X147" s="1636" t="str">
        <f>IFERROR(INDEX($AV$14:$AV$51,MATCH($V147,$C$14:$C$51,0)),"")</f>
        <v/>
      </c>
      <c r="Y147" s="1336" t="str">
        <f t="shared" si="44"/>
        <v/>
      </c>
      <c r="Z147" s="354"/>
      <c r="AA147" s="1336"/>
      <c r="AB147" s="354"/>
      <c r="AC147" s="1336"/>
      <c r="AD147" s="354"/>
      <c r="AE147" s="1336"/>
      <c r="AF147" s="354"/>
      <c r="AG147" s="349" t="str">
        <f>IF(AND(Y147="",AA147="",AC147="",AE147=""),"",MAX(Y147,AA147,AC147,AE147))</f>
        <v/>
      </c>
      <c r="AH147" s="354"/>
      <c r="AI147" s="1337" t="str">
        <f>IF(Y147="","",IF(GC_Flag="","",IF(OR(Y147&lt;=Dictionary!$I$52,Y147=""),0,1)))</f>
        <v/>
      </c>
      <c r="AK147" s="356" t="str">
        <f t="shared" si="27"/>
        <v/>
      </c>
      <c r="AL147" s="349" t="str">
        <f t="shared" si="42"/>
        <v/>
      </c>
      <c r="AM147" s="348"/>
      <c r="AN147" s="348"/>
      <c r="AO147" s="349"/>
      <c r="AP147" s="349"/>
      <c r="AQ147" s="357" t="str">
        <f>IF(AI147="",AG147,AI147)</f>
        <v/>
      </c>
    </row>
    <row r="148" spans="9:43" ht="23.25" customHeight="1">
      <c r="I148" s="321"/>
      <c r="J148" s="321"/>
      <c r="K148" s="321"/>
      <c r="L148" s="321"/>
      <c r="M148" s="348"/>
      <c r="N148" s="321"/>
      <c r="O148" s="321"/>
      <c r="P148" s="321"/>
      <c r="Q148" s="321"/>
      <c r="R148" s="321"/>
      <c r="S148" s="1628"/>
      <c r="T148" s="1628" t="s">
        <v>349</v>
      </c>
      <c r="U148" s="341" t="s">
        <v>349</v>
      </c>
      <c r="V148" s="1624"/>
      <c r="W148" s="342" t="str">
        <f>Dictionary!B1253</f>
        <v>Ressourcen</v>
      </c>
      <c r="X148" s="1635"/>
      <c r="Y148" s="359"/>
      <c r="Z148" s="315"/>
      <c r="AA148" s="359"/>
      <c r="AB148" s="360"/>
      <c r="AC148" s="359"/>
      <c r="AD148" s="360"/>
      <c r="AE148" s="359"/>
      <c r="AF148" s="315"/>
      <c r="AG148" s="359"/>
      <c r="AH148" s="360"/>
      <c r="AI148" s="359"/>
      <c r="AK148" s="356"/>
      <c r="AL148" s="361" t="str">
        <f t="shared" si="42"/>
        <v/>
      </c>
      <c r="AM148" s="348"/>
      <c r="AN148" s="348"/>
      <c r="AO148" s="349">
        <f>Scoring!AK148</f>
        <v>5</v>
      </c>
      <c r="AP148" s="349">
        <f>ROUNDUP(AO148/2,0)</f>
        <v>3</v>
      </c>
      <c r="AQ148" s="346" t="str">
        <f>IF((COUNTBLANK(AQ149:AQ153)-COUNTBLANK(W149:W153))=$AO148,"",IF((COUNTIF(AQ149:AQ153,"&gt;=1")&gt;=AP148),"Pass","Fail"))</f>
        <v/>
      </c>
    </row>
    <row r="149" spans="9:43" ht="23.25" customHeight="1">
      <c r="I149" s="321"/>
      <c r="J149" s="321"/>
      <c r="K149" s="321"/>
      <c r="L149" s="321"/>
      <c r="M149" s="348"/>
      <c r="N149" s="321"/>
      <c r="O149" s="321"/>
      <c r="P149" s="321"/>
      <c r="Q149" s="321"/>
      <c r="R149" s="321"/>
      <c r="S149" s="1628"/>
      <c r="T149" s="1628" t="s">
        <v>349</v>
      </c>
      <c r="U149" s="350" t="str">
        <f>".1"</f>
        <v>.1</v>
      </c>
      <c r="V149" s="1625" t="s">
        <v>1838</v>
      </c>
      <c r="W149" s="1390" t="str">
        <f>Dictionary!B1439</f>
        <v>Strategische Ressourcenplanung entwickeln, um die Projektergebnisse liefern zu können</v>
      </c>
      <c r="X149" s="1636" t="str">
        <f>IFERROR(INDEX($AV$14:$AV$51,MATCH($V149,$C$14:$C$51,0)),"")</f>
        <v/>
      </c>
      <c r="Y149" s="1336" t="str">
        <f>IF(OR(X149=0,X149=1,X149=2,X149=3,X149=4,X149=5),X149,"")</f>
        <v/>
      </c>
      <c r="Z149" s="354"/>
      <c r="AA149" s="1336"/>
      <c r="AB149" s="354"/>
      <c r="AC149" s="1336"/>
      <c r="AD149" s="354"/>
      <c r="AE149" s="1336"/>
      <c r="AF149" s="354"/>
      <c r="AG149" s="349" t="str">
        <f>IF(AND(Y149="",AA149="",AC149="",AE149=""),"",MAX(Y149,AA149,AC149,AE149))</f>
        <v/>
      </c>
      <c r="AH149" s="354"/>
      <c r="AI149" s="1337" t="str">
        <f>IF(Y149="","",IF(GC_Flag="","",IF(OR(Y149&lt;=Dictionary!$I$52,Y149=""),0,1)))</f>
        <v/>
      </c>
      <c r="AK149" s="356" t="str">
        <f t="shared" si="27"/>
        <v/>
      </c>
      <c r="AL149" s="349" t="str">
        <f t="shared" si="42"/>
        <v/>
      </c>
      <c r="AM149" s="348"/>
      <c r="AN149" s="348"/>
      <c r="AO149" s="349"/>
      <c r="AP149" s="349"/>
      <c r="AQ149" s="357" t="str">
        <f>IF(AI149="",AG149,AI149)</f>
        <v/>
      </c>
    </row>
    <row r="150" spans="9:43" ht="23.25" customHeight="1">
      <c r="I150" s="321"/>
      <c r="J150" s="321"/>
      <c r="K150" s="321"/>
      <c r="L150" s="321"/>
      <c r="M150" s="348"/>
      <c r="N150" s="321"/>
      <c r="O150" s="321"/>
      <c r="P150" s="321"/>
      <c r="Q150" s="321"/>
      <c r="R150" s="321"/>
      <c r="S150" s="1628"/>
      <c r="T150" s="1628" t="s">
        <v>349</v>
      </c>
      <c r="U150" s="350" t="str">
        <f>".2"</f>
        <v>.2</v>
      </c>
      <c r="V150" s="1625" t="s">
        <v>1839</v>
      </c>
      <c r="W150" s="1390" t="str">
        <f>Dictionary!B1440</f>
        <v>Qualität und Menge der benötigten Ressourcen definieren</v>
      </c>
      <c r="X150" s="1636" t="str">
        <f>IFERROR(INDEX($AV$14:$AV$51,MATCH($V150,$C$14:$C$51,0)),"")</f>
        <v/>
      </c>
      <c r="Y150" s="1336" t="str">
        <f t="shared" ref="Y150:Y153" si="45">IF(OR(X150=0,X150=1,X150=2,X150=3,X150=4,X150=5),X150,"")</f>
        <v/>
      </c>
      <c r="Z150" s="354"/>
      <c r="AA150" s="1336"/>
      <c r="AB150" s="354"/>
      <c r="AC150" s="1336"/>
      <c r="AD150" s="354"/>
      <c r="AE150" s="1336"/>
      <c r="AF150" s="354"/>
      <c r="AG150" s="349" t="str">
        <f>IF(AND(Y150="",AA150="",AC150="",AE150=""),"",MAX(Y150,AA150,AC150,AE150))</f>
        <v/>
      </c>
      <c r="AH150" s="354"/>
      <c r="AI150" s="1337" t="str">
        <f>IF(Y150="","",IF(GC_Flag="","",IF(OR(Y150&lt;=Dictionary!$I$52,Y150=""),0,1)))</f>
        <v/>
      </c>
      <c r="AK150" s="356" t="str">
        <f t="shared" si="27"/>
        <v/>
      </c>
      <c r="AL150" s="349" t="str">
        <f t="shared" si="42"/>
        <v/>
      </c>
      <c r="AM150" s="348"/>
      <c r="AN150" s="348"/>
      <c r="AO150" s="349"/>
      <c r="AP150" s="349"/>
      <c r="AQ150" s="357" t="str">
        <f>IF(AI150="",AG150,AI150)</f>
        <v/>
      </c>
    </row>
    <row r="151" spans="9:43" ht="23.25" customHeight="1">
      <c r="I151" s="321"/>
      <c r="J151" s="321"/>
      <c r="K151" s="321"/>
      <c r="L151" s="321"/>
      <c r="M151" s="348"/>
      <c r="N151" s="321"/>
      <c r="O151" s="321"/>
      <c r="P151" s="321"/>
      <c r="Q151" s="321"/>
      <c r="R151" s="321"/>
      <c r="S151" s="1628"/>
      <c r="T151" s="1628" t="s">
        <v>349</v>
      </c>
      <c r="U151" s="350" t="str">
        <f>".3"</f>
        <v>.3</v>
      </c>
      <c r="V151" s="1625" t="s">
        <v>1840</v>
      </c>
      <c r="W151" s="1390" t="str">
        <f>Dictionary!B1441</f>
        <v>Potenzielle Ressourcenquellen identifizieren und ihre Beschaffung verhandeln</v>
      </c>
      <c r="X151" s="1636" t="str">
        <f>IFERROR(INDEX($AV$14:$AV$51,MATCH($V151,$C$14:$C$51,0)),"")</f>
        <v/>
      </c>
      <c r="Y151" s="1336" t="str">
        <f t="shared" si="45"/>
        <v/>
      </c>
      <c r="Z151" s="354"/>
      <c r="AA151" s="1336"/>
      <c r="AB151" s="354"/>
      <c r="AC151" s="1336"/>
      <c r="AD151" s="354"/>
      <c r="AE151" s="1336"/>
      <c r="AF151" s="354"/>
      <c r="AG151" s="349" t="str">
        <f>IF(AND(Y151="",AA151="",AC151="",AE151=""),"",MAX(Y151,AA151,AC151,AE151))</f>
        <v/>
      </c>
      <c r="AH151" s="354"/>
      <c r="AI151" s="1337" t="str">
        <f>IF(Y151="","",IF(GC_Flag="","",IF(OR(Y151&lt;=Dictionary!$I$52,Y151=""),0,1)))</f>
        <v/>
      </c>
      <c r="AK151" s="356" t="str">
        <f t="shared" si="27"/>
        <v/>
      </c>
      <c r="AL151" s="349" t="str">
        <f t="shared" si="42"/>
        <v/>
      </c>
      <c r="AM151" s="348"/>
      <c r="AN151" s="348"/>
      <c r="AO151" s="349"/>
      <c r="AP151" s="349"/>
      <c r="AQ151" s="357" t="str">
        <f>IF(AI151="",AG151,AI151)</f>
        <v/>
      </c>
    </row>
    <row r="152" spans="9:43" ht="23.25" customHeight="1">
      <c r="I152" s="321"/>
      <c r="J152" s="321"/>
      <c r="K152" s="321"/>
      <c r="L152" s="321"/>
      <c r="M152" s="348"/>
      <c r="N152" s="321"/>
      <c r="O152" s="321"/>
      <c r="P152" s="321"/>
      <c r="Q152" s="321"/>
      <c r="R152" s="321"/>
      <c r="S152" s="1628"/>
      <c r="T152" s="1628" t="s">
        <v>349</v>
      </c>
      <c r="U152" s="350" t="str">
        <f>".4"</f>
        <v>.4</v>
      </c>
      <c r="V152" s="1625" t="s">
        <v>1841</v>
      </c>
      <c r="W152" s="1390" t="str">
        <f>Dictionary!B1442</f>
        <v>Ressourcen gemäß dem festgelegten Bedarf zuweisen und verteilen</v>
      </c>
      <c r="X152" s="1636" t="str">
        <f>IFERROR(INDEX($AV$14:$AV$51,MATCH($V152,$C$14:$C$51,0)),"")</f>
        <v/>
      </c>
      <c r="Y152" s="1336" t="str">
        <f t="shared" si="45"/>
        <v/>
      </c>
      <c r="Z152" s="354"/>
      <c r="AA152" s="1336"/>
      <c r="AB152" s="354"/>
      <c r="AC152" s="1336"/>
      <c r="AD152" s="354"/>
      <c r="AE152" s="1336"/>
      <c r="AF152" s="354"/>
      <c r="AG152" s="349" t="str">
        <f>IF(AND(Y152="",AA152="",AC152="",AE152=""),"",MAX(Y152,AA152,AC152,AE152))</f>
        <v/>
      </c>
      <c r="AH152" s="354"/>
      <c r="AI152" s="1337" t="str">
        <f>IF(Y152="","",IF(GC_Flag="","",IF(OR(Y152&lt;=Dictionary!$I$52,Y152=""),0,1)))</f>
        <v/>
      </c>
      <c r="AK152" s="356" t="str">
        <f t="shared" ref="AK152:AK182" si="46">IF(Y152="","",IF(Y152&gt;=0,Y152,""))</f>
        <v/>
      </c>
      <c r="AL152" s="349" t="str">
        <f t="shared" si="42"/>
        <v/>
      </c>
      <c r="AM152" s="348"/>
      <c r="AN152" s="348"/>
      <c r="AO152" s="349"/>
      <c r="AP152" s="349"/>
      <c r="AQ152" s="357" t="str">
        <f>IF(AI152="",AG152,AI152)</f>
        <v/>
      </c>
    </row>
    <row r="153" spans="9:43" ht="23.25" customHeight="1">
      <c r="I153" s="321"/>
      <c r="J153" s="321"/>
      <c r="K153" s="321"/>
      <c r="L153" s="321"/>
      <c r="M153" s="348"/>
      <c r="N153" s="321"/>
      <c r="O153" s="321"/>
      <c r="P153" s="321"/>
      <c r="Q153" s="321"/>
      <c r="R153" s="321"/>
      <c r="S153" s="1628"/>
      <c r="T153" s="1628" t="s">
        <v>349</v>
      </c>
      <c r="U153" s="350" t="str">
        <f>".5"</f>
        <v>.5</v>
      </c>
      <c r="V153" s="1625" t="s">
        <v>1842</v>
      </c>
      <c r="W153" s="1390" t="str">
        <f>Dictionary!B1443</f>
        <v>Ressourcenverbrauch evaluieren und erforderliche Korrekturmaßnahmen ergreifen</v>
      </c>
      <c r="X153" s="1636" t="str">
        <f>IFERROR(INDEX($AV$14:$AV$51,MATCH($V153,$C$14:$C$51,0)),"")</f>
        <v/>
      </c>
      <c r="Y153" s="1336" t="str">
        <f t="shared" si="45"/>
        <v/>
      </c>
      <c r="Z153" s="354"/>
      <c r="AA153" s="1336"/>
      <c r="AB153" s="354"/>
      <c r="AC153" s="1336"/>
      <c r="AD153" s="354"/>
      <c r="AE153" s="1336"/>
      <c r="AF153" s="354"/>
      <c r="AG153" s="349" t="str">
        <f>IF(AND(Y153="",AA153="",AC153="",AE153=""),"",MAX(Y153,AA153,AC153,AE153))</f>
        <v/>
      </c>
      <c r="AH153" s="354"/>
      <c r="AI153" s="1337" t="str">
        <f>IF(Y153="","",IF(GC_Flag="","",IF(OR(Y153&lt;=Dictionary!$I$52,Y153=""),0,1)))</f>
        <v/>
      </c>
      <c r="AK153" s="356" t="str">
        <f t="shared" si="46"/>
        <v/>
      </c>
      <c r="AL153" s="349" t="str">
        <f t="shared" si="42"/>
        <v/>
      </c>
      <c r="AM153" s="348"/>
      <c r="AN153" s="348"/>
      <c r="AO153" s="349"/>
      <c r="AP153" s="349"/>
      <c r="AQ153" s="357" t="str">
        <f>IF(AI153="",AG153,AI153)</f>
        <v/>
      </c>
    </row>
    <row r="154" spans="9:43" ht="23.25" customHeight="1">
      <c r="I154" s="321"/>
      <c r="J154" s="321"/>
      <c r="K154" s="321"/>
      <c r="L154" s="321"/>
      <c r="M154" s="348"/>
      <c r="N154" s="321"/>
      <c r="O154" s="321"/>
      <c r="P154" s="321"/>
      <c r="Q154" s="321"/>
      <c r="R154" s="321"/>
      <c r="S154" s="1628"/>
      <c r="T154" s="1628" t="s">
        <v>343</v>
      </c>
      <c r="U154" s="341" t="s">
        <v>343</v>
      </c>
      <c r="V154" s="1624"/>
      <c r="W154" s="342" t="str">
        <f>Dictionary!B1254</f>
        <v>Beschaffung</v>
      </c>
      <c r="X154" s="1635"/>
      <c r="Y154" s="359"/>
      <c r="Z154" s="315"/>
      <c r="AA154" s="359"/>
      <c r="AB154" s="360"/>
      <c r="AC154" s="359"/>
      <c r="AD154" s="360"/>
      <c r="AE154" s="359"/>
      <c r="AF154" s="315"/>
      <c r="AG154" s="359"/>
      <c r="AH154" s="360"/>
      <c r="AI154" s="359"/>
      <c r="AK154" s="356"/>
      <c r="AL154" s="361" t="str">
        <f t="shared" si="42"/>
        <v/>
      </c>
      <c r="AM154" s="348"/>
      <c r="AN154" s="348"/>
      <c r="AO154" s="349">
        <f>Scoring!AK154</f>
        <v>4</v>
      </c>
      <c r="AP154" s="349">
        <f>ROUNDUP(AO154/2,0)</f>
        <v>2</v>
      </c>
      <c r="AQ154" s="346" t="str">
        <f>IF((COUNTBLANK(AQ155:AQ158)-COUNTBLANK(W155:W158))=$AO154,"",IF((COUNTIF(AQ155:AQ158,"&gt;=1")&gt;=AP154),"Pass","Fail"))</f>
        <v/>
      </c>
    </row>
    <row r="155" spans="9:43" ht="23.25" customHeight="1">
      <c r="I155" s="321"/>
      <c r="J155" s="321"/>
      <c r="K155" s="321"/>
      <c r="L155" s="321"/>
      <c r="M155" s="348"/>
      <c r="N155" s="321"/>
      <c r="O155" s="321"/>
      <c r="P155" s="321"/>
      <c r="Q155" s="321"/>
      <c r="R155" s="321"/>
      <c r="S155" s="1628"/>
      <c r="T155" s="1628" t="s">
        <v>343</v>
      </c>
      <c r="U155" s="350" t="str">
        <f>".1"</f>
        <v>.1</v>
      </c>
      <c r="V155" s="1625" t="s">
        <v>1853</v>
      </c>
      <c r="W155" s="1390" t="str">
        <f>Dictionary!B1447</f>
        <v>Beschaffungsbedarf, Optionen und Prozesse vereinbaren</v>
      </c>
      <c r="X155" s="1636" t="str">
        <f>IFERROR(INDEX($AV$14:$AV$51,MATCH($V155,$C$14:$C$51,0)),"")</f>
        <v/>
      </c>
      <c r="Y155" s="1336" t="str">
        <f>IF(OR(X155=0,X155=1,X155=2,X155=3,X155=4,X155=5),X155,"")</f>
        <v/>
      </c>
      <c r="Z155" s="354"/>
      <c r="AA155" s="1336"/>
      <c r="AB155" s="354"/>
      <c r="AC155" s="1336"/>
      <c r="AD155" s="354"/>
      <c r="AE155" s="1336"/>
      <c r="AF155" s="354"/>
      <c r="AG155" s="349" t="str">
        <f>IF(AND(Y155="",AA155="",AC155="",AE155=""),"",MAX(Y155,AA155,AC155,AE155))</f>
        <v/>
      </c>
      <c r="AH155" s="354"/>
      <c r="AI155" s="1337" t="str">
        <f>IF(Y155="","",IF(GC_Flag="","",IF(OR(Y155&lt;=Dictionary!$I$52,Y155=""),0,1)))</f>
        <v/>
      </c>
      <c r="AK155" s="356" t="str">
        <f t="shared" si="46"/>
        <v/>
      </c>
      <c r="AL155" s="349" t="str">
        <f t="shared" si="42"/>
        <v/>
      </c>
      <c r="AM155" s="348"/>
      <c r="AN155" s="348"/>
      <c r="AO155" s="349"/>
      <c r="AP155" s="349"/>
      <c r="AQ155" s="357" t="str">
        <f>IF(AI155="",AG155,AI155)</f>
        <v/>
      </c>
    </row>
    <row r="156" spans="9:43" ht="23.25" customHeight="1">
      <c r="I156" s="321"/>
      <c r="J156" s="321"/>
      <c r="K156" s="321"/>
      <c r="L156" s="321"/>
      <c r="M156" s="348"/>
      <c r="N156" s="321"/>
      <c r="O156" s="321"/>
      <c r="P156" s="321"/>
      <c r="Q156" s="321"/>
      <c r="R156" s="321"/>
      <c r="S156" s="1628"/>
      <c r="T156" s="1628" t="s">
        <v>343</v>
      </c>
      <c r="U156" s="350" t="str">
        <f>".2"</f>
        <v>.2</v>
      </c>
      <c r="V156" s="1625" t="s">
        <v>1854</v>
      </c>
      <c r="W156" s="1390" t="str">
        <f>Dictionary!B1448</f>
        <v>Zur Evaluation und Auswahl von Lieferanten und Partnern beitragen</v>
      </c>
      <c r="X156" s="1636" t="str">
        <f>IFERROR(INDEX($AV$14:$AV$51,MATCH($V156,$C$14:$C$51,0)),"")</f>
        <v/>
      </c>
      <c r="Y156" s="1336" t="str">
        <f t="shared" ref="Y156:Y158" si="47">IF(OR(X156=0,X156=1,X156=2,X156=3,X156=4,X156=5),X156,"")</f>
        <v/>
      </c>
      <c r="Z156" s="354"/>
      <c r="AA156" s="1336"/>
      <c r="AB156" s="354"/>
      <c r="AC156" s="1336"/>
      <c r="AD156" s="354"/>
      <c r="AE156" s="1336"/>
      <c r="AF156" s="354"/>
      <c r="AG156" s="349" t="str">
        <f>IF(AND(Y156="",AA156="",AC156="",AE156=""),"",MAX(Y156,AA156,AC156,AE156))</f>
        <v/>
      </c>
      <c r="AH156" s="354"/>
      <c r="AI156" s="1337" t="str">
        <f>IF(Y156="","",IF(GC_Flag="","",IF(OR(Y156&lt;=Dictionary!$I$52,Y156=""),0,1)))</f>
        <v/>
      </c>
      <c r="AK156" s="356" t="str">
        <f t="shared" si="46"/>
        <v/>
      </c>
      <c r="AL156" s="349" t="str">
        <f t="shared" si="42"/>
        <v/>
      </c>
      <c r="AM156" s="348"/>
      <c r="AN156" s="348"/>
      <c r="AO156" s="349"/>
      <c r="AP156" s="349"/>
      <c r="AQ156" s="357" t="str">
        <f>IF(AI156="",AG156,AI156)</f>
        <v/>
      </c>
    </row>
    <row r="157" spans="9:43" ht="23.25" customHeight="1">
      <c r="I157" s="321"/>
      <c r="J157" s="321"/>
      <c r="K157" s="321"/>
      <c r="L157" s="321"/>
      <c r="M157" s="348"/>
      <c r="N157" s="321"/>
      <c r="O157" s="321"/>
      <c r="P157" s="321"/>
      <c r="Q157" s="321"/>
      <c r="R157" s="321"/>
      <c r="S157" s="1628"/>
      <c r="T157" s="1628" t="s">
        <v>343</v>
      </c>
      <c r="U157" s="350" t="str">
        <f>".3"</f>
        <v>.3</v>
      </c>
      <c r="V157" s="1625" t="s">
        <v>1855</v>
      </c>
      <c r="W157" s="1390" t="str">
        <f>Dictionary!B1449</f>
        <v>Zu Verhandlungen und Vereinbarungen von Vertragsbestimmungen beitragen, um diese in Einklang mit den Projektzielen zu bringen</v>
      </c>
      <c r="X157" s="1636" t="str">
        <f>IFERROR(INDEX($AV$14:$AV$51,MATCH($V157,$C$14:$C$51,0)),"")</f>
        <v/>
      </c>
      <c r="Y157" s="1336" t="str">
        <f t="shared" si="47"/>
        <v/>
      </c>
      <c r="Z157" s="354"/>
      <c r="AA157" s="1336"/>
      <c r="AB157" s="354"/>
      <c r="AC157" s="1336"/>
      <c r="AD157" s="354"/>
      <c r="AE157" s="1336"/>
      <c r="AF157" s="354"/>
      <c r="AG157" s="349" t="str">
        <f>IF(AND(Y157="",AA157="",AC157="",AE157=""),"",MAX(Y157,AA157,AC157,AE157))</f>
        <v/>
      </c>
      <c r="AH157" s="354"/>
      <c r="AI157" s="1337" t="str">
        <f>IF(Y157="","",IF(GC_Flag="","",IF(OR(Y157&lt;=Dictionary!$I$52,Y157=""),0,1)))</f>
        <v/>
      </c>
      <c r="AK157" s="356" t="str">
        <f t="shared" si="46"/>
        <v/>
      </c>
      <c r="AL157" s="349" t="str">
        <f t="shared" si="42"/>
        <v/>
      </c>
      <c r="AM157" s="348"/>
      <c r="AN157" s="348"/>
      <c r="AO157" s="349"/>
      <c r="AP157" s="349"/>
      <c r="AQ157" s="357" t="str">
        <f>IF(AI157="",AG157,AI157)</f>
        <v/>
      </c>
    </row>
    <row r="158" spans="9:43" ht="23.25" customHeight="1">
      <c r="I158" s="321"/>
      <c r="J158" s="321"/>
      <c r="K158" s="321"/>
      <c r="L158" s="321"/>
      <c r="M158" s="348"/>
      <c r="N158" s="321"/>
      <c r="O158" s="321"/>
      <c r="P158" s="321"/>
      <c r="Q158" s="321"/>
      <c r="R158" s="321"/>
      <c r="S158" s="1628"/>
      <c r="T158" s="1628" t="s">
        <v>343</v>
      </c>
      <c r="U158" s="350" t="str">
        <f>".4"</f>
        <v>.4</v>
      </c>
      <c r="V158" s="1625" t="s">
        <v>1856</v>
      </c>
      <c r="W158" s="1390" t="str">
        <f>Dictionary!B1450</f>
        <v>Vertragsausführung überwachen, Probleme ansprechen und, falls notwendig, Entschädigungen verlangen</v>
      </c>
      <c r="X158" s="1636" t="str">
        <f>IFERROR(INDEX($AV$14:$AV$51,MATCH($V158,$C$14:$C$51,0)),"")</f>
        <v/>
      </c>
      <c r="Y158" s="1336" t="str">
        <f t="shared" si="47"/>
        <v/>
      </c>
      <c r="Z158" s="354"/>
      <c r="AA158" s="1336"/>
      <c r="AB158" s="354"/>
      <c r="AC158" s="1336"/>
      <c r="AD158" s="354"/>
      <c r="AE158" s="1336"/>
      <c r="AF158" s="354"/>
      <c r="AG158" s="349" t="str">
        <f>IF(AND(Y158="",AA158="",AC158="",AE158=""),"",MAX(Y158,AA158,AC158,AE158))</f>
        <v/>
      </c>
      <c r="AH158" s="354"/>
      <c r="AI158" s="1337" t="str">
        <f>IF(Y158="","",IF(GC_Flag="","",IF(OR(Y158&lt;=Dictionary!$I$52,Y158=""),0,1)))</f>
        <v/>
      </c>
      <c r="AK158" s="356" t="str">
        <f t="shared" si="46"/>
        <v/>
      </c>
      <c r="AL158" s="349" t="str">
        <f t="shared" si="42"/>
        <v/>
      </c>
      <c r="AM158" s="348"/>
      <c r="AN158" s="348"/>
      <c r="AO158" s="349"/>
      <c r="AP158" s="349"/>
      <c r="AQ158" s="357" t="str">
        <f>IF(AI158="",AG158,AI158)</f>
        <v/>
      </c>
    </row>
    <row r="159" spans="9:43" ht="23.25" customHeight="1">
      <c r="I159" s="321"/>
      <c r="J159" s="321"/>
      <c r="K159" s="321"/>
      <c r="L159" s="321"/>
      <c r="M159" s="348"/>
      <c r="N159" s="321"/>
      <c r="O159" s="321"/>
      <c r="P159" s="321"/>
      <c r="Q159" s="321"/>
      <c r="R159" s="321"/>
      <c r="S159" s="1628"/>
      <c r="T159" s="1628" t="s">
        <v>338</v>
      </c>
      <c r="U159" s="341" t="s">
        <v>338</v>
      </c>
      <c r="V159" s="1624"/>
      <c r="W159" s="342" t="str">
        <f>Dictionary!B1255</f>
        <v>Planung und Steuerung</v>
      </c>
      <c r="X159" s="1635"/>
      <c r="Y159" s="359"/>
      <c r="Z159" s="315"/>
      <c r="AA159" s="359"/>
      <c r="AB159" s="360"/>
      <c r="AC159" s="359"/>
      <c r="AD159" s="360"/>
      <c r="AE159" s="359"/>
      <c r="AF159" s="315"/>
      <c r="AG159" s="359"/>
      <c r="AH159" s="360"/>
      <c r="AI159" s="359"/>
      <c r="AK159" s="356"/>
      <c r="AL159" s="361" t="str">
        <f t="shared" si="42"/>
        <v/>
      </c>
      <c r="AM159" s="348"/>
      <c r="AN159" s="369"/>
      <c r="AO159" s="349">
        <f>Scoring!AK159</f>
        <v>6</v>
      </c>
      <c r="AP159" s="349">
        <f>ROUNDUP(AO159/2,0)</f>
        <v>3</v>
      </c>
      <c r="AQ159" s="346" t="str">
        <f>IF((COUNTBLANK(AQ160:AQ165)-COUNTBLANK(W160:W165))=$AO159,"",IF((COUNTIF(AQ160:AQ165,"&gt;=1")&gt;=AP159),"Pass","Fail"))</f>
        <v/>
      </c>
    </row>
    <row r="160" spans="9:43" ht="23.25" customHeight="1">
      <c r="I160" s="321"/>
      <c r="J160" s="321"/>
      <c r="K160" s="321"/>
      <c r="L160" s="321"/>
      <c r="M160" s="348"/>
      <c r="N160" s="321"/>
      <c r="O160" s="321"/>
      <c r="P160" s="321"/>
      <c r="Q160" s="321"/>
      <c r="R160" s="321"/>
      <c r="S160" s="1628"/>
      <c r="T160" s="1628" t="s">
        <v>338</v>
      </c>
      <c r="U160" s="350" t="str">
        <f>".1"</f>
        <v>.1</v>
      </c>
      <c r="V160" s="1625" t="s">
        <v>1859</v>
      </c>
      <c r="W160" s="1390" t="str">
        <f>Dictionary!B1454</f>
        <v>Projekt starten, Projektmanagement-Plan entwickeln und Zustimmung einholen</v>
      </c>
      <c r="X160" s="1636" t="str">
        <f t="shared" ref="X160:X165" si="48">IFERROR(INDEX($AV$14:$AV$51,MATCH($V160,$C$14:$C$51,0)),"")</f>
        <v/>
      </c>
      <c r="Y160" s="1336" t="str">
        <f>IF(OR(X160=0,X160=1,X160=2,X160=3,X160=4,X160=5),X160,"")</f>
        <v/>
      </c>
      <c r="Z160" s="354"/>
      <c r="AA160" s="1336"/>
      <c r="AB160" s="354"/>
      <c r="AC160" s="1336"/>
      <c r="AD160" s="354"/>
      <c r="AE160" s="1336"/>
      <c r="AF160" s="354"/>
      <c r="AG160" s="349" t="str">
        <f t="shared" ref="AG160:AG165" si="49">IF(AND(Y160="",AA160="",AC160="",AE160=""),"",MAX(Y160,AA160,AC160,AE160))</f>
        <v/>
      </c>
      <c r="AH160" s="354"/>
      <c r="AI160" s="1337" t="str">
        <f>IF(Y160="","",IF(GC_Flag="","",IF(OR(Y160&lt;=Dictionary!$I$52,Y160=""),0,1)))</f>
        <v/>
      </c>
      <c r="AK160" s="356" t="str">
        <f t="shared" si="46"/>
        <v/>
      </c>
      <c r="AL160" s="349" t="str">
        <f t="shared" si="42"/>
        <v/>
      </c>
      <c r="AM160" s="348"/>
      <c r="AN160" s="348"/>
      <c r="AO160" s="349"/>
      <c r="AP160" s="349"/>
      <c r="AQ160" s="357" t="str">
        <f t="shared" ref="AQ160:AQ165" si="50">IF(AI160="",AG160,AI160)</f>
        <v/>
      </c>
    </row>
    <row r="161" spans="9:43" ht="23.25" customHeight="1">
      <c r="I161" s="321"/>
      <c r="J161" s="321"/>
      <c r="K161" s="321"/>
      <c r="L161" s="321"/>
      <c r="M161" s="348"/>
      <c r="N161" s="321"/>
      <c r="O161" s="321"/>
      <c r="P161" s="321"/>
      <c r="Q161" s="321"/>
      <c r="R161" s="321"/>
      <c r="S161" s="1628"/>
      <c r="T161" s="1628" t="s">
        <v>338</v>
      </c>
      <c r="U161" s="350" t="str">
        <f>".2"</f>
        <v>.2</v>
      </c>
      <c r="V161" s="1625" t="s">
        <v>1860</v>
      </c>
      <c r="W161" s="1390" t="str">
        <f>Dictionary!B1455</f>
        <v>Übergang in eine neue Projektphase einleiten und managen</v>
      </c>
      <c r="X161" s="1636" t="str">
        <f t="shared" si="48"/>
        <v/>
      </c>
      <c r="Y161" s="1336" t="str">
        <f t="shared" ref="Y161:Y165" si="51">IF(OR(X161=0,X161=1,X161=2,X161=3,X161=4,X161=5),X161,"")</f>
        <v/>
      </c>
      <c r="Z161" s="354"/>
      <c r="AA161" s="1336"/>
      <c r="AB161" s="354"/>
      <c r="AC161" s="1336"/>
      <c r="AD161" s="354"/>
      <c r="AE161" s="1336"/>
      <c r="AF161" s="354"/>
      <c r="AG161" s="349" t="str">
        <f t="shared" si="49"/>
        <v/>
      </c>
      <c r="AH161" s="354"/>
      <c r="AI161" s="1337" t="str">
        <f>IF(Y161="","",IF(GC_Flag="","",IF(OR(Y161&lt;=Dictionary!$I$52,Y161=""),0,1)))</f>
        <v/>
      </c>
      <c r="AK161" s="356" t="str">
        <f t="shared" si="46"/>
        <v/>
      </c>
      <c r="AL161" s="349" t="str">
        <f t="shared" si="42"/>
        <v/>
      </c>
      <c r="AM161" s="348"/>
      <c r="AN161" s="348"/>
      <c r="AO161" s="349"/>
      <c r="AP161" s="349"/>
      <c r="AQ161" s="357" t="str">
        <f t="shared" si="50"/>
        <v/>
      </c>
    </row>
    <row r="162" spans="9:43" ht="23.25" customHeight="1">
      <c r="I162" s="321"/>
      <c r="J162" s="321"/>
      <c r="K162" s="321"/>
      <c r="L162" s="321"/>
      <c r="M162" s="348"/>
      <c r="N162" s="321"/>
      <c r="O162" s="321"/>
      <c r="P162" s="321"/>
      <c r="Q162" s="321"/>
      <c r="R162" s="321"/>
      <c r="S162" s="1628"/>
      <c r="T162" s="1628" t="s">
        <v>338</v>
      </c>
      <c r="U162" s="350" t="str">
        <f>".3"</f>
        <v>.3</v>
      </c>
      <c r="V162" s="1625" t="s">
        <v>1861</v>
      </c>
      <c r="W162" s="1390" t="str">
        <f>Dictionary!B1456</f>
        <v>Projektleistung mit dem Projektplan abgleichen und Korrekturmaßnahmen treffen</v>
      </c>
      <c r="X162" s="1636" t="str">
        <f t="shared" si="48"/>
        <v/>
      </c>
      <c r="Y162" s="1336" t="str">
        <f t="shared" si="51"/>
        <v/>
      </c>
      <c r="Z162" s="354"/>
      <c r="AA162" s="1336"/>
      <c r="AB162" s="354"/>
      <c r="AC162" s="1336"/>
      <c r="AD162" s="354"/>
      <c r="AE162" s="1336"/>
      <c r="AF162" s="354"/>
      <c r="AG162" s="349" t="str">
        <f t="shared" si="49"/>
        <v/>
      </c>
      <c r="AH162" s="354"/>
      <c r="AI162" s="1337" t="str">
        <f>IF(Y162="","",IF(GC_Flag="","",IF(OR(Y162&lt;=Dictionary!$I$52,Y162=""),0,1)))</f>
        <v/>
      </c>
      <c r="AK162" s="356" t="str">
        <f t="shared" si="46"/>
        <v/>
      </c>
      <c r="AL162" s="349" t="str">
        <f t="shared" si="42"/>
        <v/>
      </c>
      <c r="AM162" s="348"/>
      <c r="AN162" s="348"/>
      <c r="AO162" s="349"/>
      <c r="AP162" s="349"/>
      <c r="AQ162" s="357" t="str">
        <f t="shared" si="50"/>
        <v/>
      </c>
    </row>
    <row r="163" spans="9:43" ht="23.25" customHeight="1">
      <c r="I163" s="321"/>
      <c r="J163" s="321"/>
      <c r="K163" s="321"/>
      <c r="L163" s="321"/>
      <c r="M163" s="348"/>
      <c r="N163" s="321"/>
      <c r="O163" s="321"/>
      <c r="P163" s="321"/>
      <c r="Q163" s="321"/>
      <c r="R163" s="321"/>
      <c r="S163" s="1628"/>
      <c r="T163" s="1628" t="s">
        <v>338</v>
      </c>
      <c r="U163" s="350" t="str">
        <f>".4"</f>
        <v>.4</v>
      </c>
      <c r="V163" s="1625" t="s">
        <v>1862</v>
      </c>
      <c r="W163" s="1390" t="str">
        <f>Dictionary!B1457</f>
        <v>Bericht über den Projektfortschritt erstatten</v>
      </c>
      <c r="X163" s="1636" t="str">
        <f t="shared" si="48"/>
        <v/>
      </c>
      <c r="Y163" s="1336" t="str">
        <f t="shared" si="51"/>
        <v/>
      </c>
      <c r="Z163" s="354"/>
      <c r="AA163" s="1336"/>
      <c r="AB163" s="354"/>
      <c r="AC163" s="1336"/>
      <c r="AD163" s="354"/>
      <c r="AE163" s="1336"/>
      <c r="AF163" s="354"/>
      <c r="AG163" s="349" t="str">
        <f t="shared" si="49"/>
        <v/>
      </c>
      <c r="AH163" s="354"/>
      <c r="AI163" s="1337" t="str">
        <f>IF(Y163="","",IF(GC_Flag="","",IF(OR(Y163&lt;=Dictionary!$I$52,Y163=""),0,1)))</f>
        <v/>
      </c>
      <c r="AK163" s="356" t="str">
        <f t="shared" si="46"/>
        <v/>
      </c>
      <c r="AL163" s="349" t="str">
        <f t="shared" si="42"/>
        <v/>
      </c>
      <c r="AM163" s="348"/>
      <c r="AN163" s="348"/>
      <c r="AO163" s="349"/>
      <c r="AP163" s="349"/>
      <c r="AQ163" s="357" t="str">
        <f t="shared" si="50"/>
        <v/>
      </c>
    </row>
    <row r="164" spans="9:43" ht="23.25" customHeight="1">
      <c r="I164" s="321"/>
      <c r="J164" s="321"/>
      <c r="K164" s="321"/>
      <c r="L164" s="321"/>
      <c r="M164" s="348"/>
      <c r="N164" s="321"/>
      <c r="O164" s="321"/>
      <c r="P164" s="321"/>
      <c r="Q164" s="321"/>
      <c r="R164" s="321"/>
      <c r="S164" s="1628"/>
      <c r="T164" s="1628" t="s">
        <v>338</v>
      </c>
      <c r="U164" s="350" t="str">
        <f>".5"</f>
        <v>.5</v>
      </c>
      <c r="V164" s="1625" t="s">
        <v>1863</v>
      </c>
      <c r="W164" s="1390" t="str">
        <f>Dictionary!B1458</f>
        <v>Projektänderungen beurteilen, Zustimmung für diese einholen und sie implementieren</v>
      </c>
      <c r="X164" s="1636" t="str">
        <f t="shared" si="48"/>
        <v/>
      </c>
      <c r="Y164" s="1336" t="str">
        <f>IF(OR(X164=0,X164=1,X164=2,X164=3,X164=4,X164=5),X164,"")</f>
        <v/>
      </c>
      <c r="Z164" s="354"/>
      <c r="AA164" s="1336"/>
      <c r="AB164" s="354"/>
      <c r="AC164" s="1336"/>
      <c r="AD164" s="354"/>
      <c r="AE164" s="1336"/>
      <c r="AF164" s="354"/>
      <c r="AG164" s="349" t="str">
        <f t="shared" si="49"/>
        <v/>
      </c>
      <c r="AH164" s="354"/>
      <c r="AI164" s="1337" t="str">
        <f>IF(Y164="","",IF(GC_Flag="","",IF(OR(Y164&lt;=Dictionary!$I$52,Y164=""),0,1)))</f>
        <v/>
      </c>
      <c r="AK164" s="356" t="str">
        <f t="shared" si="46"/>
        <v/>
      </c>
      <c r="AL164" s="349" t="str">
        <f t="shared" si="42"/>
        <v/>
      </c>
      <c r="AM164" s="348"/>
      <c r="AN164" s="348"/>
      <c r="AO164" s="349"/>
      <c r="AP164" s="349"/>
      <c r="AQ164" s="357" t="str">
        <f t="shared" si="50"/>
        <v/>
      </c>
    </row>
    <row r="165" spans="9:43" ht="23.25" customHeight="1">
      <c r="I165" s="321"/>
      <c r="J165" s="321"/>
      <c r="K165" s="321"/>
      <c r="L165" s="321"/>
      <c r="M165" s="348"/>
      <c r="N165" s="321"/>
      <c r="O165" s="321"/>
      <c r="P165" s="321"/>
      <c r="Q165" s="321"/>
      <c r="R165" s="321"/>
      <c r="S165" s="1628"/>
      <c r="T165" s="1628" t="s">
        <v>338</v>
      </c>
      <c r="U165" s="350" t="str">
        <f>".6"</f>
        <v>.6</v>
      </c>
      <c r="V165" s="1625" t="s">
        <v>1864</v>
      </c>
      <c r="W165" s="1390" t="str">
        <f>Dictionary!B1459</f>
        <v>Eine Phase oder das Projekt abschließen und evaluieren</v>
      </c>
      <c r="X165" s="1636" t="str">
        <f t="shared" si="48"/>
        <v/>
      </c>
      <c r="Y165" s="1336" t="str">
        <f t="shared" si="51"/>
        <v/>
      </c>
      <c r="Z165" s="354"/>
      <c r="AA165" s="1336"/>
      <c r="AB165" s="354"/>
      <c r="AC165" s="1336"/>
      <c r="AD165" s="354"/>
      <c r="AE165" s="1336"/>
      <c r="AF165" s="354"/>
      <c r="AG165" s="349" t="str">
        <f t="shared" si="49"/>
        <v/>
      </c>
      <c r="AH165" s="354"/>
      <c r="AI165" s="1337" t="str">
        <f>IF(Y165="","",IF(GC_Flag="","",IF(OR(Y165&lt;=Dictionary!$I$52,Y165=""),0,1)))</f>
        <v/>
      </c>
      <c r="AK165" s="356" t="str">
        <f t="shared" si="46"/>
        <v/>
      </c>
      <c r="AL165" s="349" t="str">
        <f t="shared" si="42"/>
        <v/>
      </c>
      <c r="AM165" s="348"/>
      <c r="AN165" s="348"/>
      <c r="AO165" s="349"/>
      <c r="AP165" s="349"/>
      <c r="AQ165" s="357" t="str">
        <f t="shared" si="50"/>
        <v/>
      </c>
    </row>
    <row r="166" spans="9:43" ht="23.25" customHeight="1">
      <c r="I166" s="321"/>
      <c r="J166" s="321"/>
      <c r="K166" s="321"/>
      <c r="L166" s="321"/>
      <c r="M166" s="348"/>
      <c r="N166" s="321"/>
      <c r="O166" s="321"/>
      <c r="P166" s="321"/>
      <c r="Q166" s="321"/>
      <c r="R166" s="321"/>
      <c r="S166" s="1628"/>
      <c r="T166" s="1628" t="s">
        <v>331</v>
      </c>
      <c r="U166" s="341" t="s">
        <v>331</v>
      </c>
      <c r="V166" s="1624"/>
      <c r="W166" s="342" t="str">
        <f>Dictionary!B1256</f>
        <v>Risiken und Chancen</v>
      </c>
      <c r="X166" s="1635"/>
      <c r="Y166" s="359"/>
      <c r="Z166" s="315"/>
      <c r="AA166" s="359"/>
      <c r="AB166" s="360"/>
      <c r="AC166" s="359"/>
      <c r="AD166" s="360"/>
      <c r="AE166" s="359"/>
      <c r="AF166" s="315"/>
      <c r="AG166" s="359"/>
      <c r="AH166" s="360"/>
      <c r="AI166" s="359"/>
      <c r="AK166" s="356"/>
      <c r="AL166" s="361" t="str">
        <f t="shared" si="42"/>
        <v/>
      </c>
      <c r="AM166" s="348"/>
      <c r="AN166" s="369"/>
      <c r="AO166" s="349">
        <f>Scoring!AK166</f>
        <v>5</v>
      </c>
      <c r="AP166" s="349">
        <f>ROUNDUP(AO166/2,0)</f>
        <v>3</v>
      </c>
      <c r="AQ166" s="346" t="str">
        <f>IF((COUNTBLANK(AQ167:AQ171)-COUNTBLANK(W167:W171))=$AO166,"",IF((COUNTIF(AQ167:AQ171,"&gt;=1")&gt;=AP166),"Pass","Fail"))</f>
        <v/>
      </c>
    </row>
    <row r="167" spans="9:43" ht="23.25" customHeight="1">
      <c r="I167" s="321"/>
      <c r="J167" s="321"/>
      <c r="K167" s="321"/>
      <c r="L167" s="321"/>
      <c r="M167" s="348"/>
      <c r="N167" s="321"/>
      <c r="O167" s="321"/>
      <c r="P167" s="321"/>
      <c r="Q167" s="321"/>
      <c r="R167" s="321"/>
      <c r="S167" s="1628"/>
      <c r="T167" s="1628" t="s">
        <v>331</v>
      </c>
      <c r="U167" s="350" t="str">
        <f>".1"</f>
        <v>.1</v>
      </c>
      <c r="V167" s="1625" t="s">
        <v>1871</v>
      </c>
      <c r="W167" s="1390" t="str">
        <f>Dictionary!B1463</f>
        <v>Chancen- und Risikomanagementstruktur entwickeln und implementieren</v>
      </c>
      <c r="X167" s="1636" t="str">
        <f>IFERROR(INDEX($AV$14:$AV$51,MATCH($V167,$C$14:$C$51,0)),"")</f>
        <v/>
      </c>
      <c r="Y167" s="1336" t="str">
        <f>IF(OR(X167=0,X167=1,X167=2,X167=3,X167=4,X167=5),X167,"")</f>
        <v/>
      </c>
      <c r="Z167" s="354"/>
      <c r="AA167" s="1336"/>
      <c r="AB167" s="354"/>
      <c r="AC167" s="1336"/>
      <c r="AD167" s="354"/>
      <c r="AE167" s="1336"/>
      <c r="AF167" s="354"/>
      <c r="AG167" s="349" t="str">
        <f>IF(AND(Y167="",AA167="",AC167="",AE167=""),"",MAX(Y167,AA167,AC167,AE167))</f>
        <v/>
      </c>
      <c r="AH167" s="354"/>
      <c r="AI167" s="1337" t="str">
        <f>IF(Y167="","",IF(GC_Flag="","",IF(OR(Y167&lt;=Dictionary!$I$52,Y167=""),0,1)))</f>
        <v/>
      </c>
      <c r="AK167" s="356" t="str">
        <f t="shared" si="46"/>
        <v/>
      </c>
      <c r="AL167" s="349" t="str">
        <f t="shared" si="42"/>
        <v/>
      </c>
      <c r="AM167" s="348"/>
      <c r="AN167" s="348"/>
      <c r="AO167" s="349"/>
      <c r="AP167" s="349"/>
      <c r="AQ167" s="357" t="str">
        <f>IF(AI167="",AG167,AI167)</f>
        <v/>
      </c>
    </row>
    <row r="168" spans="9:43" ht="23.25" customHeight="1">
      <c r="I168" s="321"/>
      <c r="J168" s="321"/>
      <c r="K168" s="321"/>
      <c r="L168" s="321"/>
      <c r="M168" s="348"/>
      <c r="N168" s="321"/>
      <c r="O168" s="321"/>
      <c r="P168" s="321"/>
      <c r="Q168" s="321"/>
      <c r="R168" s="321"/>
      <c r="S168" s="1628"/>
      <c r="T168" s="1628" t="s">
        <v>331</v>
      </c>
      <c r="U168" s="350" t="str">
        <f>".2"</f>
        <v>.2</v>
      </c>
      <c r="V168" s="1625" t="s">
        <v>1873</v>
      </c>
      <c r="W168" s="1390" t="str">
        <f>Dictionary!B1464</f>
        <v>Chancen und Risiken identifizieren</v>
      </c>
      <c r="X168" s="1636" t="str">
        <f>IFERROR(INDEX($AV$14:$AV$51,MATCH($V168,$C$14:$C$51,0)),"")</f>
        <v/>
      </c>
      <c r="Y168" s="1336" t="str">
        <f t="shared" ref="Y168:Y170" si="52">IF(OR(X168=0,X168=1,X168=2,X168=3,X168=4,X168=5),X168,"")</f>
        <v/>
      </c>
      <c r="Z168" s="354"/>
      <c r="AA168" s="1336"/>
      <c r="AB168" s="354"/>
      <c r="AC168" s="1336"/>
      <c r="AD168" s="354"/>
      <c r="AE168" s="1336"/>
      <c r="AF168" s="354"/>
      <c r="AG168" s="349" t="str">
        <f>IF(AND(Y168="",AA168="",AC168="",AE168=""),"",MAX(Y168,AA168,AC168,AE168))</f>
        <v/>
      </c>
      <c r="AH168" s="354"/>
      <c r="AI168" s="1337" t="str">
        <f>IF(Y168="","",IF(GC_Flag="","",IF(OR(Y168&lt;=Dictionary!$I$52,Y168=""),0,1)))</f>
        <v/>
      </c>
      <c r="AK168" s="356" t="str">
        <f t="shared" si="46"/>
        <v/>
      </c>
      <c r="AL168" s="349" t="str">
        <f t="shared" si="42"/>
        <v/>
      </c>
      <c r="AM168" s="348"/>
      <c r="AN168" s="348"/>
      <c r="AO168" s="349"/>
      <c r="AP168" s="349"/>
      <c r="AQ168" s="357" t="str">
        <f>IF(AI168="",AG168,AI168)</f>
        <v/>
      </c>
    </row>
    <row r="169" spans="9:43" ht="23.25" customHeight="1">
      <c r="I169" s="321"/>
      <c r="J169" s="321"/>
      <c r="K169" s="321"/>
      <c r="L169" s="321"/>
      <c r="M169" s="348"/>
      <c r="N169" s="321"/>
      <c r="O169" s="321"/>
      <c r="P169" s="321"/>
      <c r="Q169" s="321"/>
      <c r="R169" s="321"/>
      <c r="S169" s="1628"/>
      <c r="T169" s="1628" t="s">
        <v>331</v>
      </c>
      <c r="U169" s="350" t="str">
        <f>".3"</f>
        <v>.3</v>
      </c>
      <c r="V169" s="1625" t="s">
        <v>1874</v>
      </c>
      <c r="W169" s="1390" t="str">
        <f>Dictionary!B1465</f>
        <v>Wahrscheinlichkeit und Auswirkungen von Chancen und Risiken analysieren</v>
      </c>
      <c r="X169" s="1636" t="str">
        <f>IFERROR(INDEX($AV$14:$AV$51,MATCH($V169,$C$14:$C$51,0)),"")</f>
        <v/>
      </c>
      <c r="Y169" s="1336" t="str">
        <f t="shared" si="52"/>
        <v/>
      </c>
      <c r="Z169" s="354"/>
      <c r="AA169" s="1336"/>
      <c r="AB169" s="354"/>
      <c r="AC169" s="1336"/>
      <c r="AD169" s="354"/>
      <c r="AE169" s="1336"/>
      <c r="AF169" s="354"/>
      <c r="AG169" s="349" t="str">
        <f>IF(AND(Y169="",AA169="",AC169="",AE169=""),"",MAX(Y169,AA169,AC169,AE169))</f>
        <v/>
      </c>
      <c r="AH169" s="354"/>
      <c r="AI169" s="1337" t="str">
        <f>IF(Y169="","",IF(GC_Flag="","",IF(OR(Y169&lt;=Dictionary!$I$52,Y169=""),0,1)))</f>
        <v/>
      </c>
      <c r="AK169" s="356" t="str">
        <f t="shared" si="46"/>
        <v/>
      </c>
      <c r="AL169" s="349" t="str">
        <f t="shared" ref="AL169:AL189" si="53">AQ169</f>
        <v/>
      </c>
      <c r="AM169" s="348"/>
      <c r="AN169" s="348"/>
      <c r="AO169" s="349"/>
      <c r="AP169" s="349"/>
      <c r="AQ169" s="357" t="str">
        <f>IF(AI169="",AG169,AI169)</f>
        <v/>
      </c>
    </row>
    <row r="170" spans="9:43" ht="23.25" customHeight="1">
      <c r="I170" s="321"/>
      <c r="J170" s="321"/>
      <c r="K170" s="321"/>
      <c r="L170" s="321"/>
      <c r="M170" s="348"/>
      <c r="N170" s="321"/>
      <c r="O170" s="321"/>
      <c r="P170" s="321"/>
      <c r="Q170" s="321"/>
      <c r="R170" s="321"/>
      <c r="S170" s="1628"/>
      <c r="T170" s="1628" t="s">
        <v>331</v>
      </c>
      <c r="U170" s="350" t="str">
        <f>".4"</f>
        <v>.4</v>
      </c>
      <c r="V170" s="1625" t="s">
        <v>1875</v>
      </c>
      <c r="W170" s="1390" t="str">
        <f>Dictionary!B1466</f>
        <v>Strategien auswählen und Maßnahmen implementieren, um Chancen und Risiken zu adressieren</v>
      </c>
      <c r="X170" s="1636" t="str">
        <f>IFERROR(INDEX($AV$14:$AV$51,MATCH($V170,$C$14:$C$51,0)),"")</f>
        <v/>
      </c>
      <c r="Y170" s="1336" t="str">
        <f t="shared" si="52"/>
        <v/>
      </c>
      <c r="Z170" s="354"/>
      <c r="AA170" s="1336"/>
      <c r="AB170" s="354"/>
      <c r="AC170" s="1336"/>
      <c r="AD170" s="354"/>
      <c r="AE170" s="1336"/>
      <c r="AF170" s="354"/>
      <c r="AG170" s="349" t="str">
        <f>IF(AND(Y170="",AA170="",AC170="",AE170=""),"",MAX(Y170,AA170,AC170,AE170))</f>
        <v/>
      </c>
      <c r="AH170" s="354"/>
      <c r="AI170" s="1337" t="str">
        <f>IF(Y170="","",IF(GC_Flag="","",IF(OR(Y170&lt;=Dictionary!$I$52,Y170=""),0,1)))</f>
        <v/>
      </c>
      <c r="AK170" s="356" t="str">
        <f t="shared" si="46"/>
        <v/>
      </c>
      <c r="AL170" s="349" t="str">
        <f t="shared" si="53"/>
        <v/>
      </c>
      <c r="AM170" s="348"/>
      <c r="AN170" s="348"/>
      <c r="AO170" s="349"/>
      <c r="AP170" s="349"/>
      <c r="AQ170" s="357" t="str">
        <f>IF(AI170="",AG170,AI170)</f>
        <v/>
      </c>
    </row>
    <row r="171" spans="9:43" ht="23.25" customHeight="1">
      <c r="I171" s="321"/>
      <c r="J171" s="321"/>
      <c r="K171" s="321"/>
      <c r="L171" s="321"/>
      <c r="M171" s="348"/>
      <c r="N171" s="321"/>
      <c r="O171" s="321"/>
      <c r="P171" s="321"/>
      <c r="Q171" s="321"/>
      <c r="R171" s="321"/>
      <c r="S171" s="1628"/>
      <c r="T171" s="1628" t="s">
        <v>331</v>
      </c>
      <c r="U171" s="350" t="str">
        <f>".5"</f>
        <v>.5</v>
      </c>
      <c r="V171" s="1625" t="s">
        <v>1876</v>
      </c>
      <c r="W171" s="1390" t="str">
        <f>Dictionary!B1467</f>
        <v>Chancen, Risiken und implementierte Maßnahmen evaluieren und überwachen</v>
      </c>
      <c r="X171" s="1636" t="str">
        <f>IFERROR(INDEX($AV$14:$AV$51,MATCH($V171,$C$14:$C$51,0)),"")</f>
        <v/>
      </c>
      <c r="Y171" s="1336" t="str">
        <f>IF(OR(X171=0,X171=1,X171=2,X171=3,X171=4,X171=5),X171,"")</f>
        <v/>
      </c>
      <c r="Z171" s="354"/>
      <c r="AA171" s="1336"/>
      <c r="AB171" s="354"/>
      <c r="AC171" s="1336"/>
      <c r="AD171" s="354"/>
      <c r="AE171" s="1336"/>
      <c r="AF171" s="354"/>
      <c r="AG171" s="349" t="str">
        <f>IF(AND(Y171="",AA171="",AC171="",AE171=""),"",MAX(Y171,AA171,AC171,AE171))</f>
        <v/>
      </c>
      <c r="AH171" s="354"/>
      <c r="AI171" s="1337" t="str">
        <f>IF(Y171="","",IF(GC_Flag="","",IF(OR(Y171&lt;=Dictionary!$I$52,Y171=""),0,1)))</f>
        <v/>
      </c>
      <c r="AK171" s="356" t="str">
        <f t="shared" si="46"/>
        <v/>
      </c>
      <c r="AL171" s="349" t="str">
        <f t="shared" si="53"/>
        <v/>
      </c>
      <c r="AM171" s="348"/>
      <c r="AN171" s="348"/>
      <c r="AO171" s="349"/>
      <c r="AP171" s="349"/>
      <c r="AQ171" s="357" t="str">
        <f>IF(AI171="",AG171,AI171)</f>
        <v/>
      </c>
    </row>
    <row r="172" spans="9:43" ht="23.25" customHeight="1">
      <c r="I172" s="321"/>
      <c r="J172" s="321"/>
      <c r="K172" s="321"/>
      <c r="L172" s="321"/>
      <c r="M172" s="348"/>
      <c r="N172" s="321"/>
      <c r="O172" s="321"/>
      <c r="P172" s="321"/>
      <c r="Q172" s="321"/>
      <c r="R172" s="321"/>
      <c r="S172" s="1628"/>
      <c r="T172" s="1628" t="s">
        <v>325</v>
      </c>
      <c r="U172" s="341" t="s">
        <v>325</v>
      </c>
      <c r="V172" s="1624"/>
      <c r="W172" s="342" t="str">
        <f>Dictionary!B1257</f>
        <v>Stakeholder</v>
      </c>
      <c r="X172" s="1635"/>
      <c r="Y172" s="359"/>
      <c r="Z172" s="315"/>
      <c r="AA172" s="359"/>
      <c r="AB172" s="360"/>
      <c r="AC172" s="359"/>
      <c r="AD172" s="360"/>
      <c r="AE172" s="359"/>
      <c r="AF172" s="315"/>
      <c r="AG172" s="359"/>
      <c r="AH172" s="360"/>
      <c r="AI172" s="359"/>
      <c r="AK172" s="356"/>
      <c r="AL172" s="361" t="str">
        <f t="shared" si="53"/>
        <v/>
      </c>
      <c r="AM172" s="348"/>
      <c r="AN172" s="369"/>
      <c r="AO172" s="349">
        <f>Scoring!AK172</f>
        <v>5</v>
      </c>
      <c r="AP172" s="349">
        <f>ROUNDUP(AO172/2,0)</f>
        <v>3</v>
      </c>
      <c r="AQ172" s="346" t="str">
        <f>IF((COUNTBLANK(AQ173:AQ177)-COUNTBLANK(W173:W177))=$AO172,"",IF((COUNTIF(AQ173:AQ177,"&gt;=1")&gt;=AP172),"Pass","Fail"))</f>
        <v/>
      </c>
    </row>
    <row r="173" spans="9:43" ht="23.25" customHeight="1">
      <c r="I173" s="321"/>
      <c r="J173" s="321"/>
      <c r="K173" s="321"/>
      <c r="L173" s="321"/>
      <c r="M173" s="348"/>
      <c r="N173" s="321"/>
      <c r="O173" s="321"/>
      <c r="P173" s="321"/>
      <c r="Q173" s="321"/>
      <c r="R173" s="321"/>
      <c r="S173" s="1628"/>
      <c r="T173" s="1628" t="s">
        <v>325</v>
      </c>
      <c r="U173" s="350" t="str">
        <f>".1"</f>
        <v>.1</v>
      </c>
      <c r="V173" s="1625" t="s">
        <v>1882</v>
      </c>
      <c r="W173" s="1390" t="str">
        <f>Dictionary!B1471</f>
        <v>Stakeholder identifizieren und ihre Interessen sowie ihren Einfluss analysieren</v>
      </c>
      <c r="X173" s="1636" t="str">
        <f>IFERROR(INDEX($AV$14:$AV$51,MATCH($V173,$C$14:$C$51,0)),"")</f>
        <v/>
      </c>
      <c r="Y173" s="1336" t="str">
        <f>IF(OR(X173=0,X173=1,X173=2,X173=3,X173=4,X173=5),X173,"")</f>
        <v/>
      </c>
      <c r="Z173" s="354"/>
      <c r="AA173" s="1336"/>
      <c r="AB173" s="354"/>
      <c r="AC173" s="1336"/>
      <c r="AD173" s="354"/>
      <c r="AE173" s="1336"/>
      <c r="AF173" s="354"/>
      <c r="AG173" s="349" t="str">
        <f>IF(AND(Y173="",AA173="",AC173="",AE173=""),"",MAX(Y173,AA173,AC173,AE173))</f>
        <v/>
      </c>
      <c r="AH173" s="354"/>
      <c r="AI173" s="1337" t="str">
        <f>IF(Y173="","",IF(GC_Flag="","",IF(OR(Y173&lt;=Dictionary!$I$52,Y173=""),0,1)))</f>
        <v/>
      </c>
      <c r="AK173" s="356" t="str">
        <f t="shared" si="46"/>
        <v/>
      </c>
      <c r="AL173" s="349" t="str">
        <f t="shared" si="53"/>
        <v/>
      </c>
      <c r="AM173" s="348"/>
      <c r="AN173" s="348"/>
      <c r="AO173" s="349"/>
      <c r="AP173" s="349"/>
      <c r="AQ173" s="357" t="str">
        <f>IF(AI173="",AG173,AI173)</f>
        <v/>
      </c>
    </row>
    <row r="174" spans="9:43" ht="23.25" customHeight="1">
      <c r="I174" s="321"/>
      <c r="J174" s="321"/>
      <c r="K174" s="321"/>
      <c r="L174" s="321"/>
      <c r="M174" s="348"/>
      <c r="N174" s="321"/>
      <c r="O174" s="321"/>
      <c r="P174" s="321"/>
      <c r="Q174" s="321"/>
      <c r="R174" s="321"/>
      <c r="S174" s="1628"/>
      <c r="T174" s="1628" t="s">
        <v>325</v>
      </c>
      <c r="U174" s="350" t="str">
        <f>".2"</f>
        <v>.2</v>
      </c>
      <c r="V174" s="1625" t="s">
        <v>1884</v>
      </c>
      <c r="W174" s="1390" t="str">
        <f>Dictionary!B1472</f>
        <v>Stakeholderstrategie und einen Kommunikationsplan entwickeln und aufrechterhalten</v>
      </c>
      <c r="X174" s="1636" t="str">
        <f>IFERROR(INDEX($AV$14:$AV$51,MATCH($V174,$C$14:$C$51,0)),"")</f>
        <v/>
      </c>
      <c r="Y174" s="1336" t="str">
        <f t="shared" ref="Y174:Y176" si="54">IF(OR(X174=0,X174=1,X174=2,X174=3,X174=4,X174=5),X174,"")</f>
        <v/>
      </c>
      <c r="Z174" s="354"/>
      <c r="AA174" s="1336"/>
      <c r="AB174" s="354"/>
      <c r="AC174" s="1336"/>
      <c r="AD174" s="354"/>
      <c r="AE174" s="1336"/>
      <c r="AF174" s="354"/>
      <c r="AG174" s="349" t="str">
        <f>IF(AND(Y174="",AA174="",AC174="",AE174=""),"",MAX(Y174,AA174,AC174,AE174))</f>
        <v/>
      </c>
      <c r="AH174" s="354"/>
      <c r="AI174" s="1337" t="str">
        <f>IF(Y174="","",IF(GC_Flag="","",IF(OR(Y174&lt;=Dictionary!$I$52,Y174=""),0,1)))</f>
        <v/>
      </c>
      <c r="AK174" s="356" t="str">
        <f t="shared" si="46"/>
        <v/>
      </c>
      <c r="AL174" s="349" t="str">
        <f t="shared" si="53"/>
        <v/>
      </c>
      <c r="AM174" s="348"/>
      <c r="AN174" s="348"/>
      <c r="AO174" s="349"/>
      <c r="AP174" s="349"/>
      <c r="AQ174" s="357" t="str">
        <f>IF(AI174="",AG174,AI174)</f>
        <v/>
      </c>
    </row>
    <row r="175" spans="9:43" ht="23.25" customHeight="1">
      <c r="I175" s="321"/>
      <c r="J175" s="321"/>
      <c r="K175" s="321"/>
      <c r="L175" s="321"/>
      <c r="M175" s="348"/>
      <c r="N175" s="321"/>
      <c r="O175" s="321"/>
      <c r="P175" s="321"/>
      <c r="Q175" s="321"/>
      <c r="R175" s="321"/>
      <c r="S175" s="1628"/>
      <c r="T175" s="1628" t="s">
        <v>325</v>
      </c>
      <c r="U175" s="350" t="str">
        <f>".3"</f>
        <v>.3</v>
      </c>
      <c r="V175" s="1625" t="s">
        <v>1885</v>
      </c>
      <c r="W175" s="1390" t="str">
        <f>Dictionary!B1473</f>
        <v>Geschäftsführung, Auftraggeber und höheres Management einbinden, um Commitment zu erreichen und um Interessen und Erwartungen zu managen</v>
      </c>
      <c r="X175" s="1636" t="str">
        <f>IFERROR(INDEX($AV$14:$AV$51,MATCH($V175,$C$14:$C$51,0)),"")</f>
        <v/>
      </c>
      <c r="Y175" s="1336" t="str">
        <f t="shared" si="54"/>
        <v/>
      </c>
      <c r="Z175" s="354"/>
      <c r="AA175" s="1336"/>
      <c r="AB175" s="354"/>
      <c r="AC175" s="1336"/>
      <c r="AD175" s="354"/>
      <c r="AE175" s="1336"/>
      <c r="AF175" s="354"/>
      <c r="AG175" s="349" t="str">
        <f>IF(AND(Y175="",AA175="",AC175="",AE175=""),"",MAX(Y175,AA175,AC175,AE175))</f>
        <v/>
      </c>
      <c r="AH175" s="354"/>
      <c r="AI175" s="1337" t="str">
        <f>IF(Y175="","",IF(GC_Flag="","",IF(OR(Y175&lt;=Dictionary!$I$52,Y175=""),0,1)))</f>
        <v/>
      </c>
      <c r="AK175" s="356" t="str">
        <f t="shared" si="46"/>
        <v/>
      </c>
      <c r="AL175" s="349" t="str">
        <f t="shared" si="53"/>
        <v/>
      </c>
      <c r="AM175" s="348"/>
      <c r="AN175" s="348"/>
      <c r="AO175" s="349"/>
      <c r="AP175" s="349"/>
      <c r="AQ175" s="357" t="str">
        <f>IF(AI175="",AG175,AI175)</f>
        <v/>
      </c>
    </row>
    <row r="176" spans="9:43" ht="23.25" customHeight="1">
      <c r="I176" s="321"/>
      <c r="J176" s="321"/>
      <c r="K176" s="321"/>
      <c r="L176" s="321"/>
      <c r="M176" s="348"/>
      <c r="N176" s="321"/>
      <c r="O176" s="321"/>
      <c r="P176" s="321"/>
      <c r="Q176" s="321"/>
      <c r="R176" s="321"/>
      <c r="S176" s="1628"/>
      <c r="T176" s="1628" t="s">
        <v>325</v>
      </c>
      <c r="U176" s="350" t="str">
        <f>".4"</f>
        <v>.4</v>
      </c>
      <c r="V176" s="1625" t="s">
        <v>1886</v>
      </c>
      <c r="W176" s="1390" t="str">
        <f>Dictionary!B1474</f>
        <v>Benutzer, Partner und Lieferanten und andere Stakeholder einbinden, um deren Kooperation und Commitment zu erreichen</v>
      </c>
      <c r="X176" s="1636" t="str">
        <f>IFERROR(INDEX($AV$14:$AV$51,MATCH($V176,$C$14:$C$51,0)),"")</f>
        <v/>
      </c>
      <c r="Y176" s="1336" t="str">
        <f t="shared" si="54"/>
        <v/>
      </c>
      <c r="Z176" s="354"/>
      <c r="AA176" s="1336"/>
      <c r="AB176" s="354"/>
      <c r="AC176" s="1336"/>
      <c r="AD176" s="354"/>
      <c r="AE176" s="1336"/>
      <c r="AF176" s="354"/>
      <c r="AG176" s="349" t="str">
        <f>IF(AND(Y176="",AA176="",AC176="",AE176=""),"",MAX(Y176,AA176,AC176,AE176))</f>
        <v/>
      </c>
      <c r="AH176" s="354"/>
      <c r="AI176" s="1337" t="str">
        <f>IF(Y176="","",IF(GC_Flag="","",IF(OR(Y176&lt;=Dictionary!$I$52,Y176=""),0,1)))</f>
        <v/>
      </c>
      <c r="AK176" s="356" t="str">
        <f t="shared" si="46"/>
        <v/>
      </c>
      <c r="AL176" s="349" t="str">
        <f t="shared" si="53"/>
        <v/>
      </c>
      <c r="AM176" s="348"/>
      <c r="AN176" s="348"/>
      <c r="AO176" s="349"/>
      <c r="AP176" s="349"/>
      <c r="AQ176" s="357" t="str">
        <f>IF(AI176="",AG176,AI176)</f>
        <v/>
      </c>
    </row>
    <row r="177" spans="6:43" ht="23.25" customHeight="1">
      <c r="I177" s="321"/>
      <c r="J177" s="321"/>
      <c r="K177" s="321"/>
      <c r="L177" s="321"/>
      <c r="M177" s="348"/>
      <c r="N177" s="321"/>
      <c r="O177" s="321"/>
      <c r="P177" s="321"/>
      <c r="Q177" s="321"/>
      <c r="R177" s="321"/>
      <c r="S177" s="1628"/>
      <c r="T177" s="1628" t="s">
        <v>325</v>
      </c>
      <c r="U177" s="350" t="str">
        <f>".5"</f>
        <v>.5</v>
      </c>
      <c r="V177" s="1625" t="s">
        <v>1887</v>
      </c>
      <c r="W177" s="1390" t="str">
        <f>Dictionary!B1475</f>
        <v>Netzwerke und Allianzen aufbauen, aufrechterhalten und beenden</v>
      </c>
      <c r="X177" s="1636" t="str">
        <f>IFERROR(INDEX($AV$14:$AV$51,MATCH($V177,$C$14:$C$51,0)),"")</f>
        <v/>
      </c>
      <c r="Y177" s="1336" t="str">
        <f>IF(OR(X177=0,X177=1,X177=2,X177=3,X177=4,X177=5),X177,"")</f>
        <v/>
      </c>
      <c r="Z177" s="354"/>
      <c r="AA177" s="1336"/>
      <c r="AB177" s="354"/>
      <c r="AC177" s="1336"/>
      <c r="AD177" s="354"/>
      <c r="AE177" s="1336"/>
      <c r="AF177" s="354"/>
      <c r="AG177" s="349" t="str">
        <f>IF(AND(Y177="",AA177="",AC177="",AE177=""),"",MAX(Y177,AA177,AC177,AE177))</f>
        <v/>
      </c>
      <c r="AH177" s="354"/>
      <c r="AI177" s="1337" t="str">
        <f>IF(Y177="","",IF(GC_Flag="","",IF(OR(Y177&lt;=Dictionary!$I$52,Y177=""),0,1)))</f>
        <v/>
      </c>
      <c r="AK177" s="356" t="str">
        <f t="shared" si="46"/>
        <v/>
      </c>
      <c r="AL177" s="349" t="str">
        <f t="shared" si="53"/>
        <v/>
      </c>
      <c r="AM177" s="348"/>
      <c r="AN177" s="348"/>
      <c r="AO177" s="349"/>
      <c r="AP177" s="349"/>
      <c r="AQ177" s="357" t="str">
        <f>IF(AI177="",AG177,AI177)</f>
        <v/>
      </c>
    </row>
    <row r="178" spans="6:43" ht="23.25" customHeight="1">
      <c r="I178" s="321"/>
      <c r="J178" s="321"/>
      <c r="K178" s="321"/>
      <c r="L178" s="321"/>
      <c r="M178" s="348"/>
      <c r="N178" s="321"/>
      <c r="O178" s="321"/>
      <c r="P178" s="321"/>
      <c r="Q178" s="321"/>
      <c r="R178" s="321"/>
      <c r="S178" s="1628"/>
      <c r="T178" s="1628" t="s">
        <v>319</v>
      </c>
      <c r="U178" s="341" t="s">
        <v>319</v>
      </c>
      <c r="V178" s="1624"/>
      <c r="W178" s="342" t="str">
        <f>Dictionary!B1258</f>
        <v>Change und Transformation</v>
      </c>
      <c r="X178" s="1635"/>
      <c r="Y178" s="359"/>
      <c r="Z178" s="315"/>
      <c r="AA178" s="359"/>
      <c r="AB178" s="360"/>
      <c r="AC178" s="359"/>
      <c r="AD178" s="360"/>
      <c r="AE178" s="359"/>
      <c r="AF178" s="315"/>
      <c r="AG178" s="359"/>
      <c r="AH178" s="360"/>
      <c r="AI178" s="359"/>
      <c r="AK178" s="356"/>
      <c r="AL178" s="361" t="str">
        <f t="shared" si="53"/>
        <v/>
      </c>
      <c r="AM178" s="348"/>
      <c r="AN178" s="369"/>
      <c r="AO178" s="349">
        <f>Scoring!AK178</f>
        <v>4</v>
      </c>
      <c r="AP178" s="349">
        <f>ROUNDUP(AO178/2,0)</f>
        <v>2</v>
      </c>
      <c r="AQ178" s="346" t="str">
        <f>IF((COUNTBLANK(AQ179:AQ182)-COUNTBLANK(W179:W182))=$AO178,"",IF((COUNTIF(AQ179:AQ182,"&gt;=1")&gt;=AP178),"Pass","Fail"))</f>
        <v/>
      </c>
    </row>
    <row r="179" spans="6:43" ht="23.25" customHeight="1">
      <c r="I179" s="321"/>
      <c r="J179" s="321"/>
      <c r="K179" s="321"/>
      <c r="L179" s="321"/>
      <c r="M179" s="348"/>
      <c r="N179" s="321"/>
      <c r="O179" s="321"/>
      <c r="P179" s="321"/>
      <c r="Q179" s="321"/>
      <c r="R179" s="321"/>
      <c r="S179" s="1628"/>
      <c r="T179" s="1628" t="s">
        <v>319</v>
      </c>
      <c r="U179" s="350" t="str">
        <f>".1"</f>
        <v>.1</v>
      </c>
      <c r="V179" s="1625" t="s">
        <v>1893</v>
      </c>
      <c r="W179" s="1390" t="str">
        <f>Dictionary!B1479</f>
        <v>Adaptionsfähigkeit der Organisation(en) zu Veränderung beurteilen</v>
      </c>
      <c r="X179" s="1636" t="str">
        <f>IFERROR(INDEX($AV$14:$AV$51,MATCH($V179,$C$14:$C$51,0)),"")</f>
        <v/>
      </c>
      <c r="Y179" s="1336" t="str">
        <f>IF(OR(X179=0,X179=1,X179=2,X179=3,X179=4,X179=5),X179,"")</f>
        <v/>
      </c>
      <c r="Z179" s="354"/>
      <c r="AA179" s="1336"/>
      <c r="AB179" s="354"/>
      <c r="AC179" s="1336"/>
      <c r="AD179" s="354"/>
      <c r="AE179" s="1336"/>
      <c r="AF179" s="354"/>
      <c r="AG179" s="349" t="str">
        <f>IF(AND(Y179="",AA179="",AC179="",AE179=""),"",MAX(Y179,AA179,AC179,AE179))</f>
        <v/>
      </c>
      <c r="AH179" s="354"/>
      <c r="AI179" s="1337" t="str">
        <f>IF(Y179="","",IF(GC_Flag="","",IF(OR(Y179&lt;=Dictionary!$I$52,Y179=""),0,1)))</f>
        <v/>
      </c>
      <c r="AK179" s="356" t="str">
        <f t="shared" si="46"/>
        <v/>
      </c>
      <c r="AL179" s="349" t="str">
        <f t="shared" si="53"/>
        <v/>
      </c>
      <c r="AM179" s="348"/>
      <c r="AN179" s="348"/>
      <c r="AO179" s="349"/>
      <c r="AP179" s="349"/>
      <c r="AQ179" s="357" t="str">
        <f>IF(AI179="",AG179,AI179)</f>
        <v/>
      </c>
    </row>
    <row r="180" spans="6:43" ht="23.25" customHeight="1">
      <c r="I180" s="321"/>
      <c r="J180" s="321"/>
      <c r="K180" s="321"/>
      <c r="L180" s="321"/>
      <c r="M180" s="348"/>
      <c r="N180" s="321"/>
      <c r="O180" s="321"/>
      <c r="P180" s="321"/>
      <c r="Q180" s="321"/>
      <c r="R180" s="321"/>
      <c r="S180" s="1628"/>
      <c r="T180" s="1628" t="s">
        <v>319</v>
      </c>
      <c r="U180" s="350" t="str">
        <f>".2"</f>
        <v>.2</v>
      </c>
      <c r="V180" s="1625" t="s">
        <v>1895</v>
      </c>
      <c r="W180" s="1390" t="str">
        <f>Dictionary!B1480</f>
        <v>Veränderungsanforderungen und Transformationschancen identifizieren</v>
      </c>
      <c r="X180" s="1636" t="str">
        <f>IFERROR(INDEX($AV$14:$AV$51,MATCH($V180,$C$14:$C$51,0)),"")</f>
        <v/>
      </c>
      <c r="Y180" s="1336" t="str">
        <f t="shared" ref="Y180:Y182" si="55">IF(OR(X180=0,X180=1,X180=2,X180=3,X180=4,X180=5),X180,"")</f>
        <v/>
      </c>
      <c r="Z180" s="354"/>
      <c r="AA180" s="1336"/>
      <c r="AB180" s="354"/>
      <c r="AC180" s="1336"/>
      <c r="AD180" s="354"/>
      <c r="AE180" s="1336"/>
      <c r="AF180" s="354"/>
      <c r="AG180" s="349" t="str">
        <f>IF(AND(Y180="",AA180="",AC180="",AE180=""),"",MAX(Y180,AA180,AC180,AE180))</f>
        <v/>
      </c>
      <c r="AH180" s="354"/>
      <c r="AI180" s="1337" t="str">
        <f>IF(Y180="","",IF(GC_Flag="","",IF(OR(Y180&lt;=Dictionary!$I$52,Y180=""),0,1)))</f>
        <v/>
      </c>
      <c r="AK180" s="356" t="str">
        <f t="shared" si="46"/>
        <v/>
      </c>
      <c r="AL180" s="349" t="str">
        <f t="shared" si="53"/>
        <v/>
      </c>
      <c r="AM180" s="348"/>
      <c r="AN180" s="348"/>
      <c r="AO180" s="349"/>
      <c r="AP180" s="349"/>
      <c r="AQ180" s="357" t="str">
        <f>IF(AI180="",AG180,AI180)</f>
        <v/>
      </c>
    </row>
    <row r="181" spans="6:43" ht="23.25" customHeight="1">
      <c r="I181" s="321"/>
      <c r="J181" s="321"/>
      <c r="K181" s="321"/>
      <c r="L181" s="321"/>
      <c r="M181" s="348"/>
      <c r="N181" s="321"/>
      <c r="O181" s="321"/>
      <c r="P181" s="321"/>
      <c r="Q181" s="321"/>
      <c r="R181" s="321"/>
      <c r="S181" s="1628"/>
      <c r="T181" s="1628" t="s">
        <v>319</v>
      </c>
      <c r="U181" s="350" t="str">
        <f>".3"</f>
        <v>.3</v>
      </c>
      <c r="V181" s="1625" t="s">
        <v>1896</v>
      </c>
      <c r="W181" s="1390" t="str">
        <f>Dictionary!B1481</f>
        <v>Veränderungs- oder Transformationsstrategie für das Projekt entwickeln</v>
      </c>
      <c r="X181" s="1636" t="str">
        <f>IFERROR(INDEX($AV$14:$AV$51,MATCH($V181,$C$14:$C$51,0)),"")</f>
        <v/>
      </c>
      <c r="Y181" s="1336" t="str">
        <f t="shared" si="55"/>
        <v/>
      </c>
      <c r="Z181" s="354"/>
      <c r="AA181" s="1336"/>
      <c r="AB181" s="354"/>
      <c r="AC181" s="1336"/>
      <c r="AD181" s="354"/>
      <c r="AE181" s="1336"/>
      <c r="AF181" s="354"/>
      <c r="AG181" s="349" t="str">
        <f>IF(AND(Y181="",AA181="",AC181="",AE181=""),"",MAX(Y181,AA181,AC181,AE181))</f>
        <v/>
      </c>
      <c r="AH181" s="354"/>
      <c r="AI181" s="1337" t="str">
        <f>IF(Y181="","",IF(GC_Flag="","",IF(OR(Y181&lt;=Dictionary!$I$52,Y181=""),0,1)))</f>
        <v/>
      </c>
      <c r="AK181" s="356" t="str">
        <f t="shared" si="46"/>
        <v/>
      </c>
      <c r="AL181" s="349" t="str">
        <f t="shared" si="53"/>
        <v/>
      </c>
      <c r="AM181" s="348"/>
      <c r="AN181" s="348"/>
      <c r="AO181" s="349"/>
      <c r="AP181" s="349"/>
      <c r="AQ181" s="357" t="str">
        <f>IF(AI181="",AG181,AI181)</f>
        <v/>
      </c>
    </row>
    <row r="182" spans="6:43" ht="23.25" customHeight="1">
      <c r="I182" s="321"/>
      <c r="J182" s="321"/>
      <c r="K182" s="321"/>
      <c r="L182" s="321"/>
      <c r="M182" s="348"/>
      <c r="N182" s="321"/>
      <c r="O182" s="321"/>
      <c r="P182" s="321"/>
      <c r="Q182" s="321"/>
      <c r="R182" s="321"/>
      <c r="S182" s="1628"/>
      <c r="T182" s="1628" t="s">
        <v>319</v>
      </c>
      <c r="U182" s="350" t="str">
        <f>".4"</f>
        <v>.4</v>
      </c>
      <c r="V182" s="1625" t="s">
        <v>1897</v>
      </c>
      <c r="W182" s="1390" t="str">
        <f>Dictionary!B1482</f>
        <v>Veränderungs- oder Transformationsmanagement implementieren</v>
      </c>
      <c r="X182" s="1636" t="str">
        <f>IFERROR(INDEX($AV$14:$AV$51,MATCH($V182,$C$14:$C$51,0)),"")</f>
        <v/>
      </c>
      <c r="Y182" s="1336" t="str">
        <f t="shared" si="55"/>
        <v/>
      </c>
      <c r="Z182" s="354"/>
      <c r="AA182" s="1336"/>
      <c r="AB182" s="354"/>
      <c r="AC182" s="1336"/>
      <c r="AD182" s="354"/>
      <c r="AE182" s="1336"/>
      <c r="AF182" s="354"/>
      <c r="AG182" s="349" t="str">
        <f>IF(AND(Y182="",AA182="",AC182="",AE182=""),"",MAX(Y182,AA182,AC182,AE182))</f>
        <v/>
      </c>
      <c r="AH182" s="354"/>
      <c r="AI182" s="1337" t="str">
        <f>IF(Y182="","",IF(GC_Flag="","",IF(OR(Y182&lt;=Dictionary!$I$52,Y182=""),0,1)))</f>
        <v/>
      </c>
      <c r="AK182" s="356" t="str">
        <f t="shared" si="46"/>
        <v/>
      </c>
      <c r="AL182" s="349" t="str">
        <f t="shared" si="53"/>
        <v/>
      </c>
      <c r="AM182" s="348"/>
      <c r="AN182" s="348"/>
      <c r="AO182" s="349"/>
      <c r="AP182" s="349"/>
      <c r="AQ182" s="357" t="str">
        <f>IF(AI182="",AG182,AI182)</f>
        <v/>
      </c>
    </row>
    <row r="183" spans="6:43" ht="23.25" customHeight="1">
      <c r="I183" s="321"/>
      <c r="J183" s="321"/>
      <c r="K183" s="321"/>
      <c r="L183" s="321"/>
      <c r="M183" s="348"/>
      <c r="N183" s="321"/>
      <c r="O183" s="321"/>
      <c r="P183" s="321"/>
      <c r="Q183" s="321"/>
      <c r="R183" s="321"/>
      <c r="S183" s="1628"/>
      <c r="T183" s="1628" t="s">
        <v>1902</v>
      </c>
      <c r="U183" s="341" t="s">
        <v>1902</v>
      </c>
      <c r="V183" s="1624"/>
      <c r="W183" s="342" t="str">
        <f>Dictionary!B1485</f>
        <v/>
      </c>
      <c r="X183" s="1635"/>
      <c r="Y183" s="359"/>
      <c r="Z183" s="315"/>
      <c r="AA183" s="359"/>
      <c r="AB183" s="360"/>
      <c r="AC183" s="359"/>
      <c r="AD183" s="360"/>
      <c r="AE183" s="359"/>
      <c r="AF183" s="315"/>
      <c r="AG183" s="359"/>
      <c r="AH183" s="360"/>
      <c r="AI183" s="359"/>
      <c r="AK183" s="356"/>
      <c r="AL183" s="361" t="str">
        <f t="shared" si="53"/>
        <v/>
      </c>
      <c r="AM183" s="348"/>
      <c r="AN183" s="369"/>
      <c r="AO183" s="349">
        <f>Scoring!AK183</f>
        <v>0</v>
      </c>
      <c r="AP183" s="349">
        <f>ROUNDUP(AO183/2,0)</f>
        <v>0</v>
      </c>
      <c r="AQ183" s="346" t="str">
        <f>IF((COUNTBLANK(AQ184:AQ189)-COUNTBLANK(W184:W189))=$AO183,"",IF((COUNTIF(AQ184:AQ189,"&gt;=1")&gt;=AP183),"Pass","Fail"))</f>
        <v/>
      </c>
    </row>
    <row r="184" spans="6:43" ht="23.25" customHeight="1">
      <c r="I184" s="321"/>
      <c r="J184" s="321"/>
      <c r="K184" s="321"/>
      <c r="L184" s="321"/>
      <c r="M184" s="348"/>
      <c r="N184" s="321"/>
      <c r="O184" s="321"/>
      <c r="P184" s="321"/>
      <c r="Q184" s="321"/>
      <c r="R184" s="321"/>
      <c r="S184" s="1628"/>
      <c r="T184" s="1628" t="s">
        <v>1902</v>
      </c>
      <c r="U184" s="350" t="str">
        <f>".1"</f>
        <v>.1</v>
      </c>
      <c r="V184" s="1625" t="s">
        <v>1903</v>
      </c>
      <c r="W184" s="1390" t="str">
        <f>Dictionary!B1486</f>
        <v/>
      </c>
      <c r="X184" s="1636" t="str">
        <f t="shared" ref="X184:X189" si="56">IFERROR(INDEX($AV$14:$AV$51,MATCH($V184,$C$14:$C$51,0)),"")</f>
        <v/>
      </c>
      <c r="Y184" s="1336" t="str">
        <f>IF(OR(X184=0,X184=1,X184=2,X184=3,X184=4,X184=5),X184,"")</f>
        <v/>
      </c>
      <c r="Z184" s="354"/>
      <c r="AA184" s="1336"/>
      <c r="AB184" s="354"/>
      <c r="AC184" s="1336"/>
      <c r="AD184" s="354"/>
      <c r="AE184" s="1336"/>
      <c r="AF184" s="354"/>
      <c r="AG184" s="349" t="str">
        <f t="shared" ref="AG184:AG189" si="57">IF(AND(Y184="",AA184="",AC184="",AE184=""),"",MAX(Y184,AA184,AC184,AE184))</f>
        <v/>
      </c>
      <c r="AH184" s="354"/>
      <c r="AI184" s="1337" t="str">
        <f>IF(Y184="","",IF(GC_Flag="","",IF(OR(Y184&lt;=Dictionary!$I$52,Y184=""),0,1)))</f>
        <v/>
      </c>
      <c r="AK184" s="356" t="str">
        <f t="shared" ref="AK184:AK189" si="58">IF(Y184="","",IF(Y184&gt;=0,Y184,""))</f>
        <v/>
      </c>
      <c r="AL184" s="349" t="str">
        <f t="shared" si="53"/>
        <v/>
      </c>
      <c r="AM184" s="348"/>
      <c r="AN184" s="348"/>
      <c r="AO184" s="349"/>
      <c r="AP184" s="349"/>
      <c r="AQ184" s="357" t="str">
        <f t="shared" ref="AQ184:AQ189" si="59">IF(AI184="",AG184,AI184)</f>
        <v/>
      </c>
    </row>
    <row r="185" spans="6:43" ht="23.25" customHeight="1">
      <c r="I185" s="321"/>
      <c r="J185" s="321"/>
      <c r="K185" s="321"/>
      <c r="L185" s="321"/>
      <c r="M185" s="348"/>
      <c r="N185" s="321"/>
      <c r="O185" s="321"/>
      <c r="P185" s="321"/>
      <c r="Q185" s="321"/>
      <c r="R185" s="321"/>
      <c r="S185" s="1628"/>
      <c r="T185" s="1628" t="s">
        <v>1902</v>
      </c>
      <c r="U185" s="350" t="str">
        <f>".2"</f>
        <v>.2</v>
      </c>
      <c r="V185" s="1625" t="s">
        <v>1919</v>
      </c>
      <c r="W185" s="1390" t="str">
        <f>Dictionary!B1487</f>
        <v/>
      </c>
      <c r="X185" s="1636" t="str">
        <f t="shared" si="56"/>
        <v/>
      </c>
      <c r="Y185" s="1336" t="str">
        <f t="shared" ref="Y185:Y187" si="60">IF(OR(X185=0,X185=1,X185=2,X185=3,X185=4,X185=5),X185,"")</f>
        <v/>
      </c>
      <c r="Z185" s="354"/>
      <c r="AA185" s="1336"/>
      <c r="AB185" s="354"/>
      <c r="AC185" s="1336"/>
      <c r="AD185" s="354"/>
      <c r="AE185" s="1336"/>
      <c r="AF185" s="354"/>
      <c r="AG185" s="349" t="str">
        <f t="shared" si="57"/>
        <v/>
      </c>
      <c r="AH185" s="354"/>
      <c r="AI185" s="1337" t="str">
        <f>IF(Y185="","",IF(GC_Flag="","",IF(OR(Y185&lt;=Dictionary!$I$52,Y185=""),0,1)))</f>
        <v/>
      </c>
      <c r="AK185" s="356" t="str">
        <f t="shared" si="58"/>
        <v/>
      </c>
      <c r="AL185" s="349" t="str">
        <f t="shared" si="53"/>
        <v/>
      </c>
      <c r="AM185" s="348"/>
      <c r="AN185" s="348"/>
      <c r="AO185" s="349"/>
      <c r="AP185" s="349"/>
      <c r="AQ185" s="357" t="str">
        <f t="shared" si="59"/>
        <v/>
      </c>
    </row>
    <row r="186" spans="6:43" ht="23.25" customHeight="1">
      <c r="I186" s="321"/>
      <c r="J186" s="321"/>
      <c r="K186" s="321"/>
      <c r="L186" s="321"/>
      <c r="M186" s="348"/>
      <c r="N186" s="321"/>
      <c r="O186" s="321"/>
      <c r="P186" s="321"/>
      <c r="Q186" s="321"/>
      <c r="R186" s="321"/>
      <c r="S186" s="1628"/>
      <c r="T186" s="1628" t="s">
        <v>1902</v>
      </c>
      <c r="U186" s="350" t="str">
        <f>".3"</f>
        <v>.3</v>
      </c>
      <c r="V186" s="1625" t="s">
        <v>1920</v>
      </c>
      <c r="W186" s="1390" t="str">
        <f>Dictionary!B1488</f>
        <v/>
      </c>
      <c r="X186" s="1636" t="str">
        <f t="shared" si="56"/>
        <v/>
      </c>
      <c r="Y186" s="1336" t="str">
        <f t="shared" si="60"/>
        <v/>
      </c>
      <c r="Z186" s="354"/>
      <c r="AA186" s="1336"/>
      <c r="AB186" s="354"/>
      <c r="AC186" s="1336"/>
      <c r="AD186" s="354"/>
      <c r="AE186" s="1336"/>
      <c r="AF186" s="354"/>
      <c r="AG186" s="349" t="str">
        <f t="shared" si="57"/>
        <v/>
      </c>
      <c r="AH186" s="354"/>
      <c r="AI186" s="1337" t="str">
        <f>IF(Y186="","",IF(GC_Flag="","",IF(OR(Y186&lt;=Dictionary!$I$52,Y186=""),0,1)))</f>
        <v/>
      </c>
      <c r="AK186" s="356" t="str">
        <f t="shared" si="58"/>
        <v/>
      </c>
      <c r="AL186" s="349" t="str">
        <f t="shared" si="53"/>
        <v/>
      </c>
      <c r="AM186" s="348"/>
      <c r="AN186" s="348"/>
      <c r="AO186" s="349"/>
      <c r="AP186" s="349"/>
      <c r="AQ186" s="357" t="str">
        <f t="shared" si="59"/>
        <v/>
      </c>
    </row>
    <row r="187" spans="6:43" ht="23.25" customHeight="1">
      <c r="I187" s="321"/>
      <c r="J187" s="321"/>
      <c r="K187" s="321"/>
      <c r="L187" s="321"/>
      <c r="M187" s="348"/>
      <c r="N187" s="321"/>
      <c r="O187" s="321"/>
      <c r="P187" s="321"/>
      <c r="Q187" s="321"/>
      <c r="R187" s="321"/>
      <c r="S187" s="1628"/>
      <c r="T187" s="1628" t="s">
        <v>1902</v>
      </c>
      <c r="U187" s="350" t="str">
        <f>".4"</f>
        <v>.4</v>
      </c>
      <c r="V187" s="1625" t="s">
        <v>1921</v>
      </c>
      <c r="W187" s="1390" t="str">
        <f>Dictionary!B1489</f>
        <v/>
      </c>
      <c r="X187" s="1636" t="str">
        <f t="shared" si="56"/>
        <v/>
      </c>
      <c r="Y187" s="1336" t="str">
        <f t="shared" si="60"/>
        <v/>
      </c>
      <c r="Z187" s="354"/>
      <c r="AA187" s="1336"/>
      <c r="AB187" s="354"/>
      <c r="AC187" s="1336"/>
      <c r="AD187" s="354"/>
      <c r="AE187" s="1336"/>
      <c r="AF187" s="354"/>
      <c r="AG187" s="349" t="str">
        <f t="shared" si="57"/>
        <v/>
      </c>
      <c r="AH187" s="354"/>
      <c r="AI187" s="1337" t="str">
        <f>IF(Y187="","",IF(GC_Flag="","",IF(OR(Y187&lt;=Dictionary!$I$52,Y187=""),0,1)))</f>
        <v/>
      </c>
      <c r="AK187" s="356" t="str">
        <f t="shared" si="58"/>
        <v/>
      </c>
      <c r="AL187" s="349" t="str">
        <f t="shared" si="53"/>
        <v/>
      </c>
      <c r="AM187" s="348"/>
      <c r="AN187" s="348"/>
      <c r="AO187" s="349"/>
      <c r="AP187" s="349"/>
      <c r="AQ187" s="357" t="str">
        <f t="shared" si="59"/>
        <v/>
      </c>
    </row>
    <row r="188" spans="6:43" ht="23.25" customHeight="1">
      <c r="I188" s="321"/>
      <c r="J188" s="321"/>
      <c r="K188" s="321"/>
      <c r="L188" s="321"/>
      <c r="M188" s="348"/>
      <c r="N188" s="321"/>
      <c r="O188" s="321"/>
      <c r="P188" s="321"/>
      <c r="Q188" s="321"/>
      <c r="R188" s="321"/>
      <c r="S188" s="1628"/>
      <c r="T188" s="1628" t="s">
        <v>1902</v>
      </c>
      <c r="U188" s="350" t="str">
        <f>".5"</f>
        <v>.5</v>
      </c>
      <c r="V188" s="1625" t="s">
        <v>1922</v>
      </c>
      <c r="W188" s="1390" t="str">
        <f>Dictionary!B1490</f>
        <v/>
      </c>
      <c r="X188" s="1636" t="str">
        <f t="shared" si="56"/>
        <v/>
      </c>
      <c r="Y188" s="1336" t="str">
        <f>IF(OR(X188=0,X188=1,X188=2,X188=3,X188=4,X188=5),X188,"")</f>
        <v/>
      </c>
      <c r="Z188" s="354"/>
      <c r="AA188" s="1336"/>
      <c r="AB188" s="354"/>
      <c r="AC188" s="1336"/>
      <c r="AD188" s="354"/>
      <c r="AE188" s="1336"/>
      <c r="AF188" s="354"/>
      <c r="AG188" s="349" t="str">
        <f t="shared" si="57"/>
        <v/>
      </c>
      <c r="AH188" s="354"/>
      <c r="AI188" s="1337" t="str">
        <f>IF(Y188="","",IF(GC_Flag="","",IF(OR(Y188&lt;=Dictionary!$I$52,Y188=""),0,1)))</f>
        <v/>
      </c>
      <c r="AK188" s="356" t="str">
        <f t="shared" si="58"/>
        <v/>
      </c>
      <c r="AL188" s="349" t="str">
        <f t="shared" si="53"/>
        <v/>
      </c>
      <c r="AM188" s="348"/>
      <c r="AN188" s="348"/>
      <c r="AO188" s="349"/>
      <c r="AP188" s="349"/>
      <c r="AQ188" s="357" t="str">
        <f t="shared" si="59"/>
        <v/>
      </c>
    </row>
    <row r="189" spans="6:43" ht="23.25" customHeight="1">
      <c r="I189" s="321"/>
      <c r="J189" s="321"/>
      <c r="K189" s="321"/>
      <c r="L189" s="321"/>
      <c r="M189" s="348"/>
      <c r="N189" s="321"/>
      <c r="O189" s="321"/>
      <c r="P189" s="321"/>
      <c r="Q189" s="321"/>
      <c r="R189" s="321"/>
      <c r="S189" s="1628"/>
      <c r="T189" s="1628" t="s">
        <v>1902</v>
      </c>
      <c r="U189" s="350" t="str">
        <f>".6"</f>
        <v>.6</v>
      </c>
      <c r="V189" s="1625" t="s">
        <v>1923</v>
      </c>
      <c r="W189" s="1390" t="str">
        <f>Dictionary!B1491</f>
        <v/>
      </c>
      <c r="X189" s="1636" t="str">
        <f t="shared" si="56"/>
        <v/>
      </c>
      <c r="Y189" s="1336" t="str">
        <f>IF(OR(X189=0,X189=1,X189=2,X189=3,X189=4,X189=5),X189,"")</f>
        <v/>
      </c>
      <c r="Z189" s="354"/>
      <c r="AA189" s="1336"/>
      <c r="AB189" s="354"/>
      <c r="AC189" s="1336"/>
      <c r="AD189" s="354"/>
      <c r="AE189" s="1336"/>
      <c r="AF189" s="354"/>
      <c r="AG189" s="349" t="str">
        <f t="shared" si="57"/>
        <v/>
      </c>
      <c r="AH189" s="354"/>
      <c r="AI189" s="1337" t="str">
        <f>IF(Y189="","",IF(GC_Flag="","",IF(OR(Y189&lt;=Dictionary!$I$52,Y189=""),0,1)))</f>
        <v/>
      </c>
      <c r="AK189" s="356" t="str">
        <f t="shared" si="58"/>
        <v/>
      </c>
      <c r="AL189" s="349" t="str">
        <f t="shared" si="53"/>
        <v/>
      </c>
      <c r="AM189" s="348"/>
      <c r="AN189" s="348"/>
      <c r="AO189" s="349"/>
      <c r="AP189" s="349"/>
      <c r="AQ189" s="357" t="str">
        <f t="shared" si="59"/>
        <v/>
      </c>
    </row>
    <row r="190" spans="6:43" s="321" customFormat="1" ht="16.25" hidden="1" customHeight="1">
      <c r="H190" s="313"/>
      <c r="S190" s="1628"/>
      <c r="T190" s="1628"/>
      <c r="X190" s="1628"/>
      <c r="AO190" s="371"/>
      <c r="AP190" s="371"/>
      <c r="AQ190" s="371"/>
    </row>
    <row r="191" spans="6:43" s="321" customFormat="1" ht="16.25" hidden="1" customHeight="1">
      <c r="F191" s="372" t="s">
        <v>314</v>
      </c>
      <c r="H191" s="313"/>
      <c r="S191" s="1628"/>
      <c r="T191" s="1628"/>
      <c r="X191" s="1628"/>
      <c r="AN191" s="321" t="s">
        <v>303</v>
      </c>
      <c r="AO191" s="373">
        <f>SUM(AO13:AO182)</f>
        <v>133</v>
      </c>
      <c r="AP191" s="373">
        <f>SUM(AP13:AP182)</f>
        <v>77</v>
      </c>
      <c r="AQ191" s="373"/>
    </row>
    <row r="192" spans="6:43" s="321" customFormat="1" ht="9" hidden="1" customHeight="1">
      <c r="F192" s="372"/>
      <c r="H192" s="313"/>
      <c r="S192" s="1628"/>
      <c r="T192" s="1628"/>
      <c r="X192" s="1628"/>
      <c r="AO192" s="374"/>
      <c r="AP192" s="374"/>
      <c r="AQ192" s="374"/>
    </row>
    <row r="193" spans="4:43" s="321" customFormat="1" ht="18" hidden="1" customHeight="1">
      <c r="F193" s="375" t="s">
        <v>313</v>
      </c>
      <c r="H193" s="313"/>
      <c r="S193" s="1628"/>
      <c r="T193" s="1628"/>
      <c r="X193" s="1628"/>
      <c r="AO193" s="371"/>
      <c r="AP193" s="371"/>
      <c r="AQ193" s="371"/>
    </row>
    <row r="194" spans="4:43" s="321" customFormat="1" ht="18" hidden="1" customHeight="1">
      <c r="F194" s="375" t="s">
        <v>312</v>
      </c>
      <c r="H194" s="313"/>
      <c r="S194" s="1628"/>
      <c r="T194" s="1628"/>
      <c r="X194" s="1628"/>
      <c r="AO194" s="371"/>
      <c r="AP194" s="371"/>
      <c r="AQ194" s="371"/>
    </row>
    <row r="195" spans="4:43" s="321" customFormat="1" ht="18" hidden="1" customHeight="1">
      <c r="F195" s="375" t="s">
        <v>311</v>
      </c>
      <c r="H195" s="313"/>
      <c r="M195" s="378"/>
      <c r="N195" s="378"/>
      <c r="O195" s="378"/>
      <c r="P195" s="378"/>
      <c r="Q195" s="378"/>
      <c r="R195" s="378"/>
      <c r="S195" s="1630"/>
      <c r="T195" s="1630"/>
      <c r="U195" s="378"/>
      <c r="V195" s="378"/>
      <c r="W195" s="378"/>
      <c r="X195" s="1630"/>
      <c r="Y195" s="378"/>
      <c r="Z195" s="378"/>
      <c r="AA195" s="378"/>
      <c r="AB195" s="378"/>
      <c r="AC195" s="378"/>
      <c r="AD195" s="378"/>
      <c r="AE195" s="378"/>
      <c r="AF195" s="378"/>
      <c r="AG195" s="378"/>
      <c r="AH195" s="378"/>
      <c r="AI195" s="378"/>
      <c r="AJ195" s="378"/>
      <c r="AK195" s="378"/>
      <c r="AL195" s="378"/>
      <c r="AM195" s="378"/>
      <c r="AN195" s="378"/>
      <c r="AO195" s="371"/>
      <c r="AP195" s="371"/>
      <c r="AQ195" s="371"/>
    </row>
    <row r="196" spans="4:43" s="321" customFormat="1" ht="18" hidden="1" customHeight="1">
      <c r="F196" s="379" t="s">
        <v>310</v>
      </c>
      <c r="H196" s="313"/>
      <c r="M196" s="378"/>
      <c r="N196" s="378"/>
      <c r="O196" s="378"/>
      <c r="P196" s="378"/>
      <c r="Q196" s="378"/>
      <c r="R196" s="378"/>
      <c r="S196" s="1630"/>
      <c r="T196" s="1630"/>
      <c r="U196" s="378"/>
      <c r="V196" s="378"/>
      <c r="W196" s="378"/>
      <c r="X196" s="1630"/>
      <c r="Y196" s="378"/>
      <c r="Z196" s="378"/>
      <c r="AA196" s="378"/>
      <c r="AB196" s="378"/>
      <c r="AC196" s="378"/>
      <c r="AD196" s="378"/>
      <c r="AE196" s="378"/>
      <c r="AF196" s="378"/>
      <c r="AG196" s="378"/>
      <c r="AH196" s="378"/>
      <c r="AI196" s="378"/>
      <c r="AJ196" s="378"/>
      <c r="AK196" s="378"/>
      <c r="AL196" s="378"/>
      <c r="AM196" s="378"/>
      <c r="AN196" s="378"/>
      <c r="AO196" s="371"/>
      <c r="AP196" s="371"/>
      <c r="AQ196" s="371"/>
    </row>
    <row r="197" spans="4:43" s="321" customFormat="1" ht="11" hidden="1" customHeight="1">
      <c r="F197" s="371"/>
      <c r="H197" s="313"/>
      <c r="S197" s="1628"/>
      <c r="T197" s="1628"/>
      <c r="X197" s="1628"/>
    </row>
    <row r="198" spans="4:43" ht="18" hidden="1" customHeight="1">
      <c r="F198" s="375" t="s">
        <v>309</v>
      </c>
      <c r="I198" s="321"/>
      <c r="J198" s="321"/>
      <c r="K198" s="321"/>
      <c r="L198" s="321"/>
    </row>
    <row r="199" spans="4:43" s="321" customFormat="1" ht="20" hidden="1" customHeight="1">
      <c r="H199" s="313"/>
      <c r="S199" s="1628"/>
      <c r="T199" s="1628"/>
      <c r="X199" s="1628"/>
    </row>
    <row r="200" spans="4:43" s="321" customFormat="1" ht="20" hidden="1" customHeight="1">
      <c r="H200" s="313"/>
      <c r="S200" s="1628"/>
      <c r="T200" s="1628"/>
      <c r="X200" s="1628"/>
    </row>
    <row r="201" spans="4:43" s="321" customFormat="1" ht="20" hidden="1" customHeight="1">
      <c r="H201" s="313"/>
      <c r="S201" s="1628"/>
      <c r="T201" s="1628"/>
      <c r="X201" s="1628"/>
    </row>
    <row r="202" spans="4:43" s="321" customFormat="1" ht="20" hidden="1" customHeight="1">
      <c r="H202" s="313"/>
      <c r="S202" s="1628"/>
      <c r="T202" s="1628"/>
      <c r="X202" s="1628"/>
    </row>
    <row r="203" spans="4:43" s="321" customFormat="1" ht="20" hidden="1" customHeight="1">
      <c r="H203" s="313"/>
      <c r="S203" s="1628"/>
      <c r="T203" s="1628"/>
      <c r="X203" s="1628"/>
    </row>
    <row r="204" spans="4:43" s="321" customFormat="1" ht="20" hidden="1" customHeight="1">
      <c r="H204" s="313"/>
      <c r="S204" s="1628"/>
      <c r="T204" s="1628"/>
      <c r="X204" s="1628"/>
    </row>
    <row r="205" spans="4:43" s="321" customFormat="1" ht="20" hidden="1" customHeight="1">
      <c r="H205" s="313"/>
      <c r="S205" s="1628"/>
      <c r="T205" s="1628"/>
      <c r="X205" s="1628"/>
    </row>
    <row r="206" spans="4:43" s="321" customFormat="1" ht="20" customHeight="1">
      <c r="S206" s="1628"/>
      <c r="T206" s="1628"/>
      <c r="X206" s="1628"/>
    </row>
    <row r="207" spans="4:43" s="321" customFormat="1" ht="14.5" customHeight="1">
      <c r="D207" s="312" t="s">
        <v>105</v>
      </c>
      <c r="S207" s="1628"/>
      <c r="T207" s="1628"/>
      <c r="X207" s="1628"/>
    </row>
    <row r="208" spans="4:43" s="321" customFormat="1" ht="14.5" customHeight="1">
      <c r="D208" s="382"/>
      <c r="S208" s="1628"/>
      <c r="T208" s="1628"/>
      <c r="X208" s="1628"/>
    </row>
    <row r="209" spans="2:24" s="321" customFormat="1" ht="14.5" customHeight="1">
      <c r="S209" s="1628"/>
      <c r="T209" s="1628"/>
      <c r="X209" s="1628"/>
    </row>
    <row r="210" spans="2:24" s="321" customFormat="1" ht="14.5" customHeight="1">
      <c r="S210" s="1628"/>
      <c r="T210" s="1628"/>
      <c r="X210" s="1628"/>
    </row>
    <row r="211" spans="2:24" s="321" customFormat="1" ht="14.5" customHeight="1">
      <c r="S211" s="1628"/>
      <c r="T211" s="1628"/>
      <c r="X211" s="1628"/>
    </row>
    <row r="212" spans="2:24" s="321" customFormat="1" ht="14.5" customHeight="1">
      <c r="S212" s="1628"/>
      <c r="T212" s="1628"/>
      <c r="X212" s="1628"/>
    </row>
    <row r="213" spans="2:24" s="321" customFormat="1" ht="14.5" customHeight="1">
      <c r="S213" s="1628"/>
      <c r="T213" s="1628"/>
      <c r="X213" s="1628"/>
    </row>
    <row r="214" spans="2:24" s="321" customFormat="1" ht="14.5" customHeight="1">
      <c r="S214" s="1628"/>
      <c r="T214" s="1628"/>
      <c r="X214" s="1628"/>
    </row>
    <row r="215" spans="2:24" s="321" customFormat="1" ht="14.5" customHeight="1">
      <c r="S215" s="1628"/>
      <c r="T215" s="1628"/>
      <c r="X215" s="1628"/>
    </row>
    <row r="216" spans="2:24" s="321" customFormat="1" ht="14.5" customHeight="1">
      <c r="D216" s="314"/>
      <c r="H216" s="313"/>
      <c r="I216" s="314"/>
      <c r="J216" s="314"/>
      <c r="S216" s="1628"/>
      <c r="T216" s="1628"/>
      <c r="X216" s="1628"/>
    </row>
    <row r="219" spans="2:24" s="384" customFormat="1">
      <c r="B219" s="383"/>
      <c r="C219" s="383"/>
      <c r="I219" s="383"/>
      <c r="S219" s="1631"/>
      <c r="T219" s="1631"/>
      <c r="X219" s="1631"/>
    </row>
    <row r="220" spans="2:24" s="384" customFormat="1">
      <c r="B220" s="383"/>
      <c r="C220" s="383"/>
      <c r="I220" s="383"/>
      <c r="S220" s="1631"/>
      <c r="T220" s="1631"/>
      <c r="X220" s="1631"/>
    </row>
    <row r="221" spans="2:24" s="384" customFormat="1">
      <c r="B221" s="383"/>
      <c r="C221" s="383"/>
      <c r="I221" s="383"/>
      <c r="S221" s="1631"/>
      <c r="T221" s="1631"/>
      <c r="X221" s="1631"/>
    </row>
    <row r="222" spans="2:24" s="384" customFormat="1">
      <c r="B222" s="383"/>
      <c r="C222" s="383"/>
      <c r="I222" s="383"/>
      <c r="S222" s="1631"/>
      <c r="T222" s="1631"/>
      <c r="X222" s="1631"/>
    </row>
    <row r="223" spans="2:24" s="384" customFormat="1">
      <c r="B223" s="383"/>
      <c r="C223" s="383"/>
      <c r="I223" s="383"/>
      <c r="S223" s="1631"/>
      <c r="T223" s="1631"/>
      <c r="X223" s="1631"/>
    </row>
    <row r="224" spans="2:24" s="384" customFormat="1">
      <c r="B224" s="383"/>
      <c r="C224" s="383"/>
      <c r="I224" s="383"/>
      <c r="S224" s="1631"/>
      <c r="T224" s="1631"/>
      <c r="X224" s="1631"/>
    </row>
    <row r="225" spans="2:24" s="384" customFormat="1">
      <c r="B225" s="383"/>
      <c r="C225" s="383"/>
      <c r="I225" s="383"/>
      <c r="S225" s="1631"/>
      <c r="T225" s="1631"/>
      <c r="X225" s="1631"/>
    </row>
    <row r="226" spans="2:24" s="384" customFormat="1">
      <c r="B226" s="383"/>
      <c r="C226" s="383"/>
      <c r="I226" s="383"/>
      <c r="S226" s="1631"/>
      <c r="T226" s="1631"/>
      <c r="X226" s="1631"/>
    </row>
    <row r="227" spans="2:24">
      <c r="H227" s="314"/>
      <c r="I227" s="313"/>
    </row>
  </sheetData>
  <sheetProtection algorithmName="SHA-512" hashValue="V4ruASHb+R425yPZK2RKuv9J+sMIvgabx+PrnBHq2CntcjpQlD/7CHqFYbPMeNAQ4g6m+pkwhR4E5hPWByjChg==" saltValue="CCfx1eywp6RZd2UhncWsYA==" spinCount="100000" sheet="1" objects="1" scenarios="1" formatColumns="0" selectLockedCells="1"/>
  <mergeCells count="48">
    <mergeCell ref="C4:D4"/>
    <mergeCell ref="C8:D8"/>
    <mergeCell ref="H50:L50"/>
    <mergeCell ref="H51:L51"/>
    <mergeCell ref="H45:L45"/>
    <mergeCell ref="H46:L46"/>
    <mergeCell ref="H47:L47"/>
    <mergeCell ref="H48:L48"/>
    <mergeCell ref="H49:L49"/>
    <mergeCell ref="H40:L40"/>
    <mergeCell ref="H41:L41"/>
    <mergeCell ref="H42:L42"/>
    <mergeCell ref="H43:L43"/>
    <mergeCell ref="H44:L44"/>
    <mergeCell ref="H37:L37"/>
    <mergeCell ref="H39:L39"/>
    <mergeCell ref="H38:L38"/>
    <mergeCell ref="F2:G2"/>
    <mergeCell ref="AU11:AV11"/>
    <mergeCell ref="H26:L26"/>
    <mergeCell ref="H28:L28"/>
    <mergeCell ref="H29:L29"/>
    <mergeCell ref="H27:L27"/>
    <mergeCell ref="H34:L34"/>
    <mergeCell ref="H33:L33"/>
    <mergeCell ref="H35:L35"/>
    <mergeCell ref="H36:L36"/>
    <mergeCell ref="H30:L30"/>
    <mergeCell ref="H31:L31"/>
    <mergeCell ref="H32:L32"/>
    <mergeCell ref="H15:L15"/>
    <mergeCell ref="H16:L16"/>
    <mergeCell ref="H24:L24"/>
    <mergeCell ref="O11:P11"/>
    <mergeCell ref="H25:L25"/>
    <mergeCell ref="H17:L17"/>
    <mergeCell ref="H18:L18"/>
    <mergeCell ref="H20:L20"/>
    <mergeCell ref="H21:L21"/>
    <mergeCell ref="H22:L22"/>
    <mergeCell ref="H19:L19"/>
    <mergeCell ref="H23:L23"/>
    <mergeCell ref="J7:K7"/>
    <mergeCell ref="I4:L5"/>
    <mergeCell ref="F4:H8"/>
    <mergeCell ref="H11:L11"/>
    <mergeCell ref="H14:L14"/>
    <mergeCell ref="F9:L9"/>
  </mergeCells>
  <conditionalFormatting sqref="C4">
    <cfRule type="containsText" dxfId="328" priority="6" operator="containsText" text="CONFIGURING WORKSHEET">
      <formula>NOT(ISERROR(SEARCH("CONFIGURING WORKSHEET",C4)))</formula>
    </cfRule>
  </conditionalFormatting>
  <conditionalFormatting sqref="C8">
    <cfRule type="expression" dxfId="327" priority="220">
      <formula>$B$6&lt;$B$7</formula>
    </cfRule>
    <cfRule type="expression" dxfId="326" priority="219">
      <formula>AND($B$6&gt;=$B$7,$B$5&gt;20)</formula>
    </cfRule>
    <cfRule type="expression" dxfId="325" priority="218">
      <formula>AND($B$5="",$C$4="")</formula>
    </cfRule>
  </conditionalFormatting>
  <conditionalFormatting sqref="J7">
    <cfRule type="containsText" dxfId="324" priority="2" operator="containsText" text="CONFIGURING WORKSHEET">
      <formula>NOT(ISERROR(SEARCH("CONFIGURING WORKSHEET",J7)))</formula>
    </cfRule>
  </conditionalFormatting>
  <conditionalFormatting sqref="O11:P51">
    <cfRule type="expression" dxfId="323" priority="221">
      <formula>$C$4&lt;&gt;$AY$11</formula>
    </cfRule>
  </conditionalFormatting>
  <conditionalFormatting sqref="AL13">
    <cfRule type="cellIs" dxfId="322" priority="75" operator="equal">
      <formula>"Pass"</formula>
    </cfRule>
    <cfRule type="cellIs" dxfId="321" priority="76" operator="equal">
      <formula>"Fail"</formula>
    </cfRule>
  </conditionalFormatting>
  <conditionalFormatting sqref="AL19">
    <cfRule type="cellIs" dxfId="320" priority="8" operator="equal">
      <formula>"Pass"</formula>
    </cfRule>
    <cfRule type="cellIs" dxfId="319" priority="9" operator="equal">
      <formula>"Fail"</formula>
    </cfRule>
  </conditionalFormatting>
  <conditionalFormatting sqref="AL27">
    <cfRule type="cellIs" dxfId="318" priority="72" operator="equal">
      <formula>"Fail"</formula>
    </cfRule>
    <cfRule type="cellIs" dxfId="317" priority="71" operator="equal">
      <formula>"Pass"</formula>
    </cfRule>
  </conditionalFormatting>
  <conditionalFormatting sqref="AL34">
    <cfRule type="cellIs" dxfId="316" priority="70" operator="equal">
      <formula>"Fail"</formula>
    </cfRule>
    <cfRule type="cellIs" dxfId="315" priority="69" operator="equal">
      <formula>"Pass"</formula>
    </cfRule>
  </conditionalFormatting>
  <conditionalFormatting sqref="AL38">
    <cfRule type="cellIs" dxfId="314" priority="68" operator="equal">
      <formula>"Fail"</formula>
    </cfRule>
    <cfRule type="cellIs" dxfId="313" priority="67" operator="equal">
      <formula>"Pass"</formula>
    </cfRule>
  </conditionalFormatting>
  <conditionalFormatting sqref="AL44">
    <cfRule type="cellIs" dxfId="312" priority="66" operator="equal">
      <formula>"Fail"</formula>
    </cfRule>
    <cfRule type="cellIs" dxfId="311" priority="65" operator="equal">
      <formula>"Pass"</formula>
    </cfRule>
  </conditionalFormatting>
  <conditionalFormatting sqref="AL50">
    <cfRule type="cellIs" dxfId="310" priority="64" operator="equal">
      <formula>"Fail"</formula>
    </cfRule>
    <cfRule type="cellIs" dxfId="309" priority="63" operator="equal">
      <formula>"Pass"</formula>
    </cfRule>
  </conditionalFormatting>
  <conditionalFormatting sqref="AL56">
    <cfRule type="cellIs" dxfId="308" priority="62" operator="equal">
      <formula>"Fail"</formula>
    </cfRule>
    <cfRule type="cellIs" dxfId="307" priority="61" operator="equal">
      <formula>"Pass"</formula>
    </cfRule>
  </conditionalFormatting>
  <conditionalFormatting sqref="AL62">
    <cfRule type="cellIs" dxfId="306" priority="60" operator="equal">
      <formula>"Fail"</formula>
    </cfRule>
    <cfRule type="cellIs" dxfId="305" priority="59" operator="equal">
      <formula>"Pass"</formula>
    </cfRule>
  </conditionalFormatting>
  <conditionalFormatting sqref="AL68">
    <cfRule type="cellIs" dxfId="304" priority="58" operator="equal">
      <formula>"Fail"</formula>
    </cfRule>
    <cfRule type="cellIs" dxfId="303" priority="57" operator="equal">
      <formula>"Pass"</formula>
    </cfRule>
  </conditionalFormatting>
  <conditionalFormatting sqref="AL74">
    <cfRule type="cellIs" dxfId="302" priority="56" operator="equal">
      <formula>"Fail"</formula>
    </cfRule>
    <cfRule type="cellIs" dxfId="301" priority="55" operator="equal">
      <formula>"Pass"</formula>
    </cfRule>
  </conditionalFormatting>
  <conditionalFormatting sqref="AL80">
    <cfRule type="cellIs" dxfId="300" priority="54" operator="equal">
      <formula>"Fail"</formula>
    </cfRule>
    <cfRule type="cellIs" dxfId="299" priority="53" operator="equal">
      <formula>"Pass"</formula>
    </cfRule>
  </conditionalFormatting>
  <conditionalFormatting sqref="AL85">
    <cfRule type="cellIs" dxfId="298" priority="52" operator="equal">
      <formula>"Fail"</formula>
    </cfRule>
    <cfRule type="cellIs" dxfId="297" priority="51" operator="equal">
      <formula>"Pass"</formula>
    </cfRule>
  </conditionalFormatting>
  <conditionalFormatting sqref="AL91">
    <cfRule type="cellIs" dxfId="296" priority="50" operator="equal">
      <formula>"Fail"</formula>
    </cfRule>
    <cfRule type="cellIs" dxfId="295" priority="49" operator="equal">
      <formula>"Pass"</formula>
    </cfRule>
  </conditionalFormatting>
  <conditionalFormatting sqref="AL97">
    <cfRule type="cellIs" dxfId="294" priority="47" operator="equal">
      <formula>"Pass"</formula>
    </cfRule>
    <cfRule type="cellIs" dxfId="293" priority="48" operator="equal">
      <formula>"Fail"</formula>
    </cfRule>
  </conditionalFormatting>
  <conditionalFormatting sqref="AL105">
    <cfRule type="cellIs" dxfId="292" priority="45" operator="equal">
      <formula>"Pass"</formula>
    </cfRule>
    <cfRule type="cellIs" dxfId="291" priority="46" operator="equal">
      <formula>"Fail"</formula>
    </cfRule>
  </conditionalFormatting>
  <conditionalFormatting sqref="AL114">
    <cfRule type="cellIs" dxfId="290" priority="44" operator="equal">
      <formula>"Fail"</formula>
    </cfRule>
    <cfRule type="cellIs" dxfId="289" priority="43" operator="equal">
      <formula>"Pass"</formula>
    </cfRule>
  </conditionalFormatting>
  <conditionalFormatting sqref="AL120">
    <cfRule type="cellIs" dxfId="288" priority="42" operator="equal">
      <formula>"Fail"</formula>
    </cfRule>
    <cfRule type="cellIs" dxfId="287" priority="41" operator="equal">
      <formula>"Pass"</formula>
    </cfRule>
  </conditionalFormatting>
  <conditionalFormatting sqref="AL125">
    <cfRule type="cellIs" dxfId="286" priority="40" operator="equal">
      <formula>"Fail"</formula>
    </cfRule>
    <cfRule type="cellIs" dxfId="285" priority="39" operator="equal">
      <formula>"Pass"</formula>
    </cfRule>
  </conditionalFormatting>
  <conditionalFormatting sqref="AL131">
    <cfRule type="cellIs" dxfId="284" priority="38" operator="equal">
      <formula>"Fail"</formula>
    </cfRule>
    <cfRule type="cellIs" dxfId="283" priority="37" operator="equal">
      <formula>"Pass"</formula>
    </cfRule>
  </conditionalFormatting>
  <conditionalFormatting sqref="AL136">
    <cfRule type="cellIs" dxfId="282" priority="36" operator="equal">
      <formula>"Fail"</formula>
    </cfRule>
    <cfRule type="cellIs" dxfId="281" priority="35" operator="equal">
      <formula>"Pass"</formula>
    </cfRule>
  </conditionalFormatting>
  <conditionalFormatting sqref="AL142">
    <cfRule type="cellIs" dxfId="280" priority="33" operator="equal">
      <formula>"Pass"</formula>
    </cfRule>
    <cfRule type="cellIs" dxfId="279" priority="34" operator="equal">
      <formula>"Fail"</formula>
    </cfRule>
  </conditionalFormatting>
  <conditionalFormatting sqref="AL148">
    <cfRule type="cellIs" dxfId="278" priority="31" operator="equal">
      <formula>"Pass"</formula>
    </cfRule>
    <cfRule type="cellIs" dxfId="277" priority="32" operator="equal">
      <formula>"Fail"</formula>
    </cfRule>
  </conditionalFormatting>
  <conditionalFormatting sqref="AL154">
    <cfRule type="cellIs" dxfId="276" priority="30" operator="equal">
      <formula>"Fail"</formula>
    </cfRule>
    <cfRule type="cellIs" dxfId="275" priority="29" operator="equal">
      <formula>"Pass"</formula>
    </cfRule>
  </conditionalFormatting>
  <conditionalFormatting sqref="AL159">
    <cfRule type="cellIs" dxfId="274" priority="28" operator="equal">
      <formula>"Fail"</formula>
    </cfRule>
    <cfRule type="cellIs" dxfId="273" priority="27" operator="equal">
      <formula>"Pass"</formula>
    </cfRule>
  </conditionalFormatting>
  <conditionalFormatting sqref="AL166">
    <cfRule type="cellIs" dxfId="272" priority="26" operator="equal">
      <formula>"Fail"</formula>
    </cfRule>
    <cfRule type="cellIs" dxfId="271" priority="25" operator="equal">
      <formula>"Pass"</formula>
    </cfRule>
  </conditionalFormatting>
  <conditionalFormatting sqref="AL172">
    <cfRule type="cellIs" dxfId="270" priority="24" operator="equal">
      <formula>"Fail"</formula>
    </cfRule>
    <cfRule type="cellIs" dxfId="269" priority="23" operator="equal">
      <formula>"Pass"</formula>
    </cfRule>
  </conditionalFormatting>
  <conditionalFormatting sqref="AL178">
    <cfRule type="cellIs" dxfId="268" priority="22" operator="equal">
      <formula>"Fail"</formula>
    </cfRule>
    <cfRule type="cellIs" dxfId="267" priority="21" operator="equal">
      <formula>"Pass"</formula>
    </cfRule>
  </conditionalFormatting>
  <conditionalFormatting sqref="AL183">
    <cfRule type="cellIs" dxfId="266" priority="4" operator="equal">
      <formula>"Fail"</formula>
    </cfRule>
    <cfRule type="cellIs" dxfId="265" priority="3" operator="equal">
      <formula>"Pass"</formula>
    </cfRule>
  </conditionalFormatting>
  <dataValidations count="3">
    <dataValidation type="whole" allowBlank="1" showInputMessage="1" showErrorMessage="1" sqref="H13 Z14:AF18 AH14:AH18 AL14:AL18 Z20:AF26 AH20:AH26 AL20:AL26 Z28:AF33 AH28:AH33 AL28:AL33 Z35:AF37 AH35:AH37 AL35:AL37 Z39:AB41 AC39:AC43 AD39:AD41 AE39:AE43 AF39:AF41 AH39:AH41 AL39:AL43 AA42:AA43 Z45:AF49 AH45:AH49 AL45:AL49 Z51:AF55 AH51:AH55 AL51:AL55 H52:H205 Z57:AF61 AH57:AH61 AL57:AL61 Z63:AF67 AH63:AH67 AL63:AL67 Z69:AF73 AH69:AH73 AL69:AL73 Z75:AF79 AH75:AH79 AL75:AL79 Z81:AF84 AH81:AH84 AL81:AL84 Z86:AF90 AH86:AH90 AL86:AL90 Z92:AF96 AH92:AH96 AL92:AL96 Z98:AB102 AC98:AC104 AD98:AD102 AE98:AE104 AF98:AF102 AH98:AH102 AL98:AL104 AA103:AA104 Z106:AF113 AH106:AH113 AL106:AL113 Z115:AF119 AH115:AH119 AL115:AL119 Z121:AF124 AH121:AH124 AL121:AL124 Z126:AF130 AH126:AH130 AL126:AL130 Z132:AF135 AH132:AH135 AL132:AL135 Z137:AF141 AH137:AH141 AL137:AL141 Z143:AF147 AH143:AH147 AL143:AL147 Z149:AF153 AH149:AH153 AL149:AL153 Z155:AF158 AH155:AH158 AL155:AL158 Z160:AF165 AH160:AH165 AL160:AL165 Z167:AF171 AH167:AH171 AL167:AL171 Z173:AF177 AH173:AH177 AL173:AL177 Z179:AF189 AH179:AH189 AL179:AL189" xr:uid="{00000000-0002-0000-4900-000000000000}">
      <formula1>1</formula1>
      <formula2>5</formula2>
    </dataValidation>
    <dataValidation type="list" allowBlank="1" showInputMessage="1" showErrorMessage="1" sqref="J7:K7" xr:uid="{00000000-0002-0000-4900-000001000000}">
      <formula1>$AY$11:$BO$11</formula1>
    </dataValidation>
    <dataValidation type="list" allowBlank="1" showInputMessage="1" showErrorMessage="1" sqref="C14:C51 P14:P51" xr:uid="{00000000-0002-0000-4900-000002000000}">
      <formula1>$V$14:$V$189</formula1>
    </dataValidation>
  </dataValidations>
  <pageMargins left="0.7" right="0.7" top="0.78740157499999996" bottom="0.78740157499999996" header="0.3" footer="0.3"/>
  <pageSetup scale="46" orientation="landscape" r:id="rId1"/>
  <headerFooter>
    <oddFooter>&amp;LDok.-Nr./Rev./Datum
F01         /  03   / 04.12.2020
&amp;F&amp;C&amp;U&amp;A&amp;RSeite &amp;P / &amp;N</oddFooter>
  </headerFooter>
  <rowBreaks count="2" manualBreakCount="2">
    <brk id="42" max="16383" man="1"/>
    <brk id="103" max="16383" man="1"/>
  </rowBreaks>
  <legacyDrawing r:id="rId2"/>
  <extLst>
    <ext xmlns:x14="http://schemas.microsoft.com/office/spreadsheetml/2009/9/main" uri="{78C0D931-6437-407d-A8EE-F0AAD7539E65}">
      <x14:conditionalFormattings>
        <x14:conditionalFormatting xmlns:xm="http://schemas.microsoft.com/office/excel/2006/main">
          <x14:cfRule type="iconSet" priority="182" id="{ED9D0BEE-B626-4937-9A37-C09C673EFB6E}">
            <x14:iconSet iconSet="3Symbols" showValue="0" custom="1">
              <x14:cfvo type="percent">
                <xm:f>0</xm:f>
              </x14:cfvo>
              <x14:cfvo type="num" gte="0">
                <xm:f>Dictionary!$I$53</xm:f>
              </x14:cfvo>
              <x14:cfvo type="num">
                <xm:f>Dictionary!$I$52+1</xm:f>
              </x14:cfvo>
              <x14:cfIcon iconSet="3Symbols" iconId="0"/>
              <x14:cfIcon iconSet="3Symbols" iconId="1"/>
              <x14:cfIcon iconSet="3Symbols" iconId="2"/>
            </x14:iconSet>
          </x14:cfRule>
          <xm:sqref>AK14:AK182</xm:sqref>
        </x14:conditionalFormatting>
        <x14:conditionalFormatting xmlns:xm="http://schemas.microsoft.com/office/excel/2006/main">
          <x14:cfRule type="iconSet" priority="5" id="{23FAE014-1797-4EC1-A5B7-EB9561132226}">
            <x14:iconSet iconSet="3Symbols" showValue="0" custom="1">
              <x14:cfvo type="percent">
                <xm:f>0</xm:f>
              </x14:cfvo>
              <x14:cfvo type="num" gte="0">
                <xm:f>0.5</xm:f>
              </x14:cfvo>
              <x14:cfvo type="num">
                <xm:f>1</xm:f>
              </x14:cfvo>
              <x14:cfIcon iconSet="3Symbols" iconId="0"/>
              <x14:cfIcon iconSet="3Symbols" iconId="1"/>
              <x14:cfIcon iconSet="3Symbols" iconId="2"/>
            </x14:iconSet>
          </x14:cfRule>
          <xm:sqref>AK183:AK189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xr:uid="{00000000-0002-0000-4900-000003000000}">
          <x14:formula1>
            <xm:f>'Control Values'!$B$42:$B$47</xm:f>
          </x14:formula1>
          <xm:sqref>F14:F51</xm:sqref>
        </x14:dataValidation>
      </x14:dataValidations>
    </ext>
  </extLst>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Level_CBA_Scoring">
    <tabColor rgb="FFC00000"/>
  </sheetPr>
  <dimension ref="B1:AT226"/>
  <sheetViews>
    <sheetView showGridLines="0" zoomScale="70" zoomScaleNormal="70" zoomScalePageLayoutView="125" workbookViewId="0">
      <pane xSplit="6" ySplit="12" topLeftCell="G13" activePane="bottomRight" state="frozen"/>
      <selection activeCell="B109" sqref="B109"/>
      <selection pane="topRight" activeCell="B109" sqref="B109"/>
      <selection pane="bottomLeft" activeCell="B109" sqref="B109"/>
      <selection pane="bottomRight" activeCell="I14" sqref="I14"/>
    </sheetView>
  </sheetViews>
  <sheetFormatPr baseColWidth="10" defaultColWidth="10" defaultRowHeight="14" outlineLevelCol="1"/>
  <cols>
    <col min="1" max="1" width="2.33203125" style="314" customWidth="1"/>
    <col min="2" max="2" width="8.5" style="313" customWidth="1"/>
    <col min="3" max="3" width="7.5" style="313" customWidth="1"/>
    <col min="4" max="4" width="52.83203125" style="314" customWidth="1"/>
    <col min="5" max="5" width="5.83203125" style="314" hidden="1" customWidth="1"/>
    <col min="6" max="6" width="1.33203125" style="314" customWidth="1"/>
    <col min="7" max="7" width="8.33203125" style="314" customWidth="1"/>
    <col min="8" max="8" width="1.33203125" style="314" customWidth="1"/>
    <col min="9" max="9" width="8.33203125" style="314" customWidth="1" outlineLevel="1"/>
    <col min="10" max="10" width="1.33203125" style="314" customWidth="1" outlineLevel="1"/>
    <col min="11" max="11" width="8.33203125" style="314" customWidth="1" outlineLevel="1"/>
    <col min="12" max="12" width="1.33203125" style="314" customWidth="1"/>
    <col min="13" max="13" width="8.33203125" style="314" customWidth="1"/>
    <col min="14" max="14" width="1.33203125" style="314" customWidth="1"/>
    <col min="15" max="15" width="8.33203125" style="314" customWidth="1" outlineLevel="1"/>
    <col min="16" max="16" width="1.33203125" style="314" customWidth="1" outlineLevel="1"/>
    <col min="17" max="17" width="10.33203125" style="314" customWidth="1" outlineLevel="1"/>
    <col min="18" max="18" width="1.33203125" style="314" customWidth="1" outlineLevel="1"/>
    <col min="19" max="19" width="8.5" style="314" customWidth="1" outlineLevel="1"/>
    <col min="20" max="20" width="1.33203125" style="315" customWidth="1"/>
    <col min="21" max="21" width="8.33203125" style="314" customWidth="1"/>
    <col min="22" max="22" width="1.33203125" style="314" customWidth="1"/>
    <col min="23" max="23" width="50.5" style="313" customWidth="1"/>
    <col min="24" max="24" width="1.33203125" style="314" customWidth="1"/>
    <col min="25" max="25" width="50.5" style="314" customWidth="1"/>
    <col min="26" max="26" width="1.33203125" style="314" customWidth="1"/>
    <col min="27" max="27" width="50.5" style="314" customWidth="1"/>
    <col min="28" max="28" width="1.6640625" style="314" customWidth="1"/>
    <col min="29" max="29" width="26.5" style="314" customWidth="1"/>
    <col min="30" max="30" width="30.6640625" style="314" customWidth="1"/>
    <col min="31" max="31" width="7.83203125" style="314" customWidth="1"/>
    <col min="32" max="33" width="20.6640625" style="314" customWidth="1"/>
    <col min="34" max="34" width="14" style="314" customWidth="1"/>
    <col min="35" max="35" width="14" style="314" hidden="1" customWidth="1"/>
    <col min="36" max="39" width="7.5" style="314" hidden="1" customWidth="1"/>
    <col min="40" max="41" width="9.1640625" style="314" hidden="1" customWidth="1"/>
    <col min="42" max="46" width="10" style="314" hidden="1" customWidth="1"/>
    <col min="47" max="16384" width="10" style="314"/>
  </cols>
  <sheetData>
    <row r="1" spans="2:45" ht="21" customHeight="1">
      <c r="C1" s="314"/>
      <c r="D1" s="313"/>
      <c r="F1" s="313"/>
      <c r="H1" s="313"/>
      <c r="J1" s="313"/>
      <c r="L1" s="313"/>
      <c r="N1" s="313"/>
      <c r="P1" s="313"/>
      <c r="R1" s="313"/>
      <c r="T1" s="313"/>
      <c r="V1" s="313"/>
      <c r="W1" s="314"/>
      <c r="X1" s="313"/>
      <c r="Z1" s="313"/>
      <c r="AB1" s="313"/>
    </row>
    <row r="2" spans="2:45" ht="18" customHeight="1">
      <c r="C2" s="2423" t="str">
        <f>IF(GC_Flag="","",COV!D94&amp;" ")&amp;Dictionary!B891</f>
        <v>Bewertung aller Zertifizierungselemente</v>
      </c>
      <c r="D2" s="2423"/>
      <c r="E2" s="316"/>
      <c r="H2" s="1411"/>
      <c r="I2" s="2410" t="str">
        <f>COV!S13</f>
        <v>Lead Assessor:</v>
      </c>
      <c r="J2" s="2410"/>
      <c r="K2" s="2410"/>
      <c r="L2" s="2412" t="str">
        <f>COV!V13</f>
        <v>Lead Assessor:</v>
      </c>
      <c r="M2" s="2412"/>
      <c r="N2" s="2412"/>
      <c r="O2" s="2410" t="s">
        <v>120</v>
      </c>
      <c r="P2" s="2410"/>
      <c r="Q2" s="2410"/>
      <c r="R2" s="2413" t="str">
        <f>APPLICATION_LVL&amp;", "&amp;DOMAIN</f>
        <v>A, PJM</v>
      </c>
      <c r="S2" s="2413"/>
      <c r="T2" s="2413"/>
      <c r="U2" s="2414"/>
      <c r="V2" s="388"/>
      <c r="W2" s="334" t="str">
        <f>Dictionary!B892</f>
        <v>Zertifizierungs-Pfad</v>
      </c>
      <c r="X2" s="388"/>
      <c r="Y2" s="1413" t="str">
        <f>I199</f>
        <v>Bestandene CE</v>
      </c>
      <c r="Z2" s="387"/>
      <c r="AA2" s="1413" t="str">
        <f>G212</f>
        <v>Gesamtergebnis</v>
      </c>
      <c r="AB2" s="317"/>
      <c r="AC2" s="1460"/>
      <c r="AD2" s="317"/>
      <c r="AE2" s="317"/>
      <c r="AF2" s="317"/>
      <c r="AG2" s="317"/>
      <c r="AH2" s="317"/>
      <c r="AI2" s="317"/>
      <c r="AJ2" s="317"/>
      <c r="AK2" s="318"/>
      <c r="AL2" s="318"/>
      <c r="AM2" s="318"/>
      <c r="AN2" s="318"/>
    </row>
    <row r="3" spans="2:45" ht="18" customHeight="1">
      <c r="C3" s="2421" t="str">
        <f>'EXP Eval'!B3</f>
        <v xml:space="preserve">, </v>
      </c>
      <c r="D3" s="2421"/>
      <c r="E3" s="316"/>
      <c r="H3" s="1412"/>
      <c r="I3" s="2411" t="str">
        <f>COV!S14</f>
        <v>Co Assessor:</v>
      </c>
      <c r="J3" s="2411"/>
      <c r="K3" s="2411"/>
      <c r="L3" s="2415" t="str">
        <f>COV!V14</f>
        <v>Co Assessor:</v>
      </c>
      <c r="M3" s="2415"/>
      <c r="N3" s="2415"/>
      <c r="O3" s="2411" t="str">
        <f>COV!S12</f>
        <v>Zert. Nummer:</v>
      </c>
      <c r="P3" s="2411"/>
      <c r="Q3" s="2411"/>
      <c r="R3" s="2416" t="str">
        <f>Cert_Round</f>
        <v>Zert. Nummer:</v>
      </c>
      <c r="S3" s="2416"/>
      <c r="T3" s="2416"/>
      <c r="U3" s="2417"/>
      <c r="V3" s="388"/>
      <c r="W3" s="1666" t="str">
        <f>SUGGESTED_CBA_PATH</f>
        <v>CSW (Workshop)</v>
      </c>
      <c r="X3" s="388"/>
      <c r="Y3" s="1416">
        <f>U199</f>
        <v>0</v>
      </c>
      <c r="Z3" s="387"/>
      <c r="AA3" s="1415" t="str">
        <f>X212</f>
        <v/>
      </c>
      <c r="AB3" s="1414"/>
      <c r="AC3" s="2422" t="str">
        <f>Dictionary!B877</f>
        <v>Report Auswertung</v>
      </c>
      <c r="AD3" s="2402"/>
      <c r="AE3" s="2403"/>
      <c r="AF3" s="2402" t="str">
        <f>Dictionary!B886</f>
        <v>Workshop Auswertung</v>
      </c>
      <c r="AG3" s="2403"/>
      <c r="AH3" s="317"/>
      <c r="AI3" s="317"/>
      <c r="AJ3" s="317"/>
      <c r="AK3" s="318"/>
      <c r="AL3" s="318"/>
      <c r="AM3" s="318"/>
      <c r="AN3" s="318"/>
    </row>
    <row r="4" spans="2:45" ht="18" customHeight="1">
      <c r="C4" s="2421"/>
      <c r="D4" s="2421"/>
      <c r="E4" s="316"/>
      <c r="H4" s="386"/>
      <c r="I4" s="525"/>
      <c r="J4" s="525"/>
      <c r="K4" s="525"/>
      <c r="L4" s="528"/>
      <c r="M4" s="528"/>
      <c r="N4" s="528"/>
      <c r="O4" s="527"/>
      <c r="P4" s="527"/>
      <c r="Q4" s="527"/>
      <c r="R4" s="529"/>
      <c r="S4" s="529"/>
      <c r="T4" s="529"/>
      <c r="U4" s="529"/>
      <c r="V4" s="388"/>
      <c r="W4" s="387"/>
      <c r="X4" s="388"/>
      <c r="Y4" s="389"/>
      <c r="Z4" s="387"/>
      <c r="AA4" s="389"/>
      <c r="AB4" s="317"/>
      <c r="AC4" s="1474" t="str">
        <f>IF(GC_Flag="",Dictionary!B905,Dictionary!B909)</f>
        <v>Bearb. PE:</v>
      </c>
      <c r="AD4" s="1605" t="str">
        <f>IF(GC_Flag="",I191,AP197)</f>
        <v>0 / 16</v>
      </c>
      <c r="AE4" s="322"/>
      <c r="AF4" s="1620"/>
      <c r="AG4" s="1621"/>
      <c r="AH4" s="317"/>
      <c r="AI4" s="317"/>
      <c r="AJ4" s="317"/>
      <c r="AK4" s="318"/>
      <c r="AL4" s="318"/>
      <c r="AM4" s="318"/>
      <c r="AN4" s="318"/>
    </row>
    <row r="5" spans="2:45" ht="19.25" customHeight="1">
      <c r="D5" s="324"/>
      <c r="E5" s="324"/>
      <c r="F5" s="320"/>
      <c r="G5" s="2393" t="str">
        <f>Dictionary!B859</f>
        <v>Bewerten Sie, inwieweit Sie der folgenden Aussage zustimmen:
   Der Kandidat hat einen klaren und überzeugenden Nachweis seiner Fähigkeiten und Fertigkeiten in dem 
   angegebenen KCI anhand eines Projekts nachgewiesen, das für das angestrebte Level ausreichend komplex ist.</v>
      </c>
      <c r="H5" s="2394"/>
      <c r="I5" s="2394"/>
      <c r="J5" s="2394"/>
      <c r="K5" s="2394"/>
      <c r="L5" s="2394"/>
      <c r="M5" s="2394"/>
      <c r="N5" s="2394"/>
      <c r="O5" s="2394"/>
      <c r="P5" s="2394"/>
      <c r="Q5" s="2394"/>
      <c r="R5" s="2394"/>
      <c r="S5" s="2394"/>
      <c r="T5" s="2394"/>
      <c r="U5" s="2394"/>
      <c r="V5" s="2394"/>
      <c r="W5" s="2394"/>
      <c r="X5" s="2394"/>
      <c r="Y5" s="2395"/>
      <c r="Z5" s="387"/>
      <c r="AA5" s="1870" t="str">
        <f>Dictionary!B878</f>
        <v>Interview Auswertung</v>
      </c>
      <c r="AB5" s="321"/>
      <c r="AC5" s="1474" t="str">
        <f>IF(GC_Flag="",Dictionary!B906,Dictionary!B910)</f>
        <v>Bearb. WE:</v>
      </c>
      <c r="AD5" s="1604" t="str">
        <f>IF(GC_Flag="",I192,AQ197)</f>
        <v>0 / 6</v>
      </c>
      <c r="AE5" s="322"/>
      <c r="AF5" s="1601" t="str">
        <f>Dictionary!B887</f>
        <v>KCIs bestanden:</v>
      </c>
      <c r="AG5" s="322">
        <f>IF(CSW_FLAG="",0,COUNTIF(K14:K189,"&gt;0"))</f>
        <v>0</v>
      </c>
      <c r="AH5" s="317"/>
      <c r="AI5" s="317"/>
      <c r="AJ5" s="321"/>
      <c r="AK5" s="321"/>
      <c r="AL5" s="321"/>
      <c r="AM5" s="321"/>
      <c r="AN5" s="321"/>
    </row>
    <row r="6" spans="2:45" ht="19.25" customHeight="1">
      <c r="B6" s="420"/>
      <c r="C6" s="1879">
        <f>U196</f>
        <v>0</v>
      </c>
      <c r="D6" s="391" t="str">
        <f>Dictionary!B855</f>
        <v>Perspective Kompetenz Elemente erfüllt</v>
      </c>
      <c r="E6" s="392"/>
      <c r="F6" s="320"/>
      <c r="G6" s="2396"/>
      <c r="H6" s="2397"/>
      <c r="I6" s="2397"/>
      <c r="J6" s="2397"/>
      <c r="K6" s="2397"/>
      <c r="L6" s="2397"/>
      <c r="M6" s="2397"/>
      <c r="N6" s="2397"/>
      <c r="O6" s="2397"/>
      <c r="P6" s="2397"/>
      <c r="Q6" s="2397"/>
      <c r="R6" s="2397"/>
      <c r="S6" s="2397"/>
      <c r="T6" s="2397"/>
      <c r="U6" s="2397"/>
      <c r="V6" s="2397"/>
      <c r="W6" s="2397"/>
      <c r="X6" s="2397"/>
      <c r="Y6" s="2398"/>
      <c r="Z6" s="387"/>
      <c r="AA6" s="1871" t="str">
        <f>Dictionary!B880&amp;" / "&amp;Dictionary!B879&amp;":"</f>
        <v>bestandene Fragen / gestellte Fragen:</v>
      </c>
      <c r="AB6" s="321"/>
      <c r="AC6" s="1474" t="str">
        <f>IF(GC_Flag="",Dictionary!B881,Dictionary!B899)</f>
        <v>CEs bestanden:</v>
      </c>
      <c r="AD6" s="1335">
        <f>IF(GC_Flag="",IF(DOMAIN=COV!$T$72,'PJM-Report-Scoring'!M183,IF(DOMAIN=COV!$T$73,'PGM-Report-Scoring'!M182,IF(DOMAIN=COV!$T$74,'PFM-Report-Scoring'!M181,'PJM-Report-Scoring'!M183))),AP198)</f>
        <v>0</v>
      </c>
      <c r="AE6" s="322"/>
      <c r="AF6" s="1601" t="str">
        <f>Dictionary!B888</f>
        <v>Note bestanden:</v>
      </c>
      <c r="AG6" s="322">
        <f>IF(GC_Flag="",19,17)</f>
        <v>19</v>
      </c>
      <c r="AH6" s="317"/>
      <c r="AI6" s="317"/>
      <c r="AJ6" s="321"/>
      <c r="AK6" s="321"/>
      <c r="AL6" s="321"/>
      <c r="AM6" s="321"/>
      <c r="AN6" s="321"/>
    </row>
    <row r="7" spans="2:45" ht="19.25" customHeight="1">
      <c r="B7" s="1385"/>
      <c r="C7" s="1880">
        <f>U197</f>
        <v>0</v>
      </c>
      <c r="D7" s="395" t="str">
        <f>Dictionary!B856</f>
        <v>Personal Kompetenz Elemente erfüllt</v>
      </c>
      <c r="E7" s="392"/>
      <c r="F7" s="320"/>
      <c r="G7" s="2396"/>
      <c r="H7" s="2397"/>
      <c r="I7" s="2397"/>
      <c r="J7" s="2397"/>
      <c r="K7" s="2397"/>
      <c r="L7" s="2397"/>
      <c r="M7" s="2397"/>
      <c r="N7" s="2397"/>
      <c r="O7" s="2397"/>
      <c r="P7" s="2397"/>
      <c r="Q7" s="2397"/>
      <c r="R7" s="2397"/>
      <c r="S7" s="2397"/>
      <c r="T7" s="2397"/>
      <c r="U7" s="2397"/>
      <c r="V7" s="2397"/>
      <c r="W7" s="2397"/>
      <c r="X7" s="2397"/>
      <c r="Y7" s="2398"/>
      <c r="Z7" s="387"/>
      <c r="AA7" s="1872" t="str">
        <f>U209&amp;" / "&amp;U210</f>
        <v>0 / 0</v>
      </c>
      <c r="AB7" s="321"/>
      <c r="AC7" s="1474" t="str">
        <f>Dictionary!B882</f>
        <v>Bestehensgrenze:</v>
      </c>
      <c r="AD7" s="1335">
        <f>IF(GC_Flag="",IF(DOMAIN=COV!$T$72,AK199,IF(DOMAIN=COV!$T$73,AL199,IF(DOMAIN=COV!$T$74,AM199,AK199))),AQ198)</f>
        <v>11</v>
      </c>
      <c r="AE7" s="322"/>
      <c r="AF7" s="1601" t="str">
        <f>Dictionary!B889</f>
        <v>WS-Status:</v>
      </c>
      <c r="AG7" s="1461" t="str">
        <f>IF(CSW_FLAG="",Dictionary!B18,IF(AG6&lt;=AG5,Dictionary!B9,Dictionary!B10))</f>
        <v>Noch nicht best.</v>
      </c>
      <c r="AH7" s="317"/>
      <c r="AI7" s="317"/>
      <c r="AJ7" s="321"/>
      <c r="AK7" s="321"/>
      <c r="AL7" s="321"/>
      <c r="AM7" s="321"/>
      <c r="AN7" s="321"/>
    </row>
    <row r="8" spans="2:45" ht="19.25" customHeight="1">
      <c r="B8" s="1385"/>
      <c r="C8" s="1880">
        <f>U198</f>
        <v>0</v>
      </c>
      <c r="D8" s="395" t="str">
        <f>Dictionary!B857</f>
        <v>Practice Kompetenz Elemente erfüllt</v>
      </c>
      <c r="E8" s="392"/>
      <c r="F8" s="320"/>
      <c r="G8" s="2396"/>
      <c r="H8" s="2397"/>
      <c r="I8" s="2397"/>
      <c r="J8" s="2397"/>
      <c r="K8" s="2397"/>
      <c r="L8" s="2397"/>
      <c r="M8" s="2397"/>
      <c r="N8" s="2397"/>
      <c r="O8" s="2397"/>
      <c r="P8" s="2397"/>
      <c r="Q8" s="2397"/>
      <c r="R8" s="2397"/>
      <c r="S8" s="2397"/>
      <c r="T8" s="2397"/>
      <c r="U8" s="2397"/>
      <c r="V8" s="2397"/>
      <c r="W8" s="2397"/>
      <c r="X8" s="2397"/>
      <c r="Y8" s="2398"/>
      <c r="Z8" s="387"/>
      <c r="AA8" s="1461" t="str">
        <f>Y209</f>
        <v>Noch nicht best.</v>
      </c>
      <c r="AB8" s="321"/>
      <c r="AC8" s="1474" t="str">
        <f>Dictionary!B883</f>
        <v>Status des Berichts:</v>
      </c>
      <c r="AD8" s="1461" t="str">
        <f>IF(GC_Flag="",IF(AD7&lt;=AD6,Dictionary!B9,Dictionary!B10),AR199)</f>
        <v>Noch nicht best.</v>
      </c>
      <c r="AE8" s="322"/>
      <c r="AF8" s="1474" t="str">
        <f>Dictionary!B890</f>
        <v>WS-Szenario:</v>
      </c>
      <c r="AG8" s="319"/>
      <c r="AH8" s="317"/>
      <c r="AI8" s="317"/>
      <c r="AJ8" s="321"/>
      <c r="AK8" s="321"/>
      <c r="AL8" s="321"/>
      <c r="AM8" s="321"/>
      <c r="AN8" s="321"/>
    </row>
    <row r="9" spans="2:45" ht="17" customHeight="1">
      <c r="B9" s="1385"/>
      <c r="C9" s="396">
        <f>SUM(C6:C8)</f>
        <v>0</v>
      </c>
      <c r="D9" s="397" t="str">
        <f>Dictionary!B11&amp;X212</f>
        <v xml:space="preserve">Gesamt Ergebnis: </v>
      </c>
      <c r="E9" s="398"/>
      <c r="F9" s="318"/>
      <c r="G9" s="2399" t="str">
        <f>Dictionary!B860</f>
        <v>1 = JA (bestanden), 0 = Nein (nicht bestanden)</v>
      </c>
      <c r="H9" s="2400"/>
      <c r="I9" s="2400"/>
      <c r="J9" s="2400"/>
      <c r="K9" s="2400"/>
      <c r="L9" s="2400"/>
      <c r="M9" s="2400"/>
      <c r="N9" s="2400"/>
      <c r="O9" s="2400"/>
      <c r="P9" s="2400"/>
      <c r="Q9" s="2400"/>
      <c r="R9" s="2400"/>
      <c r="S9" s="2400"/>
      <c r="T9" s="2400"/>
      <c r="U9" s="2400"/>
      <c r="V9" s="2400"/>
      <c r="W9" s="2400"/>
      <c r="X9" s="2400"/>
      <c r="Y9" s="2401"/>
      <c r="Z9" s="387"/>
      <c r="AA9" s="1873"/>
      <c r="AB9" s="321"/>
      <c r="AC9" s="1602"/>
      <c r="AD9" s="1603"/>
      <c r="AE9" s="1783"/>
      <c r="AF9" s="1623"/>
      <c r="AG9" s="1622"/>
      <c r="AH9" s="317"/>
      <c r="AI9" s="317"/>
      <c r="AJ9" s="321"/>
      <c r="AK9" s="323"/>
      <c r="AL9" s="323"/>
      <c r="AM9" s="323"/>
      <c r="AN9" s="318"/>
    </row>
    <row r="10" spans="2:45" s="326" customFormat="1" ht="10.25" customHeight="1">
      <c r="B10" s="399"/>
      <c r="C10" s="1384"/>
      <c r="D10" s="400"/>
      <c r="E10" s="401"/>
      <c r="F10" s="325"/>
      <c r="G10" s="325"/>
      <c r="H10" s="325"/>
      <c r="I10" s="325"/>
      <c r="J10" s="325"/>
      <c r="K10" s="325"/>
      <c r="L10" s="325"/>
      <c r="M10" s="325"/>
      <c r="N10" s="325"/>
      <c r="O10" s="325"/>
      <c r="P10" s="325"/>
      <c r="Q10" s="317"/>
      <c r="T10" s="327"/>
      <c r="U10" s="317"/>
      <c r="W10" s="328"/>
      <c r="X10" s="317"/>
      <c r="Y10" s="329"/>
      <c r="Z10" s="317"/>
      <c r="AA10" s="321"/>
      <c r="AB10" s="321"/>
      <c r="AC10" s="321"/>
      <c r="AD10" s="321"/>
      <c r="AE10" s="321"/>
      <c r="AF10" s="321"/>
      <c r="AG10" s="321"/>
      <c r="AH10" s="317"/>
      <c r="AI10" s="317"/>
      <c r="AJ10" s="321"/>
      <c r="AK10" s="331"/>
      <c r="AL10" s="331"/>
      <c r="AM10" s="331"/>
      <c r="AN10" s="325"/>
    </row>
    <row r="11" spans="2:45" s="326" customFormat="1" ht="36" customHeight="1">
      <c r="B11" s="1857"/>
      <c r="C11" s="2424" t="str">
        <f>Dictionary!B858</f>
        <v>Komp. Stufe</v>
      </c>
      <c r="D11" s="1858"/>
      <c r="E11" s="2426" t="s">
        <v>525</v>
      </c>
      <c r="F11" s="325"/>
      <c r="G11" s="1875" t="str">
        <f>IF(LA_MODE="","Exam","N/A")</f>
        <v>N/A</v>
      </c>
      <c r="H11" s="334"/>
      <c r="I11" s="1875" t="str">
        <f>Dictionary!B862</f>
        <v>Report</v>
      </c>
      <c r="J11" s="334"/>
      <c r="K11" s="1875" t="str">
        <f>Dictionary!B863</f>
        <v>WS</v>
      </c>
      <c r="L11" s="334"/>
      <c r="M11" s="1875" t="s">
        <v>2513</v>
      </c>
      <c r="N11" s="325"/>
      <c r="O11" s="1876" t="str">
        <f>Dictionary!B865</f>
        <v>berechn. Ergebnis</v>
      </c>
      <c r="P11" s="337"/>
      <c r="Q11" s="1877" t="str">
        <f>Dictionary!B866</f>
        <v>Ass. manuell</v>
      </c>
      <c r="S11" s="1877" t="s">
        <v>1997</v>
      </c>
      <c r="T11" s="331"/>
      <c r="U11" s="1878" t="str">
        <f>Dictionary!B867</f>
        <v>End- ergebnis</v>
      </c>
      <c r="W11" s="1874" t="str">
        <f>Dictionary!B868</f>
        <v>Begründung für Report Bewertung 
(erscheint in der Kandidaten-Rückmeldung)</v>
      </c>
      <c r="Y11" s="1874" t="str">
        <f>Dictionary!B869</f>
        <v>Anmerkungen 
(nur für Dokumentation in der F01)</v>
      </c>
      <c r="AA11" s="1874" t="str">
        <f>Dictionary!B870</f>
        <v>Interview Fragen</v>
      </c>
      <c r="AB11" s="317"/>
      <c r="AC11" s="2418" t="str">
        <f>Dictionary!B872</f>
        <v>Interview-Antworten</v>
      </c>
      <c r="AD11" s="2419"/>
      <c r="AE11" s="2419"/>
      <c r="AF11" s="2419"/>
      <c r="AG11" s="2420"/>
      <c r="AH11" s="317"/>
      <c r="AI11" s="317"/>
      <c r="AJ11" s="317"/>
      <c r="AO11" s="1583" t="s">
        <v>3755</v>
      </c>
      <c r="AP11" s="1584"/>
      <c r="AQ11" s="1584"/>
      <c r="AR11" s="1584"/>
      <c r="AS11" s="1585"/>
    </row>
    <row r="12" spans="2:45" ht="18" customHeight="1">
      <c r="B12" s="1859"/>
      <c r="C12" s="2425"/>
      <c r="D12" s="1860" t="str">
        <f>Dictionary!B1262</f>
        <v>Perspective Kompetenz Elemente</v>
      </c>
      <c r="E12" s="2427"/>
      <c r="F12" s="315"/>
      <c r="G12" s="1638">
        <f>'(8) Exam Evaluation'!B6</f>
        <v>0</v>
      </c>
      <c r="H12" s="315"/>
      <c r="I12" s="1638">
        <f>AD6</f>
        <v>0</v>
      </c>
      <c r="J12" s="315"/>
      <c r="K12" s="1638">
        <f>AG5</f>
        <v>0</v>
      </c>
      <c r="L12" s="315"/>
      <c r="M12" s="1638" t="str">
        <f>AA7</f>
        <v>0 / 0</v>
      </c>
      <c r="N12" s="315"/>
      <c r="O12" s="315"/>
      <c r="P12" s="315"/>
      <c r="Q12" s="315"/>
      <c r="U12" s="315"/>
      <c r="AC12" s="313"/>
      <c r="AJ12" s="314" t="s">
        <v>3491</v>
      </c>
      <c r="AK12" s="340"/>
      <c r="AL12" s="340"/>
      <c r="AM12" s="340"/>
      <c r="AN12" s="326"/>
      <c r="AO12" s="1586" t="s">
        <v>970</v>
      </c>
      <c r="AP12" s="1587" t="s">
        <v>1024</v>
      </c>
      <c r="AQ12" s="1587" t="s">
        <v>1025</v>
      </c>
      <c r="AR12" s="1587" t="s">
        <v>3756</v>
      </c>
      <c r="AS12" s="1588" t="s">
        <v>3757</v>
      </c>
    </row>
    <row r="13" spans="2:45" ht="20" customHeight="1">
      <c r="B13" s="1861" t="s">
        <v>475</v>
      </c>
      <c r="C13" s="1862">
        <f>Dictionary!X1263</f>
        <v>3</v>
      </c>
      <c r="D13" s="1863" t="str">
        <f>Dictionary!B1263</f>
        <v>Strategie</v>
      </c>
      <c r="E13" s="402">
        <v>3</v>
      </c>
      <c r="F13" s="343"/>
      <c r="G13" s="344"/>
      <c r="H13" s="343"/>
      <c r="I13" s="344"/>
      <c r="J13" s="345"/>
      <c r="K13" s="344"/>
      <c r="L13" s="345"/>
      <c r="M13" s="344"/>
      <c r="N13" s="343"/>
      <c r="O13" s="344"/>
      <c r="P13" s="345"/>
      <c r="Q13" s="344"/>
      <c r="T13" s="343"/>
      <c r="U13" s="346" t="str">
        <f t="shared" ref="U13:U38" si="0">AM13</f>
        <v/>
      </c>
      <c r="W13" s="347"/>
      <c r="Y13" s="348"/>
      <c r="AA13" s="348"/>
      <c r="AB13" s="348"/>
      <c r="AC13" s="347"/>
      <c r="AD13" s="348"/>
      <c r="AE13" s="348"/>
      <c r="AF13" s="348"/>
      <c r="AG13" s="348"/>
      <c r="AH13" s="348"/>
      <c r="AI13" s="348"/>
      <c r="AJ13" s="348"/>
      <c r="AK13" s="349">
        <v>5</v>
      </c>
      <c r="AL13" s="349">
        <f>ROUNDUP(AK13/2,0)</f>
        <v>3</v>
      </c>
      <c r="AM13" s="346" t="str">
        <f>IF(COUNTBLANK(AM14:AM18)=$AK13,"",IF((COUNTIF(AM14:AM18,"&gt;=1")&gt;=AL13),"Pass","Fail"))</f>
        <v/>
      </c>
    </row>
    <row r="14" spans="2:45" ht="54.75" customHeight="1">
      <c r="B14" s="1864" t="str">
        <f>".1"</f>
        <v>.1</v>
      </c>
      <c r="C14" s="1865">
        <f>Dictionary!X1264</f>
        <v>3</v>
      </c>
      <c r="D14" s="1866" t="str">
        <f>Dictionary!B1264</f>
        <v>Das Projekt mit der Mission und der Vision der Organisation in Einklang bringen</v>
      </c>
      <c r="E14" s="403">
        <v>2</v>
      </c>
      <c r="F14" s="352"/>
      <c r="G14" s="667" t="str">
        <f>IF('(8) Exam Evaluation'!Y14="","",'(8) Exam Evaluation'!Y14)</f>
        <v/>
      </c>
      <c r="H14" s="354"/>
      <c r="I14" s="353"/>
      <c r="J14" s="354"/>
      <c r="K14" s="353"/>
      <c r="L14" s="354"/>
      <c r="M14" s="353"/>
      <c r="N14" s="354"/>
      <c r="O14" s="667" t="str">
        <f>IF(AND(G14="",I14="",AJ14="",M14=""),"",MAX(G14,I14,AJ14,M14))</f>
        <v/>
      </c>
      <c r="P14" s="354"/>
      <c r="Q14" s="353"/>
      <c r="S14" s="353"/>
      <c r="T14" s="356" t="str">
        <f>IF(U14&gt;=0,U14,"")</f>
        <v/>
      </c>
      <c r="U14" s="667" t="str">
        <f>IF(Q14="",O14,Q14)</f>
        <v/>
      </c>
      <c r="W14" s="1386"/>
      <c r="Y14" s="1386"/>
      <c r="AA14" s="1386"/>
      <c r="AB14" s="348"/>
      <c r="AC14" s="2376"/>
      <c r="AD14" s="2377"/>
      <c r="AE14" s="2377"/>
      <c r="AF14" s="2377"/>
      <c r="AG14" s="2378"/>
      <c r="AH14" s="348"/>
      <c r="AI14" s="348"/>
      <c r="AJ14" s="349" t="str">
        <f>IF(CSW_FLAG="","",IF(K14="","",K14))</f>
        <v/>
      </c>
      <c r="AK14" s="349"/>
      <c r="AL14" s="349"/>
      <c r="AM14" s="1715" t="str">
        <f>IF(U14="","",IF(U14&gt;Dictionary!$I$52,1,0))</f>
        <v/>
      </c>
      <c r="AO14" s="1589" t="str">
        <f>IF('PJM-Report-Scoring'!K5="","",'PJM-Report-Scoring'!K5)</f>
        <v/>
      </c>
      <c r="AP14" s="1589" t="str">
        <f>IF('PGM-Report-Scoring'!K5="","",'PGM-Report-Scoring'!K5)</f>
        <v/>
      </c>
      <c r="AQ14" s="1589" t="str">
        <f>IF('PFM-Report-Scoring'!K5="","",'PFM-Report-Scoring'!K5)</f>
        <v/>
      </c>
      <c r="AR14" s="1589" t="str">
        <f>IF(DOMAIN=COV!$T$72,Scoring!AO14,IF(DOMAIN=COV!$T$73,Scoring!AP14,IF(DOMAIN=COV!$T$74,Scoring!AQ14,"")))</f>
        <v/>
      </c>
      <c r="AS14" s="1589" t="str">
        <f t="shared" ref="AS14:AS16" si="1">IF(AR14="",AS15,AR14)</f>
        <v/>
      </c>
    </row>
    <row r="15" spans="2:45" ht="54.75" customHeight="1">
      <c r="B15" s="1864" t="str">
        <f>".2"</f>
        <v>.2</v>
      </c>
      <c r="C15" s="1865">
        <f>Dictionary!X1265</f>
        <v>3</v>
      </c>
      <c r="D15" s="1866" t="str">
        <f>Dictionary!B1265</f>
        <v>Chancen identifizieren und ausschöpfen, die Strategie der Organisation zu beeinflussen</v>
      </c>
      <c r="E15" s="403">
        <v>3</v>
      </c>
      <c r="F15" s="352"/>
      <c r="G15" s="667" t="str">
        <f>IF('(8) Exam Evaluation'!Y15="","",'(8) Exam Evaluation'!Y15)</f>
        <v/>
      </c>
      <c r="H15" s="354"/>
      <c r="I15" s="353"/>
      <c r="J15" s="354"/>
      <c r="K15" s="353"/>
      <c r="L15" s="354"/>
      <c r="M15" s="353"/>
      <c r="N15" s="354"/>
      <c r="O15" s="667" t="str">
        <f t="shared" ref="O15:O18" si="2">IF(AND(G15="",I15="",AJ15="",M15=""),"",MAX(G15,I15,AJ15,M15))</f>
        <v/>
      </c>
      <c r="P15" s="354"/>
      <c r="Q15" s="353"/>
      <c r="S15" s="353"/>
      <c r="T15" s="356" t="str">
        <f>IF(U15&gt;=0,U15,"")</f>
        <v/>
      </c>
      <c r="U15" s="667" t="str">
        <f t="shared" ref="U15:U18" si="3">IF(Q15="",O15,Q15)</f>
        <v/>
      </c>
      <c r="W15" s="1386"/>
      <c r="Y15" s="1386"/>
      <c r="AA15" s="1386"/>
      <c r="AB15" s="348"/>
      <c r="AC15" s="2376"/>
      <c r="AD15" s="2377"/>
      <c r="AE15" s="2377"/>
      <c r="AF15" s="2377"/>
      <c r="AG15" s="2378"/>
      <c r="AH15" s="348"/>
      <c r="AI15" s="348"/>
      <c r="AJ15" s="349" t="str">
        <f>IF(CSW_FLAG="","",IF(K15="","",K15))</f>
        <v/>
      </c>
      <c r="AK15" s="349"/>
      <c r="AL15" s="349"/>
      <c r="AM15" s="1715" t="str">
        <f>IF(U15="","",IF(U15&gt;Dictionary!$I$52,1,0))</f>
        <v/>
      </c>
      <c r="AO15" s="1589" t="str">
        <f>IF('PJM-Report-Scoring'!K6="","",'PJM-Report-Scoring'!K6)</f>
        <v/>
      </c>
      <c r="AP15" s="1589" t="str">
        <f>IF('PGM-Report-Scoring'!K6="","",'PGM-Report-Scoring'!K6)</f>
        <v/>
      </c>
      <c r="AQ15" s="1589" t="str">
        <f>IF('PFM-Report-Scoring'!K6="","",'PFM-Report-Scoring'!K6)</f>
        <v/>
      </c>
      <c r="AR15" s="1589" t="str">
        <f>IF(DOMAIN=COV!$T$72,Scoring!AO15,IF(DOMAIN=COV!$T$73,Scoring!AP15,IF(DOMAIN=COV!$T$74,Scoring!AQ15,"")))</f>
        <v/>
      </c>
      <c r="AS15" s="1589" t="str">
        <f t="shared" si="1"/>
        <v/>
      </c>
    </row>
    <row r="16" spans="2:45" ht="54.75" customHeight="1">
      <c r="B16" s="1864" t="str">
        <f>".3"</f>
        <v>.3</v>
      </c>
      <c r="C16" s="1865">
        <f>Dictionary!X1266</f>
        <v>3</v>
      </c>
      <c r="D16" s="1866" t="str">
        <f>Dictionary!B1266</f>
        <v>Rechtfertigung für das Projekt entwickeln und sicherstellen, dass die betriebswirtschaftlichen und / oder organisationalen Gründe, die zum Projekt geführt haben, weiterhin bestehen</v>
      </c>
      <c r="E16" s="403">
        <v>3</v>
      </c>
      <c r="F16" s="352"/>
      <c r="G16" s="667" t="str">
        <f>IF('(8) Exam Evaluation'!Y16="","",'(8) Exam Evaluation'!Y16)</f>
        <v/>
      </c>
      <c r="H16" s="354"/>
      <c r="I16" s="353"/>
      <c r="J16" s="354"/>
      <c r="K16" s="353"/>
      <c r="L16" s="354"/>
      <c r="M16" s="353"/>
      <c r="N16" s="354"/>
      <c r="O16" s="667" t="str">
        <f t="shared" si="2"/>
        <v/>
      </c>
      <c r="P16" s="354"/>
      <c r="Q16" s="353"/>
      <c r="S16" s="353"/>
      <c r="T16" s="356" t="str">
        <f>IF(U16&gt;=0,U16,"")</f>
        <v/>
      </c>
      <c r="U16" s="667" t="str">
        <f t="shared" si="3"/>
        <v/>
      </c>
      <c r="W16" s="1386"/>
      <c r="Y16" s="1386"/>
      <c r="AA16" s="1386"/>
      <c r="AB16" s="348"/>
      <c r="AC16" s="2376"/>
      <c r="AD16" s="2377"/>
      <c r="AE16" s="2377"/>
      <c r="AF16" s="2377"/>
      <c r="AG16" s="2378"/>
      <c r="AH16" s="348"/>
      <c r="AI16" s="348"/>
      <c r="AJ16" s="349" t="str">
        <f>IF(CSW_FLAG="","",IF(K16="","",K16))</f>
        <v/>
      </c>
      <c r="AK16" s="349"/>
      <c r="AL16" s="349"/>
      <c r="AM16" s="1715" t="str">
        <f>IF(U16="","",IF(U16&gt;Dictionary!$I$52,1,0))</f>
        <v/>
      </c>
      <c r="AO16" s="1589" t="str">
        <f>IF('PJM-Report-Scoring'!K7="","",'PJM-Report-Scoring'!K7)</f>
        <v/>
      </c>
      <c r="AP16" s="1589" t="str">
        <f>IF('PGM-Report-Scoring'!K7="","",'PGM-Report-Scoring'!K7)</f>
        <v/>
      </c>
      <c r="AQ16" s="1589" t="str">
        <f>IF('PFM-Report-Scoring'!K7="","",'PFM-Report-Scoring'!K7)</f>
        <v/>
      </c>
      <c r="AR16" s="1589" t="str">
        <f>IF(DOMAIN=COV!$T$72,Scoring!AO16,IF(DOMAIN=COV!$T$73,Scoring!AP16,IF(DOMAIN=COV!$T$74,Scoring!AQ16,"")))</f>
        <v/>
      </c>
      <c r="AS16" s="1589" t="str">
        <f t="shared" si="1"/>
        <v/>
      </c>
    </row>
    <row r="17" spans="2:45" ht="54.75" customHeight="1">
      <c r="B17" s="1864" t="str">
        <f>".4"</f>
        <v>.4</v>
      </c>
      <c r="C17" s="1865">
        <f>Dictionary!X1267</f>
        <v>3</v>
      </c>
      <c r="D17" s="1866" t="str">
        <f>Dictionary!B1267</f>
        <v>Kritische Erfolgsfaktoren (KEF) bestimmen, beurteilen und überprüfen</v>
      </c>
      <c r="E17" s="403">
        <v>3</v>
      </c>
      <c r="F17" s="352"/>
      <c r="G17" s="667" t="str">
        <f>IF('(8) Exam Evaluation'!Y17="","",'(8) Exam Evaluation'!Y17)</f>
        <v/>
      </c>
      <c r="H17" s="354"/>
      <c r="I17" s="353"/>
      <c r="J17" s="354"/>
      <c r="K17" s="353"/>
      <c r="L17" s="354"/>
      <c r="M17" s="353"/>
      <c r="N17" s="354"/>
      <c r="O17" s="667" t="str">
        <f t="shared" si="2"/>
        <v/>
      </c>
      <c r="P17" s="354"/>
      <c r="Q17" s="353"/>
      <c r="S17" s="353"/>
      <c r="T17" s="356" t="str">
        <f>IF(U17&gt;=0,U17,"")</f>
        <v/>
      </c>
      <c r="U17" s="667" t="str">
        <f t="shared" si="3"/>
        <v/>
      </c>
      <c r="W17" s="1386"/>
      <c r="Y17" s="1386"/>
      <c r="AA17" s="1386"/>
      <c r="AB17" s="348"/>
      <c r="AC17" s="2376"/>
      <c r="AD17" s="2377"/>
      <c r="AE17" s="2377"/>
      <c r="AF17" s="2377"/>
      <c r="AG17" s="2378"/>
      <c r="AH17" s="348"/>
      <c r="AI17" s="348"/>
      <c r="AJ17" s="349" t="str">
        <f>IF(CSW_FLAG="","",IF(K17="","",K17))</f>
        <v/>
      </c>
      <c r="AK17" s="349"/>
      <c r="AL17" s="349"/>
      <c r="AM17" s="1715" t="str">
        <f>IF(U17="","",IF(U17&gt;Dictionary!$I$52,1,0))</f>
        <v/>
      </c>
      <c r="AO17" s="1589" t="str">
        <f>IF('PJM-Report-Scoring'!K8="","",'PJM-Report-Scoring'!K8)</f>
        <v/>
      </c>
      <c r="AP17" s="1589" t="str">
        <f>IF('PGM-Report-Scoring'!K8="","",'PGM-Report-Scoring'!K8)</f>
        <v/>
      </c>
      <c r="AQ17" s="1589" t="str">
        <f>IF('PFM-Report-Scoring'!K8="","",'PFM-Report-Scoring'!K8)</f>
        <v/>
      </c>
      <c r="AR17" s="1589" t="str">
        <f>IF(DOMAIN=COV!$T$72,Scoring!AO17,IF(DOMAIN=COV!$T$73,Scoring!AP17,IF(DOMAIN=COV!$T$74,Scoring!AQ17,"")))</f>
        <v/>
      </c>
      <c r="AS17" s="1589" t="str">
        <f>IF(AR17="",AS18,AR17)</f>
        <v/>
      </c>
    </row>
    <row r="18" spans="2:45" ht="54.75" customHeight="1">
      <c r="B18" s="1864" t="str">
        <f>".5"</f>
        <v>.5</v>
      </c>
      <c r="C18" s="1865">
        <f>Dictionary!X1268</f>
        <v>3</v>
      </c>
      <c r="D18" s="1866" t="str">
        <f>Dictionary!B1268</f>
        <v>Key Performance Indikatoren (KPI) bestimmen, beurteilen und überprüfen</v>
      </c>
      <c r="E18" s="403">
        <v>3</v>
      </c>
      <c r="F18" s="352"/>
      <c r="G18" s="667" t="str">
        <f>IF('(8) Exam Evaluation'!Y18="","",'(8) Exam Evaluation'!Y18)</f>
        <v/>
      </c>
      <c r="H18" s="354"/>
      <c r="I18" s="353"/>
      <c r="J18" s="354"/>
      <c r="K18" s="353"/>
      <c r="L18" s="354"/>
      <c r="M18" s="353"/>
      <c r="N18" s="354"/>
      <c r="O18" s="667" t="str">
        <f t="shared" si="2"/>
        <v/>
      </c>
      <c r="P18" s="354"/>
      <c r="Q18" s="353"/>
      <c r="S18" s="353"/>
      <c r="T18" s="356" t="str">
        <f>IF(U18&gt;=0,U18,"")</f>
        <v/>
      </c>
      <c r="U18" s="667" t="str">
        <f t="shared" si="3"/>
        <v/>
      </c>
      <c r="W18" s="1386"/>
      <c r="Y18" s="1386"/>
      <c r="AA18" s="1386"/>
      <c r="AB18" s="348"/>
      <c r="AC18" s="2376"/>
      <c r="AD18" s="2377"/>
      <c r="AE18" s="2377"/>
      <c r="AF18" s="2377"/>
      <c r="AG18" s="2378"/>
      <c r="AH18" s="348"/>
      <c r="AI18" s="348"/>
      <c r="AJ18" s="349" t="str">
        <f>IF(CSW_FLAG="","",IF(K18="","",K18))</f>
        <v/>
      </c>
      <c r="AK18" s="349"/>
      <c r="AL18" s="349"/>
      <c r="AM18" s="1715" t="str">
        <f>IF(U18="","",IF(U18&gt;Dictionary!$I$52,1,0))</f>
        <v/>
      </c>
      <c r="AO18" s="1589" t="str">
        <f>IF('PJM-Report-Scoring'!K9="","",'PJM-Report-Scoring'!K9)</f>
        <v/>
      </c>
      <c r="AP18" s="1589">
        <f>IF('PGM-Report-Scoring'!K9="","",'PGM-Report-Scoring'!K9)</f>
        <v>0</v>
      </c>
      <c r="AQ18" s="1589">
        <f>IF('PFM-Report-Scoring'!K9="","",'PFM-Report-Scoring'!K9)</f>
        <v>0</v>
      </c>
      <c r="AR18" s="1589" t="str">
        <f>IF(DOMAIN=COV!$T$72,Scoring!AO18,IF(DOMAIN=COV!$T$73,Scoring!AP18,IF(DOMAIN=COV!$T$74,Scoring!AQ18,"")))</f>
        <v/>
      </c>
      <c r="AS18" s="1590" t="str">
        <f>IF(AR18="","",AR18)</f>
        <v/>
      </c>
    </row>
    <row r="19" spans="2:45" ht="20" customHeight="1">
      <c r="B19" s="1861" t="s">
        <v>469</v>
      </c>
      <c r="C19" s="1862">
        <f>Dictionary!X1271</f>
        <v>3</v>
      </c>
      <c r="D19" s="1863" t="str">
        <f>Dictionary!B1271</f>
        <v>Governance, Strukturen und Prozesse</v>
      </c>
      <c r="E19" s="402">
        <v>3</v>
      </c>
      <c r="F19" s="343"/>
      <c r="G19" s="405"/>
      <c r="H19" s="315"/>
      <c r="I19" s="359"/>
      <c r="J19" s="360"/>
      <c r="K19" s="358"/>
      <c r="L19" s="360"/>
      <c r="M19" s="359"/>
      <c r="N19" s="315"/>
      <c r="O19" s="359"/>
      <c r="P19" s="360"/>
      <c r="Q19" s="359"/>
      <c r="T19" s="356"/>
      <c r="U19" s="346" t="str">
        <f t="shared" si="0"/>
        <v/>
      </c>
      <c r="Y19" s="321"/>
      <c r="AA19" s="321"/>
      <c r="AB19" s="348"/>
      <c r="AC19" s="313"/>
      <c r="AD19" s="321"/>
      <c r="AE19" s="321"/>
      <c r="AF19" s="321"/>
      <c r="AG19" s="321"/>
      <c r="AH19" s="348"/>
      <c r="AI19" s="348"/>
      <c r="AJ19" s="348"/>
      <c r="AK19" s="349">
        <f>COUNTA(D20:D26)-COUNTBLANK(D20:D26)</f>
        <v>7</v>
      </c>
      <c r="AL19" s="349">
        <f>ROUNDUP(AK19/2,0)</f>
        <v>4</v>
      </c>
      <c r="AM19" s="346" t="str">
        <f>IF((COUNTBLANK(AM20:AM26)-COUNTBLANK(D20:D26))=$AK19,"",IF((COUNTIF(AM20:AM26,"&gt;=1")&gt;=AL19),"Pass","Fail"))</f>
        <v/>
      </c>
    </row>
    <row r="20" spans="2:45" ht="54.75" customHeight="1">
      <c r="B20" s="1864" t="s">
        <v>516</v>
      </c>
      <c r="C20" s="1862">
        <f>Dictionary!X1272</f>
        <v>3</v>
      </c>
      <c r="D20" s="1866" t="str">
        <f>Dictionary!B1272</f>
        <v>Die Grundlagen des Projektmanagements und deren Einführung kennen und anwenden</v>
      </c>
      <c r="E20" s="403">
        <v>3</v>
      </c>
      <c r="F20" s="352"/>
      <c r="G20" s="667" t="str">
        <f>IF('(8) Exam Evaluation'!Y20="","",'(8) Exam Evaluation'!Y20)</f>
        <v/>
      </c>
      <c r="H20" s="354"/>
      <c r="I20" s="353"/>
      <c r="J20" s="354"/>
      <c r="K20" s="353"/>
      <c r="L20" s="354"/>
      <c r="M20" s="353"/>
      <c r="N20" s="354"/>
      <c r="O20" s="667" t="str">
        <f>IF(AND(G20="",I20="",AJ20="",M20=""),"",MAX(G20,I20,AJ20,M20))</f>
        <v/>
      </c>
      <c r="P20" s="354"/>
      <c r="Q20" s="353"/>
      <c r="S20" s="353"/>
      <c r="T20" s="356" t="str">
        <f>IF(U20&gt;=0,U20,"")</f>
        <v/>
      </c>
      <c r="U20" s="667" t="str">
        <f>IF(Q20="",O20,Q20)</f>
        <v/>
      </c>
      <c r="W20" s="1386"/>
      <c r="Y20" s="1386"/>
      <c r="AA20" s="1386"/>
      <c r="AB20" s="348"/>
      <c r="AC20" s="2376"/>
      <c r="AD20" s="2377"/>
      <c r="AE20" s="2377"/>
      <c r="AF20" s="2377"/>
      <c r="AG20" s="2378"/>
      <c r="AH20" s="348"/>
      <c r="AI20" s="348"/>
      <c r="AJ20" s="349" t="str">
        <f t="shared" ref="AJ20:AJ26" si="4">IF(CSW_FLAG="","",IF(K20="","",K20))</f>
        <v/>
      </c>
      <c r="AK20" s="349"/>
      <c r="AL20" s="349"/>
      <c r="AM20" s="1715" t="str">
        <f>IF(U20="","",IF(U20&gt;Dictionary!$I$52,1,0))</f>
        <v/>
      </c>
      <c r="AO20" s="1589" t="str">
        <f>IF('PJM-Report-Scoring'!K11="","",'PJM-Report-Scoring'!K11)</f>
        <v/>
      </c>
      <c r="AP20" s="1589" t="str">
        <f>IF('PGM-Report-Scoring'!K11="","",'PGM-Report-Scoring'!K11)</f>
        <v/>
      </c>
      <c r="AQ20" s="1589" t="str">
        <f>IF('PFM-Report-Scoring'!K11="","",'PFM-Report-Scoring'!K11)</f>
        <v/>
      </c>
      <c r="AR20" s="1589" t="str">
        <f>IF(DOMAIN=COV!$T$72,Scoring!AO20,IF(DOMAIN=COV!$T$73,Scoring!AP20,IF(DOMAIN=COV!$T$74,Scoring!AQ20,"")))</f>
        <v/>
      </c>
      <c r="AS20" s="1589">
        <f t="shared" ref="AS20:AS24" si="5">IF(AR20="",AS21,AR20)</f>
        <v>0</v>
      </c>
    </row>
    <row r="21" spans="2:45" ht="54.75" customHeight="1">
      <c r="B21" s="1864" t="s">
        <v>517</v>
      </c>
      <c r="C21" s="1862">
        <f>Dictionary!X1273</f>
        <v>1</v>
      </c>
      <c r="D21" s="1866" t="str">
        <f>Dictionary!B1273</f>
        <v>Die Grundlagen des Programmmanagements und deren Einführung kennen</v>
      </c>
      <c r="E21" s="403">
        <v>2</v>
      </c>
      <c r="F21" s="352"/>
      <c r="G21" s="667" t="str">
        <f>IF('(8) Exam Evaluation'!Y21="","",'(8) Exam Evaluation'!Y21)</f>
        <v/>
      </c>
      <c r="H21" s="354"/>
      <c r="I21" s="353"/>
      <c r="J21" s="354"/>
      <c r="K21" s="353"/>
      <c r="L21" s="354"/>
      <c r="M21" s="353"/>
      <c r="N21" s="354"/>
      <c r="O21" s="667" t="str">
        <f t="shared" ref="O21:O41" si="6">IF(AND(G21="",I21="",AJ21="",M21=""),"",MAX(G21,I21,AJ21,M21))</f>
        <v/>
      </c>
      <c r="P21" s="354"/>
      <c r="Q21" s="353"/>
      <c r="S21" s="353"/>
      <c r="T21" s="356" t="str">
        <f t="shared" ref="T21:T26" si="7">IF(U21&gt;=0,U21,"")</f>
        <v/>
      </c>
      <c r="U21" s="667" t="str">
        <f t="shared" ref="U21:U26" si="8">IF(Q21="",O21,Q21)</f>
        <v/>
      </c>
      <c r="W21" s="1386"/>
      <c r="Y21" s="1386"/>
      <c r="AA21" s="1386"/>
      <c r="AB21" s="348"/>
      <c r="AC21" s="2376"/>
      <c r="AD21" s="2377"/>
      <c r="AE21" s="2377"/>
      <c r="AF21" s="2377"/>
      <c r="AG21" s="2378"/>
      <c r="AH21" s="348"/>
      <c r="AI21" s="348"/>
      <c r="AJ21" s="349" t="str">
        <f t="shared" si="4"/>
        <v/>
      </c>
      <c r="AK21" s="349"/>
      <c r="AL21" s="349"/>
      <c r="AM21" s="1715" t="str">
        <f>IF(U21="","",IF(U21&gt;Dictionary!$I$52,1,0))</f>
        <v/>
      </c>
      <c r="AO21" s="1589" t="str">
        <f>IF('PJM-Report-Scoring'!K12="","",'PJM-Report-Scoring'!K12)</f>
        <v/>
      </c>
      <c r="AP21" s="1589" t="str">
        <f>IF('PGM-Report-Scoring'!K12="","",'PGM-Report-Scoring'!K12)</f>
        <v/>
      </c>
      <c r="AQ21" s="1589" t="str">
        <f>IF('PFM-Report-Scoring'!K12="","",'PFM-Report-Scoring'!K12)</f>
        <v/>
      </c>
      <c r="AR21" s="1589" t="str">
        <f>IF(DOMAIN=COV!$T$72,Scoring!AO21,IF(DOMAIN=COV!$T$73,Scoring!AP21,IF(DOMAIN=COV!$T$74,Scoring!AQ21,"")))</f>
        <v/>
      </c>
      <c r="AS21" s="1589">
        <f t="shared" si="5"/>
        <v>0</v>
      </c>
    </row>
    <row r="22" spans="2:45" ht="54.75" customHeight="1">
      <c r="B22" s="1864" t="s">
        <v>519</v>
      </c>
      <c r="C22" s="1862">
        <f>Dictionary!X1274</f>
        <v>2</v>
      </c>
      <c r="D22" s="1866" t="str">
        <f>Dictionary!B1274</f>
        <v>Die Grundlagen des Portfoliomanagements und deren Einführung kennen</v>
      </c>
      <c r="E22" s="403">
        <v>2</v>
      </c>
      <c r="F22" s="352"/>
      <c r="G22" s="667" t="str">
        <f>IF('(8) Exam Evaluation'!Y22="","",'(8) Exam Evaluation'!Y22)</f>
        <v/>
      </c>
      <c r="H22" s="354"/>
      <c r="I22" s="353"/>
      <c r="J22" s="354"/>
      <c r="K22" s="353"/>
      <c r="L22" s="354"/>
      <c r="M22" s="353"/>
      <c r="N22" s="354"/>
      <c r="O22" s="667" t="str">
        <f t="shared" si="6"/>
        <v/>
      </c>
      <c r="P22" s="354"/>
      <c r="Q22" s="353"/>
      <c r="S22" s="353"/>
      <c r="T22" s="356" t="str">
        <f t="shared" si="7"/>
        <v/>
      </c>
      <c r="U22" s="667" t="str">
        <f t="shared" si="8"/>
        <v/>
      </c>
      <c r="W22" s="1386"/>
      <c r="Y22" s="1386"/>
      <c r="AA22" s="1386"/>
      <c r="AB22" s="348"/>
      <c r="AC22" s="2376"/>
      <c r="AD22" s="2377"/>
      <c r="AE22" s="2377"/>
      <c r="AF22" s="2377"/>
      <c r="AG22" s="2378"/>
      <c r="AH22" s="348"/>
      <c r="AI22" s="348"/>
      <c r="AJ22" s="349" t="str">
        <f t="shared" si="4"/>
        <v/>
      </c>
      <c r="AK22" s="349"/>
      <c r="AL22" s="349"/>
      <c r="AM22" s="1715" t="str">
        <f>IF(U22="","",IF(U22&gt;Dictionary!$I$52,1,0))</f>
        <v/>
      </c>
      <c r="AO22" s="1589" t="str">
        <f>IF('PJM-Report-Scoring'!K13="","",'PJM-Report-Scoring'!K13)</f>
        <v/>
      </c>
      <c r="AP22" s="1589" t="str">
        <f>IF('PGM-Report-Scoring'!K13="","",'PGM-Report-Scoring'!K13)</f>
        <v/>
      </c>
      <c r="AQ22" s="1589" t="str">
        <f>IF('PFM-Report-Scoring'!K13="","",'PFM-Report-Scoring'!K13)</f>
        <v/>
      </c>
      <c r="AR22" s="1589" t="str">
        <f>IF(DOMAIN=COV!$T$72,Scoring!AO22,IF(DOMAIN=COV!$T$73,Scoring!AP22,IF(DOMAIN=COV!$T$74,Scoring!AQ22,"")))</f>
        <v/>
      </c>
      <c r="AS22" s="1589">
        <f t="shared" si="5"/>
        <v>0</v>
      </c>
    </row>
    <row r="23" spans="2:45" ht="54.75" customHeight="1">
      <c r="B23" s="1864" t="s">
        <v>521</v>
      </c>
      <c r="C23" s="1862">
        <f>Dictionary!X1275</f>
        <v>3</v>
      </c>
      <c r="D23" s="1866" t="str">
        <f>Dictionary!B1275</f>
        <v>Das Projekt mit den Supportfunktionen in Einklang bringen</v>
      </c>
      <c r="E23" s="403">
        <v>3</v>
      </c>
      <c r="F23" s="352"/>
      <c r="G23" s="667" t="str">
        <f>IF('(8) Exam Evaluation'!Y23="","",'(8) Exam Evaluation'!Y23)</f>
        <v/>
      </c>
      <c r="H23" s="354"/>
      <c r="I23" s="353"/>
      <c r="J23" s="354"/>
      <c r="K23" s="353"/>
      <c r="L23" s="354"/>
      <c r="M23" s="353"/>
      <c r="N23" s="354"/>
      <c r="O23" s="667" t="str">
        <f t="shared" si="6"/>
        <v/>
      </c>
      <c r="P23" s="354"/>
      <c r="Q23" s="353"/>
      <c r="S23" s="353"/>
      <c r="T23" s="356" t="str">
        <f t="shared" si="7"/>
        <v/>
      </c>
      <c r="U23" s="667" t="str">
        <f t="shared" si="8"/>
        <v/>
      </c>
      <c r="W23" s="1386"/>
      <c r="Y23" s="1386"/>
      <c r="AA23" s="1386"/>
      <c r="AB23" s="348"/>
      <c r="AC23" s="2376"/>
      <c r="AD23" s="2377"/>
      <c r="AE23" s="2377"/>
      <c r="AF23" s="2377"/>
      <c r="AG23" s="2378"/>
      <c r="AH23" s="348"/>
      <c r="AI23" s="348"/>
      <c r="AJ23" s="349" t="str">
        <f t="shared" si="4"/>
        <v/>
      </c>
      <c r="AK23" s="349"/>
      <c r="AL23" s="349"/>
      <c r="AM23" s="1715" t="str">
        <f>IF(U23="","",IF(U23&gt;Dictionary!$I$52,1,0))</f>
        <v/>
      </c>
      <c r="AO23" s="1589" t="str">
        <f>IF('PJM-Report-Scoring'!K14="","",'PJM-Report-Scoring'!K14)</f>
        <v/>
      </c>
      <c r="AP23" s="1589" t="str">
        <f>IF('PGM-Report-Scoring'!K14="","",'PGM-Report-Scoring'!K14)</f>
        <v/>
      </c>
      <c r="AQ23" s="1589" t="str">
        <f>IF('PFM-Report-Scoring'!K14="","",'PFM-Report-Scoring'!K14)</f>
        <v/>
      </c>
      <c r="AR23" s="1589" t="str">
        <f>IF(DOMAIN=COV!$T$72,Scoring!AO23,IF(DOMAIN=COV!$T$73,Scoring!AP23,IF(DOMAIN=COV!$T$74,Scoring!AQ23,"")))</f>
        <v/>
      </c>
      <c r="AS23" s="1589">
        <f t="shared" si="5"/>
        <v>0</v>
      </c>
    </row>
    <row r="24" spans="2:45" ht="54.75" customHeight="1">
      <c r="B24" s="1864" t="s">
        <v>522</v>
      </c>
      <c r="C24" s="1862">
        <f>Dictionary!X1276</f>
        <v>3</v>
      </c>
      <c r="D24" s="1866" t="str">
        <f>Dictionary!B1276</f>
        <v>Das Projekt mit den Entscheidungs- und Berichterstattungsstrukturen sowie den Qualitätsanforderungen der Organisation in Einklang bringen</v>
      </c>
      <c r="E24" s="403">
        <v>3</v>
      </c>
      <c r="F24" s="352"/>
      <c r="G24" s="667" t="str">
        <f>IF('(8) Exam Evaluation'!Y24="","",'(8) Exam Evaluation'!Y24)</f>
        <v/>
      </c>
      <c r="H24" s="354"/>
      <c r="I24" s="353"/>
      <c r="J24" s="354"/>
      <c r="K24" s="353"/>
      <c r="L24" s="354"/>
      <c r="M24" s="353"/>
      <c r="N24" s="354"/>
      <c r="O24" s="667" t="str">
        <f t="shared" si="6"/>
        <v/>
      </c>
      <c r="P24" s="354"/>
      <c r="Q24" s="353"/>
      <c r="S24" s="353"/>
      <c r="T24" s="356" t="str">
        <f t="shared" si="7"/>
        <v/>
      </c>
      <c r="U24" s="667" t="str">
        <f t="shared" si="8"/>
        <v/>
      </c>
      <c r="W24" s="1386"/>
      <c r="Y24" s="1386"/>
      <c r="AA24" s="1386"/>
      <c r="AB24" s="348"/>
      <c r="AC24" s="2376"/>
      <c r="AD24" s="2377"/>
      <c r="AE24" s="2377"/>
      <c r="AF24" s="2377"/>
      <c r="AG24" s="2378"/>
      <c r="AH24" s="348"/>
      <c r="AI24" s="348"/>
      <c r="AJ24" s="349" t="str">
        <f t="shared" si="4"/>
        <v/>
      </c>
      <c r="AK24" s="349"/>
      <c r="AL24" s="349"/>
      <c r="AM24" s="1715" t="str">
        <f>IF(U24="","",IF(U24&gt;Dictionary!$I$52,1,0))</f>
        <v/>
      </c>
      <c r="AO24" s="1589" t="str">
        <f>IF('PJM-Report-Scoring'!K15="","",'PJM-Report-Scoring'!K15)</f>
        <v/>
      </c>
      <c r="AP24" s="1589" t="str">
        <f>IF('PGM-Report-Scoring'!K15="","",'PGM-Report-Scoring'!K15)</f>
        <v/>
      </c>
      <c r="AQ24" s="1589">
        <f>IF('PFM-Report-Scoring'!K15="","",'PFM-Report-Scoring'!K15)</f>
        <v>0</v>
      </c>
      <c r="AR24" s="1589" t="str">
        <f>IF(DOMAIN=COV!$T$72,Scoring!AO24,IF(DOMAIN=COV!$T$73,Scoring!AP24,IF(DOMAIN=COV!$T$74,Scoring!AQ24,"")))</f>
        <v/>
      </c>
      <c r="AS24" s="1589">
        <f t="shared" si="5"/>
        <v>0</v>
      </c>
    </row>
    <row r="25" spans="2:45" ht="54.75" customHeight="1">
      <c r="B25" s="1864" t="s">
        <v>523</v>
      </c>
      <c r="C25" s="1862">
        <f>Dictionary!X1277</f>
        <v>2</v>
      </c>
      <c r="D25" s="1866" t="str">
        <f>Dictionary!B1277</f>
        <v>Das Projekt mit den Prozessen und Funktionen des HR (Personalwesens) in Einklang bringen</v>
      </c>
      <c r="E25" s="403">
        <v>2</v>
      </c>
      <c r="F25" s="352"/>
      <c r="G25" s="667" t="str">
        <f>IF('(8) Exam Evaluation'!Y25="","",'(8) Exam Evaluation'!Y25)</f>
        <v/>
      </c>
      <c r="H25" s="354"/>
      <c r="I25" s="353"/>
      <c r="J25" s="354"/>
      <c r="K25" s="353"/>
      <c r="L25" s="354"/>
      <c r="M25" s="353"/>
      <c r="N25" s="354"/>
      <c r="O25" s="667" t="str">
        <f t="shared" si="6"/>
        <v/>
      </c>
      <c r="P25" s="354"/>
      <c r="Q25" s="353"/>
      <c r="S25" s="353"/>
      <c r="T25" s="356" t="str">
        <f>IF(U25&gt;=0,U25,"")</f>
        <v/>
      </c>
      <c r="U25" s="667" t="str">
        <f t="shared" si="8"/>
        <v/>
      </c>
      <c r="W25" s="1386"/>
      <c r="Y25" s="1386"/>
      <c r="AA25" s="1386"/>
      <c r="AB25" s="348"/>
      <c r="AC25" s="2376"/>
      <c r="AD25" s="2377"/>
      <c r="AE25" s="2377"/>
      <c r="AF25" s="2377"/>
      <c r="AG25" s="2378"/>
      <c r="AH25" s="348"/>
      <c r="AI25" s="348"/>
      <c r="AJ25" s="349" t="str">
        <f t="shared" si="4"/>
        <v/>
      </c>
      <c r="AK25" s="349"/>
      <c r="AL25" s="349"/>
      <c r="AM25" s="1715" t="str">
        <f>IF(U25="","",IF(U25&gt;Dictionary!$I$52,1,0))</f>
        <v/>
      </c>
      <c r="AO25" s="1589" t="str">
        <f>IF('PJM-Report-Scoring'!K16="","",'PJM-Report-Scoring'!K16)</f>
        <v/>
      </c>
      <c r="AP25" s="1589" t="str">
        <f>IF('PGM-Report-Scoring'!K16="","",'PGM-Report-Scoring'!K16)</f>
        <v/>
      </c>
      <c r="AQ25" s="1589" t="str">
        <f>IF('PFM-Report-Scoring'!K16="","",'PFM-Report-Scoring'!K16)</f>
        <v/>
      </c>
      <c r="AR25" s="1589" t="str">
        <f>IF(DOMAIN=COV!$T$72,Scoring!AO25,IF(DOMAIN=COV!$T$73,Scoring!AP25,IF(DOMAIN=COV!$T$74,Scoring!AQ25,"")))</f>
        <v/>
      </c>
      <c r="AS25" s="1589">
        <f>IF(AR25="",AS26,AR25)</f>
        <v>0</v>
      </c>
    </row>
    <row r="26" spans="2:45" ht="54.75" customHeight="1">
      <c r="B26" s="1864" t="s">
        <v>524</v>
      </c>
      <c r="C26" s="1862">
        <f>Dictionary!X1278</f>
        <v>3</v>
      </c>
      <c r="D26" s="1866" t="str">
        <f>Dictionary!B1278</f>
        <v>Das Projekt mit den Finanz- und Controlling-Prozessen in Einklang bringen</v>
      </c>
      <c r="E26" s="403">
        <v>3</v>
      </c>
      <c r="F26" s="352"/>
      <c r="G26" s="667" t="str">
        <f>IF('(8) Exam Evaluation'!Y26="","",'(8) Exam Evaluation'!Y26)</f>
        <v/>
      </c>
      <c r="H26" s="354"/>
      <c r="I26" s="353"/>
      <c r="J26" s="354"/>
      <c r="K26" s="353"/>
      <c r="L26" s="354"/>
      <c r="M26" s="353"/>
      <c r="N26" s="354"/>
      <c r="O26" s="667" t="str">
        <f t="shared" si="6"/>
        <v/>
      </c>
      <c r="P26" s="354"/>
      <c r="Q26" s="353"/>
      <c r="S26" s="353"/>
      <c r="T26" s="356" t="str">
        <f t="shared" si="7"/>
        <v/>
      </c>
      <c r="U26" s="667" t="str">
        <f t="shared" si="8"/>
        <v/>
      </c>
      <c r="W26" s="1386"/>
      <c r="Y26" s="1386"/>
      <c r="AA26" s="1386"/>
      <c r="AB26" s="348"/>
      <c r="AC26" s="2376"/>
      <c r="AD26" s="2377"/>
      <c r="AE26" s="2377"/>
      <c r="AF26" s="2377"/>
      <c r="AG26" s="2378"/>
      <c r="AH26" s="348"/>
      <c r="AI26" s="348"/>
      <c r="AJ26" s="349" t="str">
        <f t="shared" si="4"/>
        <v/>
      </c>
      <c r="AK26" s="349"/>
      <c r="AL26" s="349"/>
      <c r="AM26" s="1715" t="str">
        <f>IF(U26="","",IF(U26&gt;Dictionary!$I$52,1,0))</f>
        <v/>
      </c>
      <c r="AO26" s="1589">
        <f>IF('PJM-Report-Scoring'!K17="","",'PJM-Report-Scoring'!K17)</f>
        <v>0</v>
      </c>
      <c r="AP26" s="1589">
        <f>IF('PGM-Report-Scoring'!K17="","",'PGM-Report-Scoring'!K17)</f>
        <v>0</v>
      </c>
      <c r="AQ26" s="1589" t="str">
        <f>IF('PFM-Report-Scoring'!K17="","",'PFM-Report-Scoring'!K17)</f>
        <v/>
      </c>
      <c r="AR26" s="1589">
        <f>IF(DOMAIN=COV!$T$72,Scoring!AO26,IF(DOMAIN=COV!$T$73,Scoring!AP26,IF(DOMAIN=COV!$T$74,Scoring!AQ26,"")))</f>
        <v>0</v>
      </c>
      <c r="AS26" s="1590">
        <f>IF(AR26="","",AR26)</f>
        <v>0</v>
      </c>
    </row>
    <row r="27" spans="2:45" ht="20" customHeight="1">
      <c r="B27" s="1861" t="s">
        <v>463</v>
      </c>
      <c r="C27" s="1862">
        <f>Dictionary!X1280</f>
        <v>2</v>
      </c>
      <c r="D27" s="1863" t="str">
        <f>Dictionary!B1280</f>
        <v>Compliance, Standards und Regularien</v>
      </c>
      <c r="E27" s="402">
        <v>2</v>
      </c>
      <c r="F27" s="343"/>
      <c r="G27" s="405"/>
      <c r="H27" s="315"/>
      <c r="I27" s="359"/>
      <c r="J27" s="360"/>
      <c r="K27" s="358"/>
      <c r="L27" s="360"/>
      <c r="M27" s="359"/>
      <c r="N27" s="315"/>
      <c r="O27" s="315"/>
      <c r="P27" s="315"/>
      <c r="Q27" s="359"/>
      <c r="S27" s="359"/>
      <c r="T27" s="356"/>
      <c r="U27" s="346" t="str">
        <f t="shared" si="0"/>
        <v/>
      </c>
      <c r="Y27" s="321"/>
      <c r="AA27" s="321"/>
      <c r="AB27" s="348"/>
      <c r="AC27" s="313"/>
      <c r="AD27" s="321"/>
      <c r="AE27" s="321"/>
      <c r="AF27" s="321"/>
      <c r="AG27" s="321"/>
      <c r="AH27" s="348"/>
      <c r="AI27" s="348"/>
      <c r="AJ27" s="348"/>
      <c r="AK27" s="349">
        <v>6</v>
      </c>
      <c r="AL27" s="349">
        <f>ROUNDUP(AK27/2,0)</f>
        <v>3</v>
      </c>
      <c r="AM27" s="346" t="str">
        <f>IF(COUNTBLANK(AM28:AM33)=$AK27,"",IF((COUNTIF(AM28:AM33,"&gt;=1")&gt;=AL27),"Pass","Fail"))</f>
        <v/>
      </c>
    </row>
    <row r="28" spans="2:45" ht="54.75" customHeight="1">
      <c r="B28" s="1864" t="str">
        <f>".1"</f>
        <v>.1</v>
      </c>
      <c r="C28" s="1862">
        <f>Dictionary!X1281</f>
        <v>2</v>
      </c>
      <c r="D28" s="1866" t="str">
        <f>Dictionary!B1281</f>
        <v>Die für das Projekt und dessen Komponenten gültigen Rechtsvorschriften identifizieren und einhalten</v>
      </c>
      <c r="E28" s="403">
        <v>2</v>
      </c>
      <c r="F28" s="352"/>
      <c r="G28" s="667" t="str">
        <f>IF('(8) Exam Evaluation'!Y28="","",'(8) Exam Evaluation'!Y28)</f>
        <v/>
      </c>
      <c r="H28" s="354"/>
      <c r="I28" s="353"/>
      <c r="J28" s="354"/>
      <c r="K28" s="353"/>
      <c r="L28" s="354"/>
      <c r="M28" s="353"/>
      <c r="N28" s="354"/>
      <c r="O28" s="667" t="str">
        <f t="shared" si="6"/>
        <v/>
      </c>
      <c r="P28" s="354"/>
      <c r="Q28" s="353"/>
      <c r="S28" s="353"/>
      <c r="T28" s="356" t="str">
        <f t="shared" ref="T28:T33" si="9">IF(U28&gt;=0,U28,"")</f>
        <v/>
      </c>
      <c r="U28" s="667" t="str">
        <f>IF(Q28="",O28,Q28)</f>
        <v/>
      </c>
      <c r="W28" s="1386"/>
      <c r="Y28" s="1386"/>
      <c r="AA28" s="1386"/>
      <c r="AB28" s="348"/>
      <c r="AC28" s="2376"/>
      <c r="AD28" s="2377"/>
      <c r="AE28" s="2377"/>
      <c r="AF28" s="2377"/>
      <c r="AG28" s="2378"/>
      <c r="AH28" s="348"/>
      <c r="AI28" s="348"/>
      <c r="AJ28" s="349" t="str">
        <f t="shared" ref="AJ28:AJ33" si="10">IF(CSW_FLAG="","",IF(K28="","",K28))</f>
        <v/>
      </c>
      <c r="AK28" s="349"/>
      <c r="AL28" s="349"/>
      <c r="AM28" s="1715" t="str">
        <f>IF(U28="","",IF(U28&gt;Dictionary!$I$52,1,0))</f>
        <v/>
      </c>
      <c r="AO28" s="1589" t="str">
        <f>IF('PJM-Report-Scoring'!K19="","",'PJM-Report-Scoring'!K19)</f>
        <v/>
      </c>
      <c r="AP28" s="1589" t="str">
        <f>IF('PGM-Report-Scoring'!K19="","",'PGM-Report-Scoring'!K19)</f>
        <v/>
      </c>
      <c r="AQ28" s="1589" t="str">
        <f>IF('PFM-Report-Scoring'!K19="","",'PFM-Report-Scoring'!K19)</f>
        <v/>
      </c>
      <c r="AR28" s="1589" t="str">
        <f>IF(DOMAIN=COV!$T$72,Scoring!AO28,IF(DOMAIN=COV!$T$73,Scoring!AP28,IF(DOMAIN=COV!$T$74,Scoring!AQ28,"")))</f>
        <v/>
      </c>
      <c r="AS28" s="1589">
        <f t="shared" ref="AS28:AS31" si="11">IF(AR28="",AS29,AR28)</f>
        <v>0</v>
      </c>
    </row>
    <row r="29" spans="2:45" ht="54.75" customHeight="1">
      <c r="B29" s="1864" t="str">
        <f>".2"</f>
        <v>.2</v>
      </c>
      <c r="C29" s="1862">
        <f>Dictionary!X1282</f>
        <v>2</v>
      </c>
      <c r="D29" s="1866" t="str">
        <f>Dictionary!B1282</f>
        <v>Alle für das Projekt relevanten Vorschriften für Sicherheit, Gesundheit, und Umweltschutz (SGU) identifizieren und einhalten</v>
      </c>
      <c r="E29" s="403">
        <v>2</v>
      </c>
      <c r="F29" s="352"/>
      <c r="G29" s="667" t="str">
        <f>IF('(8) Exam Evaluation'!Y29="","",'(8) Exam Evaluation'!Y29)</f>
        <v/>
      </c>
      <c r="H29" s="354"/>
      <c r="I29" s="353"/>
      <c r="J29" s="354"/>
      <c r="K29" s="353"/>
      <c r="L29" s="354"/>
      <c r="M29" s="353"/>
      <c r="N29" s="354"/>
      <c r="O29" s="667" t="str">
        <f t="shared" si="6"/>
        <v/>
      </c>
      <c r="P29" s="354"/>
      <c r="Q29" s="353"/>
      <c r="S29" s="353"/>
      <c r="T29" s="356" t="str">
        <f t="shared" si="9"/>
        <v/>
      </c>
      <c r="U29" s="667" t="str">
        <f t="shared" ref="U29:U33" si="12">IF(Q29="",O29,Q29)</f>
        <v/>
      </c>
      <c r="W29" s="1386"/>
      <c r="Y29" s="1386"/>
      <c r="AA29" s="1386"/>
      <c r="AB29" s="348"/>
      <c r="AC29" s="2376"/>
      <c r="AD29" s="2377"/>
      <c r="AE29" s="2377"/>
      <c r="AF29" s="2377"/>
      <c r="AG29" s="2378"/>
      <c r="AH29" s="348"/>
      <c r="AI29" s="348"/>
      <c r="AJ29" s="349" t="str">
        <f t="shared" si="10"/>
        <v/>
      </c>
      <c r="AK29" s="349"/>
      <c r="AL29" s="349"/>
      <c r="AM29" s="1715" t="str">
        <f>IF(U29="","",IF(U29&gt;Dictionary!$I$52,1,0))</f>
        <v/>
      </c>
      <c r="AO29" s="1589" t="str">
        <f>IF('PJM-Report-Scoring'!K20="","",'PJM-Report-Scoring'!K20)</f>
        <v/>
      </c>
      <c r="AP29" s="1589" t="str">
        <f>IF('PGM-Report-Scoring'!K20="","",'PGM-Report-Scoring'!K20)</f>
        <v/>
      </c>
      <c r="AQ29" s="1589" t="str">
        <f>IF('PFM-Report-Scoring'!K20="","",'PFM-Report-Scoring'!K20)</f>
        <v/>
      </c>
      <c r="AR29" s="1589" t="str">
        <f>IF(DOMAIN=COV!$T$72,Scoring!AO29,IF(DOMAIN=COV!$T$73,Scoring!AP29,IF(DOMAIN=COV!$T$74,Scoring!AQ29,"")))</f>
        <v/>
      </c>
      <c r="AS29" s="1589">
        <f t="shared" si="11"/>
        <v>0</v>
      </c>
    </row>
    <row r="30" spans="2:45" ht="54.75" customHeight="1">
      <c r="B30" s="1864" t="str">
        <f>".3"</f>
        <v>.3</v>
      </c>
      <c r="C30" s="1862">
        <f>Dictionary!X1283</f>
        <v>2</v>
      </c>
      <c r="D30" s="1866" t="str">
        <f>Dictionary!B1283</f>
        <v>Alle für das Projekt relevanten Verhaltensregeln und Berufsvorschriften identifizieren und einhalten</v>
      </c>
      <c r="E30" s="403">
        <v>2</v>
      </c>
      <c r="F30" s="352"/>
      <c r="G30" s="667" t="str">
        <f>IF('(8) Exam Evaluation'!Y30="","",'(8) Exam Evaluation'!Y30)</f>
        <v/>
      </c>
      <c r="H30" s="354"/>
      <c r="I30" s="353"/>
      <c r="J30" s="354"/>
      <c r="K30" s="353"/>
      <c r="L30" s="354"/>
      <c r="M30" s="353"/>
      <c r="N30" s="354"/>
      <c r="O30" s="667" t="str">
        <f t="shared" si="6"/>
        <v/>
      </c>
      <c r="P30" s="354"/>
      <c r="Q30" s="353"/>
      <c r="S30" s="353"/>
      <c r="T30" s="356" t="str">
        <f t="shared" si="9"/>
        <v/>
      </c>
      <c r="U30" s="667" t="str">
        <f t="shared" si="12"/>
        <v/>
      </c>
      <c r="W30" s="1386"/>
      <c r="Y30" s="1386"/>
      <c r="AA30" s="1386"/>
      <c r="AB30" s="348"/>
      <c r="AC30" s="2376"/>
      <c r="AD30" s="2377"/>
      <c r="AE30" s="2377"/>
      <c r="AF30" s="2377"/>
      <c r="AG30" s="2378"/>
      <c r="AH30" s="348"/>
      <c r="AI30" s="348"/>
      <c r="AJ30" s="349" t="str">
        <f t="shared" si="10"/>
        <v/>
      </c>
      <c r="AK30" s="349"/>
      <c r="AL30" s="349"/>
      <c r="AM30" s="1715" t="str">
        <f>IF(U30="","",IF(U30&gt;Dictionary!$I$52,1,0))</f>
        <v/>
      </c>
      <c r="AO30" s="1589" t="str">
        <f>IF('PJM-Report-Scoring'!K21="","",'PJM-Report-Scoring'!K21)</f>
        <v/>
      </c>
      <c r="AP30" s="1589" t="str">
        <f>IF('PGM-Report-Scoring'!K21="","",'PGM-Report-Scoring'!K21)</f>
        <v/>
      </c>
      <c r="AQ30" s="1589" t="str">
        <f>IF('PFM-Report-Scoring'!K21="","",'PFM-Report-Scoring'!K21)</f>
        <v/>
      </c>
      <c r="AR30" s="1589" t="str">
        <f>IF(DOMAIN=COV!$T$72,Scoring!AO30,IF(DOMAIN=COV!$T$73,Scoring!AP30,IF(DOMAIN=COV!$T$74,Scoring!AQ30,"")))</f>
        <v/>
      </c>
      <c r="AS30" s="1589">
        <f t="shared" si="11"/>
        <v>0</v>
      </c>
    </row>
    <row r="31" spans="2:45" ht="54.75" customHeight="1">
      <c r="B31" s="1864" t="str">
        <f>".4"</f>
        <v>.4</v>
      </c>
      <c r="C31" s="1862">
        <f>Dictionary!X1284</f>
        <v>2</v>
      </c>
      <c r="D31" s="1866" t="str">
        <f>Dictionary!B1284</f>
        <v>Für das Projekt relevante Prinzipien und Ziele der Nachhaltigkeit identifizieren und einhalten</v>
      </c>
      <c r="E31" s="403">
        <v>2</v>
      </c>
      <c r="F31" s="352"/>
      <c r="G31" s="667" t="str">
        <f>IF('(8) Exam Evaluation'!Y31="","",'(8) Exam Evaluation'!Y31)</f>
        <v/>
      </c>
      <c r="H31" s="354"/>
      <c r="I31" s="353"/>
      <c r="J31" s="354"/>
      <c r="K31" s="353"/>
      <c r="L31" s="354"/>
      <c r="M31" s="353"/>
      <c r="N31" s="354"/>
      <c r="O31" s="667" t="str">
        <f t="shared" si="6"/>
        <v/>
      </c>
      <c r="P31" s="354"/>
      <c r="Q31" s="353"/>
      <c r="S31" s="353"/>
      <c r="T31" s="356" t="str">
        <f t="shared" si="9"/>
        <v/>
      </c>
      <c r="U31" s="667" t="str">
        <f t="shared" si="12"/>
        <v/>
      </c>
      <c r="W31" s="1386"/>
      <c r="Y31" s="1386"/>
      <c r="AA31" s="1386"/>
      <c r="AB31" s="348"/>
      <c r="AC31" s="2376"/>
      <c r="AD31" s="2377"/>
      <c r="AE31" s="2377"/>
      <c r="AF31" s="2377"/>
      <c r="AG31" s="2378"/>
      <c r="AH31" s="348"/>
      <c r="AI31" s="348"/>
      <c r="AJ31" s="349" t="str">
        <f t="shared" si="10"/>
        <v/>
      </c>
      <c r="AK31" s="349"/>
      <c r="AL31" s="349"/>
      <c r="AM31" s="1715" t="str">
        <f>IF(U31="","",IF(U31&gt;Dictionary!$I$52,1,0))</f>
        <v/>
      </c>
      <c r="AO31" s="1589" t="str">
        <f>IF('PJM-Report-Scoring'!K22="","",'PJM-Report-Scoring'!K22)</f>
        <v/>
      </c>
      <c r="AP31" s="1589" t="str">
        <f>IF('PGM-Report-Scoring'!K22="","",'PGM-Report-Scoring'!K22)</f>
        <v/>
      </c>
      <c r="AQ31" s="1589" t="str">
        <f>IF('PFM-Report-Scoring'!K22="","",'PFM-Report-Scoring'!K22)</f>
        <v/>
      </c>
      <c r="AR31" s="1589" t="str">
        <f>IF(DOMAIN=COV!$T$72,Scoring!AO31,IF(DOMAIN=COV!$T$73,Scoring!AP31,IF(DOMAIN=COV!$T$74,Scoring!AQ31,"")))</f>
        <v/>
      </c>
      <c r="AS31" s="1589">
        <f t="shared" si="11"/>
        <v>0</v>
      </c>
    </row>
    <row r="32" spans="2:45" ht="54.75" customHeight="1">
      <c r="B32" s="1864" t="str">
        <f>".5"</f>
        <v>.5</v>
      </c>
      <c r="C32" s="1862">
        <f>Dictionary!X1285</f>
        <v>1</v>
      </c>
      <c r="D32" s="1866" t="str">
        <f>Dictionary!B1285</f>
        <v>Für das Projekt relevante fachliche Standards und Tools beurteilen, nutzen und weiterentwickeln</v>
      </c>
      <c r="E32" s="403">
        <v>2</v>
      </c>
      <c r="F32" s="352"/>
      <c r="G32" s="667" t="str">
        <f>IF('(8) Exam Evaluation'!Y32="","",'(8) Exam Evaluation'!Y32)</f>
        <v/>
      </c>
      <c r="H32" s="354"/>
      <c r="I32" s="353"/>
      <c r="J32" s="354"/>
      <c r="K32" s="353"/>
      <c r="L32" s="354"/>
      <c r="M32" s="353"/>
      <c r="N32" s="354"/>
      <c r="O32" s="667" t="str">
        <f t="shared" si="6"/>
        <v/>
      </c>
      <c r="P32" s="354"/>
      <c r="Q32" s="353"/>
      <c r="S32" s="353"/>
      <c r="T32" s="356" t="str">
        <f t="shared" si="9"/>
        <v/>
      </c>
      <c r="U32" s="667" t="str">
        <f t="shared" si="12"/>
        <v/>
      </c>
      <c r="W32" s="1386"/>
      <c r="Y32" s="1386"/>
      <c r="AA32" s="1386"/>
      <c r="AB32" s="348"/>
      <c r="AC32" s="2376"/>
      <c r="AD32" s="2377"/>
      <c r="AE32" s="2377"/>
      <c r="AF32" s="2377"/>
      <c r="AG32" s="2378"/>
      <c r="AH32" s="348"/>
      <c r="AI32" s="348"/>
      <c r="AJ32" s="349" t="str">
        <f t="shared" si="10"/>
        <v/>
      </c>
      <c r="AK32" s="349"/>
      <c r="AL32" s="349"/>
      <c r="AM32" s="1715" t="str">
        <f>IF(U32="","",IF(U32&gt;Dictionary!$I$52,1,0))</f>
        <v/>
      </c>
      <c r="AO32" s="1589" t="str">
        <f>IF('PJM-Report-Scoring'!K23="","",'PJM-Report-Scoring'!K23)</f>
        <v/>
      </c>
      <c r="AP32" s="1589" t="str">
        <f>IF('PGM-Report-Scoring'!K23="","",'PGM-Report-Scoring'!K23)</f>
        <v/>
      </c>
      <c r="AQ32" s="1589" t="str">
        <f>IF('PFM-Report-Scoring'!K23="","",'PFM-Report-Scoring'!K23)</f>
        <v/>
      </c>
      <c r="AR32" s="1589" t="str">
        <f>IF(DOMAIN=COV!$T$72,Scoring!AO32,IF(DOMAIN=COV!$T$73,Scoring!AP32,IF(DOMAIN=COV!$T$74,Scoring!AQ32,"")))</f>
        <v/>
      </c>
      <c r="AS32" s="1589">
        <f>IF(AR32="",AS33,AR32)</f>
        <v>0</v>
      </c>
    </row>
    <row r="33" spans="2:45" ht="54.75" customHeight="1">
      <c r="B33" s="1864" t="str">
        <f>".6"</f>
        <v>.6</v>
      </c>
      <c r="C33" s="1862">
        <f>Dictionary!X1286</f>
        <v>2</v>
      </c>
      <c r="D33" s="1866" t="str">
        <f>Dictionary!B1286</f>
        <v>Die Projektmanagementkompetenz der Organisation beurteilen, vergleichen und verbessern</v>
      </c>
      <c r="E33" s="403">
        <v>2</v>
      </c>
      <c r="F33" s="352"/>
      <c r="G33" s="667" t="str">
        <f>IF('(8) Exam Evaluation'!Y33="","",'(8) Exam Evaluation'!Y33)</f>
        <v/>
      </c>
      <c r="H33" s="354"/>
      <c r="I33" s="353"/>
      <c r="J33" s="354"/>
      <c r="K33" s="353"/>
      <c r="L33" s="354"/>
      <c r="M33" s="353"/>
      <c r="N33" s="354"/>
      <c r="O33" s="667" t="str">
        <f t="shared" si="6"/>
        <v/>
      </c>
      <c r="P33" s="354"/>
      <c r="Q33" s="353"/>
      <c r="S33" s="353"/>
      <c r="T33" s="356" t="str">
        <f t="shared" si="9"/>
        <v/>
      </c>
      <c r="U33" s="667" t="str">
        <f t="shared" si="12"/>
        <v/>
      </c>
      <c r="W33" s="1386"/>
      <c r="Y33" s="1386"/>
      <c r="AA33" s="1386"/>
      <c r="AB33" s="348"/>
      <c r="AC33" s="2376"/>
      <c r="AD33" s="2377"/>
      <c r="AE33" s="2377"/>
      <c r="AF33" s="2377"/>
      <c r="AG33" s="2378"/>
      <c r="AH33" s="348"/>
      <c r="AI33" s="348"/>
      <c r="AJ33" s="349" t="str">
        <f t="shared" si="10"/>
        <v/>
      </c>
      <c r="AK33" s="349"/>
      <c r="AL33" s="349"/>
      <c r="AM33" s="1715" t="str">
        <f>IF(U33="","",IF(U33&gt;Dictionary!$I$52,1,0))</f>
        <v/>
      </c>
      <c r="AO33" s="1589">
        <f>IF('PJM-Report-Scoring'!K24="","",'PJM-Report-Scoring'!K24)</f>
        <v>0</v>
      </c>
      <c r="AP33" s="1589">
        <f>IF('PGM-Report-Scoring'!K24="","",'PGM-Report-Scoring'!K24)</f>
        <v>0</v>
      </c>
      <c r="AQ33" s="1589">
        <f>IF('PFM-Report-Scoring'!K24="","",'PFM-Report-Scoring'!K24)</f>
        <v>0</v>
      </c>
      <c r="AR33" s="1589">
        <f>IF(DOMAIN=COV!$T$72,Scoring!AO33,IF(DOMAIN=COV!$T$73,Scoring!AP33,IF(DOMAIN=COV!$T$74,Scoring!AQ33,"")))</f>
        <v>0</v>
      </c>
      <c r="AS33" s="1590">
        <f>IF(AR33="","",AR33)</f>
        <v>0</v>
      </c>
    </row>
    <row r="34" spans="2:45" ht="20" customHeight="1">
      <c r="B34" s="1861" t="s">
        <v>456</v>
      </c>
      <c r="C34" s="1862">
        <f>Dictionary!X1289</f>
        <v>3</v>
      </c>
      <c r="D34" s="1863" t="str">
        <f>Dictionary!B1289</f>
        <v>Macht und Interessen</v>
      </c>
      <c r="E34" s="402">
        <v>3</v>
      </c>
      <c r="F34" s="343"/>
      <c r="G34" s="405"/>
      <c r="H34" s="315"/>
      <c r="I34" s="359"/>
      <c r="J34" s="360"/>
      <c r="K34" s="358"/>
      <c r="L34" s="360"/>
      <c r="M34" s="359"/>
      <c r="N34" s="315"/>
      <c r="O34" s="315"/>
      <c r="P34" s="315"/>
      <c r="Q34" s="359"/>
      <c r="S34" s="359"/>
      <c r="T34" s="356"/>
      <c r="U34" s="346" t="str">
        <f t="shared" si="0"/>
        <v/>
      </c>
      <c r="Y34" s="321"/>
      <c r="AA34" s="321"/>
      <c r="AB34" s="348"/>
      <c r="AC34" s="313"/>
      <c r="AD34" s="321"/>
      <c r="AE34" s="321"/>
      <c r="AF34" s="321"/>
      <c r="AG34" s="321"/>
      <c r="AH34" s="348"/>
      <c r="AI34" s="348"/>
      <c r="AJ34" s="348"/>
      <c r="AK34" s="349">
        <v>3</v>
      </c>
      <c r="AL34" s="349">
        <f>ROUNDUP(AK34/2,0)</f>
        <v>2</v>
      </c>
      <c r="AM34" s="346" t="str">
        <f>IF(COUNTBLANK(AM35:AM37)=$AK34,"",IF((COUNTIF(AM35:AM37,"&gt;=1")&gt;=AL34),"Pass","Fail"))</f>
        <v/>
      </c>
    </row>
    <row r="35" spans="2:45" ht="54.75" customHeight="1">
      <c r="B35" s="1864" t="str">
        <f>".1"</f>
        <v>.1</v>
      </c>
      <c r="C35" s="1862">
        <f>Dictionary!X1290</f>
        <v>3</v>
      </c>
      <c r="D35" s="1866" t="str">
        <f>Dictionary!B1290</f>
        <v>Persönliche Ambitionen und Interessen Dritter und deren potenzielle Auswirkungen auf das Projekt beurteilen sowie diese Kenntnisse zum Nutzen des Projekts einsetzen</v>
      </c>
      <c r="E35" s="403">
        <v>3</v>
      </c>
      <c r="F35" s="352"/>
      <c r="G35" s="667" t="str">
        <f>IF('(8) Exam Evaluation'!Y35="","",'(8) Exam Evaluation'!Y35)</f>
        <v/>
      </c>
      <c r="H35" s="354"/>
      <c r="I35" s="353"/>
      <c r="J35" s="354"/>
      <c r="K35" s="353"/>
      <c r="L35" s="354"/>
      <c r="M35" s="353"/>
      <c r="N35" s="354"/>
      <c r="O35" s="667" t="str">
        <f t="shared" si="6"/>
        <v/>
      </c>
      <c r="P35" s="354"/>
      <c r="Q35" s="353"/>
      <c r="S35" s="353"/>
      <c r="T35" s="356" t="str">
        <f>IF(U35&gt;=0,U35,"")</f>
        <v/>
      </c>
      <c r="U35" s="667" t="str">
        <f>IF(Q35="",O35,Q35)</f>
        <v/>
      </c>
      <c r="W35" s="1386"/>
      <c r="Y35" s="1386"/>
      <c r="AA35" s="1386"/>
      <c r="AB35" s="348"/>
      <c r="AC35" s="2376"/>
      <c r="AD35" s="2377"/>
      <c r="AE35" s="2377"/>
      <c r="AF35" s="2377"/>
      <c r="AG35" s="2378"/>
      <c r="AH35" s="348"/>
      <c r="AI35" s="348"/>
      <c r="AJ35" s="349" t="str">
        <f>IF(CSW_FLAG="","",IF(K35="","",K35))</f>
        <v/>
      </c>
      <c r="AK35" s="349"/>
      <c r="AL35" s="349"/>
      <c r="AM35" s="1715" t="str">
        <f>IF(U35="","",IF(U35&gt;Dictionary!$I$52,1,0))</f>
        <v/>
      </c>
      <c r="AO35" s="1589" t="str">
        <f>IF('PJM-Report-Scoring'!K26="","",'PJM-Report-Scoring'!K26)</f>
        <v/>
      </c>
      <c r="AP35" s="1589" t="str">
        <f>IF('PGM-Report-Scoring'!K26="","",'PGM-Report-Scoring'!K26)</f>
        <v/>
      </c>
      <c r="AQ35" s="1589" t="str">
        <f>IF('PFM-Report-Scoring'!K26="","",'PFM-Report-Scoring'!K26)</f>
        <v/>
      </c>
      <c r="AR35" s="1589" t="str">
        <f>IF(DOMAIN=COV!$T$72,Scoring!AO35,IF(DOMAIN=COV!$T$73,Scoring!AP35,IF(DOMAIN=COV!$T$74,Scoring!AQ35,"")))</f>
        <v/>
      </c>
      <c r="AS35" s="1589">
        <f>IF(AR35="",AS36,AR35)</f>
        <v>0</v>
      </c>
    </row>
    <row r="36" spans="2:45" ht="54.75" customHeight="1">
      <c r="B36" s="1864" t="str">
        <f>".2"</f>
        <v>.2</v>
      </c>
      <c r="C36" s="1862">
        <f>Dictionary!X1291</f>
        <v>3</v>
      </c>
      <c r="D36" s="1866" t="str">
        <f>Dictionary!B1291</f>
        <v>Informellen Einfluss von Einzelpersonen und Personengruppen und deren potenzielle Auswirkungen auf das Projekt beurteilen sowie diese Kenntnisse zum Nutzen des Projekts verwenden</v>
      </c>
      <c r="E36" s="403">
        <v>3</v>
      </c>
      <c r="F36" s="352"/>
      <c r="G36" s="667" t="str">
        <f>IF('(8) Exam Evaluation'!Y36="","",'(8) Exam Evaluation'!Y36)</f>
        <v/>
      </c>
      <c r="H36" s="354"/>
      <c r="I36" s="353"/>
      <c r="J36" s="354"/>
      <c r="K36" s="353"/>
      <c r="L36" s="354"/>
      <c r="M36" s="353"/>
      <c r="N36" s="354"/>
      <c r="O36" s="667" t="str">
        <f t="shared" si="6"/>
        <v/>
      </c>
      <c r="P36" s="354"/>
      <c r="Q36" s="353"/>
      <c r="S36" s="353"/>
      <c r="T36" s="356" t="str">
        <f>IF(U36&gt;=0,U36,"")</f>
        <v/>
      </c>
      <c r="U36" s="667" t="str">
        <f t="shared" ref="U36:U37" si="13">IF(Q36="",O36,Q36)</f>
        <v/>
      </c>
      <c r="W36" s="1386"/>
      <c r="Y36" s="1386"/>
      <c r="AA36" s="1386"/>
      <c r="AB36" s="348"/>
      <c r="AC36" s="2376"/>
      <c r="AD36" s="2377"/>
      <c r="AE36" s="2377"/>
      <c r="AF36" s="2377"/>
      <c r="AG36" s="2378"/>
      <c r="AH36" s="348"/>
      <c r="AI36" s="348"/>
      <c r="AJ36" s="349" t="str">
        <f>IF(CSW_FLAG="","",IF(K36="","",K36))</f>
        <v/>
      </c>
      <c r="AK36" s="349"/>
      <c r="AL36" s="349"/>
      <c r="AM36" s="1715" t="str">
        <f>IF(U36="","",IF(U36&gt;Dictionary!$I$52,1,0))</f>
        <v/>
      </c>
      <c r="AO36" s="1589" t="str">
        <f>IF('PJM-Report-Scoring'!K27="","",'PJM-Report-Scoring'!K27)</f>
        <v/>
      </c>
      <c r="AP36" s="1589" t="str">
        <f>IF('PGM-Report-Scoring'!K27="","",'PGM-Report-Scoring'!K27)</f>
        <v/>
      </c>
      <c r="AQ36" s="1589" t="str">
        <f>IF('PFM-Report-Scoring'!K27="","",'PFM-Report-Scoring'!K27)</f>
        <v/>
      </c>
      <c r="AR36" s="1589" t="str">
        <f>IF(DOMAIN=COV!$T$72,Scoring!AO36,IF(DOMAIN=COV!$T$73,Scoring!AP36,IF(DOMAIN=COV!$T$74,Scoring!AQ36,"")))</f>
        <v/>
      </c>
      <c r="AS36" s="1589">
        <f>IF(AR36="",AS37,AR36)</f>
        <v>0</v>
      </c>
    </row>
    <row r="37" spans="2:45" ht="54.75" customHeight="1">
      <c r="B37" s="1864" t="str">
        <f>".3"</f>
        <v>.3</v>
      </c>
      <c r="C37" s="1862">
        <f>Dictionary!X1292</f>
        <v>3</v>
      </c>
      <c r="D37" s="1866" t="str">
        <f>Dictionary!B1292</f>
        <v>Persönlichkeiten und Arbeitsstile Dritter beurteilen und zum Nutzen des Projekts einsetzen</v>
      </c>
      <c r="E37" s="403">
        <v>3</v>
      </c>
      <c r="F37" s="352"/>
      <c r="G37" s="667" t="str">
        <f>IF('(8) Exam Evaluation'!Y37="","",'(8) Exam Evaluation'!Y37)</f>
        <v/>
      </c>
      <c r="H37" s="354"/>
      <c r="I37" s="353"/>
      <c r="J37" s="354"/>
      <c r="K37" s="353"/>
      <c r="L37" s="354"/>
      <c r="M37" s="353"/>
      <c r="N37" s="354"/>
      <c r="O37" s="667" t="str">
        <f t="shared" si="6"/>
        <v/>
      </c>
      <c r="P37" s="354"/>
      <c r="Q37" s="353"/>
      <c r="S37" s="353"/>
      <c r="T37" s="356" t="str">
        <f>IF(U37&gt;=0,U37,"")</f>
        <v/>
      </c>
      <c r="U37" s="667" t="str">
        <f t="shared" si="13"/>
        <v/>
      </c>
      <c r="W37" s="1386"/>
      <c r="Y37" s="1386"/>
      <c r="AA37" s="1386"/>
      <c r="AB37" s="348"/>
      <c r="AC37" s="2376"/>
      <c r="AD37" s="2377"/>
      <c r="AE37" s="2377"/>
      <c r="AF37" s="2377"/>
      <c r="AG37" s="2378"/>
      <c r="AH37" s="348"/>
      <c r="AI37" s="348"/>
      <c r="AJ37" s="349" t="str">
        <f>IF(CSW_FLAG="","",IF(K37="","",K37))</f>
        <v/>
      </c>
      <c r="AK37" s="349"/>
      <c r="AL37" s="349"/>
      <c r="AM37" s="1715" t="str">
        <f>IF(U37="","",IF(U37&gt;Dictionary!$I$52,1,0))</f>
        <v/>
      </c>
      <c r="AO37" s="1589">
        <f>IF('PJM-Report-Scoring'!K28="","",'PJM-Report-Scoring'!K28)</f>
        <v>0</v>
      </c>
      <c r="AP37" s="1589">
        <f>IF('PGM-Report-Scoring'!K28="","",'PGM-Report-Scoring'!K28)</f>
        <v>0</v>
      </c>
      <c r="AQ37" s="1589">
        <f>IF('PFM-Report-Scoring'!K28="","",'PFM-Report-Scoring'!K28)</f>
        <v>0</v>
      </c>
      <c r="AR37" s="1589">
        <f>IF(DOMAIN=COV!$T$72,Scoring!AO37,IF(DOMAIN=COV!$T$73,Scoring!AP37,IF(DOMAIN=COV!$T$74,Scoring!AQ37,"")))</f>
        <v>0</v>
      </c>
      <c r="AS37" s="1590">
        <f>IF(AR37="","",AR37)</f>
        <v>0</v>
      </c>
    </row>
    <row r="38" spans="2:45" ht="20" customHeight="1">
      <c r="B38" s="1861" t="s">
        <v>452</v>
      </c>
      <c r="C38" s="1862">
        <f>Dictionary!X1295</f>
        <v>3</v>
      </c>
      <c r="D38" s="1863" t="str">
        <f>Dictionary!B1295</f>
        <v>Kultur und Werte</v>
      </c>
      <c r="E38" s="402">
        <v>3</v>
      </c>
      <c r="F38" s="343"/>
      <c r="G38" s="405"/>
      <c r="H38" s="315"/>
      <c r="I38" s="359"/>
      <c r="J38" s="360"/>
      <c r="K38" s="358"/>
      <c r="L38" s="360"/>
      <c r="M38" s="359"/>
      <c r="N38" s="315"/>
      <c r="O38" s="315"/>
      <c r="P38" s="315"/>
      <c r="Q38" s="359"/>
      <c r="S38" s="359"/>
      <c r="T38" s="356"/>
      <c r="U38" s="346" t="str">
        <f t="shared" si="0"/>
        <v/>
      </c>
      <c r="Y38" s="321"/>
      <c r="AA38" s="321"/>
      <c r="AB38" s="348"/>
      <c r="AC38" s="313"/>
      <c r="AD38" s="321"/>
      <c r="AE38" s="321"/>
      <c r="AF38" s="321"/>
      <c r="AG38" s="321"/>
      <c r="AH38" s="348"/>
      <c r="AI38" s="348"/>
      <c r="AJ38" s="348"/>
      <c r="AK38" s="349">
        <v>3</v>
      </c>
      <c r="AL38" s="349">
        <f>ROUNDUP(AK38/2,0)</f>
        <v>2</v>
      </c>
      <c r="AM38" s="346" t="str">
        <f>IF(COUNTBLANK(AM39:AM41)=$AK38,"",IF((COUNTIF(AM39:AM41,"&gt;=1")&gt;=AL38),"Pass","Fail"))</f>
        <v/>
      </c>
    </row>
    <row r="39" spans="2:45" ht="54.75" customHeight="1">
      <c r="B39" s="1864" t="str">
        <f>".1"</f>
        <v>.1</v>
      </c>
      <c r="C39" s="1862">
        <f>Dictionary!X1296</f>
        <v>3</v>
      </c>
      <c r="D39" s="1866" t="str">
        <f>Dictionary!B1296</f>
        <v>Kultur und Werte der Gesellschaft und deren Auswirkungen auf das Projekt beurteilen</v>
      </c>
      <c r="E39" s="403">
        <v>3</v>
      </c>
      <c r="F39" s="352"/>
      <c r="G39" s="667" t="str">
        <f>IF('(8) Exam Evaluation'!Y39="","",'(8) Exam Evaluation'!Y39)</f>
        <v/>
      </c>
      <c r="H39" s="354"/>
      <c r="I39" s="353"/>
      <c r="J39" s="354"/>
      <c r="K39" s="353"/>
      <c r="L39" s="354"/>
      <c r="M39" s="353"/>
      <c r="N39" s="354"/>
      <c r="O39" s="667" t="str">
        <f t="shared" si="6"/>
        <v/>
      </c>
      <c r="P39" s="354"/>
      <c r="Q39" s="353"/>
      <c r="S39" s="353"/>
      <c r="T39" s="356" t="str">
        <f>IF(U39&gt;=0,U39,"")</f>
        <v/>
      </c>
      <c r="U39" s="667" t="str">
        <f>IF(Q39="",O39,Q39)</f>
        <v/>
      </c>
      <c r="W39" s="1386"/>
      <c r="Y39" s="1386"/>
      <c r="AA39" s="1386"/>
      <c r="AB39" s="348"/>
      <c r="AC39" s="2376"/>
      <c r="AD39" s="2377"/>
      <c r="AE39" s="2377"/>
      <c r="AF39" s="2377"/>
      <c r="AG39" s="2378"/>
      <c r="AH39" s="348"/>
      <c r="AI39" s="348"/>
      <c r="AJ39" s="349" t="str">
        <f>IF(CSW_FLAG="","",IF(K39="","",K39))</f>
        <v/>
      </c>
      <c r="AK39" s="349"/>
      <c r="AL39" s="349"/>
      <c r="AM39" s="1715" t="str">
        <f>IF(U39="","",IF(U39&gt;Dictionary!$I$52,1,0))</f>
        <v/>
      </c>
      <c r="AO39" s="1589" t="str">
        <f>IF('PJM-Report-Scoring'!K30="","",'PJM-Report-Scoring'!K30)</f>
        <v/>
      </c>
      <c r="AP39" s="1589" t="str">
        <f>IF('PGM-Report-Scoring'!K30="","",'PGM-Report-Scoring'!K30)</f>
        <v/>
      </c>
      <c r="AQ39" s="1589" t="str">
        <f>IF('PFM-Report-Scoring'!K30="","",'PFM-Report-Scoring'!K30)</f>
        <v/>
      </c>
      <c r="AR39" s="1589" t="str">
        <f>IF(DOMAIN=COV!$T$72,Scoring!AO39,IF(DOMAIN=COV!$T$73,Scoring!AP39,IF(DOMAIN=COV!$T$74,Scoring!AQ39,"")))</f>
        <v/>
      </c>
      <c r="AS39" s="1589" t="str">
        <f>IF(AR39="",AS40,AR39)</f>
        <v/>
      </c>
    </row>
    <row r="40" spans="2:45" ht="54.75" customHeight="1">
      <c r="B40" s="1864" t="str">
        <f>".2"</f>
        <v>.2</v>
      </c>
      <c r="C40" s="1862">
        <f>Dictionary!X1297</f>
        <v>2</v>
      </c>
      <c r="D40" s="1866" t="str">
        <f>Dictionary!B1297</f>
        <v>Das Projekt mit der formellen Kultur und den Werten der Organisation in Einklang bringen</v>
      </c>
      <c r="E40" s="403">
        <v>2</v>
      </c>
      <c r="F40" s="352"/>
      <c r="G40" s="667" t="str">
        <f>IF('(8) Exam Evaluation'!Y40="","",'(8) Exam Evaluation'!Y40)</f>
        <v/>
      </c>
      <c r="H40" s="354"/>
      <c r="I40" s="353"/>
      <c r="J40" s="354"/>
      <c r="K40" s="353"/>
      <c r="L40" s="354"/>
      <c r="M40" s="353"/>
      <c r="N40" s="354"/>
      <c r="O40" s="667" t="str">
        <f t="shared" si="6"/>
        <v/>
      </c>
      <c r="P40" s="354"/>
      <c r="Q40" s="353"/>
      <c r="S40" s="353"/>
      <c r="T40" s="356" t="str">
        <f>IF(U40&gt;=0,U40,"")</f>
        <v/>
      </c>
      <c r="U40" s="667" t="str">
        <f t="shared" ref="U40:U41" si="14">IF(Q40="",O40,Q40)</f>
        <v/>
      </c>
      <c r="W40" s="1386"/>
      <c r="Y40" s="1386"/>
      <c r="AA40" s="1386"/>
      <c r="AB40" s="348"/>
      <c r="AC40" s="2376"/>
      <c r="AD40" s="2377"/>
      <c r="AE40" s="2377"/>
      <c r="AF40" s="2377"/>
      <c r="AG40" s="2378"/>
      <c r="AH40" s="348"/>
      <c r="AI40" s="348"/>
      <c r="AJ40" s="349" t="str">
        <f>IF(CSW_FLAG="","",IF(K40="","",K40))</f>
        <v/>
      </c>
      <c r="AK40" s="349"/>
      <c r="AL40" s="349"/>
      <c r="AM40" s="1715" t="str">
        <f>IF(U40="","",IF(U40&gt;Dictionary!$I$52,1,0))</f>
        <v/>
      </c>
      <c r="AO40" s="1589" t="str">
        <f>IF('PJM-Report-Scoring'!K31="","",'PJM-Report-Scoring'!K31)</f>
        <v/>
      </c>
      <c r="AP40" s="1589" t="str">
        <f>IF('PGM-Report-Scoring'!K31="","",'PGM-Report-Scoring'!K31)</f>
        <v/>
      </c>
      <c r="AQ40" s="1589" t="str">
        <f>IF('PFM-Report-Scoring'!K31="","",'PFM-Report-Scoring'!K31)</f>
        <v/>
      </c>
      <c r="AR40" s="1589" t="str">
        <f>IF(DOMAIN=COV!$T$72,Scoring!AO40,IF(DOMAIN=COV!$T$73,Scoring!AP40,IF(DOMAIN=COV!$T$74,Scoring!AQ40,"")))</f>
        <v/>
      </c>
      <c r="AS40" s="1589" t="str">
        <f>IF(AR40="",AS41,AR40)</f>
        <v/>
      </c>
    </row>
    <row r="41" spans="2:45" ht="54.75" customHeight="1">
      <c r="B41" s="1864" t="str">
        <f>".3"</f>
        <v>.3</v>
      </c>
      <c r="C41" s="1862">
        <f>Dictionary!X1298</f>
        <v>2</v>
      </c>
      <c r="D41" s="1866" t="str">
        <f>Dictionary!B1298</f>
        <v>Die informelle Kultur und Werte der Organisation und deren Auswirkungen auf das Projekt beurteilen</v>
      </c>
      <c r="E41" s="403">
        <v>2</v>
      </c>
      <c r="F41" s="352"/>
      <c r="G41" s="667" t="str">
        <f>IF('(8) Exam Evaluation'!Y41="","",'(8) Exam Evaluation'!Y41)</f>
        <v/>
      </c>
      <c r="H41" s="354"/>
      <c r="I41" s="353"/>
      <c r="J41" s="354"/>
      <c r="K41" s="353"/>
      <c r="L41" s="354"/>
      <c r="M41" s="353"/>
      <c r="N41" s="354"/>
      <c r="O41" s="667" t="str">
        <f t="shared" si="6"/>
        <v/>
      </c>
      <c r="P41" s="354"/>
      <c r="Q41" s="353"/>
      <c r="S41" s="353"/>
      <c r="T41" s="356" t="str">
        <f>IF(U41&gt;=0,U41,"")</f>
        <v/>
      </c>
      <c r="U41" s="667" t="str">
        <f t="shared" si="14"/>
        <v/>
      </c>
      <c r="W41" s="1386"/>
      <c r="Y41" s="1386"/>
      <c r="AA41" s="1386"/>
      <c r="AB41" s="348"/>
      <c r="AC41" s="2376"/>
      <c r="AD41" s="2377"/>
      <c r="AE41" s="2377"/>
      <c r="AF41" s="2377"/>
      <c r="AG41" s="2378"/>
      <c r="AH41" s="348"/>
      <c r="AI41" s="348"/>
      <c r="AJ41" s="349" t="str">
        <f>IF(CSW_FLAG="","",IF(K41="","",K41))</f>
        <v/>
      </c>
      <c r="AK41" s="349"/>
      <c r="AL41" s="349"/>
      <c r="AM41" s="1715" t="str">
        <f>IF(U41="","",IF(U41&gt;Dictionary!$I$52,1,0))</f>
        <v/>
      </c>
      <c r="AO41" s="1589" t="str">
        <f>IF('PJM-Report-Scoring'!K32="","",'PJM-Report-Scoring'!K32)</f>
        <v/>
      </c>
      <c r="AP41" s="1589" t="str">
        <f>IF('PGM-Report-Scoring'!K32="","",'PGM-Report-Scoring'!K32)</f>
        <v/>
      </c>
      <c r="AQ41" s="1589" t="str">
        <f>IF('PFM-Report-Scoring'!K32="","",'PFM-Report-Scoring'!K32)</f>
        <v/>
      </c>
      <c r="AR41" s="1589" t="str">
        <f>IF(DOMAIN=COV!$T$72,Scoring!AO41,IF(DOMAIN=COV!$T$73,Scoring!AP41,IF(DOMAIN=COV!$T$74,Scoring!AQ41,"")))</f>
        <v/>
      </c>
      <c r="AS41" s="1590" t="str">
        <f>IF(AR41="","",AR41)</f>
        <v/>
      </c>
    </row>
    <row r="42" spans="2:45" ht="30" customHeight="1">
      <c r="B42" s="1859"/>
      <c r="C42" s="1867"/>
      <c r="D42" s="1868"/>
      <c r="E42" s="363"/>
      <c r="F42" s="315"/>
      <c r="G42" s="406"/>
      <c r="H42" s="315"/>
      <c r="I42" s="315"/>
      <c r="J42" s="315"/>
      <c r="K42" s="364"/>
      <c r="L42" s="315"/>
      <c r="M42" s="315"/>
      <c r="N42" s="315"/>
      <c r="O42" s="315"/>
      <c r="P42" s="315"/>
      <c r="Q42" s="315"/>
      <c r="S42" s="315"/>
      <c r="T42" s="356"/>
      <c r="U42" s="365"/>
      <c r="Y42" s="313"/>
      <c r="AA42" s="313"/>
      <c r="AB42" s="313"/>
      <c r="AC42" s="313"/>
      <c r="AD42" s="313"/>
      <c r="AE42" s="313"/>
      <c r="AF42" s="313"/>
      <c r="AG42" s="313"/>
      <c r="AH42" s="313"/>
      <c r="AI42" s="313"/>
      <c r="AJ42" s="313"/>
      <c r="AK42" s="315"/>
      <c r="AL42" s="315"/>
      <c r="AM42" s="315"/>
    </row>
    <row r="43" spans="2:45" ht="30" customHeight="1">
      <c r="B43" s="1859"/>
      <c r="C43" s="1867"/>
      <c r="D43" s="1869" t="str">
        <f>Dictionary!B1301</f>
        <v>People Kompetenz Elemente</v>
      </c>
      <c r="E43" s="366"/>
      <c r="F43" s="315"/>
      <c r="G43" s="406"/>
      <c r="H43" s="315"/>
      <c r="I43" s="315"/>
      <c r="J43" s="315"/>
      <c r="K43" s="364"/>
      <c r="L43" s="315"/>
      <c r="M43" s="315"/>
      <c r="N43" s="315"/>
      <c r="O43" s="315"/>
      <c r="P43" s="315"/>
      <c r="Q43" s="315"/>
      <c r="S43" s="315"/>
      <c r="T43" s="356"/>
      <c r="U43" s="367"/>
      <c r="Y43" s="313"/>
      <c r="AA43" s="313"/>
      <c r="AB43" s="313"/>
      <c r="AC43" s="313"/>
      <c r="AD43" s="313"/>
      <c r="AE43" s="313"/>
      <c r="AF43" s="313"/>
      <c r="AG43" s="313"/>
      <c r="AH43" s="313"/>
      <c r="AI43" s="313"/>
      <c r="AJ43" s="313"/>
      <c r="AK43" s="334"/>
      <c r="AL43" s="334"/>
      <c r="AM43" s="315"/>
    </row>
    <row r="44" spans="2:45" ht="20" customHeight="1">
      <c r="B44" s="1861" t="s">
        <v>448</v>
      </c>
      <c r="C44" s="1862">
        <f>Dictionary!X1302</f>
        <v>3</v>
      </c>
      <c r="D44" s="1863" t="str">
        <f>Dictionary!B1302</f>
        <v>Selbstreflexion und Selbstmanagement</v>
      </c>
      <c r="E44" s="402">
        <v>3</v>
      </c>
      <c r="F44" s="343"/>
      <c r="G44" s="405"/>
      <c r="H44" s="315"/>
      <c r="I44" s="359"/>
      <c r="J44" s="360"/>
      <c r="K44" s="358"/>
      <c r="L44" s="360"/>
      <c r="M44" s="359"/>
      <c r="N44" s="315"/>
      <c r="O44" s="359"/>
      <c r="P44" s="360"/>
      <c r="Q44" s="359"/>
      <c r="S44" s="359"/>
      <c r="T44" s="356"/>
      <c r="U44" s="346" t="str">
        <f t="shared" ref="U44:U74" si="15">AM44</f>
        <v/>
      </c>
      <c r="Y44" s="321"/>
      <c r="AA44" s="321"/>
      <c r="AB44" s="348"/>
      <c r="AC44" s="313"/>
      <c r="AD44" s="321"/>
      <c r="AE44" s="321"/>
      <c r="AF44" s="321"/>
      <c r="AG44" s="321"/>
      <c r="AH44" s="348"/>
      <c r="AI44" s="348"/>
      <c r="AJ44" s="348"/>
      <c r="AK44" s="349">
        <v>5</v>
      </c>
      <c r="AL44" s="349">
        <f>ROUNDUP(AK44/2,0)</f>
        <v>3</v>
      </c>
      <c r="AM44" s="346" t="str">
        <f>IF(COUNTBLANK(AM45:AM49)=$AK44,"",IF((COUNTIF(AM45:AM49,"&gt;=1")&gt;=AL44),"Pass","Fail"))</f>
        <v/>
      </c>
    </row>
    <row r="45" spans="2:45" ht="54.75" customHeight="1">
      <c r="B45" s="1864" t="str">
        <f>".1"</f>
        <v>.1</v>
      </c>
      <c r="C45" s="1862">
        <f>Dictionary!X1303</f>
        <v>3</v>
      </c>
      <c r="D45" s="1866" t="str">
        <f>Dictionary!B1303</f>
        <v>Einfluss der eigenen Werte und persönlichen Erfahrungen auf die Arbeit identifizieren und reflektieren</v>
      </c>
      <c r="E45" s="407">
        <v>3</v>
      </c>
      <c r="F45" s="352"/>
      <c r="G45" s="667" t="str">
        <f>IF('(8) Exam Evaluation'!Y45="","",'(8) Exam Evaluation'!Y45)</f>
        <v/>
      </c>
      <c r="H45" s="354"/>
      <c r="I45" s="353"/>
      <c r="J45" s="354"/>
      <c r="K45" s="353"/>
      <c r="L45" s="354"/>
      <c r="M45" s="353"/>
      <c r="N45" s="354"/>
      <c r="O45" s="667" t="str">
        <f t="shared" ref="O45:O102" si="16">IF(AND(G45="",I45="",AJ45="",M45=""),"",MAX(G45,I45,AJ45,M45))</f>
        <v/>
      </c>
      <c r="P45" s="354"/>
      <c r="Q45" s="353"/>
      <c r="S45" s="353"/>
      <c r="T45" s="356" t="str">
        <f>IF(U45&gt;=0,U45,"")</f>
        <v/>
      </c>
      <c r="U45" s="667" t="str">
        <f>IF(Q45="",O45,Q45)</f>
        <v/>
      </c>
      <c r="W45" s="1386"/>
      <c r="Y45" s="1386"/>
      <c r="AA45" s="1386"/>
      <c r="AB45" s="348"/>
      <c r="AC45" s="2376"/>
      <c r="AD45" s="2377"/>
      <c r="AE45" s="2377"/>
      <c r="AF45" s="2377"/>
      <c r="AG45" s="2378"/>
      <c r="AH45" s="348"/>
      <c r="AI45" s="348"/>
      <c r="AJ45" s="349" t="str">
        <f>IF(CSW_FLAG="","",IF(K45="","",K45))</f>
        <v/>
      </c>
      <c r="AK45" s="349"/>
      <c r="AL45" s="349"/>
      <c r="AM45" s="1715" t="str">
        <f>IF(U45="","",IF(U45&gt;Dictionary!$I$52,1,0))</f>
        <v/>
      </c>
      <c r="AO45" s="1589" t="str">
        <f>IF('PJM-Report-Scoring'!K36="","",'PJM-Report-Scoring'!K36)</f>
        <v/>
      </c>
      <c r="AP45" s="1589" t="str">
        <f>IF('PGM-Report-Scoring'!K36="","",'PGM-Report-Scoring'!K36)</f>
        <v/>
      </c>
      <c r="AQ45" s="1589" t="str">
        <f>IF('PFM-Report-Scoring'!K36="","",'PFM-Report-Scoring'!K36)</f>
        <v/>
      </c>
      <c r="AR45" s="1589" t="str">
        <f>IF(DOMAIN=COV!$T$72,Scoring!AO45,IF(DOMAIN=COV!$T$73,Scoring!AP45,IF(DOMAIN=COV!$T$74,Scoring!AQ45,"")))</f>
        <v/>
      </c>
      <c r="AS45" s="1589" t="str">
        <f t="shared" ref="AS45:AS47" si="17">IF(AR45="",AS46,AR45)</f>
        <v/>
      </c>
    </row>
    <row r="46" spans="2:45" ht="54.75" customHeight="1">
      <c r="B46" s="1864" t="str">
        <f>".2"</f>
        <v>.2</v>
      </c>
      <c r="C46" s="1862">
        <f>Dictionary!X1304</f>
        <v>2</v>
      </c>
      <c r="D46" s="1866" t="str">
        <f>Dictionary!B1304</f>
        <v>Selbstvertrauen auf der Basis von persönlichen Stärken und Schwächen aufbauen</v>
      </c>
      <c r="E46" s="407">
        <v>0</v>
      </c>
      <c r="F46" s="352"/>
      <c r="G46" s="667" t="str">
        <f>IF('(8) Exam Evaluation'!Y46="","",'(8) Exam Evaluation'!Y46)</f>
        <v/>
      </c>
      <c r="H46" s="354"/>
      <c r="I46" s="353"/>
      <c r="J46" s="354"/>
      <c r="K46" s="353"/>
      <c r="L46" s="354"/>
      <c r="M46" s="353"/>
      <c r="N46" s="354"/>
      <c r="O46" s="667" t="str">
        <f t="shared" si="16"/>
        <v/>
      </c>
      <c r="P46" s="354"/>
      <c r="Q46" s="353"/>
      <c r="S46" s="353"/>
      <c r="T46" s="356" t="str">
        <f>IF(U46&gt;=0,U46,"")</f>
        <v/>
      </c>
      <c r="U46" s="667" t="str">
        <f t="shared" ref="U46:U49" si="18">IF(Q46="",O46,Q46)</f>
        <v/>
      </c>
      <c r="W46" s="1386"/>
      <c r="Y46" s="1386"/>
      <c r="AA46" s="1386"/>
      <c r="AB46" s="348"/>
      <c r="AC46" s="2376"/>
      <c r="AD46" s="2377"/>
      <c r="AE46" s="2377"/>
      <c r="AF46" s="2377"/>
      <c r="AG46" s="2378"/>
      <c r="AH46" s="348"/>
      <c r="AI46" s="348"/>
      <c r="AJ46" s="349" t="str">
        <f>IF(CSW_FLAG="","",IF(K46="","",K46))</f>
        <v/>
      </c>
      <c r="AK46" s="349"/>
      <c r="AL46" s="349"/>
      <c r="AM46" s="1715" t="str">
        <f>IF(U46="","",IF(U46&gt;Dictionary!$I$52,1,0))</f>
        <v/>
      </c>
      <c r="AO46" s="1589" t="str">
        <f>IF('PJM-Report-Scoring'!K37="","",'PJM-Report-Scoring'!K37)</f>
        <v/>
      </c>
      <c r="AP46" s="1589" t="str">
        <f>IF('PGM-Report-Scoring'!K37="","",'PGM-Report-Scoring'!K37)</f>
        <v/>
      </c>
      <c r="AQ46" s="1589" t="str">
        <f>IF('PFM-Report-Scoring'!K37="","",'PFM-Report-Scoring'!K37)</f>
        <v/>
      </c>
      <c r="AR46" s="1589" t="str">
        <f>IF(DOMAIN=COV!$T$72,Scoring!AO46,IF(DOMAIN=COV!$T$73,Scoring!AP46,IF(DOMAIN=COV!$T$74,Scoring!AQ46,"")))</f>
        <v/>
      </c>
      <c r="AS46" s="1589" t="str">
        <f t="shared" si="17"/>
        <v/>
      </c>
    </row>
    <row r="47" spans="2:45" ht="54.75" customHeight="1">
      <c r="B47" s="1864" t="str">
        <f>".3"</f>
        <v>.3</v>
      </c>
      <c r="C47" s="1862">
        <f>Dictionary!X1305</f>
        <v>2</v>
      </c>
      <c r="D47" s="1866" t="str">
        <f>Dictionary!B1305</f>
        <v>Persönliche Motivationen identifizieren und reflektieren, um persönliche Ziele zu setzen und darauf zu fokussieren</v>
      </c>
      <c r="E47" s="407">
        <v>3</v>
      </c>
      <c r="F47" s="352"/>
      <c r="G47" s="667" t="str">
        <f>IF('(8) Exam Evaluation'!Y47="","",'(8) Exam Evaluation'!Y47)</f>
        <v/>
      </c>
      <c r="H47" s="354"/>
      <c r="I47" s="353"/>
      <c r="J47" s="354"/>
      <c r="K47" s="353"/>
      <c r="L47" s="354"/>
      <c r="M47" s="353"/>
      <c r="N47" s="354"/>
      <c r="O47" s="667" t="str">
        <f t="shared" si="16"/>
        <v/>
      </c>
      <c r="P47" s="354"/>
      <c r="Q47" s="353"/>
      <c r="S47" s="353"/>
      <c r="T47" s="356" t="str">
        <f>IF(U47&gt;=0,U47,"")</f>
        <v/>
      </c>
      <c r="U47" s="667" t="str">
        <f t="shared" si="18"/>
        <v/>
      </c>
      <c r="W47" s="1386"/>
      <c r="Y47" s="1386"/>
      <c r="AA47" s="1386"/>
      <c r="AB47" s="348"/>
      <c r="AC47" s="2376"/>
      <c r="AD47" s="2377"/>
      <c r="AE47" s="2377"/>
      <c r="AF47" s="2377"/>
      <c r="AG47" s="2378"/>
      <c r="AH47" s="348"/>
      <c r="AI47" s="348"/>
      <c r="AJ47" s="349" t="str">
        <f>IF(CSW_FLAG="","",IF(K47="","",K47))</f>
        <v/>
      </c>
      <c r="AK47" s="349"/>
      <c r="AL47" s="349"/>
      <c r="AM47" s="1715" t="str">
        <f>IF(U47="","",IF(U47&gt;Dictionary!$I$52,1,0))</f>
        <v/>
      </c>
      <c r="AO47" s="1589" t="str">
        <f>IF('PJM-Report-Scoring'!K38="","",'PJM-Report-Scoring'!K38)</f>
        <v/>
      </c>
      <c r="AP47" s="1589" t="str">
        <f>IF('PGM-Report-Scoring'!K38="","",'PGM-Report-Scoring'!K38)</f>
        <v/>
      </c>
      <c r="AQ47" s="1589" t="str">
        <f>IF('PFM-Report-Scoring'!K38="","",'PFM-Report-Scoring'!K38)</f>
        <v/>
      </c>
      <c r="AR47" s="1589" t="str">
        <f>IF(DOMAIN=COV!$T$72,Scoring!AO47,IF(DOMAIN=COV!$T$73,Scoring!AP47,IF(DOMAIN=COV!$T$74,Scoring!AQ47,"")))</f>
        <v/>
      </c>
      <c r="AS47" s="1589" t="str">
        <f t="shared" si="17"/>
        <v/>
      </c>
    </row>
    <row r="48" spans="2:45" ht="54.75" customHeight="1">
      <c r="B48" s="1864" t="str">
        <f>".4"</f>
        <v>.4</v>
      </c>
      <c r="C48" s="1862">
        <f>Dictionary!X1306</f>
        <v>2</v>
      </c>
      <c r="D48" s="1866" t="str">
        <f>Dictionary!B1306</f>
        <v>Eigene Arbeit abhängig von der Situation und den eigenen Ressourcen organisieren</v>
      </c>
      <c r="E48" s="407">
        <v>3</v>
      </c>
      <c r="F48" s="352"/>
      <c r="G48" s="667" t="str">
        <f>IF('(8) Exam Evaluation'!Y48="","",'(8) Exam Evaluation'!Y48)</f>
        <v/>
      </c>
      <c r="H48" s="354"/>
      <c r="I48" s="353"/>
      <c r="J48" s="354"/>
      <c r="K48" s="353"/>
      <c r="L48" s="354"/>
      <c r="M48" s="353"/>
      <c r="N48" s="354"/>
      <c r="O48" s="667" t="str">
        <f t="shared" si="16"/>
        <v/>
      </c>
      <c r="P48" s="354"/>
      <c r="Q48" s="353"/>
      <c r="S48" s="353"/>
      <c r="T48" s="356" t="str">
        <f>IF(U48&gt;=0,U48,"")</f>
        <v/>
      </c>
      <c r="U48" s="667" t="str">
        <f>IF(Q48="",O48,Q48)</f>
        <v/>
      </c>
      <c r="W48" s="1386"/>
      <c r="Y48" s="1386"/>
      <c r="AA48" s="1386"/>
      <c r="AB48" s="348"/>
      <c r="AC48" s="2376"/>
      <c r="AD48" s="2377"/>
      <c r="AE48" s="2377"/>
      <c r="AF48" s="2377"/>
      <c r="AG48" s="2378"/>
      <c r="AH48" s="348"/>
      <c r="AI48" s="348"/>
      <c r="AJ48" s="349" t="str">
        <f>IF(CSW_FLAG="","",IF(K48="","",K48))</f>
        <v/>
      </c>
      <c r="AK48" s="349"/>
      <c r="AL48" s="349"/>
      <c r="AM48" s="1715" t="str">
        <f>IF(U48="","",IF(U48&gt;Dictionary!$I$52,1,0))</f>
        <v/>
      </c>
      <c r="AO48" s="1589" t="str">
        <f>IF('PJM-Report-Scoring'!K39="","",'PJM-Report-Scoring'!K39)</f>
        <v/>
      </c>
      <c r="AP48" s="1589" t="str">
        <f>IF('PGM-Report-Scoring'!K39="","",'PGM-Report-Scoring'!K39)</f>
        <v/>
      </c>
      <c r="AQ48" s="1589" t="str">
        <f>IF('PFM-Report-Scoring'!K39="","",'PFM-Report-Scoring'!K39)</f>
        <v/>
      </c>
      <c r="AR48" s="1589" t="str">
        <f>IF(DOMAIN=COV!$T$72,Scoring!AO48,IF(DOMAIN=COV!$T$73,Scoring!AP48,IF(DOMAIN=COV!$T$74,Scoring!AQ48,"")))</f>
        <v/>
      </c>
      <c r="AS48" s="1589" t="str">
        <f>IF(AR48="",AS49,AR48)</f>
        <v/>
      </c>
    </row>
    <row r="49" spans="2:45" ht="54.75" customHeight="1">
      <c r="B49" s="1864" t="str">
        <f>".5"</f>
        <v>.5</v>
      </c>
      <c r="C49" s="1862">
        <f>Dictionary!X1307</f>
        <v>2</v>
      </c>
      <c r="D49" s="1866" t="str">
        <f>Dictionary!B1307</f>
        <v>Verantwortung für das persönliche Lernen und die persönliche Weiterentwicklung übernehmen</v>
      </c>
      <c r="E49" s="407">
        <v>3</v>
      </c>
      <c r="F49" s="352"/>
      <c r="G49" s="667" t="str">
        <f>IF('(8) Exam Evaluation'!Y49="","",'(8) Exam Evaluation'!Y49)</f>
        <v/>
      </c>
      <c r="H49" s="354"/>
      <c r="I49" s="353"/>
      <c r="J49" s="354"/>
      <c r="K49" s="353"/>
      <c r="L49" s="354"/>
      <c r="M49" s="353"/>
      <c r="N49" s="354"/>
      <c r="O49" s="667" t="str">
        <f t="shared" si="16"/>
        <v/>
      </c>
      <c r="P49" s="354"/>
      <c r="Q49" s="353"/>
      <c r="S49" s="353"/>
      <c r="T49" s="356" t="str">
        <f>IF(U49&gt;=0,U49,"")</f>
        <v/>
      </c>
      <c r="U49" s="667" t="str">
        <f t="shared" si="18"/>
        <v/>
      </c>
      <c r="W49" s="1386"/>
      <c r="Y49" s="1386"/>
      <c r="AA49" s="1386"/>
      <c r="AB49" s="348"/>
      <c r="AC49" s="2376"/>
      <c r="AD49" s="2377"/>
      <c r="AE49" s="2377"/>
      <c r="AF49" s="2377"/>
      <c r="AG49" s="2378"/>
      <c r="AH49" s="348"/>
      <c r="AI49" s="348"/>
      <c r="AJ49" s="349" t="str">
        <f>IF(CSW_FLAG="","",IF(K49="","",K49))</f>
        <v/>
      </c>
      <c r="AK49" s="349"/>
      <c r="AL49" s="349"/>
      <c r="AM49" s="1715" t="str">
        <f>IF(U49="","",IF(U49&gt;Dictionary!$I$52,1,0))</f>
        <v/>
      </c>
      <c r="AO49" s="1589" t="str">
        <f>IF('PJM-Report-Scoring'!K40="","",'PJM-Report-Scoring'!K40)</f>
        <v/>
      </c>
      <c r="AP49" s="1589" t="str">
        <f>IF('PGM-Report-Scoring'!K40="","",'PGM-Report-Scoring'!K40)</f>
        <v/>
      </c>
      <c r="AQ49" s="1589" t="str">
        <f>IF('PFM-Report-Scoring'!K40="","",'PFM-Report-Scoring'!K40)</f>
        <v/>
      </c>
      <c r="AR49" s="1589" t="str">
        <f>IF(DOMAIN=COV!$T$72,Scoring!AO49,IF(DOMAIN=COV!$T$73,Scoring!AP49,IF(DOMAIN=COV!$T$74,Scoring!AQ49,"")))</f>
        <v/>
      </c>
      <c r="AS49" s="1590" t="str">
        <f>IF(AR49="","",AR49)</f>
        <v/>
      </c>
    </row>
    <row r="50" spans="2:45" ht="16">
      <c r="B50" s="1861" t="s">
        <v>442</v>
      </c>
      <c r="C50" s="1862">
        <f>Dictionary!X1310</f>
        <v>3</v>
      </c>
      <c r="D50" s="1863" t="str">
        <f>Dictionary!B1310</f>
        <v>Persönliche Integrität und Verlässlichkeit</v>
      </c>
      <c r="E50" s="402">
        <v>3</v>
      </c>
      <c r="F50" s="368" t="str">
        <f>IF(COUNTBLANK(F51:F55)=$AK50,"",IF((COUNTIF(F51:F55,"&gt;=4")/$AK50*100)&gt;=50,"Pass","Fail"))</f>
        <v/>
      </c>
      <c r="G50" s="405"/>
      <c r="H50" s="315"/>
      <c r="I50" s="359"/>
      <c r="J50" s="360"/>
      <c r="K50" s="358"/>
      <c r="L50" s="360"/>
      <c r="M50" s="359"/>
      <c r="N50" s="315"/>
      <c r="O50" s="315"/>
      <c r="P50" s="315"/>
      <c r="Q50" s="359"/>
      <c r="S50" s="359"/>
      <c r="T50" s="356"/>
      <c r="U50" s="346" t="str">
        <f t="shared" si="15"/>
        <v/>
      </c>
      <c r="Y50" s="321"/>
      <c r="AA50" s="321"/>
      <c r="AB50" s="348"/>
      <c r="AC50" s="313"/>
      <c r="AD50" s="321"/>
      <c r="AE50" s="321"/>
      <c r="AF50" s="321"/>
      <c r="AG50" s="321"/>
      <c r="AH50" s="348"/>
      <c r="AI50" s="348"/>
      <c r="AJ50" s="348"/>
      <c r="AK50" s="349">
        <v>5</v>
      </c>
      <c r="AL50" s="349">
        <f>ROUNDUP(AK50/2,0)</f>
        <v>3</v>
      </c>
      <c r="AM50" s="346" t="str">
        <f>IF(COUNTBLANK(AM51:AM55)=$AK50,"",IF((COUNTIF(AM51:AM55,"&gt;=1")&gt;=AL50),"Pass","Fail"))</f>
        <v/>
      </c>
    </row>
    <row r="51" spans="2:45" ht="54.75" customHeight="1">
      <c r="B51" s="1864" t="str">
        <f>".1"</f>
        <v>.1</v>
      </c>
      <c r="C51" s="1862">
        <f>Dictionary!X1311</f>
        <v>1</v>
      </c>
      <c r="D51" s="1866" t="str">
        <f>Dictionary!B1311</f>
        <v>Ethische Werte bei allen Entscheidungen und Handlungen anerkennen und anwenden</v>
      </c>
      <c r="E51" s="407">
        <v>2</v>
      </c>
      <c r="F51" s="352"/>
      <c r="G51" s="667" t="str">
        <f>IF('(8) Exam Evaluation'!Y51="","",'(8) Exam Evaluation'!Y51)</f>
        <v/>
      </c>
      <c r="H51" s="354"/>
      <c r="I51" s="353"/>
      <c r="J51" s="354"/>
      <c r="K51" s="353"/>
      <c r="L51" s="354"/>
      <c r="M51" s="353"/>
      <c r="N51" s="354"/>
      <c r="O51" s="667" t="str">
        <f t="shared" si="16"/>
        <v/>
      </c>
      <c r="P51" s="354"/>
      <c r="Q51" s="353"/>
      <c r="S51" s="353"/>
      <c r="T51" s="356" t="str">
        <f>IF(U51&gt;=0,U51,"")</f>
        <v/>
      </c>
      <c r="U51" s="667" t="str">
        <f>IF(Q51="",O51,Q51)</f>
        <v/>
      </c>
      <c r="W51" s="1386"/>
      <c r="Y51" s="1386"/>
      <c r="AA51" s="1386"/>
      <c r="AB51" s="348"/>
      <c r="AC51" s="2376"/>
      <c r="AD51" s="2377"/>
      <c r="AE51" s="2377"/>
      <c r="AF51" s="2377"/>
      <c r="AG51" s="2378"/>
      <c r="AH51" s="348"/>
      <c r="AI51" s="348"/>
      <c r="AJ51" s="349" t="str">
        <f>IF(CSW_FLAG="","",IF(K51="","",K51))</f>
        <v/>
      </c>
      <c r="AK51" s="349"/>
      <c r="AL51" s="349"/>
      <c r="AM51" s="1715" t="str">
        <f>IF(U51="","",IF(U51&gt;Dictionary!$I$52,1,0))</f>
        <v/>
      </c>
      <c r="AO51" s="1589" t="str">
        <f>IF('PJM-Report-Scoring'!K42="","",'PJM-Report-Scoring'!K42)</f>
        <v/>
      </c>
      <c r="AP51" s="1589" t="str">
        <f>IF('PGM-Report-Scoring'!K42="","",'PGM-Report-Scoring'!K42)</f>
        <v/>
      </c>
      <c r="AQ51" s="1589" t="str">
        <f>IF('PFM-Report-Scoring'!K42="","",'PFM-Report-Scoring'!K42)</f>
        <v/>
      </c>
      <c r="AR51" s="1589" t="str">
        <f>IF(DOMAIN=COV!$T$72,Scoring!AO51,IF(DOMAIN=COV!$T$73,Scoring!AP51,IF(DOMAIN=COV!$T$74,Scoring!AQ51,"")))</f>
        <v/>
      </c>
      <c r="AS51" s="1589" t="str">
        <f t="shared" ref="AS51:AS53" si="19">IF(AR51="",AS52,AR51)</f>
        <v/>
      </c>
    </row>
    <row r="52" spans="2:45" ht="54.75" customHeight="1">
      <c r="B52" s="1864" t="str">
        <f>".2"</f>
        <v>.2</v>
      </c>
      <c r="C52" s="1862">
        <f>Dictionary!X1312</f>
        <v>3</v>
      </c>
      <c r="D52" s="1866" t="str">
        <f>Dictionary!B1312</f>
        <v>Nachhaltigkeit von Leistungen und Ergebnissen fördern</v>
      </c>
      <c r="E52" s="407">
        <v>2</v>
      </c>
      <c r="F52" s="352"/>
      <c r="G52" s="667" t="str">
        <f>IF('(8) Exam Evaluation'!Y52="","",'(8) Exam Evaluation'!Y52)</f>
        <v/>
      </c>
      <c r="H52" s="354"/>
      <c r="I52" s="353"/>
      <c r="J52" s="354"/>
      <c r="K52" s="353"/>
      <c r="L52" s="354"/>
      <c r="M52" s="353"/>
      <c r="N52" s="354"/>
      <c r="O52" s="667" t="str">
        <f t="shared" si="16"/>
        <v/>
      </c>
      <c r="P52" s="354"/>
      <c r="Q52" s="353"/>
      <c r="S52" s="353"/>
      <c r="T52" s="356" t="str">
        <f>IF(U52&gt;=0,U52,"")</f>
        <v/>
      </c>
      <c r="U52" s="667" t="str">
        <f t="shared" ref="U52:U55" si="20">IF(Q52="",O52,Q52)</f>
        <v/>
      </c>
      <c r="W52" s="1386"/>
      <c r="Y52" s="1386"/>
      <c r="AA52" s="1386"/>
      <c r="AB52" s="348"/>
      <c r="AC52" s="2376"/>
      <c r="AD52" s="2377"/>
      <c r="AE52" s="2377"/>
      <c r="AF52" s="2377"/>
      <c r="AG52" s="2378"/>
      <c r="AH52" s="348"/>
      <c r="AI52" s="348"/>
      <c r="AJ52" s="349" t="str">
        <f>IF(CSW_FLAG="","",IF(K52="","",K52))</f>
        <v/>
      </c>
      <c r="AK52" s="349"/>
      <c r="AL52" s="349"/>
      <c r="AM52" s="1715" t="str">
        <f>IF(U52="","",IF(U52&gt;Dictionary!$I$52,1,0))</f>
        <v/>
      </c>
      <c r="AO52" s="1589" t="str">
        <f>IF('PJM-Report-Scoring'!K43="","",'PJM-Report-Scoring'!K43)</f>
        <v/>
      </c>
      <c r="AP52" s="1589" t="str">
        <f>IF('PGM-Report-Scoring'!K43="","",'PGM-Report-Scoring'!K43)</f>
        <v/>
      </c>
      <c r="AQ52" s="1589" t="str">
        <f>IF('PFM-Report-Scoring'!K43="","",'PFM-Report-Scoring'!K43)</f>
        <v/>
      </c>
      <c r="AR52" s="1589" t="str">
        <f>IF(DOMAIN=COV!$T$72,Scoring!AO52,IF(DOMAIN=COV!$T$73,Scoring!AP52,IF(DOMAIN=COV!$T$74,Scoring!AQ52,"")))</f>
        <v/>
      </c>
      <c r="AS52" s="1589" t="str">
        <f t="shared" si="19"/>
        <v/>
      </c>
    </row>
    <row r="53" spans="2:45" ht="54.75" customHeight="1">
      <c r="B53" s="1864" t="str">
        <f>".3"</f>
        <v>.3</v>
      </c>
      <c r="C53" s="1862">
        <f>Dictionary!X1313</f>
        <v>2</v>
      </c>
      <c r="D53" s="1866" t="str">
        <f>Dictionary!B1313</f>
        <v>Verantwortung für die eigenen Entscheidungen und Handlungen übernehmen</v>
      </c>
      <c r="E53" s="407">
        <v>3</v>
      </c>
      <c r="F53" s="352"/>
      <c r="G53" s="667" t="str">
        <f>IF('(8) Exam Evaluation'!Y53="","",'(8) Exam Evaluation'!Y53)</f>
        <v/>
      </c>
      <c r="H53" s="354"/>
      <c r="I53" s="353"/>
      <c r="J53" s="354"/>
      <c r="K53" s="353"/>
      <c r="L53" s="354"/>
      <c r="M53" s="353"/>
      <c r="N53" s="354"/>
      <c r="O53" s="667" t="str">
        <f t="shared" si="16"/>
        <v/>
      </c>
      <c r="P53" s="354"/>
      <c r="Q53" s="353"/>
      <c r="S53" s="353"/>
      <c r="T53" s="356" t="str">
        <f>IF(U53&gt;=0,U53,"")</f>
        <v/>
      </c>
      <c r="U53" s="667" t="str">
        <f t="shared" si="20"/>
        <v/>
      </c>
      <c r="W53" s="1386"/>
      <c r="Y53" s="1386"/>
      <c r="AA53" s="1386"/>
      <c r="AB53" s="348"/>
      <c r="AC53" s="2376"/>
      <c r="AD53" s="2377"/>
      <c r="AE53" s="2377"/>
      <c r="AF53" s="2377"/>
      <c r="AG53" s="2378"/>
      <c r="AH53" s="348"/>
      <c r="AI53" s="348"/>
      <c r="AJ53" s="349" t="str">
        <f>IF(CSW_FLAG="","",IF(K53="","",K53))</f>
        <v/>
      </c>
      <c r="AK53" s="349"/>
      <c r="AL53" s="349"/>
      <c r="AM53" s="1715" t="str">
        <f>IF(U53="","",IF(U53&gt;Dictionary!$I$52,1,0))</f>
        <v/>
      </c>
      <c r="AO53" s="1589" t="str">
        <f>IF('PJM-Report-Scoring'!K44="","",'PJM-Report-Scoring'!K44)</f>
        <v/>
      </c>
      <c r="AP53" s="1589" t="str">
        <f>IF('PGM-Report-Scoring'!K44="","",'PGM-Report-Scoring'!K44)</f>
        <v/>
      </c>
      <c r="AQ53" s="1589" t="str">
        <f>IF('PFM-Report-Scoring'!K44="","",'PFM-Report-Scoring'!K44)</f>
        <v/>
      </c>
      <c r="AR53" s="1589" t="str">
        <f>IF(DOMAIN=COV!$T$72,Scoring!AO53,IF(DOMAIN=COV!$T$73,Scoring!AP53,IF(DOMAIN=COV!$T$74,Scoring!AQ53,"")))</f>
        <v/>
      </c>
      <c r="AS53" s="1589" t="str">
        <f t="shared" si="19"/>
        <v/>
      </c>
    </row>
    <row r="54" spans="2:45" ht="54.75" customHeight="1">
      <c r="B54" s="1864" t="str">
        <f>".4"</f>
        <v>.4</v>
      </c>
      <c r="C54" s="1862">
        <f>Dictionary!X1314</f>
        <v>2</v>
      </c>
      <c r="D54" s="1866" t="str">
        <f>Dictionary!B1314</f>
        <v>Widerspruchsfrei handeln, Entscheidungen treffen und kommunizieren</v>
      </c>
      <c r="E54" s="407">
        <v>3</v>
      </c>
      <c r="F54" s="352"/>
      <c r="G54" s="667" t="str">
        <f>IF('(8) Exam Evaluation'!Y54="","",'(8) Exam Evaluation'!Y54)</f>
        <v/>
      </c>
      <c r="H54" s="354"/>
      <c r="I54" s="353"/>
      <c r="J54" s="354"/>
      <c r="K54" s="353"/>
      <c r="L54" s="354"/>
      <c r="M54" s="353"/>
      <c r="N54" s="354"/>
      <c r="O54" s="667" t="str">
        <f t="shared" si="16"/>
        <v/>
      </c>
      <c r="P54" s="354"/>
      <c r="Q54" s="353"/>
      <c r="S54" s="353"/>
      <c r="T54" s="356" t="str">
        <f>IF(U54&gt;=0,U54,"")</f>
        <v/>
      </c>
      <c r="U54" s="667" t="str">
        <f>IF(Q54="",O54,Q54)</f>
        <v/>
      </c>
      <c r="W54" s="1386"/>
      <c r="Y54" s="1386"/>
      <c r="AA54" s="1386"/>
      <c r="AB54" s="348"/>
      <c r="AC54" s="2376"/>
      <c r="AD54" s="2377"/>
      <c r="AE54" s="2377"/>
      <c r="AF54" s="2377"/>
      <c r="AG54" s="2378"/>
      <c r="AH54" s="348"/>
      <c r="AI54" s="348"/>
      <c r="AJ54" s="349" t="str">
        <f>IF(CSW_FLAG="","",IF(K54="","",K54))</f>
        <v/>
      </c>
      <c r="AK54" s="349"/>
      <c r="AL54" s="349"/>
      <c r="AM54" s="1715" t="str">
        <f>IF(U54="","",IF(U54&gt;Dictionary!$I$52,1,0))</f>
        <v/>
      </c>
      <c r="AO54" s="1589" t="str">
        <f>IF('PJM-Report-Scoring'!K45="","",'PJM-Report-Scoring'!K45)</f>
        <v/>
      </c>
      <c r="AP54" s="1589" t="str">
        <f>IF('PGM-Report-Scoring'!K45="","",'PGM-Report-Scoring'!K45)</f>
        <v/>
      </c>
      <c r="AQ54" s="1589" t="str">
        <f>IF('PFM-Report-Scoring'!K45="","",'PFM-Report-Scoring'!K45)</f>
        <v/>
      </c>
      <c r="AR54" s="1589" t="str">
        <f>IF(DOMAIN=COV!$T$72,Scoring!AO54,IF(DOMAIN=COV!$T$73,Scoring!AP54,IF(DOMAIN=COV!$T$74,Scoring!AQ54,"")))</f>
        <v/>
      </c>
      <c r="AS54" s="1589" t="str">
        <f>IF(AR54="",AS55,AR54)</f>
        <v/>
      </c>
    </row>
    <row r="55" spans="2:45" ht="54.75" customHeight="1">
      <c r="B55" s="1864" t="str">
        <f>".5"</f>
        <v>.5</v>
      </c>
      <c r="C55" s="1862">
        <f>Dictionary!X1315</f>
        <v>3</v>
      </c>
      <c r="D55" s="1866" t="str">
        <f>Dictionary!B1315</f>
        <v>Aufgaben sorgfältig erfüllen, um Vertrauen bei anderen zu schaffen</v>
      </c>
      <c r="E55" s="407">
        <v>3</v>
      </c>
      <c r="F55" s="352"/>
      <c r="G55" s="667" t="str">
        <f>IF('(8) Exam Evaluation'!Y55="","",'(8) Exam Evaluation'!Y55)</f>
        <v/>
      </c>
      <c r="H55" s="354"/>
      <c r="I55" s="353"/>
      <c r="J55" s="354"/>
      <c r="K55" s="353"/>
      <c r="L55" s="354"/>
      <c r="M55" s="353"/>
      <c r="N55" s="354"/>
      <c r="O55" s="667" t="str">
        <f t="shared" si="16"/>
        <v/>
      </c>
      <c r="P55" s="354"/>
      <c r="Q55" s="353"/>
      <c r="S55" s="353"/>
      <c r="T55" s="356" t="str">
        <f>IF(U55&gt;=0,U55,"")</f>
        <v/>
      </c>
      <c r="U55" s="667" t="str">
        <f t="shared" si="20"/>
        <v/>
      </c>
      <c r="W55" s="1386"/>
      <c r="Y55" s="1386"/>
      <c r="AA55" s="1386"/>
      <c r="AB55" s="348"/>
      <c r="AC55" s="2376"/>
      <c r="AD55" s="2377"/>
      <c r="AE55" s="2377"/>
      <c r="AF55" s="2377"/>
      <c r="AG55" s="2378"/>
      <c r="AH55" s="348"/>
      <c r="AI55" s="348"/>
      <c r="AJ55" s="349" t="str">
        <f>IF(CSW_FLAG="","",IF(K55="","",K55))</f>
        <v/>
      </c>
      <c r="AK55" s="349"/>
      <c r="AL55" s="349"/>
      <c r="AM55" s="1715" t="str">
        <f>IF(U55="","",IF(U55&gt;Dictionary!$I$52,1,0))</f>
        <v/>
      </c>
      <c r="AO55" s="1589" t="str">
        <f>IF('PJM-Report-Scoring'!K46="","",'PJM-Report-Scoring'!K46)</f>
        <v/>
      </c>
      <c r="AP55" s="1589" t="str">
        <f>IF('PGM-Report-Scoring'!K46="","",'PGM-Report-Scoring'!K46)</f>
        <v/>
      </c>
      <c r="AQ55" s="1589" t="str">
        <f>IF('PFM-Report-Scoring'!K46="","",'PFM-Report-Scoring'!K46)</f>
        <v/>
      </c>
      <c r="AR55" s="1589" t="str">
        <f>IF(DOMAIN=COV!$T$72,Scoring!AO55,IF(DOMAIN=COV!$T$73,Scoring!AP55,IF(DOMAIN=COV!$T$74,Scoring!AQ55,"")))</f>
        <v/>
      </c>
      <c r="AS55" s="1590" t="str">
        <f>IF(AR55="","",AR55)</f>
        <v/>
      </c>
    </row>
    <row r="56" spans="2:45" ht="16">
      <c r="B56" s="1861" t="s">
        <v>436</v>
      </c>
      <c r="C56" s="1862">
        <f>Dictionary!X1318</f>
        <v>3</v>
      </c>
      <c r="D56" s="1863" t="str">
        <f>Dictionary!B1318</f>
        <v>Persönliche Kommunikation</v>
      </c>
      <c r="E56" s="402">
        <v>4</v>
      </c>
      <c r="F56" s="343"/>
      <c r="G56" s="405"/>
      <c r="H56" s="315"/>
      <c r="I56" s="359"/>
      <c r="J56" s="360"/>
      <c r="K56" s="358"/>
      <c r="L56" s="360"/>
      <c r="M56" s="359"/>
      <c r="N56" s="315"/>
      <c r="O56" s="315"/>
      <c r="P56" s="315"/>
      <c r="Q56" s="359"/>
      <c r="S56" s="359"/>
      <c r="T56" s="356"/>
      <c r="U56" s="346" t="str">
        <f t="shared" si="15"/>
        <v/>
      </c>
      <c r="Y56" s="321"/>
      <c r="AA56" s="321"/>
      <c r="AB56" s="348"/>
      <c r="AC56" s="313"/>
      <c r="AD56" s="321"/>
      <c r="AE56" s="321"/>
      <c r="AF56" s="321"/>
      <c r="AG56" s="321"/>
      <c r="AH56" s="348"/>
      <c r="AI56" s="348"/>
      <c r="AJ56" s="348"/>
      <c r="AK56" s="349">
        <v>5</v>
      </c>
      <c r="AL56" s="349">
        <f>ROUNDUP(AK56/2,0)</f>
        <v>3</v>
      </c>
      <c r="AM56" s="346" t="str">
        <f>IF(COUNTBLANK(AM57:AM61)=$AK56,"",IF((COUNTIF(AM57:AM61,"&gt;=1")&gt;=AL56),"Pass","Fail"))</f>
        <v/>
      </c>
    </row>
    <row r="57" spans="2:45" ht="54.75" customHeight="1">
      <c r="B57" s="1864" t="str">
        <f>".1"</f>
        <v>.1</v>
      </c>
      <c r="C57" s="1862">
        <f>Dictionary!X1319</f>
        <v>3</v>
      </c>
      <c r="D57" s="1866" t="str">
        <f>Dictionary!B1319</f>
        <v>Eindeutige und strukturierte Informationen an andere weitergeben und deren gleiches Verständnis sicherstellen</v>
      </c>
      <c r="E57" s="407">
        <v>4</v>
      </c>
      <c r="F57" s="352"/>
      <c r="G57" s="667" t="str">
        <f>IF('(8) Exam Evaluation'!Y57="","",'(8) Exam Evaluation'!Y57)</f>
        <v/>
      </c>
      <c r="H57" s="354"/>
      <c r="I57" s="353"/>
      <c r="J57" s="354"/>
      <c r="K57" s="353"/>
      <c r="L57" s="354"/>
      <c r="M57" s="353"/>
      <c r="N57" s="354"/>
      <c r="O57" s="667" t="str">
        <f t="shared" si="16"/>
        <v/>
      </c>
      <c r="P57" s="354"/>
      <c r="Q57" s="353"/>
      <c r="S57" s="353"/>
      <c r="T57" s="356" t="str">
        <f>IF(U57&gt;=0,U57,"")</f>
        <v/>
      </c>
      <c r="U57" s="667" t="str">
        <f>IF(Q57="",O57,Q57)</f>
        <v/>
      </c>
      <c r="W57" s="1386"/>
      <c r="Y57" s="1386"/>
      <c r="AA57" s="1386"/>
      <c r="AB57" s="348"/>
      <c r="AC57" s="2376"/>
      <c r="AD57" s="2377"/>
      <c r="AE57" s="2377"/>
      <c r="AF57" s="2377"/>
      <c r="AG57" s="2378"/>
      <c r="AH57" s="348"/>
      <c r="AI57" s="348"/>
      <c r="AJ57" s="349" t="str">
        <f>IF(CSW_FLAG="","",IF(K57="","",K57))</f>
        <v/>
      </c>
      <c r="AK57" s="349"/>
      <c r="AL57" s="349"/>
      <c r="AM57" s="1715" t="str">
        <f>IF(U57="","",IF(U57&gt;Dictionary!$I$52,1,0))</f>
        <v/>
      </c>
      <c r="AO57" s="1589" t="str">
        <f>IF('PJM-Report-Scoring'!K48="","",'PJM-Report-Scoring'!K48)</f>
        <v/>
      </c>
      <c r="AP57" s="1589" t="str">
        <f>IF('PGM-Report-Scoring'!K48="","",'PGM-Report-Scoring'!K48)</f>
        <v/>
      </c>
      <c r="AQ57" s="1589" t="str">
        <f>IF('PFM-Report-Scoring'!K48="","",'PFM-Report-Scoring'!K48)</f>
        <v/>
      </c>
      <c r="AR57" s="1589" t="str">
        <f>IF(DOMAIN=COV!$T$72,Scoring!AO57,IF(DOMAIN=COV!$T$73,Scoring!AP57,IF(DOMAIN=COV!$T$74,Scoring!AQ57,"")))</f>
        <v/>
      </c>
      <c r="AS57" s="1589" t="str">
        <f t="shared" ref="AS57:AS59" si="21">IF(AR57="",AS58,AR57)</f>
        <v/>
      </c>
    </row>
    <row r="58" spans="2:45" ht="54.75" customHeight="1">
      <c r="B58" s="1864" t="str">
        <f>".2"</f>
        <v>.2</v>
      </c>
      <c r="C58" s="1862">
        <f>Dictionary!X1320</f>
        <v>3</v>
      </c>
      <c r="D58" s="1866" t="str">
        <f>Dictionary!B1320</f>
        <v>Offene Kommunikation ermöglichen und fördern</v>
      </c>
      <c r="E58" s="407">
        <v>3</v>
      </c>
      <c r="F58" s="352"/>
      <c r="G58" s="667" t="str">
        <f>IF('(8) Exam Evaluation'!Y58="","",'(8) Exam Evaluation'!Y58)</f>
        <v/>
      </c>
      <c r="H58" s="354"/>
      <c r="I58" s="353"/>
      <c r="J58" s="354"/>
      <c r="K58" s="353"/>
      <c r="L58" s="354"/>
      <c r="M58" s="353"/>
      <c r="N58" s="354"/>
      <c r="O58" s="667" t="str">
        <f t="shared" si="16"/>
        <v/>
      </c>
      <c r="P58" s="354"/>
      <c r="Q58" s="353"/>
      <c r="S58" s="353"/>
      <c r="T58" s="356" t="str">
        <f>IF(U58&gt;=0,U58,"")</f>
        <v/>
      </c>
      <c r="U58" s="667" t="str">
        <f t="shared" ref="U58:U61" si="22">IF(Q58="",O58,Q58)</f>
        <v/>
      </c>
      <c r="W58" s="1386"/>
      <c r="Y58" s="1386"/>
      <c r="AA58" s="1386"/>
      <c r="AB58" s="348"/>
      <c r="AC58" s="2376"/>
      <c r="AD58" s="2377"/>
      <c r="AE58" s="2377"/>
      <c r="AF58" s="2377"/>
      <c r="AG58" s="2378"/>
      <c r="AH58" s="348"/>
      <c r="AI58" s="348"/>
      <c r="AJ58" s="349" t="str">
        <f>IF(CSW_FLAG="","",IF(K58="","",K58))</f>
        <v/>
      </c>
      <c r="AK58" s="349"/>
      <c r="AL58" s="349"/>
      <c r="AM58" s="1715" t="str">
        <f>IF(U58="","",IF(U58&gt;Dictionary!$I$52,1,0))</f>
        <v/>
      </c>
      <c r="AO58" s="1589" t="str">
        <f>IF('PJM-Report-Scoring'!K49="","",'PJM-Report-Scoring'!K49)</f>
        <v/>
      </c>
      <c r="AP58" s="1589" t="str">
        <f>IF('PGM-Report-Scoring'!K49="","",'PGM-Report-Scoring'!K49)</f>
        <v/>
      </c>
      <c r="AQ58" s="1589" t="str">
        <f>IF('PFM-Report-Scoring'!K49="","",'PFM-Report-Scoring'!K49)</f>
        <v/>
      </c>
      <c r="AR58" s="1589" t="str">
        <f>IF(DOMAIN=COV!$T$72,Scoring!AO58,IF(DOMAIN=COV!$T$73,Scoring!AP58,IF(DOMAIN=COV!$T$74,Scoring!AQ58,"")))</f>
        <v/>
      </c>
      <c r="AS58" s="1589" t="str">
        <f t="shared" si="21"/>
        <v/>
      </c>
    </row>
    <row r="59" spans="2:45" ht="54.75" customHeight="1">
      <c r="B59" s="1864" t="str">
        <f>".3"</f>
        <v>.3</v>
      </c>
      <c r="C59" s="1862">
        <f>Dictionary!X1321</f>
        <v>3</v>
      </c>
      <c r="D59" s="1866" t="str">
        <f>Dictionary!B1321</f>
        <v>Kommunikationsarten und -kanäle auswählen, um die Bedürfnisse der Zielgruppe, der Situation und der Führungsebene zu erfüllen</v>
      </c>
      <c r="E59" s="407">
        <v>4</v>
      </c>
      <c r="F59" s="352"/>
      <c r="G59" s="667" t="str">
        <f>IF('(8) Exam Evaluation'!Y59="","",'(8) Exam Evaluation'!Y59)</f>
        <v/>
      </c>
      <c r="H59" s="354"/>
      <c r="I59" s="353"/>
      <c r="J59" s="354"/>
      <c r="K59" s="353"/>
      <c r="L59" s="354"/>
      <c r="M59" s="353"/>
      <c r="N59" s="354"/>
      <c r="O59" s="667" t="str">
        <f t="shared" si="16"/>
        <v/>
      </c>
      <c r="P59" s="354"/>
      <c r="Q59" s="353"/>
      <c r="S59" s="353"/>
      <c r="T59" s="356" t="str">
        <f>IF(U59&gt;=0,U59,"")</f>
        <v/>
      </c>
      <c r="U59" s="667" t="str">
        <f t="shared" si="22"/>
        <v/>
      </c>
      <c r="W59" s="1386"/>
      <c r="Y59" s="1386"/>
      <c r="AA59" s="1386"/>
      <c r="AB59" s="348"/>
      <c r="AC59" s="2376"/>
      <c r="AD59" s="2377"/>
      <c r="AE59" s="2377"/>
      <c r="AF59" s="2377"/>
      <c r="AG59" s="2378"/>
      <c r="AH59" s="348"/>
      <c r="AI59" s="348"/>
      <c r="AJ59" s="349" t="str">
        <f>IF(CSW_FLAG="","",IF(K59="","",K59))</f>
        <v/>
      </c>
      <c r="AK59" s="349"/>
      <c r="AL59" s="349"/>
      <c r="AM59" s="1715" t="str">
        <f>IF(U59="","",IF(U59&gt;Dictionary!$I$52,1,0))</f>
        <v/>
      </c>
      <c r="AO59" s="1589" t="str">
        <f>IF('PJM-Report-Scoring'!K50="","",'PJM-Report-Scoring'!K50)</f>
        <v/>
      </c>
      <c r="AP59" s="1589" t="str">
        <f>IF('PGM-Report-Scoring'!K50="","",'PGM-Report-Scoring'!K50)</f>
        <v/>
      </c>
      <c r="AQ59" s="1589" t="str">
        <f>IF('PFM-Report-Scoring'!K50="","",'PFM-Report-Scoring'!K50)</f>
        <v/>
      </c>
      <c r="AR59" s="1589" t="str">
        <f>IF(DOMAIN=COV!$T$72,Scoring!AO59,IF(DOMAIN=COV!$T$73,Scoring!AP59,IF(DOMAIN=COV!$T$74,Scoring!AQ59,"")))</f>
        <v/>
      </c>
      <c r="AS59" s="1589" t="str">
        <f t="shared" si="21"/>
        <v/>
      </c>
    </row>
    <row r="60" spans="2:45" ht="54.75" customHeight="1">
      <c r="B60" s="1864" t="str">
        <f>".4"</f>
        <v>.4</v>
      </c>
      <c r="C60" s="1862">
        <f>Dictionary!X1322</f>
        <v>3</v>
      </c>
      <c r="D60" s="1866" t="str">
        <f>Dictionary!B1322</f>
        <v>Mit virtuellen Teams effektiv kommunizieren</v>
      </c>
      <c r="E60" s="407">
        <v>3</v>
      </c>
      <c r="F60" s="352"/>
      <c r="G60" s="667" t="str">
        <f>IF('(8) Exam Evaluation'!Y60="","",'(8) Exam Evaluation'!Y60)</f>
        <v/>
      </c>
      <c r="H60" s="354"/>
      <c r="I60" s="353"/>
      <c r="J60" s="354"/>
      <c r="K60" s="353"/>
      <c r="L60" s="354"/>
      <c r="M60" s="353"/>
      <c r="N60" s="354"/>
      <c r="O60" s="667" t="str">
        <f t="shared" si="16"/>
        <v/>
      </c>
      <c r="P60" s="354"/>
      <c r="Q60" s="353"/>
      <c r="S60" s="353"/>
      <c r="T60" s="356" t="str">
        <f>IF(U60&gt;=0,U60,"")</f>
        <v/>
      </c>
      <c r="U60" s="667" t="str">
        <f>IF(Q60="",O60,Q60)</f>
        <v/>
      </c>
      <c r="W60" s="1386"/>
      <c r="Y60" s="1386"/>
      <c r="AA60" s="1386"/>
      <c r="AB60" s="348"/>
      <c r="AC60" s="2376"/>
      <c r="AD60" s="2377"/>
      <c r="AE60" s="2377"/>
      <c r="AF60" s="2377"/>
      <c r="AG60" s="2378"/>
      <c r="AH60" s="348"/>
      <c r="AI60" s="348"/>
      <c r="AJ60" s="349" t="str">
        <f>IF(CSW_FLAG="","",IF(K60="","",K60))</f>
        <v/>
      </c>
      <c r="AK60" s="349"/>
      <c r="AL60" s="349"/>
      <c r="AM60" s="1715" t="str">
        <f>IF(U60="","",IF(U60&gt;Dictionary!$I$52,1,0))</f>
        <v/>
      </c>
      <c r="AO60" s="1589" t="str">
        <f>IF('PJM-Report-Scoring'!K51="","",'PJM-Report-Scoring'!K51)</f>
        <v/>
      </c>
      <c r="AP60" s="1589" t="str">
        <f>IF('PGM-Report-Scoring'!K51="","",'PGM-Report-Scoring'!K51)</f>
        <v/>
      </c>
      <c r="AQ60" s="1589" t="str">
        <f>IF('PFM-Report-Scoring'!K51="","",'PFM-Report-Scoring'!K51)</f>
        <v/>
      </c>
      <c r="AR60" s="1589" t="str">
        <f>IF(DOMAIN=COV!$T$72,Scoring!AO60,IF(DOMAIN=COV!$T$73,Scoring!AP60,IF(DOMAIN=COV!$T$74,Scoring!AQ60,"")))</f>
        <v/>
      </c>
      <c r="AS60" s="1589" t="str">
        <f>IF(AR60="",AS61,AR60)</f>
        <v/>
      </c>
    </row>
    <row r="61" spans="2:45" ht="54.75" customHeight="1">
      <c r="B61" s="1864" t="str">
        <f>".5"</f>
        <v>.5</v>
      </c>
      <c r="C61" s="1862">
        <f>Dictionary!X1323</f>
        <v>3</v>
      </c>
      <c r="D61" s="1866" t="str">
        <f>Dictionary!B1323</f>
        <v>Humor und Perspektivenwechsel angemessen verwenden</v>
      </c>
      <c r="E61" s="407">
        <v>3</v>
      </c>
      <c r="F61" s="352"/>
      <c r="G61" s="667" t="str">
        <f>IF('(8) Exam Evaluation'!Y61="","",'(8) Exam Evaluation'!Y61)</f>
        <v/>
      </c>
      <c r="H61" s="354"/>
      <c r="I61" s="353"/>
      <c r="J61" s="354"/>
      <c r="K61" s="353"/>
      <c r="L61" s="354"/>
      <c r="M61" s="353"/>
      <c r="N61" s="354"/>
      <c r="O61" s="667" t="str">
        <f t="shared" si="16"/>
        <v/>
      </c>
      <c r="P61" s="354"/>
      <c r="Q61" s="353"/>
      <c r="S61" s="353"/>
      <c r="T61" s="356" t="str">
        <f>IF(U61&gt;=0,U61,"")</f>
        <v/>
      </c>
      <c r="U61" s="667" t="str">
        <f t="shared" si="22"/>
        <v/>
      </c>
      <c r="W61" s="1386"/>
      <c r="Y61" s="1386"/>
      <c r="AA61" s="1386"/>
      <c r="AB61" s="348"/>
      <c r="AC61" s="2376"/>
      <c r="AD61" s="2377"/>
      <c r="AE61" s="2377"/>
      <c r="AF61" s="2377"/>
      <c r="AG61" s="2378"/>
      <c r="AH61" s="348"/>
      <c r="AI61" s="348"/>
      <c r="AJ61" s="349" t="str">
        <f>IF(CSW_FLAG="","",IF(K61="","",K61))</f>
        <v/>
      </c>
      <c r="AK61" s="349"/>
      <c r="AL61" s="349"/>
      <c r="AM61" s="1715" t="str">
        <f>IF(U61="","",IF(U61&gt;Dictionary!$I$52,1,0))</f>
        <v/>
      </c>
      <c r="AO61" s="1589" t="str">
        <f>IF('PJM-Report-Scoring'!K52="","",'PJM-Report-Scoring'!K52)</f>
        <v/>
      </c>
      <c r="AP61" s="1589" t="str">
        <f>IF('PGM-Report-Scoring'!K52="","",'PGM-Report-Scoring'!K52)</f>
        <v/>
      </c>
      <c r="AQ61" s="1589" t="str">
        <f>IF('PFM-Report-Scoring'!K52="","",'PFM-Report-Scoring'!K52)</f>
        <v/>
      </c>
      <c r="AR61" s="1589" t="str">
        <f>IF(DOMAIN=COV!$T$72,Scoring!AO61,IF(DOMAIN=COV!$T$73,Scoring!AP61,IF(DOMAIN=COV!$T$74,Scoring!AQ61,"")))</f>
        <v/>
      </c>
      <c r="AS61" s="1590" t="str">
        <f>IF(AR61="","",AR61)</f>
        <v/>
      </c>
    </row>
    <row r="62" spans="2:45" ht="16">
      <c r="B62" s="1861" t="s">
        <v>430</v>
      </c>
      <c r="C62" s="1862">
        <f>Dictionary!X1326</f>
        <v>3</v>
      </c>
      <c r="D62" s="1863" t="str">
        <f>Dictionary!B1326</f>
        <v>Beziehungen und Engagement</v>
      </c>
      <c r="E62" s="402">
        <v>3</v>
      </c>
      <c r="F62" s="343"/>
      <c r="G62" s="405"/>
      <c r="H62" s="315"/>
      <c r="I62" s="359"/>
      <c r="J62" s="360"/>
      <c r="K62" s="358"/>
      <c r="L62" s="360"/>
      <c r="M62" s="359"/>
      <c r="N62" s="315"/>
      <c r="O62" s="315"/>
      <c r="P62" s="315"/>
      <c r="Q62" s="359"/>
      <c r="S62" s="359"/>
      <c r="T62" s="356"/>
      <c r="U62" s="346" t="str">
        <f t="shared" si="15"/>
        <v/>
      </c>
      <c r="Y62" s="321"/>
      <c r="AA62" s="321"/>
      <c r="AB62" s="348"/>
      <c r="AC62" s="313"/>
      <c r="AD62" s="321"/>
      <c r="AE62" s="321"/>
      <c r="AF62" s="321"/>
      <c r="AG62" s="321"/>
      <c r="AH62" s="348"/>
      <c r="AI62" s="348"/>
      <c r="AJ62" s="348"/>
      <c r="AK62" s="349">
        <v>5</v>
      </c>
      <c r="AL62" s="349">
        <f>ROUNDUP(AK62/2,0)</f>
        <v>3</v>
      </c>
      <c r="AM62" s="346" t="str">
        <f>IF(COUNTBLANK(AM63:AM67)=$AK62,"",IF((COUNTIF(AM63:AM67,"&gt;=1")&gt;=AL62),"Pass","Fail"))</f>
        <v/>
      </c>
    </row>
    <row r="63" spans="2:45" ht="54.75" customHeight="1">
      <c r="B63" s="1864" t="str">
        <f>".1"</f>
        <v>.1</v>
      </c>
      <c r="C63" s="1862">
        <f>Dictionary!X1327</f>
        <v>2</v>
      </c>
      <c r="D63" s="1866" t="str">
        <f>Dictionary!B1327</f>
        <v>Persönliche und berufliche Beziehungen aufbauen und pflegen</v>
      </c>
      <c r="E63" s="407">
        <v>3</v>
      </c>
      <c r="F63" s="352"/>
      <c r="G63" s="667" t="str">
        <f>IF('(8) Exam Evaluation'!Y63="","",'(8) Exam Evaluation'!Y63)</f>
        <v/>
      </c>
      <c r="H63" s="354"/>
      <c r="I63" s="353"/>
      <c r="J63" s="354"/>
      <c r="K63" s="353"/>
      <c r="L63" s="354"/>
      <c r="M63" s="353"/>
      <c r="N63" s="354"/>
      <c r="O63" s="667" t="str">
        <f t="shared" si="16"/>
        <v/>
      </c>
      <c r="P63" s="354"/>
      <c r="Q63" s="353"/>
      <c r="S63" s="353"/>
      <c r="T63" s="356" t="str">
        <f>IF(U63&gt;=0,U63,"")</f>
        <v/>
      </c>
      <c r="U63" s="667" t="str">
        <f>IF(Q63="",O63,Q63)</f>
        <v/>
      </c>
      <c r="W63" s="1386"/>
      <c r="Y63" s="1386"/>
      <c r="AA63" s="1386"/>
      <c r="AB63" s="348"/>
      <c r="AC63" s="2376"/>
      <c r="AD63" s="2377"/>
      <c r="AE63" s="2377"/>
      <c r="AF63" s="2377"/>
      <c r="AG63" s="2378"/>
      <c r="AH63" s="348"/>
      <c r="AI63" s="348"/>
      <c r="AJ63" s="349" t="str">
        <f>IF(CSW_FLAG="","",IF(K63="","",K63))</f>
        <v/>
      </c>
      <c r="AK63" s="349"/>
      <c r="AL63" s="349"/>
      <c r="AM63" s="1715" t="str">
        <f>IF(U63="","",IF(U63&gt;Dictionary!$I$52,1,0))</f>
        <v/>
      </c>
      <c r="AO63" s="1589" t="str">
        <f>IF('PJM-Report-Scoring'!K54="","",'PJM-Report-Scoring'!K54)</f>
        <v/>
      </c>
      <c r="AP63" s="1589" t="str">
        <f>IF('PGM-Report-Scoring'!K54="","",'PGM-Report-Scoring'!K54)</f>
        <v/>
      </c>
      <c r="AQ63" s="1589" t="str">
        <f>IF('PFM-Report-Scoring'!K54="","",'PFM-Report-Scoring'!K54)</f>
        <v/>
      </c>
      <c r="AR63" s="1589" t="str">
        <f>IF(DOMAIN=COV!$T$72,Scoring!AO63,IF(DOMAIN=COV!$T$73,Scoring!AP63,IF(DOMAIN=COV!$T$74,Scoring!AQ63,"")))</f>
        <v/>
      </c>
      <c r="AS63" s="1589" t="str">
        <f t="shared" ref="AS63:AS65" si="23">IF(AR63="",AS64,AR63)</f>
        <v/>
      </c>
    </row>
    <row r="64" spans="2:45" ht="54.75" customHeight="1">
      <c r="B64" s="1864" t="str">
        <f>".2"</f>
        <v>.2</v>
      </c>
      <c r="C64" s="1862">
        <f>Dictionary!X1328</f>
        <v>2</v>
      </c>
      <c r="D64" s="1866" t="str">
        <f>Dictionary!B1328</f>
        <v>Soziale Netzwerke aufbauen, moderieren und an ihnen teilnehmen</v>
      </c>
      <c r="E64" s="407">
        <v>2</v>
      </c>
      <c r="F64" s="352"/>
      <c r="G64" s="667" t="str">
        <f>IF('(8) Exam Evaluation'!Y64="","",'(8) Exam Evaluation'!Y64)</f>
        <v/>
      </c>
      <c r="H64" s="354"/>
      <c r="I64" s="353"/>
      <c r="J64" s="354"/>
      <c r="K64" s="353"/>
      <c r="L64" s="354"/>
      <c r="M64" s="353"/>
      <c r="N64" s="354"/>
      <c r="O64" s="667" t="str">
        <f t="shared" si="16"/>
        <v/>
      </c>
      <c r="P64" s="354"/>
      <c r="Q64" s="353"/>
      <c r="S64" s="353"/>
      <c r="T64" s="356" t="str">
        <f>IF(U64&gt;=0,U64,"")</f>
        <v/>
      </c>
      <c r="U64" s="667" t="str">
        <f t="shared" ref="U64:U67" si="24">IF(Q64="",O64,Q64)</f>
        <v/>
      </c>
      <c r="W64" s="1386"/>
      <c r="Y64" s="1386"/>
      <c r="AA64" s="1386"/>
      <c r="AB64" s="348"/>
      <c r="AC64" s="2376"/>
      <c r="AD64" s="2377"/>
      <c r="AE64" s="2377"/>
      <c r="AF64" s="2377"/>
      <c r="AG64" s="2378"/>
      <c r="AH64" s="348"/>
      <c r="AI64" s="348"/>
      <c r="AJ64" s="349" t="str">
        <f>IF(CSW_FLAG="","",IF(K64="","",K64))</f>
        <v/>
      </c>
      <c r="AK64" s="349"/>
      <c r="AL64" s="349"/>
      <c r="AM64" s="1715" t="str">
        <f>IF(U64="","",IF(U64&gt;Dictionary!$I$52,1,0))</f>
        <v/>
      </c>
      <c r="AO64" s="1589" t="str">
        <f>IF('PJM-Report-Scoring'!K55="","",'PJM-Report-Scoring'!K55)</f>
        <v/>
      </c>
      <c r="AP64" s="1589" t="str">
        <f>IF('PGM-Report-Scoring'!K55="","",'PGM-Report-Scoring'!K55)</f>
        <v/>
      </c>
      <c r="AQ64" s="1589" t="str">
        <f>IF('PFM-Report-Scoring'!K55="","",'PFM-Report-Scoring'!K55)</f>
        <v/>
      </c>
      <c r="AR64" s="1589" t="str">
        <f>IF(DOMAIN=COV!$T$72,Scoring!AO64,IF(DOMAIN=COV!$T$73,Scoring!AP64,IF(DOMAIN=COV!$T$74,Scoring!AQ64,"")))</f>
        <v/>
      </c>
      <c r="AS64" s="1589" t="str">
        <f t="shared" si="23"/>
        <v/>
      </c>
    </row>
    <row r="65" spans="2:45" ht="54.75" customHeight="1">
      <c r="B65" s="1864" t="str">
        <f>".3"</f>
        <v>.3</v>
      </c>
      <c r="C65" s="1862">
        <f>Dictionary!X1329</f>
        <v>2</v>
      </c>
      <c r="D65" s="1866" t="str">
        <f>Dictionary!B1329</f>
        <v>Durch Zuhören, Verständnis und Unterstützung Empathie zeigen</v>
      </c>
      <c r="E65" s="407">
        <v>3</v>
      </c>
      <c r="F65" s="352"/>
      <c r="G65" s="667" t="str">
        <f>IF('(8) Exam Evaluation'!Y65="","",'(8) Exam Evaluation'!Y65)</f>
        <v/>
      </c>
      <c r="H65" s="354"/>
      <c r="I65" s="353"/>
      <c r="J65" s="354"/>
      <c r="K65" s="353"/>
      <c r="L65" s="354"/>
      <c r="M65" s="353"/>
      <c r="N65" s="354"/>
      <c r="O65" s="667" t="str">
        <f t="shared" si="16"/>
        <v/>
      </c>
      <c r="P65" s="354"/>
      <c r="Q65" s="353"/>
      <c r="S65" s="353"/>
      <c r="T65" s="356" t="str">
        <f>IF(U65&gt;=0,U65,"")</f>
        <v/>
      </c>
      <c r="U65" s="667" t="str">
        <f t="shared" si="24"/>
        <v/>
      </c>
      <c r="W65" s="1386"/>
      <c r="Y65" s="1386"/>
      <c r="AA65" s="1386"/>
      <c r="AB65" s="348"/>
      <c r="AC65" s="2376"/>
      <c r="AD65" s="2377"/>
      <c r="AE65" s="2377"/>
      <c r="AF65" s="2377"/>
      <c r="AG65" s="2378"/>
      <c r="AH65" s="348"/>
      <c r="AI65" s="348"/>
      <c r="AJ65" s="349" t="str">
        <f>IF(CSW_FLAG="","",IF(K65="","",K65))</f>
        <v/>
      </c>
      <c r="AK65" s="349"/>
      <c r="AL65" s="349"/>
      <c r="AM65" s="1715" t="str">
        <f>IF(U65="","",IF(U65&gt;Dictionary!$I$52,1,0))</f>
        <v/>
      </c>
      <c r="AO65" s="1589" t="str">
        <f>IF('PJM-Report-Scoring'!K56="","",'PJM-Report-Scoring'!K56)</f>
        <v/>
      </c>
      <c r="AP65" s="1589" t="str">
        <f>IF('PGM-Report-Scoring'!K56="","",'PGM-Report-Scoring'!K56)</f>
        <v/>
      </c>
      <c r="AQ65" s="1589" t="str">
        <f>IF('PFM-Report-Scoring'!K56="","",'PFM-Report-Scoring'!K56)</f>
        <v/>
      </c>
      <c r="AR65" s="1589" t="str">
        <f>IF(DOMAIN=COV!$T$72,Scoring!AO65,IF(DOMAIN=COV!$T$73,Scoring!AP65,IF(DOMAIN=COV!$T$74,Scoring!AQ65,"")))</f>
        <v/>
      </c>
      <c r="AS65" s="1589" t="str">
        <f t="shared" si="23"/>
        <v/>
      </c>
    </row>
    <row r="66" spans="2:45" ht="54.75" customHeight="1">
      <c r="B66" s="1864" t="str">
        <f>".4"</f>
        <v>.4</v>
      </c>
      <c r="C66" s="1862">
        <f>Dictionary!X1330</f>
        <v>2</v>
      </c>
      <c r="D66" s="1866" t="str">
        <f>Dictionary!B1330</f>
        <v>Vertrauen und Respekt zeigen, indem andere ermutigt werden, ihre Meinungen und Bedenken zu äußern</v>
      </c>
      <c r="E66" s="407">
        <v>3</v>
      </c>
      <c r="F66" s="352"/>
      <c r="G66" s="667" t="str">
        <f>IF('(8) Exam Evaluation'!Y66="","",'(8) Exam Evaluation'!Y66)</f>
        <v/>
      </c>
      <c r="H66" s="354"/>
      <c r="I66" s="353"/>
      <c r="J66" s="354"/>
      <c r="K66" s="353"/>
      <c r="L66" s="354"/>
      <c r="M66" s="353"/>
      <c r="N66" s="354"/>
      <c r="O66" s="667" t="str">
        <f t="shared" si="16"/>
        <v/>
      </c>
      <c r="P66" s="354"/>
      <c r="Q66" s="353"/>
      <c r="S66" s="353"/>
      <c r="T66" s="356" t="str">
        <f>IF(U66&gt;=0,U66,"")</f>
        <v/>
      </c>
      <c r="U66" s="667" t="str">
        <f>IF(Q66="",O66,Q66)</f>
        <v/>
      </c>
      <c r="W66" s="1386"/>
      <c r="Y66" s="1386"/>
      <c r="AA66" s="1386"/>
      <c r="AB66" s="348"/>
      <c r="AC66" s="2376"/>
      <c r="AD66" s="2377"/>
      <c r="AE66" s="2377"/>
      <c r="AF66" s="2377"/>
      <c r="AG66" s="2378"/>
      <c r="AH66" s="348"/>
      <c r="AI66" s="348"/>
      <c r="AJ66" s="349" t="str">
        <f>IF(CSW_FLAG="","",IF(K66="","",K66))</f>
        <v/>
      </c>
      <c r="AK66" s="349"/>
      <c r="AL66" s="349"/>
      <c r="AM66" s="1715" t="str">
        <f>IF(U66="","",IF(U66&gt;Dictionary!$I$52,1,0))</f>
        <v/>
      </c>
      <c r="AO66" s="1589" t="str">
        <f>IF('PJM-Report-Scoring'!K57="","",'PJM-Report-Scoring'!K57)</f>
        <v/>
      </c>
      <c r="AP66" s="1589" t="str">
        <f>IF('PGM-Report-Scoring'!K57="","",'PGM-Report-Scoring'!K57)</f>
        <v/>
      </c>
      <c r="AQ66" s="1589" t="str">
        <f>IF('PFM-Report-Scoring'!K57="","",'PFM-Report-Scoring'!K57)</f>
        <v/>
      </c>
      <c r="AR66" s="1589" t="str">
        <f>IF(DOMAIN=COV!$T$72,Scoring!AO66,IF(DOMAIN=COV!$T$73,Scoring!AP66,IF(DOMAIN=COV!$T$74,Scoring!AQ66,"")))</f>
        <v/>
      </c>
      <c r="AS66" s="1589" t="str">
        <f>IF(AR66="",AS67,AR66)</f>
        <v/>
      </c>
    </row>
    <row r="67" spans="2:45" ht="54.75" customHeight="1">
      <c r="B67" s="1864" t="str">
        <f>".5"</f>
        <v>.5</v>
      </c>
      <c r="C67" s="1862">
        <f>Dictionary!X1331</f>
        <v>2</v>
      </c>
      <c r="D67" s="1866" t="str">
        <f>Dictionary!B1331</f>
        <v>Eigene Visionen und Ziele kommunizieren, um Engagement und Commitment Dritter zu erreichen</v>
      </c>
      <c r="E67" s="407">
        <v>3</v>
      </c>
      <c r="F67" s="352"/>
      <c r="G67" s="667" t="str">
        <f>IF('(8) Exam Evaluation'!Y67="","",'(8) Exam Evaluation'!Y67)</f>
        <v/>
      </c>
      <c r="H67" s="354"/>
      <c r="I67" s="353"/>
      <c r="J67" s="354"/>
      <c r="K67" s="353"/>
      <c r="L67" s="354"/>
      <c r="M67" s="353"/>
      <c r="N67" s="354"/>
      <c r="O67" s="667" t="str">
        <f t="shared" si="16"/>
        <v/>
      </c>
      <c r="P67" s="354"/>
      <c r="Q67" s="353"/>
      <c r="S67" s="353"/>
      <c r="T67" s="356" t="str">
        <f>IF(U67&gt;=0,U67,"")</f>
        <v/>
      </c>
      <c r="U67" s="667" t="str">
        <f t="shared" si="24"/>
        <v/>
      </c>
      <c r="W67" s="1386"/>
      <c r="Y67" s="1386"/>
      <c r="AA67" s="1386"/>
      <c r="AB67" s="348"/>
      <c r="AC67" s="2376"/>
      <c r="AD67" s="2377"/>
      <c r="AE67" s="2377"/>
      <c r="AF67" s="2377"/>
      <c r="AG67" s="2378"/>
      <c r="AH67" s="348"/>
      <c r="AI67" s="348"/>
      <c r="AJ67" s="349" t="str">
        <f>IF(CSW_FLAG="","",IF(K67="","",K67))</f>
        <v/>
      </c>
      <c r="AK67" s="349"/>
      <c r="AL67" s="349"/>
      <c r="AM67" s="1715" t="str">
        <f>IF(U67="","",IF(U67&gt;Dictionary!$I$52,1,0))</f>
        <v/>
      </c>
      <c r="AO67" s="1589" t="str">
        <f>IF('PJM-Report-Scoring'!K58="","",'PJM-Report-Scoring'!K58)</f>
        <v/>
      </c>
      <c r="AP67" s="1589" t="str">
        <f>IF('PGM-Report-Scoring'!K58="","",'PGM-Report-Scoring'!K58)</f>
        <v/>
      </c>
      <c r="AQ67" s="1589" t="str">
        <f>IF('PFM-Report-Scoring'!K58="","",'PFM-Report-Scoring'!K58)</f>
        <v/>
      </c>
      <c r="AR67" s="1589" t="str">
        <f>IF(DOMAIN=COV!$T$72,Scoring!AO67,IF(DOMAIN=COV!$T$73,Scoring!AP67,IF(DOMAIN=COV!$T$74,Scoring!AQ67,"")))</f>
        <v/>
      </c>
      <c r="AS67" s="1590" t="str">
        <f>IF(AR67="","",AR67)</f>
        <v/>
      </c>
    </row>
    <row r="68" spans="2:45" ht="16">
      <c r="B68" s="1861" t="s">
        <v>424</v>
      </c>
      <c r="C68" s="1862">
        <f>Dictionary!X1334</f>
        <v>3</v>
      </c>
      <c r="D68" s="1863" t="str">
        <f>Dictionary!B1334</f>
        <v>Führung</v>
      </c>
      <c r="E68" s="402">
        <v>3</v>
      </c>
      <c r="F68" s="343"/>
      <c r="G68" s="405"/>
      <c r="H68" s="315"/>
      <c r="I68" s="359"/>
      <c r="J68" s="360"/>
      <c r="K68" s="358"/>
      <c r="L68" s="360"/>
      <c r="M68" s="359"/>
      <c r="N68" s="315"/>
      <c r="O68" s="315"/>
      <c r="P68" s="315"/>
      <c r="Q68" s="359"/>
      <c r="S68" s="359"/>
      <c r="T68" s="356"/>
      <c r="U68" s="346" t="str">
        <f t="shared" si="15"/>
        <v/>
      </c>
      <c r="Y68" s="321"/>
      <c r="AA68" s="321"/>
      <c r="AB68" s="348"/>
      <c r="AC68" s="313"/>
      <c r="AD68" s="321"/>
      <c r="AE68" s="321"/>
      <c r="AF68" s="321"/>
      <c r="AG68" s="321"/>
      <c r="AH68" s="348"/>
      <c r="AI68" s="348"/>
      <c r="AJ68" s="348"/>
      <c r="AK68" s="349">
        <v>5</v>
      </c>
      <c r="AL68" s="349">
        <f>ROUNDUP(AK68/2,0)</f>
        <v>3</v>
      </c>
      <c r="AM68" s="346" t="str">
        <f>IF(COUNTBLANK(AM69:AM73)=$AK68,"",IF((COUNTIF(AM69:AM73,"&gt;=1")&gt;=AL68),"Pass","Fail"))</f>
        <v/>
      </c>
    </row>
    <row r="69" spans="2:45" ht="54.75" customHeight="1">
      <c r="B69" s="1864" t="str">
        <f>".1"</f>
        <v>.1</v>
      </c>
      <c r="C69" s="1862">
        <f>Dictionary!X1335</f>
        <v>2</v>
      </c>
      <c r="D69" s="1866" t="str">
        <f>Dictionary!B1335</f>
        <v>Initiative ergreifen und proaktiv mit Rat und Tat zur Seite stehen</v>
      </c>
      <c r="E69" s="407">
        <v>3</v>
      </c>
      <c r="F69" s="352"/>
      <c r="G69" s="667" t="str">
        <f>IF('(8) Exam Evaluation'!Y69="","",'(8) Exam Evaluation'!Y69)</f>
        <v/>
      </c>
      <c r="H69" s="354"/>
      <c r="I69" s="353"/>
      <c r="J69" s="354"/>
      <c r="K69" s="353"/>
      <c r="L69" s="354"/>
      <c r="M69" s="353"/>
      <c r="N69" s="354"/>
      <c r="O69" s="667" t="str">
        <f t="shared" si="16"/>
        <v/>
      </c>
      <c r="P69" s="354"/>
      <c r="Q69" s="353"/>
      <c r="S69" s="353"/>
      <c r="T69" s="356" t="str">
        <f>IF(U69&gt;=0,U69,"")</f>
        <v/>
      </c>
      <c r="U69" s="667" t="str">
        <f>IF(Q69="",O69,Q69)</f>
        <v/>
      </c>
      <c r="W69" s="1386"/>
      <c r="Y69" s="1386"/>
      <c r="AA69" s="1386"/>
      <c r="AB69" s="348"/>
      <c r="AC69" s="2376"/>
      <c r="AD69" s="2377"/>
      <c r="AE69" s="2377"/>
      <c r="AF69" s="2377"/>
      <c r="AG69" s="2378"/>
      <c r="AH69" s="348"/>
      <c r="AI69" s="348"/>
      <c r="AJ69" s="349" t="str">
        <f>IF(CSW_FLAG="","",IF(K69="","",K69))</f>
        <v/>
      </c>
      <c r="AK69" s="349"/>
      <c r="AL69" s="349"/>
      <c r="AM69" s="1715" t="str">
        <f>IF(U69="","",IF(U69&gt;Dictionary!$I$52,1,0))</f>
        <v/>
      </c>
      <c r="AO69" s="1589" t="str">
        <f>IF('PJM-Report-Scoring'!K60="","",'PJM-Report-Scoring'!K60)</f>
        <v/>
      </c>
      <c r="AP69" s="1589" t="str">
        <f>IF('PGM-Report-Scoring'!K60="","",'PGM-Report-Scoring'!K60)</f>
        <v/>
      </c>
      <c r="AQ69" s="1589" t="str">
        <f>IF('PFM-Report-Scoring'!K60="","",'PFM-Report-Scoring'!K60)</f>
        <v/>
      </c>
      <c r="AR69" s="1589" t="str">
        <f>IF(DOMAIN=COV!$T$72,Scoring!AO69,IF(DOMAIN=COV!$T$73,Scoring!AP69,IF(DOMAIN=COV!$T$74,Scoring!AQ69,"")))</f>
        <v/>
      </c>
      <c r="AS69" s="1589">
        <f t="shared" ref="AS69:AS71" si="25">IF(AR69="",AS70,AR69)</f>
        <v>0</v>
      </c>
    </row>
    <row r="70" spans="2:45" ht="54.75" customHeight="1">
      <c r="B70" s="1864" t="str">
        <f>".2"</f>
        <v>.2</v>
      </c>
      <c r="C70" s="1862">
        <f>Dictionary!X1336</f>
        <v>3</v>
      </c>
      <c r="D70" s="1866" t="str">
        <f>Dictionary!B1336</f>
        <v>Ownership übernehmen und Commitment zeigen</v>
      </c>
      <c r="E70" s="407">
        <v>3</v>
      </c>
      <c r="F70" s="352"/>
      <c r="G70" s="667" t="str">
        <f>IF('(8) Exam Evaluation'!Y70="","",'(8) Exam Evaluation'!Y70)</f>
        <v/>
      </c>
      <c r="H70" s="354"/>
      <c r="I70" s="353"/>
      <c r="J70" s="354"/>
      <c r="K70" s="353"/>
      <c r="L70" s="354"/>
      <c r="M70" s="353"/>
      <c r="N70" s="354"/>
      <c r="O70" s="667" t="str">
        <f t="shared" si="16"/>
        <v/>
      </c>
      <c r="P70" s="354"/>
      <c r="Q70" s="353"/>
      <c r="S70" s="353"/>
      <c r="T70" s="356" t="str">
        <f>IF(U70&gt;=0,U70,"")</f>
        <v/>
      </c>
      <c r="U70" s="667" t="str">
        <f t="shared" ref="U70:U73" si="26">IF(Q70="",O70,Q70)</f>
        <v/>
      </c>
      <c r="W70" s="1386"/>
      <c r="Y70" s="1386"/>
      <c r="AA70" s="1386"/>
      <c r="AB70" s="348"/>
      <c r="AC70" s="2376"/>
      <c r="AD70" s="2377"/>
      <c r="AE70" s="2377"/>
      <c r="AF70" s="2377"/>
      <c r="AG70" s="2378"/>
      <c r="AH70" s="348"/>
      <c r="AI70" s="348"/>
      <c r="AJ70" s="349" t="str">
        <f>IF(CSW_FLAG="","",IF(K70="","",K70))</f>
        <v/>
      </c>
      <c r="AK70" s="349"/>
      <c r="AL70" s="349"/>
      <c r="AM70" s="1715" t="str">
        <f>IF(U70="","",IF(U70&gt;Dictionary!$I$52,1,0))</f>
        <v/>
      </c>
      <c r="AO70" s="1589" t="str">
        <f>IF('PJM-Report-Scoring'!K61="","",'PJM-Report-Scoring'!K61)</f>
        <v/>
      </c>
      <c r="AP70" s="1589" t="str">
        <f>IF('PGM-Report-Scoring'!K61="","",'PGM-Report-Scoring'!K61)</f>
        <v/>
      </c>
      <c r="AQ70" s="1589" t="str">
        <f>IF('PFM-Report-Scoring'!K61="","",'PFM-Report-Scoring'!K61)</f>
        <v/>
      </c>
      <c r="AR70" s="1589" t="str">
        <f>IF(DOMAIN=COV!$T$72,Scoring!AO70,IF(DOMAIN=COV!$T$73,Scoring!AP70,IF(DOMAIN=COV!$T$74,Scoring!AQ70,"")))</f>
        <v/>
      </c>
      <c r="AS70" s="1589">
        <f t="shared" si="25"/>
        <v>0</v>
      </c>
    </row>
    <row r="71" spans="2:45" ht="54.75" customHeight="1">
      <c r="B71" s="1864" t="str">
        <f>".3"</f>
        <v>.3</v>
      </c>
      <c r="C71" s="1862">
        <f>Dictionary!X1337</f>
        <v>3</v>
      </c>
      <c r="D71" s="1866" t="str">
        <f>Dictionary!B1337</f>
        <v>Durch Vorgeben der Richtung, durch Coaching und Mentoring die Arbeit von Einzelpersonen und Teams leiten und verbessern</v>
      </c>
      <c r="E71" s="407">
        <v>3</v>
      </c>
      <c r="F71" s="352"/>
      <c r="G71" s="667" t="str">
        <f>IF('(8) Exam Evaluation'!Y71="","",'(8) Exam Evaluation'!Y71)</f>
        <v/>
      </c>
      <c r="H71" s="354"/>
      <c r="I71" s="353"/>
      <c r="J71" s="354"/>
      <c r="K71" s="353"/>
      <c r="L71" s="354"/>
      <c r="M71" s="353"/>
      <c r="N71" s="354"/>
      <c r="O71" s="667" t="str">
        <f t="shared" si="16"/>
        <v/>
      </c>
      <c r="P71" s="354"/>
      <c r="Q71" s="353"/>
      <c r="S71" s="353"/>
      <c r="T71" s="356" t="str">
        <f>IF(U71&gt;=0,U71,"")</f>
        <v/>
      </c>
      <c r="U71" s="667" t="str">
        <f t="shared" si="26"/>
        <v/>
      </c>
      <c r="W71" s="1386"/>
      <c r="Y71" s="1386"/>
      <c r="AA71" s="1386"/>
      <c r="AB71" s="348"/>
      <c r="AC71" s="2376"/>
      <c r="AD71" s="2377"/>
      <c r="AE71" s="2377"/>
      <c r="AF71" s="2377"/>
      <c r="AG71" s="2378"/>
      <c r="AH71" s="348"/>
      <c r="AI71" s="348"/>
      <c r="AJ71" s="349" t="str">
        <f>IF(CSW_FLAG="","",IF(K71="","",K71))</f>
        <v/>
      </c>
      <c r="AK71" s="349"/>
      <c r="AL71" s="349"/>
      <c r="AM71" s="1715" t="str">
        <f>IF(U71="","",IF(U71&gt;Dictionary!$I$52,1,0))</f>
        <v/>
      </c>
      <c r="AO71" s="1589" t="str">
        <f>IF('PJM-Report-Scoring'!K62="","",'PJM-Report-Scoring'!K62)</f>
        <v/>
      </c>
      <c r="AP71" s="1589" t="str">
        <f>IF('PGM-Report-Scoring'!K62="","",'PGM-Report-Scoring'!K62)</f>
        <v/>
      </c>
      <c r="AQ71" s="1589" t="str">
        <f>IF('PFM-Report-Scoring'!K62="","",'PFM-Report-Scoring'!K62)</f>
        <v/>
      </c>
      <c r="AR71" s="1589" t="str">
        <f>IF(DOMAIN=COV!$T$72,Scoring!AO71,IF(DOMAIN=COV!$T$73,Scoring!AP71,IF(DOMAIN=COV!$T$74,Scoring!AQ71,"")))</f>
        <v/>
      </c>
      <c r="AS71" s="1589">
        <f t="shared" si="25"/>
        <v>0</v>
      </c>
    </row>
    <row r="72" spans="2:45" ht="54.75" customHeight="1">
      <c r="B72" s="1864" t="str">
        <f>".4"</f>
        <v>.4</v>
      </c>
      <c r="C72" s="1862">
        <f>Dictionary!X1338</f>
        <v>3</v>
      </c>
      <c r="D72" s="1866" t="str">
        <f>Dictionary!B1338</f>
        <v>Macht und Einfluss angemessen auf Dritte ausüben, um die Ziele zu erreichen</v>
      </c>
      <c r="E72" s="407">
        <v>3</v>
      </c>
      <c r="F72" s="352"/>
      <c r="G72" s="667" t="str">
        <f>IF('(8) Exam Evaluation'!Y72="","",'(8) Exam Evaluation'!Y72)</f>
        <v/>
      </c>
      <c r="H72" s="354"/>
      <c r="I72" s="353"/>
      <c r="J72" s="354"/>
      <c r="K72" s="353"/>
      <c r="L72" s="354"/>
      <c r="M72" s="353"/>
      <c r="N72" s="354"/>
      <c r="O72" s="667" t="str">
        <f t="shared" si="16"/>
        <v/>
      </c>
      <c r="P72" s="354"/>
      <c r="Q72" s="353"/>
      <c r="S72" s="353"/>
      <c r="T72" s="356" t="str">
        <f>IF(U72&gt;=0,U72,"")</f>
        <v/>
      </c>
      <c r="U72" s="667" t="str">
        <f>IF(Q72="",O72,Q72)</f>
        <v/>
      </c>
      <c r="W72" s="1386"/>
      <c r="Y72" s="1386"/>
      <c r="AA72" s="1386"/>
      <c r="AB72" s="348"/>
      <c r="AC72" s="2376"/>
      <c r="AD72" s="2377"/>
      <c r="AE72" s="2377"/>
      <c r="AF72" s="2377"/>
      <c r="AG72" s="2378"/>
      <c r="AH72" s="348"/>
      <c r="AI72" s="348"/>
      <c r="AJ72" s="349" t="str">
        <f>IF(CSW_FLAG="","",IF(K72="","",K72))</f>
        <v/>
      </c>
      <c r="AK72" s="349"/>
      <c r="AL72" s="349"/>
      <c r="AM72" s="1715" t="str">
        <f>IF(U72="","",IF(U72&gt;Dictionary!$I$52,1,0))</f>
        <v/>
      </c>
      <c r="AO72" s="1589" t="str">
        <f>IF('PJM-Report-Scoring'!K63="","",'PJM-Report-Scoring'!K63)</f>
        <v/>
      </c>
      <c r="AP72" s="1589" t="str">
        <f>IF('PGM-Report-Scoring'!K63="","",'PGM-Report-Scoring'!K63)</f>
        <v/>
      </c>
      <c r="AQ72" s="1589" t="str">
        <f>IF('PFM-Report-Scoring'!K63="","",'PFM-Report-Scoring'!K63)</f>
        <v/>
      </c>
      <c r="AR72" s="1589" t="str">
        <f>IF(DOMAIN=COV!$T$72,Scoring!AO72,IF(DOMAIN=COV!$T$73,Scoring!AP72,IF(DOMAIN=COV!$T$74,Scoring!AQ72,"")))</f>
        <v/>
      </c>
      <c r="AS72" s="1589">
        <f>IF(AR72="",AS73,AR72)</f>
        <v>0</v>
      </c>
    </row>
    <row r="73" spans="2:45" ht="54.75" customHeight="1">
      <c r="B73" s="1864" t="str">
        <f>".5"</f>
        <v>.5</v>
      </c>
      <c r="C73" s="1862">
        <f>Dictionary!X1339</f>
        <v>3</v>
      </c>
      <c r="D73" s="1866" t="str">
        <f>Dictionary!B1339</f>
        <v>Entscheidungen treffen, durchsetzen und überprüfen</v>
      </c>
      <c r="E73" s="407">
        <v>3</v>
      </c>
      <c r="F73" s="352"/>
      <c r="G73" s="667" t="str">
        <f>IF('(8) Exam Evaluation'!Y73="","",'(8) Exam Evaluation'!Y73)</f>
        <v/>
      </c>
      <c r="H73" s="354"/>
      <c r="I73" s="353"/>
      <c r="J73" s="354"/>
      <c r="K73" s="353"/>
      <c r="L73" s="354"/>
      <c r="M73" s="353"/>
      <c r="N73" s="354"/>
      <c r="O73" s="667" t="str">
        <f t="shared" si="16"/>
        <v/>
      </c>
      <c r="P73" s="354"/>
      <c r="Q73" s="353"/>
      <c r="S73" s="353"/>
      <c r="T73" s="356" t="str">
        <f>IF(U73&gt;=0,U73,"")</f>
        <v/>
      </c>
      <c r="U73" s="667" t="str">
        <f t="shared" si="26"/>
        <v/>
      </c>
      <c r="W73" s="1386"/>
      <c r="Y73" s="1386"/>
      <c r="AA73" s="1386"/>
      <c r="AB73" s="348"/>
      <c r="AC73" s="2376"/>
      <c r="AD73" s="2377"/>
      <c r="AE73" s="2377"/>
      <c r="AF73" s="2377"/>
      <c r="AG73" s="2378"/>
      <c r="AH73" s="348"/>
      <c r="AI73" s="348"/>
      <c r="AJ73" s="349" t="str">
        <f>IF(CSW_FLAG="","",IF(K73="","",K73))</f>
        <v/>
      </c>
      <c r="AK73" s="349"/>
      <c r="AL73" s="349"/>
      <c r="AM73" s="1715" t="str">
        <f>IF(U73="","",IF(U73&gt;Dictionary!$I$52,1,0))</f>
        <v/>
      </c>
      <c r="AO73" s="1589">
        <f>IF('PJM-Report-Scoring'!K64="","",'PJM-Report-Scoring'!K64)</f>
        <v>0</v>
      </c>
      <c r="AP73" s="1589">
        <f>IF('PGM-Report-Scoring'!K64="","",'PGM-Report-Scoring'!K64)</f>
        <v>0</v>
      </c>
      <c r="AQ73" s="1589" t="str">
        <f>IF('PFM-Report-Scoring'!K64="","",'PFM-Report-Scoring'!K64)</f>
        <v/>
      </c>
      <c r="AR73" s="1589">
        <f>IF(DOMAIN=COV!$T$72,Scoring!AO73,IF(DOMAIN=COV!$T$73,Scoring!AP73,IF(DOMAIN=COV!$T$74,Scoring!AQ73,"")))</f>
        <v>0</v>
      </c>
      <c r="AS73" s="1590">
        <f>IF(AR73="","",AR73)</f>
        <v>0</v>
      </c>
    </row>
    <row r="74" spans="2:45" ht="16">
      <c r="B74" s="1861" t="s">
        <v>418</v>
      </c>
      <c r="C74" s="1862">
        <f>Dictionary!X1342</f>
        <v>3</v>
      </c>
      <c r="D74" s="1863" t="str">
        <f>Dictionary!B1342</f>
        <v>Teamarbeit</v>
      </c>
      <c r="E74" s="402">
        <v>3</v>
      </c>
      <c r="F74" s="343"/>
      <c r="G74" s="405"/>
      <c r="H74" s="315"/>
      <c r="I74" s="359"/>
      <c r="J74" s="360"/>
      <c r="K74" s="358"/>
      <c r="L74" s="360"/>
      <c r="M74" s="359"/>
      <c r="N74" s="315"/>
      <c r="O74" s="315"/>
      <c r="P74" s="315"/>
      <c r="Q74" s="359"/>
      <c r="S74" s="359"/>
      <c r="T74" s="356"/>
      <c r="U74" s="346" t="str">
        <f t="shared" si="15"/>
        <v/>
      </c>
      <c r="Y74" s="321"/>
      <c r="AA74" s="321"/>
      <c r="AB74" s="348"/>
      <c r="AC74" s="313"/>
      <c r="AD74" s="321"/>
      <c r="AE74" s="321"/>
      <c r="AF74" s="321"/>
      <c r="AG74" s="321"/>
      <c r="AH74" s="348"/>
      <c r="AI74" s="348"/>
      <c r="AJ74" s="348"/>
      <c r="AK74" s="349">
        <v>5</v>
      </c>
      <c r="AL74" s="349">
        <f>ROUNDUP(AK74/2,0)</f>
        <v>3</v>
      </c>
      <c r="AM74" s="346" t="str">
        <f>IF(COUNTBLANK(AM75:AM79)=$AK74,"",IF((COUNTIF(AM75:AM79,"&gt;=1")&gt;=AL74),"Pass","Fail"))</f>
        <v/>
      </c>
    </row>
    <row r="75" spans="2:45" ht="54.75" customHeight="1">
      <c r="B75" s="1864" t="str">
        <f>".1"</f>
        <v>.1</v>
      </c>
      <c r="C75" s="1862">
        <f>Dictionary!X1343</f>
        <v>3</v>
      </c>
      <c r="D75" s="1866" t="str">
        <f>Dictionary!B1343</f>
        <v>Das Team zusammenstellen und entwickeln</v>
      </c>
      <c r="E75" s="407">
        <v>3</v>
      </c>
      <c r="F75" s="352"/>
      <c r="G75" s="667" t="str">
        <f>IF('(8) Exam Evaluation'!Y75="","",'(8) Exam Evaluation'!Y75)</f>
        <v/>
      </c>
      <c r="H75" s="354"/>
      <c r="I75" s="353"/>
      <c r="J75" s="354"/>
      <c r="K75" s="353"/>
      <c r="L75" s="354"/>
      <c r="M75" s="353"/>
      <c r="N75" s="354"/>
      <c r="O75" s="667" t="str">
        <f t="shared" si="16"/>
        <v/>
      </c>
      <c r="P75" s="354"/>
      <c r="Q75" s="353"/>
      <c r="S75" s="353"/>
      <c r="T75" s="356" t="str">
        <f>IF(U75&gt;=0,U75,"")</f>
        <v/>
      </c>
      <c r="U75" s="667" t="str">
        <f>IF(Q75="",O75,Q75)</f>
        <v/>
      </c>
      <c r="W75" s="1386"/>
      <c r="Y75" s="1386"/>
      <c r="AA75" s="1386"/>
      <c r="AB75" s="348"/>
      <c r="AC75" s="2376"/>
      <c r="AD75" s="2377"/>
      <c r="AE75" s="2377"/>
      <c r="AF75" s="2377"/>
      <c r="AG75" s="2378"/>
      <c r="AH75" s="348"/>
      <c r="AI75" s="348"/>
      <c r="AJ75" s="349" t="str">
        <f>IF(CSW_FLAG="","",IF(K75="","",K75))</f>
        <v/>
      </c>
      <c r="AK75" s="349"/>
      <c r="AL75" s="349"/>
      <c r="AM75" s="1715" t="str">
        <f>IF(U75="","",IF(U75&gt;Dictionary!$I$52,1,0))</f>
        <v/>
      </c>
      <c r="AO75" s="1589" t="str">
        <f>IF('PJM-Report-Scoring'!K66="","",'PJM-Report-Scoring'!K66)</f>
        <v/>
      </c>
      <c r="AP75" s="1589" t="str">
        <f>IF('PGM-Report-Scoring'!K66="","",'PGM-Report-Scoring'!K66)</f>
        <v/>
      </c>
      <c r="AQ75" s="1589" t="str">
        <f>IF('PFM-Report-Scoring'!K66="","",'PFM-Report-Scoring'!K66)</f>
        <v/>
      </c>
      <c r="AR75" s="1589" t="str">
        <f>IF(DOMAIN=COV!$T$72,Scoring!AO75,IF(DOMAIN=COV!$T$73,Scoring!AP75,IF(DOMAIN=COV!$T$74,Scoring!AQ75,"")))</f>
        <v/>
      </c>
      <c r="AS75" s="1589" t="str">
        <f t="shared" ref="AS75:AS77" si="27">IF(AR75="",AS76,AR75)</f>
        <v/>
      </c>
    </row>
    <row r="76" spans="2:45" ht="54.75" customHeight="1">
      <c r="B76" s="1864" t="str">
        <f>".2"</f>
        <v>.2</v>
      </c>
      <c r="C76" s="1862">
        <f>Dictionary!X1344</f>
        <v>3</v>
      </c>
      <c r="D76" s="1866" t="str">
        <f>Dictionary!B1344</f>
        <v>Zusammenarbeit und Netzwerken zwischen Teammitgliedern fördern</v>
      </c>
      <c r="E76" s="407">
        <v>3</v>
      </c>
      <c r="F76" s="352"/>
      <c r="G76" s="667" t="str">
        <f>IF('(8) Exam Evaluation'!Y76="","",'(8) Exam Evaluation'!Y76)</f>
        <v/>
      </c>
      <c r="H76" s="354"/>
      <c r="I76" s="353"/>
      <c r="J76" s="354"/>
      <c r="K76" s="353"/>
      <c r="L76" s="354"/>
      <c r="M76" s="353"/>
      <c r="N76" s="354"/>
      <c r="O76" s="667" t="str">
        <f t="shared" si="16"/>
        <v/>
      </c>
      <c r="P76" s="354"/>
      <c r="Q76" s="353"/>
      <c r="S76" s="353"/>
      <c r="T76" s="356" t="str">
        <f>IF(U76&gt;=0,U76,"")</f>
        <v/>
      </c>
      <c r="U76" s="667" t="str">
        <f t="shared" ref="U76:U79" si="28">IF(Q76="",O76,Q76)</f>
        <v/>
      </c>
      <c r="W76" s="1386"/>
      <c r="Y76" s="1386"/>
      <c r="AA76" s="1386"/>
      <c r="AB76" s="348"/>
      <c r="AC76" s="2376"/>
      <c r="AD76" s="2377"/>
      <c r="AE76" s="2377"/>
      <c r="AF76" s="2377"/>
      <c r="AG76" s="2378"/>
      <c r="AH76" s="348"/>
      <c r="AI76" s="348"/>
      <c r="AJ76" s="349" t="str">
        <f>IF(CSW_FLAG="","",IF(K76="","",K76))</f>
        <v/>
      </c>
      <c r="AK76" s="349"/>
      <c r="AL76" s="349"/>
      <c r="AM76" s="1715" t="str">
        <f>IF(U76="","",IF(U76&gt;Dictionary!$I$52,1,0))</f>
        <v/>
      </c>
      <c r="AO76" s="1589" t="str">
        <f>IF('PJM-Report-Scoring'!K67="","",'PJM-Report-Scoring'!K67)</f>
        <v/>
      </c>
      <c r="AP76" s="1589" t="str">
        <f>IF('PGM-Report-Scoring'!K67="","",'PGM-Report-Scoring'!K67)</f>
        <v/>
      </c>
      <c r="AQ76" s="1589" t="str">
        <f>IF('PFM-Report-Scoring'!K67="","",'PFM-Report-Scoring'!K67)</f>
        <v/>
      </c>
      <c r="AR76" s="1589" t="str">
        <f>IF(DOMAIN=COV!$T$72,Scoring!AO76,IF(DOMAIN=COV!$T$73,Scoring!AP76,IF(DOMAIN=COV!$T$74,Scoring!AQ76,"")))</f>
        <v/>
      </c>
      <c r="AS76" s="1589" t="str">
        <f t="shared" si="27"/>
        <v/>
      </c>
    </row>
    <row r="77" spans="2:45" ht="54.75" customHeight="1">
      <c r="B77" s="1864" t="str">
        <f>".3"</f>
        <v>.3</v>
      </c>
      <c r="C77" s="1862">
        <f>Dictionary!X1345</f>
        <v>3</v>
      </c>
      <c r="D77" s="1866" t="str">
        <f>Dictionary!B1345</f>
        <v>Die Entwicklung des Teams und der Teammitglieder ermöglichen, unterstützen und überprüfen</v>
      </c>
      <c r="E77" s="407">
        <v>3</v>
      </c>
      <c r="F77" s="352"/>
      <c r="G77" s="667" t="str">
        <f>IF('(8) Exam Evaluation'!Y77="","",'(8) Exam Evaluation'!Y77)</f>
        <v/>
      </c>
      <c r="H77" s="354"/>
      <c r="I77" s="353"/>
      <c r="J77" s="354"/>
      <c r="K77" s="353"/>
      <c r="L77" s="354"/>
      <c r="M77" s="353"/>
      <c r="N77" s="354"/>
      <c r="O77" s="667" t="str">
        <f t="shared" si="16"/>
        <v/>
      </c>
      <c r="P77" s="354"/>
      <c r="Q77" s="353"/>
      <c r="S77" s="353"/>
      <c r="T77" s="356" t="str">
        <f>IF(U77&gt;=0,U77,"")</f>
        <v/>
      </c>
      <c r="U77" s="667" t="str">
        <f t="shared" si="28"/>
        <v/>
      </c>
      <c r="W77" s="1386"/>
      <c r="Y77" s="1386"/>
      <c r="AA77" s="1386"/>
      <c r="AB77" s="348"/>
      <c r="AC77" s="2376"/>
      <c r="AD77" s="2377"/>
      <c r="AE77" s="2377"/>
      <c r="AF77" s="2377"/>
      <c r="AG77" s="2378"/>
      <c r="AH77" s="348"/>
      <c r="AI77" s="348"/>
      <c r="AJ77" s="349" t="str">
        <f>IF(CSW_FLAG="","",IF(K77="","",K77))</f>
        <v/>
      </c>
      <c r="AK77" s="349"/>
      <c r="AL77" s="349"/>
      <c r="AM77" s="1715" t="str">
        <f>IF(U77="","",IF(U77&gt;Dictionary!$I$52,1,0))</f>
        <v/>
      </c>
      <c r="AO77" s="1589" t="str">
        <f>IF('PJM-Report-Scoring'!K68="","",'PJM-Report-Scoring'!K68)</f>
        <v/>
      </c>
      <c r="AP77" s="1589" t="str">
        <f>IF('PGM-Report-Scoring'!K68="","",'PGM-Report-Scoring'!K68)</f>
        <v/>
      </c>
      <c r="AQ77" s="1589" t="str">
        <f>IF('PFM-Report-Scoring'!K68="","",'PFM-Report-Scoring'!K68)</f>
        <v/>
      </c>
      <c r="AR77" s="1589" t="str">
        <f>IF(DOMAIN=COV!$T$72,Scoring!AO77,IF(DOMAIN=COV!$T$73,Scoring!AP77,IF(DOMAIN=COV!$T$74,Scoring!AQ77,"")))</f>
        <v/>
      </c>
      <c r="AS77" s="1589" t="str">
        <f t="shared" si="27"/>
        <v/>
      </c>
    </row>
    <row r="78" spans="2:45" ht="54.75" customHeight="1">
      <c r="B78" s="1864" t="str">
        <f>".4"</f>
        <v>.4</v>
      </c>
      <c r="C78" s="1862">
        <f>Dictionary!X1346</f>
        <v>3</v>
      </c>
      <c r="D78" s="1866" t="str">
        <f>Dictionary!B1346</f>
        <v>Teams durch das Delegieren von Aufgaben und Verantwortlichkeiten stärken</v>
      </c>
      <c r="E78" s="407">
        <v>3</v>
      </c>
      <c r="F78" s="352"/>
      <c r="G78" s="667" t="str">
        <f>IF('(8) Exam Evaluation'!Y78="","",'(8) Exam Evaluation'!Y78)</f>
        <v/>
      </c>
      <c r="H78" s="354"/>
      <c r="I78" s="353"/>
      <c r="J78" s="354"/>
      <c r="K78" s="353"/>
      <c r="L78" s="354"/>
      <c r="M78" s="353"/>
      <c r="N78" s="354"/>
      <c r="O78" s="667" t="str">
        <f t="shared" si="16"/>
        <v/>
      </c>
      <c r="P78" s="354"/>
      <c r="Q78" s="353"/>
      <c r="S78" s="353"/>
      <c r="T78" s="356" t="str">
        <f>IF(U78&gt;=0,U78,"")</f>
        <v/>
      </c>
      <c r="U78" s="667" t="str">
        <f>IF(Q78="",O78,Q78)</f>
        <v/>
      </c>
      <c r="W78" s="1386"/>
      <c r="Y78" s="1386"/>
      <c r="AA78" s="1386"/>
      <c r="AB78" s="348"/>
      <c r="AC78" s="2376"/>
      <c r="AD78" s="2377"/>
      <c r="AE78" s="2377"/>
      <c r="AF78" s="2377"/>
      <c r="AG78" s="2378"/>
      <c r="AH78" s="348"/>
      <c r="AI78" s="348"/>
      <c r="AJ78" s="349" t="str">
        <f>IF(CSW_FLAG="","",IF(K78="","",K78))</f>
        <v/>
      </c>
      <c r="AK78" s="349"/>
      <c r="AL78" s="349"/>
      <c r="AM78" s="1715" t="str">
        <f>IF(U78="","",IF(U78&gt;Dictionary!$I$52,1,0))</f>
        <v/>
      </c>
      <c r="AO78" s="1589" t="str">
        <f>IF('PJM-Report-Scoring'!K69="","",'PJM-Report-Scoring'!K69)</f>
        <v/>
      </c>
      <c r="AP78" s="1589" t="str">
        <f>IF('PGM-Report-Scoring'!K69="","",'PGM-Report-Scoring'!K69)</f>
        <v/>
      </c>
      <c r="AQ78" s="1589" t="str">
        <f>IF('PFM-Report-Scoring'!K69="","",'PFM-Report-Scoring'!K69)</f>
        <v/>
      </c>
      <c r="AR78" s="1589" t="str">
        <f>IF(DOMAIN=COV!$T$72,Scoring!AO78,IF(DOMAIN=COV!$T$73,Scoring!AP78,IF(DOMAIN=COV!$T$74,Scoring!AQ78,"")))</f>
        <v/>
      </c>
      <c r="AS78" s="1589" t="str">
        <f>IF(AR78="",AS79,AR78)</f>
        <v/>
      </c>
    </row>
    <row r="79" spans="2:45" ht="54.75" customHeight="1">
      <c r="B79" s="1864" t="str">
        <f>".5"</f>
        <v>.5</v>
      </c>
      <c r="C79" s="1862">
        <f>Dictionary!X1347</f>
        <v>3</v>
      </c>
      <c r="D79" s="1866" t="str">
        <f>Dictionary!B1347</f>
        <v>Fehler erkennen, um das Lernen aus Fehlern zu ermöglichen</v>
      </c>
      <c r="E79" s="407">
        <v>3</v>
      </c>
      <c r="F79" s="352"/>
      <c r="G79" s="667" t="str">
        <f>IF('(8) Exam Evaluation'!Y79="","",'(8) Exam Evaluation'!Y79)</f>
        <v/>
      </c>
      <c r="H79" s="354"/>
      <c r="I79" s="353"/>
      <c r="J79" s="354"/>
      <c r="K79" s="353"/>
      <c r="L79" s="354"/>
      <c r="M79" s="353"/>
      <c r="N79" s="354"/>
      <c r="O79" s="667" t="str">
        <f t="shared" si="16"/>
        <v/>
      </c>
      <c r="P79" s="354"/>
      <c r="Q79" s="353"/>
      <c r="S79" s="353"/>
      <c r="T79" s="356" t="str">
        <f>IF(U79&gt;=0,U79,"")</f>
        <v/>
      </c>
      <c r="U79" s="667" t="str">
        <f t="shared" si="28"/>
        <v/>
      </c>
      <c r="W79" s="1386"/>
      <c r="Y79" s="1386"/>
      <c r="AA79" s="1386"/>
      <c r="AB79" s="348"/>
      <c r="AC79" s="2376"/>
      <c r="AD79" s="2377"/>
      <c r="AE79" s="2377"/>
      <c r="AF79" s="2377"/>
      <c r="AG79" s="2378"/>
      <c r="AH79" s="348"/>
      <c r="AI79" s="348"/>
      <c r="AJ79" s="349" t="str">
        <f>IF(CSW_FLAG="","",IF(K79="","",K79))</f>
        <v/>
      </c>
      <c r="AK79" s="349"/>
      <c r="AL79" s="349"/>
      <c r="AM79" s="1715" t="str">
        <f>IF(U79="","",IF(U79&gt;Dictionary!$I$52,1,0))</f>
        <v/>
      </c>
      <c r="AO79" s="1589" t="str">
        <f>IF('PJM-Report-Scoring'!K70="","",'PJM-Report-Scoring'!K70)</f>
        <v/>
      </c>
      <c r="AP79" s="1589" t="str">
        <f>IF('PGM-Report-Scoring'!K70="","",'PGM-Report-Scoring'!K70)</f>
        <v/>
      </c>
      <c r="AQ79" s="1589" t="str">
        <f>IF('PFM-Report-Scoring'!K70="","",'PFM-Report-Scoring'!K70)</f>
        <v/>
      </c>
      <c r="AR79" s="1589" t="str">
        <f>IF(DOMAIN=COV!$T$72,Scoring!AO79,IF(DOMAIN=COV!$T$73,Scoring!AP79,IF(DOMAIN=COV!$T$74,Scoring!AQ79,"")))</f>
        <v/>
      </c>
      <c r="AS79" s="1590" t="str">
        <f>IF(AR79="","",AR79)</f>
        <v/>
      </c>
    </row>
    <row r="80" spans="2:45" ht="16">
      <c r="B80" s="1861" t="s">
        <v>412</v>
      </c>
      <c r="C80" s="1862">
        <f>Dictionary!X1350</f>
        <v>3</v>
      </c>
      <c r="D80" s="1863" t="str">
        <f>Dictionary!B1350</f>
        <v>Konflikte und Krisen</v>
      </c>
      <c r="E80" s="402">
        <v>3</v>
      </c>
      <c r="F80" s="343"/>
      <c r="G80" s="405"/>
      <c r="H80" s="315"/>
      <c r="I80" s="359"/>
      <c r="J80" s="360"/>
      <c r="K80" s="358"/>
      <c r="L80" s="360"/>
      <c r="M80" s="359"/>
      <c r="N80" s="315"/>
      <c r="O80" s="315"/>
      <c r="P80" s="315"/>
      <c r="Q80" s="359"/>
      <c r="S80" s="359"/>
      <c r="T80" s="356"/>
      <c r="U80" s="346" t="str">
        <f t="shared" ref="U80:U97" si="29">AM80</f>
        <v/>
      </c>
      <c r="Y80" s="321"/>
      <c r="AA80" s="321"/>
      <c r="AB80" s="348"/>
      <c r="AC80" s="313"/>
      <c r="AD80" s="321"/>
      <c r="AE80" s="321"/>
      <c r="AF80" s="321"/>
      <c r="AG80" s="321"/>
      <c r="AH80" s="348"/>
      <c r="AI80" s="348"/>
      <c r="AJ80" s="348"/>
      <c r="AK80" s="349">
        <v>4</v>
      </c>
      <c r="AL80" s="349">
        <f>ROUNDUP(AK80/2,0)</f>
        <v>2</v>
      </c>
      <c r="AM80" s="346" t="str">
        <f>IF(COUNTBLANK(AM81:AM84)=$AK80,"",IF((COUNTIF(AM81:AM84,"&gt;=1")&gt;=AL80),"Pass","Fail"))</f>
        <v/>
      </c>
    </row>
    <row r="81" spans="2:45" ht="54.75" customHeight="1">
      <c r="B81" s="1864" t="str">
        <f>".1"</f>
        <v>.1</v>
      </c>
      <c r="C81" s="1862">
        <f>Dictionary!X1351</f>
        <v>3</v>
      </c>
      <c r="D81" s="1866" t="str">
        <f>Dictionary!B1351</f>
        <v>Konflikte und Krisen antizipieren und, wenn möglich, verhindern</v>
      </c>
      <c r="E81" s="407">
        <v>3</v>
      </c>
      <c r="F81" s="352"/>
      <c r="G81" s="667" t="str">
        <f>IF('(8) Exam Evaluation'!Y81="","",'(8) Exam Evaluation'!Y81)</f>
        <v/>
      </c>
      <c r="H81" s="354"/>
      <c r="I81" s="353"/>
      <c r="J81" s="354"/>
      <c r="K81" s="353"/>
      <c r="L81" s="354"/>
      <c r="M81" s="353"/>
      <c r="N81" s="354"/>
      <c r="O81" s="667" t="str">
        <f t="shared" si="16"/>
        <v/>
      </c>
      <c r="P81" s="354"/>
      <c r="Q81" s="353"/>
      <c r="S81" s="353"/>
      <c r="T81" s="356" t="str">
        <f>IF(U81&gt;=0,U81,"")</f>
        <v/>
      </c>
      <c r="U81" s="667" t="str">
        <f>IF(Q81="",O81,Q81)</f>
        <v/>
      </c>
      <c r="W81" s="1386"/>
      <c r="Y81" s="1386"/>
      <c r="AA81" s="1386"/>
      <c r="AB81" s="348"/>
      <c r="AC81" s="2376"/>
      <c r="AD81" s="2377"/>
      <c r="AE81" s="2377"/>
      <c r="AF81" s="2377"/>
      <c r="AG81" s="2378"/>
      <c r="AH81" s="348"/>
      <c r="AI81" s="348"/>
      <c r="AJ81" s="349" t="str">
        <f>IF(CSW_FLAG="","",IF(K81="","",K81))</f>
        <v/>
      </c>
      <c r="AK81" s="349"/>
      <c r="AL81" s="349"/>
      <c r="AM81" s="1715" t="str">
        <f>IF(U81="","",IF(U81&gt;Dictionary!$I$52,1,0))</f>
        <v/>
      </c>
      <c r="AO81" s="1589" t="str">
        <f>IF('PJM-Report-Scoring'!K72="","",'PJM-Report-Scoring'!K72)</f>
        <v/>
      </c>
      <c r="AP81" s="1589" t="str">
        <f>IF('PGM-Report-Scoring'!K72="","",'PGM-Report-Scoring'!K72)</f>
        <v/>
      </c>
      <c r="AQ81" s="1589" t="str">
        <f>IF('PFM-Report-Scoring'!K72="","",'PFM-Report-Scoring'!K72)</f>
        <v/>
      </c>
      <c r="AR81" s="1589" t="str">
        <f>IF(DOMAIN=COV!$T$72,Scoring!AO81,IF(DOMAIN=COV!$T$73,Scoring!AP81,IF(DOMAIN=COV!$T$74,Scoring!AQ81,"")))</f>
        <v/>
      </c>
      <c r="AS81" s="1589" t="str">
        <f t="shared" ref="AS81:AS82" si="30">IF(AR81="",AS82,AR81)</f>
        <v/>
      </c>
    </row>
    <row r="82" spans="2:45" ht="54.75" customHeight="1">
      <c r="B82" s="1864" t="str">
        <f>".2"</f>
        <v>.2</v>
      </c>
      <c r="C82" s="1862">
        <f>Dictionary!X1352</f>
        <v>3</v>
      </c>
      <c r="D82" s="1866" t="str">
        <f>Dictionary!B1352</f>
        <v>Ursachen und Auswirkungen von Konflikten und Krisen analysieren und angemessene Reaktionen auswählen</v>
      </c>
      <c r="E82" s="407">
        <v>3</v>
      </c>
      <c r="F82" s="352"/>
      <c r="G82" s="667" t="str">
        <f>IF('(8) Exam Evaluation'!Y82="","",'(8) Exam Evaluation'!Y82)</f>
        <v/>
      </c>
      <c r="H82" s="354"/>
      <c r="I82" s="353"/>
      <c r="J82" s="354"/>
      <c r="K82" s="353"/>
      <c r="L82" s="354"/>
      <c r="M82" s="353"/>
      <c r="N82" s="354"/>
      <c r="O82" s="667" t="str">
        <f t="shared" si="16"/>
        <v/>
      </c>
      <c r="P82" s="354"/>
      <c r="Q82" s="353"/>
      <c r="S82" s="353"/>
      <c r="T82" s="356" t="str">
        <f>IF(U82&gt;=0,U82,"")</f>
        <v/>
      </c>
      <c r="U82" s="667" t="str">
        <f t="shared" ref="U82:U83" si="31">IF(Q82="",O82,Q82)</f>
        <v/>
      </c>
      <c r="W82" s="1386"/>
      <c r="Y82" s="1386"/>
      <c r="AA82" s="1386"/>
      <c r="AB82" s="348"/>
      <c r="AC82" s="2376"/>
      <c r="AD82" s="2377"/>
      <c r="AE82" s="2377"/>
      <c r="AF82" s="2377"/>
      <c r="AG82" s="2378"/>
      <c r="AH82" s="348"/>
      <c r="AI82" s="348"/>
      <c r="AJ82" s="349" t="str">
        <f>IF(CSW_FLAG="","",IF(K82="","",K82))</f>
        <v/>
      </c>
      <c r="AK82" s="349"/>
      <c r="AL82" s="349"/>
      <c r="AM82" s="1715" t="str">
        <f>IF(U82="","",IF(U82&gt;Dictionary!$I$52,1,0))</f>
        <v/>
      </c>
      <c r="AO82" s="1589" t="str">
        <f>IF('PJM-Report-Scoring'!K73="","",'PJM-Report-Scoring'!K73)</f>
        <v/>
      </c>
      <c r="AP82" s="1589" t="str">
        <f>IF('PGM-Report-Scoring'!K73="","",'PGM-Report-Scoring'!K73)</f>
        <v/>
      </c>
      <c r="AQ82" s="1589" t="str">
        <f>IF('PFM-Report-Scoring'!K73="","",'PFM-Report-Scoring'!K73)</f>
        <v/>
      </c>
      <c r="AR82" s="1589" t="str">
        <f>IF(DOMAIN=COV!$T$72,Scoring!AO82,IF(DOMAIN=COV!$T$73,Scoring!AP82,IF(DOMAIN=COV!$T$74,Scoring!AQ82,"")))</f>
        <v/>
      </c>
      <c r="AS82" s="1589" t="str">
        <f t="shared" si="30"/>
        <v/>
      </c>
    </row>
    <row r="83" spans="2:45" ht="54.75" customHeight="1">
      <c r="B83" s="1864" t="str">
        <f>".3"</f>
        <v>.3</v>
      </c>
      <c r="C83" s="1862">
        <f>Dictionary!X1353</f>
        <v>3</v>
      </c>
      <c r="D83" s="1866" t="str">
        <f>Dictionary!B1353</f>
        <v>Konflikte und Krisen und / oder deren Auswirkungen lösen bzw in ihnen vermitteln</v>
      </c>
      <c r="E83" s="407">
        <v>3</v>
      </c>
      <c r="F83" s="352"/>
      <c r="G83" s="667" t="str">
        <f>IF('(8) Exam Evaluation'!Y83="","",'(8) Exam Evaluation'!Y83)</f>
        <v/>
      </c>
      <c r="H83" s="354"/>
      <c r="I83" s="353"/>
      <c r="J83" s="354"/>
      <c r="K83" s="353"/>
      <c r="L83" s="354"/>
      <c r="M83" s="353"/>
      <c r="N83" s="354"/>
      <c r="O83" s="667" t="str">
        <f t="shared" si="16"/>
        <v/>
      </c>
      <c r="P83" s="354"/>
      <c r="Q83" s="353"/>
      <c r="S83" s="353"/>
      <c r="T83" s="356" t="str">
        <f>IF(U83&gt;=0,U83,"")</f>
        <v/>
      </c>
      <c r="U83" s="667" t="str">
        <f t="shared" si="31"/>
        <v/>
      </c>
      <c r="W83" s="1386"/>
      <c r="Y83" s="1386"/>
      <c r="AA83" s="1386"/>
      <c r="AB83" s="348"/>
      <c r="AC83" s="2376"/>
      <c r="AD83" s="2377"/>
      <c r="AE83" s="2377"/>
      <c r="AF83" s="2377"/>
      <c r="AG83" s="2378"/>
      <c r="AH83" s="348"/>
      <c r="AI83" s="348"/>
      <c r="AJ83" s="349" t="str">
        <f>IF(CSW_FLAG="","",IF(K83="","",K83))</f>
        <v/>
      </c>
      <c r="AK83" s="349"/>
      <c r="AL83" s="349"/>
      <c r="AM83" s="1715" t="str">
        <f>IF(U83="","",IF(U83&gt;Dictionary!$I$52,1,0))</f>
        <v/>
      </c>
      <c r="AO83" s="1589" t="str">
        <f>IF('PJM-Report-Scoring'!K74="","",'PJM-Report-Scoring'!K74)</f>
        <v/>
      </c>
      <c r="AP83" s="1589" t="str">
        <f>IF('PGM-Report-Scoring'!K74="","",'PGM-Report-Scoring'!K74)</f>
        <v/>
      </c>
      <c r="AQ83" s="1589" t="str">
        <f>IF('PFM-Report-Scoring'!K74="","",'PFM-Report-Scoring'!K74)</f>
        <v/>
      </c>
      <c r="AR83" s="1589" t="str">
        <f>IF(DOMAIN=COV!$T$72,Scoring!AO83,IF(DOMAIN=COV!$T$73,Scoring!AP83,IF(DOMAIN=COV!$T$74,Scoring!AQ83,"")))</f>
        <v/>
      </c>
      <c r="AS83" s="1589" t="str">
        <f>IF(AR83="",AS84,AR83)</f>
        <v/>
      </c>
    </row>
    <row r="84" spans="2:45" ht="54.75" customHeight="1">
      <c r="B84" s="1864" t="str">
        <f>".4"</f>
        <v>.4</v>
      </c>
      <c r="C84" s="1862">
        <f>Dictionary!X1354</f>
        <v>3</v>
      </c>
      <c r="D84" s="1866" t="str">
        <f>Dictionary!B1354</f>
        <v>Lernergebnisse aus Konflikten und Krisen identifizieren und weitergehen, um die zukünftige Arbeit zu verbessern</v>
      </c>
      <c r="E84" s="407">
        <v>3</v>
      </c>
      <c r="F84" s="352"/>
      <c r="G84" s="667" t="str">
        <f>IF('(8) Exam Evaluation'!Y84="","",'(8) Exam Evaluation'!Y84)</f>
        <v/>
      </c>
      <c r="H84" s="354"/>
      <c r="I84" s="353"/>
      <c r="J84" s="354"/>
      <c r="K84" s="353"/>
      <c r="L84" s="354"/>
      <c r="M84" s="353"/>
      <c r="N84" s="354"/>
      <c r="O84" s="667" t="str">
        <f t="shared" si="16"/>
        <v/>
      </c>
      <c r="P84" s="354"/>
      <c r="Q84" s="353"/>
      <c r="S84" s="353"/>
      <c r="T84" s="356" t="str">
        <f>IF(U84&gt;=0,U84,"")</f>
        <v/>
      </c>
      <c r="U84" s="667" t="str">
        <f>IF(Q84="",O84,Q84)</f>
        <v/>
      </c>
      <c r="W84" s="1386"/>
      <c r="Y84" s="1386"/>
      <c r="AA84" s="1386"/>
      <c r="AB84" s="348"/>
      <c r="AC84" s="2376"/>
      <c r="AD84" s="2377"/>
      <c r="AE84" s="2377"/>
      <c r="AF84" s="2377"/>
      <c r="AG84" s="2378"/>
      <c r="AH84" s="348"/>
      <c r="AI84" s="348"/>
      <c r="AJ84" s="349" t="str">
        <f>IF(CSW_FLAG="","",IF(K84="","",K84))</f>
        <v/>
      </c>
      <c r="AK84" s="349"/>
      <c r="AL84" s="349"/>
      <c r="AM84" s="1715" t="str">
        <f>IF(U84="","",IF(U84&gt;Dictionary!$I$52,1,0))</f>
        <v/>
      </c>
      <c r="AO84" s="1589" t="str">
        <f>IF('PJM-Report-Scoring'!K75="","",'PJM-Report-Scoring'!K75)</f>
        <v/>
      </c>
      <c r="AP84" s="1589" t="str">
        <f>IF('PGM-Report-Scoring'!K75="","",'PGM-Report-Scoring'!K75)</f>
        <v/>
      </c>
      <c r="AQ84" s="1589" t="str">
        <f>IF('PFM-Report-Scoring'!K75="","",'PFM-Report-Scoring'!K75)</f>
        <v/>
      </c>
      <c r="AR84" s="1589" t="str">
        <f>IF(DOMAIN=COV!$T$72,Scoring!AO84,IF(DOMAIN=COV!$T$73,Scoring!AP84,IF(DOMAIN=COV!$T$74,Scoring!AQ84,"")))</f>
        <v/>
      </c>
      <c r="AS84" s="1590" t="str">
        <f>IF(AR84="","",AR84)</f>
        <v/>
      </c>
    </row>
    <row r="85" spans="2:45" ht="16">
      <c r="B85" s="1861" t="s">
        <v>407</v>
      </c>
      <c r="C85" s="1862">
        <f>Dictionary!X1357</f>
        <v>3</v>
      </c>
      <c r="D85" s="1863" t="str">
        <f>Dictionary!B1357</f>
        <v>Vielseitigkeit</v>
      </c>
      <c r="E85" s="402">
        <v>3</v>
      </c>
      <c r="F85" s="343"/>
      <c r="G85" s="405"/>
      <c r="H85" s="315"/>
      <c r="I85" s="359"/>
      <c r="J85" s="360"/>
      <c r="K85" s="358"/>
      <c r="L85" s="360"/>
      <c r="M85" s="359"/>
      <c r="N85" s="315"/>
      <c r="O85" s="315"/>
      <c r="P85" s="315"/>
      <c r="Q85" s="359"/>
      <c r="S85" s="359"/>
      <c r="T85" s="356"/>
      <c r="U85" s="346" t="str">
        <f t="shared" si="29"/>
        <v/>
      </c>
      <c r="Y85" s="321"/>
      <c r="AA85" s="321"/>
      <c r="AB85" s="348"/>
      <c r="AC85" s="313"/>
      <c r="AD85" s="321"/>
      <c r="AE85" s="321"/>
      <c r="AF85" s="321"/>
      <c r="AG85" s="321"/>
      <c r="AH85" s="348"/>
      <c r="AI85" s="348"/>
      <c r="AJ85" s="348"/>
      <c r="AK85" s="349">
        <v>5</v>
      </c>
      <c r="AL85" s="349">
        <f>ROUNDUP(AK85/2,0)</f>
        <v>3</v>
      </c>
      <c r="AM85" s="346" t="str">
        <f>IF(COUNTBLANK(AM86:AM90)=$AK85,"",IF((COUNTIF(AM86:AM90,"&gt;=1")&gt;=AL85),"Pass","Fail"))</f>
        <v/>
      </c>
    </row>
    <row r="86" spans="2:45" ht="54.75" customHeight="1">
      <c r="B86" s="1864" t="str">
        <f>".1"</f>
        <v>.1</v>
      </c>
      <c r="C86" s="1862">
        <f>Dictionary!X1358</f>
        <v>3</v>
      </c>
      <c r="D86" s="1866" t="str">
        <f>Dictionary!B1358</f>
        <v>Ein offenes und kreatives Umfeld schaffen und unterstützen</v>
      </c>
      <c r="E86" s="407">
        <v>3</v>
      </c>
      <c r="F86" s="352"/>
      <c r="G86" s="667" t="str">
        <f>IF('(8) Exam Evaluation'!Y86="","",'(8) Exam Evaluation'!Y86)</f>
        <v/>
      </c>
      <c r="H86" s="354"/>
      <c r="I86" s="353"/>
      <c r="J86" s="354"/>
      <c r="K86" s="353"/>
      <c r="L86" s="354"/>
      <c r="M86" s="353"/>
      <c r="N86" s="354"/>
      <c r="O86" s="667" t="str">
        <f t="shared" si="16"/>
        <v/>
      </c>
      <c r="P86" s="354"/>
      <c r="Q86" s="353"/>
      <c r="S86" s="353"/>
      <c r="T86" s="356" t="str">
        <f>IF(U86&gt;=0,U86,"")</f>
        <v/>
      </c>
      <c r="U86" s="667" t="str">
        <f>IF(Q86="",O86,Q86)</f>
        <v/>
      </c>
      <c r="W86" s="1386"/>
      <c r="Y86" s="1386"/>
      <c r="AA86" s="1386"/>
      <c r="AB86" s="348"/>
      <c r="AC86" s="2376"/>
      <c r="AD86" s="2377"/>
      <c r="AE86" s="2377"/>
      <c r="AF86" s="2377"/>
      <c r="AG86" s="2378"/>
      <c r="AH86" s="348"/>
      <c r="AI86" s="348"/>
      <c r="AJ86" s="349" t="str">
        <f>IF(CSW_FLAG="","",IF(K86="","",K86))</f>
        <v/>
      </c>
      <c r="AK86" s="349"/>
      <c r="AL86" s="349"/>
      <c r="AM86" s="1715" t="str">
        <f>IF(U86="","",IF(U86&gt;Dictionary!$I$52,1,0))</f>
        <v/>
      </c>
      <c r="AO86" s="1589" t="str">
        <f>IF('PJM-Report-Scoring'!K77="","",'PJM-Report-Scoring'!K77)</f>
        <v/>
      </c>
      <c r="AP86" s="1589" t="str">
        <f>IF('PGM-Report-Scoring'!K77="","",'PGM-Report-Scoring'!K77)</f>
        <v/>
      </c>
      <c r="AQ86" s="1589" t="str">
        <f>IF('PFM-Report-Scoring'!K77="","",'PFM-Report-Scoring'!K77)</f>
        <v/>
      </c>
      <c r="AR86" s="1589" t="str">
        <f>IF(DOMAIN=COV!$T$72,Scoring!AO86,IF(DOMAIN=COV!$T$73,Scoring!AP86,IF(DOMAIN=COV!$T$74,Scoring!AQ86,"")))</f>
        <v/>
      </c>
      <c r="AS86" s="1589" t="str">
        <f t="shared" ref="AS86:AS88" si="32">IF(AR86="",AS87,AR86)</f>
        <v/>
      </c>
    </row>
    <row r="87" spans="2:45" ht="54.75" customHeight="1">
      <c r="B87" s="1864" t="str">
        <f>".2"</f>
        <v>.2</v>
      </c>
      <c r="C87" s="1862">
        <f>Dictionary!X1359</f>
        <v>3</v>
      </c>
      <c r="D87" s="1866" t="str">
        <f>Dictionary!B1359</f>
        <v>Konzeptionelles Denken anwenden, um Situationen zu analysieren und Lösungsstrategien zu definieren</v>
      </c>
      <c r="E87" s="407">
        <v>3</v>
      </c>
      <c r="F87" s="352"/>
      <c r="G87" s="667" t="str">
        <f>IF('(8) Exam Evaluation'!Y87="","",'(8) Exam Evaluation'!Y87)</f>
        <v/>
      </c>
      <c r="H87" s="354"/>
      <c r="I87" s="353"/>
      <c r="J87" s="354"/>
      <c r="K87" s="353"/>
      <c r="L87" s="354"/>
      <c r="M87" s="353"/>
      <c r="N87" s="354"/>
      <c r="O87" s="667" t="str">
        <f t="shared" si="16"/>
        <v/>
      </c>
      <c r="P87" s="354"/>
      <c r="Q87" s="353"/>
      <c r="S87" s="353"/>
      <c r="T87" s="356" t="str">
        <f>IF(U87&gt;=0,U87,"")</f>
        <v/>
      </c>
      <c r="U87" s="667" t="str">
        <f t="shared" ref="U87:U88" si="33">IF(Q87="",O87,Q87)</f>
        <v/>
      </c>
      <c r="W87" s="1386"/>
      <c r="Y87" s="1386"/>
      <c r="AA87" s="1386"/>
      <c r="AB87" s="348"/>
      <c r="AC87" s="2376"/>
      <c r="AD87" s="2377"/>
      <c r="AE87" s="2377"/>
      <c r="AF87" s="2377"/>
      <c r="AG87" s="2378"/>
      <c r="AH87" s="348"/>
      <c r="AI87" s="348"/>
      <c r="AJ87" s="349" t="str">
        <f>IF(CSW_FLAG="","",IF(K87="","",K87))</f>
        <v/>
      </c>
      <c r="AK87" s="349"/>
      <c r="AL87" s="349"/>
      <c r="AM87" s="1715" t="str">
        <f>IF(U87="","",IF(U87&gt;Dictionary!$I$52,1,0))</f>
        <v/>
      </c>
      <c r="AO87" s="1589" t="str">
        <f>IF('PJM-Report-Scoring'!K78="","",'PJM-Report-Scoring'!K78)</f>
        <v/>
      </c>
      <c r="AP87" s="1589" t="str">
        <f>IF('PGM-Report-Scoring'!K78="","",'PGM-Report-Scoring'!K78)</f>
        <v/>
      </c>
      <c r="AQ87" s="1589" t="str">
        <f>IF('PFM-Report-Scoring'!K78="","",'PFM-Report-Scoring'!K78)</f>
        <v/>
      </c>
      <c r="AR87" s="1589" t="str">
        <f>IF(DOMAIN=COV!$T$72,Scoring!AO87,IF(DOMAIN=COV!$T$73,Scoring!AP87,IF(DOMAIN=COV!$T$74,Scoring!AQ87,"")))</f>
        <v/>
      </c>
      <c r="AS87" s="1589" t="str">
        <f t="shared" si="32"/>
        <v/>
      </c>
    </row>
    <row r="88" spans="2:45" ht="54.75" customHeight="1">
      <c r="B88" s="1864" t="str">
        <f>".3"</f>
        <v>.3</v>
      </c>
      <c r="C88" s="1862">
        <f>Dictionary!X1360</f>
        <v>3</v>
      </c>
      <c r="D88" s="1866" t="str">
        <f>Dictionary!B1360</f>
        <v>Analytische Techniken anwenden, um Situationen, Informationen und Trends zu analysieren</v>
      </c>
      <c r="E88" s="407">
        <v>3</v>
      </c>
      <c r="F88" s="352"/>
      <c r="G88" s="667" t="str">
        <f>IF('(8) Exam Evaluation'!Y88="","",'(8) Exam Evaluation'!Y88)</f>
        <v/>
      </c>
      <c r="H88" s="354"/>
      <c r="I88" s="353"/>
      <c r="J88" s="354"/>
      <c r="K88" s="353"/>
      <c r="L88" s="354"/>
      <c r="M88" s="353"/>
      <c r="N88" s="354"/>
      <c r="O88" s="667" t="str">
        <f t="shared" si="16"/>
        <v/>
      </c>
      <c r="P88" s="354"/>
      <c r="Q88" s="353"/>
      <c r="S88" s="353"/>
      <c r="T88" s="356" t="str">
        <f>IF(U88&gt;=0,U88,"")</f>
        <v/>
      </c>
      <c r="U88" s="667" t="str">
        <f t="shared" si="33"/>
        <v/>
      </c>
      <c r="W88" s="1386"/>
      <c r="Y88" s="1386"/>
      <c r="AA88" s="1386"/>
      <c r="AB88" s="348"/>
      <c r="AC88" s="2376"/>
      <c r="AD88" s="2377"/>
      <c r="AE88" s="2377"/>
      <c r="AF88" s="2377"/>
      <c r="AG88" s="2378"/>
      <c r="AH88" s="348"/>
      <c r="AI88" s="348"/>
      <c r="AJ88" s="349" t="str">
        <f>IF(CSW_FLAG="","",IF(K88="","",K88))</f>
        <v/>
      </c>
      <c r="AK88" s="349"/>
      <c r="AL88" s="349"/>
      <c r="AM88" s="1715" t="str">
        <f>IF(U88="","",IF(U88&gt;Dictionary!$I$52,1,0))</f>
        <v/>
      </c>
      <c r="AO88" s="1589" t="str">
        <f>IF('PJM-Report-Scoring'!K79="","",'PJM-Report-Scoring'!K79)</f>
        <v/>
      </c>
      <c r="AP88" s="1589" t="str">
        <f>IF('PGM-Report-Scoring'!K79="","",'PGM-Report-Scoring'!K79)</f>
        <v/>
      </c>
      <c r="AQ88" s="1589" t="str">
        <f>IF('PFM-Report-Scoring'!K79="","",'PFM-Report-Scoring'!K79)</f>
        <v/>
      </c>
      <c r="AR88" s="1589" t="str">
        <f>IF(DOMAIN=COV!$T$72,Scoring!AO88,IF(DOMAIN=COV!$T$73,Scoring!AP88,IF(DOMAIN=COV!$T$74,Scoring!AQ88,"")))</f>
        <v/>
      </c>
      <c r="AS88" s="1589" t="str">
        <f t="shared" si="32"/>
        <v/>
      </c>
    </row>
    <row r="89" spans="2:45" ht="54.75" customHeight="1">
      <c r="B89" s="1864" t="str">
        <f>".4"</f>
        <v>.4</v>
      </c>
      <c r="C89" s="1862">
        <f>Dictionary!X1361</f>
        <v>2</v>
      </c>
      <c r="D89" s="1866" t="str">
        <f>Dictionary!B1361</f>
        <v>Kreative Techniken fördern und anwenden, um Alternativen und Lösungen zu finden</v>
      </c>
      <c r="E89" s="407">
        <v>3</v>
      </c>
      <c r="F89" s="352"/>
      <c r="G89" s="667" t="str">
        <f>IF('(8) Exam Evaluation'!Y89="","",'(8) Exam Evaluation'!Y89)</f>
        <v/>
      </c>
      <c r="H89" s="354"/>
      <c r="I89" s="353"/>
      <c r="J89" s="354"/>
      <c r="K89" s="353"/>
      <c r="L89" s="354"/>
      <c r="M89" s="353"/>
      <c r="N89" s="354"/>
      <c r="O89" s="667" t="str">
        <f t="shared" si="16"/>
        <v/>
      </c>
      <c r="P89" s="354"/>
      <c r="Q89" s="353"/>
      <c r="S89" s="353"/>
      <c r="T89" s="356" t="str">
        <f>IF(U89&gt;=0,U89,"")</f>
        <v/>
      </c>
      <c r="U89" s="667" t="str">
        <f>IF(Q89="",O89,Q89)</f>
        <v/>
      </c>
      <c r="W89" s="1386"/>
      <c r="Y89" s="1386"/>
      <c r="AA89" s="1386"/>
      <c r="AB89" s="348"/>
      <c r="AC89" s="2376"/>
      <c r="AD89" s="2377"/>
      <c r="AE89" s="2377"/>
      <c r="AF89" s="2377"/>
      <c r="AG89" s="2378"/>
      <c r="AH89" s="348"/>
      <c r="AI89" s="348"/>
      <c r="AJ89" s="349" t="str">
        <f>IF(CSW_FLAG="","",IF(K89="","",K89))</f>
        <v/>
      </c>
      <c r="AK89" s="349"/>
      <c r="AL89" s="349"/>
      <c r="AM89" s="1715" t="str">
        <f>IF(U89="","",IF(U89&gt;Dictionary!$I$52,1,0))</f>
        <v/>
      </c>
      <c r="AO89" s="1589" t="str">
        <f>IF('PJM-Report-Scoring'!K80="","",'PJM-Report-Scoring'!K80)</f>
        <v/>
      </c>
      <c r="AP89" s="1589" t="str">
        <f>IF('PGM-Report-Scoring'!K80="","",'PGM-Report-Scoring'!K80)</f>
        <v/>
      </c>
      <c r="AQ89" s="1589" t="str">
        <f>IF('PFM-Report-Scoring'!K80="","",'PFM-Report-Scoring'!K80)</f>
        <v/>
      </c>
      <c r="AR89" s="1589" t="str">
        <f>IF(DOMAIN=COV!$T$72,Scoring!AO89,IF(DOMAIN=COV!$T$73,Scoring!AP89,IF(DOMAIN=COV!$T$74,Scoring!AQ89,"")))</f>
        <v/>
      </c>
      <c r="AS89" s="1589" t="str">
        <f>IF(AR89="",AS90,AR89)</f>
        <v/>
      </c>
    </row>
    <row r="90" spans="2:45" ht="54.75" customHeight="1">
      <c r="B90" s="1864" t="str">
        <f>".5"</f>
        <v>.5</v>
      </c>
      <c r="C90" s="1862">
        <f>Dictionary!X1362</f>
        <v>2</v>
      </c>
      <c r="D90" s="1866" t="str">
        <f>Dictionary!B1362</f>
        <v>Ganzheitliche Sicht auf das Projekt und seinen Kontext fördern, um den Entscheidungsprozess zu verbessern</v>
      </c>
      <c r="E90" s="407">
        <v>3</v>
      </c>
      <c r="F90" s="352"/>
      <c r="G90" s="667" t="str">
        <f>IF('(8) Exam Evaluation'!Y90="","",'(8) Exam Evaluation'!Y90)</f>
        <v/>
      </c>
      <c r="H90" s="354"/>
      <c r="I90" s="353"/>
      <c r="J90" s="354"/>
      <c r="K90" s="353"/>
      <c r="L90" s="354"/>
      <c r="M90" s="353"/>
      <c r="N90" s="354"/>
      <c r="O90" s="667" t="str">
        <f t="shared" si="16"/>
        <v/>
      </c>
      <c r="P90" s="354"/>
      <c r="Q90" s="353"/>
      <c r="S90" s="353"/>
      <c r="T90" s="356" t="str">
        <f>IF(U90&gt;=0,U90,"")</f>
        <v/>
      </c>
      <c r="U90" s="667" t="str">
        <f>IF(Q90="",O90,Q90)</f>
        <v/>
      </c>
      <c r="W90" s="1386"/>
      <c r="Y90" s="1386"/>
      <c r="AA90" s="1386"/>
      <c r="AB90" s="348"/>
      <c r="AC90" s="2376"/>
      <c r="AD90" s="2377"/>
      <c r="AE90" s="2377"/>
      <c r="AF90" s="2377"/>
      <c r="AG90" s="2378"/>
      <c r="AH90" s="348"/>
      <c r="AI90" s="348"/>
      <c r="AJ90" s="349" t="str">
        <f>IF(CSW_FLAG="","",IF(K90="","",K90))</f>
        <v/>
      </c>
      <c r="AK90" s="349"/>
      <c r="AL90" s="349"/>
      <c r="AM90" s="1715" t="str">
        <f>IF(U90="","",IF(U90&gt;Dictionary!$I$52,1,0))</f>
        <v/>
      </c>
      <c r="AO90" s="1589" t="str">
        <f>IF('PJM-Report-Scoring'!K81="","",'PJM-Report-Scoring'!K81)</f>
        <v/>
      </c>
      <c r="AP90" s="1589" t="str">
        <f>IF('PGM-Report-Scoring'!K81="","",'PGM-Report-Scoring'!K81)</f>
        <v/>
      </c>
      <c r="AQ90" s="1589" t="str">
        <f>IF('PFM-Report-Scoring'!K81="","",'PFM-Report-Scoring'!K81)</f>
        <v/>
      </c>
      <c r="AR90" s="1589" t="str">
        <f>IF(DOMAIN=COV!$T$72,Scoring!AO90,IF(DOMAIN=COV!$T$73,Scoring!AP90,IF(DOMAIN=COV!$T$74,Scoring!AQ90,"")))</f>
        <v/>
      </c>
      <c r="AS90" s="1590" t="str">
        <f>IF(AR90="","",AR90)</f>
        <v/>
      </c>
    </row>
    <row r="91" spans="2:45" ht="16">
      <c r="B91" s="1861" t="s">
        <v>401</v>
      </c>
      <c r="C91" s="1862">
        <f>Dictionary!X1365</f>
        <v>3</v>
      </c>
      <c r="D91" s="1863" t="str">
        <f>Dictionary!B1365</f>
        <v>Verhandlungen</v>
      </c>
      <c r="E91" s="402">
        <v>3</v>
      </c>
      <c r="F91" s="343"/>
      <c r="G91" s="405"/>
      <c r="H91" s="315"/>
      <c r="I91" s="359"/>
      <c r="J91" s="360"/>
      <c r="K91" s="358"/>
      <c r="L91" s="360"/>
      <c r="M91" s="359"/>
      <c r="N91" s="315"/>
      <c r="O91" s="315"/>
      <c r="P91" s="315"/>
      <c r="Q91" s="359"/>
      <c r="S91" s="359"/>
      <c r="T91" s="356"/>
      <c r="U91" s="346" t="str">
        <f t="shared" si="29"/>
        <v/>
      </c>
      <c r="Y91" s="321"/>
      <c r="AA91" s="321"/>
      <c r="AB91" s="348"/>
      <c r="AC91" s="313"/>
      <c r="AD91" s="321"/>
      <c r="AE91" s="321"/>
      <c r="AF91" s="321"/>
      <c r="AG91" s="321"/>
      <c r="AH91" s="348"/>
      <c r="AI91" s="348"/>
      <c r="AJ91" s="348"/>
      <c r="AK91" s="349">
        <v>5</v>
      </c>
      <c r="AL91" s="349">
        <f>ROUNDUP(AK91/2,0)</f>
        <v>3</v>
      </c>
      <c r="AM91" s="346" t="str">
        <f>IF(COUNTBLANK(AM92:AM96)=$AK91,"",IF((COUNTIF(AM92:AM96,"&gt;=1")&gt;=AL91),"Pass","Fail"))</f>
        <v/>
      </c>
    </row>
    <row r="92" spans="2:45" ht="54.75" customHeight="1">
      <c r="B92" s="1864" t="str">
        <f>".1"</f>
        <v>.1</v>
      </c>
      <c r="C92" s="1862">
        <f>Dictionary!X1366</f>
        <v>2</v>
      </c>
      <c r="D92" s="1866" t="str">
        <f>Dictionary!B1366</f>
        <v>Interessen aller Parteien, die an den Verhandlungen beteiligt sind, identifizieren und analysieren</v>
      </c>
      <c r="E92" s="407">
        <v>3</v>
      </c>
      <c r="F92" s="352"/>
      <c r="G92" s="667" t="str">
        <f>IF('(8) Exam Evaluation'!Y92="","",'(8) Exam Evaluation'!Y92)</f>
        <v/>
      </c>
      <c r="H92" s="354"/>
      <c r="I92" s="353"/>
      <c r="J92" s="354"/>
      <c r="K92" s="353"/>
      <c r="L92" s="354"/>
      <c r="M92" s="353"/>
      <c r="N92" s="354"/>
      <c r="O92" s="667" t="str">
        <f t="shared" si="16"/>
        <v/>
      </c>
      <c r="P92" s="354"/>
      <c r="Q92" s="353"/>
      <c r="S92" s="353"/>
      <c r="T92" s="356" t="str">
        <f>IF(U92&gt;=0,U92,"")</f>
        <v/>
      </c>
      <c r="U92" s="667" t="str">
        <f>IF(Q92="",O92,Q92)</f>
        <v/>
      </c>
      <c r="W92" s="1386"/>
      <c r="Y92" s="1386"/>
      <c r="AA92" s="1386"/>
      <c r="AB92" s="348"/>
      <c r="AC92" s="2376"/>
      <c r="AD92" s="2377"/>
      <c r="AE92" s="2377"/>
      <c r="AF92" s="2377"/>
      <c r="AG92" s="2378"/>
      <c r="AH92" s="348"/>
      <c r="AI92" s="348"/>
      <c r="AJ92" s="349" t="str">
        <f>IF(CSW_FLAG="","",IF(K92="","",K92))</f>
        <v/>
      </c>
      <c r="AK92" s="349"/>
      <c r="AL92" s="349"/>
      <c r="AM92" s="1715" t="str">
        <f>IF(U92="","",IF(U92&gt;Dictionary!$I$52,1,0))</f>
        <v/>
      </c>
      <c r="AO92" s="1589" t="str">
        <f>IF('PJM-Report-Scoring'!K83="","",'PJM-Report-Scoring'!K83)</f>
        <v/>
      </c>
      <c r="AP92" s="1589" t="str">
        <f>IF('PGM-Report-Scoring'!K83="","",'PGM-Report-Scoring'!K83)</f>
        <v/>
      </c>
      <c r="AQ92" s="1589" t="str">
        <f>IF('PFM-Report-Scoring'!K83="","",'PFM-Report-Scoring'!K83)</f>
        <v/>
      </c>
      <c r="AR92" s="1589" t="str">
        <f>IF(DOMAIN=COV!$T$72,Scoring!AO92,IF(DOMAIN=COV!$T$73,Scoring!AP92,IF(DOMAIN=COV!$T$74,Scoring!AQ92,"")))</f>
        <v/>
      </c>
      <c r="AS92" s="1589" t="str">
        <f t="shared" ref="AS92:AS94" si="34">IF(AR92="",AS93,AR92)</f>
        <v/>
      </c>
    </row>
    <row r="93" spans="2:45" ht="54.75" customHeight="1">
      <c r="B93" s="1864" t="str">
        <f>".2"</f>
        <v>.2</v>
      </c>
      <c r="C93" s="1862">
        <f>Dictionary!X1367</f>
        <v>2</v>
      </c>
      <c r="D93" s="1866" t="str">
        <f>Dictionary!B1367</f>
        <v>Optionen und Alternativen entwickeln und evaluieren, die das Potenzial haben, die Bedürfnisse aller Beteiligten zu erfüllen</v>
      </c>
      <c r="E93" s="407">
        <v>2</v>
      </c>
      <c r="F93" s="352"/>
      <c r="G93" s="667" t="str">
        <f>IF('(8) Exam Evaluation'!Y93="","",'(8) Exam Evaluation'!Y93)</f>
        <v/>
      </c>
      <c r="H93" s="354"/>
      <c r="I93" s="353"/>
      <c r="J93" s="354"/>
      <c r="K93" s="353"/>
      <c r="L93" s="354"/>
      <c r="M93" s="353"/>
      <c r="N93" s="354"/>
      <c r="O93" s="667" t="str">
        <f t="shared" si="16"/>
        <v/>
      </c>
      <c r="P93" s="354"/>
      <c r="Q93" s="353"/>
      <c r="S93" s="353"/>
      <c r="T93" s="356" t="str">
        <f>IF(U93&gt;=0,U93,"")</f>
        <v/>
      </c>
      <c r="U93" s="667" t="str">
        <f t="shared" ref="U93:U94" si="35">IF(Q93="",O93,Q93)</f>
        <v/>
      </c>
      <c r="W93" s="1386"/>
      <c r="Y93" s="1386"/>
      <c r="AA93" s="1386"/>
      <c r="AB93" s="348"/>
      <c r="AC93" s="2376"/>
      <c r="AD93" s="2377"/>
      <c r="AE93" s="2377"/>
      <c r="AF93" s="2377"/>
      <c r="AG93" s="2378"/>
      <c r="AH93" s="348"/>
      <c r="AI93" s="348"/>
      <c r="AJ93" s="349" t="str">
        <f>IF(CSW_FLAG="","",IF(K93="","",K93))</f>
        <v/>
      </c>
      <c r="AK93" s="349"/>
      <c r="AL93" s="349"/>
      <c r="AM93" s="1715" t="str">
        <f>IF(U93="","",IF(U93&gt;Dictionary!$I$52,1,0))</f>
        <v/>
      </c>
      <c r="AO93" s="1589" t="str">
        <f>IF('PJM-Report-Scoring'!K84="","",'PJM-Report-Scoring'!K84)</f>
        <v/>
      </c>
      <c r="AP93" s="1589" t="str">
        <f>IF('PGM-Report-Scoring'!K84="","",'PGM-Report-Scoring'!K84)</f>
        <v/>
      </c>
      <c r="AQ93" s="1589" t="str">
        <f>IF('PFM-Report-Scoring'!K84="","",'PFM-Report-Scoring'!K84)</f>
        <v/>
      </c>
      <c r="AR93" s="1589" t="str">
        <f>IF(DOMAIN=COV!$T$72,Scoring!AO93,IF(DOMAIN=COV!$T$73,Scoring!AP93,IF(DOMAIN=COV!$T$74,Scoring!AQ93,"")))</f>
        <v/>
      </c>
      <c r="AS93" s="1589" t="str">
        <f t="shared" si="34"/>
        <v/>
      </c>
    </row>
    <row r="94" spans="2:45" ht="54.75" customHeight="1">
      <c r="B94" s="1864" t="str">
        <f>".3"</f>
        <v>.3</v>
      </c>
      <c r="C94" s="1862">
        <f>Dictionary!X1368</f>
        <v>3</v>
      </c>
      <c r="D94" s="1866" t="str">
        <f>Dictionary!B1368</f>
        <v>Verhandlungsstrategie definieren, die mit den eigenen Zielen übereinstimmt und für alle beteiligten Parteien akzeptabel ist</v>
      </c>
      <c r="E94" s="407">
        <v>2</v>
      </c>
      <c r="F94" s="352"/>
      <c r="G94" s="667" t="str">
        <f>IF('(8) Exam Evaluation'!Y94="","",'(8) Exam Evaluation'!Y94)</f>
        <v/>
      </c>
      <c r="H94" s="354"/>
      <c r="I94" s="353"/>
      <c r="J94" s="354"/>
      <c r="K94" s="353"/>
      <c r="L94" s="354"/>
      <c r="M94" s="353"/>
      <c r="N94" s="354"/>
      <c r="O94" s="667" t="str">
        <f t="shared" si="16"/>
        <v/>
      </c>
      <c r="P94" s="354"/>
      <c r="Q94" s="353"/>
      <c r="S94" s="353"/>
      <c r="T94" s="356" t="str">
        <f>IF(U94&gt;=0,U94,"")</f>
        <v/>
      </c>
      <c r="U94" s="667" t="str">
        <f t="shared" si="35"/>
        <v/>
      </c>
      <c r="W94" s="1386"/>
      <c r="Y94" s="1386"/>
      <c r="AA94" s="1386"/>
      <c r="AB94" s="348"/>
      <c r="AC94" s="2376"/>
      <c r="AD94" s="2377"/>
      <c r="AE94" s="2377"/>
      <c r="AF94" s="2377"/>
      <c r="AG94" s="2378"/>
      <c r="AH94" s="348"/>
      <c r="AI94" s="348"/>
      <c r="AJ94" s="349" t="str">
        <f>IF(CSW_FLAG="","",IF(K94="","",K94))</f>
        <v/>
      </c>
      <c r="AK94" s="349"/>
      <c r="AL94" s="349"/>
      <c r="AM94" s="1715" t="str">
        <f>IF(U94="","",IF(U94&gt;Dictionary!$I$52,1,0))</f>
        <v/>
      </c>
      <c r="AO94" s="1589" t="str">
        <f>IF('PJM-Report-Scoring'!K85="","",'PJM-Report-Scoring'!K85)</f>
        <v/>
      </c>
      <c r="AP94" s="1589" t="str">
        <f>IF('PGM-Report-Scoring'!K85="","",'PGM-Report-Scoring'!K85)</f>
        <v/>
      </c>
      <c r="AQ94" s="1589" t="str">
        <f>IF('PFM-Report-Scoring'!K85="","",'PFM-Report-Scoring'!K85)</f>
        <v/>
      </c>
      <c r="AR94" s="1589" t="str">
        <f>IF(DOMAIN=COV!$T$72,Scoring!AO94,IF(DOMAIN=COV!$T$73,Scoring!AP94,IF(DOMAIN=COV!$T$74,Scoring!AQ94,"")))</f>
        <v/>
      </c>
      <c r="AS94" s="1589" t="str">
        <f t="shared" si="34"/>
        <v/>
      </c>
    </row>
    <row r="95" spans="2:45" ht="54.75" customHeight="1">
      <c r="B95" s="1864" t="str">
        <f>".4"</f>
        <v>.4</v>
      </c>
      <c r="C95" s="1862">
        <f>Dictionary!X1369</f>
        <v>3</v>
      </c>
      <c r="D95" s="1866" t="str">
        <f>Dictionary!B1369</f>
        <v>Einigungen mit anderen Parteien erzielen, die mit den eigenen Zielen übereinstimmen</v>
      </c>
      <c r="E95" s="407">
        <v>2</v>
      </c>
      <c r="F95" s="352"/>
      <c r="G95" s="667" t="str">
        <f>IF('(8) Exam Evaluation'!Y95="","",'(8) Exam Evaluation'!Y95)</f>
        <v/>
      </c>
      <c r="H95" s="354"/>
      <c r="I95" s="353"/>
      <c r="J95" s="354"/>
      <c r="K95" s="353"/>
      <c r="L95" s="354"/>
      <c r="M95" s="353"/>
      <c r="N95" s="354"/>
      <c r="O95" s="667" t="str">
        <f t="shared" si="16"/>
        <v/>
      </c>
      <c r="P95" s="354"/>
      <c r="Q95" s="353"/>
      <c r="S95" s="353"/>
      <c r="T95" s="356" t="str">
        <f>IF(U95&gt;=0,U95,"")</f>
        <v/>
      </c>
      <c r="U95" s="667" t="str">
        <f>IF(Q95="",O95,Q95)</f>
        <v/>
      </c>
      <c r="W95" s="1386"/>
      <c r="Y95" s="1386"/>
      <c r="AA95" s="1386"/>
      <c r="AB95" s="348"/>
      <c r="AC95" s="2376"/>
      <c r="AD95" s="2377"/>
      <c r="AE95" s="2377"/>
      <c r="AF95" s="2377"/>
      <c r="AG95" s="2378"/>
      <c r="AH95" s="348"/>
      <c r="AI95" s="348"/>
      <c r="AJ95" s="349" t="str">
        <f>IF(CSW_FLAG="","",IF(K95="","",K95))</f>
        <v/>
      </c>
      <c r="AK95" s="349"/>
      <c r="AL95" s="349"/>
      <c r="AM95" s="1715" t="str">
        <f>IF(U95="","",IF(U95&gt;Dictionary!$I$52,1,0))</f>
        <v/>
      </c>
      <c r="AO95" s="1589" t="str">
        <f>IF('PJM-Report-Scoring'!K86="","",'PJM-Report-Scoring'!K86)</f>
        <v/>
      </c>
      <c r="AP95" s="1589" t="str">
        <f>IF('PGM-Report-Scoring'!K86="","",'PGM-Report-Scoring'!K86)</f>
        <v/>
      </c>
      <c r="AQ95" s="1589" t="str">
        <f>IF('PFM-Report-Scoring'!K86="","",'PFM-Report-Scoring'!K86)</f>
        <v/>
      </c>
      <c r="AR95" s="1589" t="str">
        <f>IF(DOMAIN=COV!$T$72,Scoring!AO95,IF(DOMAIN=COV!$T$73,Scoring!AP95,IF(DOMAIN=COV!$T$74,Scoring!AQ95,"")))</f>
        <v/>
      </c>
      <c r="AS95" s="1589" t="str">
        <f>IF(AR95="",AS96,AR95)</f>
        <v/>
      </c>
    </row>
    <row r="96" spans="2:45" ht="54.75" customHeight="1">
      <c r="B96" s="1864" t="str">
        <f>".5"</f>
        <v>.5</v>
      </c>
      <c r="C96" s="1862">
        <f>Dictionary!X1370</f>
        <v>3</v>
      </c>
      <c r="D96" s="1866" t="str">
        <f>Dictionary!B1370</f>
        <v>Zusätzliche Verkaufs- und Akquisitionsmöglichkeiten entdecken und ausschöpfen</v>
      </c>
      <c r="E96" s="407">
        <v>3</v>
      </c>
      <c r="F96" s="352"/>
      <c r="G96" s="667" t="str">
        <f>IF('(8) Exam Evaluation'!Y96="","",'(8) Exam Evaluation'!Y96)</f>
        <v/>
      </c>
      <c r="H96" s="354"/>
      <c r="I96" s="353"/>
      <c r="J96" s="354"/>
      <c r="K96" s="353"/>
      <c r="L96" s="354"/>
      <c r="M96" s="353"/>
      <c r="N96" s="354"/>
      <c r="O96" s="667" t="str">
        <f t="shared" si="16"/>
        <v/>
      </c>
      <c r="P96" s="354"/>
      <c r="Q96" s="353"/>
      <c r="S96" s="353"/>
      <c r="T96" s="356" t="str">
        <f>IF(U96&gt;=0,U96,"")</f>
        <v/>
      </c>
      <c r="U96" s="667" t="str">
        <f>IF(Q96="",O96,Q96)</f>
        <v/>
      </c>
      <c r="W96" s="1386"/>
      <c r="Y96" s="1386"/>
      <c r="AA96" s="1386"/>
      <c r="AB96" s="348"/>
      <c r="AC96" s="2376"/>
      <c r="AD96" s="2377"/>
      <c r="AE96" s="2377"/>
      <c r="AF96" s="2377"/>
      <c r="AG96" s="2378"/>
      <c r="AH96" s="348"/>
      <c r="AI96" s="348"/>
      <c r="AJ96" s="349" t="str">
        <f>IF(CSW_FLAG="","",IF(K96="","",K96))</f>
        <v/>
      </c>
      <c r="AK96" s="349"/>
      <c r="AL96" s="349"/>
      <c r="AM96" s="1715" t="str">
        <f>IF(U96="","",IF(U96&gt;Dictionary!$I$52,1,0))</f>
        <v/>
      </c>
      <c r="AO96" s="1589" t="str">
        <f>IF('PJM-Report-Scoring'!K87="","",'PJM-Report-Scoring'!K87)</f>
        <v/>
      </c>
      <c r="AP96" s="1589" t="str">
        <f>IF('PGM-Report-Scoring'!K87="","",'PGM-Report-Scoring'!K87)</f>
        <v/>
      </c>
      <c r="AQ96" s="1589" t="str">
        <f>IF('PFM-Report-Scoring'!K87="","",'PFM-Report-Scoring'!K87)</f>
        <v/>
      </c>
      <c r="AR96" s="1589" t="str">
        <f>IF(DOMAIN=COV!$T$72,Scoring!AO96,IF(DOMAIN=COV!$T$73,Scoring!AP96,IF(DOMAIN=COV!$T$74,Scoring!AQ96,"")))</f>
        <v/>
      </c>
      <c r="AS96" s="1590" t="str">
        <f>IF(AR96="","",AR96)</f>
        <v/>
      </c>
    </row>
    <row r="97" spans="2:45" ht="16">
      <c r="B97" s="1861" t="s">
        <v>395</v>
      </c>
      <c r="C97" s="1862">
        <f>Dictionary!X1373</f>
        <v>3</v>
      </c>
      <c r="D97" s="1863" t="str">
        <f>Dictionary!B1373</f>
        <v>Ergebnisorientierung</v>
      </c>
      <c r="E97" s="402">
        <v>3</v>
      </c>
      <c r="F97" s="343"/>
      <c r="G97" s="405"/>
      <c r="H97" s="315"/>
      <c r="I97" s="359"/>
      <c r="J97" s="360"/>
      <c r="K97" s="358"/>
      <c r="L97" s="360"/>
      <c r="M97" s="359"/>
      <c r="N97" s="315"/>
      <c r="O97" s="315"/>
      <c r="P97" s="315"/>
      <c r="Q97" s="359"/>
      <c r="S97" s="359"/>
      <c r="T97" s="356"/>
      <c r="U97" s="346" t="str">
        <f t="shared" si="29"/>
        <v/>
      </c>
      <c r="Y97" s="321"/>
      <c r="AA97" s="321"/>
      <c r="AB97" s="348"/>
      <c r="AC97" s="313"/>
      <c r="AD97" s="321"/>
      <c r="AE97" s="321"/>
      <c r="AF97" s="321"/>
      <c r="AG97" s="321"/>
      <c r="AH97" s="348"/>
      <c r="AI97" s="348"/>
      <c r="AJ97" s="348"/>
      <c r="AK97" s="349">
        <v>5</v>
      </c>
      <c r="AL97" s="349">
        <f>ROUNDUP(AK97/2,0)</f>
        <v>3</v>
      </c>
      <c r="AM97" s="346" t="str">
        <f>IF(COUNTBLANK(AM98:AM102)=$AK97,"",IF((COUNTIF(AM98:AM102,"&gt;=1")&gt;=AL97),"Pass","Fail"))</f>
        <v/>
      </c>
    </row>
    <row r="98" spans="2:45" ht="54.75" customHeight="1">
      <c r="B98" s="1864" t="str">
        <f>".1"</f>
        <v>.1</v>
      </c>
      <c r="C98" s="1862">
        <f>Dictionary!X1374</f>
        <v>3</v>
      </c>
      <c r="D98" s="1866" t="str">
        <f>Dictionary!B1374</f>
        <v>Alle Entscheidungen und Handlungen hinsichtlich ihrer Auswirkung auf den Projekterfolg und die Ziele der Organisation evaluieren</v>
      </c>
      <c r="E98" s="407">
        <v>3</v>
      </c>
      <c r="F98" s="352"/>
      <c r="G98" s="667" t="str">
        <f>IF('(8) Exam Evaluation'!Y98="","",'(8) Exam Evaluation'!Y98)</f>
        <v/>
      </c>
      <c r="H98" s="354"/>
      <c r="I98" s="353"/>
      <c r="J98" s="354"/>
      <c r="K98" s="353"/>
      <c r="L98" s="354"/>
      <c r="M98" s="353"/>
      <c r="N98" s="354"/>
      <c r="O98" s="667" t="str">
        <f t="shared" si="16"/>
        <v/>
      </c>
      <c r="P98" s="354"/>
      <c r="Q98" s="353"/>
      <c r="S98" s="353"/>
      <c r="T98" s="356" t="str">
        <f>IF(U98&gt;=0,U98,"")</f>
        <v/>
      </c>
      <c r="U98" s="667" t="str">
        <f>IF(Q98="",O98,Q98)</f>
        <v/>
      </c>
      <c r="W98" s="1386"/>
      <c r="Y98" s="1386"/>
      <c r="AA98" s="1386"/>
      <c r="AB98" s="348"/>
      <c r="AC98" s="2376"/>
      <c r="AD98" s="2377"/>
      <c r="AE98" s="2377"/>
      <c r="AF98" s="2377"/>
      <c r="AG98" s="2378"/>
      <c r="AH98" s="348"/>
      <c r="AI98" s="348"/>
      <c r="AJ98" s="349" t="str">
        <f>IF(CSW_FLAG="","",IF(K98="","",K98))</f>
        <v/>
      </c>
      <c r="AK98" s="349"/>
      <c r="AL98" s="349"/>
      <c r="AM98" s="1715" t="str">
        <f>IF(U98="","",IF(U98&gt;Dictionary!$I$52,1,0))</f>
        <v/>
      </c>
      <c r="AO98" s="1589" t="str">
        <f>IF('PJM-Report-Scoring'!K89="","",'PJM-Report-Scoring'!K89)</f>
        <v/>
      </c>
      <c r="AP98" s="1589" t="str">
        <f>IF('PGM-Report-Scoring'!K89="","",'PGM-Report-Scoring'!K89)</f>
        <v/>
      </c>
      <c r="AQ98" s="1589" t="str">
        <f>IF('PFM-Report-Scoring'!K89="","",'PFM-Report-Scoring'!K89)</f>
        <v/>
      </c>
      <c r="AR98" s="1589" t="str">
        <f>IF(DOMAIN=COV!$T$72,Scoring!AO98,IF(DOMAIN=COV!$T$73,Scoring!AP98,IF(DOMAIN=COV!$T$74,Scoring!AQ98,"")))</f>
        <v/>
      </c>
      <c r="AS98" s="1589" t="str">
        <f t="shared" ref="AS98:AS100" si="36">IF(AR98="",AS99,AR98)</f>
        <v/>
      </c>
    </row>
    <row r="99" spans="2:45" ht="54.75" customHeight="1">
      <c r="B99" s="1864" t="str">
        <f>".2"</f>
        <v>.2</v>
      </c>
      <c r="C99" s="1862">
        <f>Dictionary!X1375</f>
        <v>3</v>
      </c>
      <c r="D99" s="1866" t="str">
        <f>Dictionary!B1375</f>
        <v>Bedürfnisse und Mittel aufeinander abstimmen, um Ergebnisse und Erfolge zu optimieren</v>
      </c>
      <c r="E99" s="407">
        <v>3</v>
      </c>
      <c r="F99" s="352"/>
      <c r="G99" s="667" t="str">
        <f>IF('(8) Exam Evaluation'!Y99="","",'(8) Exam Evaluation'!Y99)</f>
        <v/>
      </c>
      <c r="H99" s="354"/>
      <c r="I99" s="353"/>
      <c r="J99" s="354"/>
      <c r="K99" s="353"/>
      <c r="L99" s="354"/>
      <c r="M99" s="353"/>
      <c r="N99" s="354"/>
      <c r="O99" s="667" t="str">
        <f t="shared" si="16"/>
        <v/>
      </c>
      <c r="P99" s="354"/>
      <c r="Q99" s="353"/>
      <c r="S99" s="353"/>
      <c r="T99" s="356" t="str">
        <f>IF(U99&gt;=0,U99,"")</f>
        <v/>
      </c>
      <c r="U99" s="667" t="str">
        <f t="shared" ref="U99:U100" si="37">IF(Q99="",O99,Q99)</f>
        <v/>
      </c>
      <c r="W99" s="1386"/>
      <c r="Y99" s="1386"/>
      <c r="AA99" s="1386"/>
      <c r="AB99" s="348"/>
      <c r="AC99" s="2376"/>
      <c r="AD99" s="2377"/>
      <c r="AE99" s="2377"/>
      <c r="AF99" s="2377"/>
      <c r="AG99" s="2378"/>
      <c r="AH99" s="348"/>
      <c r="AI99" s="348"/>
      <c r="AJ99" s="349" t="str">
        <f>IF(CSW_FLAG="","",IF(K99="","",K99))</f>
        <v/>
      </c>
      <c r="AK99" s="349"/>
      <c r="AL99" s="349"/>
      <c r="AM99" s="1715" t="str">
        <f>IF(U99="","",IF(U99&gt;Dictionary!$I$52,1,0))</f>
        <v/>
      </c>
      <c r="AO99" s="1589" t="str">
        <f>IF('PJM-Report-Scoring'!K90="","",'PJM-Report-Scoring'!K90)</f>
        <v/>
      </c>
      <c r="AP99" s="1589" t="str">
        <f>IF('PGM-Report-Scoring'!K90="","",'PGM-Report-Scoring'!K90)</f>
        <v/>
      </c>
      <c r="AQ99" s="1589" t="str">
        <f>IF('PFM-Report-Scoring'!K90="","",'PFM-Report-Scoring'!K90)</f>
        <v/>
      </c>
      <c r="AR99" s="1589" t="str">
        <f>IF(DOMAIN=COV!$T$72,Scoring!AO99,IF(DOMAIN=COV!$T$73,Scoring!AP99,IF(DOMAIN=COV!$T$74,Scoring!AQ99,"")))</f>
        <v/>
      </c>
      <c r="AS99" s="1589" t="str">
        <f t="shared" si="36"/>
        <v/>
      </c>
    </row>
    <row r="100" spans="2:45" ht="54.75" customHeight="1">
      <c r="B100" s="1864" t="str">
        <f>".3"</f>
        <v>.3</v>
      </c>
      <c r="C100" s="1862">
        <f>Dictionary!X1376</f>
        <v>2</v>
      </c>
      <c r="D100" s="1866" t="str">
        <f>Dictionary!B1376</f>
        <v>Gesunde, sichere und produktive Arbeitsumgebung schaffen und diese aufrecht erhalten</v>
      </c>
      <c r="E100" s="407">
        <v>3</v>
      </c>
      <c r="F100" s="352"/>
      <c r="G100" s="667" t="str">
        <f>IF('(8) Exam Evaluation'!Y100="","",'(8) Exam Evaluation'!Y100)</f>
        <v/>
      </c>
      <c r="H100" s="354"/>
      <c r="I100" s="353"/>
      <c r="J100" s="354"/>
      <c r="K100" s="353"/>
      <c r="L100" s="354"/>
      <c r="M100" s="353"/>
      <c r="N100" s="354"/>
      <c r="O100" s="667" t="str">
        <f t="shared" si="16"/>
        <v/>
      </c>
      <c r="P100" s="354"/>
      <c r="Q100" s="353"/>
      <c r="S100" s="353"/>
      <c r="T100" s="356" t="str">
        <f>IF(U100&gt;=0,U100,"")</f>
        <v/>
      </c>
      <c r="U100" s="667" t="str">
        <f t="shared" si="37"/>
        <v/>
      </c>
      <c r="W100" s="1386"/>
      <c r="Y100" s="1386"/>
      <c r="AA100" s="1386"/>
      <c r="AB100" s="348"/>
      <c r="AC100" s="2376"/>
      <c r="AD100" s="2377"/>
      <c r="AE100" s="2377"/>
      <c r="AF100" s="2377"/>
      <c r="AG100" s="2378"/>
      <c r="AH100" s="348"/>
      <c r="AI100" s="348"/>
      <c r="AJ100" s="349" t="str">
        <f>IF(CSW_FLAG="","",IF(K100="","",K100))</f>
        <v/>
      </c>
      <c r="AK100" s="349"/>
      <c r="AL100" s="349"/>
      <c r="AM100" s="1715" t="str">
        <f>IF(U100="","",IF(U100&gt;Dictionary!$I$52,1,0))</f>
        <v/>
      </c>
      <c r="AO100" s="1589" t="str">
        <f>IF('PJM-Report-Scoring'!K91="","",'PJM-Report-Scoring'!K91)</f>
        <v/>
      </c>
      <c r="AP100" s="1589" t="str">
        <f>IF('PGM-Report-Scoring'!K91="","",'PGM-Report-Scoring'!K91)</f>
        <v/>
      </c>
      <c r="AQ100" s="1589" t="str">
        <f>IF('PFM-Report-Scoring'!K91="","",'PFM-Report-Scoring'!K91)</f>
        <v/>
      </c>
      <c r="AR100" s="1589" t="str">
        <f>IF(DOMAIN=COV!$T$72,Scoring!AO100,IF(DOMAIN=COV!$T$73,Scoring!AP100,IF(DOMAIN=COV!$T$74,Scoring!AQ100,"")))</f>
        <v/>
      </c>
      <c r="AS100" s="1589" t="str">
        <f t="shared" si="36"/>
        <v/>
      </c>
    </row>
    <row r="101" spans="2:45" ht="54.75" customHeight="1">
      <c r="B101" s="1864" t="str">
        <f>".4"</f>
        <v>.4</v>
      </c>
      <c r="C101" s="1862">
        <f>Dictionary!X1377</f>
        <v>3</v>
      </c>
      <c r="D101" s="1866" t="str">
        <f>Dictionary!B1377</f>
        <v>Das Projekt, seine Prozesse und Ergebnisse promoten und diese ‚verkaufen‘</v>
      </c>
      <c r="E101" s="407">
        <v>3</v>
      </c>
      <c r="F101" s="352"/>
      <c r="G101" s="667" t="str">
        <f>IF('(8) Exam Evaluation'!Y101="","",'(8) Exam Evaluation'!Y101)</f>
        <v/>
      </c>
      <c r="H101" s="354"/>
      <c r="I101" s="353"/>
      <c r="J101" s="354"/>
      <c r="K101" s="353"/>
      <c r="L101" s="354"/>
      <c r="M101" s="353"/>
      <c r="N101" s="354"/>
      <c r="O101" s="667" t="str">
        <f t="shared" si="16"/>
        <v/>
      </c>
      <c r="P101" s="354"/>
      <c r="Q101" s="353"/>
      <c r="S101" s="353"/>
      <c r="T101" s="356" t="str">
        <f>IF(U101&gt;=0,U101,"")</f>
        <v/>
      </c>
      <c r="U101" s="667" t="str">
        <f>IF(Q101="",O101,Q101)</f>
        <v/>
      </c>
      <c r="W101" s="1386"/>
      <c r="Y101" s="1386"/>
      <c r="AA101" s="1386"/>
      <c r="AB101" s="348"/>
      <c r="AC101" s="2376"/>
      <c r="AD101" s="2377"/>
      <c r="AE101" s="2377"/>
      <c r="AF101" s="2377"/>
      <c r="AG101" s="2378"/>
      <c r="AH101" s="348"/>
      <c r="AI101" s="348"/>
      <c r="AJ101" s="349" t="str">
        <f>IF(CSW_FLAG="","",IF(K101="","",K101))</f>
        <v/>
      </c>
      <c r="AK101" s="349"/>
      <c r="AL101" s="349"/>
      <c r="AM101" s="1715" t="str">
        <f>IF(U101="","",IF(U101&gt;Dictionary!$I$52,1,0))</f>
        <v/>
      </c>
      <c r="AO101" s="1589" t="str">
        <f>IF('PJM-Report-Scoring'!K92="","",'PJM-Report-Scoring'!K92)</f>
        <v/>
      </c>
      <c r="AP101" s="1589" t="str">
        <f>IF('PGM-Report-Scoring'!K92="","",'PGM-Report-Scoring'!K92)</f>
        <v/>
      </c>
      <c r="AQ101" s="1589" t="str">
        <f>IF('PFM-Report-Scoring'!K92="","",'PFM-Report-Scoring'!K92)</f>
        <v/>
      </c>
      <c r="AR101" s="1589" t="str">
        <f>IF(DOMAIN=COV!$T$72,Scoring!AO101,IF(DOMAIN=COV!$T$73,Scoring!AP101,IF(DOMAIN=COV!$T$74,Scoring!AQ101,"")))</f>
        <v/>
      </c>
      <c r="AS101" s="1589" t="str">
        <f>IF(AR101="",AS102,AR101)</f>
        <v/>
      </c>
    </row>
    <row r="102" spans="2:45" ht="54.75" customHeight="1">
      <c r="B102" s="1864" t="str">
        <f>".5"</f>
        <v>.5</v>
      </c>
      <c r="C102" s="1862">
        <f>Dictionary!X1378</f>
        <v>3</v>
      </c>
      <c r="D102" s="1866" t="str">
        <f>Dictionary!B1378</f>
        <v>Ergebnisse liefern und Akzeptanz erhalten</v>
      </c>
      <c r="E102" s="407">
        <v>3</v>
      </c>
      <c r="F102" s="352"/>
      <c r="G102" s="667" t="str">
        <f>IF('(8) Exam Evaluation'!Y102="","",'(8) Exam Evaluation'!Y102)</f>
        <v/>
      </c>
      <c r="H102" s="354"/>
      <c r="I102" s="353"/>
      <c r="J102" s="354"/>
      <c r="K102" s="353"/>
      <c r="L102" s="354"/>
      <c r="M102" s="353"/>
      <c r="N102" s="354"/>
      <c r="O102" s="667" t="str">
        <f t="shared" si="16"/>
        <v/>
      </c>
      <c r="P102" s="354"/>
      <c r="Q102" s="353"/>
      <c r="S102" s="353"/>
      <c r="T102" s="356" t="str">
        <f>IF(U102&gt;=0,U102,"")</f>
        <v/>
      </c>
      <c r="U102" s="667" t="str">
        <f>IF(Q102="",O102,Q102)</f>
        <v/>
      </c>
      <c r="W102" s="1386"/>
      <c r="Y102" s="1386"/>
      <c r="AA102" s="1386"/>
      <c r="AB102" s="348"/>
      <c r="AC102" s="2376"/>
      <c r="AD102" s="2377"/>
      <c r="AE102" s="2377"/>
      <c r="AF102" s="2377"/>
      <c r="AG102" s="2378"/>
      <c r="AH102" s="348"/>
      <c r="AI102" s="348"/>
      <c r="AJ102" s="349" t="str">
        <f>IF(CSW_FLAG="","",IF(K102="","",K102))</f>
        <v/>
      </c>
      <c r="AK102" s="349"/>
      <c r="AL102" s="349"/>
      <c r="AM102" s="1715" t="str">
        <f>IF(U102="","",IF(U102&gt;Dictionary!$I$52,1,0))</f>
        <v/>
      </c>
      <c r="AO102" s="1589" t="str">
        <f>IF('PJM-Report-Scoring'!K93="","",'PJM-Report-Scoring'!K93)</f>
        <v/>
      </c>
      <c r="AP102" s="1589">
        <f>IF('PGM-Report-Scoring'!K93="","",'PGM-Report-Scoring'!K93)</f>
        <v>0</v>
      </c>
      <c r="AQ102" s="1589">
        <f>IF('PFM-Report-Scoring'!K93="","",'PFM-Report-Scoring'!K93)</f>
        <v>0</v>
      </c>
      <c r="AR102" s="1589" t="str">
        <f>IF(DOMAIN=COV!$T$72,Scoring!AO102,IF(DOMAIN=COV!$T$73,Scoring!AP102,IF(DOMAIN=COV!$T$74,Scoring!AQ102,"")))</f>
        <v/>
      </c>
      <c r="AS102" s="1590" t="str">
        <f>IF(AR102="","",AR102)</f>
        <v/>
      </c>
    </row>
    <row r="103" spans="2:45" ht="30" customHeight="1">
      <c r="B103" s="1859"/>
      <c r="C103" s="1867"/>
      <c r="D103" s="1868"/>
      <c r="E103" s="363"/>
      <c r="F103" s="315"/>
      <c r="G103" s="406"/>
      <c r="H103" s="315"/>
      <c r="I103" s="315"/>
      <c r="J103" s="315"/>
      <c r="K103" s="364"/>
      <c r="L103" s="315"/>
      <c r="M103" s="315"/>
      <c r="N103" s="315"/>
      <c r="O103" s="315"/>
      <c r="P103" s="315"/>
      <c r="Q103" s="315"/>
      <c r="S103" s="315"/>
      <c r="T103" s="356"/>
      <c r="U103" s="365"/>
      <c r="Y103" s="313"/>
      <c r="AA103" s="313"/>
      <c r="AB103" s="313"/>
      <c r="AC103" s="313"/>
      <c r="AD103" s="313"/>
      <c r="AE103" s="313"/>
      <c r="AF103" s="313"/>
      <c r="AG103" s="313"/>
      <c r="AH103" s="313"/>
      <c r="AI103" s="313"/>
      <c r="AJ103" s="313"/>
      <c r="AK103" s="370"/>
      <c r="AL103" s="370"/>
      <c r="AM103" s="315"/>
    </row>
    <row r="104" spans="2:45" ht="30" customHeight="1">
      <c r="B104" s="1859"/>
      <c r="C104" s="1867"/>
      <c r="D104" s="1869" t="str">
        <f>Dictionary!B1380</f>
        <v>Practice Kompetenz Elements</v>
      </c>
      <c r="E104" s="366"/>
      <c r="F104" s="315"/>
      <c r="G104" s="406"/>
      <c r="H104" s="315"/>
      <c r="I104" s="315"/>
      <c r="J104" s="315"/>
      <c r="K104" s="364"/>
      <c r="L104" s="315"/>
      <c r="M104" s="315"/>
      <c r="N104" s="315"/>
      <c r="O104" s="315"/>
      <c r="P104" s="315"/>
      <c r="Q104" s="315"/>
      <c r="S104" s="315"/>
      <c r="T104" s="356"/>
      <c r="U104" s="367"/>
      <c r="Y104" s="313"/>
      <c r="AA104" s="313"/>
      <c r="AB104" s="313"/>
      <c r="AC104" s="313"/>
      <c r="AD104" s="313"/>
      <c r="AE104" s="313"/>
      <c r="AF104" s="313"/>
      <c r="AG104" s="313"/>
      <c r="AH104" s="313"/>
      <c r="AI104" s="313"/>
      <c r="AJ104" s="313"/>
      <c r="AK104" s="334"/>
      <c r="AL104" s="334"/>
      <c r="AM104" s="315"/>
    </row>
    <row r="105" spans="2:45" ht="16">
      <c r="B105" s="1861" t="s">
        <v>388</v>
      </c>
      <c r="C105" s="1862">
        <f>Dictionary!X1381</f>
        <v>3</v>
      </c>
      <c r="D105" s="1863" t="str">
        <f>Dictionary!B1381</f>
        <v>Projektdesign</v>
      </c>
      <c r="E105" s="402">
        <v>3</v>
      </c>
      <c r="F105" s="343"/>
      <c r="G105" s="405"/>
      <c r="H105" s="315"/>
      <c r="I105" s="359"/>
      <c r="J105" s="360"/>
      <c r="K105" s="358"/>
      <c r="L105" s="360"/>
      <c r="M105" s="359"/>
      <c r="N105" s="315"/>
      <c r="O105" s="359"/>
      <c r="P105" s="360"/>
      <c r="Q105" s="359"/>
      <c r="S105" s="359"/>
      <c r="T105" s="356"/>
      <c r="U105" s="346" t="str">
        <f t="shared" ref="U105:U136" si="38">AM105</f>
        <v/>
      </c>
      <c r="Y105" s="321"/>
      <c r="AA105" s="321"/>
      <c r="AB105" s="348"/>
      <c r="AC105" s="313"/>
      <c r="AD105" s="321"/>
      <c r="AE105" s="321"/>
      <c r="AF105" s="321"/>
      <c r="AG105" s="321"/>
      <c r="AH105" s="348"/>
      <c r="AI105" s="348"/>
      <c r="AJ105" s="348"/>
      <c r="AK105" s="349">
        <f>COUNTA(D106:D113)-COUNTBLANK(D106:D113)</f>
        <v>5</v>
      </c>
      <c r="AL105" s="349">
        <f>ROUNDUP(AK105/2,0)</f>
        <v>3</v>
      </c>
      <c r="AM105" s="346" t="str">
        <f>IF((COUNTBLANK(AM106:AM113)-COUNTBLANK(D106:D113))=$AK105,"",IF((COUNTIF(AM106:AM113,"&gt;=1")&gt;=AL105),"Pass","Fail"))</f>
        <v/>
      </c>
    </row>
    <row r="106" spans="2:45" ht="54.75" customHeight="1">
      <c r="B106" s="1864" t="str">
        <f>".1"</f>
        <v>.1</v>
      </c>
      <c r="C106" s="1862">
        <f>Dictionary!X1382</f>
        <v>3</v>
      </c>
      <c r="D106" s="1866" t="str">
        <f>Dictionary!B1382</f>
        <v>Erfolgskriterien anerkennen, priorisieren und überprüfen</v>
      </c>
      <c r="E106" s="408">
        <v>3</v>
      </c>
      <c r="F106" s="352"/>
      <c r="G106" s="667" t="str">
        <f>IF('(8) Exam Evaluation'!Y106="","",'(8) Exam Evaluation'!Y106)</f>
        <v/>
      </c>
      <c r="H106" s="354"/>
      <c r="I106" s="353"/>
      <c r="J106" s="354"/>
      <c r="K106" s="353"/>
      <c r="L106" s="354"/>
      <c r="M106" s="353"/>
      <c r="N106" s="354"/>
      <c r="O106" s="667" t="str">
        <f t="shared" ref="O106:O169" si="39">IF(AND(G106="",I106="",AJ106="",M106=""),"",MAX(G106,I106,AJ106,M106))</f>
        <v/>
      </c>
      <c r="P106" s="354"/>
      <c r="Q106" s="353"/>
      <c r="S106" s="353"/>
      <c r="T106" s="356" t="str">
        <f>IF(U106&gt;=0,U106,"")</f>
        <v/>
      </c>
      <c r="U106" s="667" t="str">
        <f>IF(Q106="",O106,Q106)</f>
        <v/>
      </c>
      <c r="W106" s="1386"/>
      <c r="Y106" s="1386"/>
      <c r="AA106" s="1386"/>
      <c r="AB106" s="348"/>
      <c r="AC106" s="2376"/>
      <c r="AD106" s="2377"/>
      <c r="AE106" s="2377"/>
      <c r="AF106" s="2377"/>
      <c r="AG106" s="2378"/>
      <c r="AH106" s="348"/>
      <c r="AI106" s="348"/>
      <c r="AJ106" s="349" t="str">
        <f t="shared" ref="AJ106:AJ113" si="40">IF(CSW_FLAG="","",IF(K106="","",K106))</f>
        <v/>
      </c>
      <c r="AK106" s="349"/>
      <c r="AL106" s="349"/>
      <c r="AM106" s="1715" t="str">
        <f>IF(U106="","",IF(U106&gt;Dictionary!$I$52,1,0))</f>
        <v/>
      </c>
      <c r="AO106" s="1589" t="str">
        <f>IF('PJM-Report-Scoring'!K97="","",'PJM-Report-Scoring'!K97)</f>
        <v/>
      </c>
      <c r="AP106" s="1589" t="str">
        <f>IF('PGM-Report-Scoring'!K97="","",'PGM-Report-Scoring'!K97)</f>
        <v/>
      </c>
      <c r="AQ106" s="1589" t="str">
        <f>IF('PFM-Report-Scoring'!K97="","",'PFM-Report-Scoring'!K97)</f>
        <v/>
      </c>
      <c r="AR106" s="1589" t="str">
        <f>IF(DOMAIN=COV!$T$72,Scoring!AO106,IF(DOMAIN=COV!$T$73,Scoring!AP106,IF(DOMAIN=COV!$T$74,Scoring!AQ106,"")))</f>
        <v/>
      </c>
      <c r="AS106" s="1589">
        <f t="shared" ref="AS106:AS111" si="41">IF(AR106="",AS107,AR106)</f>
        <v>0</v>
      </c>
    </row>
    <row r="107" spans="2:45" ht="54.75" customHeight="1">
      <c r="B107" s="1864" t="str">
        <f>".2"</f>
        <v>.2</v>
      </c>
      <c r="C107" s="1862">
        <f>Dictionary!X1383</f>
        <v>2</v>
      </c>
      <c r="D107" s="1866" t="str">
        <f>Dictionary!B1383</f>
        <v>Lessons Learned aus und mit anderen Projekten überprüfen, anwenden und austauschen</v>
      </c>
      <c r="E107" s="408">
        <v>3</v>
      </c>
      <c r="F107" s="352"/>
      <c r="G107" s="667" t="str">
        <f>IF('(8) Exam Evaluation'!Y107="","",'(8) Exam Evaluation'!Y107)</f>
        <v/>
      </c>
      <c r="H107" s="354"/>
      <c r="I107" s="353"/>
      <c r="J107" s="354"/>
      <c r="K107" s="353"/>
      <c r="L107" s="354"/>
      <c r="M107" s="353"/>
      <c r="N107" s="354"/>
      <c r="O107" s="667" t="str">
        <f t="shared" si="39"/>
        <v/>
      </c>
      <c r="P107" s="354"/>
      <c r="Q107" s="353"/>
      <c r="S107" s="353"/>
      <c r="T107" s="356" t="str">
        <f>IF(U107&gt;=0,U107,"")</f>
        <v/>
      </c>
      <c r="U107" s="667" t="str">
        <f t="shared" ref="U107:U108" si="42">IF(Q107="",O107,Q107)</f>
        <v/>
      </c>
      <c r="W107" s="1386"/>
      <c r="Y107" s="1386"/>
      <c r="AA107" s="1386"/>
      <c r="AB107" s="348"/>
      <c r="AC107" s="2376"/>
      <c r="AD107" s="2377"/>
      <c r="AE107" s="2377"/>
      <c r="AF107" s="2377"/>
      <c r="AG107" s="2378"/>
      <c r="AH107" s="348"/>
      <c r="AI107" s="348"/>
      <c r="AJ107" s="349" t="str">
        <f t="shared" si="40"/>
        <v/>
      </c>
      <c r="AK107" s="349"/>
      <c r="AL107" s="349"/>
      <c r="AM107" s="1715" t="str">
        <f>IF(U107="","",IF(U107&gt;Dictionary!$I$52,1,0))</f>
        <v/>
      </c>
      <c r="AO107" s="1589" t="str">
        <f>IF('PJM-Report-Scoring'!K98="","",'PJM-Report-Scoring'!K98)</f>
        <v/>
      </c>
      <c r="AP107" s="1589" t="str">
        <f>IF('PGM-Report-Scoring'!K98="","",'PGM-Report-Scoring'!K98)</f>
        <v/>
      </c>
      <c r="AQ107" s="1589">
        <f>IF('PFM-Report-Scoring'!K98="","",'PFM-Report-Scoring'!K98)</f>
        <v>0</v>
      </c>
      <c r="AR107" s="1589" t="str">
        <f>IF(DOMAIN=COV!$T$72,Scoring!AO107,IF(DOMAIN=COV!$T$73,Scoring!AP107,IF(DOMAIN=COV!$T$74,Scoring!AQ107,"")))</f>
        <v/>
      </c>
      <c r="AS107" s="1589">
        <f t="shared" si="41"/>
        <v>0</v>
      </c>
    </row>
    <row r="108" spans="2:45" ht="54.75" customHeight="1">
      <c r="B108" s="1864" t="str">
        <f>".3"</f>
        <v>.3</v>
      </c>
      <c r="C108" s="1862">
        <f>Dictionary!X1384</f>
        <v>2</v>
      </c>
      <c r="D108" s="1866" t="str">
        <f>Dictionary!B1384</f>
        <v>Projektkomplexität und ihre Konsequenzen für den Projektmanagementansatz bestimmen</v>
      </c>
      <c r="E108" s="408">
        <v>3</v>
      </c>
      <c r="F108" s="352"/>
      <c r="G108" s="667" t="str">
        <f>IF('(8) Exam Evaluation'!Y108="","",'(8) Exam Evaluation'!Y108)</f>
        <v/>
      </c>
      <c r="H108" s="354"/>
      <c r="I108" s="353"/>
      <c r="J108" s="354"/>
      <c r="K108" s="353"/>
      <c r="L108" s="354"/>
      <c r="M108" s="353"/>
      <c r="N108" s="354"/>
      <c r="O108" s="667" t="str">
        <f t="shared" si="39"/>
        <v/>
      </c>
      <c r="P108" s="354"/>
      <c r="Q108" s="353"/>
      <c r="S108" s="353"/>
      <c r="T108" s="356" t="str">
        <f>IF(U108&gt;=0,U108,"")</f>
        <v/>
      </c>
      <c r="U108" s="667" t="str">
        <f t="shared" si="42"/>
        <v/>
      </c>
      <c r="W108" s="1386"/>
      <c r="Y108" s="1386"/>
      <c r="AA108" s="1386"/>
      <c r="AB108" s="348"/>
      <c r="AC108" s="2376"/>
      <c r="AD108" s="2377"/>
      <c r="AE108" s="2377"/>
      <c r="AF108" s="2377"/>
      <c r="AG108" s="2378"/>
      <c r="AH108" s="348"/>
      <c r="AI108" s="348"/>
      <c r="AJ108" s="349" t="str">
        <f t="shared" si="40"/>
        <v/>
      </c>
      <c r="AK108" s="349"/>
      <c r="AL108" s="349"/>
      <c r="AM108" s="1715" t="str">
        <f>IF(U108="","",IF(U108&gt;Dictionary!$I$52,1,0))</f>
        <v/>
      </c>
      <c r="AO108" s="1589" t="str">
        <f>IF('PJM-Report-Scoring'!K99="","",'PJM-Report-Scoring'!K99)</f>
        <v/>
      </c>
      <c r="AP108" s="1589" t="str">
        <f>IF('PGM-Report-Scoring'!K99="","",'PGM-Report-Scoring'!K99)</f>
        <v/>
      </c>
      <c r="AQ108" s="1589" t="str">
        <f>IF('PFM-Report-Scoring'!K99="","",'PFM-Report-Scoring'!K99)</f>
        <v/>
      </c>
      <c r="AR108" s="1589" t="str">
        <f>IF(DOMAIN=COV!$T$72,Scoring!AO108,IF(DOMAIN=COV!$T$73,Scoring!AP108,IF(DOMAIN=COV!$T$74,Scoring!AQ108,"")))</f>
        <v/>
      </c>
      <c r="AS108" s="1589">
        <f t="shared" si="41"/>
        <v>0</v>
      </c>
    </row>
    <row r="109" spans="2:45" ht="54.75" customHeight="1">
      <c r="B109" s="1864" t="str">
        <f>".4"</f>
        <v>.4</v>
      </c>
      <c r="C109" s="1862">
        <f>Dictionary!X1385</f>
        <v>2</v>
      </c>
      <c r="D109" s="1866" t="str">
        <f>Dictionary!B1385</f>
        <v>Generellen Projektmanagementansatz auswählen und anpassen</v>
      </c>
      <c r="E109" s="408">
        <v>3</v>
      </c>
      <c r="F109" s="352"/>
      <c r="G109" s="667" t="str">
        <f>IF('(8) Exam Evaluation'!Y109="","",'(8) Exam Evaluation'!Y109)</f>
        <v/>
      </c>
      <c r="H109" s="354"/>
      <c r="I109" s="353"/>
      <c r="J109" s="354"/>
      <c r="K109" s="353"/>
      <c r="L109" s="354"/>
      <c r="M109" s="353"/>
      <c r="N109" s="354"/>
      <c r="O109" s="667" t="str">
        <f t="shared" si="39"/>
        <v/>
      </c>
      <c r="P109" s="354"/>
      <c r="Q109" s="353"/>
      <c r="S109" s="353"/>
      <c r="T109" s="356" t="str">
        <f>IF(U109&gt;=0,U109,"")</f>
        <v/>
      </c>
      <c r="U109" s="667" t="str">
        <f>IF(Q109="",O109,Q109)</f>
        <v/>
      </c>
      <c r="W109" s="1386"/>
      <c r="Y109" s="1386"/>
      <c r="AA109" s="1386"/>
      <c r="AB109" s="348"/>
      <c r="AC109" s="2376"/>
      <c r="AD109" s="2377"/>
      <c r="AE109" s="2377"/>
      <c r="AF109" s="2377"/>
      <c r="AG109" s="2378"/>
      <c r="AH109" s="348"/>
      <c r="AI109" s="348"/>
      <c r="AJ109" s="349" t="str">
        <f t="shared" si="40"/>
        <v/>
      </c>
      <c r="AK109" s="349"/>
      <c r="AL109" s="349"/>
      <c r="AM109" s="1715" t="str">
        <f>IF(U109="","",IF(U109&gt;Dictionary!$I$52,1,0))</f>
        <v/>
      </c>
      <c r="AO109" s="1589" t="str">
        <f>IF('PJM-Report-Scoring'!K100="","",'PJM-Report-Scoring'!K100)</f>
        <v/>
      </c>
      <c r="AP109" s="1589" t="str">
        <f>IF('PGM-Report-Scoring'!K100="","",'PGM-Report-Scoring'!K100)</f>
        <v/>
      </c>
      <c r="AQ109" s="1589" t="str">
        <f>IF('PFM-Report-Scoring'!K100="","",'PFM-Report-Scoring'!K100)</f>
        <v/>
      </c>
      <c r="AR109" s="1589" t="str">
        <f>IF(DOMAIN=COV!$T$72,Scoring!AO109,IF(DOMAIN=COV!$T$73,Scoring!AP109,IF(DOMAIN=COV!$T$74,Scoring!AQ109,"")))</f>
        <v/>
      </c>
      <c r="AS109" s="1589">
        <f t="shared" si="41"/>
        <v>0</v>
      </c>
    </row>
    <row r="110" spans="2:45" ht="54.75" customHeight="1">
      <c r="B110" s="1864" t="str">
        <f>".5"</f>
        <v>.5</v>
      </c>
      <c r="C110" s="1862">
        <f>Dictionary!X1386</f>
        <v>3</v>
      </c>
      <c r="D110" s="1866" t="str">
        <f>Dictionary!B1386</f>
        <v>Konzept für die Projektdurchführung entwerfen, überwachen und anpassen</v>
      </c>
      <c r="E110" s="408">
        <v>3</v>
      </c>
      <c r="F110" s="352"/>
      <c r="G110" s="667" t="str">
        <f>IF('(8) Exam Evaluation'!Y110="","",'(8) Exam Evaluation'!Y110)</f>
        <v/>
      </c>
      <c r="H110" s="354"/>
      <c r="I110" s="353"/>
      <c r="J110" s="354"/>
      <c r="K110" s="353"/>
      <c r="L110" s="354"/>
      <c r="M110" s="353"/>
      <c r="N110" s="354"/>
      <c r="O110" s="667" t="str">
        <f t="shared" si="39"/>
        <v/>
      </c>
      <c r="P110" s="354"/>
      <c r="Q110" s="353"/>
      <c r="S110" s="353"/>
      <c r="T110" s="356" t="str">
        <f>IF(U110&gt;=0,U110,"")</f>
        <v/>
      </c>
      <c r="U110" s="667" t="str">
        <f>IF(Q110="",O110,Q110)</f>
        <v/>
      </c>
      <c r="W110" s="1386"/>
      <c r="Y110" s="1386"/>
      <c r="AA110" s="1386"/>
      <c r="AB110" s="348"/>
      <c r="AC110" s="2376"/>
      <c r="AD110" s="2377"/>
      <c r="AE110" s="2377"/>
      <c r="AF110" s="2377"/>
      <c r="AG110" s="2378"/>
      <c r="AH110" s="348"/>
      <c r="AI110" s="348"/>
      <c r="AJ110" s="349" t="str">
        <f t="shared" si="40"/>
        <v/>
      </c>
      <c r="AK110" s="349"/>
      <c r="AL110" s="349"/>
      <c r="AM110" s="1715" t="str">
        <f>IF(U110="","",IF(U110&gt;Dictionary!$I$52,1,0))</f>
        <v/>
      </c>
      <c r="AO110" s="1589">
        <f>IF('PJM-Report-Scoring'!K101="","",'PJM-Report-Scoring'!K101)</f>
        <v>0</v>
      </c>
      <c r="AP110" s="1589" t="str">
        <f>IF('PGM-Report-Scoring'!K101="","",'PGM-Report-Scoring'!K101)</f>
        <v/>
      </c>
      <c r="AQ110" s="1589" t="str">
        <f>IF('PFM-Report-Scoring'!K101="","",'PFM-Report-Scoring'!K101)</f>
        <v/>
      </c>
      <c r="AR110" s="1589">
        <f>IF(DOMAIN=COV!$T$72,Scoring!AO110,IF(DOMAIN=COV!$T$73,Scoring!AP110,IF(DOMAIN=COV!$T$74,Scoring!AQ110,"")))</f>
        <v>0</v>
      </c>
      <c r="AS110" s="1589">
        <f t="shared" si="41"/>
        <v>0</v>
      </c>
    </row>
    <row r="111" spans="2:45" ht="54.75" customHeight="1">
      <c r="B111" s="1864" t="str">
        <f>".6"</f>
        <v>.6</v>
      </c>
      <c r="C111" s="1862">
        <f>Dictionary!X1387</f>
        <v>0</v>
      </c>
      <c r="D111" s="1866" t="str">
        <f>Dictionary!B1387</f>
        <v/>
      </c>
      <c r="E111" s="1105"/>
      <c r="F111" s="343"/>
      <c r="G111" s="667" t="str">
        <f>IF('(8) Exam Evaluation'!Y111="","",'(8) Exam Evaluation'!Y111)</f>
        <v/>
      </c>
      <c r="H111" s="1106"/>
      <c r="I111" s="353"/>
      <c r="J111" s="1106"/>
      <c r="K111" s="353"/>
      <c r="L111" s="1106"/>
      <c r="M111" s="353"/>
      <c r="N111" s="1106"/>
      <c r="O111" s="667" t="str">
        <f t="shared" si="39"/>
        <v/>
      </c>
      <c r="P111" s="1106"/>
      <c r="Q111" s="353"/>
      <c r="S111" s="353"/>
      <c r="T111" s="356" t="str">
        <f t="shared" ref="T111:T113" si="43">IF(U111&gt;=0,U111,"")</f>
        <v/>
      </c>
      <c r="U111" s="667" t="str">
        <f>IF(Q111="",O111,Q111)</f>
        <v/>
      </c>
      <c r="W111" s="1386"/>
      <c r="Y111" s="1386"/>
      <c r="AA111" s="1386"/>
      <c r="AB111" s="348"/>
      <c r="AC111" s="2376"/>
      <c r="AD111" s="2377"/>
      <c r="AE111" s="2377"/>
      <c r="AF111" s="2377"/>
      <c r="AG111" s="2378"/>
      <c r="AH111" s="348"/>
      <c r="AI111" s="348"/>
      <c r="AJ111" s="349" t="str">
        <f t="shared" si="40"/>
        <v/>
      </c>
      <c r="AK111" s="349"/>
      <c r="AL111" s="349"/>
      <c r="AM111" s="1715" t="str">
        <f>IF(U111="","",IF(U111&gt;Dictionary!$I$52,1,0))</f>
        <v/>
      </c>
      <c r="AO111" s="1589" t="str">
        <f>IF('PJM-Report-Scoring'!K102="","",'PJM-Report-Scoring'!K102)</f>
        <v/>
      </c>
      <c r="AP111" s="1589" t="str">
        <f>IF('PGM-Report-Scoring'!K102="","",'PGM-Report-Scoring'!K102)</f>
        <v/>
      </c>
      <c r="AQ111" s="1589" t="str">
        <f>IF('PFM-Report-Scoring'!K102="","",'PFM-Report-Scoring'!K102)</f>
        <v/>
      </c>
      <c r="AR111" s="1589" t="str">
        <f>IF(DOMAIN=COV!$T$72,Scoring!AO111,IF(DOMAIN=COV!$T$73,Scoring!AP111,IF(DOMAIN=COV!$T$74,Scoring!AQ111,"")))</f>
        <v/>
      </c>
      <c r="AS111" s="1589" t="str">
        <f t="shared" si="41"/>
        <v/>
      </c>
    </row>
    <row r="112" spans="2:45" ht="54.75" customHeight="1">
      <c r="B112" s="1864" t="str">
        <f>".7"</f>
        <v>.7</v>
      </c>
      <c r="C112" s="1862">
        <f>Dictionary!X1388</f>
        <v>0</v>
      </c>
      <c r="D112" s="1866" t="str">
        <f>Dictionary!B1388</f>
        <v/>
      </c>
      <c r="E112" s="1105"/>
      <c r="F112" s="343"/>
      <c r="G112" s="667" t="str">
        <f>IF('(8) Exam Evaluation'!Y112="","",'(8) Exam Evaluation'!Y112)</f>
        <v/>
      </c>
      <c r="H112" s="1106"/>
      <c r="I112" s="353"/>
      <c r="J112" s="1106"/>
      <c r="K112" s="353"/>
      <c r="L112" s="1106"/>
      <c r="M112" s="353"/>
      <c r="N112" s="1106"/>
      <c r="O112" s="667" t="str">
        <f t="shared" si="39"/>
        <v/>
      </c>
      <c r="P112" s="1106"/>
      <c r="Q112" s="353"/>
      <c r="S112" s="353"/>
      <c r="T112" s="356" t="str">
        <f t="shared" si="43"/>
        <v/>
      </c>
      <c r="U112" s="667" t="str">
        <f t="shared" ref="U112:U113" si="44">IF(Q112="",O112,Q112)</f>
        <v/>
      </c>
      <c r="W112" s="1386"/>
      <c r="Y112" s="1386"/>
      <c r="AA112" s="1386"/>
      <c r="AB112" s="348"/>
      <c r="AC112" s="2376"/>
      <c r="AD112" s="2377"/>
      <c r="AE112" s="2377"/>
      <c r="AF112" s="2377"/>
      <c r="AG112" s="2378"/>
      <c r="AH112" s="348"/>
      <c r="AI112" s="348"/>
      <c r="AJ112" s="349" t="str">
        <f t="shared" si="40"/>
        <v/>
      </c>
      <c r="AK112" s="349"/>
      <c r="AL112" s="349"/>
      <c r="AM112" s="1715" t="str">
        <f>IF(U112="","",IF(U112&gt;Dictionary!$I$52,1,0))</f>
        <v/>
      </c>
      <c r="AO112" s="1589" t="str">
        <f>IF('PJM-Report-Scoring'!K103="","",'PJM-Report-Scoring'!K103)</f>
        <v/>
      </c>
      <c r="AP112" s="1589" t="str">
        <f>IF('PGM-Report-Scoring'!K103="","",'PGM-Report-Scoring'!K103)</f>
        <v/>
      </c>
      <c r="AQ112" s="1589" t="str">
        <f>IF('PFM-Report-Scoring'!K103="","",'PFM-Report-Scoring'!K103)</f>
        <v/>
      </c>
      <c r="AR112" s="1589" t="str">
        <f>IF(DOMAIN=COV!$T$72,Scoring!AO112,IF(DOMAIN=COV!$T$73,Scoring!AP112,IF(DOMAIN=COV!$T$74,Scoring!AQ112,"")))</f>
        <v/>
      </c>
      <c r="AS112" s="1589" t="str">
        <f>IF(AR112="",AS113,AR112)</f>
        <v/>
      </c>
    </row>
    <row r="113" spans="2:45" ht="54.75" customHeight="1">
      <c r="B113" s="1864" t="str">
        <f>".8"</f>
        <v>.8</v>
      </c>
      <c r="C113" s="1862">
        <f>Dictionary!X1389</f>
        <v>0</v>
      </c>
      <c r="D113" s="1866" t="str">
        <f>Dictionary!B1389</f>
        <v/>
      </c>
      <c r="E113" s="1105"/>
      <c r="F113" s="343"/>
      <c r="G113" s="667" t="str">
        <f>IF('(8) Exam Evaluation'!Y113="","",'(8) Exam Evaluation'!Y113)</f>
        <v/>
      </c>
      <c r="H113" s="1106"/>
      <c r="I113" s="353"/>
      <c r="J113" s="1106"/>
      <c r="K113" s="353"/>
      <c r="L113" s="1106"/>
      <c r="M113" s="353"/>
      <c r="N113" s="1106"/>
      <c r="O113" s="667" t="str">
        <f t="shared" si="39"/>
        <v/>
      </c>
      <c r="P113" s="1106"/>
      <c r="Q113" s="353"/>
      <c r="S113" s="353"/>
      <c r="T113" s="356" t="str">
        <f t="shared" si="43"/>
        <v/>
      </c>
      <c r="U113" s="667" t="str">
        <f t="shared" si="44"/>
        <v/>
      </c>
      <c r="W113" s="1386"/>
      <c r="Y113" s="1386"/>
      <c r="AA113" s="1386"/>
      <c r="AB113" s="348"/>
      <c r="AC113" s="2376"/>
      <c r="AD113" s="2377"/>
      <c r="AE113" s="2377"/>
      <c r="AF113" s="2377"/>
      <c r="AG113" s="2378"/>
      <c r="AH113" s="348"/>
      <c r="AI113" s="348"/>
      <c r="AJ113" s="349" t="str">
        <f t="shared" si="40"/>
        <v/>
      </c>
      <c r="AK113" s="349"/>
      <c r="AL113" s="349"/>
      <c r="AM113" s="1715" t="str">
        <f>IF(U113="","",IF(U113&gt;Dictionary!$I$52,1,0))</f>
        <v/>
      </c>
      <c r="AO113" s="1589" t="str">
        <f>IF('PJM-Report-Scoring'!K104="","",'PJM-Report-Scoring'!K104)</f>
        <v/>
      </c>
      <c r="AP113" s="1589">
        <f>IF('PGM-Report-Scoring'!K104="","",'PGM-Report-Scoring'!K104)</f>
        <v>0</v>
      </c>
      <c r="AQ113" s="1589" t="str">
        <f>IF('PFM-Report-Scoring'!K104="","",'PFM-Report-Scoring'!K104)</f>
        <v/>
      </c>
      <c r="AR113" s="1589" t="str">
        <f>IF(DOMAIN=COV!$T$72,Scoring!AO113,IF(DOMAIN=COV!$T$73,Scoring!AP113,IF(DOMAIN=COV!$T$74,Scoring!AQ113,"")))</f>
        <v/>
      </c>
      <c r="AS113" s="1590" t="str">
        <f>IF(AR113="","",AR113)</f>
        <v/>
      </c>
    </row>
    <row r="114" spans="2:45" ht="16">
      <c r="B114" s="1861" t="s">
        <v>382</v>
      </c>
      <c r="C114" s="1862">
        <f>Dictionary!X1392</f>
        <v>3</v>
      </c>
      <c r="D114" s="1863" t="str">
        <f>Dictionary!B1392</f>
        <v>Anforderungen und Ziele</v>
      </c>
      <c r="E114" s="402">
        <v>4</v>
      </c>
      <c r="F114" s="343"/>
      <c r="G114" s="405"/>
      <c r="H114" s="315"/>
      <c r="I114" s="359"/>
      <c r="J114" s="360"/>
      <c r="K114" s="358"/>
      <c r="L114" s="360"/>
      <c r="M114" s="359"/>
      <c r="N114" s="315"/>
      <c r="O114" s="315"/>
      <c r="P114" s="315"/>
      <c r="Q114" s="359"/>
      <c r="S114" s="359"/>
      <c r="T114" s="356"/>
      <c r="U114" s="346" t="str">
        <f t="shared" si="38"/>
        <v/>
      </c>
      <c r="Y114" s="321"/>
      <c r="AA114" s="321"/>
      <c r="AB114" s="348"/>
      <c r="AC114" s="313"/>
      <c r="AD114" s="321"/>
      <c r="AE114" s="321"/>
      <c r="AF114" s="321"/>
      <c r="AG114" s="321"/>
      <c r="AH114" s="348"/>
      <c r="AI114" s="348"/>
      <c r="AJ114" s="348"/>
      <c r="AK114" s="349">
        <f>COUNTA(D115:D119)-COUNTBLANK(D115:D119)</f>
        <v>3</v>
      </c>
      <c r="AL114" s="349">
        <f>ROUNDUP(AK114/2,0)</f>
        <v>2</v>
      </c>
      <c r="AM114" s="346" t="str">
        <f>IF((COUNTBLANK(AM115:AM119)-COUNTBLANK(D115:D119))=$AK114,"",IF((COUNTIF(AM115:AM119,"&gt;=1")&gt;=AL114),"Pass","Fail"))</f>
        <v/>
      </c>
    </row>
    <row r="115" spans="2:45" ht="54.75" customHeight="1">
      <c r="B115" s="1864" t="str">
        <f>".1"</f>
        <v>.1</v>
      </c>
      <c r="C115" s="1862">
        <f>Dictionary!X1393</f>
        <v>3</v>
      </c>
      <c r="D115" s="1866" t="str">
        <f>Dictionary!B1393</f>
        <v>Hierarchie der Projektziele definieren und entwickeln</v>
      </c>
      <c r="E115" s="408">
        <v>3</v>
      </c>
      <c r="F115" s="352"/>
      <c r="G115" s="667" t="str">
        <f>IF('(8) Exam Evaluation'!Y115="","",'(8) Exam Evaluation'!Y115)</f>
        <v/>
      </c>
      <c r="H115" s="354"/>
      <c r="I115" s="353"/>
      <c r="J115" s="354"/>
      <c r="K115" s="353"/>
      <c r="L115" s="354"/>
      <c r="M115" s="353"/>
      <c r="N115" s="354"/>
      <c r="O115" s="667" t="str">
        <f t="shared" si="39"/>
        <v/>
      </c>
      <c r="P115" s="354"/>
      <c r="Q115" s="353"/>
      <c r="S115" s="353"/>
      <c r="T115" s="356" t="str">
        <f>IF(U115&gt;=0,U115,"")</f>
        <v/>
      </c>
      <c r="U115" s="667" t="str">
        <f>IF(Q115="",O115,Q115)</f>
        <v/>
      </c>
      <c r="W115" s="1386"/>
      <c r="Y115" s="1386"/>
      <c r="AA115" s="1386"/>
      <c r="AB115" s="348"/>
      <c r="AC115" s="2376"/>
      <c r="AD115" s="2377"/>
      <c r="AE115" s="2377"/>
      <c r="AF115" s="2377"/>
      <c r="AG115" s="2378"/>
      <c r="AH115" s="348"/>
      <c r="AI115" s="348"/>
      <c r="AJ115" s="349" t="str">
        <f>IF(CSW_FLAG="","",IF(K115="","",K115))</f>
        <v/>
      </c>
      <c r="AK115" s="349"/>
      <c r="AL115" s="349"/>
      <c r="AM115" s="1715" t="str">
        <f>IF(U115="","",IF(U115&gt;Dictionary!$I$52,1,0))</f>
        <v/>
      </c>
      <c r="AO115" s="1589" t="str">
        <f>IF('PJM-Report-Scoring'!K106="","",'PJM-Report-Scoring'!K106)</f>
        <v/>
      </c>
      <c r="AP115" s="1589" t="str">
        <f>IF('PGM-Report-Scoring'!K106="","",'PGM-Report-Scoring'!K106)</f>
        <v/>
      </c>
      <c r="AQ115" s="1589">
        <f>IF('PFM-Report-Scoring'!K106="","",'PFM-Report-Scoring'!K106)</f>
        <v>0</v>
      </c>
      <c r="AR115" s="1589" t="str">
        <f>IF(DOMAIN=COV!$T$72,Scoring!AO115,IF(DOMAIN=COV!$T$73,Scoring!AP115,IF(DOMAIN=COV!$T$74,Scoring!AQ115,"")))</f>
        <v/>
      </c>
      <c r="AS115" s="1589">
        <f t="shared" ref="AS115:AS117" si="45">IF(AR115="",AS116,AR115)</f>
        <v>0</v>
      </c>
    </row>
    <row r="116" spans="2:45" ht="54.75" customHeight="1">
      <c r="B116" s="1864" t="str">
        <f>".2"</f>
        <v>.2</v>
      </c>
      <c r="C116" s="1862">
        <f>Dictionary!X1394</f>
        <v>2</v>
      </c>
      <c r="D116" s="1866" t="str">
        <f>Dictionary!B1394</f>
        <v>Bedürfnisse und Anforderungen der Projekt-Stakeholder identifizieren und analysieren</v>
      </c>
      <c r="E116" s="408">
        <v>4</v>
      </c>
      <c r="F116" s="352"/>
      <c r="G116" s="667" t="str">
        <f>IF('(8) Exam Evaluation'!Y116="","",'(8) Exam Evaluation'!Y116)</f>
        <v/>
      </c>
      <c r="H116" s="354"/>
      <c r="I116" s="353"/>
      <c r="J116" s="354"/>
      <c r="K116" s="353"/>
      <c r="L116" s="354"/>
      <c r="M116" s="353"/>
      <c r="N116" s="354"/>
      <c r="O116" s="667" t="str">
        <f t="shared" si="39"/>
        <v/>
      </c>
      <c r="P116" s="354"/>
      <c r="Q116" s="353"/>
      <c r="S116" s="353"/>
      <c r="T116" s="356" t="str">
        <f>IF(U116&gt;=0,U116,"")</f>
        <v/>
      </c>
      <c r="U116" s="667" t="str">
        <f t="shared" ref="U116:U117" si="46">IF(Q116="",O116,Q116)</f>
        <v/>
      </c>
      <c r="W116" s="1386"/>
      <c r="Y116" s="1386"/>
      <c r="AA116" s="1386"/>
      <c r="AB116" s="348"/>
      <c r="AC116" s="2376"/>
      <c r="AD116" s="2377"/>
      <c r="AE116" s="2377"/>
      <c r="AF116" s="2377"/>
      <c r="AG116" s="2378"/>
      <c r="AH116" s="348"/>
      <c r="AI116" s="348"/>
      <c r="AJ116" s="349" t="str">
        <f>IF(CSW_FLAG="","",IF(K116="","",K116))</f>
        <v/>
      </c>
      <c r="AK116" s="349"/>
      <c r="AL116" s="349"/>
      <c r="AM116" s="1715" t="str">
        <f>IF(U116="","",IF(U116&gt;Dictionary!$I$52,1,0))</f>
        <v/>
      </c>
      <c r="AO116" s="1589" t="str">
        <f>IF('PJM-Report-Scoring'!K107="","",'PJM-Report-Scoring'!K107)</f>
        <v/>
      </c>
      <c r="AP116" s="1589" t="str">
        <f>IF('PGM-Report-Scoring'!K107="","",'PGM-Report-Scoring'!K107)</f>
        <v/>
      </c>
      <c r="AQ116" s="1589" t="str">
        <f>IF('PFM-Report-Scoring'!K107="","",'PFM-Report-Scoring'!K107)</f>
        <v/>
      </c>
      <c r="AR116" s="1589" t="str">
        <f>IF(DOMAIN=COV!$T$72,Scoring!AO116,IF(DOMAIN=COV!$T$73,Scoring!AP116,IF(DOMAIN=COV!$T$74,Scoring!AQ116,"")))</f>
        <v/>
      </c>
      <c r="AS116" s="1589">
        <f t="shared" si="45"/>
        <v>0</v>
      </c>
    </row>
    <row r="117" spans="2:45" ht="54.75" customHeight="1">
      <c r="B117" s="1864" t="str">
        <f>".3"</f>
        <v>.3</v>
      </c>
      <c r="C117" s="1862">
        <f>Dictionary!X1395</f>
        <v>3</v>
      </c>
      <c r="D117" s="1866" t="str">
        <f>Dictionary!B1395</f>
        <v>Anforderungen und Abnahmekriterien priorisieren und darüber entscheiden</v>
      </c>
      <c r="E117" s="408">
        <v>4</v>
      </c>
      <c r="F117" s="352"/>
      <c r="G117" s="667" t="str">
        <f>IF('(8) Exam Evaluation'!Y117="","",'(8) Exam Evaluation'!Y117)</f>
        <v/>
      </c>
      <c r="H117" s="354"/>
      <c r="I117" s="353"/>
      <c r="J117" s="354"/>
      <c r="K117" s="353"/>
      <c r="L117" s="354"/>
      <c r="M117" s="353"/>
      <c r="N117" s="354"/>
      <c r="O117" s="667" t="str">
        <f t="shared" si="39"/>
        <v/>
      </c>
      <c r="P117" s="354"/>
      <c r="Q117" s="353"/>
      <c r="S117" s="353"/>
      <c r="T117" s="356" t="str">
        <f>IF(U117&gt;=0,U117,"")</f>
        <v/>
      </c>
      <c r="U117" s="667" t="str">
        <f t="shared" si="46"/>
        <v/>
      </c>
      <c r="W117" s="1386"/>
      <c r="Y117" s="1386"/>
      <c r="AA117" s="1386"/>
      <c r="AB117" s="348"/>
      <c r="AC117" s="2376"/>
      <c r="AD117" s="2377"/>
      <c r="AE117" s="2377"/>
      <c r="AF117" s="2377"/>
      <c r="AG117" s="2378"/>
      <c r="AH117" s="348"/>
      <c r="AI117" s="348"/>
      <c r="AJ117" s="349" t="str">
        <f>IF(CSW_FLAG="","",IF(K117="","",K117))</f>
        <v/>
      </c>
      <c r="AK117" s="349"/>
      <c r="AL117" s="349"/>
      <c r="AM117" s="1715" t="str">
        <f>IF(U117="","",IF(U117&gt;Dictionary!$I$52,1,0))</f>
        <v/>
      </c>
      <c r="AO117" s="1589">
        <f>IF('PJM-Report-Scoring'!K108="","",'PJM-Report-Scoring'!K108)</f>
        <v>0</v>
      </c>
      <c r="AP117" s="1589" t="str">
        <f>IF('PGM-Report-Scoring'!K108="","",'PGM-Report-Scoring'!K108)</f>
        <v/>
      </c>
      <c r="AQ117" s="1589" t="str">
        <f>IF('PFM-Report-Scoring'!K108="","",'PFM-Report-Scoring'!K108)</f>
        <v/>
      </c>
      <c r="AR117" s="1589">
        <f>IF(DOMAIN=COV!$T$72,Scoring!AO117,IF(DOMAIN=COV!$T$73,Scoring!AP117,IF(DOMAIN=COV!$T$74,Scoring!AQ117,"")))</f>
        <v>0</v>
      </c>
      <c r="AS117" s="1589">
        <f t="shared" si="45"/>
        <v>0</v>
      </c>
    </row>
    <row r="118" spans="2:45" ht="54.75" customHeight="1">
      <c r="B118" s="1864" t="str">
        <f>".4"</f>
        <v>.4</v>
      </c>
      <c r="C118" s="1862">
        <f>Dictionary!X1396</f>
        <v>0</v>
      </c>
      <c r="D118" s="1866" t="str">
        <f>Dictionary!B1396</f>
        <v/>
      </c>
      <c r="E118" s="1105"/>
      <c r="F118" s="343"/>
      <c r="G118" s="667" t="str">
        <f>IF('(8) Exam Evaluation'!Y120="","",'(8) Exam Evaluation'!Y120)</f>
        <v/>
      </c>
      <c r="H118" s="1106"/>
      <c r="I118" s="353"/>
      <c r="J118" s="1106"/>
      <c r="K118" s="353"/>
      <c r="L118" s="1106"/>
      <c r="M118" s="353"/>
      <c r="N118" s="1106"/>
      <c r="O118" s="667" t="str">
        <f t="shared" si="39"/>
        <v/>
      </c>
      <c r="P118" s="1106"/>
      <c r="Q118" s="353"/>
      <c r="S118" s="353"/>
      <c r="T118" s="356"/>
      <c r="U118" s="667" t="str">
        <f>IF(Q118="",O118,Q118)</f>
        <v/>
      </c>
      <c r="W118" s="1386"/>
      <c r="Y118" s="1386"/>
      <c r="AA118" s="1386"/>
      <c r="AB118" s="348"/>
      <c r="AC118" s="2376"/>
      <c r="AD118" s="2377"/>
      <c r="AE118" s="2377"/>
      <c r="AF118" s="2377"/>
      <c r="AG118" s="2378"/>
      <c r="AH118" s="348"/>
      <c r="AI118" s="348"/>
      <c r="AJ118" s="349" t="str">
        <f>IF(CSW_FLAG="","",IF(K118="","",K118))</f>
        <v/>
      </c>
      <c r="AK118" s="349"/>
      <c r="AL118" s="349"/>
      <c r="AM118" s="1715" t="str">
        <f>IF(U118="","",IF(U118&gt;Dictionary!$I$52,1,0))</f>
        <v/>
      </c>
      <c r="AO118" s="1589" t="str">
        <f>IF('PJM-Report-Scoring'!K109="","",'PJM-Report-Scoring'!K109)</f>
        <v/>
      </c>
      <c r="AP118" s="1589" t="str">
        <f>IF('PGM-Report-Scoring'!K109="","",'PGM-Report-Scoring'!K109)</f>
        <v/>
      </c>
      <c r="AQ118" s="1589" t="str">
        <f>IF('PFM-Report-Scoring'!K109="","",'PFM-Report-Scoring'!K109)</f>
        <v/>
      </c>
      <c r="AR118" s="1589" t="str">
        <f>IF(DOMAIN=COV!$T$72,Scoring!AO118,IF(DOMAIN=COV!$T$73,Scoring!AP118,IF(DOMAIN=COV!$T$74,Scoring!AQ118,"")))</f>
        <v/>
      </c>
      <c r="AS118" s="1589" t="str">
        <f>IF(AR118="",AS119,AR118)</f>
        <v/>
      </c>
    </row>
    <row r="119" spans="2:45" ht="54.75" customHeight="1">
      <c r="B119" s="1864" t="str">
        <f>".5"</f>
        <v>.5</v>
      </c>
      <c r="C119" s="1862">
        <f>Dictionary!X1397</f>
        <v>0</v>
      </c>
      <c r="D119" s="1866" t="str">
        <f>Dictionary!B1397</f>
        <v/>
      </c>
      <c r="E119" s="1105"/>
      <c r="F119" s="343"/>
      <c r="G119" s="667" t="str">
        <f>IF('(8) Exam Evaluation'!Y121="","",'(8) Exam Evaluation'!Y121)</f>
        <v/>
      </c>
      <c r="H119" s="1106"/>
      <c r="I119" s="353"/>
      <c r="J119" s="1106"/>
      <c r="K119" s="353"/>
      <c r="L119" s="1106"/>
      <c r="M119" s="353"/>
      <c r="N119" s="1106"/>
      <c r="O119" s="667" t="str">
        <f t="shared" si="39"/>
        <v/>
      </c>
      <c r="P119" s="1106"/>
      <c r="Q119" s="353"/>
      <c r="S119" s="353"/>
      <c r="T119" s="356"/>
      <c r="U119" s="667" t="str">
        <f>IF(Q119="",O119,Q119)</f>
        <v/>
      </c>
      <c r="W119" s="1386"/>
      <c r="Y119" s="1386"/>
      <c r="AA119" s="1386"/>
      <c r="AB119" s="348"/>
      <c r="AC119" s="2376"/>
      <c r="AD119" s="2377"/>
      <c r="AE119" s="2377"/>
      <c r="AF119" s="2377"/>
      <c r="AG119" s="2378"/>
      <c r="AH119" s="348"/>
      <c r="AI119" s="348"/>
      <c r="AJ119" s="349" t="str">
        <f>IF(CSW_FLAG="","",IF(K119="","",K119))</f>
        <v/>
      </c>
      <c r="AK119" s="349"/>
      <c r="AL119" s="349"/>
      <c r="AM119" s="1715" t="str">
        <f>IF(U119="","",IF(U119&gt;Dictionary!$I$52,1,0))</f>
        <v/>
      </c>
      <c r="AO119" s="1589" t="str">
        <f>IF('PJM-Report-Scoring'!K110="","",'PJM-Report-Scoring'!K110)</f>
        <v/>
      </c>
      <c r="AP119" s="1589">
        <f>IF('PGM-Report-Scoring'!K110="","",'PGM-Report-Scoring'!K110)</f>
        <v>0</v>
      </c>
      <c r="AQ119" s="1589" t="str">
        <f>IF('PFM-Report-Scoring'!K110="","",'PFM-Report-Scoring'!K110)</f>
        <v/>
      </c>
      <c r="AR119" s="1589" t="str">
        <f>IF(DOMAIN=COV!$T$72,Scoring!AO119,IF(DOMAIN=COV!$T$73,Scoring!AP119,IF(DOMAIN=COV!$T$74,Scoring!AQ119,"")))</f>
        <v/>
      </c>
      <c r="AS119" s="1590" t="str">
        <f>IF(AR119="","",AR119)</f>
        <v/>
      </c>
    </row>
    <row r="120" spans="2:45" ht="16">
      <c r="B120" s="1861" t="s">
        <v>378</v>
      </c>
      <c r="C120" s="1862">
        <f>Dictionary!X1400</f>
        <v>3</v>
      </c>
      <c r="D120" s="1863" t="str">
        <f>Dictionary!B1400</f>
        <v>Leistungsumfang</v>
      </c>
      <c r="E120" s="402">
        <v>3</v>
      </c>
      <c r="F120" s="343"/>
      <c r="G120" s="405"/>
      <c r="H120" s="315"/>
      <c r="I120" s="359"/>
      <c r="J120" s="360"/>
      <c r="K120" s="358"/>
      <c r="L120" s="360"/>
      <c r="M120" s="359"/>
      <c r="N120" s="315"/>
      <c r="O120" s="315"/>
      <c r="P120" s="315"/>
      <c r="Q120" s="359"/>
      <c r="S120" s="359"/>
      <c r="T120" s="356"/>
      <c r="U120" s="346" t="str">
        <f t="shared" si="38"/>
        <v/>
      </c>
      <c r="Y120" s="321"/>
      <c r="AA120" s="321"/>
      <c r="AB120" s="348"/>
      <c r="AC120" s="313"/>
      <c r="AD120" s="321"/>
      <c r="AE120" s="321"/>
      <c r="AF120" s="321"/>
      <c r="AG120" s="321"/>
      <c r="AH120" s="348"/>
      <c r="AI120" s="348"/>
      <c r="AJ120" s="348"/>
      <c r="AK120" s="349">
        <f>COUNTA(D121:D124)-COUNTBLANK(D121:D124)</f>
        <v>4</v>
      </c>
      <c r="AL120" s="349">
        <f>ROUNDUP(AK120/2,0)</f>
        <v>2</v>
      </c>
      <c r="AM120" s="346" t="str">
        <f>IF((COUNTBLANK(AM121:AM124)-COUNTBLANK(D121:D124))=$AK120,"",IF((COUNTIF(AM121:AM124,"&gt;=1")&gt;=AL120),"Pass","Fail"))</f>
        <v/>
      </c>
    </row>
    <row r="121" spans="2:45" ht="54.75" customHeight="1">
      <c r="B121" s="1864" t="str">
        <f>".1"</f>
        <v>.1</v>
      </c>
      <c r="C121" s="1862">
        <f>Dictionary!X1401</f>
        <v>3</v>
      </c>
      <c r="D121" s="1866" t="str">
        <f>Dictionary!B1401</f>
        <v>Lieferobjekte definieren</v>
      </c>
      <c r="E121" s="408">
        <v>3</v>
      </c>
      <c r="F121" s="352"/>
      <c r="G121" s="667" t="str">
        <f>IF('(8) Exam Evaluation'!Y121="","",'(8) Exam Evaluation'!Y121)</f>
        <v/>
      </c>
      <c r="H121" s="354"/>
      <c r="I121" s="353"/>
      <c r="J121" s="354"/>
      <c r="K121" s="353"/>
      <c r="L121" s="354"/>
      <c r="M121" s="353"/>
      <c r="N121" s="354"/>
      <c r="O121" s="667" t="str">
        <f t="shared" si="39"/>
        <v/>
      </c>
      <c r="P121" s="354"/>
      <c r="Q121" s="353"/>
      <c r="S121" s="353"/>
      <c r="T121" s="356" t="str">
        <f>IF(U121&gt;=0,U121,"")</f>
        <v/>
      </c>
      <c r="U121" s="667" t="str">
        <f>IF(Q121="",O121,Q121)</f>
        <v/>
      </c>
      <c r="W121" s="1386"/>
      <c r="Y121" s="1386"/>
      <c r="AA121" s="1386"/>
      <c r="AB121" s="348"/>
      <c r="AC121" s="2376"/>
      <c r="AD121" s="2377"/>
      <c r="AE121" s="2377"/>
      <c r="AF121" s="2377"/>
      <c r="AG121" s="2378"/>
      <c r="AH121" s="348"/>
      <c r="AI121" s="348"/>
      <c r="AJ121" s="349" t="str">
        <f>IF(CSW_FLAG="","",IF(K121="","",K121))</f>
        <v/>
      </c>
      <c r="AK121" s="349"/>
      <c r="AL121" s="349"/>
      <c r="AM121" s="1715" t="str">
        <f>IF(U121="","",IF(U121&gt;Dictionary!$I$52,1,0))</f>
        <v/>
      </c>
      <c r="AO121" s="1589" t="str">
        <f>IF('PJM-Report-Scoring'!K112="","",'PJM-Report-Scoring'!K112)</f>
        <v/>
      </c>
      <c r="AP121" s="1589" t="str">
        <f>IF('PGM-Report-Scoring'!K112="","",'PGM-Report-Scoring'!K112)</f>
        <v/>
      </c>
      <c r="AQ121" s="1589" t="str">
        <f>IF('PFM-Report-Scoring'!K112="","",'PFM-Report-Scoring'!K112)</f>
        <v/>
      </c>
      <c r="AR121" s="1589" t="str">
        <f>IF(DOMAIN=COV!$T$72,Scoring!AO121,IF(DOMAIN=COV!$T$73,Scoring!AP121,IF(DOMAIN=COV!$T$74,Scoring!AQ121,"")))</f>
        <v/>
      </c>
      <c r="AS121" s="1589">
        <f t="shared" ref="AS121:AS122" si="47">IF(AR121="",AS122,AR121)</f>
        <v>0</v>
      </c>
    </row>
    <row r="122" spans="2:45" ht="54.75" customHeight="1">
      <c r="B122" s="1864" t="str">
        <f>".2"</f>
        <v>.2</v>
      </c>
      <c r="C122" s="1862">
        <f>Dictionary!X1402</f>
        <v>3</v>
      </c>
      <c r="D122" s="1866" t="str">
        <f>Dictionary!B1402</f>
        <v>Leistungsumfang strukturieren</v>
      </c>
      <c r="E122" s="408">
        <v>3</v>
      </c>
      <c r="F122" s="352"/>
      <c r="G122" s="667" t="str">
        <f>IF('(8) Exam Evaluation'!Y122="","",'(8) Exam Evaluation'!Y122)</f>
        <v/>
      </c>
      <c r="H122" s="354"/>
      <c r="I122" s="353"/>
      <c r="J122" s="354"/>
      <c r="K122" s="353"/>
      <c r="L122" s="354"/>
      <c r="M122" s="353"/>
      <c r="N122" s="354"/>
      <c r="O122" s="667" t="str">
        <f t="shared" si="39"/>
        <v/>
      </c>
      <c r="P122" s="354"/>
      <c r="Q122" s="353"/>
      <c r="S122" s="353"/>
      <c r="T122" s="356" t="str">
        <f>IF(U122&gt;=0,U122,"")</f>
        <v/>
      </c>
      <c r="U122" s="667" t="str">
        <f t="shared" ref="U122:U123" si="48">IF(Q122="",O122,Q122)</f>
        <v/>
      </c>
      <c r="W122" s="1386"/>
      <c r="Y122" s="1386"/>
      <c r="AA122" s="1386"/>
      <c r="AB122" s="348"/>
      <c r="AC122" s="2376"/>
      <c r="AD122" s="2377"/>
      <c r="AE122" s="2377"/>
      <c r="AF122" s="2377"/>
      <c r="AG122" s="2378"/>
      <c r="AH122" s="348"/>
      <c r="AI122" s="348"/>
      <c r="AJ122" s="349" t="str">
        <f>IF(CSW_FLAG="","",IF(K122="","",K122))</f>
        <v/>
      </c>
      <c r="AK122" s="349"/>
      <c r="AL122" s="349"/>
      <c r="AM122" s="1715" t="str">
        <f>IF(U122="","",IF(U122&gt;Dictionary!$I$52,1,0))</f>
        <v/>
      </c>
      <c r="AO122" s="1589" t="str">
        <f>IF('PJM-Report-Scoring'!K113="","",'PJM-Report-Scoring'!K113)</f>
        <v/>
      </c>
      <c r="AP122" s="1589" t="str">
        <f>IF('PGM-Report-Scoring'!K113="","",'PGM-Report-Scoring'!K113)</f>
        <v/>
      </c>
      <c r="AQ122" s="1589">
        <f>IF('PFM-Report-Scoring'!K113="","",'PFM-Report-Scoring'!K113)</f>
        <v>0</v>
      </c>
      <c r="AR122" s="1589" t="str">
        <f>IF(DOMAIN=COV!$T$72,Scoring!AO122,IF(DOMAIN=COV!$T$73,Scoring!AP122,IF(DOMAIN=COV!$T$74,Scoring!AQ122,"")))</f>
        <v/>
      </c>
      <c r="AS122" s="1589">
        <f t="shared" si="47"/>
        <v>0</v>
      </c>
    </row>
    <row r="123" spans="2:45" ht="54.75" customHeight="1">
      <c r="B123" s="1864" t="str">
        <f>".3"</f>
        <v>.3</v>
      </c>
      <c r="C123" s="1862">
        <f>Dictionary!X1403</f>
        <v>2</v>
      </c>
      <c r="D123" s="1866" t="str">
        <f>Dictionary!B1403</f>
        <v>Arbeitspakete definieren</v>
      </c>
      <c r="E123" s="408">
        <v>3</v>
      </c>
      <c r="F123" s="352"/>
      <c r="G123" s="667" t="str">
        <f>IF('(8) Exam Evaluation'!Y123="","",'(8) Exam Evaluation'!Y123)</f>
        <v/>
      </c>
      <c r="H123" s="354"/>
      <c r="I123" s="353"/>
      <c r="J123" s="354"/>
      <c r="K123" s="353"/>
      <c r="L123" s="354"/>
      <c r="M123" s="353"/>
      <c r="N123" s="354"/>
      <c r="O123" s="667" t="str">
        <f t="shared" si="39"/>
        <v/>
      </c>
      <c r="P123" s="354"/>
      <c r="Q123" s="353"/>
      <c r="S123" s="353"/>
      <c r="T123" s="356" t="str">
        <f>IF(U123&gt;=0,U123,"")</f>
        <v/>
      </c>
      <c r="U123" s="667" t="str">
        <f t="shared" si="48"/>
        <v/>
      </c>
      <c r="W123" s="1386"/>
      <c r="Y123" s="1386"/>
      <c r="AA123" s="1386"/>
      <c r="AB123" s="348"/>
      <c r="AC123" s="2376"/>
      <c r="AD123" s="2377"/>
      <c r="AE123" s="2377"/>
      <c r="AF123" s="2377"/>
      <c r="AG123" s="2378"/>
      <c r="AH123" s="348"/>
      <c r="AI123" s="348"/>
      <c r="AJ123" s="349" t="str">
        <f>IF(CSW_FLAG="","",IF(K123="","",K123))</f>
        <v/>
      </c>
      <c r="AK123" s="349"/>
      <c r="AL123" s="349"/>
      <c r="AM123" s="1715" t="str">
        <f>IF(U123="","",IF(U123&gt;Dictionary!$I$52,1,0))</f>
        <v/>
      </c>
      <c r="AO123" s="1589" t="str">
        <f>IF('PJM-Report-Scoring'!K114="","",'PJM-Report-Scoring'!K114)</f>
        <v/>
      </c>
      <c r="AP123" s="1589" t="str">
        <f>IF('PGM-Report-Scoring'!K114="","",'PGM-Report-Scoring'!K114)</f>
        <v/>
      </c>
      <c r="AQ123" s="1589" t="str">
        <f>IF('PFM-Report-Scoring'!K114="","",'PFM-Report-Scoring'!K114)</f>
        <v/>
      </c>
      <c r="AR123" s="1589" t="str">
        <f>IF(DOMAIN=COV!$T$72,Scoring!AO123,IF(DOMAIN=COV!$T$73,Scoring!AP123,IF(DOMAIN=COV!$T$74,Scoring!AQ123,"")))</f>
        <v/>
      </c>
      <c r="AS123" s="1589">
        <f>IF(AR123="",AS124,AR123)</f>
        <v>0</v>
      </c>
    </row>
    <row r="124" spans="2:45" ht="54.75" customHeight="1">
      <c r="B124" s="1864" t="str">
        <f>".4"</f>
        <v>.4</v>
      </c>
      <c r="C124" s="1862">
        <f>Dictionary!X1404</f>
        <v>2</v>
      </c>
      <c r="D124" s="1866" t="str">
        <f>Dictionary!B1404</f>
        <v>Konfiguration des Leistungsumfangs erstellen und aufrechterhalten</v>
      </c>
      <c r="E124" s="408">
        <v>3</v>
      </c>
      <c r="F124" s="352"/>
      <c r="G124" s="667" t="str">
        <f>IF('(8) Exam Evaluation'!Y124="","",'(8) Exam Evaluation'!Y124)</f>
        <v/>
      </c>
      <c r="H124" s="354"/>
      <c r="I124" s="353"/>
      <c r="J124" s="354"/>
      <c r="K124" s="353"/>
      <c r="L124" s="354"/>
      <c r="M124" s="353"/>
      <c r="N124" s="354"/>
      <c r="O124" s="667" t="str">
        <f t="shared" si="39"/>
        <v/>
      </c>
      <c r="P124" s="354"/>
      <c r="Q124" s="353"/>
      <c r="S124" s="353"/>
      <c r="T124" s="356" t="str">
        <f>IF(U124&gt;=0,U124,"")</f>
        <v/>
      </c>
      <c r="U124" s="667" t="str">
        <f>IF(Q124="",O124,Q124)</f>
        <v/>
      </c>
      <c r="W124" s="1386"/>
      <c r="Y124" s="1386"/>
      <c r="AA124" s="1386"/>
      <c r="AB124" s="348"/>
      <c r="AC124" s="2376"/>
      <c r="AD124" s="2377"/>
      <c r="AE124" s="2377"/>
      <c r="AF124" s="2377"/>
      <c r="AG124" s="2378"/>
      <c r="AH124" s="348"/>
      <c r="AI124" s="348"/>
      <c r="AJ124" s="349" t="str">
        <f>IF(CSW_FLAG="","",IF(K124="","",K124))</f>
        <v/>
      </c>
      <c r="AK124" s="349"/>
      <c r="AL124" s="349"/>
      <c r="AM124" s="1715" t="str">
        <f>IF(U124="","",IF(U124&gt;Dictionary!$I$52,1,0))</f>
        <v/>
      </c>
      <c r="AO124" s="1589">
        <f>IF('PJM-Report-Scoring'!K115="","",'PJM-Report-Scoring'!K115)</f>
        <v>0</v>
      </c>
      <c r="AP124" s="1589">
        <f>IF('PGM-Report-Scoring'!K115="","",'PGM-Report-Scoring'!K115)</f>
        <v>0</v>
      </c>
      <c r="AQ124" s="1589" t="str">
        <f>IF('PFM-Report-Scoring'!K115="","",'PFM-Report-Scoring'!K115)</f>
        <v/>
      </c>
      <c r="AR124" s="1589">
        <f>IF(DOMAIN=COV!$T$72,Scoring!AO124,IF(DOMAIN=COV!$T$73,Scoring!AP124,IF(DOMAIN=COV!$T$74,Scoring!AQ124,"")))</f>
        <v>0</v>
      </c>
      <c r="AS124" s="1590">
        <f>IF(AR124="","",AR124)</f>
        <v>0</v>
      </c>
    </row>
    <row r="125" spans="2:45" ht="16">
      <c r="B125" s="1861" t="s">
        <v>373</v>
      </c>
      <c r="C125" s="1862">
        <f>Dictionary!X1407</f>
        <v>3</v>
      </c>
      <c r="D125" s="1863" t="str">
        <f>Dictionary!B1407</f>
        <v>Ablauf und Termine</v>
      </c>
      <c r="E125" s="402">
        <v>4</v>
      </c>
      <c r="F125" s="343"/>
      <c r="G125" s="405"/>
      <c r="H125" s="315"/>
      <c r="I125" s="359"/>
      <c r="J125" s="360"/>
      <c r="K125" s="358"/>
      <c r="L125" s="360"/>
      <c r="M125" s="359"/>
      <c r="N125" s="315"/>
      <c r="O125" s="315"/>
      <c r="P125" s="315"/>
      <c r="Q125" s="359"/>
      <c r="S125" s="359"/>
      <c r="T125" s="356"/>
      <c r="U125" s="346" t="str">
        <f t="shared" si="38"/>
        <v/>
      </c>
      <c r="Y125" s="321"/>
      <c r="AA125" s="321"/>
      <c r="AB125" s="348"/>
      <c r="AC125" s="313"/>
      <c r="AD125" s="321"/>
      <c r="AE125" s="321"/>
      <c r="AF125" s="321"/>
      <c r="AG125" s="321"/>
      <c r="AH125" s="348"/>
      <c r="AI125" s="348"/>
      <c r="AJ125" s="348"/>
      <c r="AK125" s="349">
        <f>COUNTA(D126:D130)-COUNTBLANK(D126:D130)</f>
        <v>5</v>
      </c>
      <c r="AL125" s="349">
        <f>ROUNDUP(AK125/2,0)</f>
        <v>3</v>
      </c>
      <c r="AM125" s="346" t="str">
        <f>IF((COUNTBLANK(AM126:AM130)-COUNTBLANK(D126:D130))=$AK125,"",IF((COUNTIF(AM126:AM130,"&gt;=1")&gt;=AL125),"Pass","Fail"))</f>
        <v/>
      </c>
    </row>
    <row r="126" spans="2:45" ht="54.75" customHeight="1">
      <c r="B126" s="1864" t="str">
        <f>".1"</f>
        <v>.1</v>
      </c>
      <c r="C126" s="1862">
        <f>Dictionary!X1408</f>
        <v>2</v>
      </c>
      <c r="D126" s="1866" t="str">
        <f>Dictionary!B1408</f>
        <v>Aktivitäten definieren, die nötig sind, um das Projekt (ab)liefern zu können</v>
      </c>
      <c r="E126" s="408">
        <v>4</v>
      </c>
      <c r="F126" s="352"/>
      <c r="G126" s="667" t="str">
        <f>IF('(8) Exam Evaluation'!Y126="","",'(8) Exam Evaluation'!Y126)</f>
        <v/>
      </c>
      <c r="H126" s="354"/>
      <c r="I126" s="353"/>
      <c r="J126" s="354"/>
      <c r="K126" s="353"/>
      <c r="L126" s="354"/>
      <c r="M126" s="353"/>
      <c r="N126" s="354"/>
      <c r="O126" s="667" t="str">
        <f t="shared" si="39"/>
        <v/>
      </c>
      <c r="P126" s="354"/>
      <c r="Q126" s="353"/>
      <c r="S126" s="353"/>
      <c r="T126" s="356" t="str">
        <f>IF(U126&gt;=0,U126,"")</f>
        <v/>
      </c>
      <c r="U126" s="667" t="str">
        <f>IF(Q126="",O126,Q126)</f>
        <v/>
      </c>
      <c r="W126" s="1386"/>
      <c r="Y126" s="1386"/>
      <c r="AA126" s="1386"/>
      <c r="AB126" s="348"/>
      <c r="AC126" s="2376"/>
      <c r="AD126" s="2377"/>
      <c r="AE126" s="2377"/>
      <c r="AF126" s="2377"/>
      <c r="AG126" s="2378"/>
      <c r="AH126" s="348"/>
      <c r="AI126" s="348"/>
      <c r="AJ126" s="349" t="str">
        <f>IF(CSW_FLAG="","",IF(K126="","",K126))</f>
        <v/>
      </c>
      <c r="AK126" s="349"/>
      <c r="AL126" s="349"/>
      <c r="AM126" s="1715" t="str">
        <f>IF(U126="","",IF(U126&gt;Dictionary!$I$52,1,0))</f>
        <v/>
      </c>
      <c r="AO126" s="1589" t="str">
        <f>IF('PJM-Report-Scoring'!K117="","",'PJM-Report-Scoring'!K117)</f>
        <v/>
      </c>
      <c r="AP126" s="1589" t="str">
        <f>IF('PGM-Report-Scoring'!K117="","",'PGM-Report-Scoring'!K117)</f>
        <v/>
      </c>
      <c r="AQ126" s="1589">
        <f>IF('PFM-Report-Scoring'!K117="","",'PFM-Report-Scoring'!K117)</f>
        <v>0</v>
      </c>
      <c r="AR126" s="1589" t="str">
        <f>IF(DOMAIN=COV!$T$72,Scoring!AO126,IF(DOMAIN=COV!$T$73,Scoring!AP126,IF(DOMAIN=COV!$T$74,Scoring!AQ126,"")))</f>
        <v/>
      </c>
      <c r="AS126" s="1589">
        <f t="shared" ref="AS126:AS128" si="49">IF(AR126="",AS127,AR126)</f>
        <v>0</v>
      </c>
    </row>
    <row r="127" spans="2:45" ht="54.75" customHeight="1">
      <c r="B127" s="1864" t="str">
        <f>".2"</f>
        <v>.2</v>
      </c>
      <c r="C127" s="1862">
        <f>Dictionary!X1409</f>
        <v>3</v>
      </c>
      <c r="D127" s="1866" t="str">
        <f>Dictionary!B1409</f>
        <v>Arbeitsaufwand und Dauer von Aktivitäten festlegen</v>
      </c>
      <c r="E127" s="408">
        <v>3</v>
      </c>
      <c r="F127" s="352"/>
      <c r="G127" s="667" t="str">
        <f>IF('(8) Exam Evaluation'!Y127="","",'(8) Exam Evaluation'!Y127)</f>
        <v/>
      </c>
      <c r="H127" s="354"/>
      <c r="I127" s="353"/>
      <c r="J127" s="354"/>
      <c r="K127" s="353"/>
      <c r="L127" s="354"/>
      <c r="M127" s="353"/>
      <c r="N127" s="354"/>
      <c r="O127" s="667" t="str">
        <f t="shared" si="39"/>
        <v/>
      </c>
      <c r="P127" s="354"/>
      <c r="Q127" s="353"/>
      <c r="S127" s="353"/>
      <c r="T127" s="356" t="str">
        <f>IF(U127&gt;=0,U127,"")</f>
        <v/>
      </c>
      <c r="U127" s="667" t="str">
        <f t="shared" ref="U127:U128" si="50">IF(Q127="",O127,Q127)</f>
        <v/>
      </c>
      <c r="W127" s="1386"/>
      <c r="Y127" s="1386"/>
      <c r="AA127" s="1386"/>
      <c r="AB127" s="348"/>
      <c r="AC127" s="2376"/>
      <c r="AD127" s="2377"/>
      <c r="AE127" s="2377"/>
      <c r="AF127" s="2377"/>
      <c r="AG127" s="2378"/>
      <c r="AH127" s="348"/>
      <c r="AI127" s="348"/>
      <c r="AJ127" s="349" t="str">
        <f>IF(CSW_FLAG="","",IF(K127="","",K127))</f>
        <v/>
      </c>
      <c r="AK127" s="349"/>
      <c r="AL127" s="349"/>
      <c r="AM127" s="1715" t="str">
        <f>IF(U127="","",IF(U127&gt;Dictionary!$I$52,1,0))</f>
        <v/>
      </c>
      <c r="AO127" s="1589" t="str">
        <f>IF('PJM-Report-Scoring'!K118="","",'PJM-Report-Scoring'!K118)</f>
        <v/>
      </c>
      <c r="AP127" s="1589" t="str">
        <f>IF('PGM-Report-Scoring'!K118="","",'PGM-Report-Scoring'!K118)</f>
        <v/>
      </c>
      <c r="AQ127" s="1589" t="str">
        <f>IF('PFM-Report-Scoring'!K118="","",'PFM-Report-Scoring'!K118)</f>
        <v/>
      </c>
      <c r="AR127" s="1589" t="str">
        <f>IF(DOMAIN=COV!$T$72,Scoring!AO127,IF(DOMAIN=COV!$T$73,Scoring!AP127,IF(DOMAIN=COV!$T$74,Scoring!AQ127,"")))</f>
        <v/>
      </c>
      <c r="AS127" s="1589">
        <f t="shared" si="49"/>
        <v>0</v>
      </c>
    </row>
    <row r="128" spans="2:45" ht="54.75" customHeight="1">
      <c r="B128" s="1864" t="str">
        <f>".3"</f>
        <v>.3</v>
      </c>
      <c r="C128" s="1862">
        <f>Dictionary!X1410</f>
        <v>3</v>
      </c>
      <c r="D128" s="1866" t="str">
        <f>Dictionary!B1410</f>
        <v>Vorgehensweise für Termine und Phasen, ggf. Sprints festlegen</v>
      </c>
      <c r="E128" s="408">
        <v>3</v>
      </c>
      <c r="F128" s="352"/>
      <c r="G128" s="667" t="str">
        <f>IF('(8) Exam Evaluation'!Y128="","",'(8) Exam Evaluation'!Y128)</f>
        <v/>
      </c>
      <c r="H128" s="354"/>
      <c r="I128" s="353"/>
      <c r="J128" s="354"/>
      <c r="K128" s="353"/>
      <c r="L128" s="354"/>
      <c r="M128" s="353"/>
      <c r="N128" s="354"/>
      <c r="O128" s="667" t="str">
        <f t="shared" si="39"/>
        <v/>
      </c>
      <c r="P128" s="354"/>
      <c r="Q128" s="353"/>
      <c r="S128" s="353"/>
      <c r="T128" s="356" t="str">
        <f>IF(U128&gt;=0,U128,"")</f>
        <v/>
      </c>
      <c r="U128" s="667" t="str">
        <f t="shared" si="50"/>
        <v/>
      </c>
      <c r="W128" s="1386"/>
      <c r="Y128" s="1386"/>
      <c r="AA128" s="1386"/>
      <c r="AB128" s="348"/>
      <c r="AC128" s="2376"/>
      <c r="AD128" s="2377"/>
      <c r="AE128" s="2377"/>
      <c r="AF128" s="2377"/>
      <c r="AG128" s="2378"/>
      <c r="AH128" s="348"/>
      <c r="AI128" s="348"/>
      <c r="AJ128" s="349" t="str">
        <f>IF(CSW_FLAG="","",IF(K128="","",K128))</f>
        <v/>
      </c>
      <c r="AK128" s="349"/>
      <c r="AL128" s="349"/>
      <c r="AM128" s="1715" t="str">
        <f>IF(U128="","",IF(U128&gt;Dictionary!$I$52,1,0))</f>
        <v/>
      </c>
      <c r="AO128" s="1589" t="str">
        <f>IF('PJM-Report-Scoring'!K119="","",'PJM-Report-Scoring'!K119)</f>
        <v/>
      </c>
      <c r="AP128" s="1589" t="str">
        <f>IF('PGM-Report-Scoring'!K119="","",'PGM-Report-Scoring'!K119)</f>
        <v/>
      </c>
      <c r="AQ128" s="1589" t="str">
        <f>IF('PFM-Report-Scoring'!K119="","",'PFM-Report-Scoring'!K119)</f>
        <v/>
      </c>
      <c r="AR128" s="1589" t="str">
        <f>IF(DOMAIN=COV!$T$72,Scoring!AO128,IF(DOMAIN=COV!$T$73,Scoring!AP128,IF(DOMAIN=COV!$T$74,Scoring!AQ128,"")))</f>
        <v/>
      </c>
      <c r="AS128" s="1589">
        <f t="shared" si="49"/>
        <v>0</v>
      </c>
    </row>
    <row r="129" spans="2:45" ht="54.75" customHeight="1">
      <c r="B129" s="1864" t="str">
        <f>".4"</f>
        <v>.4</v>
      </c>
      <c r="C129" s="1862">
        <f>Dictionary!X1411</f>
        <v>2</v>
      </c>
      <c r="D129" s="1866" t="str">
        <f>Dictionary!B1411</f>
        <v>Abfolge der Projektaktivitäten bestimmen und einen Ablauf- und Terminplan erstellen</v>
      </c>
      <c r="E129" s="408">
        <v>4</v>
      </c>
      <c r="F129" s="352"/>
      <c r="G129" s="667" t="str">
        <f>IF('(8) Exam Evaluation'!Y129="","",'(8) Exam Evaluation'!Y129)</f>
        <v/>
      </c>
      <c r="H129" s="354"/>
      <c r="I129" s="353"/>
      <c r="J129" s="354"/>
      <c r="K129" s="353"/>
      <c r="L129" s="354"/>
      <c r="M129" s="353"/>
      <c r="N129" s="354"/>
      <c r="O129" s="667" t="str">
        <f t="shared" si="39"/>
        <v/>
      </c>
      <c r="P129" s="354"/>
      <c r="Q129" s="353"/>
      <c r="S129" s="353"/>
      <c r="T129" s="356" t="str">
        <f>IF(U129&gt;=0,U129,"")</f>
        <v/>
      </c>
      <c r="U129" s="667" t="str">
        <f>IF(Q129="",O129,Q129)</f>
        <v/>
      </c>
      <c r="W129" s="1386"/>
      <c r="Y129" s="1386"/>
      <c r="AA129" s="1386"/>
      <c r="AB129" s="348"/>
      <c r="AC129" s="2376"/>
      <c r="AD129" s="2377"/>
      <c r="AE129" s="2377"/>
      <c r="AF129" s="2377"/>
      <c r="AG129" s="2378"/>
      <c r="AH129" s="348"/>
      <c r="AI129" s="348"/>
      <c r="AJ129" s="349" t="str">
        <f>IF(CSW_FLAG="","",IF(K129="","",K129))</f>
        <v/>
      </c>
      <c r="AK129" s="349"/>
      <c r="AL129" s="349"/>
      <c r="AM129" s="1715" t="str">
        <f>IF(U129="","",IF(U129&gt;Dictionary!$I$52,1,0))</f>
        <v/>
      </c>
      <c r="AO129" s="1589" t="str">
        <f>IF('PJM-Report-Scoring'!K120="","",'PJM-Report-Scoring'!K120)</f>
        <v/>
      </c>
      <c r="AP129" s="1589" t="str">
        <f>IF('PGM-Report-Scoring'!K120="","",'PGM-Report-Scoring'!K120)</f>
        <v/>
      </c>
      <c r="AQ129" s="1589" t="str">
        <f>IF('PFM-Report-Scoring'!K120="","",'PFM-Report-Scoring'!K120)</f>
        <v/>
      </c>
      <c r="AR129" s="1589" t="str">
        <f>IF(DOMAIN=COV!$T$72,Scoring!AO129,IF(DOMAIN=COV!$T$73,Scoring!AP129,IF(DOMAIN=COV!$T$74,Scoring!AQ129,"")))</f>
        <v/>
      </c>
      <c r="AS129" s="1589">
        <f>IF(AR129="",AS130,AR129)</f>
        <v>0</v>
      </c>
    </row>
    <row r="130" spans="2:45" ht="54.75" customHeight="1">
      <c r="B130" s="1864" t="str">
        <f>".5"</f>
        <v>.5</v>
      </c>
      <c r="C130" s="1862">
        <f>Dictionary!X1412</f>
        <v>3</v>
      </c>
      <c r="D130" s="1866" t="str">
        <f>Dictionary!B1412</f>
        <v>Fortschritt anhand des Terminplans überwachen und notwendige Anpassungen vornehmen</v>
      </c>
      <c r="E130" s="408">
        <v>4</v>
      </c>
      <c r="F130" s="352"/>
      <c r="G130" s="667" t="str">
        <f>IF('(8) Exam Evaluation'!Y130="","",'(8) Exam Evaluation'!Y130)</f>
        <v/>
      </c>
      <c r="H130" s="354"/>
      <c r="I130" s="353"/>
      <c r="J130" s="354"/>
      <c r="K130" s="353"/>
      <c r="L130" s="354"/>
      <c r="M130" s="353"/>
      <c r="N130" s="354"/>
      <c r="O130" s="667" t="str">
        <f t="shared" si="39"/>
        <v/>
      </c>
      <c r="P130" s="354"/>
      <c r="Q130" s="353"/>
      <c r="S130" s="353"/>
      <c r="T130" s="356" t="str">
        <f>IF(U130&gt;=0,U130,"")</f>
        <v/>
      </c>
      <c r="U130" s="667" t="str">
        <f>IF(Q130="",O130,Q130)</f>
        <v/>
      </c>
      <c r="W130" s="1386"/>
      <c r="Y130" s="1386"/>
      <c r="AA130" s="1386"/>
      <c r="AB130" s="348"/>
      <c r="AC130" s="2376"/>
      <c r="AD130" s="2377"/>
      <c r="AE130" s="2377"/>
      <c r="AF130" s="2377"/>
      <c r="AG130" s="2378"/>
      <c r="AH130" s="348"/>
      <c r="AI130" s="348"/>
      <c r="AJ130" s="349" t="str">
        <f>IF(CSW_FLAG="","",IF(K130="","",K130))</f>
        <v/>
      </c>
      <c r="AK130" s="349"/>
      <c r="AL130" s="349"/>
      <c r="AM130" s="1715" t="str">
        <f>IF(U130="","",IF(U130&gt;Dictionary!$I$52,1,0))</f>
        <v/>
      </c>
      <c r="AO130" s="1589">
        <f>IF('PJM-Report-Scoring'!K121="","",'PJM-Report-Scoring'!K121)</f>
        <v>0</v>
      </c>
      <c r="AP130" s="1589" t="str">
        <f>IF('PGM-Report-Scoring'!K121="","",'PGM-Report-Scoring'!K121)</f>
        <v/>
      </c>
      <c r="AQ130" s="1589" t="str">
        <f>IF('PFM-Report-Scoring'!K121="","",'PFM-Report-Scoring'!K121)</f>
        <v/>
      </c>
      <c r="AR130" s="1589">
        <f>IF(DOMAIN=COV!$T$72,Scoring!AO130,IF(DOMAIN=COV!$T$73,Scoring!AP130,IF(DOMAIN=COV!$T$74,Scoring!AQ130,"")))</f>
        <v>0</v>
      </c>
      <c r="AS130" s="1590">
        <f>IF(AR130="","",AR130)</f>
        <v>0</v>
      </c>
    </row>
    <row r="131" spans="2:45" ht="16">
      <c r="B131" s="1861" t="s">
        <v>367</v>
      </c>
      <c r="C131" s="1862">
        <f>Dictionary!X1415</f>
        <v>3</v>
      </c>
      <c r="D131" s="1863" t="str">
        <f>Dictionary!B1415</f>
        <v>Organisation und Information</v>
      </c>
      <c r="E131" s="402">
        <v>3</v>
      </c>
      <c r="F131" s="343"/>
      <c r="G131" s="405"/>
      <c r="H131" s="315"/>
      <c r="I131" s="359"/>
      <c r="J131" s="360"/>
      <c r="K131" s="358"/>
      <c r="L131" s="360"/>
      <c r="M131" s="359"/>
      <c r="N131" s="315"/>
      <c r="O131" s="315"/>
      <c r="P131" s="315"/>
      <c r="Q131" s="359"/>
      <c r="S131" s="359"/>
      <c r="T131" s="356"/>
      <c r="U131" s="346" t="str">
        <f t="shared" si="38"/>
        <v/>
      </c>
      <c r="Y131" s="321"/>
      <c r="AA131" s="321"/>
      <c r="AB131" s="348"/>
      <c r="AC131" s="313"/>
      <c r="AD131" s="321"/>
      <c r="AE131" s="321"/>
      <c r="AF131" s="321"/>
      <c r="AG131" s="321"/>
      <c r="AH131" s="348"/>
      <c r="AI131" s="348"/>
      <c r="AJ131" s="348"/>
      <c r="AK131" s="349">
        <f>COUNTA(D132:D135)-COUNTBLANK(D132:D135)</f>
        <v>4</v>
      </c>
      <c r="AL131" s="349">
        <f>ROUNDUP(AK131/2,0)</f>
        <v>2</v>
      </c>
      <c r="AM131" s="346" t="str">
        <f>IF((COUNTBLANK(AM132:AM135)-COUNTBLANK(D132:D135))=$AK131,"",IF((COUNTIF(AM132:AM135,"&gt;=1")&gt;=AL131),"Pass","Fail"))</f>
        <v/>
      </c>
    </row>
    <row r="132" spans="2:45" ht="54.75" customHeight="1">
      <c r="B132" s="1864" t="str">
        <f>".1"</f>
        <v>.1</v>
      </c>
      <c r="C132" s="1862">
        <f>Dictionary!X1416</f>
        <v>3</v>
      </c>
      <c r="D132" s="1866" t="str">
        <f>Dictionary!B1416</f>
        <v>Bedürfnisse der Stakeholder bezüglich Information und Dokumentation beurteilen und bestimmen</v>
      </c>
      <c r="E132" s="408">
        <v>3</v>
      </c>
      <c r="F132" s="352"/>
      <c r="G132" s="667" t="str">
        <f>IF('(8) Exam Evaluation'!Y132="","",'(8) Exam Evaluation'!Y132)</f>
        <v/>
      </c>
      <c r="H132" s="354"/>
      <c r="I132" s="353"/>
      <c r="J132" s="354"/>
      <c r="K132" s="353"/>
      <c r="L132" s="354"/>
      <c r="M132" s="353"/>
      <c r="N132" s="354"/>
      <c r="O132" s="667" t="str">
        <f t="shared" si="39"/>
        <v/>
      </c>
      <c r="P132" s="354"/>
      <c r="Q132" s="353"/>
      <c r="S132" s="353"/>
      <c r="T132" s="356" t="str">
        <f>IF(U132&gt;=0,U132,"")</f>
        <v/>
      </c>
      <c r="U132" s="667" t="str">
        <f t="shared" ref="U132:U133" si="51">IF(Q132="",O132,Q132)</f>
        <v/>
      </c>
      <c r="W132" s="1386"/>
      <c r="Y132" s="1386"/>
      <c r="AA132" s="1386"/>
      <c r="AB132" s="348"/>
      <c r="AC132" s="2376"/>
      <c r="AD132" s="2377"/>
      <c r="AE132" s="2377"/>
      <c r="AF132" s="2377"/>
      <c r="AG132" s="2378"/>
      <c r="AH132" s="348"/>
      <c r="AI132" s="348"/>
      <c r="AJ132" s="349" t="str">
        <f>IF(CSW_FLAG="","",IF(K132="","",K132))</f>
        <v/>
      </c>
      <c r="AK132" s="349"/>
      <c r="AL132" s="349"/>
      <c r="AM132" s="1715" t="str">
        <f>IF(U132="","",IF(U132&gt;Dictionary!$I$52,1,0))</f>
        <v/>
      </c>
      <c r="AO132" s="1589" t="str">
        <f>IF('PJM-Report-Scoring'!K123="","",'PJM-Report-Scoring'!K123)</f>
        <v/>
      </c>
      <c r="AP132" s="1589" t="str">
        <f>IF('PGM-Report-Scoring'!K123="","",'PGM-Report-Scoring'!K123)</f>
        <v/>
      </c>
      <c r="AQ132" s="1589" t="str">
        <f>IF('PFM-Report-Scoring'!K123="","",'PFM-Report-Scoring'!K123)</f>
        <v/>
      </c>
      <c r="AR132" s="1589" t="str">
        <f>IF(DOMAIN=COV!$T$72,Scoring!AO132,IF(DOMAIN=COV!$T$73,Scoring!AP132,IF(DOMAIN=COV!$T$74,Scoring!AQ132,"")))</f>
        <v/>
      </c>
      <c r="AS132" s="1589">
        <f t="shared" ref="AS132:AS133" si="52">IF(AR132="",AS133,AR132)</f>
        <v>0</v>
      </c>
    </row>
    <row r="133" spans="2:45" ht="54.75" customHeight="1">
      <c r="B133" s="1864" t="str">
        <f>".2"</f>
        <v>.2</v>
      </c>
      <c r="C133" s="1862">
        <f>Dictionary!X1417</f>
        <v>3</v>
      </c>
      <c r="D133" s="1866" t="str">
        <f>Dictionary!B1417</f>
        <v>Struktur, Rollen und Verantwortlichkeiten im Projekt definieren</v>
      </c>
      <c r="E133" s="408">
        <v>3</v>
      </c>
      <c r="F133" s="352"/>
      <c r="G133" s="667" t="str">
        <f>IF('(8) Exam Evaluation'!Y133="","",'(8) Exam Evaluation'!Y133)</f>
        <v/>
      </c>
      <c r="H133" s="354"/>
      <c r="I133" s="353"/>
      <c r="J133" s="354"/>
      <c r="K133" s="353"/>
      <c r="L133" s="354"/>
      <c r="M133" s="353"/>
      <c r="N133" s="354"/>
      <c r="O133" s="667" t="str">
        <f t="shared" si="39"/>
        <v/>
      </c>
      <c r="P133" s="354"/>
      <c r="Q133" s="353"/>
      <c r="S133" s="353"/>
      <c r="T133" s="356" t="str">
        <f>IF(U133&gt;=0,U133,"")</f>
        <v/>
      </c>
      <c r="U133" s="667" t="str">
        <f t="shared" si="51"/>
        <v/>
      </c>
      <c r="W133" s="1386"/>
      <c r="Y133" s="1386"/>
      <c r="AA133" s="1386"/>
      <c r="AB133" s="348"/>
      <c r="AC133" s="2376"/>
      <c r="AD133" s="2377"/>
      <c r="AE133" s="2377"/>
      <c r="AF133" s="2377"/>
      <c r="AG133" s="2378"/>
      <c r="AH133" s="348"/>
      <c r="AI133" s="348"/>
      <c r="AJ133" s="349" t="str">
        <f>IF(CSW_FLAG="","",IF(K133="","",K133))</f>
        <v/>
      </c>
      <c r="AK133" s="349"/>
      <c r="AL133" s="349"/>
      <c r="AM133" s="1715" t="str">
        <f>IF(U133="","",IF(U133&gt;Dictionary!$I$52,1,0))</f>
        <v/>
      </c>
      <c r="AO133" s="1589" t="str">
        <f>IF('PJM-Report-Scoring'!K124="","",'PJM-Report-Scoring'!K124)</f>
        <v/>
      </c>
      <c r="AP133" s="1589" t="str">
        <f>IF('PGM-Report-Scoring'!K124="","",'PGM-Report-Scoring'!K124)</f>
        <v/>
      </c>
      <c r="AQ133" s="1589" t="str">
        <f>IF('PFM-Report-Scoring'!K124="","",'PFM-Report-Scoring'!K124)</f>
        <v/>
      </c>
      <c r="AR133" s="1589" t="str">
        <f>IF(DOMAIN=COV!$T$72,Scoring!AO133,IF(DOMAIN=COV!$T$73,Scoring!AP133,IF(DOMAIN=COV!$T$74,Scoring!AQ133,"")))</f>
        <v/>
      </c>
      <c r="AS133" s="1589">
        <f t="shared" si="52"/>
        <v>0</v>
      </c>
    </row>
    <row r="134" spans="2:45" ht="54.75" customHeight="1">
      <c r="B134" s="1864" t="str">
        <f>".3"</f>
        <v>.3</v>
      </c>
      <c r="C134" s="1862">
        <f>Dictionary!X1418</f>
        <v>3</v>
      </c>
      <c r="D134" s="1866" t="str">
        <f>Dictionary!B1418</f>
        <v>Infrastruktur, Prozesse und Informationssysteme aufbauen</v>
      </c>
      <c r="E134" s="408">
        <v>3</v>
      </c>
      <c r="F134" s="352"/>
      <c r="G134" s="667" t="str">
        <f>IF('(8) Exam Evaluation'!Y134="","",'(8) Exam Evaluation'!Y134)</f>
        <v/>
      </c>
      <c r="H134" s="354"/>
      <c r="I134" s="353"/>
      <c r="J134" s="354"/>
      <c r="K134" s="353"/>
      <c r="L134" s="354"/>
      <c r="M134" s="353"/>
      <c r="N134" s="354"/>
      <c r="O134" s="667" t="str">
        <f t="shared" si="39"/>
        <v/>
      </c>
      <c r="P134" s="354"/>
      <c r="Q134" s="353"/>
      <c r="S134" s="353"/>
      <c r="T134" s="356" t="str">
        <f>IF(U134&gt;=0,U134,"")</f>
        <v/>
      </c>
      <c r="U134" s="667" t="str">
        <f>IF(Q134="",O134,Q134)</f>
        <v/>
      </c>
      <c r="W134" s="1386"/>
      <c r="Y134" s="1386"/>
      <c r="AA134" s="1386"/>
      <c r="AB134" s="348"/>
      <c r="AC134" s="2376"/>
      <c r="AD134" s="2377"/>
      <c r="AE134" s="2377"/>
      <c r="AF134" s="2377"/>
      <c r="AG134" s="2378"/>
      <c r="AH134" s="348"/>
      <c r="AI134" s="348"/>
      <c r="AJ134" s="349" t="str">
        <f>IF(CSW_FLAG="","",IF(K134="","",K134))</f>
        <v/>
      </c>
      <c r="AK134" s="349"/>
      <c r="AL134" s="349"/>
      <c r="AM134" s="1715" t="str">
        <f>IF(U134="","",IF(U134&gt;Dictionary!$I$52,1,0))</f>
        <v/>
      </c>
      <c r="AO134" s="1589" t="str">
        <f>IF('PJM-Report-Scoring'!K125="","",'PJM-Report-Scoring'!K125)</f>
        <v/>
      </c>
      <c r="AP134" s="1589" t="str">
        <f>IF('PGM-Report-Scoring'!K125="","",'PGM-Report-Scoring'!K125)</f>
        <v/>
      </c>
      <c r="AQ134" s="1589" t="str">
        <f>IF('PFM-Report-Scoring'!K125="","",'PFM-Report-Scoring'!K125)</f>
        <v/>
      </c>
      <c r="AR134" s="1589" t="str">
        <f>IF(DOMAIN=COV!$T$72,Scoring!AO134,IF(DOMAIN=COV!$T$73,Scoring!AP134,IF(DOMAIN=COV!$T$74,Scoring!AQ134,"")))</f>
        <v/>
      </c>
      <c r="AS134" s="1589">
        <f>IF(AR134="",AS135,AR134)</f>
        <v>0</v>
      </c>
    </row>
    <row r="135" spans="2:45" ht="54.75" customHeight="1">
      <c r="B135" s="1864" t="str">
        <f>".4"</f>
        <v>.4</v>
      </c>
      <c r="C135" s="1862">
        <f>Dictionary!X1419</f>
        <v>3</v>
      </c>
      <c r="D135" s="1866" t="str">
        <f>Dictionary!B1419</f>
        <v>Organisation des Projekts implementieren, überwachen und anpassen</v>
      </c>
      <c r="E135" s="408">
        <v>3</v>
      </c>
      <c r="F135" s="352"/>
      <c r="G135" s="667" t="str">
        <f>IF('(8) Exam Evaluation'!Y135="","",'(8) Exam Evaluation'!Y135)</f>
        <v/>
      </c>
      <c r="H135" s="354"/>
      <c r="I135" s="353"/>
      <c r="J135" s="354"/>
      <c r="K135" s="353"/>
      <c r="L135" s="354"/>
      <c r="M135" s="353"/>
      <c r="N135" s="354"/>
      <c r="O135" s="667" t="str">
        <f t="shared" si="39"/>
        <v/>
      </c>
      <c r="P135" s="354"/>
      <c r="Q135" s="353"/>
      <c r="S135" s="353"/>
      <c r="T135" s="356" t="str">
        <f>IF(U135&gt;=0,U135,"")</f>
        <v/>
      </c>
      <c r="U135" s="667" t="str">
        <f>IF(Q135="",O135,Q135)</f>
        <v/>
      </c>
      <c r="W135" s="1386"/>
      <c r="Y135" s="1386"/>
      <c r="AA135" s="1386"/>
      <c r="AB135" s="348"/>
      <c r="AC135" s="2376"/>
      <c r="AD135" s="2377"/>
      <c r="AE135" s="2377"/>
      <c r="AF135" s="2377"/>
      <c r="AG135" s="2378"/>
      <c r="AH135" s="348"/>
      <c r="AI135" s="348"/>
      <c r="AJ135" s="349" t="str">
        <f>IF(CSW_FLAG="","",IF(K135="","",K135))</f>
        <v/>
      </c>
      <c r="AK135" s="349"/>
      <c r="AL135" s="349"/>
      <c r="AM135" s="1715" t="str">
        <f>IF(U135="","",IF(U135&gt;Dictionary!$I$52,1,0))</f>
        <v/>
      </c>
      <c r="AO135" s="1589">
        <f>IF('PJM-Report-Scoring'!K126="","",'PJM-Report-Scoring'!K126)</f>
        <v>0</v>
      </c>
      <c r="AP135" s="1589">
        <f>IF('PGM-Report-Scoring'!K126="","",'PGM-Report-Scoring'!K126)</f>
        <v>0</v>
      </c>
      <c r="AQ135" s="1589" t="str">
        <f>IF('PFM-Report-Scoring'!K126="","",'PFM-Report-Scoring'!K126)</f>
        <v/>
      </c>
      <c r="AR135" s="1589">
        <f>IF(DOMAIN=COV!$T$72,Scoring!AO135,IF(DOMAIN=COV!$T$73,Scoring!AP135,IF(DOMAIN=COV!$T$74,Scoring!AQ135,"")))</f>
        <v>0</v>
      </c>
      <c r="AS135" s="1590">
        <f>IF(AR135="","",AR135)</f>
        <v>0</v>
      </c>
    </row>
    <row r="136" spans="2:45" ht="16">
      <c r="B136" s="1861" t="s">
        <v>361</v>
      </c>
      <c r="C136" s="1862">
        <f>Dictionary!X1422</f>
        <v>3</v>
      </c>
      <c r="D136" s="1863" t="str">
        <f>Dictionary!B1422</f>
        <v>Qualität</v>
      </c>
      <c r="E136" s="402">
        <v>3</v>
      </c>
      <c r="F136" s="343"/>
      <c r="G136" s="405"/>
      <c r="H136" s="315"/>
      <c r="I136" s="359"/>
      <c r="J136" s="360"/>
      <c r="K136" s="358"/>
      <c r="L136" s="360"/>
      <c r="M136" s="359"/>
      <c r="N136" s="315"/>
      <c r="O136" s="315"/>
      <c r="P136" s="315"/>
      <c r="Q136" s="359"/>
      <c r="S136" s="359"/>
      <c r="T136" s="356"/>
      <c r="U136" s="346" t="str">
        <f t="shared" si="38"/>
        <v/>
      </c>
      <c r="Y136" s="321"/>
      <c r="AA136" s="321"/>
      <c r="AB136" s="348"/>
      <c r="AC136" s="313"/>
      <c r="AD136" s="321"/>
      <c r="AE136" s="321"/>
      <c r="AF136" s="321"/>
      <c r="AG136" s="321"/>
      <c r="AH136" s="348"/>
      <c r="AI136" s="348"/>
      <c r="AJ136" s="348"/>
      <c r="AK136" s="349">
        <f>COUNTA(D137:D141)-COUNTBLANK(D137:D141)</f>
        <v>5</v>
      </c>
      <c r="AL136" s="349">
        <f>ROUNDUP(AK136/2,0)</f>
        <v>3</v>
      </c>
      <c r="AM136" s="346" t="str">
        <f>IF((COUNTBLANK(AM137:AM141)-COUNTBLANK(D137:D141))=$AK136,"",IF(COUNTIF(AM137:AM141,"&gt;=1")&gt;=AL136,"Pass","Fail"))</f>
        <v/>
      </c>
    </row>
    <row r="137" spans="2:45" ht="54.75" customHeight="1">
      <c r="B137" s="1864" t="str">
        <f>".1"</f>
        <v>.1</v>
      </c>
      <c r="C137" s="1862">
        <f>Dictionary!X1423</f>
        <v>3</v>
      </c>
      <c r="D137" s="1866" t="str">
        <f>Dictionary!B1423</f>
        <v>Qualitätsmanagementplan für das Projekt entwickeln, die Implementierung überwachen und gegebenenfalls überarbeiten</v>
      </c>
      <c r="E137" s="408">
        <v>3</v>
      </c>
      <c r="F137" s="352"/>
      <c r="G137" s="667" t="str">
        <f>IF('(8) Exam Evaluation'!Y137="","",'(8) Exam Evaluation'!Y137)</f>
        <v/>
      </c>
      <c r="H137" s="354"/>
      <c r="I137" s="353"/>
      <c r="J137" s="354"/>
      <c r="K137" s="353"/>
      <c r="L137" s="354"/>
      <c r="M137" s="353"/>
      <c r="N137" s="354"/>
      <c r="O137" s="667" t="str">
        <f t="shared" si="39"/>
        <v/>
      </c>
      <c r="P137" s="354"/>
      <c r="Q137" s="353"/>
      <c r="S137" s="353"/>
      <c r="T137" s="356" t="str">
        <f>IF(U137&gt;=0,U137,"")</f>
        <v/>
      </c>
      <c r="U137" s="667" t="str">
        <f t="shared" ref="U137:U156" si="53">IF(Q137="",O137,Q137)</f>
        <v/>
      </c>
      <c r="W137" s="1386"/>
      <c r="Y137" s="1386"/>
      <c r="AA137" s="1386"/>
      <c r="AB137" s="348"/>
      <c r="AC137" s="2376"/>
      <c r="AD137" s="2377"/>
      <c r="AE137" s="2377"/>
      <c r="AF137" s="2377"/>
      <c r="AG137" s="2378"/>
      <c r="AH137" s="348"/>
      <c r="AI137" s="348"/>
      <c r="AJ137" s="349" t="str">
        <f>IF(CSW_FLAG="","",IF(K137="","",K137))</f>
        <v/>
      </c>
      <c r="AK137" s="349"/>
      <c r="AL137" s="349"/>
      <c r="AM137" s="1715" t="str">
        <f>IF(U137="","",IF(U137&gt;Dictionary!$I$52,1,0))</f>
        <v/>
      </c>
      <c r="AO137" s="1589" t="str">
        <f>IF('PJM-Report-Scoring'!K128="","",'PJM-Report-Scoring'!K128)</f>
        <v/>
      </c>
      <c r="AP137" s="1589" t="str">
        <f>IF('PGM-Report-Scoring'!K128="","",'PGM-Report-Scoring'!K128)</f>
        <v/>
      </c>
      <c r="AQ137" s="1589">
        <f>IF('PFM-Report-Scoring'!K128="","",'PFM-Report-Scoring'!K128)</f>
        <v>0</v>
      </c>
      <c r="AR137" s="1589" t="str">
        <f>IF(DOMAIN=COV!$T$72,Scoring!AO137,IF(DOMAIN=COV!$T$73,Scoring!AP137,IF(DOMAIN=COV!$T$74,Scoring!AQ137,"")))</f>
        <v/>
      </c>
      <c r="AS137" s="1589">
        <f t="shared" ref="AS137:AS139" si="54">IF(AR137="",AS138,AR137)</f>
        <v>0</v>
      </c>
    </row>
    <row r="138" spans="2:45" ht="54.75" customHeight="1">
      <c r="B138" s="1864" t="str">
        <f>".2"</f>
        <v>.2</v>
      </c>
      <c r="C138" s="1862">
        <f>Dictionary!X1424</f>
        <v>3</v>
      </c>
      <c r="D138" s="1866" t="str">
        <f>Dictionary!B1424</f>
        <v>Projekt mit seinen Lieferobjekten überprüfen, um sicherzustellen, dass sie die Anforderungen des Qualitätsmanagementplans weiterhin erfüllen</v>
      </c>
      <c r="E138" s="408">
        <v>3</v>
      </c>
      <c r="F138" s="352"/>
      <c r="G138" s="667" t="str">
        <f>IF('(8) Exam Evaluation'!Y138="","",'(8) Exam Evaluation'!Y138)</f>
        <v/>
      </c>
      <c r="H138" s="354"/>
      <c r="I138" s="353"/>
      <c r="J138" s="354"/>
      <c r="K138" s="353"/>
      <c r="L138" s="354"/>
      <c r="M138" s="353"/>
      <c r="N138" s="354"/>
      <c r="O138" s="667" t="str">
        <f t="shared" si="39"/>
        <v/>
      </c>
      <c r="P138" s="354"/>
      <c r="Q138" s="353"/>
      <c r="S138" s="353"/>
      <c r="T138" s="356" t="str">
        <f>IF(U138&gt;=0,U138,"")</f>
        <v/>
      </c>
      <c r="U138" s="667" t="str">
        <f t="shared" si="53"/>
        <v/>
      </c>
      <c r="W138" s="1386"/>
      <c r="Y138" s="1386"/>
      <c r="AA138" s="1386"/>
      <c r="AB138" s="348"/>
      <c r="AC138" s="2376"/>
      <c r="AD138" s="2377"/>
      <c r="AE138" s="2377"/>
      <c r="AF138" s="2377"/>
      <c r="AG138" s="2378"/>
      <c r="AH138" s="348"/>
      <c r="AI138" s="348"/>
      <c r="AJ138" s="349" t="str">
        <f>IF(CSW_FLAG="","",IF(K138="","",K138))</f>
        <v/>
      </c>
      <c r="AK138" s="349"/>
      <c r="AL138" s="349"/>
      <c r="AM138" s="1715" t="str">
        <f>IF(U138="","",IF(U138&gt;Dictionary!$I$52,1,0))</f>
        <v/>
      </c>
      <c r="AO138" s="1589" t="str">
        <f>IF('PJM-Report-Scoring'!K129="","",'PJM-Report-Scoring'!K129)</f>
        <v/>
      </c>
      <c r="AP138" s="1589" t="str">
        <f>IF('PGM-Report-Scoring'!K129="","",'PGM-Report-Scoring'!K129)</f>
        <v/>
      </c>
      <c r="AQ138" s="1589" t="str">
        <f>IF('PFM-Report-Scoring'!K129="","",'PFM-Report-Scoring'!K129)</f>
        <v/>
      </c>
      <c r="AR138" s="1589" t="str">
        <f>IF(DOMAIN=COV!$T$72,Scoring!AO138,IF(DOMAIN=COV!$T$73,Scoring!AP138,IF(DOMAIN=COV!$T$74,Scoring!AQ138,"")))</f>
        <v/>
      </c>
      <c r="AS138" s="1589">
        <f t="shared" si="54"/>
        <v>0</v>
      </c>
    </row>
    <row r="139" spans="2:45" ht="54.75" customHeight="1">
      <c r="B139" s="1864" t="str">
        <f>".3"</f>
        <v>.3</v>
      </c>
      <c r="C139" s="1862">
        <f>Dictionary!X1425</f>
        <v>3</v>
      </c>
      <c r="D139" s="1866" t="str">
        <f>Dictionary!B1425</f>
        <v>Erreichung der Qualitätsziele des Projekts verifizieren und erforderliche korrektive und/oder präventive Maßnahmen empfehlen</v>
      </c>
      <c r="E139" s="408">
        <v>3</v>
      </c>
      <c r="F139" s="352"/>
      <c r="G139" s="667" t="str">
        <f>IF('(8) Exam Evaluation'!Y139="","",'(8) Exam Evaluation'!Y139)</f>
        <v/>
      </c>
      <c r="H139" s="354"/>
      <c r="I139" s="353"/>
      <c r="J139" s="354"/>
      <c r="K139" s="353"/>
      <c r="L139" s="354"/>
      <c r="M139" s="353"/>
      <c r="N139" s="354"/>
      <c r="O139" s="667" t="str">
        <f t="shared" si="39"/>
        <v/>
      </c>
      <c r="P139" s="354"/>
      <c r="Q139" s="353"/>
      <c r="S139" s="353"/>
      <c r="T139" s="356" t="str">
        <f>IF(U139&gt;=0,U139,"")</f>
        <v/>
      </c>
      <c r="U139" s="667" t="str">
        <f>IF(Q139="",O139,Q139)</f>
        <v/>
      </c>
      <c r="W139" s="1386"/>
      <c r="Y139" s="1386"/>
      <c r="AA139" s="1386"/>
      <c r="AB139" s="348"/>
      <c r="AC139" s="2376"/>
      <c r="AD139" s="2377"/>
      <c r="AE139" s="2377"/>
      <c r="AF139" s="2377"/>
      <c r="AG139" s="2378"/>
      <c r="AH139" s="348"/>
      <c r="AI139" s="348"/>
      <c r="AJ139" s="349" t="str">
        <f>IF(CSW_FLAG="","",IF(K139="","",K139))</f>
        <v/>
      </c>
      <c r="AK139" s="349"/>
      <c r="AL139" s="349"/>
      <c r="AM139" s="1715" t="str">
        <f>IF(U139="","",IF(U139&gt;Dictionary!$I$52,1,0))</f>
        <v/>
      </c>
      <c r="AO139" s="1589" t="str">
        <f>IF('PJM-Report-Scoring'!K130="","",'PJM-Report-Scoring'!K130)</f>
        <v/>
      </c>
      <c r="AP139" s="1589" t="str">
        <f>IF('PGM-Report-Scoring'!K130="","",'PGM-Report-Scoring'!K130)</f>
        <v/>
      </c>
      <c r="AQ139" s="1589" t="str">
        <f>IF('PFM-Report-Scoring'!K130="","",'PFM-Report-Scoring'!K130)</f>
        <v/>
      </c>
      <c r="AR139" s="1589" t="str">
        <f>IF(DOMAIN=COV!$T$72,Scoring!AO139,IF(DOMAIN=COV!$T$73,Scoring!AP139,IF(DOMAIN=COV!$T$74,Scoring!AQ139,"")))</f>
        <v/>
      </c>
      <c r="AS139" s="1589">
        <f t="shared" si="54"/>
        <v>0</v>
      </c>
    </row>
    <row r="140" spans="2:45" ht="54.75" customHeight="1">
      <c r="B140" s="1864" t="str">
        <f>".4"</f>
        <v>.4</v>
      </c>
      <c r="C140" s="1862">
        <f>Dictionary!X1426</f>
        <v>3</v>
      </c>
      <c r="D140" s="1866" t="str">
        <f>Dictionary!B1426</f>
        <v>Validierung von Projektergebnissen planen und organisieren</v>
      </c>
      <c r="E140" s="408">
        <v>3</v>
      </c>
      <c r="F140" s="352"/>
      <c r="G140" s="667" t="str">
        <f>IF('(8) Exam Evaluation'!Y140="","",'(8) Exam Evaluation'!Y140)</f>
        <v/>
      </c>
      <c r="H140" s="354"/>
      <c r="I140" s="353"/>
      <c r="J140" s="354"/>
      <c r="K140" s="353"/>
      <c r="L140" s="354"/>
      <c r="M140" s="353"/>
      <c r="N140" s="354"/>
      <c r="O140" s="667" t="str">
        <f t="shared" si="39"/>
        <v/>
      </c>
      <c r="P140" s="354"/>
      <c r="Q140" s="353"/>
      <c r="S140" s="353"/>
      <c r="T140" s="356" t="str">
        <f>IF(U140&gt;=0,U140,"")</f>
        <v/>
      </c>
      <c r="U140" s="667" t="str">
        <f>IF(Q140="",O140,Q140)</f>
        <v/>
      </c>
      <c r="W140" s="1386"/>
      <c r="Y140" s="1386"/>
      <c r="AA140" s="1386"/>
      <c r="AB140" s="348"/>
      <c r="AC140" s="2376"/>
      <c r="AD140" s="2377"/>
      <c r="AE140" s="2377"/>
      <c r="AF140" s="2377"/>
      <c r="AG140" s="2378"/>
      <c r="AH140" s="348"/>
      <c r="AI140" s="348"/>
      <c r="AJ140" s="349" t="str">
        <f>IF(CSW_FLAG="","",IF(K140="","",K140))</f>
        <v/>
      </c>
      <c r="AK140" s="349"/>
      <c r="AL140" s="349"/>
      <c r="AM140" s="1715" t="str">
        <f>IF(U140="","",IF(U140&gt;Dictionary!$I$52,1,0))</f>
        <v/>
      </c>
      <c r="AO140" s="1589" t="str">
        <f>IF('PJM-Report-Scoring'!K131="","",'PJM-Report-Scoring'!K131)</f>
        <v/>
      </c>
      <c r="AP140" s="1589" t="str">
        <f>IF('PGM-Report-Scoring'!K131="","",'PGM-Report-Scoring'!K131)</f>
        <v/>
      </c>
      <c r="AQ140" s="1589" t="str">
        <f>IF('PFM-Report-Scoring'!K131="","",'PFM-Report-Scoring'!K131)</f>
        <v/>
      </c>
      <c r="AR140" s="1589" t="str">
        <f>IF(DOMAIN=COV!$T$72,Scoring!AO140,IF(DOMAIN=COV!$T$73,Scoring!AP140,IF(DOMAIN=COV!$T$74,Scoring!AQ140,"")))</f>
        <v/>
      </c>
      <c r="AS140" s="1589">
        <f>IF(AR140="",AS141,AR140)</f>
        <v>0</v>
      </c>
    </row>
    <row r="141" spans="2:45" ht="54.75" customHeight="1">
      <c r="B141" s="1864" t="str">
        <f>".5"</f>
        <v>.5</v>
      </c>
      <c r="C141" s="1862">
        <f>Dictionary!X1427</f>
        <v>2</v>
      </c>
      <c r="D141" s="1866" t="str">
        <f>Dictionary!B1427</f>
        <v>Qualität im Verlauf des Projekts sicherstellen</v>
      </c>
      <c r="E141" s="408">
        <v>2</v>
      </c>
      <c r="F141" s="352"/>
      <c r="G141" s="667" t="str">
        <f>IF('(8) Exam Evaluation'!Y141="","",'(8) Exam Evaluation'!Y141)</f>
        <v/>
      </c>
      <c r="H141" s="354"/>
      <c r="I141" s="353"/>
      <c r="J141" s="354"/>
      <c r="K141" s="353"/>
      <c r="L141" s="354"/>
      <c r="M141" s="353"/>
      <c r="N141" s="354"/>
      <c r="O141" s="667" t="str">
        <f t="shared" si="39"/>
        <v/>
      </c>
      <c r="P141" s="354"/>
      <c r="Q141" s="353"/>
      <c r="S141" s="353"/>
      <c r="T141" s="356" t="str">
        <f>IF(U141&gt;=0,U141,"")</f>
        <v/>
      </c>
      <c r="U141" s="667" t="str">
        <f t="shared" si="53"/>
        <v/>
      </c>
      <c r="W141" s="1386"/>
      <c r="Y141" s="1386"/>
      <c r="AA141" s="1386"/>
      <c r="AB141" s="348"/>
      <c r="AC141" s="2376"/>
      <c r="AD141" s="2377"/>
      <c r="AE141" s="2377"/>
      <c r="AF141" s="2377"/>
      <c r="AG141" s="2378"/>
      <c r="AH141" s="348"/>
      <c r="AI141" s="348"/>
      <c r="AJ141" s="349" t="str">
        <f>IF(CSW_FLAG="","",IF(K141="","",K141))</f>
        <v/>
      </c>
      <c r="AK141" s="349"/>
      <c r="AL141" s="349"/>
      <c r="AM141" s="1715" t="str">
        <f>IF(U141="","",IF(U141&gt;Dictionary!$I$52,1,0))</f>
        <v/>
      </c>
      <c r="AO141" s="1589">
        <f>IF('PJM-Report-Scoring'!K132="","",'PJM-Report-Scoring'!K132)</f>
        <v>0</v>
      </c>
      <c r="AP141" s="1589" t="str">
        <f>IF('PGM-Report-Scoring'!K132="","",'PGM-Report-Scoring'!K132)</f>
        <v/>
      </c>
      <c r="AQ141" s="1589" t="str">
        <f>IF('PFM-Report-Scoring'!K132="","",'PFM-Report-Scoring'!K132)</f>
        <v/>
      </c>
      <c r="AR141" s="1589">
        <f>IF(DOMAIN=COV!$T$72,Scoring!AO141,IF(DOMAIN=COV!$T$73,Scoring!AP141,IF(DOMAIN=COV!$T$74,Scoring!AQ141,"")))</f>
        <v>0</v>
      </c>
      <c r="AS141" s="1590">
        <f>IF(AR141="","",AR141)</f>
        <v>0</v>
      </c>
    </row>
    <row r="142" spans="2:45" ht="16">
      <c r="B142" s="1861" t="s">
        <v>355</v>
      </c>
      <c r="C142" s="1862">
        <f>Dictionary!X1430</f>
        <v>3</v>
      </c>
      <c r="D142" s="1863" t="str">
        <f>Dictionary!B1430</f>
        <v>Kosten &amp; Finanzierung</v>
      </c>
      <c r="E142" s="402">
        <v>3</v>
      </c>
      <c r="F142" s="343"/>
      <c r="G142" s="405"/>
      <c r="H142" s="315"/>
      <c r="I142" s="359"/>
      <c r="J142" s="360"/>
      <c r="K142" s="358"/>
      <c r="L142" s="360"/>
      <c r="M142" s="359"/>
      <c r="N142" s="315"/>
      <c r="O142" s="315"/>
      <c r="P142" s="315"/>
      <c r="Q142" s="359"/>
      <c r="S142" s="359"/>
      <c r="T142" s="356"/>
      <c r="U142" s="346" t="str">
        <f t="shared" ref="U142:U172" si="55">AM142</f>
        <v/>
      </c>
      <c r="Y142" s="321"/>
      <c r="AA142" s="321"/>
      <c r="AB142" s="348"/>
      <c r="AC142" s="313"/>
      <c r="AD142" s="321"/>
      <c r="AE142" s="321"/>
      <c r="AF142" s="321"/>
      <c r="AG142" s="321"/>
      <c r="AH142" s="348"/>
      <c r="AI142" s="348"/>
      <c r="AJ142" s="348"/>
      <c r="AK142" s="349">
        <f>COUNTA(D143:D147)-COUNTBLANK(D143:D147)</f>
        <v>5</v>
      </c>
      <c r="AL142" s="349">
        <f>ROUNDUP(AK142/2,0)</f>
        <v>3</v>
      </c>
      <c r="AM142" s="346" t="str">
        <f>IF((COUNTBLANK(AM143:AM147)-COUNTBLANK(D143:D147))=$AK142,"",IF((COUNTIF(AM143:AM147,"&gt;=1")&gt;=AL142),"Pass","Fail"))</f>
        <v/>
      </c>
    </row>
    <row r="143" spans="2:45" ht="54.75" customHeight="1">
      <c r="B143" s="1864" t="str">
        <f>".1"</f>
        <v>.1</v>
      </c>
      <c r="C143" s="1862">
        <f>Dictionary!X1431</f>
        <v>3</v>
      </c>
      <c r="D143" s="1866" t="str">
        <f>Dictionary!B1431</f>
        <v>Projektkosten abschätzen</v>
      </c>
      <c r="E143" s="408">
        <v>3</v>
      </c>
      <c r="F143" s="352"/>
      <c r="G143" s="667" t="str">
        <f>IF('(8) Exam Evaluation'!Y143="","",'(8) Exam Evaluation'!Y143)</f>
        <v/>
      </c>
      <c r="H143" s="354"/>
      <c r="I143" s="353"/>
      <c r="J143" s="354"/>
      <c r="K143" s="353"/>
      <c r="L143" s="354"/>
      <c r="M143" s="353"/>
      <c r="N143" s="354"/>
      <c r="O143" s="667" t="str">
        <f t="shared" si="39"/>
        <v/>
      </c>
      <c r="P143" s="354"/>
      <c r="Q143" s="353"/>
      <c r="S143" s="353"/>
      <c r="T143" s="356" t="str">
        <f>IF(U143&gt;=0,U143,"")</f>
        <v/>
      </c>
      <c r="U143" s="667" t="str">
        <f t="shared" si="53"/>
        <v/>
      </c>
      <c r="W143" s="1386"/>
      <c r="Y143" s="1386"/>
      <c r="AA143" s="1386"/>
      <c r="AB143" s="348"/>
      <c r="AC143" s="2376"/>
      <c r="AD143" s="2377"/>
      <c r="AE143" s="2377"/>
      <c r="AF143" s="2377"/>
      <c r="AG143" s="2378"/>
      <c r="AH143" s="348"/>
      <c r="AI143" s="348"/>
      <c r="AJ143" s="349" t="str">
        <f>IF(CSW_FLAG="","",IF(K143="","",K143))</f>
        <v/>
      </c>
      <c r="AK143" s="349"/>
      <c r="AL143" s="349"/>
      <c r="AM143" s="1715" t="str">
        <f>IF(U143="","",IF(U143&gt;Dictionary!$I$52,1,0))</f>
        <v/>
      </c>
      <c r="AO143" s="1589" t="str">
        <f>IF('PJM-Report-Scoring'!K134="","",'PJM-Report-Scoring'!K134)</f>
        <v/>
      </c>
      <c r="AP143" s="1589" t="str">
        <f>IF('PGM-Report-Scoring'!K134="","",'PGM-Report-Scoring'!K134)</f>
        <v/>
      </c>
      <c r="AQ143" s="1589" t="str">
        <f>IF('PFM-Report-Scoring'!K134="","",'PFM-Report-Scoring'!K134)</f>
        <v/>
      </c>
      <c r="AR143" s="1589" t="str">
        <f>IF(DOMAIN=COV!$T$72,Scoring!AO143,IF(DOMAIN=COV!$T$73,Scoring!AP143,IF(DOMAIN=COV!$T$74,Scoring!AQ143,"")))</f>
        <v/>
      </c>
      <c r="AS143" s="1589">
        <f t="shared" ref="AS143:AS145" si="56">IF(AR143="",AS144,AR143)</f>
        <v>0</v>
      </c>
    </row>
    <row r="144" spans="2:45" ht="54.75" customHeight="1">
      <c r="B144" s="1864" t="str">
        <f>".2"</f>
        <v>.2</v>
      </c>
      <c r="C144" s="1862">
        <f>Dictionary!X1432</f>
        <v>3</v>
      </c>
      <c r="D144" s="1866" t="str">
        <f>Dictionary!B1432</f>
        <v>Projektbudget erstellen</v>
      </c>
      <c r="E144" s="408">
        <v>2</v>
      </c>
      <c r="F144" s="352"/>
      <c r="G144" s="667" t="str">
        <f>IF('(8) Exam Evaluation'!Y144="","",'(8) Exam Evaluation'!Y144)</f>
        <v/>
      </c>
      <c r="H144" s="354"/>
      <c r="I144" s="353"/>
      <c r="J144" s="354"/>
      <c r="K144" s="353"/>
      <c r="L144" s="354"/>
      <c r="M144" s="353"/>
      <c r="N144" s="354"/>
      <c r="O144" s="667" t="str">
        <f t="shared" si="39"/>
        <v/>
      </c>
      <c r="P144" s="354"/>
      <c r="Q144" s="353"/>
      <c r="S144" s="353"/>
      <c r="T144" s="356" t="str">
        <f>IF(U144&gt;=0,U144,"")</f>
        <v/>
      </c>
      <c r="U144" s="667" t="str">
        <f t="shared" si="53"/>
        <v/>
      </c>
      <c r="W144" s="1386"/>
      <c r="Y144" s="1386"/>
      <c r="AA144" s="1386"/>
      <c r="AB144" s="348"/>
      <c r="AC144" s="2376"/>
      <c r="AD144" s="2377"/>
      <c r="AE144" s="2377"/>
      <c r="AF144" s="2377"/>
      <c r="AG144" s="2378"/>
      <c r="AH144" s="348"/>
      <c r="AI144" s="348"/>
      <c r="AJ144" s="349" t="str">
        <f>IF(CSW_FLAG="","",IF(K144="","",K144))</f>
        <v/>
      </c>
      <c r="AK144" s="349"/>
      <c r="AL144" s="349"/>
      <c r="AM144" s="1715" t="str">
        <f>IF(U144="","",IF(U144&gt;Dictionary!$I$52,1,0))</f>
        <v/>
      </c>
      <c r="AO144" s="1589" t="str">
        <f>IF('PJM-Report-Scoring'!K135="","",'PJM-Report-Scoring'!K135)</f>
        <v/>
      </c>
      <c r="AP144" s="1589" t="str">
        <f>IF('PGM-Report-Scoring'!K135="","",'PGM-Report-Scoring'!K135)</f>
        <v/>
      </c>
      <c r="AQ144" s="1589">
        <f>IF('PFM-Report-Scoring'!K135="","",'PFM-Report-Scoring'!K135)</f>
        <v>0</v>
      </c>
      <c r="AR144" s="1589" t="str">
        <f>IF(DOMAIN=COV!$T$72,Scoring!AO144,IF(DOMAIN=COV!$T$73,Scoring!AP144,IF(DOMAIN=COV!$T$74,Scoring!AQ144,"")))</f>
        <v/>
      </c>
      <c r="AS144" s="1589">
        <f t="shared" si="56"/>
        <v>0</v>
      </c>
    </row>
    <row r="145" spans="2:45" ht="54.75" customHeight="1">
      <c r="B145" s="1864" t="str">
        <f>".3"</f>
        <v>.3</v>
      </c>
      <c r="C145" s="1862">
        <f>Dictionary!X1433</f>
        <v>3</v>
      </c>
      <c r="D145" s="1866" t="str">
        <f>Dictionary!B1433</f>
        <v>Projektfinanzierung sichern</v>
      </c>
      <c r="E145" s="408">
        <v>0</v>
      </c>
      <c r="F145" s="352"/>
      <c r="G145" s="667" t="str">
        <f>IF('(8) Exam Evaluation'!Y145="","",'(8) Exam Evaluation'!Y145)</f>
        <v/>
      </c>
      <c r="H145" s="354"/>
      <c r="I145" s="353"/>
      <c r="J145" s="354"/>
      <c r="K145" s="353"/>
      <c r="L145" s="354"/>
      <c r="M145" s="353"/>
      <c r="N145" s="354"/>
      <c r="O145" s="667" t="str">
        <f t="shared" si="39"/>
        <v/>
      </c>
      <c r="P145" s="354"/>
      <c r="Q145" s="353"/>
      <c r="S145" s="353"/>
      <c r="T145" s="356" t="str">
        <f>IF(U145&gt;=0,U145,"")</f>
        <v/>
      </c>
      <c r="U145" s="667" t="str">
        <f>IF(Q145="",O145,Q145)</f>
        <v/>
      </c>
      <c r="W145" s="1386"/>
      <c r="Y145" s="1386"/>
      <c r="AA145" s="1386"/>
      <c r="AB145" s="348"/>
      <c r="AC145" s="2376"/>
      <c r="AD145" s="2377"/>
      <c r="AE145" s="2377"/>
      <c r="AF145" s="2377"/>
      <c r="AG145" s="2378"/>
      <c r="AH145" s="348"/>
      <c r="AI145" s="348"/>
      <c r="AJ145" s="349" t="str">
        <f>IF(CSW_FLAG="","",IF(K145="","",K145))</f>
        <v/>
      </c>
      <c r="AK145" s="349"/>
      <c r="AL145" s="349"/>
      <c r="AM145" s="1715" t="str">
        <f>IF(U145="","",IF(U145&gt;Dictionary!$I$52,1,0))</f>
        <v/>
      </c>
      <c r="AO145" s="1589" t="str">
        <f>IF('PJM-Report-Scoring'!K136="","",'PJM-Report-Scoring'!K136)</f>
        <v/>
      </c>
      <c r="AP145" s="1589" t="str">
        <f>IF('PGM-Report-Scoring'!K136="","",'PGM-Report-Scoring'!K136)</f>
        <v/>
      </c>
      <c r="AQ145" s="1589" t="str">
        <f>IF('PFM-Report-Scoring'!K136="","",'PFM-Report-Scoring'!K136)</f>
        <v/>
      </c>
      <c r="AR145" s="1589" t="str">
        <f>IF(DOMAIN=COV!$T$72,Scoring!AO145,IF(DOMAIN=COV!$T$73,Scoring!AP145,IF(DOMAIN=COV!$T$74,Scoring!AQ145,"")))</f>
        <v/>
      </c>
      <c r="AS145" s="1589">
        <f t="shared" si="56"/>
        <v>0</v>
      </c>
    </row>
    <row r="146" spans="2:45" ht="54.75" customHeight="1">
      <c r="B146" s="1864" t="str">
        <f>".4"</f>
        <v>.4</v>
      </c>
      <c r="C146" s="1862">
        <f>Dictionary!X1434</f>
        <v>3</v>
      </c>
      <c r="D146" s="1866" t="str">
        <f>Dictionary!B1434</f>
        <v>Finanzmanagement- und Berichtssystem für das Projekt entwickeln, einrichten und aufrechterhalten</v>
      </c>
      <c r="E146" s="408">
        <v>3</v>
      </c>
      <c r="F146" s="352"/>
      <c r="G146" s="667" t="str">
        <f>IF('(8) Exam Evaluation'!Y146="","",'(8) Exam Evaluation'!Y146)</f>
        <v/>
      </c>
      <c r="H146" s="354"/>
      <c r="I146" s="353"/>
      <c r="J146" s="354"/>
      <c r="K146" s="353"/>
      <c r="L146" s="354"/>
      <c r="M146" s="353"/>
      <c r="N146" s="354"/>
      <c r="O146" s="667" t="str">
        <f t="shared" si="39"/>
        <v/>
      </c>
      <c r="P146" s="354"/>
      <c r="Q146" s="353"/>
      <c r="S146" s="353"/>
      <c r="T146" s="356" t="str">
        <f>IF(U146&gt;=0,U146,"")</f>
        <v/>
      </c>
      <c r="U146" s="667" t="str">
        <f>IF(Q146="",O146,Q146)</f>
        <v/>
      </c>
      <c r="W146" s="1386"/>
      <c r="Y146" s="1386"/>
      <c r="AA146" s="1386"/>
      <c r="AB146" s="348"/>
      <c r="AC146" s="2376"/>
      <c r="AD146" s="2377"/>
      <c r="AE146" s="2377"/>
      <c r="AF146" s="2377"/>
      <c r="AG146" s="2378"/>
      <c r="AH146" s="348"/>
      <c r="AI146" s="348"/>
      <c r="AJ146" s="349" t="str">
        <f>IF(CSW_FLAG="","",IF(K146="","",K146))</f>
        <v/>
      </c>
      <c r="AK146" s="349"/>
      <c r="AL146" s="349"/>
      <c r="AM146" s="1715" t="str">
        <f>IF(U146="","",IF(U146&gt;Dictionary!$I$52,1,0))</f>
        <v/>
      </c>
      <c r="AO146" s="1589" t="str">
        <f>IF('PJM-Report-Scoring'!K137="","",'PJM-Report-Scoring'!K137)</f>
        <v/>
      </c>
      <c r="AP146" s="1589" t="str">
        <f>IF('PGM-Report-Scoring'!K137="","",'PGM-Report-Scoring'!K137)</f>
        <v/>
      </c>
      <c r="AQ146" s="1589" t="str">
        <f>IF('PFM-Report-Scoring'!K137="","",'PFM-Report-Scoring'!K137)</f>
        <v/>
      </c>
      <c r="AR146" s="1589" t="str">
        <f>IF(DOMAIN=COV!$T$72,Scoring!AO146,IF(DOMAIN=COV!$T$73,Scoring!AP146,IF(DOMAIN=COV!$T$74,Scoring!AQ146,"")))</f>
        <v/>
      </c>
      <c r="AS146" s="1589">
        <f>IF(AR146="",AS147,AR146)</f>
        <v>0</v>
      </c>
    </row>
    <row r="147" spans="2:45" ht="54.75" customHeight="1">
      <c r="B147" s="1864" t="str">
        <f>".5"</f>
        <v>.5</v>
      </c>
      <c r="C147" s="1862">
        <f>Dictionary!X1435</f>
        <v>3</v>
      </c>
      <c r="D147" s="1866" t="str">
        <f>Dictionary!B1435</f>
        <v>Finanzen überwachen, um Abweichungen vom Projektplan zu identifizieren und zu korrigieren</v>
      </c>
      <c r="E147" s="408">
        <v>3</v>
      </c>
      <c r="F147" s="352"/>
      <c r="G147" s="667" t="str">
        <f>IF('(8) Exam Evaluation'!Y147="","",'(8) Exam Evaluation'!Y147)</f>
        <v/>
      </c>
      <c r="H147" s="354"/>
      <c r="I147" s="353"/>
      <c r="J147" s="354"/>
      <c r="K147" s="353"/>
      <c r="L147" s="354"/>
      <c r="M147" s="353"/>
      <c r="N147" s="354"/>
      <c r="O147" s="667" t="str">
        <f t="shared" si="39"/>
        <v/>
      </c>
      <c r="P147" s="354"/>
      <c r="Q147" s="353"/>
      <c r="S147" s="353"/>
      <c r="T147" s="356" t="str">
        <f>IF(U147&gt;=0,U147,"")</f>
        <v/>
      </c>
      <c r="U147" s="667" t="str">
        <f t="shared" si="53"/>
        <v/>
      </c>
      <c r="W147" s="1386"/>
      <c r="Y147" s="1386"/>
      <c r="AA147" s="1386"/>
      <c r="AB147" s="348"/>
      <c r="AC147" s="2376"/>
      <c r="AD147" s="2377"/>
      <c r="AE147" s="2377"/>
      <c r="AF147" s="2377"/>
      <c r="AG147" s="2378"/>
      <c r="AH147" s="348"/>
      <c r="AI147" s="348"/>
      <c r="AJ147" s="349" t="str">
        <f>IF(CSW_FLAG="","",IF(K147="","",K147))</f>
        <v/>
      </c>
      <c r="AK147" s="349"/>
      <c r="AL147" s="349"/>
      <c r="AM147" s="1715" t="str">
        <f>IF(U147="","",IF(U147&gt;Dictionary!$I$52,1,0))</f>
        <v/>
      </c>
      <c r="AO147" s="1589">
        <f>IF('PJM-Report-Scoring'!K138="","",'PJM-Report-Scoring'!K138)</f>
        <v>0</v>
      </c>
      <c r="AP147" s="1589">
        <f>IF('PGM-Report-Scoring'!K138="","",'PGM-Report-Scoring'!K138)</f>
        <v>0</v>
      </c>
      <c r="AQ147" s="1589" t="str">
        <f>IF('PFM-Report-Scoring'!K138="","",'PFM-Report-Scoring'!K138)</f>
        <v/>
      </c>
      <c r="AR147" s="1589">
        <f>IF(DOMAIN=COV!$T$72,Scoring!AO147,IF(DOMAIN=COV!$T$73,Scoring!AP147,IF(DOMAIN=COV!$T$74,Scoring!AQ147,"")))</f>
        <v>0</v>
      </c>
      <c r="AS147" s="1590">
        <f>IF(AR147="","",AR147)</f>
        <v>0</v>
      </c>
    </row>
    <row r="148" spans="2:45" ht="16">
      <c r="B148" s="1861" t="s">
        <v>349</v>
      </c>
      <c r="C148" s="1862">
        <f>Dictionary!X1438</f>
        <v>3</v>
      </c>
      <c r="D148" s="1863" t="str">
        <f>Dictionary!B1438</f>
        <v>Ressourcen</v>
      </c>
      <c r="E148" s="402">
        <v>4</v>
      </c>
      <c r="F148" s="343"/>
      <c r="G148" s="405"/>
      <c r="H148" s="315"/>
      <c r="I148" s="359"/>
      <c r="J148" s="360"/>
      <c r="K148" s="358"/>
      <c r="L148" s="360"/>
      <c r="M148" s="359"/>
      <c r="N148" s="315"/>
      <c r="O148" s="315"/>
      <c r="P148" s="315"/>
      <c r="Q148" s="359"/>
      <c r="S148" s="359"/>
      <c r="T148" s="356"/>
      <c r="U148" s="346" t="str">
        <f t="shared" si="55"/>
        <v/>
      </c>
      <c r="Y148" s="321"/>
      <c r="AA148" s="321"/>
      <c r="AB148" s="348"/>
      <c r="AC148" s="313"/>
      <c r="AD148" s="321"/>
      <c r="AE148" s="321"/>
      <c r="AF148" s="321"/>
      <c r="AG148" s="321"/>
      <c r="AH148" s="348"/>
      <c r="AI148" s="348"/>
      <c r="AJ148" s="348"/>
      <c r="AK148" s="349">
        <f>COUNTA(D149:D153)-COUNTBLANK(D149:D153)</f>
        <v>5</v>
      </c>
      <c r="AL148" s="349">
        <f>ROUNDUP(AK148/2,0)</f>
        <v>3</v>
      </c>
      <c r="AM148" s="346" t="str">
        <f>IF((COUNTBLANK(AM149:AM153)-COUNTBLANK(D149:D153))=$AK148,"",IF((COUNTIF(AM149:AM153,"&gt;=1")&gt;=AL148),"Pass","Fail"))</f>
        <v/>
      </c>
    </row>
    <row r="149" spans="2:45" ht="54.75" customHeight="1">
      <c r="B149" s="1864" t="str">
        <f>".1"</f>
        <v>.1</v>
      </c>
      <c r="C149" s="1862">
        <f>Dictionary!X1439</f>
        <v>3</v>
      </c>
      <c r="D149" s="1866" t="str">
        <f>Dictionary!B1439</f>
        <v>Strategische Ressourcenplanung entwickeln, um die Projektergebnisse liefern zu können</v>
      </c>
      <c r="E149" s="408">
        <v>3</v>
      </c>
      <c r="F149" s="352"/>
      <c r="G149" s="667" t="str">
        <f>IF('(8) Exam Evaluation'!Y149="","",'(8) Exam Evaluation'!Y149)</f>
        <v/>
      </c>
      <c r="H149" s="354"/>
      <c r="I149" s="353"/>
      <c r="J149" s="354"/>
      <c r="K149" s="353"/>
      <c r="L149" s="354"/>
      <c r="M149" s="353"/>
      <c r="N149" s="354"/>
      <c r="O149" s="667" t="str">
        <f t="shared" si="39"/>
        <v/>
      </c>
      <c r="P149" s="354"/>
      <c r="Q149" s="353"/>
      <c r="S149" s="353"/>
      <c r="T149" s="356" t="str">
        <f>IF(U149&gt;=0,U149,"")</f>
        <v/>
      </c>
      <c r="U149" s="667" t="str">
        <f t="shared" si="53"/>
        <v/>
      </c>
      <c r="W149" s="1386"/>
      <c r="Y149" s="1386"/>
      <c r="AA149" s="1386"/>
      <c r="AB149" s="348"/>
      <c r="AC149" s="2376"/>
      <c r="AD149" s="2377"/>
      <c r="AE149" s="2377"/>
      <c r="AF149" s="2377"/>
      <c r="AG149" s="2378"/>
      <c r="AH149" s="348"/>
      <c r="AI149" s="348"/>
      <c r="AJ149" s="349" t="str">
        <f>IF(CSW_FLAG="","",IF(K149="","",K149))</f>
        <v/>
      </c>
      <c r="AK149" s="349"/>
      <c r="AL149" s="349"/>
      <c r="AM149" s="1715" t="str">
        <f>IF(U149="","",IF(U149&gt;Dictionary!$I$52,1,0))</f>
        <v/>
      </c>
      <c r="AO149" s="1589" t="str">
        <f>IF('PJM-Report-Scoring'!K140="","",'PJM-Report-Scoring'!K140)</f>
        <v/>
      </c>
      <c r="AP149" s="1589" t="str">
        <f>IF('PGM-Report-Scoring'!K140="","",'PGM-Report-Scoring'!K140)</f>
        <v/>
      </c>
      <c r="AQ149" s="1589" t="str">
        <f>IF('PFM-Report-Scoring'!K140="","",'PFM-Report-Scoring'!K140)</f>
        <v/>
      </c>
      <c r="AR149" s="1589" t="str">
        <f>IF(DOMAIN=COV!$T$72,Scoring!AO149,IF(DOMAIN=COV!$T$73,Scoring!AP149,IF(DOMAIN=COV!$T$74,Scoring!AQ149,"")))</f>
        <v/>
      </c>
      <c r="AS149" s="1589">
        <f t="shared" ref="AS149:AS151" si="57">IF(AR149="",AS150,AR149)</f>
        <v>0</v>
      </c>
    </row>
    <row r="150" spans="2:45" ht="54.75" customHeight="1">
      <c r="B150" s="1864" t="str">
        <f>".2"</f>
        <v>.2</v>
      </c>
      <c r="C150" s="1862">
        <f>Dictionary!X1440</f>
        <v>3</v>
      </c>
      <c r="D150" s="1866" t="str">
        <f>Dictionary!B1440</f>
        <v>Qualität und Menge der benötigten Ressourcen definieren</v>
      </c>
      <c r="E150" s="408">
        <v>3</v>
      </c>
      <c r="F150" s="352"/>
      <c r="G150" s="667" t="str">
        <f>IF('(8) Exam Evaluation'!Y150="","",'(8) Exam Evaluation'!Y150)</f>
        <v/>
      </c>
      <c r="H150" s="354"/>
      <c r="I150" s="353"/>
      <c r="J150" s="354"/>
      <c r="K150" s="353"/>
      <c r="L150" s="354"/>
      <c r="M150" s="353"/>
      <c r="N150" s="354"/>
      <c r="O150" s="667" t="str">
        <f t="shared" si="39"/>
        <v/>
      </c>
      <c r="P150" s="354"/>
      <c r="Q150" s="353"/>
      <c r="S150" s="353"/>
      <c r="T150" s="356" t="str">
        <f>IF(U150&gt;=0,U150,"")</f>
        <v/>
      </c>
      <c r="U150" s="667" t="str">
        <f t="shared" si="53"/>
        <v/>
      </c>
      <c r="W150" s="1386"/>
      <c r="Y150" s="1386"/>
      <c r="AA150" s="1386"/>
      <c r="AB150" s="348"/>
      <c r="AC150" s="2376"/>
      <c r="AD150" s="2377"/>
      <c r="AE150" s="2377"/>
      <c r="AF150" s="2377"/>
      <c r="AG150" s="2378"/>
      <c r="AH150" s="348"/>
      <c r="AI150" s="348"/>
      <c r="AJ150" s="349" t="str">
        <f>IF(CSW_FLAG="","",IF(K150="","",K150))</f>
        <v/>
      </c>
      <c r="AK150" s="349"/>
      <c r="AL150" s="349"/>
      <c r="AM150" s="1715" t="str">
        <f>IF(U150="","",IF(U150&gt;Dictionary!$I$52,1,0))</f>
        <v/>
      </c>
      <c r="AO150" s="1589" t="str">
        <f>IF('PJM-Report-Scoring'!K141="","",'PJM-Report-Scoring'!K141)</f>
        <v/>
      </c>
      <c r="AP150" s="1589" t="str">
        <f>IF('PGM-Report-Scoring'!K141="","",'PGM-Report-Scoring'!K141)</f>
        <v/>
      </c>
      <c r="AQ150" s="1589" t="str">
        <f>IF('PFM-Report-Scoring'!K141="","",'PFM-Report-Scoring'!K141)</f>
        <v/>
      </c>
      <c r="AR150" s="1589" t="str">
        <f>IF(DOMAIN=COV!$T$72,Scoring!AO150,IF(DOMAIN=COV!$T$73,Scoring!AP150,IF(DOMAIN=COV!$T$74,Scoring!AQ150,"")))</f>
        <v/>
      </c>
      <c r="AS150" s="1589">
        <f t="shared" si="57"/>
        <v>0</v>
      </c>
    </row>
    <row r="151" spans="2:45" ht="54.75" customHeight="1">
      <c r="B151" s="1864" t="str">
        <f>".3"</f>
        <v>.3</v>
      </c>
      <c r="C151" s="1862">
        <f>Dictionary!X1441</f>
        <v>3</v>
      </c>
      <c r="D151" s="1866" t="str">
        <f>Dictionary!B1441</f>
        <v>Potenzielle Ressourcenquellen identifizieren und ihre Beschaffung verhandeln</v>
      </c>
      <c r="E151" s="408">
        <v>3</v>
      </c>
      <c r="F151" s="352"/>
      <c r="G151" s="667" t="str">
        <f>IF('(8) Exam Evaluation'!Y151="","",'(8) Exam Evaluation'!Y151)</f>
        <v/>
      </c>
      <c r="H151" s="354"/>
      <c r="I151" s="353"/>
      <c r="J151" s="354"/>
      <c r="K151" s="353"/>
      <c r="L151" s="354"/>
      <c r="M151" s="353"/>
      <c r="N151" s="354"/>
      <c r="O151" s="667" t="str">
        <f t="shared" si="39"/>
        <v/>
      </c>
      <c r="P151" s="354"/>
      <c r="Q151" s="353"/>
      <c r="S151" s="353"/>
      <c r="T151" s="356" t="str">
        <f>IF(U151&gt;=0,U151,"")</f>
        <v/>
      </c>
      <c r="U151" s="667" t="str">
        <f>IF(Q151="",O151,Q151)</f>
        <v/>
      </c>
      <c r="W151" s="1386"/>
      <c r="Y151" s="1386"/>
      <c r="AA151" s="1386"/>
      <c r="AB151" s="348"/>
      <c r="AC151" s="2376"/>
      <c r="AD151" s="2377"/>
      <c r="AE151" s="2377"/>
      <c r="AF151" s="2377"/>
      <c r="AG151" s="2378"/>
      <c r="AH151" s="348"/>
      <c r="AI151" s="348"/>
      <c r="AJ151" s="349" t="str">
        <f>IF(CSW_FLAG="","",IF(K151="","",K151))</f>
        <v/>
      </c>
      <c r="AK151" s="349"/>
      <c r="AL151" s="349"/>
      <c r="AM151" s="1715" t="str">
        <f>IF(U151="","",IF(U151&gt;Dictionary!$I$52,1,0))</f>
        <v/>
      </c>
      <c r="AO151" s="1589" t="str">
        <f>IF('PJM-Report-Scoring'!K142="","",'PJM-Report-Scoring'!K142)</f>
        <v/>
      </c>
      <c r="AP151" s="1589" t="str">
        <f>IF('PGM-Report-Scoring'!K142="","",'PGM-Report-Scoring'!K142)</f>
        <v/>
      </c>
      <c r="AQ151" s="1589">
        <f>IF('PFM-Report-Scoring'!K142="","",'PFM-Report-Scoring'!K142)</f>
        <v>0</v>
      </c>
      <c r="AR151" s="1589" t="str">
        <f>IF(DOMAIN=COV!$T$72,Scoring!AO151,IF(DOMAIN=COV!$T$73,Scoring!AP151,IF(DOMAIN=COV!$T$74,Scoring!AQ151,"")))</f>
        <v/>
      </c>
      <c r="AS151" s="1589">
        <f t="shared" si="57"/>
        <v>0</v>
      </c>
    </row>
    <row r="152" spans="2:45" ht="54.75" customHeight="1">
      <c r="B152" s="1864" t="str">
        <f>".4"</f>
        <v>.4</v>
      </c>
      <c r="C152" s="1862">
        <f>Dictionary!X1442</f>
        <v>3</v>
      </c>
      <c r="D152" s="1866" t="str">
        <f>Dictionary!B1442</f>
        <v>Ressourcen gemäß dem festgelegten Bedarf zuweisen und verteilen</v>
      </c>
      <c r="E152" s="408">
        <v>4</v>
      </c>
      <c r="F152" s="352"/>
      <c r="G152" s="667" t="str">
        <f>IF('(8) Exam Evaluation'!Y152="","",'(8) Exam Evaluation'!Y152)</f>
        <v/>
      </c>
      <c r="H152" s="354"/>
      <c r="I152" s="353"/>
      <c r="J152" s="354"/>
      <c r="K152" s="353"/>
      <c r="L152" s="354"/>
      <c r="M152" s="353"/>
      <c r="N152" s="354"/>
      <c r="O152" s="667" t="str">
        <f t="shared" si="39"/>
        <v/>
      </c>
      <c r="P152" s="354"/>
      <c r="Q152" s="353"/>
      <c r="S152" s="353"/>
      <c r="T152" s="356" t="str">
        <f>IF(U152&gt;=0,U152,"")</f>
        <v/>
      </c>
      <c r="U152" s="667" t="str">
        <f>IF(Q152="",O152,Q152)</f>
        <v/>
      </c>
      <c r="W152" s="1386"/>
      <c r="Y152" s="1386"/>
      <c r="AA152" s="1386"/>
      <c r="AB152" s="348"/>
      <c r="AC152" s="2376"/>
      <c r="AD152" s="2377"/>
      <c r="AE152" s="2377"/>
      <c r="AF152" s="2377"/>
      <c r="AG152" s="2378"/>
      <c r="AH152" s="348"/>
      <c r="AI152" s="348"/>
      <c r="AJ152" s="349" t="str">
        <f>IF(CSW_FLAG="","",IF(K152="","",K152))</f>
        <v/>
      </c>
      <c r="AK152" s="349"/>
      <c r="AL152" s="349"/>
      <c r="AM152" s="1715" t="str">
        <f>IF(U152="","",IF(U152&gt;Dictionary!$I$52,1,0))</f>
        <v/>
      </c>
      <c r="AO152" s="1589" t="str">
        <f>IF('PJM-Report-Scoring'!K143="","",'PJM-Report-Scoring'!K143)</f>
        <v/>
      </c>
      <c r="AP152" s="1589" t="str">
        <f>IF('PGM-Report-Scoring'!K143="","",'PGM-Report-Scoring'!K143)</f>
        <v/>
      </c>
      <c r="AQ152" s="1589" t="str">
        <f>IF('PFM-Report-Scoring'!K143="","",'PFM-Report-Scoring'!K143)</f>
        <v/>
      </c>
      <c r="AR152" s="1589" t="str">
        <f>IF(DOMAIN=COV!$T$72,Scoring!AO152,IF(DOMAIN=COV!$T$73,Scoring!AP152,IF(DOMAIN=COV!$T$74,Scoring!AQ152,"")))</f>
        <v/>
      </c>
      <c r="AS152" s="1589">
        <f>IF(AR152="",AS153,AR152)</f>
        <v>0</v>
      </c>
    </row>
    <row r="153" spans="2:45" ht="54.75" customHeight="1">
      <c r="B153" s="1864" t="str">
        <f>".5"</f>
        <v>.5</v>
      </c>
      <c r="C153" s="1862">
        <f>Dictionary!X1443</f>
        <v>3</v>
      </c>
      <c r="D153" s="1866" t="str">
        <f>Dictionary!B1443</f>
        <v>Ressourcenverbrauch evaluieren und erforderliche Korrekturmaßnahmen ergreifen</v>
      </c>
      <c r="E153" s="408">
        <v>3</v>
      </c>
      <c r="F153" s="352"/>
      <c r="G153" s="667" t="str">
        <f>IF('(8) Exam Evaluation'!Y153="","",'(8) Exam Evaluation'!Y153)</f>
        <v/>
      </c>
      <c r="H153" s="354"/>
      <c r="I153" s="353"/>
      <c r="J153" s="354"/>
      <c r="K153" s="353"/>
      <c r="L153" s="354"/>
      <c r="M153" s="353"/>
      <c r="N153" s="354"/>
      <c r="O153" s="667" t="str">
        <f t="shared" si="39"/>
        <v/>
      </c>
      <c r="P153" s="354"/>
      <c r="Q153" s="353"/>
      <c r="S153" s="353"/>
      <c r="T153" s="356" t="str">
        <f>IF(U153&gt;=0,U153,"")</f>
        <v/>
      </c>
      <c r="U153" s="667" t="str">
        <f t="shared" si="53"/>
        <v/>
      </c>
      <c r="W153" s="1386"/>
      <c r="Y153" s="1386"/>
      <c r="AA153" s="1386"/>
      <c r="AB153" s="348"/>
      <c r="AC153" s="2376"/>
      <c r="AD153" s="2377"/>
      <c r="AE153" s="2377"/>
      <c r="AF153" s="2377"/>
      <c r="AG153" s="2378"/>
      <c r="AH153" s="348"/>
      <c r="AI153" s="348"/>
      <c r="AJ153" s="349" t="str">
        <f>IF(CSW_FLAG="","",IF(K153="","",K153))</f>
        <v/>
      </c>
      <c r="AK153" s="349"/>
      <c r="AL153" s="349"/>
      <c r="AM153" s="1715" t="str">
        <f>IF(U153="","",IF(U153&gt;Dictionary!$I$52,1,0))</f>
        <v/>
      </c>
      <c r="AO153" s="1589">
        <f>IF('PJM-Report-Scoring'!K144="","",'PJM-Report-Scoring'!K144)</f>
        <v>0</v>
      </c>
      <c r="AP153" s="1589">
        <f>IF('PGM-Report-Scoring'!K144="","",'PGM-Report-Scoring'!K144)</f>
        <v>0</v>
      </c>
      <c r="AQ153" s="1589" t="str">
        <f>IF('PFM-Report-Scoring'!K144="","",'PFM-Report-Scoring'!K144)</f>
        <v/>
      </c>
      <c r="AR153" s="1589">
        <f>IF(DOMAIN=COV!$T$72,Scoring!AO153,IF(DOMAIN=COV!$T$73,Scoring!AP153,IF(DOMAIN=COV!$T$74,Scoring!AQ153,"")))</f>
        <v>0</v>
      </c>
      <c r="AS153" s="1590">
        <f>IF(AR153="","",AR153)</f>
        <v>0</v>
      </c>
    </row>
    <row r="154" spans="2:45" ht="16">
      <c r="B154" s="1861" t="s">
        <v>343</v>
      </c>
      <c r="C154" s="1862">
        <f>Dictionary!X1446</f>
        <v>3</v>
      </c>
      <c r="D154" s="1863" t="str">
        <f>Dictionary!B1446</f>
        <v>Beschaffung</v>
      </c>
      <c r="E154" s="402">
        <v>3</v>
      </c>
      <c r="F154" s="343"/>
      <c r="G154" s="405"/>
      <c r="H154" s="315"/>
      <c r="I154" s="359"/>
      <c r="J154" s="360"/>
      <c r="K154" s="358"/>
      <c r="L154" s="360"/>
      <c r="M154" s="359"/>
      <c r="N154" s="315"/>
      <c r="O154" s="315"/>
      <c r="P154" s="315"/>
      <c r="Q154" s="359"/>
      <c r="S154" s="359"/>
      <c r="T154" s="356"/>
      <c r="U154" s="346" t="str">
        <f t="shared" si="55"/>
        <v/>
      </c>
      <c r="Y154" s="321"/>
      <c r="AA154" s="321"/>
      <c r="AB154" s="348"/>
      <c r="AC154" s="313"/>
      <c r="AD154" s="321"/>
      <c r="AE154" s="321"/>
      <c r="AF154" s="321"/>
      <c r="AG154" s="321"/>
      <c r="AH154" s="348"/>
      <c r="AI154" s="348"/>
      <c r="AJ154" s="348"/>
      <c r="AK154" s="349">
        <f>COUNTA(D155:D158)-COUNTBLANK(D155:D158)</f>
        <v>4</v>
      </c>
      <c r="AL154" s="349">
        <f>ROUNDUP(AK154/2,0)</f>
        <v>2</v>
      </c>
      <c r="AM154" s="346" t="str">
        <f>IF((COUNTBLANK(AM155:AM158)-COUNTBLANK(D155:D158))=$AK154,"",IF((COUNTIF(AM155:AM158,"&gt;=1")&gt;=AL154),"Pass","Fail"))</f>
        <v/>
      </c>
    </row>
    <row r="155" spans="2:45" ht="54.75" customHeight="1">
      <c r="B155" s="1864" t="str">
        <f>".1"</f>
        <v>.1</v>
      </c>
      <c r="C155" s="1862">
        <f>Dictionary!X1447</f>
        <v>3</v>
      </c>
      <c r="D155" s="1866" t="str">
        <f>Dictionary!B1447</f>
        <v>Beschaffungsbedarf, Optionen und Prozesse vereinbaren</v>
      </c>
      <c r="E155" s="408">
        <v>3</v>
      </c>
      <c r="F155" s="352"/>
      <c r="G155" s="667" t="str">
        <f>IF('(8) Exam Evaluation'!Y155="","",'(8) Exam Evaluation'!Y155)</f>
        <v/>
      </c>
      <c r="H155" s="354"/>
      <c r="I155" s="353"/>
      <c r="J155" s="354"/>
      <c r="K155" s="353"/>
      <c r="L155" s="354"/>
      <c r="M155" s="353"/>
      <c r="N155" s="354"/>
      <c r="O155" s="667" t="str">
        <f t="shared" si="39"/>
        <v/>
      </c>
      <c r="P155" s="354"/>
      <c r="Q155" s="353"/>
      <c r="S155" s="353"/>
      <c r="T155" s="356" t="str">
        <f>IF(U155&gt;=0,U155,"")</f>
        <v/>
      </c>
      <c r="U155" s="667" t="str">
        <f t="shared" si="53"/>
        <v/>
      </c>
      <c r="W155" s="1386"/>
      <c r="Y155" s="1386"/>
      <c r="AA155" s="1386"/>
      <c r="AB155" s="348"/>
      <c r="AC155" s="2376"/>
      <c r="AD155" s="2377"/>
      <c r="AE155" s="2377"/>
      <c r="AF155" s="2377"/>
      <c r="AG155" s="2378"/>
      <c r="AH155" s="348"/>
      <c r="AI155" s="348"/>
      <c r="AJ155" s="349" t="str">
        <f>IF(CSW_FLAG="","",IF(K155="","",K155))</f>
        <v/>
      </c>
      <c r="AK155" s="349"/>
      <c r="AL155" s="349"/>
      <c r="AM155" s="1715" t="str">
        <f>IF(U155="","",IF(U155&gt;Dictionary!$I$52,1,0))</f>
        <v/>
      </c>
      <c r="AO155" s="1589" t="str">
        <f>IF('PJM-Report-Scoring'!K146="","",'PJM-Report-Scoring'!K146)</f>
        <v/>
      </c>
      <c r="AP155" s="1589" t="str">
        <f>IF('PGM-Report-Scoring'!K146="","",'PGM-Report-Scoring'!K146)</f>
        <v/>
      </c>
      <c r="AQ155" s="1589" t="str">
        <f>IF('PFM-Report-Scoring'!K146="","",'PFM-Report-Scoring'!K146)</f>
        <v/>
      </c>
      <c r="AR155" s="1589" t="str">
        <f>IF(DOMAIN=COV!$T$72,Scoring!AO155,IF(DOMAIN=COV!$T$73,Scoring!AP155,IF(DOMAIN=COV!$T$74,Scoring!AQ155,"")))</f>
        <v/>
      </c>
      <c r="AS155" s="1589">
        <f t="shared" ref="AS155:AS156" si="58">IF(AR155="",AS156,AR155)</f>
        <v>0</v>
      </c>
    </row>
    <row r="156" spans="2:45" ht="54.75" customHeight="1">
      <c r="B156" s="1864" t="str">
        <f>".2"</f>
        <v>.2</v>
      </c>
      <c r="C156" s="1862">
        <f>Dictionary!X1448</f>
        <v>2</v>
      </c>
      <c r="D156" s="1866" t="str">
        <f>Dictionary!B1448</f>
        <v>Zur Evaluation und Auswahl von Lieferanten und Partnern beitragen</v>
      </c>
      <c r="E156" s="408">
        <v>3</v>
      </c>
      <c r="F156" s="352"/>
      <c r="G156" s="667" t="str">
        <f>IF('(8) Exam Evaluation'!Y156="","",'(8) Exam Evaluation'!Y156)</f>
        <v/>
      </c>
      <c r="H156" s="354"/>
      <c r="I156" s="353"/>
      <c r="J156" s="354"/>
      <c r="K156" s="353"/>
      <c r="L156" s="354"/>
      <c r="M156" s="353"/>
      <c r="N156" s="354"/>
      <c r="O156" s="667" t="str">
        <f t="shared" si="39"/>
        <v/>
      </c>
      <c r="P156" s="354"/>
      <c r="Q156" s="353"/>
      <c r="S156" s="353"/>
      <c r="T156" s="356" t="str">
        <f>IF(U156&gt;=0,U156,"")</f>
        <v/>
      </c>
      <c r="U156" s="667" t="str">
        <f t="shared" si="53"/>
        <v/>
      </c>
      <c r="W156" s="1386"/>
      <c r="Y156" s="1386"/>
      <c r="AA156" s="1386"/>
      <c r="AB156" s="348"/>
      <c r="AC156" s="2376"/>
      <c r="AD156" s="2377"/>
      <c r="AE156" s="2377"/>
      <c r="AF156" s="2377"/>
      <c r="AG156" s="2378"/>
      <c r="AH156" s="348"/>
      <c r="AI156" s="348"/>
      <c r="AJ156" s="349" t="str">
        <f>IF(CSW_FLAG="","",IF(K156="","",K156))</f>
        <v/>
      </c>
      <c r="AK156" s="349"/>
      <c r="AL156" s="349"/>
      <c r="AM156" s="1715" t="str">
        <f>IF(U156="","",IF(U156&gt;Dictionary!$I$52,1,0))</f>
        <v/>
      </c>
      <c r="AO156" s="1589" t="str">
        <f>IF('PJM-Report-Scoring'!K147="","",'PJM-Report-Scoring'!K147)</f>
        <v/>
      </c>
      <c r="AP156" s="1589" t="str">
        <f>IF('PGM-Report-Scoring'!K147="","",'PGM-Report-Scoring'!K147)</f>
        <v/>
      </c>
      <c r="AQ156" s="1589" t="str">
        <f>IF('PFM-Report-Scoring'!K147="","",'PFM-Report-Scoring'!K147)</f>
        <v/>
      </c>
      <c r="AR156" s="1589" t="str">
        <f>IF(DOMAIN=COV!$T$72,Scoring!AO156,IF(DOMAIN=COV!$T$73,Scoring!AP156,IF(DOMAIN=COV!$T$74,Scoring!AQ156,"")))</f>
        <v/>
      </c>
      <c r="AS156" s="1589">
        <f t="shared" si="58"/>
        <v>0</v>
      </c>
    </row>
    <row r="157" spans="2:45" ht="54.75" customHeight="1">
      <c r="B157" s="1864" t="str">
        <f>".3"</f>
        <v>.3</v>
      </c>
      <c r="C157" s="1862">
        <f>Dictionary!X1449</f>
        <v>3</v>
      </c>
      <c r="D157" s="1866" t="str">
        <f>Dictionary!B1449</f>
        <v>Zu Verhandlungen und Vereinbarungen von Vertragsbestimmungen beitragen, um diese in Einklang mit den Projektzielen zu bringen</v>
      </c>
      <c r="E157" s="408">
        <v>3</v>
      </c>
      <c r="F157" s="352"/>
      <c r="G157" s="667" t="str">
        <f>IF('(8) Exam Evaluation'!Y157="","",'(8) Exam Evaluation'!Y157)</f>
        <v/>
      </c>
      <c r="H157" s="354"/>
      <c r="I157" s="353"/>
      <c r="J157" s="354"/>
      <c r="K157" s="353"/>
      <c r="L157" s="354"/>
      <c r="M157" s="353"/>
      <c r="N157" s="354"/>
      <c r="O157" s="667" t="str">
        <f t="shared" si="39"/>
        <v/>
      </c>
      <c r="P157" s="354"/>
      <c r="Q157" s="353"/>
      <c r="S157" s="353"/>
      <c r="T157" s="356" t="str">
        <f>IF(U157&gt;=0,U157,"")</f>
        <v/>
      </c>
      <c r="U157" s="667" t="str">
        <f>IF(Q157="",O157,Q157)</f>
        <v/>
      </c>
      <c r="W157" s="1386"/>
      <c r="Y157" s="1386"/>
      <c r="AA157" s="1386"/>
      <c r="AB157" s="348"/>
      <c r="AC157" s="2376"/>
      <c r="AD157" s="2377"/>
      <c r="AE157" s="2377"/>
      <c r="AF157" s="2377"/>
      <c r="AG157" s="2378"/>
      <c r="AH157" s="348"/>
      <c r="AI157" s="348"/>
      <c r="AJ157" s="349" t="str">
        <f>IF(CSW_FLAG="","",IF(K157="","",K157))</f>
        <v/>
      </c>
      <c r="AK157" s="349"/>
      <c r="AL157" s="349"/>
      <c r="AM157" s="1715" t="str">
        <f>IF(U157="","",IF(U157&gt;Dictionary!$I$52,1,0))</f>
        <v/>
      </c>
      <c r="AO157" s="1589" t="str">
        <f>IF('PJM-Report-Scoring'!K148="","",'PJM-Report-Scoring'!K148)</f>
        <v/>
      </c>
      <c r="AP157" s="1589" t="str">
        <f>IF('PGM-Report-Scoring'!K148="","",'PGM-Report-Scoring'!K148)</f>
        <v/>
      </c>
      <c r="AQ157" s="1589" t="str">
        <f>IF('PFM-Report-Scoring'!K148="","",'PFM-Report-Scoring'!K148)</f>
        <v/>
      </c>
      <c r="AR157" s="1589" t="str">
        <f>IF(DOMAIN=COV!$T$72,Scoring!AO157,IF(DOMAIN=COV!$T$73,Scoring!AP157,IF(DOMAIN=COV!$T$74,Scoring!AQ157,"")))</f>
        <v/>
      </c>
      <c r="AS157" s="1589">
        <f>IF(AR157="",AS158,AR157)</f>
        <v>0</v>
      </c>
    </row>
    <row r="158" spans="2:45" ht="54.75" customHeight="1">
      <c r="B158" s="1864" t="str">
        <f>".4"</f>
        <v>.4</v>
      </c>
      <c r="C158" s="1862">
        <f>Dictionary!X1450</f>
        <v>3</v>
      </c>
      <c r="D158" s="1866" t="str">
        <f>Dictionary!B1450</f>
        <v>Vertragsausführung überwachen, Probleme ansprechen und, falls notwendig, Entschädigungen verlangen</v>
      </c>
      <c r="E158" s="408">
        <v>3</v>
      </c>
      <c r="F158" s="352"/>
      <c r="G158" s="667" t="str">
        <f>IF('(8) Exam Evaluation'!Y158="","",'(8) Exam Evaluation'!Y158)</f>
        <v/>
      </c>
      <c r="H158" s="354"/>
      <c r="I158" s="353"/>
      <c r="J158" s="354"/>
      <c r="K158" s="353"/>
      <c r="L158" s="354"/>
      <c r="M158" s="353"/>
      <c r="N158" s="354"/>
      <c r="O158" s="667" t="str">
        <f t="shared" si="39"/>
        <v/>
      </c>
      <c r="P158" s="354"/>
      <c r="Q158" s="353"/>
      <c r="S158" s="353"/>
      <c r="T158" s="356" t="str">
        <f>IF(U158&gt;=0,U158,"")</f>
        <v/>
      </c>
      <c r="U158" s="667" t="str">
        <f>IF(Q158="",O158,Q158)</f>
        <v/>
      </c>
      <c r="W158" s="1386"/>
      <c r="Y158" s="1386"/>
      <c r="AA158" s="1386"/>
      <c r="AB158" s="348"/>
      <c r="AC158" s="2376"/>
      <c r="AD158" s="2377"/>
      <c r="AE158" s="2377"/>
      <c r="AF158" s="2377"/>
      <c r="AG158" s="2378"/>
      <c r="AH158" s="348"/>
      <c r="AI158" s="348"/>
      <c r="AJ158" s="349" t="str">
        <f>IF(CSW_FLAG="","",IF(K158="","",K158))</f>
        <v/>
      </c>
      <c r="AK158" s="349"/>
      <c r="AL158" s="349"/>
      <c r="AM158" s="1715" t="str">
        <f>IF(U158="","",IF(U158&gt;Dictionary!$I$52,1,0))</f>
        <v/>
      </c>
      <c r="AO158" s="1589">
        <f>IF('PJM-Report-Scoring'!K149="","",'PJM-Report-Scoring'!K149)</f>
        <v>0</v>
      </c>
      <c r="AP158" s="1589" t="str">
        <f>IF('PGM-Report-Scoring'!K149="","",'PGM-Report-Scoring'!K149)</f>
        <v/>
      </c>
      <c r="AQ158" s="1589" t="str">
        <f>IF('PFM-Report-Scoring'!K149="","",'PFM-Report-Scoring'!K149)</f>
        <v/>
      </c>
      <c r="AR158" s="1589">
        <f>IF(DOMAIN=COV!$T$72,Scoring!AO158,IF(DOMAIN=COV!$T$73,Scoring!AP158,IF(DOMAIN=COV!$T$74,Scoring!AQ158,"")))</f>
        <v>0</v>
      </c>
      <c r="AS158" s="1590">
        <f>IF(AR158="","",AR158)</f>
        <v>0</v>
      </c>
    </row>
    <row r="159" spans="2:45" ht="16">
      <c r="B159" s="1861" t="s">
        <v>338</v>
      </c>
      <c r="C159" s="1862">
        <f>Dictionary!X1453</f>
        <v>3</v>
      </c>
      <c r="D159" s="1863" t="str">
        <f>Dictionary!B1453</f>
        <v>Planung und Steuerung</v>
      </c>
      <c r="E159" s="402">
        <v>4</v>
      </c>
      <c r="F159" s="343"/>
      <c r="G159" s="405"/>
      <c r="H159" s="315"/>
      <c r="I159" s="359"/>
      <c r="J159" s="360"/>
      <c r="K159" s="358"/>
      <c r="L159" s="360"/>
      <c r="M159" s="359"/>
      <c r="N159" s="315"/>
      <c r="O159" s="315"/>
      <c r="P159" s="315"/>
      <c r="Q159" s="359"/>
      <c r="S159" s="359"/>
      <c r="T159" s="356"/>
      <c r="U159" s="346" t="str">
        <f t="shared" si="55"/>
        <v/>
      </c>
      <c r="Y159" s="321"/>
      <c r="AA159" s="321"/>
      <c r="AB159" s="348"/>
      <c r="AC159" s="313"/>
      <c r="AD159" s="321"/>
      <c r="AE159" s="321"/>
      <c r="AF159" s="321"/>
      <c r="AG159" s="321"/>
      <c r="AH159" s="348"/>
      <c r="AI159" s="348"/>
      <c r="AJ159" s="348"/>
      <c r="AK159" s="349">
        <f>COUNTA(D160:D165)-COUNTBLANK(D160:D165)</f>
        <v>6</v>
      </c>
      <c r="AL159" s="349">
        <f>ROUNDUP(AK159/2,0)</f>
        <v>3</v>
      </c>
      <c r="AM159" s="346" t="str">
        <f>IF((COUNTBLANK(AM160:AM165)-COUNTBLANK(D160:D165))=$AK159,"",IF((COUNTIF(AM160:AM165,"&gt;=1")&gt;=AL159),"Pass","Fail"))</f>
        <v/>
      </c>
    </row>
    <row r="160" spans="2:45" ht="54.75" customHeight="1">
      <c r="B160" s="1864" t="str">
        <f>".1"</f>
        <v>.1</v>
      </c>
      <c r="C160" s="1862">
        <f>Dictionary!X1454</f>
        <v>3</v>
      </c>
      <c r="D160" s="1866" t="str">
        <f>Dictionary!B1454</f>
        <v>Projekt starten, Projektmanagement-Plan entwickeln und Zustimmung einholen</v>
      </c>
      <c r="E160" s="408">
        <v>3</v>
      </c>
      <c r="F160" s="352"/>
      <c r="G160" s="667" t="str">
        <f>IF('(8) Exam Evaluation'!Y160="","",'(8) Exam Evaluation'!Y160)</f>
        <v/>
      </c>
      <c r="H160" s="354"/>
      <c r="I160" s="353"/>
      <c r="J160" s="354"/>
      <c r="K160" s="353"/>
      <c r="L160" s="354"/>
      <c r="M160" s="353"/>
      <c r="N160" s="354"/>
      <c r="O160" s="667" t="str">
        <f t="shared" si="39"/>
        <v/>
      </c>
      <c r="P160" s="354"/>
      <c r="Q160" s="353"/>
      <c r="S160" s="353"/>
      <c r="T160" s="356" t="str">
        <f t="shared" ref="T160:T165" si="59">IF(U160&gt;=0,U160,"")</f>
        <v/>
      </c>
      <c r="U160" s="667" t="str">
        <f t="shared" ref="U160:U180" si="60">IF(Q160="",O160,Q160)</f>
        <v/>
      </c>
      <c r="W160" s="1386"/>
      <c r="Y160" s="1386"/>
      <c r="AA160" s="1386"/>
      <c r="AB160" s="348"/>
      <c r="AC160" s="2376"/>
      <c r="AD160" s="2377"/>
      <c r="AE160" s="2377"/>
      <c r="AF160" s="2377"/>
      <c r="AG160" s="2378"/>
      <c r="AH160" s="348"/>
      <c r="AI160" s="348"/>
      <c r="AJ160" s="349" t="str">
        <f t="shared" ref="AJ160:AJ165" si="61">IF(CSW_FLAG="","",IF(K160="","",K160))</f>
        <v/>
      </c>
      <c r="AK160" s="349"/>
      <c r="AL160" s="349"/>
      <c r="AM160" s="1715" t="str">
        <f>IF(U160="","",IF(U160&gt;Dictionary!$I$52,1,0))</f>
        <v/>
      </c>
      <c r="AO160" s="1589" t="str">
        <f>IF('PJM-Report-Scoring'!K151="","",'PJM-Report-Scoring'!K151)</f>
        <v/>
      </c>
      <c r="AP160" s="1589" t="str">
        <f>IF('PGM-Report-Scoring'!K151="","",'PGM-Report-Scoring'!K151)</f>
        <v/>
      </c>
      <c r="AQ160" s="1589" t="str">
        <f>IF('PFM-Report-Scoring'!K151="","",'PFM-Report-Scoring'!K151)</f>
        <v/>
      </c>
      <c r="AR160" s="1589" t="str">
        <f>IF(DOMAIN=COV!$T$72,Scoring!AO160,IF(DOMAIN=COV!$T$73,Scoring!AP160,IF(DOMAIN=COV!$T$74,Scoring!AQ160,"")))</f>
        <v/>
      </c>
      <c r="AS160" s="1589">
        <f t="shared" ref="AS160:AS163" si="62">IF(AR160="",AS161,AR160)</f>
        <v>0</v>
      </c>
    </row>
    <row r="161" spans="2:45" ht="54.75" customHeight="1">
      <c r="B161" s="1864" t="str">
        <f>".2"</f>
        <v>.2</v>
      </c>
      <c r="C161" s="1862">
        <f>Dictionary!X1455</f>
        <v>3</v>
      </c>
      <c r="D161" s="1866" t="str">
        <f>Dictionary!B1455</f>
        <v>Übergang in eine neue Projektphase einleiten und managen</v>
      </c>
      <c r="E161" s="408">
        <v>3</v>
      </c>
      <c r="F161" s="352"/>
      <c r="G161" s="667" t="str">
        <f>IF('(8) Exam Evaluation'!Y161="","",'(8) Exam Evaluation'!Y161)</f>
        <v/>
      </c>
      <c r="H161" s="354"/>
      <c r="I161" s="353"/>
      <c r="J161" s="354"/>
      <c r="K161" s="353"/>
      <c r="L161" s="354"/>
      <c r="M161" s="353"/>
      <c r="N161" s="354"/>
      <c r="O161" s="667" t="str">
        <f t="shared" si="39"/>
        <v/>
      </c>
      <c r="P161" s="354"/>
      <c r="Q161" s="353"/>
      <c r="S161" s="353"/>
      <c r="T161" s="356" t="str">
        <f t="shared" si="59"/>
        <v/>
      </c>
      <c r="U161" s="667" t="str">
        <f t="shared" si="60"/>
        <v/>
      </c>
      <c r="W161" s="1386"/>
      <c r="Y161" s="1386"/>
      <c r="AA161" s="1386"/>
      <c r="AB161" s="348"/>
      <c r="AC161" s="2376"/>
      <c r="AD161" s="2377"/>
      <c r="AE161" s="2377"/>
      <c r="AF161" s="2377"/>
      <c r="AG161" s="2378"/>
      <c r="AH161" s="348"/>
      <c r="AI161" s="348"/>
      <c r="AJ161" s="349" t="str">
        <f t="shared" si="61"/>
        <v/>
      </c>
      <c r="AK161" s="349"/>
      <c r="AL161" s="349"/>
      <c r="AM161" s="1715" t="str">
        <f>IF(U161="","",IF(U161&gt;Dictionary!$I$52,1,0))</f>
        <v/>
      </c>
      <c r="AO161" s="1589" t="str">
        <f>IF('PJM-Report-Scoring'!K152="","",'PJM-Report-Scoring'!K152)</f>
        <v/>
      </c>
      <c r="AP161" s="1589" t="str">
        <f>IF('PGM-Report-Scoring'!K152="","",'PGM-Report-Scoring'!K152)</f>
        <v/>
      </c>
      <c r="AQ161" s="1589" t="str">
        <f>IF('PFM-Report-Scoring'!K152="","",'PFM-Report-Scoring'!K152)</f>
        <v/>
      </c>
      <c r="AR161" s="1589" t="str">
        <f>IF(DOMAIN=COV!$T$72,Scoring!AO161,IF(DOMAIN=COV!$T$73,Scoring!AP161,IF(DOMAIN=COV!$T$74,Scoring!AQ161,"")))</f>
        <v/>
      </c>
      <c r="AS161" s="1589">
        <f t="shared" si="62"/>
        <v>0</v>
      </c>
    </row>
    <row r="162" spans="2:45" ht="54.75" customHeight="1">
      <c r="B162" s="1864" t="str">
        <f>".3"</f>
        <v>.3</v>
      </c>
      <c r="C162" s="1862">
        <f>Dictionary!X1456</f>
        <v>3</v>
      </c>
      <c r="D162" s="1866" t="str">
        <f>Dictionary!B1456</f>
        <v>Projektleistung mit dem Projektplan abgleichen und Korrekturmaßnahmen treffen</v>
      </c>
      <c r="E162" s="408">
        <v>4</v>
      </c>
      <c r="F162" s="352"/>
      <c r="G162" s="667" t="str">
        <f>IF('(8) Exam Evaluation'!Y162="","",'(8) Exam Evaluation'!Y162)</f>
        <v/>
      </c>
      <c r="H162" s="354"/>
      <c r="I162" s="353"/>
      <c r="J162" s="354"/>
      <c r="K162" s="353"/>
      <c r="L162" s="354"/>
      <c r="M162" s="353"/>
      <c r="N162" s="354"/>
      <c r="O162" s="667" t="str">
        <f t="shared" si="39"/>
        <v/>
      </c>
      <c r="P162" s="354"/>
      <c r="Q162" s="353"/>
      <c r="S162" s="353"/>
      <c r="T162" s="356" t="str">
        <f t="shared" si="59"/>
        <v/>
      </c>
      <c r="U162" s="667" t="str">
        <f>IF(Q162="",O162,Q162)</f>
        <v/>
      </c>
      <c r="W162" s="1386"/>
      <c r="Y162" s="1386"/>
      <c r="AA162" s="1386"/>
      <c r="AB162" s="348"/>
      <c r="AC162" s="2376"/>
      <c r="AD162" s="2377"/>
      <c r="AE162" s="2377"/>
      <c r="AF162" s="2377"/>
      <c r="AG162" s="2378"/>
      <c r="AH162" s="348"/>
      <c r="AI162" s="348"/>
      <c r="AJ162" s="349" t="str">
        <f t="shared" si="61"/>
        <v/>
      </c>
      <c r="AK162" s="349"/>
      <c r="AL162" s="349"/>
      <c r="AM162" s="1715" t="str">
        <f>IF(U162="","",IF(U162&gt;Dictionary!$I$52,1,0))</f>
        <v/>
      </c>
      <c r="AO162" s="1589" t="str">
        <f>IF('PJM-Report-Scoring'!K153="","",'PJM-Report-Scoring'!K153)</f>
        <v/>
      </c>
      <c r="AP162" s="1589" t="str">
        <f>IF('PGM-Report-Scoring'!K153="","",'PGM-Report-Scoring'!K153)</f>
        <v/>
      </c>
      <c r="AQ162" s="1589">
        <f>IF('PFM-Report-Scoring'!K153="","",'PFM-Report-Scoring'!K153)</f>
        <v>0</v>
      </c>
      <c r="AR162" s="1589" t="str">
        <f>IF(DOMAIN=COV!$T$72,Scoring!AO162,IF(DOMAIN=COV!$T$73,Scoring!AP162,IF(DOMAIN=COV!$T$74,Scoring!AQ162,"")))</f>
        <v/>
      </c>
      <c r="AS162" s="1589">
        <f t="shared" si="62"/>
        <v>0</v>
      </c>
    </row>
    <row r="163" spans="2:45" ht="54.75" customHeight="1">
      <c r="B163" s="1864" t="str">
        <f>".4"</f>
        <v>.4</v>
      </c>
      <c r="C163" s="1862">
        <f>Dictionary!X1457</f>
        <v>3</v>
      </c>
      <c r="D163" s="1866" t="str">
        <f>Dictionary!B1457</f>
        <v>Bericht über den Projektfortschritt erstatten</v>
      </c>
      <c r="E163" s="408">
        <v>3</v>
      </c>
      <c r="F163" s="352"/>
      <c r="G163" s="667" t="str">
        <f>IF('(8) Exam Evaluation'!Y163="","",'(8) Exam Evaluation'!Y163)</f>
        <v/>
      </c>
      <c r="H163" s="354"/>
      <c r="I163" s="353"/>
      <c r="J163" s="354"/>
      <c r="K163" s="353"/>
      <c r="L163" s="354"/>
      <c r="M163" s="353"/>
      <c r="N163" s="354"/>
      <c r="O163" s="667" t="str">
        <f t="shared" si="39"/>
        <v/>
      </c>
      <c r="P163" s="354"/>
      <c r="Q163" s="353"/>
      <c r="S163" s="353"/>
      <c r="T163" s="356" t="str">
        <f t="shared" si="59"/>
        <v/>
      </c>
      <c r="U163" s="667" t="str">
        <f>IF(Q163="",O163,Q163)</f>
        <v/>
      </c>
      <c r="W163" s="1386"/>
      <c r="Y163" s="1386"/>
      <c r="AA163" s="1386"/>
      <c r="AB163" s="348"/>
      <c r="AC163" s="2376"/>
      <c r="AD163" s="2377"/>
      <c r="AE163" s="2377"/>
      <c r="AF163" s="2377"/>
      <c r="AG163" s="2378"/>
      <c r="AH163" s="348"/>
      <c r="AI163" s="348"/>
      <c r="AJ163" s="349" t="str">
        <f t="shared" si="61"/>
        <v/>
      </c>
      <c r="AK163" s="349"/>
      <c r="AL163" s="349"/>
      <c r="AM163" s="1715" t="str">
        <f>IF(U163="","",IF(U163&gt;Dictionary!$I$52,1,0))</f>
        <v/>
      </c>
      <c r="AO163" s="1589" t="str">
        <f>IF('PJM-Report-Scoring'!K154="","",'PJM-Report-Scoring'!K154)</f>
        <v/>
      </c>
      <c r="AP163" s="1589" t="str">
        <f>IF('PGM-Report-Scoring'!K154="","",'PGM-Report-Scoring'!K154)</f>
        <v/>
      </c>
      <c r="AQ163" s="1589" t="str">
        <f>IF('PFM-Report-Scoring'!K154="","",'PFM-Report-Scoring'!K154)</f>
        <v/>
      </c>
      <c r="AR163" s="1589" t="str">
        <f>IF(DOMAIN=COV!$T$72,Scoring!AO163,IF(DOMAIN=COV!$T$73,Scoring!AP163,IF(DOMAIN=COV!$T$74,Scoring!AQ163,"")))</f>
        <v/>
      </c>
      <c r="AS163" s="1589">
        <f t="shared" si="62"/>
        <v>0</v>
      </c>
    </row>
    <row r="164" spans="2:45" ht="54.75" customHeight="1">
      <c r="B164" s="1864" t="str">
        <f>".5"</f>
        <v>.5</v>
      </c>
      <c r="C164" s="1862">
        <f>Dictionary!X1458</f>
        <v>3</v>
      </c>
      <c r="D164" s="1866" t="str">
        <f>Dictionary!B1458</f>
        <v>Projektänderungen beurteilen, Zustimmung für diese einholen und sie implementieren</v>
      </c>
      <c r="E164" s="408">
        <v>3</v>
      </c>
      <c r="F164" s="352"/>
      <c r="G164" s="667" t="str">
        <f>IF('(8) Exam Evaluation'!Y164="","",'(8) Exam Evaluation'!Y164)</f>
        <v/>
      </c>
      <c r="H164" s="354"/>
      <c r="I164" s="353"/>
      <c r="J164" s="354"/>
      <c r="K164" s="353"/>
      <c r="L164" s="354"/>
      <c r="M164" s="353"/>
      <c r="N164" s="354"/>
      <c r="O164" s="667" t="str">
        <f t="shared" si="39"/>
        <v/>
      </c>
      <c r="P164" s="354"/>
      <c r="Q164" s="353"/>
      <c r="S164" s="353"/>
      <c r="T164" s="356" t="str">
        <f t="shared" si="59"/>
        <v/>
      </c>
      <c r="U164" s="667" t="str">
        <f t="shared" si="60"/>
        <v/>
      </c>
      <c r="W164" s="1386"/>
      <c r="Y164" s="1386"/>
      <c r="AA164" s="1386"/>
      <c r="AB164" s="348"/>
      <c r="AC164" s="2376"/>
      <c r="AD164" s="2377"/>
      <c r="AE164" s="2377"/>
      <c r="AF164" s="2377"/>
      <c r="AG164" s="2378"/>
      <c r="AH164" s="348"/>
      <c r="AI164" s="348"/>
      <c r="AJ164" s="349" t="str">
        <f t="shared" si="61"/>
        <v/>
      </c>
      <c r="AK164" s="349"/>
      <c r="AL164" s="349"/>
      <c r="AM164" s="1715" t="str">
        <f>IF(U164="","",IF(U164&gt;Dictionary!$I$52,1,0))</f>
        <v/>
      </c>
      <c r="AO164" s="1589" t="str">
        <f>IF('PJM-Report-Scoring'!K155="","",'PJM-Report-Scoring'!K155)</f>
        <v/>
      </c>
      <c r="AP164" s="1589">
        <f>IF('PGM-Report-Scoring'!K155="","",'PGM-Report-Scoring'!K155)</f>
        <v>0</v>
      </c>
      <c r="AQ164" s="1589" t="str">
        <f>IF('PFM-Report-Scoring'!K155="","",'PFM-Report-Scoring'!K155)</f>
        <v/>
      </c>
      <c r="AR164" s="1589" t="str">
        <f>IF(DOMAIN=COV!$T$72,Scoring!AO164,IF(DOMAIN=COV!$T$73,Scoring!AP164,IF(DOMAIN=COV!$T$74,Scoring!AQ164,"")))</f>
        <v/>
      </c>
      <c r="AS164" s="1589">
        <f>IF(AR164="",AS165,AR164)</f>
        <v>0</v>
      </c>
    </row>
    <row r="165" spans="2:45" ht="54.75" customHeight="1">
      <c r="B165" s="1864" t="str">
        <f>".6"</f>
        <v>.6</v>
      </c>
      <c r="C165" s="1862">
        <f>Dictionary!X1459</f>
        <v>3</v>
      </c>
      <c r="D165" s="1866" t="str">
        <f>Dictionary!B1459</f>
        <v>Eine Phase oder das Projekt abschließen und evaluieren</v>
      </c>
      <c r="E165" s="408">
        <v>3</v>
      </c>
      <c r="F165" s="352"/>
      <c r="G165" s="667" t="str">
        <f>IF('(8) Exam Evaluation'!Y165="","",'(8) Exam Evaluation'!Y165)</f>
        <v/>
      </c>
      <c r="H165" s="354"/>
      <c r="I165" s="353"/>
      <c r="J165" s="354"/>
      <c r="K165" s="353"/>
      <c r="L165" s="354"/>
      <c r="M165" s="353"/>
      <c r="N165" s="354"/>
      <c r="O165" s="667" t="str">
        <f t="shared" si="39"/>
        <v/>
      </c>
      <c r="P165" s="354"/>
      <c r="Q165" s="353"/>
      <c r="S165" s="353"/>
      <c r="T165" s="356" t="str">
        <f t="shared" si="59"/>
        <v/>
      </c>
      <c r="U165" s="667" t="str">
        <f t="shared" si="60"/>
        <v/>
      </c>
      <c r="W165" s="1386"/>
      <c r="Y165" s="1386"/>
      <c r="AA165" s="1386"/>
      <c r="AB165" s="348"/>
      <c r="AC165" s="2376"/>
      <c r="AD165" s="2377"/>
      <c r="AE165" s="2377"/>
      <c r="AF165" s="2377"/>
      <c r="AG165" s="2378"/>
      <c r="AH165" s="348"/>
      <c r="AI165" s="348"/>
      <c r="AJ165" s="349" t="str">
        <f t="shared" si="61"/>
        <v/>
      </c>
      <c r="AK165" s="349"/>
      <c r="AL165" s="349"/>
      <c r="AM165" s="1715" t="str">
        <f>IF(U165="","",IF(U165&gt;Dictionary!$I$52,1,0))</f>
        <v/>
      </c>
      <c r="AO165" s="1589">
        <f>IF('PJM-Report-Scoring'!K156="","",'PJM-Report-Scoring'!K156)</f>
        <v>0</v>
      </c>
      <c r="AP165" s="1589" t="str">
        <f>IF('PGM-Report-Scoring'!K156="","",'PGM-Report-Scoring'!K156)</f>
        <v/>
      </c>
      <c r="AQ165" s="1589" t="str">
        <f>IF('PFM-Report-Scoring'!K156="","",'PFM-Report-Scoring'!K156)</f>
        <v/>
      </c>
      <c r="AR165" s="1589">
        <f>IF(DOMAIN=COV!$T$72,Scoring!AO165,IF(DOMAIN=COV!$T$73,Scoring!AP165,IF(DOMAIN=COV!$T$74,Scoring!AQ165,"")))</f>
        <v>0</v>
      </c>
      <c r="AS165" s="1590">
        <f>IF(AR165="","",AR165)</f>
        <v>0</v>
      </c>
    </row>
    <row r="166" spans="2:45" ht="16">
      <c r="B166" s="1861" t="s">
        <v>331</v>
      </c>
      <c r="C166" s="1862">
        <f>Dictionary!X1462</f>
        <v>3</v>
      </c>
      <c r="D166" s="1863" t="str">
        <f>Dictionary!B1462</f>
        <v>Risiken und Chancen</v>
      </c>
      <c r="E166" s="402">
        <v>3</v>
      </c>
      <c r="F166" s="343"/>
      <c r="G166" s="405"/>
      <c r="H166" s="315"/>
      <c r="I166" s="359"/>
      <c r="J166" s="360"/>
      <c r="K166" s="358"/>
      <c r="L166" s="360"/>
      <c r="M166" s="359"/>
      <c r="N166" s="315"/>
      <c r="O166" s="315"/>
      <c r="P166" s="315"/>
      <c r="Q166" s="359"/>
      <c r="S166" s="359"/>
      <c r="T166" s="356"/>
      <c r="U166" s="346" t="str">
        <f t="shared" si="55"/>
        <v/>
      </c>
      <c r="Y166" s="321"/>
      <c r="AA166" s="321"/>
      <c r="AB166" s="348"/>
      <c r="AC166" s="313"/>
      <c r="AD166" s="321"/>
      <c r="AE166" s="321"/>
      <c r="AF166" s="321"/>
      <c r="AG166" s="321"/>
      <c r="AH166" s="348"/>
      <c r="AI166" s="348"/>
      <c r="AJ166" s="348"/>
      <c r="AK166" s="349">
        <f>COUNTA(D167:D171)-COUNTBLANK(D167:D171)</f>
        <v>5</v>
      </c>
      <c r="AL166" s="349">
        <f>ROUNDUP(AK166/2,0)</f>
        <v>3</v>
      </c>
      <c r="AM166" s="346" t="str">
        <f>IF((COUNTBLANK(AM167:AM171)-COUNTBLANK(D167:D171))=$AK166,"",IF((COUNTIF(AM167:AM171,"&gt;=1")&gt;=AL166),"Pass","Fail"))</f>
        <v/>
      </c>
    </row>
    <row r="167" spans="2:45" ht="54.75" customHeight="1">
      <c r="B167" s="1864" t="str">
        <f>".1"</f>
        <v>.1</v>
      </c>
      <c r="C167" s="1862">
        <f>Dictionary!X1463</f>
        <v>3</v>
      </c>
      <c r="D167" s="1866" t="str">
        <f>Dictionary!B1463</f>
        <v>Chancen- und Risikomanagementstruktur entwickeln und implementieren</v>
      </c>
      <c r="E167" s="408">
        <v>3</v>
      </c>
      <c r="F167" s="352"/>
      <c r="G167" s="667" t="str">
        <f>IF('(8) Exam Evaluation'!Y167="","",'(8) Exam Evaluation'!Y167)</f>
        <v/>
      </c>
      <c r="H167" s="354"/>
      <c r="I167" s="353"/>
      <c r="J167" s="354"/>
      <c r="K167" s="353"/>
      <c r="L167" s="354"/>
      <c r="M167" s="353"/>
      <c r="N167" s="354"/>
      <c r="O167" s="667" t="str">
        <f t="shared" si="39"/>
        <v/>
      </c>
      <c r="P167" s="354"/>
      <c r="Q167" s="353"/>
      <c r="S167" s="353"/>
      <c r="T167" s="356" t="str">
        <f>IF(U167&gt;=0,U167,"")</f>
        <v/>
      </c>
      <c r="U167" s="667" t="str">
        <f t="shared" si="60"/>
        <v/>
      </c>
      <c r="W167" s="1386"/>
      <c r="Y167" s="1386"/>
      <c r="AA167" s="1386"/>
      <c r="AB167" s="348"/>
      <c r="AC167" s="2376"/>
      <c r="AD167" s="2377"/>
      <c r="AE167" s="2377"/>
      <c r="AF167" s="2377"/>
      <c r="AG167" s="2378"/>
      <c r="AH167" s="348"/>
      <c r="AI167" s="348"/>
      <c r="AJ167" s="349" t="str">
        <f>IF(CSW_FLAG="","",IF(K167="","",K167))</f>
        <v/>
      </c>
      <c r="AK167" s="349"/>
      <c r="AL167" s="349"/>
      <c r="AM167" s="1715" t="str">
        <f>IF(U167="","",IF(U167&gt;Dictionary!$I$52,1,0))</f>
        <v/>
      </c>
      <c r="AO167" s="1589" t="str">
        <f>IF('PJM-Report-Scoring'!K158="","",'PJM-Report-Scoring'!K158)</f>
        <v/>
      </c>
      <c r="AP167" s="1589" t="str">
        <f>IF('PGM-Report-Scoring'!K158="","",'PGM-Report-Scoring'!K158)</f>
        <v/>
      </c>
      <c r="AQ167" s="1589" t="str">
        <f>IF('PFM-Report-Scoring'!K158="","",'PFM-Report-Scoring'!K158)</f>
        <v/>
      </c>
      <c r="AR167" s="1589" t="str">
        <f>IF(DOMAIN=COV!$T$72,Scoring!AO167,IF(DOMAIN=COV!$T$73,Scoring!AP167,IF(DOMAIN=COV!$T$74,Scoring!AQ167,"")))</f>
        <v/>
      </c>
      <c r="AS167" s="1589">
        <f t="shared" ref="AS167:AS169" si="63">IF(AR167="",AS168,AR167)</f>
        <v>0</v>
      </c>
    </row>
    <row r="168" spans="2:45" ht="54.75" customHeight="1">
      <c r="B168" s="1864" t="str">
        <f>".2"</f>
        <v>.2</v>
      </c>
      <c r="C168" s="1862">
        <f>Dictionary!X1464</f>
        <v>3</v>
      </c>
      <c r="D168" s="1866" t="str">
        <f>Dictionary!B1464</f>
        <v>Chancen und Risiken identifizieren</v>
      </c>
      <c r="E168" s="408">
        <v>3</v>
      </c>
      <c r="F168" s="352"/>
      <c r="G168" s="667" t="str">
        <f>IF('(8) Exam Evaluation'!Y168="","",'(8) Exam Evaluation'!Y168)</f>
        <v/>
      </c>
      <c r="H168" s="354"/>
      <c r="I168" s="353"/>
      <c r="J168" s="354"/>
      <c r="K168" s="353"/>
      <c r="L168" s="354"/>
      <c r="M168" s="353"/>
      <c r="N168" s="354"/>
      <c r="O168" s="667" t="str">
        <f t="shared" si="39"/>
        <v/>
      </c>
      <c r="P168" s="354"/>
      <c r="Q168" s="353"/>
      <c r="S168" s="353"/>
      <c r="T168" s="356" t="str">
        <f>IF(U168&gt;=0,U168,"")</f>
        <v/>
      </c>
      <c r="U168" s="667" t="str">
        <f t="shared" si="60"/>
        <v/>
      </c>
      <c r="W168" s="1386"/>
      <c r="Y168" s="1386"/>
      <c r="AA168" s="1386"/>
      <c r="AB168" s="348"/>
      <c r="AC168" s="2376"/>
      <c r="AD168" s="2377"/>
      <c r="AE168" s="2377"/>
      <c r="AF168" s="2377"/>
      <c r="AG168" s="2378"/>
      <c r="AH168" s="348"/>
      <c r="AI168" s="348"/>
      <c r="AJ168" s="349" t="str">
        <f>IF(CSW_FLAG="","",IF(K168="","",K168))</f>
        <v/>
      </c>
      <c r="AK168" s="349"/>
      <c r="AL168" s="349"/>
      <c r="AM168" s="1715" t="str">
        <f>IF(U168="","",IF(U168&gt;Dictionary!$I$52,1,0))</f>
        <v/>
      </c>
      <c r="AO168" s="1589" t="str">
        <f>IF('PJM-Report-Scoring'!K159="","",'PJM-Report-Scoring'!K159)</f>
        <v/>
      </c>
      <c r="AP168" s="1589" t="str">
        <f>IF('PGM-Report-Scoring'!K159="","",'PGM-Report-Scoring'!K159)</f>
        <v/>
      </c>
      <c r="AQ168" s="1589" t="str">
        <f>IF('PFM-Report-Scoring'!K159="","",'PFM-Report-Scoring'!K159)</f>
        <v/>
      </c>
      <c r="AR168" s="1589" t="str">
        <f>IF(DOMAIN=COV!$T$72,Scoring!AO168,IF(DOMAIN=COV!$T$73,Scoring!AP168,IF(DOMAIN=COV!$T$74,Scoring!AQ168,"")))</f>
        <v/>
      </c>
      <c r="AS168" s="1589">
        <f t="shared" si="63"/>
        <v>0</v>
      </c>
    </row>
    <row r="169" spans="2:45" ht="54.75" customHeight="1">
      <c r="B169" s="1864" t="str">
        <f>".3"</f>
        <v>.3</v>
      </c>
      <c r="C169" s="1862">
        <f>Dictionary!X1465</f>
        <v>3</v>
      </c>
      <c r="D169" s="1866" t="str">
        <f>Dictionary!B1465</f>
        <v>Wahrscheinlichkeit und Auswirkungen von Chancen und Risiken analysieren</v>
      </c>
      <c r="E169" s="408">
        <v>3</v>
      </c>
      <c r="F169" s="352"/>
      <c r="G169" s="667" t="str">
        <f>IF('(8) Exam Evaluation'!Y169="","",'(8) Exam Evaluation'!Y169)</f>
        <v/>
      </c>
      <c r="H169" s="354"/>
      <c r="I169" s="353"/>
      <c r="J169" s="354"/>
      <c r="K169" s="353"/>
      <c r="L169" s="354"/>
      <c r="M169" s="353"/>
      <c r="N169" s="354"/>
      <c r="O169" s="667" t="str">
        <f t="shared" si="39"/>
        <v/>
      </c>
      <c r="P169" s="354"/>
      <c r="Q169" s="353"/>
      <c r="S169" s="353"/>
      <c r="T169" s="356" t="str">
        <f>IF(U169&gt;=0,U169,"")</f>
        <v/>
      </c>
      <c r="U169" s="667" t="str">
        <f>IF(Q169="",O169,Q169)</f>
        <v/>
      </c>
      <c r="W169" s="1386"/>
      <c r="Y169" s="1386"/>
      <c r="AA169" s="1386"/>
      <c r="AB169" s="348"/>
      <c r="AC169" s="2376"/>
      <c r="AD169" s="2377"/>
      <c r="AE169" s="2377"/>
      <c r="AF169" s="2377"/>
      <c r="AG169" s="2378"/>
      <c r="AH169" s="348"/>
      <c r="AI169" s="348"/>
      <c r="AJ169" s="349" t="str">
        <f>IF(CSW_FLAG="","",IF(K169="","",K169))</f>
        <v/>
      </c>
      <c r="AK169" s="349"/>
      <c r="AL169" s="349"/>
      <c r="AM169" s="1715" t="str">
        <f>IF(U169="","",IF(U169&gt;Dictionary!$I$52,1,0))</f>
        <v/>
      </c>
      <c r="AO169" s="1589" t="str">
        <f>IF('PJM-Report-Scoring'!K160="","",'PJM-Report-Scoring'!K160)</f>
        <v/>
      </c>
      <c r="AP169" s="1589" t="str">
        <f>IF('PGM-Report-Scoring'!K160="","",'PGM-Report-Scoring'!K160)</f>
        <v/>
      </c>
      <c r="AQ169" s="1589" t="str">
        <f>IF('PFM-Report-Scoring'!K160="","",'PFM-Report-Scoring'!K160)</f>
        <v/>
      </c>
      <c r="AR169" s="1589" t="str">
        <f>IF(DOMAIN=COV!$T$72,Scoring!AO169,IF(DOMAIN=COV!$T$73,Scoring!AP169,IF(DOMAIN=COV!$T$74,Scoring!AQ169,"")))</f>
        <v/>
      </c>
      <c r="AS169" s="1589">
        <f t="shared" si="63"/>
        <v>0</v>
      </c>
    </row>
    <row r="170" spans="2:45" ht="54.75" customHeight="1">
      <c r="B170" s="1864" t="str">
        <f>".4"</f>
        <v>.4</v>
      </c>
      <c r="C170" s="1862">
        <f>Dictionary!X1466</f>
        <v>3</v>
      </c>
      <c r="D170" s="1866" t="str">
        <f>Dictionary!B1466</f>
        <v>Strategien auswählen und Maßnahmen implementieren, um Chancen und Risiken zu adressieren</v>
      </c>
      <c r="E170" s="408">
        <v>3</v>
      </c>
      <c r="F170" s="352"/>
      <c r="G170" s="667" t="str">
        <f>IF('(8) Exam Evaluation'!Y170="","",'(8) Exam Evaluation'!Y170)</f>
        <v/>
      </c>
      <c r="H170" s="354"/>
      <c r="I170" s="353"/>
      <c r="J170" s="354"/>
      <c r="K170" s="353"/>
      <c r="L170" s="354"/>
      <c r="M170" s="353"/>
      <c r="N170" s="354"/>
      <c r="O170" s="667" t="str">
        <f t="shared" ref="O170:O189" si="64">IF(AND(G170="",I170="",AJ170="",M170=""),"",MAX(G170,I170,AJ170,M170))</f>
        <v/>
      </c>
      <c r="P170" s="354"/>
      <c r="Q170" s="353"/>
      <c r="S170" s="353"/>
      <c r="T170" s="356" t="str">
        <f>IF(U170&gt;=0,U170,"")</f>
        <v/>
      </c>
      <c r="U170" s="667" t="str">
        <f>IF(Q170="",O170,Q170)</f>
        <v/>
      </c>
      <c r="W170" s="1386"/>
      <c r="Y170" s="1386"/>
      <c r="AA170" s="1386"/>
      <c r="AB170" s="348"/>
      <c r="AC170" s="2376"/>
      <c r="AD170" s="2377"/>
      <c r="AE170" s="2377"/>
      <c r="AF170" s="2377"/>
      <c r="AG170" s="2378"/>
      <c r="AH170" s="348"/>
      <c r="AI170" s="348"/>
      <c r="AJ170" s="349" t="str">
        <f>IF(CSW_FLAG="","",IF(K170="","",K170))</f>
        <v/>
      </c>
      <c r="AK170" s="349"/>
      <c r="AL170" s="349"/>
      <c r="AM170" s="1715" t="str">
        <f>IF(U170="","",IF(U170&gt;Dictionary!$I$52,1,0))</f>
        <v/>
      </c>
      <c r="AO170" s="1589" t="str">
        <f>IF('PJM-Report-Scoring'!K161="","",'PJM-Report-Scoring'!K161)</f>
        <v/>
      </c>
      <c r="AP170" s="1589" t="str">
        <f>IF('PGM-Report-Scoring'!K161="","",'PGM-Report-Scoring'!K161)</f>
        <v/>
      </c>
      <c r="AQ170" s="1589" t="str">
        <f>IF('PFM-Report-Scoring'!K161="","",'PFM-Report-Scoring'!K161)</f>
        <v/>
      </c>
      <c r="AR170" s="1589" t="str">
        <f>IF(DOMAIN=COV!$T$72,Scoring!AO170,IF(DOMAIN=COV!$T$73,Scoring!AP170,IF(DOMAIN=COV!$T$74,Scoring!AQ170,"")))</f>
        <v/>
      </c>
      <c r="AS170" s="1589">
        <f>IF(AR170="",AS171,AR170)</f>
        <v>0</v>
      </c>
    </row>
    <row r="171" spans="2:45" ht="54.75" customHeight="1">
      <c r="B171" s="1864" t="str">
        <f>".5"</f>
        <v>.5</v>
      </c>
      <c r="C171" s="1862">
        <f>Dictionary!X1467</f>
        <v>2</v>
      </c>
      <c r="D171" s="1866" t="str">
        <f>Dictionary!B1467</f>
        <v>Chancen, Risiken und implementierte Maßnahmen evaluieren und überwachen</v>
      </c>
      <c r="E171" s="408">
        <v>3</v>
      </c>
      <c r="F171" s="352"/>
      <c r="G171" s="667" t="str">
        <f>IF('(8) Exam Evaluation'!Y171="","",'(8) Exam Evaluation'!Y171)</f>
        <v/>
      </c>
      <c r="H171" s="354"/>
      <c r="I171" s="353"/>
      <c r="J171" s="354"/>
      <c r="K171" s="353"/>
      <c r="L171" s="354"/>
      <c r="M171" s="353"/>
      <c r="N171" s="354"/>
      <c r="O171" s="667" t="str">
        <f t="shared" si="64"/>
        <v/>
      </c>
      <c r="P171" s="354"/>
      <c r="Q171" s="353"/>
      <c r="S171" s="353"/>
      <c r="T171" s="356" t="str">
        <f>IF(U171&gt;=0,U171,"")</f>
        <v/>
      </c>
      <c r="U171" s="667" t="str">
        <f t="shared" si="60"/>
        <v/>
      </c>
      <c r="W171" s="1386"/>
      <c r="Y171" s="1386"/>
      <c r="AA171" s="1386"/>
      <c r="AB171" s="348"/>
      <c r="AC171" s="2376"/>
      <c r="AD171" s="2377"/>
      <c r="AE171" s="2377"/>
      <c r="AF171" s="2377"/>
      <c r="AG171" s="2378"/>
      <c r="AH171" s="348"/>
      <c r="AI171" s="348"/>
      <c r="AJ171" s="349" t="str">
        <f>IF(CSW_FLAG="","",IF(K171="","",K171))</f>
        <v/>
      </c>
      <c r="AK171" s="349"/>
      <c r="AL171" s="349"/>
      <c r="AM171" s="1715" t="str">
        <f>IF(U171="","",IF(U171&gt;Dictionary!$I$52,1,0))</f>
        <v/>
      </c>
      <c r="AO171" s="1589">
        <f>IF('PJM-Report-Scoring'!K162="","",'PJM-Report-Scoring'!K162)</f>
        <v>0</v>
      </c>
      <c r="AP171" s="1589">
        <f>IF('PGM-Report-Scoring'!K162="","",'PGM-Report-Scoring'!K162)</f>
        <v>0</v>
      </c>
      <c r="AQ171" s="1589">
        <f>IF('PFM-Report-Scoring'!K162="","",'PFM-Report-Scoring'!K162)</f>
        <v>0</v>
      </c>
      <c r="AR171" s="1589">
        <f>IF(DOMAIN=COV!$T$72,Scoring!AO171,IF(DOMAIN=COV!$T$73,Scoring!AP171,IF(DOMAIN=COV!$T$74,Scoring!AQ171,"")))</f>
        <v>0</v>
      </c>
      <c r="AS171" s="1590">
        <f>IF(AR171="","",AR171)</f>
        <v>0</v>
      </c>
    </row>
    <row r="172" spans="2:45" ht="16">
      <c r="B172" s="1861" t="s">
        <v>325</v>
      </c>
      <c r="C172" s="1862">
        <f>Dictionary!X1470</f>
        <v>3</v>
      </c>
      <c r="D172" s="1863" t="str">
        <f>Dictionary!B1470</f>
        <v>Stakeholder</v>
      </c>
      <c r="E172" s="402">
        <v>3</v>
      </c>
      <c r="F172" s="343"/>
      <c r="G172" s="405"/>
      <c r="H172" s="315"/>
      <c r="I172" s="359"/>
      <c r="J172" s="360"/>
      <c r="K172" s="358"/>
      <c r="L172" s="360"/>
      <c r="M172" s="359"/>
      <c r="N172" s="315"/>
      <c r="O172" s="315"/>
      <c r="P172" s="315"/>
      <c r="Q172" s="359"/>
      <c r="S172" s="359"/>
      <c r="T172" s="356"/>
      <c r="U172" s="346" t="str">
        <f t="shared" si="55"/>
        <v/>
      </c>
      <c r="Y172" s="321"/>
      <c r="AA172" s="321"/>
      <c r="AB172" s="348"/>
      <c r="AC172" s="313"/>
      <c r="AD172" s="321"/>
      <c r="AE172" s="321"/>
      <c r="AF172" s="321"/>
      <c r="AG172" s="321"/>
      <c r="AH172" s="348"/>
      <c r="AI172" s="348"/>
      <c r="AJ172" s="348"/>
      <c r="AK172" s="349">
        <f>COUNTA(D173:D177)-COUNTBLANK(D173:D177)</f>
        <v>5</v>
      </c>
      <c r="AL172" s="349">
        <f>ROUNDUP(AK172/2,0)</f>
        <v>3</v>
      </c>
      <c r="AM172" s="346" t="str">
        <f>IF((COUNTBLANK(AM173:AM177)-COUNTBLANK(D173:D177))=$AK172,"",IF((COUNTIF(AM173:AM177,"&gt;=1")&gt;=AL172),"Pass","Fail"))</f>
        <v/>
      </c>
    </row>
    <row r="173" spans="2:45" ht="54.75" customHeight="1">
      <c r="B173" s="1864" t="str">
        <f>".1"</f>
        <v>.1</v>
      </c>
      <c r="C173" s="1862">
        <f>Dictionary!X1471</f>
        <v>3</v>
      </c>
      <c r="D173" s="1866" t="str">
        <f>Dictionary!B1471</f>
        <v>Stakeholder identifizieren und ihre Interessen sowie ihren Einfluss analysieren</v>
      </c>
      <c r="E173" s="408">
        <v>3</v>
      </c>
      <c r="F173" s="352"/>
      <c r="G173" s="667" t="str">
        <f>IF('(8) Exam Evaluation'!Y173="","",'(8) Exam Evaluation'!Y173)</f>
        <v/>
      </c>
      <c r="H173" s="354"/>
      <c r="I173" s="353"/>
      <c r="J173" s="354"/>
      <c r="K173" s="353"/>
      <c r="L173" s="354"/>
      <c r="M173" s="353"/>
      <c r="N173" s="354"/>
      <c r="O173" s="667" t="str">
        <f t="shared" si="64"/>
        <v/>
      </c>
      <c r="P173" s="354"/>
      <c r="Q173" s="353"/>
      <c r="S173" s="353"/>
      <c r="T173" s="356" t="str">
        <f>IF(U173&gt;=0,U173,"")</f>
        <v/>
      </c>
      <c r="U173" s="667" t="str">
        <f t="shared" si="60"/>
        <v/>
      </c>
      <c r="W173" s="1386"/>
      <c r="Y173" s="1386"/>
      <c r="AA173" s="1386"/>
      <c r="AB173" s="348"/>
      <c r="AC173" s="2376"/>
      <c r="AD173" s="2377"/>
      <c r="AE173" s="2377"/>
      <c r="AF173" s="2377"/>
      <c r="AG173" s="2378"/>
      <c r="AH173" s="348"/>
      <c r="AI173" s="348"/>
      <c r="AJ173" s="349" t="str">
        <f>IF(CSW_FLAG="","",IF(K173="","",K173))</f>
        <v/>
      </c>
      <c r="AK173" s="349"/>
      <c r="AL173" s="349"/>
      <c r="AM173" s="1715" t="str">
        <f>IF(U173="","",IF(U173&gt;Dictionary!$I$52,1,0))</f>
        <v/>
      </c>
      <c r="AO173" s="1589" t="str">
        <f>IF('PJM-Report-Scoring'!K164="","",'PJM-Report-Scoring'!K164)</f>
        <v/>
      </c>
      <c r="AP173" s="1589" t="str">
        <f>IF('PGM-Report-Scoring'!K164="","",'PGM-Report-Scoring'!K164)</f>
        <v/>
      </c>
      <c r="AQ173" s="1589" t="str">
        <f>IF('PFM-Report-Scoring'!K164="","",'PFM-Report-Scoring'!K164)</f>
        <v/>
      </c>
      <c r="AR173" s="1589" t="str">
        <f>IF(DOMAIN=COV!$T$72,Scoring!AO173,IF(DOMAIN=COV!$T$73,Scoring!AP173,IF(DOMAIN=COV!$T$74,Scoring!AQ173,"")))</f>
        <v/>
      </c>
      <c r="AS173" s="1589">
        <f t="shared" ref="AS173:AS175" si="65">IF(AR173="",AS174,AR173)</f>
        <v>0</v>
      </c>
    </row>
    <row r="174" spans="2:45" ht="54.75" customHeight="1">
      <c r="B174" s="1864" t="str">
        <f>".2"</f>
        <v>.2</v>
      </c>
      <c r="C174" s="1862">
        <f>Dictionary!X1472</f>
        <v>3</v>
      </c>
      <c r="D174" s="1866" t="str">
        <f>Dictionary!B1472</f>
        <v>Stakeholderstrategie und einen Kommunikationsplan entwickeln und aufrechterhalten</v>
      </c>
      <c r="E174" s="408">
        <v>3</v>
      </c>
      <c r="F174" s="352"/>
      <c r="G174" s="667" t="str">
        <f>IF('(8) Exam Evaluation'!Y174="","",'(8) Exam Evaluation'!Y174)</f>
        <v/>
      </c>
      <c r="H174" s="354"/>
      <c r="I174" s="353"/>
      <c r="J174" s="354"/>
      <c r="K174" s="353"/>
      <c r="L174" s="354"/>
      <c r="M174" s="353"/>
      <c r="N174" s="354"/>
      <c r="O174" s="667" t="str">
        <f t="shared" si="64"/>
        <v/>
      </c>
      <c r="P174" s="354"/>
      <c r="Q174" s="353"/>
      <c r="S174" s="353"/>
      <c r="T174" s="356" t="str">
        <f>IF(U174&gt;=0,U174,"")</f>
        <v/>
      </c>
      <c r="U174" s="667" t="str">
        <f t="shared" si="60"/>
        <v/>
      </c>
      <c r="W174" s="1386"/>
      <c r="Y174" s="1386"/>
      <c r="AA174" s="1386"/>
      <c r="AB174" s="348"/>
      <c r="AC174" s="2376"/>
      <c r="AD174" s="2377"/>
      <c r="AE174" s="2377"/>
      <c r="AF174" s="2377"/>
      <c r="AG174" s="2378"/>
      <c r="AH174" s="348"/>
      <c r="AI174" s="348"/>
      <c r="AJ174" s="349" t="str">
        <f>IF(CSW_FLAG="","",IF(K174="","",K174))</f>
        <v/>
      </c>
      <c r="AK174" s="349"/>
      <c r="AL174" s="349"/>
      <c r="AM174" s="1715" t="str">
        <f>IF(U174="","",IF(U174&gt;Dictionary!$I$52,1,0))</f>
        <v/>
      </c>
      <c r="AO174" s="1589" t="str">
        <f>IF('PJM-Report-Scoring'!K165="","",'PJM-Report-Scoring'!K165)</f>
        <v/>
      </c>
      <c r="AP174" s="1589" t="str">
        <f>IF('PGM-Report-Scoring'!K165="","",'PGM-Report-Scoring'!K165)</f>
        <v/>
      </c>
      <c r="AQ174" s="1589" t="str">
        <f>IF('PFM-Report-Scoring'!K165="","",'PFM-Report-Scoring'!K165)</f>
        <v/>
      </c>
      <c r="AR174" s="1589" t="str">
        <f>IF(DOMAIN=COV!$T$72,Scoring!AO174,IF(DOMAIN=COV!$T$73,Scoring!AP174,IF(DOMAIN=COV!$T$74,Scoring!AQ174,"")))</f>
        <v/>
      </c>
      <c r="AS174" s="1589">
        <f t="shared" si="65"/>
        <v>0</v>
      </c>
    </row>
    <row r="175" spans="2:45" ht="54.75" customHeight="1">
      <c r="B175" s="1864" t="str">
        <f>".3"</f>
        <v>.3</v>
      </c>
      <c r="C175" s="1862">
        <f>Dictionary!X1473</f>
        <v>3</v>
      </c>
      <c r="D175" s="1866" t="str">
        <f>Dictionary!B1473</f>
        <v>Geschäftsführung, Auftraggeber und höheres Management einbinden, um Commitment zu erreichen und um Interessen und Erwartungen zu managen</v>
      </c>
      <c r="E175" s="408">
        <v>3</v>
      </c>
      <c r="F175" s="352"/>
      <c r="G175" s="667" t="str">
        <f>IF('(8) Exam Evaluation'!Y175="","",'(8) Exam Evaluation'!Y175)</f>
        <v/>
      </c>
      <c r="H175" s="354"/>
      <c r="I175" s="353"/>
      <c r="J175" s="354"/>
      <c r="K175" s="353"/>
      <c r="L175" s="354"/>
      <c r="M175" s="353"/>
      <c r="N175" s="354"/>
      <c r="O175" s="667" t="str">
        <f t="shared" si="64"/>
        <v/>
      </c>
      <c r="P175" s="354"/>
      <c r="Q175" s="353"/>
      <c r="S175" s="353"/>
      <c r="T175" s="356" t="str">
        <f>IF(U175&gt;=0,U175,"")</f>
        <v/>
      </c>
      <c r="U175" s="667" t="str">
        <f>IF(Q175="",O175,Q175)</f>
        <v/>
      </c>
      <c r="W175" s="1386"/>
      <c r="Y175" s="1386"/>
      <c r="AA175" s="1386"/>
      <c r="AB175" s="348"/>
      <c r="AC175" s="2376"/>
      <c r="AD175" s="2377"/>
      <c r="AE175" s="2377"/>
      <c r="AF175" s="2377"/>
      <c r="AG175" s="2378"/>
      <c r="AH175" s="348"/>
      <c r="AI175" s="348"/>
      <c r="AJ175" s="349" t="str">
        <f>IF(CSW_FLAG="","",IF(K175="","",K175))</f>
        <v/>
      </c>
      <c r="AK175" s="349"/>
      <c r="AL175" s="349"/>
      <c r="AM175" s="1715" t="str">
        <f>IF(U175="","",IF(U175&gt;Dictionary!$I$52,1,0))</f>
        <v/>
      </c>
      <c r="AO175" s="1589" t="str">
        <f>IF('PJM-Report-Scoring'!K166="","",'PJM-Report-Scoring'!K166)</f>
        <v/>
      </c>
      <c r="AP175" s="1589" t="str">
        <f>IF('PGM-Report-Scoring'!K166="","",'PGM-Report-Scoring'!K166)</f>
        <v/>
      </c>
      <c r="AQ175" s="1589" t="str">
        <f>IF('PFM-Report-Scoring'!K166="","",'PFM-Report-Scoring'!K166)</f>
        <v/>
      </c>
      <c r="AR175" s="1589" t="str">
        <f>IF(DOMAIN=COV!$T$72,Scoring!AO175,IF(DOMAIN=COV!$T$73,Scoring!AP175,IF(DOMAIN=COV!$T$74,Scoring!AQ175,"")))</f>
        <v/>
      </c>
      <c r="AS175" s="1589">
        <f t="shared" si="65"/>
        <v>0</v>
      </c>
    </row>
    <row r="176" spans="2:45" ht="54.75" customHeight="1">
      <c r="B176" s="1864" t="str">
        <f>".4"</f>
        <v>.4</v>
      </c>
      <c r="C176" s="1862">
        <f>Dictionary!X1474</f>
        <v>3</v>
      </c>
      <c r="D176" s="1866" t="str">
        <f>Dictionary!B1474</f>
        <v>Benutzer, Partner und Lieferanten und andere Stakeholder einbinden, um deren Kooperation und Commitment zu erreichen</v>
      </c>
      <c r="E176" s="408">
        <v>3</v>
      </c>
      <c r="F176" s="352"/>
      <c r="G176" s="667" t="str">
        <f>IF('(8) Exam Evaluation'!Y176="","",'(8) Exam Evaluation'!Y176)</f>
        <v/>
      </c>
      <c r="H176" s="354"/>
      <c r="I176" s="353"/>
      <c r="J176" s="354"/>
      <c r="K176" s="353"/>
      <c r="L176" s="354"/>
      <c r="M176" s="353"/>
      <c r="N176" s="354"/>
      <c r="O176" s="667" t="str">
        <f t="shared" si="64"/>
        <v/>
      </c>
      <c r="P176" s="354"/>
      <c r="Q176" s="353"/>
      <c r="S176" s="353"/>
      <c r="T176" s="356" t="str">
        <f>IF(U176&gt;=0,U176,"")</f>
        <v/>
      </c>
      <c r="U176" s="667" t="str">
        <f>IF(Q176="",O176,Q176)</f>
        <v/>
      </c>
      <c r="W176" s="1386"/>
      <c r="Y176" s="1386"/>
      <c r="AA176" s="1386"/>
      <c r="AB176" s="348"/>
      <c r="AC176" s="2376"/>
      <c r="AD176" s="2377"/>
      <c r="AE176" s="2377"/>
      <c r="AF176" s="2377"/>
      <c r="AG176" s="2378"/>
      <c r="AH176" s="348"/>
      <c r="AI176" s="348"/>
      <c r="AJ176" s="349" t="str">
        <f>IF(CSW_FLAG="","",IF(K176="","",K176))</f>
        <v/>
      </c>
      <c r="AK176" s="349"/>
      <c r="AL176" s="349"/>
      <c r="AM176" s="1715" t="str">
        <f>IF(U176="","",IF(U176&gt;Dictionary!$I$52,1,0))</f>
        <v/>
      </c>
      <c r="AO176" s="1589" t="str">
        <f>IF('PJM-Report-Scoring'!K167="","",'PJM-Report-Scoring'!K167)</f>
        <v/>
      </c>
      <c r="AP176" s="1589" t="str">
        <f>IF('PGM-Report-Scoring'!K167="","",'PGM-Report-Scoring'!K167)</f>
        <v/>
      </c>
      <c r="AQ176" s="1589" t="str">
        <f>IF('PFM-Report-Scoring'!K167="","",'PFM-Report-Scoring'!K167)</f>
        <v/>
      </c>
      <c r="AR176" s="1589" t="str">
        <f>IF(DOMAIN=COV!$T$72,Scoring!AO176,IF(DOMAIN=COV!$T$73,Scoring!AP176,IF(DOMAIN=COV!$T$74,Scoring!AQ176,"")))</f>
        <v/>
      </c>
      <c r="AS176" s="1589">
        <f>IF(AR176="",AS177,AR176)</f>
        <v>0</v>
      </c>
    </row>
    <row r="177" spans="2:45" ht="54.75" customHeight="1">
      <c r="B177" s="1864" t="str">
        <f>".5"</f>
        <v>.5</v>
      </c>
      <c r="C177" s="1862">
        <f>Dictionary!X1475</f>
        <v>3</v>
      </c>
      <c r="D177" s="1866" t="str">
        <f>Dictionary!B1475</f>
        <v>Netzwerke und Allianzen aufbauen, aufrechterhalten und beenden</v>
      </c>
      <c r="E177" s="408">
        <v>2</v>
      </c>
      <c r="F177" s="352"/>
      <c r="G177" s="667" t="str">
        <f>IF('(8) Exam Evaluation'!Y177="","",'(8) Exam Evaluation'!Y177)</f>
        <v/>
      </c>
      <c r="H177" s="354"/>
      <c r="I177" s="353"/>
      <c r="J177" s="354"/>
      <c r="K177" s="353"/>
      <c r="L177" s="354"/>
      <c r="M177" s="353"/>
      <c r="N177" s="354"/>
      <c r="O177" s="667" t="str">
        <f t="shared" si="64"/>
        <v/>
      </c>
      <c r="P177" s="354"/>
      <c r="Q177" s="353"/>
      <c r="S177" s="353"/>
      <c r="T177" s="356" t="str">
        <f>IF(U177&gt;=0,U177,"")</f>
        <v/>
      </c>
      <c r="U177" s="667" t="str">
        <f t="shared" si="60"/>
        <v/>
      </c>
      <c r="W177" s="1386"/>
      <c r="Y177" s="1386"/>
      <c r="AA177" s="1386"/>
      <c r="AB177" s="348"/>
      <c r="AC177" s="2376"/>
      <c r="AD177" s="2377"/>
      <c r="AE177" s="2377"/>
      <c r="AF177" s="2377"/>
      <c r="AG177" s="2378"/>
      <c r="AH177" s="348"/>
      <c r="AI177" s="348"/>
      <c r="AJ177" s="349" t="str">
        <f>IF(CSW_FLAG="","",IF(K177="","",K177))</f>
        <v/>
      </c>
      <c r="AK177" s="349"/>
      <c r="AL177" s="349"/>
      <c r="AM177" s="1715" t="str">
        <f>IF(U177="","",IF(U177&gt;Dictionary!$I$52,1,0))</f>
        <v/>
      </c>
      <c r="AO177" s="1589">
        <f>IF('PJM-Report-Scoring'!K168="","",'PJM-Report-Scoring'!K168)</f>
        <v>0</v>
      </c>
      <c r="AP177" s="1589">
        <f>IF('PGM-Report-Scoring'!K168="","",'PGM-Report-Scoring'!K168)</f>
        <v>0</v>
      </c>
      <c r="AQ177" s="1589">
        <f>IF('PFM-Report-Scoring'!K168="","",'PFM-Report-Scoring'!K168)</f>
        <v>0</v>
      </c>
      <c r="AR177" s="1589">
        <f>IF(DOMAIN=COV!$T$72,Scoring!AO177,IF(DOMAIN=COV!$T$73,Scoring!AP177,IF(DOMAIN=COV!$T$74,Scoring!AQ177,"")))</f>
        <v>0</v>
      </c>
      <c r="AS177" s="1590">
        <f>IF(AR177="","",AR177)</f>
        <v>0</v>
      </c>
    </row>
    <row r="178" spans="2:45" ht="16">
      <c r="B178" s="1861" t="s">
        <v>319</v>
      </c>
      <c r="C178" s="1862">
        <f>Dictionary!X1478</f>
        <v>3</v>
      </c>
      <c r="D178" s="1863" t="str">
        <f>Dictionary!B1478</f>
        <v>Change und Transformation</v>
      </c>
      <c r="E178" s="402">
        <v>3</v>
      </c>
      <c r="F178" s="343"/>
      <c r="G178" s="405"/>
      <c r="H178" s="315"/>
      <c r="I178" s="359"/>
      <c r="J178" s="360"/>
      <c r="K178" s="358"/>
      <c r="L178" s="360"/>
      <c r="M178" s="359"/>
      <c r="N178" s="315"/>
      <c r="O178" s="315"/>
      <c r="P178" s="360"/>
      <c r="Q178" s="359"/>
      <c r="S178" s="359"/>
      <c r="T178" s="356"/>
      <c r="U178" s="346" t="str">
        <f t="shared" ref="U178" si="66">AM178</f>
        <v/>
      </c>
      <c r="Y178" s="321"/>
      <c r="AA178" s="321"/>
      <c r="AB178" s="348"/>
      <c r="AC178" s="313"/>
      <c r="AD178" s="321"/>
      <c r="AE178" s="321"/>
      <c r="AF178" s="321"/>
      <c r="AG178" s="321"/>
      <c r="AH178" s="348"/>
      <c r="AI178" s="348"/>
      <c r="AJ178" s="348"/>
      <c r="AK178" s="349">
        <f>COUNTA(D179:D182)-COUNTBLANK(D179:D182)</f>
        <v>4</v>
      </c>
      <c r="AL178" s="349">
        <f>ROUNDUP(AK178/2,0)</f>
        <v>2</v>
      </c>
      <c r="AM178" s="346" t="str">
        <f>IF((COUNTBLANK(AM179:AM182)-COUNTBLANK(D179:D182))=$AK178,"",IF((COUNTIF(AM179:AM182,"&gt;=1")&gt;=AL178),"Pass","Fail"))</f>
        <v/>
      </c>
    </row>
    <row r="179" spans="2:45" ht="54.75" customHeight="1">
      <c r="B179" s="1864" t="str">
        <f>".1"</f>
        <v>.1</v>
      </c>
      <c r="C179" s="1862">
        <f>Dictionary!X1479</f>
        <v>2</v>
      </c>
      <c r="D179" s="1866" t="str">
        <f>Dictionary!B1479</f>
        <v>Adaptionsfähigkeit der Organisation(en) zu Veränderung beurteilen</v>
      </c>
      <c r="E179" s="408">
        <v>3</v>
      </c>
      <c r="F179" s="352"/>
      <c r="G179" s="667" t="str">
        <f>IF('(8) Exam Evaluation'!Y179="","",'(8) Exam Evaluation'!Y179)</f>
        <v/>
      </c>
      <c r="H179" s="354"/>
      <c r="I179" s="353"/>
      <c r="J179" s="354"/>
      <c r="K179" s="353"/>
      <c r="L179" s="354"/>
      <c r="M179" s="353"/>
      <c r="N179" s="354"/>
      <c r="O179" s="667" t="str">
        <f t="shared" si="64"/>
        <v/>
      </c>
      <c r="P179" s="354"/>
      <c r="Q179" s="353"/>
      <c r="S179" s="353"/>
      <c r="T179" s="356" t="str">
        <f>IF(U179&gt;=0,U179,"")</f>
        <v/>
      </c>
      <c r="U179" s="667" t="str">
        <f t="shared" si="60"/>
        <v/>
      </c>
      <c r="W179" s="1386"/>
      <c r="Y179" s="1386"/>
      <c r="AA179" s="1386"/>
      <c r="AB179" s="348"/>
      <c r="AC179" s="2376"/>
      <c r="AD179" s="2377"/>
      <c r="AE179" s="2377"/>
      <c r="AF179" s="2377"/>
      <c r="AG179" s="2378"/>
      <c r="AH179" s="348"/>
      <c r="AI179" s="348"/>
      <c r="AJ179" s="349" t="str">
        <f>IF(CSW_FLAG="","",IF(K179="","",K179))</f>
        <v/>
      </c>
      <c r="AK179" s="349"/>
      <c r="AL179" s="349"/>
      <c r="AM179" s="1715" t="str">
        <f>IF(U179="","",IF(U179&gt;Dictionary!$I$52,1,0))</f>
        <v/>
      </c>
      <c r="AO179" s="1589" t="str">
        <f>IF('PJM-Report-Scoring'!K170="","",'PJM-Report-Scoring'!K170)</f>
        <v/>
      </c>
      <c r="AP179" s="1589" t="str">
        <f>IF('PGM-Report-Scoring'!K170="","",'PGM-Report-Scoring'!K170)</f>
        <v/>
      </c>
      <c r="AQ179" s="1589" t="str">
        <f>IF('PFM-Report-Scoring'!K170="","",'PFM-Report-Scoring'!K170)</f>
        <v/>
      </c>
      <c r="AR179" s="1589" t="str">
        <f>IF(DOMAIN=COV!$T$72,Scoring!AO179,IF(DOMAIN=COV!$T$73,Scoring!AP179,IF(DOMAIN=COV!$T$74,Scoring!AQ179,"")))</f>
        <v/>
      </c>
      <c r="AS179" s="1589" t="str">
        <f t="shared" ref="AS179:AS180" si="67">IF(AR179="",AS180,AR179)</f>
        <v/>
      </c>
    </row>
    <row r="180" spans="2:45" ht="54.75" customHeight="1">
      <c r="B180" s="1864" t="str">
        <f>".2"</f>
        <v>.2</v>
      </c>
      <c r="C180" s="1862">
        <f>Dictionary!X1480</f>
        <v>2</v>
      </c>
      <c r="D180" s="1866" t="str">
        <f>Dictionary!B1480</f>
        <v>Veränderungsanforderungen und Transformationschancen identifizieren</v>
      </c>
      <c r="E180" s="408">
        <v>2</v>
      </c>
      <c r="F180" s="352"/>
      <c r="G180" s="667" t="str">
        <f>IF('(8) Exam Evaluation'!Y180="","",'(8) Exam Evaluation'!Y180)</f>
        <v/>
      </c>
      <c r="H180" s="354"/>
      <c r="I180" s="353"/>
      <c r="J180" s="354"/>
      <c r="K180" s="353"/>
      <c r="L180" s="354"/>
      <c r="M180" s="353"/>
      <c r="N180" s="354"/>
      <c r="O180" s="667" t="str">
        <f t="shared" si="64"/>
        <v/>
      </c>
      <c r="P180" s="354"/>
      <c r="Q180" s="353"/>
      <c r="S180" s="353"/>
      <c r="T180" s="356" t="str">
        <f>IF(U180&gt;=0,U180,"")</f>
        <v/>
      </c>
      <c r="U180" s="667" t="str">
        <f t="shared" si="60"/>
        <v/>
      </c>
      <c r="W180" s="1386"/>
      <c r="Y180" s="1386"/>
      <c r="AA180" s="1386"/>
      <c r="AB180" s="348"/>
      <c r="AC180" s="2376"/>
      <c r="AD180" s="2377"/>
      <c r="AE180" s="2377"/>
      <c r="AF180" s="2377"/>
      <c r="AG180" s="2378"/>
      <c r="AH180" s="348"/>
      <c r="AI180" s="348"/>
      <c r="AJ180" s="349" t="str">
        <f>IF(CSW_FLAG="","",IF(K180="","",K180))</f>
        <v/>
      </c>
      <c r="AK180" s="349"/>
      <c r="AL180" s="349"/>
      <c r="AM180" s="1715" t="str">
        <f>IF(U180="","",IF(U180&gt;Dictionary!$I$52,1,0))</f>
        <v/>
      </c>
      <c r="AO180" s="1589" t="str">
        <f>IF('PJM-Report-Scoring'!K171="","",'PJM-Report-Scoring'!K171)</f>
        <v/>
      </c>
      <c r="AP180" s="1589" t="str">
        <f>IF('PGM-Report-Scoring'!K171="","",'PGM-Report-Scoring'!K171)</f>
        <v/>
      </c>
      <c r="AQ180" s="1589" t="str">
        <f>IF('PFM-Report-Scoring'!K171="","",'PFM-Report-Scoring'!K171)</f>
        <v/>
      </c>
      <c r="AR180" s="1589" t="str">
        <f>IF(DOMAIN=COV!$T$72,Scoring!AO180,IF(DOMAIN=COV!$T$73,Scoring!AP180,IF(DOMAIN=COV!$T$74,Scoring!AQ180,"")))</f>
        <v/>
      </c>
      <c r="AS180" s="1589" t="str">
        <f t="shared" si="67"/>
        <v/>
      </c>
    </row>
    <row r="181" spans="2:45" ht="54.75" customHeight="1">
      <c r="B181" s="1864" t="str">
        <f>".3"</f>
        <v>.3</v>
      </c>
      <c r="C181" s="1862">
        <f>Dictionary!X1481</f>
        <v>3</v>
      </c>
      <c r="D181" s="1866" t="str">
        <f>Dictionary!B1481</f>
        <v>Veränderungs- oder Transformationsstrategie für das Projekt entwickeln</v>
      </c>
      <c r="E181" s="408">
        <v>2</v>
      </c>
      <c r="F181" s="352"/>
      <c r="G181" s="667" t="str">
        <f>IF('(8) Exam Evaluation'!Y181="","",'(8) Exam Evaluation'!Y181)</f>
        <v/>
      </c>
      <c r="H181" s="354"/>
      <c r="I181" s="353"/>
      <c r="J181" s="354"/>
      <c r="K181" s="353"/>
      <c r="L181" s="354"/>
      <c r="M181" s="353"/>
      <c r="N181" s="354"/>
      <c r="O181" s="667" t="str">
        <f t="shared" si="64"/>
        <v/>
      </c>
      <c r="P181" s="354"/>
      <c r="Q181" s="353"/>
      <c r="S181" s="353"/>
      <c r="T181" s="356" t="str">
        <f>IF(U181&gt;=0,U181,"")</f>
        <v/>
      </c>
      <c r="U181" s="667" t="str">
        <f>IF(Q181="",O181,Q181)</f>
        <v/>
      </c>
      <c r="W181" s="1386"/>
      <c r="Y181" s="1386"/>
      <c r="AA181" s="1386"/>
      <c r="AB181" s="348"/>
      <c r="AC181" s="2376"/>
      <c r="AD181" s="2377"/>
      <c r="AE181" s="2377"/>
      <c r="AF181" s="2377"/>
      <c r="AG181" s="2378"/>
      <c r="AH181" s="348"/>
      <c r="AI181" s="348"/>
      <c r="AJ181" s="349" t="str">
        <f>IF(CSW_FLAG="","",IF(K181="","",K181))</f>
        <v/>
      </c>
      <c r="AK181" s="349"/>
      <c r="AL181" s="349"/>
      <c r="AM181" s="1715" t="str">
        <f>IF(U181="","",IF(U181&gt;Dictionary!$I$52,1,0))</f>
        <v/>
      </c>
      <c r="AO181" s="1589" t="str">
        <f>IF('PJM-Report-Scoring'!K172="","",'PJM-Report-Scoring'!K172)</f>
        <v/>
      </c>
      <c r="AP181" s="1589" t="str">
        <f>IF('PGM-Report-Scoring'!K172="","",'PGM-Report-Scoring'!K172)</f>
        <v/>
      </c>
      <c r="AQ181" s="1589" t="str">
        <f>IF('PFM-Report-Scoring'!K172="","",'PFM-Report-Scoring'!K172)</f>
        <v/>
      </c>
      <c r="AR181" s="1589" t="str">
        <f>IF(DOMAIN=COV!$T$72,Scoring!AO181,IF(DOMAIN=COV!$T$73,Scoring!AP181,IF(DOMAIN=COV!$T$74,Scoring!AQ181,"")))</f>
        <v/>
      </c>
      <c r="AS181" s="1589" t="str">
        <f>IF(AR181="",AS182,AR181)</f>
        <v/>
      </c>
    </row>
    <row r="182" spans="2:45" ht="54.75" customHeight="1">
      <c r="B182" s="1864" t="str">
        <f>".4"</f>
        <v>.4</v>
      </c>
      <c r="C182" s="1862">
        <f>Dictionary!X1482</f>
        <v>3</v>
      </c>
      <c r="D182" s="1866" t="str">
        <f>Dictionary!B1482</f>
        <v>Veränderungs- oder Transformationsmanagement implementieren</v>
      </c>
      <c r="E182" s="408">
        <v>3</v>
      </c>
      <c r="F182" s="352"/>
      <c r="G182" s="667" t="str">
        <f>IF('(8) Exam Evaluation'!Y182="","",'(8) Exam Evaluation'!Y182)</f>
        <v/>
      </c>
      <c r="H182" s="354"/>
      <c r="I182" s="353"/>
      <c r="J182" s="354"/>
      <c r="K182" s="353"/>
      <c r="L182" s="354"/>
      <c r="M182" s="353"/>
      <c r="N182" s="354"/>
      <c r="O182" s="667" t="str">
        <f t="shared" si="64"/>
        <v/>
      </c>
      <c r="P182" s="354"/>
      <c r="Q182" s="353"/>
      <c r="S182" s="353"/>
      <c r="T182" s="356" t="str">
        <f>IF(U182&gt;=0,U182,"")</f>
        <v/>
      </c>
      <c r="U182" s="667" t="str">
        <f>IF(Q182="",O182,Q182)</f>
        <v/>
      </c>
      <c r="W182" s="1386"/>
      <c r="Y182" s="1386"/>
      <c r="AA182" s="1386"/>
      <c r="AB182" s="348"/>
      <c r="AC182" s="2376"/>
      <c r="AD182" s="2377"/>
      <c r="AE182" s="2377"/>
      <c r="AF182" s="2377"/>
      <c r="AG182" s="2378"/>
      <c r="AH182" s="348"/>
      <c r="AI182" s="348"/>
      <c r="AJ182" s="349" t="str">
        <f>IF(CSW_FLAG="","",IF(K182="","",K182))</f>
        <v/>
      </c>
      <c r="AK182" s="349"/>
      <c r="AL182" s="349"/>
      <c r="AM182" s="1715" t="str">
        <f>IF(U182="","",IF(U182&gt;Dictionary!$I$52,1,0))</f>
        <v/>
      </c>
      <c r="AO182" s="1589" t="str">
        <f>IF('PJM-Report-Scoring'!K173="","",'PJM-Report-Scoring'!K173)</f>
        <v/>
      </c>
      <c r="AP182" s="1589" t="str">
        <f>IF('PGM-Report-Scoring'!K173="","",'PGM-Report-Scoring'!K173)</f>
        <v/>
      </c>
      <c r="AQ182" s="1589" t="str">
        <f>IF('PFM-Report-Scoring'!K173="","",'PFM-Report-Scoring'!K173)</f>
        <v/>
      </c>
      <c r="AR182" s="1589" t="str">
        <f>IF(DOMAIN=COV!$T$72,Scoring!AO182,IF(DOMAIN=COV!$T$73,Scoring!AP182,IF(DOMAIN=COV!$T$74,Scoring!AQ182,"")))</f>
        <v/>
      </c>
      <c r="AS182" s="1590" t="str">
        <f>IF(AR182="","",AR182)</f>
        <v/>
      </c>
    </row>
    <row r="183" spans="2:45" ht="16">
      <c r="B183" s="1861" t="s">
        <v>1902</v>
      </c>
      <c r="C183" s="1862">
        <f>Dictionary!X1485</f>
        <v>0</v>
      </c>
      <c r="D183" s="1863" t="str">
        <f>Dictionary!B1485</f>
        <v/>
      </c>
      <c r="E183" s="402">
        <v>3</v>
      </c>
      <c r="F183" s="343"/>
      <c r="G183" s="405"/>
      <c r="H183" s="315"/>
      <c r="I183" s="359"/>
      <c r="J183" s="360"/>
      <c r="K183" s="358"/>
      <c r="L183" s="360"/>
      <c r="M183" s="359"/>
      <c r="N183" s="315"/>
      <c r="O183" s="315"/>
      <c r="P183" s="315"/>
      <c r="Q183" s="359"/>
      <c r="S183" s="359"/>
      <c r="T183" s="356"/>
      <c r="U183" s="346" t="str">
        <f t="shared" ref="U183" si="68">AM183</f>
        <v/>
      </c>
      <c r="Y183" s="321"/>
      <c r="AA183" s="321"/>
      <c r="AB183" s="348"/>
      <c r="AC183" s="313"/>
      <c r="AD183" s="321"/>
      <c r="AE183" s="321"/>
      <c r="AF183" s="321"/>
      <c r="AG183" s="321"/>
      <c r="AH183" s="348"/>
      <c r="AI183" s="348"/>
      <c r="AJ183" s="348"/>
      <c r="AK183" s="349">
        <f>COUNTA(D184:D189)-COUNTBLANK(D184:D189)</f>
        <v>0</v>
      </c>
      <c r="AL183" s="349">
        <f>ROUNDUP(AK183/2,0)</f>
        <v>0</v>
      </c>
      <c r="AM183" s="346" t="str">
        <f>IF((COUNTBLANK(AM184:AM189)-COUNTBLANK(D184:D189))=$AK183,"",IF((COUNTIF(AM184:AM189,"&gt;=1")&gt;=AL183),"Pass","Fail"))</f>
        <v/>
      </c>
    </row>
    <row r="184" spans="2:45" ht="54.75" customHeight="1">
      <c r="B184" s="1864" t="str">
        <f>".1"</f>
        <v>.1</v>
      </c>
      <c r="C184" s="1862">
        <f>Dictionary!X1486</f>
        <v>0</v>
      </c>
      <c r="D184" s="1866" t="str">
        <f>Dictionary!B1486</f>
        <v/>
      </c>
      <c r="E184" s="408">
        <v>3</v>
      </c>
      <c r="F184" s="352"/>
      <c r="G184" s="667" t="str">
        <f>IF('(8) Exam Evaluation'!Y184="","",'(8) Exam Evaluation'!Y184)</f>
        <v/>
      </c>
      <c r="H184" s="354"/>
      <c r="I184" s="353"/>
      <c r="J184" s="354"/>
      <c r="K184" s="353"/>
      <c r="L184" s="354"/>
      <c r="M184" s="353"/>
      <c r="N184" s="354"/>
      <c r="O184" s="667" t="str">
        <f t="shared" si="64"/>
        <v/>
      </c>
      <c r="P184" s="354"/>
      <c r="Q184" s="353"/>
      <c r="S184" s="353"/>
      <c r="T184" s="356" t="str">
        <f>IF(U184&gt;=0,U184,"")</f>
        <v/>
      </c>
      <c r="U184" s="667" t="str">
        <f t="shared" ref="U184:U189" si="69">IF(Q184="",O184,Q184)</f>
        <v/>
      </c>
      <c r="W184" s="1386"/>
      <c r="Y184" s="1386"/>
      <c r="AA184" s="1386"/>
      <c r="AB184" s="348"/>
      <c r="AC184" s="2376"/>
      <c r="AD184" s="2377"/>
      <c r="AE184" s="2377"/>
      <c r="AF184" s="2377"/>
      <c r="AG184" s="2378"/>
      <c r="AH184" s="348"/>
      <c r="AI184" s="348"/>
      <c r="AJ184" s="349" t="str">
        <f t="shared" ref="AJ184:AJ189" si="70">IF(CSW_FLAG="","",IF(K184="","",K184))</f>
        <v/>
      </c>
      <c r="AK184" s="349"/>
      <c r="AL184" s="349"/>
      <c r="AM184" s="1715" t="str">
        <f>IF(U184="","",IF(U184&gt;Dictionary!$I$52,1,0))</f>
        <v/>
      </c>
      <c r="AO184" s="1589" t="str">
        <f>IF('PJM-Report-Scoring'!K175="","",'PJM-Report-Scoring'!K175)</f>
        <v/>
      </c>
      <c r="AP184" s="1589" t="str">
        <f>IF('PGM-Report-Scoring'!K175="","",'PGM-Report-Scoring'!K175)</f>
        <v/>
      </c>
      <c r="AQ184" s="1589" t="str">
        <f>IF('PFM-Report-Scoring'!K175="","",'PFM-Report-Scoring'!K175)</f>
        <v/>
      </c>
      <c r="AR184" s="1589" t="str">
        <f>IF(DOMAIN=COV!$T$72,Scoring!AO184,IF(DOMAIN=COV!$T$73,Scoring!AP184,IF(DOMAIN=COV!$T$74,Scoring!AQ184,"")))</f>
        <v/>
      </c>
      <c r="AS184" s="1589" t="str">
        <f t="shared" ref="AS184:AS187" si="71">IF(AR184="",AS185,AR184)</f>
        <v/>
      </c>
    </row>
    <row r="185" spans="2:45" ht="54.75" customHeight="1">
      <c r="B185" s="1864" t="str">
        <f>".2"</f>
        <v>.2</v>
      </c>
      <c r="C185" s="1862">
        <f>Dictionary!X1487</f>
        <v>0</v>
      </c>
      <c r="D185" s="1866" t="str">
        <f>Dictionary!B1487</f>
        <v/>
      </c>
      <c r="E185" s="408">
        <v>2</v>
      </c>
      <c r="F185" s="352"/>
      <c r="G185" s="667" t="str">
        <f>IF('(8) Exam Evaluation'!Y185="","",'(8) Exam Evaluation'!Y185)</f>
        <v/>
      </c>
      <c r="H185" s="354"/>
      <c r="I185" s="353"/>
      <c r="J185" s="354"/>
      <c r="K185" s="353"/>
      <c r="L185" s="354"/>
      <c r="M185" s="353"/>
      <c r="N185" s="354"/>
      <c r="O185" s="667" t="str">
        <f t="shared" si="64"/>
        <v/>
      </c>
      <c r="P185" s="354"/>
      <c r="Q185" s="353"/>
      <c r="S185" s="353"/>
      <c r="T185" s="356" t="str">
        <f>IF(U185&gt;=0,U185,"")</f>
        <v/>
      </c>
      <c r="U185" s="667" t="str">
        <f t="shared" si="69"/>
        <v/>
      </c>
      <c r="W185" s="1386"/>
      <c r="Y185" s="1386"/>
      <c r="AA185" s="1386"/>
      <c r="AB185" s="348"/>
      <c r="AC185" s="2376"/>
      <c r="AD185" s="2377"/>
      <c r="AE185" s="2377"/>
      <c r="AF185" s="2377"/>
      <c r="AG185" s="2378"/>
      <c r="AH185" s="348"/>
      <c r="AI185" s="348"/>
      <c r="AJ185" s="349" t="str">
        <f t="shared" si="70"/>
        <v/>
      </c>
      <c r="AK185" s="349"/>
      <c r="AL185" s="349"/>
      <c r="AM185" s="1715" t="str">
        <f>IF(U185="","",IF(U185&gt;Dictionary!$I$52,1,0))</f>
        <v/>
      </c>
      <c r="AO185" s="1589" t="str">
        <f>IF('PJM-Report-Scoring'!K176="","",'PJM-Report-Scoring'!K176)</f>
        <v/>
      </c>
      <c r="AP185" s="1589" t="str">
        <f>IF('PGM-Report-Scoring'!K176="","",'PGM-Report-Scoring'!K176)</f>
        <v/>
      </c>
      <c r="AQ185" s="1589" t="str">
        <f>IF('PFM-Report-Scoring'!K176="","",'PFM-Report-Scoring'!K176)</f>
        <v/>
      </c>
      <c r="AR185" s="1589" t="str">
        <f>IF(DOMAIN=COV!$T$72,Scoring!AO185,IF(DOMAIN=COV!$T$73,Scoring!AP185,IF(DOMAIN=COV!$T$74,Scoring!AQ185,"")))</f>
        <v/>
      </c>
      <c r="AS185" s="1589" t="str">
        <f t="shared" si="71"/>
        <v/>
      </c>
    </row>
    <row r="186" spans="2:45" ht="54.75" customHeight="1">
      <c r="B186" s="1864" t="str">
        <f>".3"</f>
        <v>.3</v>
      </c>
      <c r="C186" s="1862">
        <f>Dictionary!X1488</f>
        <v>0</v>
      </c>
      <c r="D186" s="1866" t="str">
        <f>Dictionary!B1488</f>
        <v/>
      </c>
      <c r="E186" s="408">
        <v>2</v>
      </c>
      <c r="F186" s="352"/>
      <c r="G186" s="667" t="str">
        <f>IF('(8) Exam Evaluation'!Y186="","",'(8) Exam Evaluation'!Y186)</f>
        <v/>
      </c>
      <c r="H186" s="354"/>
      <c r="I186" s="353"/>
      <c r="J186" s="354"/>
      <c r="K186" s="353"/>
      <c r="L186" s="354"/>
      <c r="M186" s="353"/>
      <c r="N186" s="354"/>
      <c r="O186" s="667" t="str">
        <f t="shared" si="64"/>
        <v/>
      </c>
      <c r="P186" s="354"/>
      <c r="Q186" s="353"/>
      <c r="S186" s="353"/>
      <c r="T186" s="356" t="str">
        <f>IF(U186&gt;=0,U186,"")</f>
        <v/>
      </c>
      <c r="U186" s="667" t="str">
        <f>IF(Q186="",O186,Q186)</f>
        <v/>
      </c>
      <c r="W186" s="1386"/>
      <c r="Y186" s="1386"/>
      <c r="AA186" s="1386"/>
      <c r="AB186" s="348"/>
      <c r="AC186" s="2376"/>
      <c r="AD186" s="2377"/>
      <c r="AE186" s="2377"/>
      <c r="AF186" s="2377"/>
      <c r="AG186" s="2378"/>
      <c r="AH186" s="348"/>
      <c r="AI186" s="348"/>
      <c r="AJ186" s="349" t="str">
        <f t="shared" si="70"/>
        <v/>
      </c>
      <c r="AK186" s="349"/>
      <c r="AL186" s="349"/>
      <c r="AM186" s="1715" t="str">
        <f>IF(U186="","",IF(U186&gt;Dictionary!$I$52,1,0))</f>
        <v/>
      </c>
      <c r="AO186" s="1589" t="str">
        <f>IF('PJM-Report-Scoring'!K177="","",'PJM-Report-Scoring'!K177)</f>
        <v/>
      </c>
      <c r="AP186" s="1589" t="str">
        <f>IF('PGM-Report-Scoring'!K177="","",'PGM-Report-Scoring'!K177)</f>
        <v/>
      </c>
      <c r="AQ186" s="1589" t="str">
        <f>IF('PFM-Report-Scoring'!K177="","",'PFM-Report-Scoring'!K177)</f>
        <v/>
      </c>
      <c r="AR186" s="1589" t="str">
        <f>IF(DOMAIN=COV!$T$72,Scoring!AO186,IF(DOMAIN=COV!$T$73,Scoring!AP186,IF(DOMAIN=COV!$T$74,Scoring!AQ186,"")))</f>
        <v/>
      </c>
      <c r="AS186" s="1589" t="str">
        <f t="shared" si="71"/>
        <v/>
      </c>
    </row>
    <row r="187" spans="2:45" ht="54.75" customHeight="1">
      <c r="B187" s="1864" t="str">
        <f>".4"</f>
        <v>.4</v>
      </c>
      <c r="C187" s="1862">
        <f>Dictionary!X1489</f>
        <v>0</v>
      </c>
      <c r="D187" s="1866" t="str">
        <f>Dictionary!B1489</f>
        <v/>
      </c>
      <c r="E187" s="408">
        <v>3</v>
      </c>
      <c r="F187" s="352"/>
      <c r="G187" s="667" t="str">
        <f>IF('(8) Exam Evaluation'!Y187="","",'(8) Exam Evaluation'!Y187)</f>
        <v/>
      </c>
      <c r="H187" s="354"/>
      <c r="I187" s="353"/>
      <c r="J187" s="354"/>
      <c r="K187" s="353"/>
      <c r="L187" s="354"/>
      <c r="M187" s="353"/>
      <c r="N187" s="354"/>
      <c r="O187" s="667" t="str">
        <f t="shared" si="64"/>
        <v/>
      </c>
      <c r="P187" s="354"/>
      <c r="Q187" s="353"/>
      <c r="S187" s="353"/>
      <c r="T187" s="356" t="str">
        <f>IF(U187&gt;=0,U187,"")</f>
        <v/>
      </c>
      <c r="U187" s="667" t="str">
        <f>IF(Q187="",O187,Q187)</f>
        <v/>
      </c>
      <c r="W187" s="1386"/>
      <c r="Y187" s="1386"/>
      <c r="AA187" s="1386"/>
      <c r="AB187" s="348"/>
      <c r="AC187" s="2376"/>
      <c r="AD187" s="2377"/>
      <c r="AE187" s="2377"/>
      <c r="AF187" s="2377"/>
      <c r="AG187" s="2378"/>
      <c r="AH187" s="348"/>
      <c r="AI187" s="348"/>
      <c r="AJ187" s="349" t="str">
        <f t="shared" si="70"/>
        <v/>
      </c>
      <c r="AK187" s="349"/>
      <c r="AL187" s="349"/>
      <c r="AM187" s="1715" t="str">
        <f>IF(U187="","",IF(U187&gt;Dictionary!$I$52,1,0))</f>
        <v/>
      </c>
      <c r="AO187" s="1589" t="str">
        <f>IF('PJM-Report-Scoring'!K178="","",'PJM-Report-Scoring'!K178)</f>
        <v/>
      </c>
      <c r="AP187" s="1589">
        <f>IF('PGM-Report-Scoring'!K178="","",'PGM-Report-Scoring'!K178)</f>
        <v>0</v>
      </c>
      <c r="AQ187" s="1589" t="str">
        <f>IF('PFM-Report-Scoring'!K178="","",'PFM-Report-Scoring'!K178)</f>
        <v/>
      </c>
      <c r="AR187" s="1589" t="str">
        <f>IF(DOMAIN=COV!$T$72,Scoring!AO187,IF(DOMAIN=COV!$T$73,Scoring!AP187,IF(DOMAIN=COV!$T$74,Scoring!AQ187,"")))</f>
        <v/>
      </c>
      <c r="AS187" s="1589" t="str">
        <f t="shared" si="71"/>
        <v/>
      </c>
    </row>
    <row r="188" spans="2:45" ht="54.75" customHeight="1">
      <c r="B188" s="1864" t="str">
        <f>".5"</f>
        <v>.5</v>
      </c>
      <c r="C188" s="1862">
        <f>Dictionary!X1490</f>
        <v>0</v>
      </c>
      <c r="D188" s="1866" t="str">
        <f>Dictionary!B1490</f>
        <v/>
      </c>
      <c r="E188" s="408">
        <v>4</v>
      </c>
      <c r="F188" s="352"/>
      <c r="G188" s="667" t="str">
        <f>IF('(8) Exam Evaluation'!Y188="","",'(8) Exam Evaluation'!Y188)</f>
        <v/>
      </c>
      <c r="H188" s="354"/>
      <c r="I188" s="353"/>
      <c r="J188" s="354"/>
      <c r="K188" s="353"/>
      <c r="L188" s="354"/>
      <c r="M188" s="353"/>
      <c r="N188" s="354"/>
      <c r="O188" s="667" t="str">
        <f t="shared" si="64"/>
        <v/>
      </c>
      <c r="P188" s="354"/>
      <c r="Q188" s="353"/>
      <c r="S188" s="353"/>
      <c r="T188" s="356" t="str">
        <f t="shared" ref="T188:T189" si="72">IF(U188&gt;=0,U188,"")</f>
        <v/>
      </c>
      <c r="U188" s="667" t="str">
        <f t="shared" si="69"/>
        <v/>
      </c>
      <c r="W188" s="1386"/>
      <c r="Y188" s="1386"/>
      <c r="AA188" s="1386"/>
      <c r="AB188" s="348"/>
      <c r="AC188" s="2376"/>
      <c r="AD188" s="2377"/>
      <c r="AE188" s="2377"/>
      <c r="AF188" s="2377"/>
      <c r="AG188" s="2378"/>
      <c r="AH188" s="348"/>
      <c r="AI188" s="348"/>
      <c r="AJ188" s="349" t="str">
        <f t="shared" si="70"/>
        <v/>
      </c>
      <c r="AK188" s="349"/>
      <c r="AL188" s="349"/>
      <c r="AM188" s="1715" t="str">
        <f>IF(U188="","",IF(U188&gt;Dictionary!$I$52,1,0))</f>
        <v/>
      </c>
      <c r="AO188" s="1589" t="str">
        <f>IF('PJM-Report-Scoring'!K179="","",'PJM-Report-Scoring'!K179)</f>
        <v/>
      </c>
      <c r="AP188" s="1589" t="str">
        <f>IF('PGM-Report-Scoring'!K179="","",'PGM-Report-Scoring'!K179)</f>
        <v/>
      </c>
      <c r="AQ188" s="1589" t="str">
        <f>IF('PFM-Report-Scoring'!K179="","",'PFM-Report-Scoring'!K179)</f>
        <v/>
      </c>
      <c r="AR188" s="1589" t="str">
        <f>IF(DOMAIN=COV!$T$72,Scoring!AO188,IF(DOMAIN=COV!$T$73,Scoring!AP188,IF(DOMAIN=COV!$T$74,Scoring!AQ188,"")))</f>
        <v/>
      </c>
      <c r="AS188" s="1589" t="str">
        <f>IF(AR188="",AS189,AR188)</f>
        <v/>
      </c>
    </row>
    <row r="189" spans="2:45" ht="54.75" customHeight="1">
      <c r="B189" s="1864" t="str">
        <f>".6"</f>
        <v>.6</v>
      </c>
      <c r="C189" s="1862">
        <f>Dictionary!X1491</f>
        <v>0</v>
      </c>
      <c r="D189" s="1866" t="str">
        <f>Dictionary!B1491</f>
        <v/>
      </c>
      <c r="E189" s="408">
        <v>5</v>
      </c>
      <c r="F189" s="352"/>
      <c r="G189" s="667" t="str">
        <f>IF('(8) Exam Evaluation'!Y189="","",'(8) Exam Evaluation'!Y189)</f>
        <v/>
      </c>
      <c r="H189" s="354"/>
      <c r="I189" s="353"/>
      <c r="J189" s="354"/>
      <c r="K189" s="353"/>
      <c r="L189" s="354"/>
      <c r="M189" s="353"/>
      <c r="N189" s="354"/>
      <c r="O189" s="667" t="str">
        <f t="shared" si="64"/>
        <v/>
      </c>
      <c r="P189" s="354"/>
      <c r="Q189" s="353"/>
      <c r="S189" s="353"/>
      <c r="T189" s="356" t="str">
        <f t="shared" si="72"/>
        <v/>
      </c>
      <c r="U189" s="667" t="str">
        <f t="shared" si="69"/>
        <v/>
      </c>
      <c r="W189" s="1386"/>
      <c r="Y189" s="1386"/>
      <c r="AA189" s="1386"/>
      <c r="AB189" s="348"/>
      <c r="AC189" s="2376"/>
      <c r="AD189" s="2377"/>
      <c r="AE189" s="2377"/>
      <c r="AF189" s="2377"/>
      <c r="AG189" s="2378"/>
      <c r="AH189" s="348"/>
      <c r="AI189" s="348"/>
      <c r="AJ189" s="349" t="str">
        <f t="shared" si="70"/>
        <v/>
      </c>
      <c r="AK189" s="349"/>
      <c r="AL189" s="349"/>
      <c r="AM189" s="1715" t="str">
        <f>IF(U189="","",IF(U189&gt;Dictionary!$I$52,1,0))</f>
        <v/>
      </c>
      <c r="AO189" s="1589" t="str">
        <f>IF('PJM-Report-Scoring'!K180="","",'PJM-Report-Scoring'!K180)</f>
        <v/>
      </c>
      <c r="AP189" s="1589" t="str">
        <f>IF('PGM-Report-Scoring'!K180="","",'PGM-Report-Scoring'!K180)</f>
        <v/>
      </c>
      <c r="AQ189" s="1589">
        <f>IF('PFM-Report-Scoring'!K180="","",'PFM-Report-Scoring'!K180)</f>
        <v>0</v>
      </c>
      <c r="AR189" s="1589" t="str">
        <f>IF(DOMAIN=COV!$T$72,Scoring!AO189,IF(DOMAIN=COV!$T$73,Scoring!AP189,IF(DOMAIN=COV!$T$74,Scoring!AQ189,"")))</f>
        <v/>
      </c>
      <c r="AS189" s="1590" t="str">
        <f>IF(AR189="","",AR189)</f>
        <v/>
      </c>
    </row>
    <row r="190" spans="2:45" s="321" customFormat="1" ht="16.25" customHeight="1">
      <c r="R190" s="314"/>
      <c r="T190" s="371"/>
      <c r="AK190" s="371"/>
      <c r="AL190" s="371"/>
      <c r="AM190" s="371"/>
    </row>
    <row r="191" spans="2:45" s="321" customFormat="1" ht="16.25" customHeight="1">
      <c r="D191" s="715" t="str">
        <f>IF(GC_Flag="",Dictionary!B903,COV!D94&amp;" "&amp;Dictionary!B908)</f>
        <v>Bearbeitete Report Pflichtelemente</v>
      </c>
      <c r="I191" s="1591" t="str">
        <f>IF(GC_Flag="",IF(DOMAIN=COV!$T$72,AK197,IF(DOMAIN=COV!$T$73,AL197,IF(DOMAIN=COV!$T$74,AM197,AK197))),AP197&amp;"/"&amp;AQ197)</f>
        <v>0 / 16</v>
      </c>
      <c r="R191" s="314"/>
      <c r="T191" s="371"/>
      <c r="AK191" s="371"/>
      <c r="AL191" s="371"/>
      <c r="AM191" s="371"/>
    </row>
    <row r="192" spans="2:45" s="321" customFormat="1" ht="16.25" customHeight="1">
      <c r="D192" s="715" t="str">
        <f>IF(GC_Flag="",Dictionary!B904,COV!D94&amp;" Report "&amp;Dictionary!B899)</f>
        <v>Bearbeitet Report Wahlelemente</v>
      </c>
      <c r="I192" s="1336" t="str">
        <f>IF(GC_Flag="",IF(DOMAIN=COV!$T$72,AK198,IF(DOMAIN=COV!$T$73,AL198,IF(DOMAIN=COV!$T$74,AM198,AK198))),AP198&amp;"/"&amp;AQ198)</f>
        <v>0 / 6</v>
      </c>
      <c r="R192" s="314"/>
      <c r="T192" s="371"/>
      <c r="AK192" s="371"/>
      <c r="AL192" s="371"/>
      <c r="AM192" s="371"/>
    </row>
    <row r="193" spans="5:44" s="321" customFormat="1" ht="16.25" customHeight="1">
      <c r="R193" s="314"/>
      <c r="T193" s="371"/>
      <c r="AK193" s="371"/>
      <c r="AL193" s="371"/>
      <c r="AM193" s="371"/>
    </row>
    <row r="194" spans="5:44" s="321" customFormat="1" ht="16.25" customHeight="1">
      <c r="G194" s="2404" t="str">
        <f>Dictionary!B894</f>
        <v>Zusammenfassung der erreichten Leistungen</v>
      </c>
      <c r="H194" s="2405"/>
      <c r="I194" s="2405"/>
      <c r="J194" s="2405"/>
      <c r="K194" s="2405"/>
      <c r="L194" s="2405"/>
      <c r="M194" s="2405"/>
      <c r="N194" s="2405"/>
      <c r="O194" s="2405"/>
      <c r="P194" s="2405"/>
      <c r="Q194" s="2405"/>
      <c r="R194" s="2405"/>
      <c r="S194" s="2405"/>
      <c r="T194" s="2405"/>
      <c r="U194" s="2405"/>
      <c r="V194" s="2405"/>
      <c r="W194" s="2405"/>
      <c r="X194" s="2405"/>
      <c r="Y194" s="2405"/>
      <c r="Z194" s="2405"/>
      <c r="AA194" s="2406"/>
      <c r="AJ194" s="321" t="s">
        <v>303</v>
      </c>
      <c r="AK194" s="373">
        <f>SUM(AK13:AK182)</f>
        <v>133</v>
      </c>
      <c r="AL194" s="373">
        <f>SUM(AL13:AL182)</f>
        <v>77</v>
      </c>
      <c r="AM194" s="373"/>
      <c r="AP194" s="2390" t="s">
        <v>4002</v>
      </c>
      <c r="AQ194" s="2391"/>
      <c r="AR194" s="2392"/>
    </row>
    <row r="195" spans="5:44" s="321" customFormat="1" ht="9" customHeight="1">
      <c r="G195" s="409"/>
      <c r="H195" s="410"/>
      <c r="I195" s="410"/>
      <c r="J195" s="410"/>
      <c r="K195" s="410"/>
      <c r="L195" s="410"/>
      <c r="M195" s="410"/>
      <c r="N195" s="410"/>
      <c r="O195" s="410"/>
      <c r="P195" s="410"/>
      <c r="Q195" s="410"/>
      <c r="R195" s="410"/>
      <c r="S195" s="669"/>
      <c r="T195" s="411"/>
      <c r="U195" s="410"/>
      <c r="V195" s="410"/>
      <c r="W195" s="410"/>
      <c r="X195" s="410"/>
      <c r="Y195" s="410"/>
      <c r="Z195" s="410"/>
      <c r="AA195" s="412"/>
      <c r="AK195" s="374"/>
      <c r="AL195" s="374"/>
      <c r="AM195" s="374"/>
    </row>
    <row r="196" spans="5:44" s="321" customFormat="1" ht="18" customHeight="1">
      <c r="G196" s="678"/>
      <c r="H196" s="678"/>
      <c r="I196" s="680" t="str">
        <f>Dictionary!B855</f>
        <v>Perspective Kompetenz Elemente erfüllt</v>
      </c>
      <c r="J196" s="679"/>
      <c r="K196" s="679"/>
      <c r="L196" s="678"/>
      <c r="M196" s="679"/>
      <c r="N196" s="678"/>
      <c r="O196" s="679"/>
      <c r="P196" s="678"/>
      <c r="Q196" s="679"/>
      <c r="R196" s="680"/>
      <c r="S196" s="1273"/>
      <c r="T196" s="1274"/>
      <c r="U196" s="1275">
        <f>COUNTIF(U13:U41,"Pass")</f>
        <v>0</v>
      </c>
      <c r="V196" s="680"/>
      <c r="W196" s="681"/>
      <c r="X196" s="681"/>
      <c r="Y196" s="681"/>
      <c r="Z196" s="681"/>
      <c r="AA196" s="682"/>
      <c r="AJ196" s="321" t="s">
        <v>2785</v>
      </c>
      <c r="AK196" s="371" t="s">
        <v>970</v>
      </c>
      <c r="AL196" s="371" t="s">
        <v>1024</v>
      </c>
      <c r="AM196" s="371" t="s">
        <v>1025</v>
      </c>
      <c r="AP196" s="371" t="s">
        <v>4001</v>
      </c>
      <c r="AQ196" s="371" t="s">
        <v>4000</v>
      </c>
      <c r="AR196" s="321" t="s">
        <v>3482</v>
      </c>
    </row>
    <row r="197" spans="5:44" s="321" customFormat="1" ht="18" customHeight="1">
      <c r="G197" s="673"/>
      <c r="H197" s="673"/>
      <c r="I197" s="675" t="str">
        <f>Dictionary!B856</f>
        <v>Personal Kompetenz Elemente erfüllt</v>
      </c>
      <c r="J197" s="674"/>
      <c r="K197" s="674"/>
      <c r="L197" s="673"/>
      <c r="M197" s="674"/>
      <c r="N197" s="673"/>
      <c r="O197" s="674"/>
      <c r="P197" s="673"/>
      <c r="Q197" s="674"/>
      <c r="R197" s="675"/>
      <c r="S197" s="1276"/>
      <c r="T197" s="1277"/>
      <c r="U197" s="1278">
        <f>COUNTIF(U44:U102,"Pass")</f>
        <v>0</v>
      </c>
      <c r="V197" s="675"/>
      <c r="W197" s="676"/>
      <c r="X197" s="676"/>
      <c r="Y197" s="676"/>
      <c r="Z197" s="676"/>
      <c r="AA197" s="677"/>
      <c r="AJ197" s="321" t="s">
        <v>2782</v>
      </c>
      <c r="AK197" s="1239" t="str">
        <f>'PJM-Report-Scoring'!F186&amp;" / "&amp;IF(APPLICATION_LVL="C",'PJM-Report-Scoring'!C186,'PJM-Report-Scoring'!D186)</f>
        <v>0 / 16</v>
      </c>
      <c r="AL197" s="1239" t="str">
        <f>'PGM-Report-Scoring'!F185&amp;" / "&amp;IF(APPLICATION_LVL="B",'PGM-Report-Scoring'!C185,'PGM-Report-Scoring'!D185)</f>
        <v>0 / 16</v>
      </c>
      <c r="AM197" s="1239" t="str">
        <f>'PFM-Report-Scoring'!F184&amp;" / "&amp;IF(APPLICATION_LVL="B",'PFM-Report-Scoring'!C184,'PFM-Report-Scoring'!D184)</f>
        <v>0 / 16</v>
      </c>
      <c r="AO197" s="321" t="s">
        <v>3998</v>
      </c>
      <c r="AP197" s="1239" cm="1">
        <f t="array" ref="AP197">SUMPRODUCT(--(I14:I189&lt;&gt;""))</f>
        <v>0</v>
      </c>
      <c r="AQ197" s="1239">
        <v>75</v>
      </c>
      <c r="AR197" s="1239">
        <f>IF(AP197&gt;=AQ197,1,0)</f>
        <v>0</v>
      </c>
    </row>
    <row r="198" spans="5:44" s="321" customFormat="1" ht="18" customHeight="1">
      <c r="G198" s="1435"/>
      <c r="H198" s="1435"/>
      <c r="I198" s="1437" t="str">
        <f>Dictionary!B857</f>
        <v>Practice Kompetenz Elemente erfüllt</v>
      </c>
      <c r="J198" s="1436"/>
      <c r="K198" s="1436"/>
      <c r="L198" s="1435"/>
      <c r="M198" s="1436"/>
      <c r="N198" s="1435"/>
      <c r="O198" s="1436"/>
      <c r="P198" s="1435"/>
      <c r="Q198" s="1436"/>
      <c r="R198" s="1437"/>
      <c r="S198" s="1438"/>
      <c r="T198" s="1439"/>
      <c r="U198" s="1440">
        <f>COUNTIF(U105:U189,"Pass")</f>
        <v>0</v>
      </c>
      <c r="V198" s="1437"/>
      <c r="W198" s="1441"/>
      <c r="X198" s="1441"/>
      <c r="Y198" s="1441"/>
      <c r="Z198" s="1441"/>
      <c r="AA198" s="1442"/>
      <c r="AB198" s="378"/>
      <c r="AC198" s="378"/>
      <c r="AD198" s="378"/>
      <c r="AE198" s="378"/>
      <c r="AF198" s="378"/>
      <c r="AG198" s="378"/>
      <c r="AH198" s="378"/>
      <c r="AI198" s="378"/>
      <c r="AJ198" s="378" t="s">
        <v>2783</v>
      </c>
      <c r="AK198" s="714" t="str">
        <f>'PJM-Report-Scoring'!F187&amp;" / "&amp;IF(APPLICATION_LVL="C",'PJM-Report-Scoring'!C187,'PJM-Report-Scoring'!D187)</f>
        <v>0 / 6</v>
      </c>
      <c r="AL198" s="714" t="str">
        <f>'PGM-Report-Scoring'!F186&amp;" / "&amp;IF(APPLICATION_LVL="B",'PGM-Report-Scoring'!C186,'PGM-Report-Scoring'!D186)</f>
        <v>0 / 6</v>
      </c>
      <c r="AM198" s="714" t="str">
        <f>'PFM-Report-Scoring'!F185&amp;" / "&amp;IF(APPLICATION_LVL="B",'PFM-Report-Scoring'!C185,'PFM-Report-Scoring'!D185)</f>
        <v>0 / 6</v>
      </c>
      <c r="AO198" s="321" t="s">
        <v>3999</v>
      </c>
      <c r="AP198" s="714">
        <f>COUNTIF(I14:I189,"&gt;"&amp;Dictionary!I52)</f>
        <v>0</v>
      </c>
      <c r="AQ198" s="714">
        <v>55</v>
      </c>
      <c r="AR198" s="714">
        <f>IF(AP198&gt;=AQ198,1,0)</f>
        <v>0</v>
      </c>
    </row>
    <row r="199" spans="5:44" s="321" customFormat="1" ht="18" customHeight="1">
      <c r="G199" s="1447"/>
      <c r="H199" s="1448"/>
      <c r="I199" s="1449" t="str">
        <f>Dictionary!B874</f>
        <v>Bestandene CE</v>
      </c>
      <c r="J199" s="1450"/>
      <c r="K199" s="1450"/>
      <c r="L199" s="1448"/>
      <c r="M199" s="1450"/>
      <c r="N199" s="1448"/>
      <c r="O199" s="1450"/>
      <c r="P199" s="1448"/>
      <c r="Q199" s="1450"/>
      <c r="R199" s="1451"/>
      <c r="S199" s="1452"/>
      <c r="T199" s="1453"/>
      <c r="U199" s="1454">
        <f>SUM(U196:U198)</f>
        <v>0</v>
      </c>
      <c r="V199" s="1451"/>
      <c r="W199" s="1455"/>
      <c r="X199" s="2407" t="str">
        <f>IF(SUM(U196:U198)=0,"",IF(SUM(U196:U198)&gt;=U202,Dictionary!B9,Dictionary!B10))</f>
        <v/>
      </c>
      <c r="Y199" s="2408"/>
      <c r="Z199" s="2409"/>
      <c r="AA199" s="1456"/>
      <c r="AB199" s="378"/>
      <c r="AC199" s="378"/>
      <c r="AD199" s="378"/>
      <c r="AE199" s="378"/>
      <c r="AF199" s="378"/>
      <c r="AG199" s="378"/>
      <c r="AH199" s="378"/>
      <c r="AI199" s="378"/>
      <c r="AJ199" s="378" t="s">
        <v>2786</v>
      </c>
      <c r="AK199" s="1272">
        <f>IF(APPLICATION_LVL="C",'PJM-Report-Scoring'!M186,'PJM-Report-Scoring'!M187)</f>
        <v>11</v>
      </c>
      <c r="AL199" s="1272">
        <f>IF(APPLICATION_LVL="B",'PGM-Report-Scoring'!M185,'PGM-Report-Scoring'!M186)</f>
        <v>11</v>
      </c>
      <c r="AM199" s="1272">
        <f>IF(APPLICATION_LVL="B",'PFM-Report-Scoring'!M184,'PFM-Report-Scoring'!M185)</f>
        <v>11</v>
      </c>
      <c r="AO199" s="321" t="s">
        <v>4005</v>
      </c>
      <c r="AR199" s="321" t="str">
        <f>IF(SUM(AR197:AR198)&gt;1,Dictionary!B9,Dictionary!B10)</f>
        <v>Noch nicht best.</v>
      </c>
    </row>
    <row r="200" spans="5:44" s="321" customFormat="1" ht="18" customHeight="1">
      <c r="G200" s="670"/>
      <c r="H200" s="670"/>
      <c r="I200" s="670" t="str">
        <f>Dictionary!B875</f>
        <v>Agile Anteil</v>
      </c>
      <c r="J200" s="670"/>
      <c r="K200" s="670"/>
      <c r="L200" s="670"/>
      <c r="M200" s="670"/>
      <c r="N200" s="670"/>
      <c r="O200" s="670"/>
      <c r="P200" s="670"/>
      <c r="Q200" s="670"/>
      <c r="R200" s="670"/>
      <c r="S200" s="1443">
        <f>COUNTIF(S14:S182,'Control Values'!B50)</f>
        <v>0</v>
      </c>
      <c r="T200" s="1444"/>
      <c r="U200" s="1445">
        <f>S200/133</f>
        <v>0</v>
      </c>
      <c r="V200" s="670"/>
      <c r="W200" s="671" t="s">
        <v>1997</v>
      </c>
      <c r="X200" s="670"/>
      <c r="Y200" s="1446"/>
      <c r="Z200" s="1446"/>
      <c r="AA200" s="672"/>
      <c r="AB200" s="378"/>
      <c r="AC200" s="378"/>
      <c r="AD200" s="378"/>
      <c r="AE200" s="378"/>
      <c r="AF200" s="378"/>
      <c r="AG200" s="378"/>
      <c r="AH200" s="378"/>
      <c r="AI200" s="378"/>
      <c r="AJ200" s="378"/>
      <c r="AK200" s="371"/>
      <c r="AL200" s="371"/>
      <c r="AM200" s="371"/>
    </row>
    <row r="201" spans="5:44" s="321" customFormat="1" ht="11" customHeight="1">
      <c r="G201" s="410"/>
      <c r="H201" s="410"/>
      <c r="I201" s="411"/>
      <c r="J201" s="411"/>
      <c r="K201" s="411"/>
      <c r="L201" s="410"/>
      <c r="M201" s="411"/>
      <c r="N201" s="410"/>
      <c r="O201" s="411"/>
      <c r="P201" s="410"/>
      <c r="Q201" s="410"/>
      <c r="R201" s="410"/>
      <c r="S201" s="1279"/>
      <c r="T201" s="1280"/>
      <c r="U201" s="1279"/>
      <c r="V201" s="410"/>
      <c r="W201" s="410"/>
      <c r="X201" s="410"/>
      <c r="Y201" s="410"/>
      <c r="Z201" s="410"/>
      <c r="AA201" s="412"/>
    </row>
    <row r="202" spans="5:44" ht="18" customHeight="1">
      <c r="G202" s="1881"/>
      <c r="H202" s="1881"/>
      <c r="I202" s="1882" t="str">
        <f>Dictionary!B884</f>
        <v>Zum Bestehen erforderlich</v>
      </c>
      <c r="J202" s="1881"/>
      <c r="K202" s="1881"/>
      <c r="L202" s="1881"/>
      <c r="M202" s="1881"/>
      <c r="N202" s="1881"/>
      <c r="O202" s="1881"/>
      <c r="P202" s="1881"/>
      <c r="Q202" s="1881"/>
      <c r="R202" s="1881"/>
      <c r="S202" s="1883"/>
      <c r="T202" s="1884"/>
      <c r="U202" s="1281">
        <f>IF(DOMAIN=COV!T72,ROUNDUP(28*0.8,0),ROUNDUP(29*0.8,0))</f>
        <v>23</v>
      </c>
      <c r="V202" s="1881"/>
      <c r="W202" s="1885"/>
      <c r="X202" s="1881"/>
      <c r="Y202" s="1881"/>
      <c r="Z202" s="1881"/>
      <c r="AA202" s="1886"/>
    </row>
    <row r="203" spans="5:44" s="321" customFormat="1" ht="20" customHeight="1">
      <c r="T203" s="371"/>
    </row>
    <row r="204" spans="5:44" s="321" customFormat="1" ht="14.5" customHeight="1">
      <c r="E204" s="312"/>
      <c r="G204" s="2404" t="str">
        <f>Dictionary!B895</f>
        <v>Zusammenfassung der einzelnen Zertifizierungsschritte</v>
      </c>
      <c r="H204" s="2405"/>
      <c r="I204" s="2405"/>
      <c r="J204" s="2405"/>
      <c r="K204" s="2405"/>
      <c r="L204" s="2405"/>
      <c r="M204" s="2405"/>
      <c r="N204" s="2405"/>
      <c r="O204" s="2405"/>
      <c r="P204" s="2405"/>
      <c r="Q204" s="2405"/>
      <c r="R204" s="2405"/>
      <c r="S204" s="2405"/>
      <c r="T204" s="2405"/>
      <c r="U204" s="2405"/>
      <c r="V204" s="2405"/>
      <c r="W204" s="2405"/>
      <c r="X204" s="2405"/>
      <c r="Y204" s="2405"/>
      <c r="Z204" s="2405"/>
      <c r="AA204" s="2406"/>
    </row>
    <row r="205" spans="5:44" s="321" customFormat="1" ht="14.5" customHeight="1">
      <c r="E205" s="382"/>
      <c r="G205" s="413"/>
      <c r="H205" s="410"/>
      <c r="I205" s="410"/>
      <c r="J205" s="410"/>
      <c r="K205" s="410"/>
      <c r="L205" s="410"/>
      <c r="M205" s="410"/>
      <c r="N205" s="410"/>
      <c r="O205" s="410"/>
      <c r="P205" s="410"/>
      <c r="Q205" s="410"/>
      <c r="R205" s="410"/>
      <c r="S205" s="1282"/>
      <c r="T205" s="1283"/>
      <c r="U205" s="1283"/>
      <c r="V205" s="410"/>
      <c r="W205" s="410"/>
      <c r="X205" s="410"/>
      <c r="Y205" s="410"/>
      <c r="Z205" s="410"/>
      <c r="AA205" s="412"/>
    </row>
    <row r="206" spans="5:44" s="321" customFormat="1" ht="14.5" customHeight="1">
      <c r="G206" s="1417"/>
      <c r="H206" s="1418"/>
      <c r="I206" s="1418" t="str">
        <f>Dictionary!B896</f>
        <v>Bericht:</v>
      </c>
      <c r="J206" s="1418"/>
      <c r="K206" s="1418"/>
      <c r="L206" s="1418"/>
      <c r="M206" s="1418"/>
      <c r="N206" s="1418"/>
      <c r="O206" s="1418"/>
      <c r="P206" s="1418"/>
      <c r="Q206" s="1418"/>
      <c r="R206" s="1418"/>
      <c r="S206" s="1419"/>
      <c r="T206" s="1420"/>
      <c r="U206" s="1420">
        <f>IF(DOMAIN=COV!$T$72,'PJM-Report-Scoring'!M183,IF(DOMAIN=COV!$T$73,'PGM-Report-Scoring'!M182,IF(DOMAIN=COV!$T$74,'PFM-Report-Scoring'!M181,'PJM-Report-Scoring'!M183)))</f>
        <v>0</v>
      </c>
      <c r="V206" s="1418"/>
      <c r="W206" s="1418" t="str">
        <f>Dictionary!B900</f>
        <v>CEs bestanden</v>
      </c>
      <c r="X206" s="1418"/>
      <c r="Y206" s="1418" t="str">
        <f>AD8</f>
        <v>Noch nicht best.</v>
      </c>
      <c r="Z206" s="1418"/>
      <c r="AA206" s="1421"/>
    </row>
    <row r="207" spans="5:44" s="321" customFormat="1" ht="14.5" customHeight="1">
      <c r="G207" s="1422"/>
      <c r="H207" s="1423"/>
      <c r="I207" s="1423" t="str">
        <f>Dictionary!B897</f>
        <v>Schriftliche Prüfung:</v>
      </c>
      <c r="J207" s="1423"/>
      <c r="K207" s="1423"/>
      <c r="L207" s="1423"/>
      <c r="M207" s="1423"/>
      <c r="N207" s="1423"/>
      <c r="O207" s="1423"/>
      <c r="P207" s="1423"/>
      <c r="Q207" s="1423"/>
      <c r="R207" s="1423"/>
      <c r="S207" s="1457"/>
      <c r="T207" s="1458"/>
      <c r="U207" s="1458">
        <f>'(8) Exam Evaluation'!B6</f>
        <v>0</v>
      </c>
      <c r="V207" s="1423"/>
      <c r="W207" s="1423" t="str">
        <f>Dictionary!B899</f>
        <v>KCIs bestanden</v>
      </c>
      <c r="X207" s="1423"/>
      <c r="Y207" s="1423" t="str">
        <f>'(8) Exam Evaluation'!C8</f>
        <v>Noch nicht best.</v>
      </c>
      <c r="Z207" s="1423"/>
      <c r="AA207" s="1459"/>
    </row>
    <row r="208" spans="5:44" s="321" customFormat="1" ht="14.5" customHeight="1">
      <c r="G208" s="1417"/>
      <c r="H208" s="1418"/>
      <c r="I208" s="1418" t="str">
        <f>Dictionary!B898</f>
        <v>FS- Simulationsworkshop</v>
      </c>
      <c r="J208" s="1418"/>
      <c r="K208" s="1418"/>
      <c r="L208" s="1418"/>
      <c r="M208" s="1418"/>
      <c r="N208" s="1418"/>
      <c r="O208" s="1418"/>
      <c r="P208" s="1418"/>
      <c r="Q208" s="1418"/>
      <c r="R208" s="1418"/>
      <c r="S208" s="1419"/>
      <c r="T208" s="1420"/>
      <c r="U208" s="1420">
        <f>AG5</f>
        <v>0</v>
      </c>
      <c r="V208" s="1418"/>
      <c r="W208" s="1418" t="str">
        <f>Dictionary!B899</f>
        <v>KCIs bestanden</v>
      </c>
      <c r="X208" s="1418"/>
      <c r="Y208" s="1418" t="str">
        <f>AG7</f>
        <v>Noch nicht best.</v>
      </c>
      <c r="Z208" s="1418"/>
      <c r="AA208" s="1421"/>
    </row>
    <row r="209" spans="2:27" s="321" customFormat="1" ht="14.5" customHeight="1">
      <c r="G209" s="1429"/>
      <c r="H209" s="1424"/>
      <c r="I209" s="1424" t="s">
        <v>2513</v>
      </c>
      <c r="J209" s="1424"/>
      <c r="K209" s="1424"/>
      <c r="L209" s="1424"/>
      <c r="M209" s="1424"/>
      <c r="N209" s="1424"/>
      <c r="O209" s="1424"/>
      <c r="P209" s="1424"/>
      <c r="Q209" s="1424"/>
      <c r="R209" s="1424"/>
      <c r="S209" s="1425"/>
      <c r="T209" s="1426"/>
      <c r="U209" s="1426">
        <f>COUNTIF(M14:M189,"&gt;"&amp;Dictionary!$I$52)</f>
        <v>0</v>
      </c>
      <c r="V209" s="1424"/>
      <c r="W209" s="1424" t="str">
        <f>Dictionary!B899</f>
        <v>KCIs bestanden</v>
      </c>
      <c r="X209" s="1424"/>
      <c r="Y209" s="1427" t="str">
        <f>IF(U210=0,Dictionary!B10,IF(U209&gt;=U210/2,Dictionary!B9,Dictionary!B10))</f>
        <v>Noch nicht best.</v>
      </c>
      <c r="Z209" s="1424"/>
      <c r="AA209" s="1428"/>
    </row>
    <row r="210" spans="2:27" s="321" customFormat="1" ht="14.5" customHeight="1">
      <c r="G210" s="1430"/>
      <c r="H210" s="1431"/>
      <c r="I210" s="1431"/>
      <c r="J210" s="1431"/>
      <c r="K210" s="1431"/>
      <c r="L210" s="1431"/>
      <c r="M210" s="1431"/>
      <c r="N210" s="1431"/>
      <c r="O210" s="1431"/>
      <c r="P210" s="1431"/>
      <c r="Q210" s="1431"/>
      <c r="R210" s="1431"/>
      <c r="S210" s="1432"/>
      <c r="T210" s="1433"/>
      <c r="U210" s="1433">
        <f>COUNTA(M14:M189)</f>
        <v>0</v>
      </c>
      <c r="V210" s="1431"/>
      <c r="W210" s="1431" t="str">
        <f>Dictionary!B879</f>
        <v>gestellte Fragen</v>
      </c>
      <c r="X210" s="1431"/>
      <c r="Y210" s="1431"/>
      <c r="Z210" s="1431"/>
      <c r="AA210" s="1434"/>
    </row>
    <row r="211" spans="2:27" s="321" customFormat="1" ht="14.5" customHeight="1">
      <c r="T211" s="371"/>
    </row>
    <row r="212" spans="2:27" s="321" customFormat="1" ht="14.5" customHeight="1">
      <c r="G212" s="414" t="str">
        <f>Dictionary!B901</f>
        <v>Gesamtergebnis</v>
      </c>
      <c r="H212" s="415"/>
      <c r="I212" s="416"/>
      <c r="J212" s="416"/>
      <c r="K212" s="416"/>
      <c r="L212" s="415"/>
      <c r="M212" s="416"/>
      <c r="N212" s="415"/>
      <c r="O212" s="416"/>
      <c r="P212" s="415"/>
      <c r="Q212" s="416"/>
      <c r="R212" s="417"/>
      <c r="S212" s="417"/>
      <c r="T212" s="418"/>
      <c r="U212" s="418"/>
      <c r="V212" s="418"/>
      <c r="W212" s="418"/>
      <c r="X212" s="2407" t="str">
        <f>IF(SUM(U196:U198)=0,"",IF(HOMOLOG_FLAG="",IF(AND(Y206=Dictionary!B9,Y209=Dictionary!B9,OR(Y207=Dictionary!B9,LA_MODE="X"),OR(Y208=Dictionary!B9,CSW_FLAG=""),X199=Dictionary!B9),Dictionary!B9,Dictionary!B10),IF(AND(Y209=Dictionary!B9,Y208=Dictionary!B9),Dictionary!B9,Dictionary!B10)))</f>
        <v/>
      </c>
      <c r="Y212" s="2408"/>
      <c r="Z212" s="2409"/>
      <c r="AA212" s="419"/>
    </row>
    <row r="213" spans="2:27" s="321" customFormat="1" ht="14.5" customHeight="1">
      <c r="D213" s="312" t="s">
        <v>105</v>
      </c>
      <c r="T213" s="371"/>
    </row>
    <row r="214" spans="2:27" s="321" customFormat="1" ht="14.5" customHeight="1">
      <c r="D214" s="382"/>
      <c r="E214" s="314"/>
      <c r="Q214" s="314"/>
      <c r="T214" s="315"/>
      <c r="U214" s="314"/>
      <c r="W214" s="313"/>
      <c r="X214" s="314"/>
      <c r="Y214" s="314"/>
    </row>
    <row r="218" spans="2:27" s="384" customFormat="1">
      <c r="B218" s="383"/>
      <c r="C218" s="383"/>
      <c r="T218" s="385"/>
      <c r="W218" s="383"/>
    </row>
    <row r="219" spans="2:27" s="384" customFormat="1">
      <c r="B219" s="383"/>
      <c r="C219" s="383"/>
      <c r="T219" s="385"/>
      <c r="W219" s="383"/>
    </row>
    <row r="220" spans="2:27" s="384" customFormat="1">
      <c r="B220" s="383"/>
      <c r="C220" s="383"/>
      <c r="T220" s="385"/>
      <c r="W220" s="383"/>
    </row>
    <row r="221" spans="2:27" s="384" customFormat="1">
      <c r="B221" s="383"/>
      <c r="C221" s="383"/>
      <c r="T221" s="385"/>
      <c r="W221" s="383"/>
    </row>
    <row r="222" spans="2:27" s="384" customFormat="1">
      <c r="B222" s="383"/>
      <c r="C222" s="383"/>
      <c r="T222" s="385"/>
      <c r="W222" s="383"/>
    </row>
    <row r="223" spans="2:27" s="384" customFormat="1">
      <c r="B223" s="383"/>
      <c r="C223" s="383"/>
      <c r="T223" s="385"/>
      <c r="W223" s="383"/>
    </row>
    <row r="224" spans="2:27" s="384" customFormat="1">
      <c r="B224" s="383"/>
      <c r="C224" s="383"/>
      <c r="T224" s="385"/>
      <c r="W224" s="383"/>
    </row>
    <row r="225" spans="2:23" s="384" customFormat="1">
      <c r="B225" s="383"/>
      <c r="C225" s="383"/>
      <c r="T225" s="385"/>
      <c r="W225" s="383"/>
    </row>
    <row r="226" spans="2:23" s="384" customFormat="1">
      <c r="B226" s="383"/>
      <c r="C226" s="383"/>
      <c r="T226" s="385"/>
      <c r="W226" s="383"/>
    </row>
  </sheetData>
  <sheetProtection algorithmName="SHA-512" hashValue="/9465gNi5DK+RlQxAhb+A/fpSkRzuApcVLijGuBeDo0kQDgT/dgeKxCXDRVr0oVufZRAIbbMKsTmo41T7PcH6g==" saltValue="toOlSL5D+IKThpTMtZa1zg==" spinCount="100000" sheet="1" objects="1" scenarios="1" formatColumns="0" selectLockedCells="1"/>
  <mergeCells count="166">
    <mergeCell ref="C3:D4"/>
    <mergeCell ref="AC3:AE3"/>
    <mergeCell ref="C2:D2"/>
    <mergeCell ref="C11:C12"/>
    <mergeCell ref="AC189:AG189"/>
    <mergeCell ref="AC184:AG184"/>
    <mergeCell ref="AC185:AG185"/>
    <mergeCell ref="AC186:AG186"/>
    <mergeCell ref="AC187:AG187"/>
    <mergeCell ref="AC188:AG188"/>
    <mergeCell ref="E11:E12"/>
    <mergeCell ref="AC176:AG176"/>
    <mergeCell ref="AC177:AG177"/>
    <mergeCell ref="AC179:AG179"/>
    <mergeCell ref="AC180:AG180"/>
    <mergeCell ref="AC181:AG181"/>
    <mergeCell ref="AC182:AG182"/>
    <mergeCell ref="AC165:AG165"/>
    <mergeCell ref="AC167:AG167"/>
    <mergeCell ref="AC168:AG168"/>
    <mergeCell ref="AC169:AG169"/>
    <mergeCell ref="AC170:AG170"/>
    <mergeCell ref="AC171:AG171"/>
    <mergeCell ref="AC173:AG173"/>
    <mergeCell ref="AC174:AG174"/>
    <mergeCell ref="AC175:AG175"/>
    <mergeCell ref="AC155:AG155"/>
    <mergeCell ref="AC156:AG156"/>
    <mergeCell ref="AC157:AG157"/>
    <mergeCell ref="AC158:AG158"/>
    <mergeCell ref="AC160:AG160"/>
    <mergeCell ref="AC161:AG161"/>
    <mergeCell ref="AC162:AG162"/>
    <mergeCell ref="AC164:AG164"/>
    <mergeCell ref="AC134:AG134"/>
    <mergeCell ref="AC135:AG135"/>
    <mergeCell ref="AC137:AG137"/>
    <mergeCell ref="AC138:AG138"/>
    <mergeCell ref="AC139:AG139"/>
    <mergeCell ref="AC140:AG140"/>
    <mergeCell ref="AC141:AG141"/>
    <mergeCell ref="AC143:AG143"/>
    <mergeCell ref="AC163:AG163"/>
    <mergeCell ref="AC144:AG144"/>
    <mergeCell ref="AC145:AG145"/>
    <mergeCell ref="AC146:AG146"/>
    <mergeCell ref="AC147:AG147"/>
    <mergeCell ref="AC149:AG149"/>
    <mergeCell ref="AC150:AG150"/>
    <mergeCell ref="AC151:AG151"/>
    <mergeCell ref="AC152:AG152"/>
    <mergeCell ref="AC153:AG153"/>
    <mergeCell ref="AC126:AG126"/>
    <mergeCell ref="AC127:AG127"/>
    <mergeCell ref="AC128:AG128"/>
    <mergeCell ref="AC129:AG129"/>
    <mergeCell ref="AC118:AG118"/>
    <mergeCell ref="AC119:AG119"/>
    <mergeCell ref="AC130:AG130"/>
    <mergeCell ref="AC132:AG132"/>
    <mergeCell ref="AC133:AG133"/>
    <mergeCell ref="AC116:AG116"/>
    <mergeCell ref="AC111:AG111"/>
    <mergeCell ref="AC112:AG112"/>
    <mergeCell ref="AC113:AG113"/>
    <mergeCell ref="AC117:AG117"/>
    <mergeCell ref="AC121:AG121"/>
    <mergeCell ref="AC122:AG122"/>
    <mergeCell ref="AC123:AG123"/>
    <mergeCell ref="AC124:AG124"/>
    <mergeCell ref="AC100:AG100"/>
    <mergeCell ref="AC101:AG101"/>
    <mergeCell ref="AC102:AG102"/>
    <mergeCell ref="AC106:AG106"/>
    <mergeCell ref="AC107:AG107"/>
    <mergeCell ref="AC108:AG108"/>
    <mergeCell ref="AC109:AG109"/>
    <mergeCell ref="AC110:AG110"/>
    <mergeCell ref="AC115:AG115"/>
    <mergeCell ref="AC89:AG89"/>
    <mergeCell ref="AC90:AG90"/>
    <mergeCell ref="AC92:AG92"/>
    <mergeCell ref="AC93:AG93"/>
    <mergeCell ref="AC94:AG94"/>
    <mergeCell ref="AC95:AG95"/>
    <mergeCell ref="AC96:AG96"/>
    <mergeCell ref="AC98:AG98"/>
    <mergeCell ref="AC99:AG99"/>
    <mergeCell ref="AC78:AG78"/>
    <mergeCell ref="AC79:AG79"/>
    <mergeCell ref="AC81:AG81"/>
    <mergeCell ref="AC82:AG82"/>
    <mergeCell ref="AC83:AG83"/>
    <mergeCell ref="AC84:AG84"/>
    <mergeCell ref="AC86:AG86"/>
    <mergeCell ref="AC87:AG87"/>
    <mergeCell ref="AC88:AG88"/>
    <mergeCell ref="AC67:AG67"/>
    <mergeCell ref="AC69:AG69"/>
    <mergeCell ref="AC70:AG70"/>
    <mergeCell ref="AC71:AG71"/>
    <mergeCell ref="AC72:AG72"/>
    <mergeCell ref="AC73:AG73"/>
    <mergeCell ref="AC75:AG75"/>
    <mergeCell ref="AC76:AG76"/>
    <mergeCell ref="AC77:AG77"/>
    <mergeCell ref="AC57:AG57"/>
    <mergeCell ref="AC58:AG58"/>
    <mergeCell ref="AC59:AG59"/>
    <mergeCell ref="AC60:AG60"/>
    <mergeCell ref="AC61:AG61"/>
    <mergeCell ref="AC63:AG63"/>
    <mergeCell ref="AC64:AG64"/>
    <mergeCell ref="AC65:AG65"/>
    <mergeCell ref="AC66:AG66"/>
    <mergeCell ref="AC46:AG46"/>
    <mergeCell ref="AC47:AG47"/>
    <mergeCell ref="AC48:AG48"/>
    <mergeCell ref="AC49:AG49"/>
    <mergeCell ref="AC51:AG51"/>
    <mergeCell ref="AC52:AG52"/>
    <mergeCell ref="AC53:AG53"/>
    <mergeCell ref="AC54:AG54"/>
    <mergeCell ref="AC55:AG55"/>
    <mergeCell ref="AC32:AG32"/>
    <mergeCell ref="AC33:AG33"/>
    <mergeCell ref="AC35:AG35"/>
    <mergeCell ref="AC36:AG36"/>
    <mergeCell ref="AC37:AG37"/>
    <mergeCell ref="AC39:AG39"/>
    <mergeCell ref="AC40:AG40"/>
    <mergeCell ref="AC41:AG41"/>
    <mergeCell ref="AC45:AG45"/>
    <mergeCell ref="AC22:AG22"/>
    <mergeCell ref="AC23:AG23"/>
    <mergeCell ref="AC24:AG24"/>
    <mergeCell ref="AC25:AG25"/>
    <mergeCell ref="AC26:AG26"/>
    <mergeCell ref="AC28:AG28"/>
    <mergeCell ref="AC29:AG29"/>
    <mergeCell ref="AC30:AG30"/>
    <mergeCell ref="AC31:AG31"/>
    <mergeCell ref="AP194:AR194"/>
    <mergeCell ref="G5:Y8"/>
    <mergeCell ref="G9:Y9"/>
    <mergeCell ref="AF3:AG3"/>
    <mergeCell ref="G194:AA194"/>
    <mergeCell ref="G204:AA204"/>
    <mergeCell ref="X199:Z199"/>
    <mergeCell ref="X212:Z212"/>
    <mergeCell ref="I2:K2"/>
    <mergeCell ref="I3:K3"/>
    <mergeCell ref="L2:N2"/>
    <mergeCell ref="O2:Q2"/>
    <mergeCell ref="R2:U2"/>
    <mergeCell ref="L3:N3"/>
    <mergeCell ref="O3:Q3"/>
    <mergeCell ref="R3:U3"/>
    <mergeCell ref="AC11:AG11"/>
    <mergeCell ref="AC14:AG14"/>
    <mergeCell ref="AC15:AG15"/>
    <mergeCell ref="AC16:AG16"/>
    <mergeCell ref="AC17:AG17"/>
    <mergeCell ref="AC18:AG18"/>
    <mergeCell ref="AC20:AG20"/>
    <mergeCell ref="AC21:AG21"/>
  </mergeCells>
  <conditionalFormatting sqref="C9">
    <cfRule type="cellIs" dxfId="264" priority="47" operator="lessThan">
      <formula>$U$202</formula>
    </cfRule>
    <cfRule type="cellIs" dxfId="263" priority="46" operator="greaterThanOrEqual">
      <formula>$U$202</formula>
    </cfRule>
  </conditionalFormatting>
  <conditionalFormatting sqref="D9:E9">
    <cfRule type="containsText" dxfId="262" priority="51" operator="containsText" text="Fail">
      <formula>NOT(ISERROR(SEARCH("Fail",D9)))</formula>
    </cfRule>
    <cfRule type="containsText" dxfId="261" priority="50" operator="containsText" text="Pass">
      <formula>NOT(ISERROR(SEARCH("Pass",D9)))</formula>
    </cfRule>
  </conditionalFormatting>
  <conditionalFormatting sqref="I14:I18 I20:I26 I28:I33 I35:I37 I39:I41 I45:I49 I51:I55 I57:I61 I63:I67 I69:I73 I75:I79 I81:I84 I86:I90 I92:I96 I98:I102 I106:I113 I115:I119 I121:I124 I126:I130 I132:I135 I137:I141 I143:I147 I149:I153 I155:I158 I160:I165 I167:I171 I173:I177 I179:I182 I184:I189">
    <cfRule type="expression" dxfId="255" priority="9">
      <formula>AND($AS14&lt;&gt;"",GC_Flag="")</formula>
    </cfRule>
  </conditionalFormatting>
  <conditionalFormatting sqref="U13">
    <cfRule type="cellIs" dxfId="253" priority="120" operator="equal">
      <formula>"Fail"</formula>
    </cfRule>
    <cfRule type="cellIs" dxfId="252" priority="119" operator="equal">
      <formula>"Pass"</formula>
    </cfRule>
  </conditionalFormatting>
  <conditionalFormatting sqref="U19">
    <cfRule type="cellIs" dxfId="251" priority="118" operator="equal">
      <formula>"Fail"</formula>
    </cfRule>
    <cfRule type="cellIs" dxfId="250" priority="117" operator="equal">
      <formula>"Pass"</formula>
    </cfRule>
  </conditionalFormatting>
  <conditionalFormatting sqref="U27">
    <cfRule type="cellIs" dxfId="249" priority="116" operator="equal">
      <formula>"Fail"</formula>
    </cfRule>
    <cfRule type="cellIs" dxfId="248" priority="115" operator="equal">
      <formula>"Pass"</formula>
    </cfRule>
  </conditionalFormatting>
  <conditionalFormatting sqref="U34">
    <cfRule type="cellIs" dxfId="247" priority="114" operator="equal">
      <formula>"Fail"</formula>
    </cfRule>
    <cfRule type="cellIs" dxfId="246" priority="113" operator="equal">
      <formula>"Pass"</formula>
    </cfRule>
  </conditionalFormatting>
  <conditionalFormatting sqref="U38">
    <cfRule type="cellIs" dxfId="245" priority="112" operator="equal">
      <formula>"Fail"</formula>
    </cfRule>
    <cfRule type="cellIs" dxfId="244" priority="111" operator="equal">
      <formula>"Pass"</formula>
    </cfRule>
  </conditionalFormatting>
  <conditionalFormatting sqref="U44">
    <cfRule type="cellIs" dxfId="243" priority="110" operator="equal">
      <formula>"Fail"</formula>
    </cfRule>
    <cfRule type="cellIs" dxfId="242" priority="109" operator="equal">
      <formula>"Pass"</formula>
    </cfRule>
  </conditionalFormatting>
  <conditionalFormatting sqref="U50">
    <cfRule type="cellIs" dxfId="241" priority="107" operator="equal">
      <formula>"Pass"</formula>
    </cfRule>
    <cfRule type="cellIs" dxfId="240" priority="108" operator="equal">
      <formula>"Fail"</formula>
    </cfRule>
  </conditionalFormatting>
  <conditionalFormatting sqref="U56">
    <cfRule type="cellIs" dxfId="239" priority="105" operator="equal">
      <formula>"Pass"</formula>
    </cfRule>
    <cfRule type="cellIs" dxfId="238" priority="106" operator="equal">
      <formula>"Fail"</formula>
    </cfRule>
  </conditionalFormatting>
  <conditionalFormatting sqref="U62">
    <cfRule type="cellIs" dxfId="237" priority="104" operator="equal">
      <formula>"Fail"</formula>
    </cfRule>
    <cfRule type="cellIs" dxfId="236" priority="103" operator="equal">
      <formula>"Pass"</formula>
    </cfRule>
  </conditionalFormatting>
  <conditionalFormatting sqref="U68">
    <cfRule type="cellIs" dxfId="235" priority="102" operator="equal">
      <formula>"Fail"</formula>
    </cfRule>
    <cfRule type="cellIs" dxfId="234" priority="101" operator="equal">
      <formula>"Pass"</formula>
    </cfRule>
  </conditionalFormatting>
  <conditionalFormatting sqref="U74">
    <cfRule type="cellIs" dxfId="233" priority="100" operator="equal">
      <formula>"Fail"</formula>
    </cfRule>
    <cfRule type="cellIs" dxfId="232" priority="99" operator="equal">
      <formula>"Pass"</formula>
    </cfRule>
  </conditionalFormatting>
  <conditionalFormatting sqref="U80">
    <cfRule type="cellIs" dxfId="231" priority="98" operator="equal">
      <formula>"Fail"</formula>
    </cfRule>
    <cfRule type="cellIs" dxfId="230" priority="97" operator="equal">
      <formula>"Pass"</formula>
    </cfRule>
  </conditionalFormatting>
  <conditionalFormatting sqref="U85">
    <cfRule type="cellIs" dxfId="229" priority="96" operator="equal">
      <formula>"Fail"</formula>
    </cfRule>
    <cfRule type="cellIs" dxfId="228" priority="95" operator="equal">
      <formula>"Pass"</formula>
    </cfRule>
  </conditionalFormatting>
  <conditionalFormatting sqref="U91">
    <cfRule type="cellIs" dxfId="227" priority="94" operator="equal">
      <formula>"Fail"</formula>
    </cfRule>
    <cfRule type="cellIs" dxfId="226" priority="93" operator="equal">
      <formula>"Pass"</formula>
    </cfRule>
  </conditionalFormatting>
  <conditionalFormatting sqref="U97">
    <cfRule type="cellIs" dxfId="225" priority="92" operator="equal">
      <formula>"Fail"</formula>
    </cfRule>
    <cfRule type="cellIs" dxfId="224" priority="91" operator="equal">
      <formula>"Pass"</formula>
    </cfRule>
  </conditionalFormatting>
  <conditionalFormatting sqref="U105">
    <cfRule type="cellIs" dxfId="223" priority="89" operator="equal">
      <formula>"Pass"</formula>
    </cfRule>
    <cfRule type="cellIs" dxfId="222" priority="90" operator="equal">
      <formula>"Fail"</formula>
    </cfRule>
  </conditionalFormatting>
  <conditionalFormatting sqref="U114">
    <cfRule type="cellIs" dxfId="221" priority="88" operator="equal">
      <formula>"Fail"</formula>
    </cfRule>
    <cfRule type="cellIs" dxfId="220" priority="87" operator="equal">
      <formula>"Pass"</formula>
    </cfRule>
  </conditionalFormatting>
  <conditionalFormatting sqref="U120">
    <cfRule type="cellIs" dxfId="219" priority="85" operator="equal">
      <formula>"Pass"</formula>
    </cfRule>
    <cfRule type="cellIs" dxfId="218" priority="86" operator="equal">
      <formula>"Fail"</formula>
    </cfRule>
  </conditionalFormatting>
  <conditionalFormatting sqref="U125">
    <cfRule type="cellIs" dxfId="217" priority="83" operator="equal">
      <formula>"Pass"</formula>
    </cfRule>
    <cfRule type="cellIs" dxfId="216" priority="84" operator="equal">
      <formula>"Fail"</formula>
    </cfRule>
  </conditionalFormatting>
  <conditionalFormatting sqref="U131">
    <cfRule type="cellIs" dxfId="215" priority="81" operator="equal">
      <formula>"Pass"</formula>
    </cfRule>
    <cfRule type="cellIs" dxfId="214" priority="82" operator="equal">
      <formula>"Fail"</formula>
    </cfRule>
  </conditionalFormatting>
  <conditionalFormatting sqref="U136">
    <cfRule type="cellIs" dxfId="213" priority="79" operator="equal">
      <formula>"Pass"</formula>
    </cfRule>
    <cfRule type="cellIs" dxfId="212" priority="80" operator="equal">
      <formula>"Fail"</formula>
    </cfRule>
  </conditionalFormatting>
  <conditionalFormatting sqref="U142">
    <cfRule type="cellIs" dxfId="211" priority="77" operator="equal">
      <formula>"Pass"</formula>
    </cfRule>
    <cfRule type="cellIs" dxfId="210" priority="78" operator="equal">
      <formula>"Fail"</formula>
    </cfRule>
  </conditionalFormatting>
  <conditionalFormatting sqref="U148">
    <cfRule type="cellIs" dxfId="209" priority="76" operator="equal">
      <formula>"Fail"</formula>
    </cfRule>
    <cfRule type="cellIs" dxfId="208" priority="75" operator="equal">
      <formula>"Pass"</formula>
    </cfRule>
  </conditionalFormatting>
  <conditionalFormatting sqref="U154">
    <cfRule type="cellIs" dxfId="207" priority="74" operator="equal">
      <formula>"Fail"</formula>
    </cfRule>
    <cfRule type="cellIs" dxfId="206" priority="73" operator="equal">
      <formula>"Pass"</formula>
    </cfRule>
  </conditionalFormatting>
  <conditionalFormatting sqref="U159">
    <cfRule type="cellIs" dxfId="205" priority="72" operator="equal">
      <formula>"Fail"</formula>
    </cfRule>
    <cfRule type="cellIs" dxfId="204" priority="71" operator="equal">
      <formula>"Pass"</formula>
    </cfRule>
  </conditionalFormatting>
  <conditionalFormatting sqref="U166">
    <cfRule type="cellIs" dxfId="203" priority="70" operator="equal">
      <formula>"Fail"</formula>
    </cfRule>
    <cfRule type="cellIs" dxfId="202" priority="69" operator="equal">
      <formula>"Pass"</formula>
    </cfRule>
  </conditionalFormatting>
  <conditionalFormatting sqref="U172">
    <cfRule type="cellIs" dxfId="201" priority="68" operator="equal">
      <formula>"Fail"</formula>
    </cfRule>
    <cfRule type="cellIs" dxfId="200" priority="67" operator="equal">
      <formula>"Pass"</formula>
    </cfRule>
  </conditionalFormatting>
  <conditionalFormatting sqref="U178">
    <cfRule type="cellIs" dxfId="199" priority="66" operator="equal">
      <formula>"Fail"</formula>
    </cfRule>
    <cfRule type="cellIs" dxfId="198" priority="65" operator="equal">
      <formula>"Pass"</formula>
    </cfRule>
  </conditionalFormatting>
  <conditionalFormatting sqref="U183">
    <cfRule type="cellIs" dxfId="197" priority="26" operator="equal">
      <formula>"Pass"</formula>
    </cfRule>
    <cfRule type="cellIs" dxfId="196" priority="27" operator="equal">
      <formula>"Fail"</formula>
    </cfRule>
  </conditionalFormatting>
  <conditionalFormatting sqref="W3">
    <cfRule type="containsText" dxfId="195" priority="25" operator="containsText" text="CONFIGURING WORKSHEET">
      <formula>NOT(ISERROR(SEARCH("CONFIGURING WORKSHEET",W3)))</formula>
    </cfRule>
  </conditionalFormatting>
  <conditionalFormatting sqref="Y3">
    <cfRule type="expression" dxfId="190" priority="22">
      <formula>$Y$3&gt;=$U$202</formula>
    </cfRule>
  </conditionalFormatting>
  <conditionalFormatting sqref="AD8 I12">
    <cfRule type="expression" dxfId="182" priority="48">
      <formula>$AD$6&gt;=$AD$7</formula>
    </cfRule>
  </conditionalFormatting>
  <conditionalFormatting sqref="AG7 K12">
    <cfRule type="expression" dxfId="179" priority="41">
      <formula>$AG$5&gt;=$AG$6</formula>
    </cfRule>
    <cfRule type="expression" dxfId="178" priority="42">
      <formula>$AG$5&lt;$AG$6</formula>
    </cfRule>
  </conditionalFormatting>
  <conditionalFormatting sqref="AG8">
    <cfRule type="containsText" dxfId="177" priority="35" operator="containsText" text="CONFIGURING WORKSHEET">
      <formula>NOT(ISERROR(SEARCH("CONFIGURING WORKSHEET",AG8)))</formula>
    </cfRule>
  </conditionalFormatting>
  <dataValidations count="2">
    <dataValidation type="whole" allowBlank="1" showInputMessage="1" showErrorMessage="1" sqref="W13 AC13 F14:F18 H14:H18 J14:J18 L14:L18 N14:N18 P14:P18 W19 AC19 F20:F26 H20:H26 J20:J26 L20:L26 N20:N26 P20:P26 W27 AC27 F28:F33 H28:H33 J28:J33 L28:L33 N28:N33 P28:P33 W34 AC34 F35:F37 H35:H37 J35:J37 L35:L37 N35:N37 P35:P37 W38 AC38 F39:F41 H39:H41 J39:J41 L39:L41 N39:N41 P39:P41 G42:G43 I42:I43 K42:K43 M42:M43 Q42:Q43 S42:S43 W44 AC44 F45:F49 H45:H49 J45:J49 L45:L49 N45:N49 P45:P49 W50 AC50 F51:F55 H51:H55 J51:J55 L51:L55 N51:N55 P51:P55 W56 AC56 F57:F61 H57:H61 J57:J61 L57:L61 N57:N61 P57:P61 W62 AC62 F63:F67 H63:H67 J63:J67 L63:L67 N63:N67 P63:P67 W68 AC68 F69:F73 H69:H73 J69:J73 L69:L73 N69:N73 P69:P73 W74 AC74 F75:F79 H75:H79 J75:J79 L75:L79 N75:N79 P75:P79 W80 AC80 F81:F84 H81:H84 J81:J84 L81:L84 N81:N84 P81:P84 W85 AC85 F86:F90 H86:H90 J86:J90 L86:L90 N86:N90 P86:P90 W91 AC91 F92:F96 H92:H96 J92:J96 L92:L96 N92:N96 P92:P96 W97 AC97 F98:F102 H98:H102 J98:J102 L98:L102 N98:N102 P98:P102 G103:G104 I103:I104 K103:K104 M103:M104 Q103:Q104 S103:S104 W105 AC105 F106:F113 H106:H113 J106:J113 L106:L113 N106:N113 P106:P113 W114 AC114 F115:F119 H115:H119 J115:J119 L115:L119 N115:N119 P115:P119 W120 AC120 F121:F124 H121:H124 J121:J124 L121:L124 N121:N124 P121:P124 W125 AC125 F126:F130 H126:H130 J126:J130 L126:L130 N126:N130 P126:P130 W131 AC131 F132:F135 H132:H135 J132:J135 L132:L135 N132:N135 P132:P135 W136 AC136 F137:F141 H137:H141 J137:J141 L137:L141 N137:N141 P137:P141 W142 AC142 F143:F147 H143:H147 J143:J147 L143:L147 N143:N147 P143:P147 W148 AC148 F149:F153 H149:H153 J149:J153 L149:L153 N149:N153 P149:P153 W154 AC154 F155:F158 H155:H158 J155:J158 L155:L158 N155:N158 P155:P158 W159 AC159 F160:F165 H160:H165 J160:J165 L160:L165 N160:N165 P160:P165 W166 AC166 F167:F171 H167:H171 J167:J171 L167:L171 N167:N171 P167:P171 W172 AC172 F173:F177 H173:H177 J173:J177 L173:L177 N173:N177 P173:P177 W178 AC178 F179:F182 H179:H182 J179:J182 L179:L182 N179:N182 P179:P182 W183 AC183 F184:F189 H184:H189 J184:J189 L184:L189 N184:N189 P184:P189" xr:uid="{00000000-0002-0000-4A00-000000000000}">
      <formula1>0</formula1>
      <formula2>5</formula2>
    </dataValidation>
    <dataValidation allowBlank="1" prompt="EN:_x000a_Select one of the standard messages, or enter free text_x000a__x000a_DE:_x000a_Wählen Sie eine der Standard-Begründungen aus, oder geben Sie Freitext ein" sqref="AA14:AA18 AA20:AA26 AA28:AA33 AA35:AA37 AA39:AA41 AA45:AA49 AA51:AA55 AA57:AA61 AA63:AA67 AA69:AA73 AA75:AA79 AA81:AA84 AA86:AA90 AA92:AA96 AA98:AA102 AA106:AA113 AA115:AA119 AA121:AA124 AA126:AA130 AA132:AA135 AA137:AA141 AA143:AA147 AA149:AA153 AA155:AA158 AA160:AA165 AA167:AA171 AA173:AA177 AA179:AA182 AA184:AA189" xr:uid="{00000000-0002-0000-4A00-000001000000}"/>
  </dataValidations>
  <pageMargins left="0.7" right="0.7" top="0.78740157499999996" bottom="0.78740157499999996" header="0.3" footer="0.3"/>
  <pageSetup scale="46" orientation="landscape" r:id="rId1"/>
  <headerFooter>
    <oddFooter>&amp;LDok.-Nr./Rev./Datum
F01         /  03   / 04.12.2020
&amp;F&amp;C&amp;U&amp;A&amp;RSeite &amp;P / &amp;N</oddFooter>
  </headerFooter>
  <rowBreaks count="2" manualBreakCount="2">
    <brk id="42" max="16383" man="1"/>
    <brk id="103" max="16383" man="1"/>
  </rowBreaks>
  <ignoredErrors>
    <ignoredError sqref="B26 B20 B21 B22 B23 B24 B25" numberStoredAsText="1"/>
    <ignoredError sqref="W3" unlockedFormula="1"/>
  </ignoredErrors>
  <legacyDrawing r:id="rId2"/>
  <extLst>
    <ext xmlns:x14="http://schemas.microsoft.com/office/spreadsheetml/2009/9/main" uri="{78C0D931-6437-407d-A8EE-F0AAD7539E65}">
      <x14:conditionalFormattings>
        <x14:conditionalFormatting xmlns:xm="http://schemas.microsoft.com/office/excel/2006/main">
          <x14:cfRule type="expression" priority="34" stopIfTrue="1" id="{00000000-000E-0000-4A00-000022000000}">
            <xm:f>COV!$V$71="X"</xm:f>
            <x14:dxf>
              <font>
                <color theme="0" tint="-0.24991607409894101"/>
              </font>
              <fill>
                <patternFill>
                  <bgColor theme="0" tint="-4.9958800012207406E-2"/>
                </patternFill>
              </fill>
            </x14:dxf>
          </x14:cfRule>
          <xm:sqref>G11:G12</xm:sqref>
        </x14:conditionalFormatting>
        <x14:conditionalFormatting xmlns:xm="http://schemas.microsoft.com/office/excel/2006/main">
          <x14:cfRule type="expression" priority="6" id="{00000000-000E-0000-4A00-000006000000}">
            <xm:f>'(8) Exam Evaluation'!$B$5&lt;20</xm:f>
            <x14:dxf>
              <font>
                <color theme="0" tint="-0.24991607409894101"/>
              </font>
              <fill>
                <patternFill>
                  <bgColor theme="0" tint="-4.9958800012207406E-2"/>
                </patternFill>
              </fill>
            </x14:dxf>
          </x14:cfRule>
          <x14:cfRule type="cellIs" priority="7" operator="lessThan" id="{00000000-000E-0000-4A00-000007000000}">
            <xm:f>'(8) Exam Evaluation'!$B$7</xm:f>
            <x14:dxf>
              <font>
                <b/>
                <i val="0"/>
                <color rgb="FFC00000"/>
              </font>
              <fill>
                <patternFill>
                  <bgColor theme="5" tint="0.79995117038483843"/>
                </patternFill>
              </fill>
            </x14:dxf>
          </x14:cfRule>
          <x14:cfRule type="cellIs" priority="8" operator="greaterThanOrEqual" id="{00000000-000E-0000-4A00-000008000000}">
            <xm:f>'(8) Exam Evaluation'!$B$7</xm:f>
            <x14:dxf>
              <font>
                <strike val="0"/>
                <color theme="1"/>
              </font>
              <fill>
                <patternFill>
                  <bgColor rgb="FF00FF00"/>
                </patternFill>
              </fill>
            </x14:dxf>
          </x14:cfRule>
          <xm:sqref>G12</xm:sqref>
        </x14:conditionalFormatting>
        <x14:conditionalFormatting xmlns:xm="http://schemas.microsoft.com/office/excel/2006/main">
          <x14:cfRule type="expression" priority="1" id="{00000000-000E-0000-4A00-000001000000}">
            <xm:f>COV!$D$80&lt;&gt;""</xm:f>
            <x14:dxf>
              <font>
                <color theme="0"/>
              </font>
              <fill>
                <patternFill>
                  <bgColor theme="0"/>
                </patternFill>
              </fill>
              <border>
                <left/>
                <right/>
                <top/>
                <bottom/>
              </border>
            </x14:dxf>
          </x14:cfRule>
          <xm:sqref>G14:I189 D191:I192</xm:sqref>
        </x14:conditionalFormatting>
        <x14:conditionalFormatting xmlns:xm="http://schemas.microsoft.com/office/excel/2006/main">
          <x14:cfRule type="expression" priority="17" id="{00000000-000E-0000-4A00-000011000000}">
            <xm:f>COV!$D$75=""</xm:f>
            <x14:dxf>
              <font>
                <color theme="0" tint="-0.14993743705557422"/>
              </font>
              <fill>
                <patternFill>
                  <bgColor theme="0"/>
                </patternFill>
              </fill>
              <border>
                <left/>
                <right/>
                <top/>
                <bottom/>
              </border>
            </x14:dxf>
          </x14:cfRule>
          <xm:sqref>K14:K189</xm:sqref>
        </x14:conditionalFormatting>
        <x14:conditionalFormatting xmlns:xm="http://schemas.microsoft.com/office/excel/2006/main">
          <x14:cfRule type="iconSet" priority="5" id="{18A12966-1BE2-4063-AEB7-738A66BFE8A2}">
            <x14:iconSet iconSet="3Symbols" showValue="0" custom="1">
              <x14:cfvo type="percent">
                <xm:f>0</xm:f>
              </x14:cfvo>
              <x14:cfvo type="num" gte="0">
                <xm:f>Dictionary!$I$53</xm:f>
              </x14:cfvo>
              <x14:cfvo type="num">
                <xm:f>Dictionary!$I$52+1</xm:f>
              </x14:cfvo>
              <x14:cfIcon iconSet="3Symbols" iconId="0"/>
              <x14:cfIcon iconSet="3Symbols" iconId="1"/>
              <x14:cfIcon iconSet="3Symbols" iconId="2"/>
            </x14:iconSet>
          </x14:cfRule>
          <xm:sqref>T14:T189</xm:sqref>
        </x14:conditionalFormatting>
        <x14:conditionalFormatting xmlns:xm="http://schemas.microsoft.com/office/excel/2006/main">
          <x14:cfRule type="containsText" priority="31" operator="containsText" id="{E1F48840-52A5-4453-8010-AE0E17415A09}">
            <xm:f>NOT(ISERROR(SEARCH(Dictionary!$B$9,X199)))</xm:f>
            <xm:f>Dictionary!$B$9</xm:f>
            <x14:dxf>
              <font>
                <b/>
                <i val="0"/>
                <color theme="9" tint="-0.49995422223578601"/>
              </font>
              <fill>
                <patternFill>
                  <bgColor theme="9" tint="0.79995117038483843"/>
                </patternFill>
              </fill>
            </x14:dxf>
          </x14:cfRule>
          <x14:cfRule type="containsText" priority="30" operator="containsText" id="{744A7A96-924F-4871-98C9-7A8C2E3C5055}">
            <xm:f>NOT(ISERROR(SEARCH(Dictionary!$B$10,X199)))</xm:f>
            <xm:f>Dictionary!$B$10</xm:f>
            <x14:dxf>
              <font>
                <b/>
                <i val="0"/>
                <color rgb="FFA50021"/>
              </font>
              <fill>
                <patternFill>
                  <bgColor theme="5" tint="0.59993285927915285"/>
                </patternFill>
              </fill>
            </x14:dxf>
          </x14:cfRule>
          <xm:sqref>X199</xm:sqref>
        </x14:conditionalFormatting>
        <x14:conditionalFormatting xmlns:xm="http://schemas.microsoft.com/office/excel/2006/main">
          <x14:cfRule type="containsText" priority="28" operator="containsText" id="{9D8A1D3C-DE6E-4B6C-BFAB-5C0F772391E0}">
            <xm:f>NOT(ISERROR(SEARCH(Dictionary!$B$10,X212)))</xm:f>
            <xm:f>Dictionary!$B$10</xm:f>
            <x14:dxf>
              <font>
                <b/>
                <i val="0"/>
                <color rgb="FFA50021"/>
              </font>
              <fill>
                <patternFill>
                  <bgColor theme="5" tint="0.59993285927915285"/>
                </patternFill>
              </fill>
            </x14:dxf>
          </x14:cfRule>
          <x14:cfRule type="containsText" priority="29" operator="containsText" id="{FB522CCF-8515-438A-941C-722FF0C962AA}">
            <xm:f>NOT(ISERROR(SEARCH(Dictionary!$B$9,X212)))</xm:f>
            <xm:f>Dictionary!$B$9</xm:f>
            <x14:dxf>
              <font>
                <b/>
                <i val="0"/>
                <color theme="9" tint="-0.49995422223578601"/>
              </font>
              <fill>
                <patternFill>
                  <bgColor theme="9" tint="0.79995117038483843"/>
                </patternFill>
              </fill>
            </x14:dxf>
          </x14:cfRule>
          <xm:sqref>X212</xm:sqref>
        </x14:conditionalFormatting>
        <x14:conditionalFormatting xmlns:xm="http://schemas.microsoft.com/office/excel/2006/main">
          <x14:cfRule type="containsText" priority="23" operator="containsText" id="{1F2FE9D4-DC03-40A6-9CBB-ABB9FDFA4A14}">
            <xm:f>NOT(ISERROR(SEARCH(Dictionary!$B$10,AA3)))</xm:f>
            <xm:f>Dictionary!$B$10</xm:f>
            <x14:dxf>
              <font>
                <b/>
                <i val="0"/>
                <color rgb="FFA50021"/>
              </font>
              <fill>
                <gradientFill degree="90">
                  <stop position="0">
                    <color theme="5" tint="0.40000610370189521"/>
                  </stop>
                  <stop position="0.5">
                    <color theme="5" tint="0.59996337778862885"/>
                  </stop>
                  <stop position="1">
                    <color theme="5" tint="0.40000610370189521"/>
                  </stop>
                </gradientFill>
              </fill>
            </x14:dxf>
          </x14:cfRule>
          <x14:cfRule type="containsText" priority="24" operator="containsText" id="{7D5A92A8-AD38-42C5-BA89-0F99BA57D7B6}">
            <xm:f>NOT(ISERROR(SEARCH(Dictionary!$B$9,AA3)))</xm:f>
            <xm:f>Dictionary!$B$9</xm:f>
            <x14:dxf>
              <font>
                <b/>
                <i val="0"/>
                <color theme="9" tint="-0.49995422223578601"/>
              </font>
              <fill>
                <patternFill patternType="solid">
                  <bgColor rgb="FF66FF33"/>
                </patternFill>
              </fill>
            </x14:dxf>
          </x14:cfRule>
          <xm:sqref>AA3</xm:sqref>
        </x14:conditionalFormatting>
        <x14:conditionalFormatting xmlns:xm="http://schemas.microsoft.com/office/excel/2006/main">
          <x14:cfRule type="expression" priority="12" id="{00000000-000E-0000-4A00-00000C000000}">
            <xm:f>$Y$209=Dictionary!$B$9</xm:f>
            <x14:dxf>
              <font>
                <color theme="1"/>
              </font>
              <fill>
                <patternFill>
                  <bgColor rgb="FF66FF66"/>
                </patternFill>
              </fill>
            </x14:dxf>
          </x14:cfRule>
          <x14:cfRule type="expression" priority="13" id="{00000000-000E-0000-4A00-00000D000000}">
            <xm:f>$Y$209=Dictionary!$B$10</xm:f>
            <x14:dxf>
              <font>
                <b/>
                <i val="0"/>
                <color rgb="FFC00000"/>
              </font>
              <fill>
                <patternFill>
                  <bgColor theme="5" tint="0.79995117038483843"/>
                </patternFill>
              </fill>
            </x14:dxf>
          </x14:cfRule>
          <xm:sqref>AA8 M12</xm:sqref>
        </x14:conditionalFormatting>
        <x14:conditionalFormatting xmlns:xm="http://schemas.microsoft.com/office/excel/2006/main">
          <x14:cfRule type="expression" priority="2" id="{00000000-000E-0000-4A00-000002000000}">
            <xm:f>COV!$D$80&lt;&gt;""</xm:f>
            <x14:dxf>
              <font>
                <color theme="0" tint="-0.14993743705557422"/>
              </font>
              <fill>
                <patternFill>
                  <bgColor theme="0" tint="-4.9958800012207406E-2"/>
                </patternFill>
              </fill>
            </x14:dxf>
          </x14:cfRule>
          <xm:sqref>AC3:AE9 G11:G12 I11:I12</xm:sqref>
        </x14:conditionalFormatting>
        <x14:conditionalFormatting xmlns:xm="http://schemas.microsoft.com/office/excel/2006/main">
          <x14:cfRule type="expression" priority="4" id="{00000000-000E-0000-4A00-000004000000}">
            <xm:f>COV!$D$93&lt;&gt;""</xm:f>
            <x14:dxf>
              <fill>
                <patternFill>
                  <bgColor theme="4" tint="0.79995117038483843"/>
                </patternFill>
              </fill>
            </x14:dxf>
          </x14:cfRule>
          <xm:sqref>AD5</xm:sqref>
        </x14:conditionalFormatting>
        <x14:conditionalFormatting xmlns:xm="http://schemas.microsoft.com/office/excel/2006/main">
          <x14:cfRule type="expression" priority="3" id="{00000000-000E-0000-4A00-000003000000}">
            <xm:f>COV!$D$93&lt;&gt;0</xm:f>
            <x14:dxf>
              <font>
                <b/>
                <i val="0"/>
              </font>
              <fill>
                <patternFill>
                  <bgColor theme="9" tint="0.79995117038483843"/>
                </patternFill>
              </fill>
              <border>
                <left style="hair">
                  <color theme="0" tint="-0.49995422223578601"/>
                </left>
                <right style="hair">
                  <color theme="0" tint="-0.49995422223578601"/>
                </right>
                <top style="hair">
                  <color theme="0" tint="-0.49995422223578601"/>
                </top>
                <bottom style="hair">
                  <color theme="0" tint="-0.49995422223578601"/>
                </bottom>
              </border>
            </x14:dxf>
          </x14:cfRule>
          <xm:sqref>AD6</xm:sqref>
        </x14:conditionalFormatting>
        <x14:conditionalFormatting xmlns:xm="http://schemas.microsoft.com/office/excel/2006/main">
          <x14:cfRule type="expression" priority="49" id="{00000000-000E-0000-4A00-000031000000}">
            <xm:f>OR(AND(COV!$D$93="",$AD$6&lt;$AD$7),AND(COV!$D$93&lt;&gt;"",$AR$197+$AR$198&lt;2))</xm:f>
            <x14:dxf>
              <font>
                <b/>
                <i val="0"/>
                <color rgb="FFC00000"/>
              </font>
              <fill>
                <patternFill>
                  <bgColor theme="5" tint="0.79995117038483843"/>
                </patternFill>
              </fill>
            </x14:dxf>
          </x14:cfRule>
          <xm:sqref>AD8 I12</xm:sqref>
        </x14:conditionalFormatting>
        <x14:conditionalFormatting xmlns:xm="http://schemas.microsoft.com/office/excel/2006/main">
          <x14:cfRule type="expression" priority="18" id="{00000000-000E-0000-4A00-000012000000}">
            <xm:f>COV!$D$75=""</xm:f>
            <x14:dxf>
              <font>
                <color theme="0" tint="-0.34995574816125979"/>
              </font>
              <fill>
                <patternFill>
                  <bgColor theme="0" tint="-4.9958800012207406E-2"/>
                </patternFill>
              </fill>
            </x14:dxf>
          </x14:cfRule>
          <xm:sqref>AF3 AF4:AG9 K11:K12 G208:AA208</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4A00-000002000000}">
          <x14:formula1>
            <xm:f>'Control Values'!$B$42:$B$47</xm:f>
          </x14:formula1>
          <xm:sqref>I14:I18 K14:K18 M14:M18 Q14:Q18 I20:I26 K20:K26 M20:M26 Q20:Q26 I28:I33 K28:K33 M28:M33 Q28:Q33 I35:I37 K35:K37 M35:M37 Q35:Q37 I39:I41 K39:K41 M39:M41 Q39:Q41 I45:I49 K45:K49 M45:M49 Q45:Q49 I51:I55 K51:K55 M51:M55 Q51:Q55 I57:I61 K57:K61 M57:M61 Q57:Q61 I63:I67 K63:K67 M63:M67 Q63:Q67 I69:I73 K69:K73 M69:M73 Q69:Q73 I75:I79 K75:K79 M75:M79 Q75:Q79 I81:I84 K81:K84 M81:M84 Q81:Q84 I86:I90 K86:K90 M86:M90 Q86:Q90 I92:I96 K92:K96 M92:M96 Q92:Q96 I98:I102 K98:K102 M98:M102 Q98:Q102 I106:I113 K106:K113 M106:M113 Q106:Q113 I115:I119 K115:K119 M115:M119 Q115:Q119 I121:I124 K121:K124 M121:M124 Q121:Q124 I126:I130 K126:K130 M126:M130 Q126:Q130 I132:I135 K132:K135 M132:M135 Q132:Q135 I137:I141 K137:K141 M137:M141 Q137:Q141 I143:I147 K143:K147 M143:M147 Q143:Q147 I149:I153 K149:K153 M149:M153 Q149:Q153 I155:I158 K155:K158 M155:M158 Q155:Q158 I160:I165 K160:K165 M160:M165 Q160:Q165 I167:I171 K167:K171 M167:M171 Q167:Q171 I173:I177 K173:K177 M173:M177 Q173:Q177 I179:I182 K179:K182 M179:M182 Q179:Q182 I184:I189 K184:K189 M184:M189 Q184:Q189</xm:sqref>
        </x14:dataValidation>
        <x14:dataValidation type="list" allowBlank="1" showInputMessage="1" showErrorMessage="1" xr:uid="{00000000-0002-0000-4A00-000003000000}">
          <x14:formula1>
            <xm:f>'Control Values'!$B$50:$B$51</xm:f>
          </x14:formula1>
          <xm:sqref>S14:S18 S20:S26 S28:S33 S35:S37 S39:S41 S45:S49 S51:S55 S57:S61 S63:S67 S69:S73 S75:S79 S81:S84 S86:S90 S92:S96 S98:S102 S106:S113 S115:S119 S121:S124 S126:S130 S132:S135 S137:S141 S143:S147 S149:S153 S155:S158 S160:S165 S167:S171 S173:S177 S179:S182 S184:S189</xm:sqref>
        </x14:dataValidation>
        <x14:dataValidation type="list" allowBlank="1" showInputMessage="1" prompt="EN:_x000a_Select one of the standard messages, or enter free text_x000a__x000a_DE:_x000a_Wählen Sie eine der Standard-Begründungen aus, oder geben Sie Freitext ein" xr:uid="{00000000-0002-0000-4A00-000004000000}">
          <x14:formula1>
            <xm:f>Dictionary!$B$913:$B$918</xm:f>
          </x14:formula1>
          <xm:sqref>W14:W18 Y14:Y18 W20:W26 Y20:Y26 W28:W33 Y28:Y33 W35:W37 Y35:Y37 W39:W41 Y39:Y41 W45:W49 Y45:Y49 W51:W55 Y51:Y55 W57:W61 Y57:Y61 W63:W67 Y63:Y67 W69:W73 Y69:Y73 W75:W79 Y75:Y79 W81:W84 Y81:Y84 W86:W90 Y86:Y90 W92:W96 Y92:Y96 W98:W102 Y98:Y102 W106:W113 Y106:Y113 W115:W119 Y115:Y119 W121:W124 Y121:Y124 W126:W130 Y126:Y130 W132:W135 Y132:Y135 W137:W141 Y137:Y141 W143:W147 Y143:Y147 W149:W153 Y149:Y153 W155:W158 Y155:Y158 W160:W165 Y160:Y165 W167:W171 Y167:Y171 W173:W177 Y173:Y177 W179:W182 Y179:Y182 W184:W189 Y184:Y189</xm:sqref>
        </x14:dataValidation>
        <x14:dataValidation type="list" allowBlank="1" showInputMessage="1" showErrorMessage="1" xr:uid="{00000000-0002-0000-4A00-000005000000}">
          <x14:formula1>
            <xm:f>COV!$I$75:$I$77</xm:f>
          </x14:formula1>
          <xm:sqref>W3</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F3BA2-5B8A-4032-950C-4BF4ACCF9B44}">
  <sheetPr codeName="Sheet1">
    <tabColor rgb="FFFF0000"/>
    <pageSetUpPr fitToPage="1"/>
  </sheetPr>
  <dimension ref="B1:F190"/>
  <sheetViews>
    <sheetView workbookViewId="0">
      <selection activeCell="H6" sqref="H6"/>
    </sheetView>
  </sheetViews>
  <sheetFormatPr baseColWidth="10" defaultColWidth="9.1640625" defaultRowHeight="15"/>
  <cols>
    <col min="1" max="1" width="9.1640625" style="1843"/>
    <col min="2" max="3" width="9.1640625" style="1848"/>
    <col min="4" max="4" width="11.1640625" style="1848" customWidth="1"/>
    <col min="5" max="5" width="78.33203125" style="1849" customWidth="1"/>
    <col min="6" max="16384" width="9.1640625" style="1843"/>
  </cols>
  <sheetData>
    <row r="1" spans="2:6">
      <c r="B1" s="1843"/>
      <c r="C1" s="1843"/>
      <c r="D1" s="1843"/>
      <c r="E1" s="1850" t="s">
        <v>4170</v>
      </c>
      <c r="F1" s="1844"/>
    </row>
    <row r="2" spans="2:6">
      <c r="B2" s="1843"/>
      <c r="C2" s="1843"/>
      <c r="D2" s="1843"/>
      <c r="E2" s="1843"/>
    </row>
    <row r="3" spans="2:6">
      <c r="B3" s="2428" t="str">
        <f>COV!D94&amp;" "&amp;Report_Feedback_Title_1_String&amp;Cert_Round</f>
        <v xml:space="preserve"> IPMA Zertifizierung Zert. Nummer:</v>
      </c>
      <c r="C3" s="2429"/>
      <c r="D3" s="2429"/>
      <c r="E3" s="2429"/>
    </row>
    <row r="4" spans="2:6" ht="19">
      <c r="B4" s="2430" t="str">
        <f>Report_Feedback_Title_2_String&amp;Scoring_Cand_Name</f>
        <v xml:space="preserve">Report Feedback für , </v>
      </c>
      <c r="C4" s="2431"/>
      <c r="D4" s="2431"/>
      <c r="E4" s="2431"/>
    </row>
    <row r="5" spans="2:6">
      <c r="B5" s="2432" t="str">
        <f>by_string&amp;Lead_Assessor&amp;", Lead Assessor"</f>
        <v>von Lead Assessor:, Lead Assessor</v>
      </c>
      <c r="C5" s="2433"/>
      <c r="D5" s="2433"/>
      <c r="E5" s="2433"/>
    </row>
    <row r="6" spans="2:6">
      <c r="B6" s="2428" t="str">
        <f ca="1">Cert_Body&amp;", "&amp;TEXT(TODAY(),"yyyy-mm-dd")</f>
        <v>PM ZERT, 2026-03-16</v>
      </c>
      <c r="C6" s="2429"/>
      <c r="D6" s="2429"/>
      <c r="E6" s="2429"/>
    </row>
    <row r="7" spans="2:6">
      <c r="B7" s="1843"/>
      <c r="C7" s="1843"/>
      <c r="D7" s="1843"/>
      <c r="E7" s="1843"/>
    </row>
    <row r="8" spans="2:6">
      <c r="B8" s="1843"/>
      <c r="C8" s="1843"/>
      <c r="D8" s="1851"/>
      <c r="E8" s="1856" t="str">
        <f>C13</f>
        <v>Erf.
Kompet.
Stufe</v>
      </c>
    </row>
    <row r="9" spans="2:6">
      <c r="B9" s="1843"/>
      <c r="C9" s="1843"/>
      <c r="D9" s="1852" t="str">
        <f>Dictionary!B551&amp;" 1"</f>
        <v>Stufe 1</v>
      </c>
      <c r="E9" s="1853" t="str">
        <f>Dictionary!B542&amp;" / "&amp;Dictionary!B543</f>
        <v>Wissen vorhanden / verstehen</v>
      </c>
    </row>
    <row r="10" spans="2:6">
      <c r="B10" s="1843"/>
      <c r="C10" s="1843"/>
      <c r="D10" s="1852" t="str">
        <f>Dictionary!B551&amp;" 2"</f>
        <v>Stufe 2</v>
      </c>
      <c r="E10" s="1853" t="str">
        <f>Dictionary!B544&amp;" / "&amp;Dictionary!B545</f>
        <v>Fertigkeiten vorhanden / handeln</v>
      </c>
    </row>
    <row r="11" spans="2:6">
      <c r="B11" s="1843"/>
      <c r="C11" s="1843"/>
      <c r="D11" s="1854" t="str">
        <f>Dictionary!B551&amp;" 3"</f>
        <v>Stufe 3</v>
      </c>
      <c r="E11" s="1855" t="str">
        <f>Dictionary!B546&amp;" / "&amp;Dictionary!B547</f>
        <v>Fähigkeiten vorhanden / gestalten</v>
      </c>
    </row>
    <row r="12" spans="2:6">
      <c r="B12" s="1843"/>
      <c r="C12" s="1843"/>
      <c r="D12" s="1843"/>
      <c r="E12" s="1843"/>
    </row>
    <row r="13" spans="2:6" ht="48">
      <c r="B13" s="1844" t="s">
        <v>2021</v>
      </c>
      <c r="C13" s="1845" t="str">
        <f>Feedback_CompetenceLevel_String</f>
        <v>Erf.
Kompet.
Stufe</v>
      </c>
      <c r="D13" s="1844" t="str">
        <f>Feedback_Score_String</f>
        <v>Bewertung</v>
      </c>
      <c r="E13" s="1844" t="str">
        <f>Feedback_Remark_String</f>
        <v>Feedback Kommentar</v>
      </c>
    </row>
    <row r="14" spans="2:6" ht="46.5" customHeight="1">
      <c r="B14" s="1846" t="str" cm="1">
        <f t="array" ref="B14">IFERROR(_xlfn.LET(_xlpm.codes,Scoring!$B$13:$B$189,_xlpm.levels,Scoring!$C$13:$C$189,_xlpm.scores,Scoring!$I$13:$I$189,_xlpm.comments,Scoring!$W$13:$W$189,_xlpm.r,ROW(_xlpm.codes),_xlpm.headRows,IF(LEN(_xlpm.codes)&gt;3,_xlpm.r,NA()),_xlpm.cePrefix,LOOKUP(_xlpm.r,_xlpm.headRows,_xlpm.codes),_xlpm.kci,_xlpm.cePrefix&amp;_xlpm.codes,_xlpm.data,CHOOSE({1,2,3,4},_xlpm.kci,_xlpm.levels,_xlpm.scores,_xlpm.comments),IF(GC_Flag="",_xlfn._xlws.FILTER(_xlpm.data,(_xlpm.scores&lt;1)*(_xlpm.scores&lt;&gt;"")*(_xlpm.comments&lt;&gt;"")),_xlfn._xlws.FILTER(_xlpm.data,(_xlpm.scores&lt;4)*(_xlpm.scores&lt;&gt;"")*(_xlpm.comments&lt;&gt;"")))),"")</f>
        <v/>
      </c>
      <c r="C14" s="1846"/>
      <c r="D14" s="1846"/>
      <c r="E14" s="1847"/>
    </row>
    <row r="15" spans="2:6" ht="46.5" customHeight="1"/>
    <row r="16" spans="2:6" ht="46.5" customHeight="1"/>
    <row r="17" ht="46.5" customHeight="1"/>
    <row r="18" ht="46.5" customHeight="1"/>
    <row r="19" ht="46.5" customHeight="1"/>
    <row r="20" ht="46.5" customHeight="1"/>
    <row r="21" ht="46.5" customHeight="1"/>
    <row r="22" ht="46.5" customHeight="1"/>
    <row r="23" ht="46.5" customHeight="1"/>
    <row r="24" ht="46.5" customHeight="1"/>
    <row r="25" ht="46.5" customHeight="1"/>
    <row r="26" ht="46.5" customHeight="1"/>
    <row r="27" ht="46.5" customHeight="1"/>
    <row r="28" ht="46.5" customHeight="1"/>
    <row r="29" ht="46.5" customHeight="1"/>
    <row r="30" ht="46.5" customHeight="1"/>
    <row r="31" ht="46.5" customHeight="1"/>
    <row r="32" ht="46.5" customHeight="1"/>
    <row r="33" ht="46.5" customHeight="1"/>
    <row r="34" ht="46.5" customHeight="1"/>
    <row r="35" ht="46.5" customHeight="1"/>
    <row r="36" ht="46.5" customHeight="1"/>
    <row r="37" ht="46.5" customHeight="1"/>
    <row r="38" ht="46.5" customHeight="1"/>
    <row r="39" ht="46.5" customHeight="1"/>
    <row r="40" ht="46.5" customHeight="1"/>
    <row r="41" ht="46.5" customHeight="1"/>
    <row r="42" ht="46.5" customHeight="1"/>
    <row r="43" ht="46.5" customHeight="1"/>
    <row r="44" ht="46.5" customHeight="1"/>
    <row r="45" ht="46.5" customHeight="1"/>
    <row r="46" ht="46.5" customHeight="1"/>
    <row r="47" ht="46.5" customHeight="1"/>
    <row r="48" ht="46.5" customHeight="1"/>
    <row r="49" ht="46.5" customHeight="1"/>
    <row r="50" ht="46.5" customHeight="1"/>
    <row r="51" ht="46.5" customHeight="1"/>
    <row r="52" ht="46.5" customHeight="1"/>
    <row r="53" ht="46.5" customHeight="1"/>
    <row r="54" ht="46.5" customHeight="1"/>
    <row r="55" ht="46.5" customHeight="1"/>
    <row r="56" ht="46.5" customHeight="1"/>
    <row r="57" ht="46.5" customHeight="1"/>
    <row r="58" ht="46.5" customHeight="1"/>
    <row r="59" ht="46.5" customHeight="1"/>
    <row r="60" ht="46.5" customHeight="1"/>
    <row r="61" ht="46.5" customHeight="1"/>
    <row r="62" ht="46.5" customHeight="1"/>
    <row r="63" ht="46.5" customHeight="1"/>
    <row r="64" ht="46.5" customHeight="1"/>
    <row r="65" ht="46.5" customHeight="1"/>
    <row r="66" ht="46.5" customHeight="1"/>
    <row r="67" ht="46.5" customHeight="1"/>
    <row r="68" ht="46.5" customHeight="1"/>
    <row r="69" ht="46.5" customHeight="1"/>
    <row r="70" ht="46.5" customHeight="1"/>
    <row r="71" ht="46.5" customHeight="1"/>
    <row r="72" ht="46.5" customHeight="1"/>
    <row r="73" ht="46.5" customHeight="1"/>
    <row r="74" ht="46.5" customHeight="1"/>
    <row r="75" ht="46.5" customHeight="1"/>
    <row r="76" ht="46.5" customHeight="1"/>
    <row r="77" ht="46.5" customHeight="1"/>
    <row r="78" ht="46.5" customHeight="1"/>
    <row r="79" ht="46.5" customHeight="1"/>
    <row r="80" ht="46.5" customHeight="1"/>
    <row r="81" ht="46.5" customHeight="1"/>
    <row r="82" ht="46.5" customHeight="1"/>
    <row r="83" ht="46.5" customHeight="1"/>
    <row r="84" ht="46.5" customHeight="1"/>
    <row r="85" ht="46.5" customHeight="1"/>
    <row r="86" ht="46.5" customHeight="1"/>
    <row r="87" ht="46.5" customHeight="1"/>
    <row r="88" ht="46.5" customHeight="1"/>
    <row r="89" ht="46.5" customHeight="1"/>
    <row r="90" ht="46.5" customHeight="1"/>
    <row r="91" ht="46.5" customHeight="1"/>
    <row r="92" ht="46.5" customHeight="1"/>
    <row r="93" ht="46.5" customHeight="1"/>
    <row r="94" ht="46.5" customHeight="1"/>
    <row r="95" ht="46.5" customHeight="1"/>
    <row r="96" ht="46.5" customHeight="1"/>
    <row r="97" ht="46.5" customHeight="1"/>
    <row r="98" ht="46.5" customHeight="1"/>
    <row r="99" ht="46.5" customHeight="1"/>
    <row r="100" ht="46.5" customHeight="1"/>
    <row r="101" ht="46.5" customHeight="1"/>
    <row r="102" ht="46.5" customHeight="1"/>
    <row r="103" ht="46.5" customHeight="1"/>
    <row r="104" ht="46.5" customHeight="1"/>
    <row r="105" ht="46.5" customHeight="1"/>
    <row r="106" ht="46.5" customHeight="1"/>
    <row r="107" ht="46.5" customHeight="1"/>
    <row r="108" ht="46.5" customHeight="1"/>
    <row r="109" ht="46.5" customHeight="1"/>
    <row r="110" ht="46.5" customHeight="1"/>
    <row r="111" ht="46.5" customHeight="1"/>
    <row r="112" ht="46.5" customHeight="1"/>
    <row r="113" ht="46.5" customHeight="1"/>
    <row r="114" ht="46.5" customHeight="1"/>
    <row r="115" ht="46.5" customHeight="1"/>
    <row r="116" ht="46.5" customHeight="1"/>
    <row r="117" ht="46.5" customHeight="1"/>
    <row r="118" ht="46.5" customHeight="1"/>
    <row r="119" ht="46.5" customHeight="1"/>
    <row r="120" ht="46.5" customHeight="1"/>
    <row r="121" ht="46.5" customHeight="1"/>
    <row r="122" ht="46.5" customHeight="1"/>
    <row r="123" ht="46.5" customHeight="1"/>
    <row r="124" ht="46.5" customHeight="1"/>
    <row r="125" ht="46.5" customHeight="1"/>
    <row r="126" ht="46.5" customHeight="1"/>
    <row r="127" ht="46.5" customHeight="1"/>
    <row r="128" ht="46.5" customHeight="1"/>
    <row r="129" ht="46.5" customHeight="1"/>
    <row r="130" ht="46.5" customHeight="1"/>
    <row r="131" ht="46.5" customHeight="1"/>
    <row r="132" ht="46.5" customHeight="1"/>
    <row r="133" ht="46.5" customHeight="1"/>
    <row r="134" ht="46.5" customHeight="1"/>
    <row r="135" ht="46.5" customHeight="1"/>
    <row r="136" ht="46.5" customHeight="1"/>
    <row r="137" ht="46.5" customHeight="1"/>
    <row r="138" ht="46.5" customHeight="1"/>
    <row r="139" ht="46.5" customHeight="1"/>
    <row r="140" ht="46.5" customHeight="1"/>
    <row r="141" ht="46.5" customHeight="1"/>
    <row r="142" ht="46.5" customHeight="1"/>
    <row r="143" ht="46.5" customHeight="1"/>
    <row r="144" ht="46.5" customHeight="1"/>
    <row r="145" ht="46.5" customHeight="1"/>
    <row r="146" ht="46.5" customHeight="1"/>
    <row r="147" ht="46.5" customHeight="1"/>
    <row r="148" ht="46.5" customHeight="1"/>
    <row r="149" ht="46.5" customHeight="1"/>
    <row r="150" ht="46.5" customHeight="1"/>
    <row r="151" ht="46.5" customHeight="1"/>
    <row r="152" ht="46.5" customHeight="1"/>
    <row r="153" ht="46.5" customHeight="1"/>
    <row r="154" ht="46.5" customHeight="1"/>
    <row r="155" ht="46.5" customHeight="1"/>
    <row r="156" ht="46.5" customHeight="1"/>
    <row r="157" ht="46.5" customHeight="1"/>
    <row r="158" ht="46.5" customHeight="1"/>
    <row r="159" ht="46.5" customHeight="1"/>
    <row r="160" ht="46.5" customHeight="1"/>
    <row r="161" ht="46.5" customHeight="1"/>
    <row r="162" ht="46.5" customHeight="1"/>
    <row r="163" ht="46.5" customHeight="1"/>
    <row r="164" ht="46.5" customHeight="1"/>
    <row r="165" ht="46.5" customHeight="1"/>
    <row r="166" ht="46.5" customHeight="1"/>
    <row r="167" ht="46.5" customHeight="1"/>
    <row r="168" ht="46.5" customHeight="1"/>
    <row r="169" ht="46.5" customHeight="1"/>
    <row r="170" ht="46.5" customHeight="1"/>
    <row r="171" ht="46.5" customHeight="1"/>
    <row r="172" ht="46.5" customHeight="1"/>
    <row r="173" ht="46.5" customHeight="1"/>
    <row r="174" ht="46.5" customHeight="1"/>
    <row r="175" ht="46.5" customHeight="1"/>
    <row r="176" ht="46.5" customHeight="1"/>
    <row r="177" ht="46.5" customHeight="1"/>
    <row r="178" ht="46.5" customHeight="1"/>
    <row r="179" ht="46.5" customHeight="1"/>
    <row r="180" ht="46.5" customHeight="1"/>
    <row r="181" ht="46.5" customHeight="1"/>
    <row r="182" ht="46.5" customHeight="1"/>
    <row r="183" ht="46.5" customHeight="1"/>
    <row r="184" ht="46.5" customHeight="1"/>
    <row r="185" ht="46.5" customHeight="1"/>
    <row r="186" ht="46.5" customHeight="1"/>
    <row r="187" ht="46.5" customHeight="1"/>
    <row r="188" ht="46.5" customHeight="1"/>
    <row r="189" ht="46.5" customHeight="1"/>
    <row r="190" ht="46.5" customHeight="1"/>
  </sheetData>
  <sheetProtection algorithmName="SHA-512" hashValue="+GrK2sSClhktYtU52UjNkVOb9lNQz3jRl5gzn3Wk221InaLO1Bi10xWbr0ssBlEFnF7AHVIy0eFKS1HTPbIh/Q==" saltValue="0Uv8Xr3yf1dr/F0TcePnGw==" spinCount="100000" sheet="1" objects="1" scenarios="1" formatColumns="0" selectLockedCells="1"/>
  <mergeCells count="4">
    <mergeCell ref="B3:E3"/>
    <mergeCell ref="B4:E4"/>
    <mergeCell ref="B5:E5"/>
    <mergeCell ref="B6:E6"/>
  </mergeCells>
  <pageMargins left="0.7" right="0.7" top="0.75" bottom="0.75" header="0.3" footer="0.3"/>
  <pageSetup paperSize="9" scale="69" fitToHeight="0"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5AE94-EE0D-4439-8FCB-3E43CD0CD208}">
  <sheetPr codeName="Level_D_Scoring">
    <tabColor rgb="FFC00000"/>
  </sheetPr>
  <dimension ref="B1:AG199"/>
  <sheetViews>
    <sheetView showGridLines="0" zoomScale="80" zoomScaleNormal="80" zoomScalePageLayoutView="125" workbookViewId="0">
      <pane ySplit="9" topLeftCell="A103" activePane="bottomLeft" state="frozen"/>
      <selection activeCell="B109" sqref="B109"/>
      <selection pane="bottomLeft" activeCell="V179" sqref="V179:Z179"/>
    </sheetView>
  </sheetViews>
  <sheetFormatPr baseColWidth="10" defaultColWidth="10" defaultRowHeight="14"/>
  <cols>
    <col min="1" max="1" width="2.33203125" style="314" customWidth="1"/>
    <col min="2" max="2" width="7.5" style="313" customWidth="1"/>
    <col min="3" max="3" width="51.83203125" style="314" customWidth="1"/>
    <col min="4" max="4" width="0.83203125" style="314" customWidth="1"/>
    <col min="5" max="5" width="17.83203125" style="314" customWidth="1"/>
    <col min="6" max="6" width="1" style="314" customWidth="1"/>
    <col min="7" max="7" width="17.83203125" style="314" customWidth="1"/>
    <col min="8" max="8" width="1" style="314" hidden="1" customWidth="1"/>
    <col min="9" max="9" width="6.33203125" style="314" hidden="1" customWidth="1"/>
    <col min="10" max="10" width="1" style="314" hidden="1" customWidth="1"/>
    <col min="11" max="11" width="6.33203125" style="314" hidden="1" customWidth="1"/>
    <col min="12" max="12" width="1" style="314" hidden="1" customWidth="1"/>
    <col min="13" max="13" width="6.33203125" style="314" hidden="1" customWidth="1"/>
    <col min="14" max="14" width="1" style="314" hidden="1" customWidth="1"/>
    <col min="15" max="15" width="6.33203125" style="314" hidden="1" customWidth="1"/>
    <col min="16" max="16" width="0.83203125" style="314" customWidth="1"/>
    <col min="17" max="17" width="2" style="315" customWidth="1"/>
    <col min="18" max="18" width="17.83203125" style="314" customWidth="1"/>
    <col min="19" max="19" width="0.83203125" style="314" customWidth="1"/>
    <col min="20" max="20" width="4.83203125" style="314" hidden="1" customWidth="1"/>
    <col min="21" max="21" width="0.83203125" style="314" customWidth="1"/>
    <col min="22" max="22" width="13.1640625" style="313" customWidth="1"/>
    <col min="23" max="23" width="0.83203125" style="314" customWidth="1"/>
    <col min="24" max="24" width="14.6640625" style="314" customWidth="1"/>
    <col min="25" max="25" width="20.33203125" style="314" customWidth="1"/>
    <col min="26" max="26" width="14.6640625" style="314" customWidth="1"/>
    <col min="27" max="27" width="1.6640625" style="314" customWidth="1"/>
    <col min="28" max="28" width="21.1640625" style="314" customWidth="1"/>
    <col min="29" max="29" width="14" style="314" customWidth="1"/>
    <col min="30" max="30" width="14" style="314" hidden="1" customWidth="1"/>
    <col min="31" max="32" width="9.5" style="314" hidden="1" customWidth="1"/>
    <col min="33" max="33" width="9.5" style="314" customWidth="1"/>
    <col min="34" max="34" width="10" style="314" customWidth="1"/>
    <col min="35" max="16384" width="10" style="314"/>
  </cols>
  <sheetData>
    <row r="1" spans="2:33" ht="40.5" customHeight="1">
      <c r="C1" s="316" t="str">
        <f>IF(GC_Flag="",Dictionary!B932,Dictionary!B933)</f>
        <v>Bewertung Level D</v>
      </c>
    </row>
    <row r="2" spans="2:33" ht="18" customHeight="1">
      <c r="C2" s="324" t="str">
        <f>'EXP Eval'!B3</f>
        <v xml:space="preserve">, </v>
      </c>
      <c r="F2" s="386"/>
      <c r="G2" s="386"/>
      <c r="H2" s="386"/>
      <c r="I2" s="386"/>
      <c r="J2" s="386"/>
      <c r="K2" s="387"/>
      <c r="L2" s="386"/>
      <c r="R2" s="388"/>
      <c r="S2" s="388"/>
      <c r="T2" s="388"/>
      <c r="U2" s="388"/>
      <c r="V2" s="387" t="s">
        <v>289</v>
      </c>
      <c r="W2" s="388"/>
      <c r="X2" s="389" t="str">
        <f>COV!V13</f>
        <v>Lead Assessor:</v>
      </c>
      <c r="Y2" s="387" t="s">
        <v>482</v>
      </c>
      <c r="Z2" s="389" t="str">
        <f>COV!V14</f>
        <v>Co Assessor:</v>
      </c>
      <c r="AA2" s="317"/>
      <c r="AB2" s="317"/>
      <c r="AC2" s="317"/>
      <c r="AD2" s="317"/>
      <c r="AE2" s="318"/>
      <c r="AF2" s="318"/>
      <c r="AG2" s="318"/>
    </row>
    <row r="3" spans="2:33" ht="19.25" customHeight="1">
      <c r="D3" s="320"/>
      <c r="E3" s="317"/>
      <c r="F3" s="317"/>
      <c r="G3" s="317"/>
      <c r="H3" s="317"/>
      <c r="I3" s="317"/>
      <c r="J3" s="317"/>
      <c r="K3" s="317"/>
      <c r="L3" s="317"/>
      <c r="R3" s="317"/>
      <c r="S3" s="317"/>
      <c r="T3" s="317"/>
      <c r="U3" s="317"/>
      <c r="V3" s="317"/>
      <c r="W3" s="317"/>
      <c r="X3" s="317"/>
      <c r="Y3" s="317"/>
      <c r="Z3" s="317"/>
      <c r="AA3" s="317"/>
      <c r="AB3" s="321"/>
      <c r="AC3" s="321"/>
      <c r="AD3" s="321"/>
      <c r="AE3" s="321"/>
      <c r="AF3" s="321"/>
      <c r="AG3" s="321"/>
    </row>
    <row r="4" spans="2:33" ht="19.25" customHeight="1">
      <c r="B4" s="390">
        <f>E179+G179</f>
        <v>0</v>
      </c>
      <c r="C4" s="391" t="str">
        <f>Dictionary!B923</f>
        <v>Perspective Kompetenz Elemente erfüllt</v>
      </c>
      <c r="D4" s="320"/>
      <c r="E4" s="2434" t="s">
        <v>4096</v>
      </c>
      <c r="F4" s="2435"/>
      <c r="G4" s="2435"/>
      <c r="H4" s="2435"/>
      <c r="I4" s="2435"/>
      <c r="J4" s="2435"/>
      <c r="K4" s="2435"/>
      <c r="L4" s="2435"/>
      <c r="M4" s="2435"/>
      <c r="N4" s="2435"/>
      <c r="O4" s="2435"/>
      <c r="P4" s="2435"/>
      <c r="Q4" s="2435"/>
      <c r="R4" s="2436"/>
      <c r="S4" s="317"/>
      <c r="T4" s="317"/>
      <c r="U4" s="317"/>
      <c r="V4" s="420"/>
      <c r="W4" s="421"/>
      <c r="X4" s="421"/>
      <c r="Y4" s="421"/>
      <c r="Z4" s="422"/>
      <c r="AA4" s="317"/>
      <c r="AD4" s="321"/>
      <c r="AE4" s="321"/>
      <c r="AF4" s="321"/>
      <c r="AG4" s="321"/>
    </row>
    <row r="5" spans="2:33" ht="19.25" customHeight="1">
      <c r="B5" s="394">
        <f>E180+G180</f>
        <v>0</v>
      </c>
      <c r="C5" s="395" t="str">
        <f>Dictionary!B924</f>
        <v>People Kompetenz Elemente erfüllt</v>
      </c>
      <c r="D5" s="320"/>
      <c r="E5" s="2437"/>
      <c r="F5" s="2438"/>
      <c r="G5" s="2438"/>
      <c r="H5" s="2438"/>
      <c r="I5" s="2438"/>
      <c r="J5" s="2438"/>
      <c r="K5" s="2438"/>
      <c r="L5" s="2438"/>
      <c r="M5" s="2438"/>
      <c r="N5" s="2438"/>
      <c r="O5" s="2438"/>
      <c r="P5" s="2438"/>
      <c r="Q5" s="2438"/>
      <c r="R5" s="2439"/>
      <c r="S5" s="317"/>
      <c r="T5" s="317"/>
      <c r="U5" s="317"/>
      <c r="V5" s="423" t="str">
        <f>Dictionary!B927</f>
        <v>Schriftliche Prüfungsvariante:</v>
      </c>
      <c r="W5" s="424"/>
      <c r="X5" s="424"/>
      <c r="Y5" s="2443"/>
      <c r="Z5" s="2444"/>
      <c r="AA5" s="317"/>
      <c r="AD5" s="321"/>
      <c r="AE5" s="321"/>
      <c r="AF5" s="321"/>
      <c r="AG5" s="321"/>
    </row>
    <row r="6" spans="2:33" ht="19.25" customHeight="1">
      <c r="B6" s="394">
        <f>E181+G181</f>
        <v>0</v>
      </c>
      <c r="C6" s="395" t="str">
        <f>Dictionary!B925</f>
        <v>Practice Kompetenz Elemente erfüllt</v>
      </c>
      <c r="D6" s="320"/>
      <c r="E6" s="2437"/>
      <c r="F6" s="2438"/>
      <c r="G6" s="2438"/>
      <c r="H6" s="2438"/>
      <c r="I6" s="2438"/>
      <c r="J6" s="2438"/>
      <c r="K6" s="2438"/>
      <c r="L6" s="2438"/>
      <c r="M6" s="2438"/>
      <c r="N6" s="2438"/>
      <c r="O6" s="2438"/>
      <c r="P6" s="2438"/>
      <c r="Q6" s="2438"/>
      <c r="R6" s="2439"/>
      <c r="S6" s="317"/>
      <c r="T6" s="317"/>
      <c r="U6" s="317"/>
      <c r="V6" s="423"/>
      <c r="W6" s="424"/>
      <c r="X6" s="424"/>
      <c r="Y6" s="2445"/>
      <c r="Z6" s="2446"/>
      <c r="AA6" s="317"/>
      <c r="AD6" s="321"/>
      <c r="AE6" s="321"/>
      <c r="AF6" s="321"/>
      <c r="AG6" s="321"/>
    </row>
    <row r="7" spans="2:33" ht="17" customHeight="1">
      <c r="B7" s="1764">
        <f>SUM(B4:B6)</f>
        <v>0</v>
      </c>
      <c r="C7" s="397" t="str">
        <f>Dictionary!B946&amp;": "&amp;R182</f>
        <v xml:space="preserve">Gesamtergebnis: </v>
      </c>
      <c r="D7" s="318"/>
      <c r="E7" s="2440"/>
      <c r="F7" s="2441"/>
      <c r="G7" s="2441"/>
      <c r="H7" s="2441"/>
      <c r="I7" s="2441"/>
      <c r="J7" s="2441"/>
      <c r="K7" s="2441"/>
      <c r="L7" s="2441"/>
      <c r="M7" s="2441"/>
      <c r="N7" s="2441"/>
      <c r="O7" s="2441"/>
      <c r="P7" s="2441"/>
      <c r="Q7" s="2441"/>
      <c r="R7" s="2442"/>
      <c r="S7" s="317"/>
      <c r="T7" s="317"/>
      <c r="U7" s="317"/>
      <c r="V7" s="425"/>
      <c r="W7" s="426"/>
      <c r="X7" s="426"/>
      <c r="Y7" s="426"/>
      <c r="Z7" s="427"/>
      <c r="AA7" s="317"/>
      <c r="AB7" s="321"/>
      <c r="AC7" s="321"/>
      <c r="AD7" s="321"/>
      <c r="AE7" s="323"/>
      <c r="AF7" s="323"/>
      <c r="AG7" s="318"/>
    </row>
    <row r="8" spans="2:33" s="326" customFormat="1" ht="10.25" customHeight="1">
      <c r="B8" s="399"/>
      <c r="C8" s="400"/>
      <c r="D8" s="325"/>
      <c r="E8" s="325"/>
      <c r="F8" s="325"/>
      <c r="G8" s="325"/>
      <c r="H8" s="325"/>
      <c r="I8" s="325"/>
      <c r="J8" s="325"/>
      <c r="K8" s="325"/>
      <c r="L8" s="325"/>
      <c r="M8" s="325"/>
      <c r="N8" s="325"/>
      <c r="O8" s="317"/>
      <c r="Q8" s="327"/>
      <c r="R8" s="317"/>
      <c r="V8" s="328"/>
      <c r="W8" s="317"/>
      <c r="X8" s="329"/>
      <c r="Y8" s="330"/>
      <c r="Z8" s="321"/>
      <c r="AA8" s="321"/>
      <c r="AB8" s="321"/>
      <c r="AC8" s="321"/>
      <c r="AD8" s="321"/>
      <c r="AE8" s="331"/>
      <c r="AF8" s="331"/>
      <c r="AG8" s="325"/>
    </row>
    <row r="9" spans="2:33" s="326" customFormat="1" ht="36" customHeight="1">
      <c r="B9" s="332"/>
      <c r="C9" s="1714" t="str">
        <f>IF(SEGPMC_Flag="","","CE's marked blue must be evaluated at Level C!")</f>
        <v/>
      </c>
      <c r="D9" s="325"/>
      <c r="E9" s="333" t="s">
        <v>738</v>
      </c>
      <c r="F9" s="334"/>
      <c r="G9" s="333" t="str">
        <f>IF(SEGPMC_Flag="",Dictionary!B934,"D2")</f>
        <v>D2 oder Report</v>
      </c>
      <c r="H9" s="334"/>
      <c r="I9" s="335" t="s">
        <v>483</v>
      </c>
      <c r="J9" s="334"/>
      <c r="K9" s="335" t="s">
        <v>480</v>
      </c>
      <c r="L9" s="325"/>
      <c r="M9" s="336" t="s">
        <v>479</v>
      </c>
      <c r="N9" s="337"/>
      <c r="O9" s="338" t="s">
        <v>478</v>
      </c>
      <c r="Q9" s="331"/>
      <c r="R9" s="1952" t="str">
        <f>Dictionary!B941</f>
        <v>Endergebnis</v>
      </c>
      <c r="V9" s="2447" t="str">
        <f>Dictionary!B943</f>
        <v>Kommentare zur Schriftlichen Prüfung oder zum Report</v>
      </c>
      <c r="W9" s="2448"/>
      <c r="X9" s="2448"/>
      <c r="Y9" s="2448"/>
      <c r="Z9" s="2449"/>
      <c r="AA9" s="317"/>
      <c r="AB9" s="317"/>
      <c r="AC9" s="317"/>
      <c r="AD9" s="317"/>
    </row>
    <row r="10" spans="2:33" ht="18" customHeight="1">
      <c r="C10" s="334" t="str">
        <f>Dictionary!B1262</f>
        <v>Perspective Kompetenz Elemente</v>
      </c>
      <c r="D10" s="315"/>
      <c r="E10" s="315"/>
      <c r="F10" s="315"/>
      <c r="G10" s="315"/>
      <c r="H10" s="315"/>
      <c r="I10" s="315"/>
      <c r="J10" s="315"/>
      <c r="K10" s="315"/>
      <c r="L10" s="315"/>
      <c r="M10" s="315"/>
      <c r="N10" s="315"/>
      <c r="O10" s="315"/>
      <c r="R10" s="315"/>
      <c r="AE10" s="340"/>
      <c r="AF10" s="340"/>
      <c r="AG10" s="326"/>
    </row>
    <row r="11" spans="2:33" ht="20" customHeight="1">
      <c r="B11" s="341" t="s">
        <v>475</v>
      </c>
      <c r="C11" s="342" t="str">
        <f>Dictionary!B1263</f>
        <v>Strategie</v>
      </c>
      <c r="D11" s="343"/>
      <c r="E11" s="436"/>
      <c r="F11" s="343"/>
      <c r="G11" s="353"/>
      <c r="H11" s="345"/>
      <c r="I11" s="344"/>
      <c r="J11" s="345"/>
      <c r="K11" s="344"/>
      <c r="L11" s="343"/>
      <c r="M11" s="344"/>
      <c r="N11" s="345"/>
      <c r="O11" s="344"/>
      <c r="Q11" s="343"/>
      <c r="R11" s="346" t="str">
        <f>IF(AND(E11="",G11=""),"",IF((E11+G11)&gt;Dictionary!$I$52,"Pass","Fail"))</f>
        <v/>
      </c>
      <c r="T11" s="428">
        <f>COUNTIF(T12:T16,"&gt;3")/AE11</f>
        <v>0</v>
      </c>
      <c r="V11" s="2376"/>
      <c r="W11" s="2377"/>
      <c r="X11" s="2377"/>
      <c r="Y11" s="2377"/>
      <c r="Z11" s="2378"/>
      <c r="AA11" s="348"/>
      <c r="AB11" s="348"/>
      <c r="AC11" s="348"/>
      <c r="AD11" s="348"/>
      <c r="AE11" s="349">
        <v>5</v>
      </c>
      <c r="AF11" s="349">
        <f>ROUNDUP(AE11/2,0)</f>
        <v>3</v>
      </c>
    </row>
    <row r="12" spans="2:33" ht="18" hidden="1" customHeight="1">
      <c r="B12" s="350" t="str">
        <f>".1"</f>
        <v>.1</v>
      </c>
      <c r="C12" s="351" t="s">
        <v>474</v>
      </c>
      <c r="D12" s="352"/>
      <c r="E12" s="436"/>
      <c r="F12" s="354"/>
      <c r="G12" s="353"/>
      <c r="H12" s="354"/>
      <c r="I12" s="353"/>
      <c r="J12" s="354"/>
      <c r="K12" s="353"/>
      <c r="L12" s="354"/>
      <c r="M12" s="349" t="str">
        <f>IF(MAX(E12,G12,I12,K12)=0,"",MAX(E12,G12,I12,K12))</f>
        <v/>
      </c>
      <c r="N12" s="354"/>
      <c r="O12" s="355"/>
      <c r="Q12" s="356" t="str">
        <f>IF(T12&gt;0,T12,"")</f>
        <v/>
      </c>
      <c r="R12" s="346" t="str">
        <f>IF(AND(E12="",G12=""),"",IF((E12+G12)&gt;Dictionary!$I$52,"Pass","Fail"))</f>
        <v/>
      </c>
      <c r="T12" s="349" t="str">
        <f>Scoring!U14</f>
        <v/>
      </c>
      <c r="V12" s="2376"/>
      <c r="W12" s="2377"/>
      <c r="X12" s="2377"/>
      <c r="Y12" s="2377"/>
      <c r="Z12" s="2378"/>
      <c r="AA12" s="348"/>
      <c r="AB12" s="348"/>
      <c r="AC12" s="348"/>
      <c r="AD12" s="348"/>
      <c r="AE12" s="349"/>
      <c r="AF12" s="349"/>
    </row>
    <row r="13" spans="2:33" ht="24" hidden="1" customHeight="1">
      <c r="B13" s="350" t="str">
        <f>".2"</f>
        <v>.2</v>
      </c>
      <c r="C13" s="351" t="s">
        <v>473</v>
      </c>
      <c r="D13" s="352"/>
      <c r="E13" s="436"/>
      <c r="F13" s="354"/>
      <c r="G13" s="353"/>
      <c r="H13" s="354"/>
      <c r="I13" s="353"/>
      <c r="J13" s="354"/>
      <c r="K13" s="353"/>
      <c r="L13" s="354"/>
      <c r="M13" s="349" t="str">
        <f t="shared" ref="M13:M39" si="0">IF(MAX(E13,G13,I13,K13)=0,"",MAX(E13,G13,I13,K13))</f>
        <v/>
      </c>
      <c r="N13" s="354"/>
      <c r="O13" s="355"/>
      <c r="Q13" s="356" t="str">
        <f>IF(T13&gt;0,T13,"")</f>
        <v/>
      </c>
      <c r="R13" s="346" t="str">
        <f>IF(AND(E13="",G13=""),"",IF((E13+G13)&gt;Dictionary!$I$52,"Pass","Fail"))</f>
        <v/>
      </c>
      <c r="T13" s="349" t="str">
        <f>Scoring!U15</f>
        <v/>
      </c>
      <c r="V13" s="2376"/>
      <c r="W13" s="2377"/>
      <c r="X13" s="2377"/>
      <c r="Y13" s="2377"/>
      <c r="Z13" s="2378"/>
      <c r="AA13" s="348"/>
      <c r="AB13" s="348"/>
      <c r="AC13" s="348"/>
      <c r="AD13" s="348"/>
      <c r="AE13" s="349"/>
      <c r="AF13" s="349"/>
    </row>
    <row r="14" spans="2:33" ht="24" hidden="1" customHeight="1">
      <c r="B14" s="350" t="str">
        <f>".3"</f>
        <v>.3</v>
      </c>
      <c r="C14" s="351" t="s">
        <v>472</v>
      </c>
      <c r="D14" s="352"/>
      <c r="E14" s="436"/>
      <c r="F14" s="354"/>
      <c r="G14" s="353"/>
      <c r="H14" s="354"/>
      <c r="I14" s="353"/>
      <c r="J14" s="354"/>
      <c r="K14" s="353"/>
      <c r="L14" s="354"/>
      <c r="M14" s="349" t="str">
        <f t="shared" si="0"/>
        <v/>
      </c>
      <c r="N14" s="354"/>
      <c r="O14" s="355"/>
      <c r="Q14" s="356" t="str">
        <f>IF(T14&gt;0,T14,"")</f>
        <v/>
      </c>
      <c r="R14" s="346" t="str">
        <f>IF(AND(E14="",G14=""),"",IF((E14+G14)&gt;Dictionary!$I$52,"Pass","Fail"))</f>
        <v/>
      </c>
      <c r="T14" s="349" t="str">
        <f>Scoring!U16</f>
        <v/>
      </c>
      <c r="V14" s="2376"/>
      <c r="W14" s="2377"/>
      <c r="X14" s="2377"/>
      <c r="Y14" s="2377"/>
      <c r="Z14" s="2378"/>
      <c r="AA14" s="348"/>
      <c r="AB14" s="348"/>
      <c r="AC14" s="348"/>
      <c r="AD14" s="348"/>
      <c r="AE14" s="349"/>
      <c r="AF14" s="349"/>
    </row>
    <row r="15" spans="2:33" ht="18" hidden="1" customHeight="1">
      <c r="B15" s="350" t="str">
        <f>".4"</f>
        <v>.4</v>
      </c>
      <c r="C15" s="351" t="s">
        <v>471</v>
      </c>
      <c r="D15" s="352"/>
      <c r="E15" s="436"/>
      <c r="F15" s="354"/>
      <c r="G15" s="353"/>
      <c r="H15" s="354"/>
      <c r="I15" s="353"/>
      <c r="J15" s="354"/>
      <c r="K15" s="353"/>
      <c r="L15" s="354"/>
      <c r="M15" s="349" t="str">
        <f t="shared" si="0"/>
        <v/>
      </c>
      <c r="N15" s="354"/>
      <c r="O15" s="355"/>
      <c r="Q15" s="356" t="str">
        <f>IF(T15&gt;0,T15,"")</f>
        <v/>
      </c>
      <c r="R15" s="346" t="str">
        <f>IF(AND(E15="",G15=""),"",IF((E15+G15)&gt;Dictionary!$I$52,"Pass","Fail"))</f>
        <v/>
      </c>
      <c r="T15" s="349" t="str">
        <f>Scoring!U17</f>
        <v/>
      </c>
      <c r="V15" s="2376"/>
      <c r="W15" s="2377"/>
      <c r="X15" s="2377"/>
      <c r="Y15" s="2377"/>
      <c r="Z15" s="2378"/>
      <c r="AA15" s="348"/>
      <c r="AB15" s="348"/>
      <c r="AC15" s="348"/>
      <c r="AD15" s="348"/>
      <c r="AE15" s="349"/>
      <c r="AF15" s="349"/>
    </row>
    <row r="16" spans="2:33" ht="18" hidden="1" customHeight="1">
      <c r="B16" s="350" t="str">
        <f>".5"</f>
        <v>.5</v>
      </c>
      <c r="C16" s="351" t="s">
        <v>470</v>
      </c>
      <c r="D16" s="352"/>
      <c r="E16" s="436"/>
      <c r="F16" s="354"/>
      <c r="G16" s="353"/>
      <c r="H16" s="354"/>
      <c r="I16" s="353"/>
      <c r="J16" s="354"/>
      <c r="K16" s="353"/>
      <c r="L16" s="354"/>
      <c r="M16" s="349" t="str">
        <f t="shared" si="0"/>
        <v/>
      </c>
      <c r="N16" s="354"/>
      <c r="O16" s="355"/>
      <c r="Q16" s="356" t="str">
        <f>IF(T16&gt;0,T16,"")</f>
        <v/>
      </c>
      <c r="R16" s="346" t="str">
        <f>IF(AND(E16="",G16=""),"",IF((E16+G16)&gt;Dictionary!$I$52,"Pass","Fail"))</f>
        <v/>
      </c>
      <c r="T16" s="349" t="str">
        <f>Scoring!U18</f>
        <v/>
      </c>
      <c r="V16" s="2376"/>
      <c r="W16" s="2377"/>
      <c r="X16" s="2377"/>
      <c r="Y16" s="2377"/>
      <c r="Z16" s="2378"/>
      <c r="AA16" s="348"/>
      <c r="AB16" s="348"/>
      <c r="AC16" s="348"/>
      <c r="AD16" s="348"/>
      <c r="AE16" s="349"/>
      <c r="AF16" s="349"/>
    </row>
    <row r="17" spans="2:32" ht="20" customHeight="1">
      <c r="B17" s="341" t="s">
        <v>469</v>
      </c>
      <c r="C17" s="342" t="str">
        <f>Dictionary!B1271</f>
        <v>Governance, Strukturen und Prozesse</v>
      </c>
      <c r="D17" s="343"/>
      <c r="E17" s="436"/>
      <c r="F17" s="315"/>
      <c r="G17" s="353"/>
      <c r="H17" s="360"/>
      <c r="I17" s="359"/>
      <c r="J17" s="360"/>
      <c r="K17" s="359"/>
      <c r="L17" s="315"/>
      <c r="M17" s="359"/>
      <c r="N17" s="360"/>
      <c r="O17" s="359"/>
      <c r="Q17" s="356"/>
      <c r="R17" s="346" t="str">
        <f>IF(AND(E17="",G17=""),"",IF((E17+G17)&gt;Dictionary!$I$52,"Pass","Fail"))</f>
        <v/>
      </c>
      <c r="T17" s="428">
        <f>COUNTIF(T18:T24,"&gt;3")/AE17</f>
        <v>0</v>
      </c>
      <c r="V17" s="2376"/>
      <c r="W17" s="2377"/>
      <c r="X17" s="2377"/>
      <c r="Y17" s="2377"/>
      <c r="Z17" s="2378"/>
      <c r="AA17" s="348"/>
      <c r="AB17" s="348"/>
      <c r="AC17" s="348"/>
      <c r="AD17" s="348"/>
      <c r="AE17" s="362">
        <v>7</v>
      </c>
      <c r="AF17" s="349">
        <f>ROUNDUP(AE17/2,0)</f>
        <v>4</v>
      </c>
    </row>
    <row r="18" spans="2:32" ht="24" hidden="1" customHeight="1">
      <c r="B18" s="350" t="s">
        <v>516</v>
      </c>
      <c r="C18" s="351" t="s">
        <v>468</v>
      </c>
      <c r="D18" s="352"/>
      <c r="E18" s="353"/>
      <c r="F18" s="354"/>
      <c r="G18" s="353"/>
      <c r="H18" s="354"/>
      <c r="I18" s="353"/>
      <c r="J18" s="354"/>
      <c r="K18" s="353"/>
      <c r="L18" s="354"/>
      <c r="M18" s="349" t="str">
        <f t="shared" si="0"/>
        <v/>
      </c>
      <c r="N18" s="354"/>
      <c r="O18" s="355"/>
      <c r="Q18" s="356" t="str">
        <f t="shared" ref="Q18:Q24" si="1">IF(T18&gt;0,T18,"")</f>
        <v/>
      </c>
      <c r="R18" s="346" t="str">
        <f>IF(AND(E18="",G18=""),"",IF((E18+G18)&gt;Dictionary!$I$52,"Pass","Fail"))</f>
        <v/>
      </c>
      <c r="T18" s="349" t="str">
        <f>Scoring!U20</f>
        <v/>
      </c>
      <c r="V18" s="2376"/>
      <c r="W18" s="2377"/>
      <c r="X18" s="2377"/>
      <c r="Y18" s="2377"/>
      <c r="Z18" s="2378"/>
      <c r="AA18" s="348"/>
      <c r="AB18" s="348"/>
      <c r="AC18" s="348"/>
      <c r="AD18" s="348"/>
      <c r="AE18" s="349"/>
      <c r="AF18" s="349"/>
    </row>
    <row r="19" spans="2:32" ht="24" hidden="1" customHeight="1">
      <c r="B19" s="350" t="s">
        <v>517</v>
      </c>
      <c r="C19" s="351" t="s">
        <v>518</v>
      </c>
      <c r="D19" s="352"/>
      <c r="E19" s="353"/>
      <c r="F19" s="354"/>
      <c r="G19" s="353"/>
      <c r="H19" s="354"/>
      <c r="I19" s="353"/>
      <c r="J19" s="354"/>
      <c r="K19" s="353"/>
      <c r="L19" s="354"/>
      <c r="M19" s="349" t="str">
        <f t="shared" si="0"/>
        <v/>
      </c>
      <c r="N19" s="354"/>
      <c r="O19" s="355"/>
      <c r="Q19" s="356" t="str">
        <f t="shared" si="1"/>
        <v/>
      </c>
      <c r="R19" s="346" t="str">
        <f>IF(AND(E19="",G19=""),"",IF((E19+G19)&gt;Dictionary!$I$52,"Pass","Fail"))</f>
        <v/>
      </c>
      <c r="T19" s="349" t="str">
        <f>Scoring!U21</f>
        <v/>
      </c>
      <c r="V19" s="429"/>
      <c r="W19" s="430"/>
      <c r="X19" s="430"/>
      <c r="Y19" s="430"/>
      <c r="Z19" s="431"/>
      <c r="AA19" s="348"/>
      <c r="AB19" s="348"/>
      <c r="AC19" s="348"/>
      <c r="AD19" s="348"/>
      <c r="AE19" s="349"/>
      <c r="AF19" s="349"/>
    </row>
    <row r="20" spans="2:32" ht="24" hidden="1" customHeight="1">
      <c r="B20" s="350" t="s">
        <v>519</v>
      </c>
      <c r="C20" s="351" t="s">
        <v>520</v>
      </c>
      <c r="D20" s="352"/>
      <c r="E20" s="353"/>
      <c r="F20" s="354"/>
      <c r="G20" s="353"/>
      <c r="H20" s="354"/>
      <c r="I20" s="353"/>
      <c r="J20" s="354"/>
      <c r="K20" s="353"/>
      <c r="L20" s="354"/>
      <c r="M20" s="349" t="str">
        <f t="shared" si="0"/>
        <v/>
      </c>
      <c r="N20" s="354"/>
      <c r="O20" s="355"/>
      <c r="Q20" s="356" t="str">
        <f t="shared" si="1"/>
        <v/>
      </c>
      <c r="R20" s="346" t="str">
        <f>IF(AND(E20="",G20=""),"",IF((E20+G20)&gt;Dictionary!$I$52,"Pass","Fail"))</f>
        <v/>
      </c>
      <c r="T20" s="349" t="str">
        <f>Scoring!U22</f>
        <v/>
      </c>
      <c r="V20" s="429"/>
      <c r="W20" s="430"/>
      <c r="X20" s="430"/>
      <c r="Y20" s="430"/>
      <c r="Z20" s="431"/>
      <c r="AA20" s="348"/>
      <c r="AB20" s="348"/>
      <c r="AC20" s="348"/>
      <c r="AD20" s="348"/>
      <c r="AE20" s="349"/>
      <c r="AF20" s="349"/>
    </row>
    <row r="21" spans="2:32" ht="18" hidden="1" customHeight="1">
      <c r="B21" s="350" t="s">
        <v>521</v>
      </c>
      <c r="C21" s="351" t="s">
        <v>467</v>
      </c>
      <c r="D21" s="352"/>
      <c r="E21" s="353"/>
      <c r="F21" s="354"/>
      <c r="G21" s="353"/>
      <c r="H21" s="354"/>
      <c r="I21" s="353"/>
      <c r="J21" s="354"/>
      <c r="K21" s="353"/>
      <c r="L21" s="354"/>
      <c r="M21" s="349" t="str">
        <f t="shared" si="0"/>
        <v/>
      </c>
      <c r="N21" s="354"/>
      <c r="O21" s="355"/>
      <c r="Q21" s="356" t="str">
        <f t="shared" si="1"/>
        <v/>
      </c>
      <c r="R21" s="346" t="str">
        <f>IF(AND(E21="",G21=""),"",IF((E21+G21)&gt;Dictionary!$I$52,"Pass","Fail"))</f>
        <v/>
      </c>
      <c r="T21" s="349" t="str">
        <f>Scoring!U23</f>
        <v/>
      </c>
      <c r="V21" s="2376"/>
      <c r="W21" s="2377"/>
      <c r="X21" s="2377"/>
      <c r="Y21" s="2377"/>
      <c r="Z21" s="2378"/>
      <c r="AA21" s="348"/>
      <c r="AB21" s="348"/>
      <c r="AC21" s="348"/>
      <c r="AD21" s="348"/>
      <c r="AE21" s="349"/>
      <c r="AF21" s="349"/>
    </row>
    <row r="22" spans="2:32" ht="24" hidden="1" customHeight="1">
      <c r="B22" s="350" t="s">
        <v>522</v>
      </c>
      <c r="C22" s="351" t="s">
        <v>466</v>
      </c>
      <c r="D22" s="352"/>
      <c r="E22" s="353"/>
      <c r="F22" s="354"/>
      <c r="G22" s="353"/>
      <c r="H22" s="354"/>
      <c r="I22" s="353"/>
      <c r="J22" s="354"/>
      <c r="K22" s="353"/>
      <c r="L22" s="354"/>
      <c r="M22" s="349" t="str">
        <f t="shared" si="0"/>
        <v/>
      </c>
      <c r="N22" s="354"/>
      <c r="O22" s="355"/>
      <c r="Q22" s="356" t="str">
        <f t="shared" si="1"/>
        <v/>
      </c>
      <c r="R22" s="346" t="str">
        <f>IF(AND(E22="",G22=""),"",IF((E22+G22)&gt;Dictionary!$I$52,"Pass","Fail"))</f>
        <v/>
      </c>
      <c r="T22" s="349" t="str">
        <f>Scoring!U24</f>
        <v/>
      </c>
      <c r="V22" s="2376"/>
      <c r="W22" s="2377"/>
      <c r="X22" s="2377"/>
      <c r="Y22" s="2377"/>
      <c r="Z22" s="2378"/>
      <c r="AA22" s="348"/>
      <c r="AB22" s="348"/>
      <c r="AC22" s="348"/>
      <c r="AD22" s="348"/>
      <c r="AE22" s="349"/>
      <c r="AF22" s="349"/>
    </row>
    <row r="23" spans="2:32" ht="24" hidden="1" customHeight="1">
      <c r="B23" s="350" t="s">
        <v>523</v>
      </c>
      <c r="C23" s="351" t="s">
        <v>465</v>
      </c>
      <c r="D23" s="352"/>
      <c r="E23" s="353"/>
      <c r="F23" s="354"/>
      <c r="G23" s="353"/>
      <c r="H23" s="354"/>
      <c r="I23" s="353"/>
      <c r="J23" s="354"/>
      <c r="K23" s="353"/>
      <c r="L23" s="354"/>
      <c r="M23" s="349" t="str">
        <f t="shared" si="0"/>
        <v/>
      </c>
      <c r="N23" s="354"/>
      <c r="O23" s="355"/>
      <c r="Q23" s="356" t="str">
        <f t="shared" si="1"/>
        <v/>
      </c>
      <c r="R23" s="346" t="str">
        <f>IF(AND(E23="",G23=""),"",IF((E23+G23)&gt;Dictionary!$I$52,"Pass","Fail"))</f>
        <v/>
      </c>
      <c r="T23" s="349" t="str">
        <f>Scoring!U25</f>
        <v/>
      </c>
      <c r="V23" s="2376"/>
      <c r="W23" s="2377"/>
      <c r="X23" s="2377"/>
      <c r="Y23" s="2377"/>
      <c r="Z23" s="2378"/>
      <c r="AA23" s="348"/>
      <c r="AB23" s="348"/>
      <c r="AC23" s="348"/>
      <c r="AD23" s="348"/>
      <c r="AE23" s="349"/>
      <c r="AF23" s="349"/>
    </row>
    <row r="24" spans="2:32" ht="24" hidden="1" customHeight="1">
      <c r="B24" s="350" t="s">
        <v>524</v>
      </c>
      <c r="C24" s="351" t="s">
        <v>464</v>
      </c>
      <c r="D24" s="352"/>
      <c r="E24" s="353"/>
      <c r="F24" s="354"/>
      <c r="G24" s="353"/>
      <c r="H24" s="354"/>
      <c r="I24" s="353"/>
      <c r="J24" s="354"/>
      <c r="K24" s="353"/>
      <c r="L24" s="354"/>
      <c r="M24" s="349" t="str">
        <f t="shared" si="0"/>
        <v/>
      </c>
      <c r="N24" s="354"/>
      <c r="O24" s="355"/>
      <c r="Q24" s="356" t="str">
        <f t="shared" si="1"/>
        <v/>
      </c>
      <c r="R24" s="346" t="str">
        <f>IF(AND(E24="",G24=""),"",IF((E24+G24)&gt;Dictionary!$I$52,"Pass","Fail"))</f>
        <v/>
      </c>
      <c r="T24" s="349" t="str">
        <f>Scoring!U26</f>
        <v/>
      </c>
      <c r="V24" s="2376"/>
      <c r="W24" s="2377"/>
      <c r="X24" s="2377"/>
      <c r="Y24" s="2377"/>
      <c r="Z24" s="2378"/>
      <c r="AA24" s="348"/>
      <c r="AB24" s="348"/>
      <c r="AC24" s="348"/>
      <c r="AD24" s="348"/>
      <c r="AE24" s="349"/>
      <c r="AF24" s="349"/>
    </row>
    <row r="25" spans="2:32" ht="20" customHeight="1">
      <c r="B25" s="341" t="s">
        <v>463</v>
      </c>
      <c r="C25" s="342" t="str">
        <f>Dictionary!B1280</f>
        <v>Compliance, Standards und Regularien</v>
      </c>
      <c r="D25" s="343"/>
      <c r="E25" s="353"/>
      <c r="F25" s="315"/>
      <c r="G25" s="436"/>
      <c r="H25" s="360"/>
      <c r="I25" s="359"/>
      <c r="J25" s="360"/>
      <c r="K25" s="359"/>
      <c r="L25" s="315"/>
      <c r="M25" s="359"/>
      <c r="N25" s="360"/>
      <c r="O25" s="359"/>
      <c r="Q25" s="356"/>
      <c r="R25" s="346" t="str">
        <f>IF(AND(E25="",G25=""),"",IF((E25+G25)&gt;Dictionary!$I$52,"Pass","Fail"))</f>
        <v/>
      </c>
      <c r="T25" s="428">
        <f>COUNTIF(T26:T31,"&gt;3")/AE25</f>
        <v>0</v>
      </c>
      <c r="V25" s="2376"/>
      <c r="W25" s="2377"/>
      <c r="X25" s="2377"/>
      <c r="Y25" s="2377"/>
      <c r="Z25" s="2378"/>
      <c r="AA25" s="348"/>
      <c r="AB25" s="348"/>
      <c r="AC25" s="348"/>
      <c r="AD25" s="348"/>
      <c r="AE25" s="349">
        <v>6</v>
      </c>
      <c r="AF25" s="349">
        <f>ROUNDUP(AE25/2,0)</f>
        <v>3</v>
      </c>
    </row>
    <row r="26" spans="2:32" ht="24" hidden="1" customHeight="1">
      <c r="B26" s="350" t="str">
        <f>".1"</f>
        <v>.1</v>
      </c>
      <c r="C26" s="351" t="s">
        <v>462</v>
      </c>
      <c r="D26" s="352"/>
      <c r="E26" s="353"/>
      <c r="F26" s="354"/>
      <c r="G26" s="353"/>
      <c r="H26" s="354"/>
      <c r="I26" s="353"/>
      <c r="J26" s="354"/>
      <c r="K26" s="353"/>
      <c r="L26" s="354"/>
      <c r="M26" s="349" t="str">
        <f t="shared" si="0"/>
        <v/>
      </c>
      <c r="N26" s="354"/>
      <c r="O26" s="355"/>
      <c r="Q26" s="356" t="str">
        <f t="shared" ref="Q26:Q31" si="2">IF(T26&gt;0,T26,"")</f>
        <v/>
      </c>
      <c r="R26" s="346" t="str">
        <f>IF(AND(E26="",G26=""),"",IF((E26+G26)&gt;Dictionary!$I$52,"Pass","Fail"))</f>
        <v/>
      </c>
      <c r="T26" s="349" t="str">
        <f>Scoring!U28</f>
        <v/>
      </c>
      <c r="V26" s="2376"/>
      <c r="W26" s="2377"/>
      <c r="X26" s="2377"/>
      <c r="Y26" s="2377"/>
      <c r="Z26" s="2378"/>
      <c r="AA26" s="348"/>
      <c r="AB26" s="348"/>
      <c r="AC26" s="348"/>
      <c r="AD26" s="348"/>
      <c r="AE26" s="349"/>
      <c r="AF26" s="349"/>
    </row>
    <row r="27" spans="2:32" ht="36" hidden="1" customHeight="1">
      <c r="B27" s="350" t="str">
        <f>".2"</f>
        <v>.2</v>
      </c>
      <c r="C27" s="351" t="s">
        <v>461</v>
      </c>
      <c r="D27" s="352"/>
      <c r="E27" s="353"/>
      <c r="F27" s="354"/>
      <c r="G27" s="353"/>
      <c r="H27" s="354"/>
      <c r="I27" s="353"/>
      <c r="J27" s="354"/>
      <c r="K27" s="353"/>
      <c r="L27" s="354"/>
      <c r="M27" s="349" t="str">
        <f t="shared" si="0"/>
        <v/>
      </c>
      <c r="N27" s="354"/>
      <c r="O27" s="355"/>
      <c r="Q27" s="356" t="str">
        <f t="shared" si="2"/>
        <v/>
      </c>
      <c r="R27" s="346" t="str">
        <f>IF(AND(E27="",G27=""),"",IF((E27+G27)&gt;Dictionary!$I$52,"Pass","Fail"))</f>
        <v/>
      </c>
      <c r="T27" s="349" t="str">
        <f>Scoring!U29</f>
        <v/>
      </c>
      <c r="V27" s="2376"/>
      <c r="W27" s="2377"/>
      <c r="X27" s="2377"/>
      <c r="Y27" s="2377"/>
      <c r="Z27" s="2378"/>
      <c r="AA27" s="348"/>
      <c r="AB27" s="348"/>
      <c r="AC27" s="348"/>
      <c r="AD27" s="348"/>
      <c r="AE27" s="349"/>
      <c r="AF27" s="349"/>
    </row>
    <row r="28" spans="2:32" ht="24" hidden="1" customHeight="1">
      <c r="B28" s="350" t="str">
        <f>".3"</f>
        <v>.3</v>
      </c>
      <c r="C28" s="351" t="s">
        <v>460</v>
      </c>
      <c r="D28" s="352"/>
      <c r="E28" s="353"/>
      <c r="F28" s="354"/>
      <c r="G28" s="353"/>
      <c r="H28" s="354"/>
      <c r="I28" s="353"/>
      <c r="J28" s="354"/>
      <c r="K28" s="353"/>
      <c r="L28" s="354"/>
      <c r="M28" s="349" t="str">
        <f t="shared" si="0"/>
        <v/>
      </c>
      <c r="N28" s="354"/>
      <c r="O28" s="355"/>
      <c r="Q28" s="356" t="str">
        <f t="shared" si="2"/>
        <v/>
      </c>
      <c r="R28" s="346" t="str">
        <f>IF(AND(E28="",G28=""),"",IF((E28+G28)&gt;Dictionary!$I$52,"Pass","Fail"))</f>
        <v/>
      </c>
      <c r="T28" s="349" t="str">
        <f>Scoring!U30</f>
        <v/>
      </c>
      <c r="V28" s="2376"/>
      <c r="W28" s="2377"/>
      <c r="X28" s="2377"/>
      <c r="Y28" s="2377"/>
      <c r="Z28" s="2378"/>
      <c r="AA28" s="348"/>
      <c r="AB28" s="348"/>
      <c r="AC28" s="348"/>
      <c r="AD28" s="348"/>
      <c r="AE28" s="349"/>
      <c r="AF28" s="349"/>
    </row>
    <row r="29" spans="2:32" ht="24" hidden="1" customHeight="1">
      <c r="B29" s="350" t="str">
        <f>".4"</f>
        <v>.4</v>
      </c>
      <c r="C29" s="351" t="s">
        <v>459</v>
      </c>
      <c r="D29" s="352"/>
      <c r="E29" s="353"/>
      <c r="F29" s="354"/>
      <c r="G29" s="353"/>
      <c r="H29" s="354"/>
      <c r="I29" s="353"/>
      <c r="J29" s="354"/>
      <c r="K29" s="353"/>
      <c r="L29" s="354"/>
      <c r="M29" s="349" t="str">
        <f t="shared" si="0"/>
        <v/>
      </c>
      <c r="N29" s="354"/>
      <c r="O29" s="355"/>
      <c r="Q29" s="356" t="str">
        <f t="shared" si="2"/>
        <v/>
      </c>
      <c r="R29" s="346" t="str">
        <f>IF(AND(E29="",G29=""),"",IF((E29+G29)&gt;Dictionary!$I$52,"Pass","Fail"))</f>
        <v/>
      </c>
      <c r="T29" s="349" t="str">
        <f>Scoring!U31</f>
        <v/>
      </c>
      <c r="V29" s="2376"/>
      <c r="W29" s="2377"/>
      <c r="X29" s="2377"/>
      <c r="Y29" s="2377"/>
      <c r="Z29" s="2378"/>
      <c r="AA29" s="348"/>
      <c r="AB29" s="348"/>
      <c r="AC29" s="348"/>
      <c r="AD29" s="348"/>
      <c r="AE29" s="349"/>
      <c r="AF29" s="349"/>
    </row>
    <row r="30" spans="2:32" ht="24" hidden="1" customHeight="1">
      <c r="B30" s="350" t="str">
        <f>".5"</f>
        <v>.5</v>
      </c>
      <c r="C30" s="351" t="s">
        <v>458</v>
      </c>
      <c r="D30" s="352"/>
      <c r="E30" s="353"/>
      <c r="F30" s="354"/>
      <c r="G30" s="353"/>
      <c r="H30" s="354"/>
      <c r="I30" s="353"/>
      <c r="J30" s="354"/>
      <c r="K30" s="353"/>
      <c r="L30" s="354"/>
      <c r="M30" s="349" t="str">
        <f t="shared" si="0"/>
        <v/>
      </c>
      <c r="N30" s="354"/>
      <c r="O30" s="355"/>
      <c r="Q30" s="356" t="str">
        <f t="shared" si="2"/>
        <v/>
      </c>
      <c r="R30" s="346" t="str">
        <f>IF(AND(E30="",G30=""),"",IF((E30+G30)&gt;Dictionary!$I$52,"Pass","Fail"))</f>
        <v/>
      </c>
      <c r="T30" s="349" t="str">
        <f>Scoring!U32</f>
        <v/>
      </c>
      <c r="V30" s="2376"/>
      <c r="W30" s="2377"/>
      <c r="X30" s="2377"/>
      <c r="Y30" s="2377"/>
      <c r="Z30" s="2378"/>
      <c r="AA30" s="348"/>
      <c r="AB30" s="348"/>
      <c r="AC30" s="348"/>
      <c r="AD30" s="348"/>
      <c r="AE30" s="349"/>
      <c r="AF30" s="349"/>
    </row>
    <row r="31" spans="2:32" ht="24" hidden="1" customHeight="1">
      <c r="B31" s="350" t="str">
        <f>".6"</f>
        <v>.6</v>
      </c>
      <c r="C31" s="351" t="s">
        <v>457</v>
      </c>
      <c r="D31" s="352"/>
      <c r="E31" s="353"/>
      <c r="F31" s="354"/>
      <c r="G31" s="353"/>
      <c r="H31" s="354"/>
      <c r="I31" s="353"/>
      <c r="J31" s="354"/>
      <c r="K31" s="353"/>
      <c r="L31" s="354"/>
      <c r="M31" s="349" t="str">
        <f t="shared" si="0"/>
        <v/>
      </c>
      <c r="N31" s="354"/>
      <c r="O31" s="355"/>
      <c r="Q31" s="356" t="str">
        <f t="shared" si="2"/>
        <v/>
      </c>
      <c r="R31" s="346" t="str">
        <f>IF(AND(E31="",G31=""),"",IF((E31+G31)&gt;Dictionary!$I$52,"Pass","Fail"))</f>
        <v/>
      </c>
      <c r="T31" s="349" t="str">
        <f>Scoring!U33</f>
        <v/>
      </c>
      <c r="V31" s="2376"/>
      <c r="W31" s="2377"/>
      <c r="X31" s="2377"/>
      <c r="Y31" s="2377"/>
      <c r="Z31" s="2378"/>
      <c r="AA31" s="348"/>
      <c r="AB31" s="348"/>
      <c r="AC31" s="348"/>
      <c r="AD31" s="348"/>
      <c r="AE31" s="349"/>
      <c r="AF31" s="349"/>
    </row>
    <row r="32" spans="2:32" ht="20" customHeight="1">
      <c r="B32" s="341" t="s">
        <v>456</v>
      </c>
      <c r="C32" s="342" t="str">
        <f>Dictionary!B1289</f>
        <v>Macht und Interessen</v>
      </c>
      <c r="D32" s="343"/>
      <c r="E32" s="436"/>
      <c r="F32" s="315"/>
      <c r="G32" s="353"/>
      <c r="H32" s="360"/>
      <c r="I32" s="359"/>
      <c r="J32" s="360"/>
      <c r="K32" s="359"/>
      <c r="L32" s="315"/>
      <c r="M32" s="359"/>
      <c r="N32" s="360"/>
      <c r="O32" s="359"/>
      <c r="Q32" s="356"/>
      <c r="R32" s="346" t="str">
        <f>IF(AND(E32="",G32=""),"",IF((E32+G32)&gt;Dictionary!$I$52,"Pass","Fail"))</f>
        <v/>
      </c>
      <c r="T32" s="428">
        <f>COUNTIF(T33:T35,"&gt;3")/AE32</f>
        <v>0</v>
      </c>
      <c r="V32" s="2376"/>
      <c r="W32" s="2377"/>
      <c r="X32" s="2377"/>
      <c r="Y32" s="2377"/>
      <c r="Z32" s="2378"/>
      <c r="AA32" s="348"/>
      <c r="AB32" s="348"/>
      <c r="AC32" s="348"/>
      <c r="AD32" s="348"/>
      <c r="AE32" s="349">
        <v>3</v>
      </c>
      <c r="AF32" s="349">
        <f>ROUNDUP(AE32/2,0)</f>
        <v>2</v>
      </c>
    </row>
    <row r="33" spans="2:32" ht="24" hidden="1" customHeight="1">
      <c r="B33" s="350" t="str">
        <f>".1"</f>
        <v>.1</v>
      </c>
      <c r="C33" s="351" t="s">
        <v>455</v>
      </c>
      <c r="D33" s="352"/>
      <c r="E33" s="353"/>
      <c r="F33" s="354"/>
      <c r="G33" s="353"/>
      <c r="H33" s="354"/>
      <c r="I33" s="353"/>
      <c r="J33" s="354"/>
      <c r="K33" s="353"/>
      <c r="L33" s="354"/>
      <c r="M33" s="349" t="str">
        <f t="shared" si="0"/>
        <v/>
      </c>
      <c r="N33" s="354"/>
      <c r="O33" s="355"/>
      <c r="Q33" s="356" t="str">
        <f>IF(T33&gt;0,T33,"")</f>
        <v/>
      </c>
      <c r="R33" s="346" t="str">
        <f>IF(AND(E33="",G33=""),"",IF((E33+G33)&gt;Dictionary!$I$52,"Pass","Fail"))</f>
        <v/>
      </c>
      <c r="T33" s="349" t="str">
        <f>Scoring!U35</f>
        <v/>
      </c>
      <c r="V33" s="2376"/>
      <c r="W33" s="2377"/>
      <c r="X33" s="2377"/>
      <c r="Y33" s="2377"/>
      <c r="Z33" s="2378"/>
      <c r="AA33" s="348"/>
      <c r="AB33" s="348"/>
      <c r="AC33" s="348"/>
      <c r="AD33" s="348"/>
      <c r="AE33" s="349"/>
      <c r="AF33" s="349"/>
    </row>
    <row r="34" spans="2:32" ht="24" hidden="1" customHeight="1">
      <c r="B34" s="350" t="str">
        <f>".2"</f>
        <v>.2</v>
      </c>
      <c r="C34" s="351" t="s">
        <v>454</v>
      </c>
      <c r="D34" s="352"/>
      <c r="E34" s="353"/>
      <c r="F34" s="354"/>
      <c r="G34" s="353"/>
      <c r="H34" s="354"/>
      <c r="I34" s="353"/>
      <c r="J34" s="354"/>
      <c r="K34" s="353"/>
      <c r="L34" s="354"/>
      <c r="M34" s="349" t="str">
        <f t="shared" si="0"/>
        <v/>
      </c>
      <c r="N34" s="354"/>
      <c r="O34" s="355"/>
      <c r="Q34" s="356" t="str">
        <f>IF(T34&gt;0,T34,"")</f>
        <v/>
      </c>
      <c r="R34" s="346" t="str">
        <f>IF(AND(E34="",G34=""),"",IF((E34+G34)&gt;Dictionary!$I$52,"Pass","Fail"))</f>
        <v/>
      </c>
      <c r="T34" s="349" t="str">
        <f>Scoring!U36</f>
        <v/>
      </c>
      <c r="V34" s="2376"/>
      <c r="W34" s="2377"/>
      <c r="X34" s="2377"/>
      <c r="Y34" s="2377"/>
      <c r="Z34" s="2378"/>
      <c r="AA34" s="348"/>
      <c r="AB34" s="348"/>
      <c r="AC34" s="348"/>
      <c r="AD34" s="348"/>
      <c r="AE34" s="349"/>
      <c r="AF34" s="349"/>
    </row>
    <row r="35" spans="2:32" ht="24" hidden="1" customHeight="1">
      <c r="B35" s="350" t="str">
        <f>".3"</f>
        <v>.3</v>
      </c>
      <c r="C35" s="351" t="s">
        <v>453</v>
      </c>
      <c r="D35" s="352"/>
      <c r="E35" s="353"/>
      <c r="F35" s="354"/>
      <c r="G35" s="353"/>
      <c r="H35" s="354"/>
      <c r="I35" s="353"/>
      <c r="J35" s="354"/>
      <c r="K35" s="353"/>
      <c r="L35" s="354"/>
      <c r="M35" s="349" t="str">
        <f t="shared" si="0"/>
        <v/>
      </c>
      <c r="N35" s="354"/>
      <c r="O35" s="355"/>
      <c r="Q35" s="356" t="str">
        <f>IF(T35&gt;0,T35,"")</f>
        <v/>
      </c>
      <c r="R35" s="346" t="str">
        <f>IF(AND(E35="",G35=""),"",IF((E35+G35)&gt;Dictionary!$I$52,"Pass","Fail"))</f>
        <v/>
      </c>
      <c r="T35" s="349" t="str">
        <f>Scoring!U37</f>
        <v/>
      </c>
      <c r="V35" s="2376"/>
      <c r="W35" s="2377"/>
      <c r="X35" s="2377"/>
      <c r="Y35" s="2377"/>
      <c r="Z35" s="2378"/>
      <c r="AA35" s="348"/>
      <c r="AB35" s="348"/>
      <c r="AC35" s="348"/>
      <c r="AD35" s="348"/>
      <c r="AE35" s="349"/>
      <c r="AF35" s="349"/>
    </row>
    <row r="36" spans="2:32" ht="20" customHeight="1">
      <c r="B36" s="341" t="s">
        <v>452</v>
      </c>
      <c r="C36" s="342" t="str">
        <f>Dictionary!B1295</f>
        <v>Kultur und Werte</v>
      </c>
      <c r="D36" s="343"/>
      <c r="E36" s="353"/>
      <c r="F36" s="315"/>
      <c r="G36" s="436"/>
      <c r="H36" s="360"/>
      <c r="I36" s="359"/>
      <c r="J36" s="360"/>
      <c r="K36" s="359"/>
      <c r="L36" s="315"/>
      <c r="M36" s="359"/>
      <c r="N36" s="360"/>
      <c r="O36" s="359"/>
      <c r="Q36" s="356"/>
      <c r="R36" s="346" t="str">
        <f>IF(AND(E36="",G36=""),"",IF((E36+G36)&gt;Dictionary!$I$52,"Pass","Fail"))</f>
        <v/>
      </c>
      <c r="T36" s="428">
        <f>COUNTIF(T37:T39,"&gt;3")/AE36</f>
        <v>0</v>
      </c>
      <c r="V36" s="2376"/>
      <c r="W36" s="2377"/>
      <c r="X36" s="2377"/>
      <c r="Y36" s="2377"/>
      <c r="Z36" s="2378"/>
      <c r="AA36" s="348"/>
      <c r="AB36" s="348"/>
      <c r="AC36" s="348"/>
      <c r="AD36" s="348"/>
      <c r="AE36" s="349">
        <v>3</v>
      </c>
      <c r="AF36" s="349">
        <f>ROUNDUP(AE36/2,0)</f>
        <v>2</v>
      </c>
    </row>
    <row r="37" spans="2:32" ht="24" hidden="1" customHeight="1">
      <c r="B37" s="350" t="str">
        <f>".1"</f>
        <v>.1</v>
      </c>
      <c r="C37" s="351" t="s">
        <v>451</v>
      </c>
      <c r="D37" s="352"/>
      <c r="E37" s="404" t="str">
        <f>IF('(8) Exam Evaluation'!Y39="","",'(8) Exam Evaluation'!Y39)</f>
        <v/>
      </c>
      <c r="F37" s="354"/>
      <c r="G37" s="353"/>
      <c r="H37" s="354"/>
      <c r="I37" s="353"/>
      <c r="J37" s="354"/>
      <c r="K37" s="353"/>
      <c r="L37" s="354"/>
      <c r="M37" s="349" t="str">
        <f t="shared" si="0"/>
        <v/>
      </c>
      <c r="N37" s="354"/>
      <c r="O37" s="355"/>
      <c r="Q37" s="356" t="str">
        <f>IF(T37&gt;0,T37,"")</f>
        <v/>
      </c>
      <c r="T37" s="349" t="str">
        <f>Scoring!U39</f>
        <v/>
      </c>
      <c r="V37" s="2376"/>
      <c r="W37" s="2377"/>
      <c r="X37" s="2377"/>
      <c r="Y37" s="2377"/>
      <c r="Z37" s="2378"/>
      <c r="AA37" s="348"/>
      <c r="AB37" s="348"/>
      <c r="AC37" s="348"/>
      <c r="AD37" s="348"/>
      <c r="AE37" s="349"/>
      <c r="AF37" s="349"/>
    </row>
    <row r="38" spans="2:32" ht="24" hidden="1" customHeight="1">
      <c r="B38" s="350" t="str">
        <f>".2"</f>
        <v>.2</v>
      </c>
      <c r="C38" s="351" t="s">
        <v>450</v>
      </c>
      <c r="D38" s="352"/>
      <c r="E38" s="404" t="str">
        <f>IF('(8) Exam Evaluation'!Y40="","",'(8) Exam Evaluation'!Y40)</f>
        <v/>
      </c>
      <c r="F38" s="354"/>
      <c r="G38" s="353"/>
      <c r="H38" s="354"/>
      <c r="I38" s="353"/>
      <c r="J38" s="354"/>
      <c r="K38" s="353"/>
      <c r="L38" s="354"/>
      <c r="M38" s="349" t="str">
        <f t="shared" si="0"/>
        <v/>
      </c>
      <c r="N38" s="354"/>
      <c r="O38" s="355"/>
      <c r="Q38" s="356" t="str">
        <f>IF(T38&gt;0,T38,"")</f>
        <v/>
      </c>
      <c r="T38" s="349" t="str">
        <f>Scoring!U40</f>
        <v/>
      </c>
      <c r="V38" s="2376"/>
      <c r="W38" s="2377"/>
      <c r="X38" s="2377"/>
      <c r="Y38" s="2377"/>
      <c r="Z38" s="2378"/>
      <c r="AA38" s="348"/>
      <c r="AB38" s="348"/>
      <c r="AC38" s="348"/>
      <c r="AD38" s="348"/>
      <c r="AE38" s="349"/>
      <c r="AF38" s="349"/>
    </row>
    <row r="39" spans="2:32" ht="24" hidden="1" customHeight="1">
      <c r="B39" s="350" t="str">
        <f>".3"</f>
        <v>.3</v>
      </c>
      <c r="C39" s="351" t="s">
        <v>449</v>
      </c>
      <c r="D39" s="352"/>
      <c r="E39" s="404" t="str">
        <f>IF('(8) Exam Evaluation'!Y41="","",'(8) Exam Evaluation'!Y41)</f>
        <v/>
      </c>
      <c r="F39" s="354"/>
      <c r="G39" s="353"/>
      <c r="H39" s="354"/>
      <c r="I39" s="353"/>
      <c r="J39" s="354"/>
      <c r="K39" s="353"/>
      <c r="L39" s="354"/>
      <c r="M39" s="349" t="str">
        <f t="shared" si="0"/>
        <v/>
      </c>
      <c r="N39" s="354"/>
      <c r="O39" s="355"/>
      <c r="Q39" s="356" t="str">
        <f>IF(T39&gt;0,T39,"")</f>
        <v/>
      </c>
      <c r="T39" s="349" t="str">
        <f>Scoring!U41</f>
        <v/>
      </c>
      <c r="V39" s="2376"/>
      <c r="W39" s="2377"/>
      <c r="X39" s="2377"/>
      <c r="Y39" s="2377"/>
      <c r="Z39" s="2378"/>
      <c r="AA39" s="348"/>
      <c r="AB39" s="348"/>
      <c r="AC39" s="348"/>
      <c r="AD39" s="348"/>
      <c r="AE39" s="349"/>
      <c r="AF39" s="349"/>
    </row>
    <row r="40" spans="2:32" ht="30" customHeight="1">
      <c r="C40" s="363"/>
      <c r="D40" s="315"/>
      <c r="E40" s="406"/>
      <c r="F40" s="315"/>
      <c r="G40" s="315"/>
      <c r="H40" s="315"/>
      <c r="I40" s="315"/>
      <c r="J40" s="315"/>
      <c r="K40" s="315"/>
      <c r="L40" s="315"/>
      <c r="M40" s="315"/>
      <c r="N40" s="315"/>
      <c r="O40" s="315"/>
      <c r="Q40" s="356"/>
      <c r="R40" s="365"/>
      <c r="W40" s="313"/>
      <c r="X40" s="313"/>
      <c r="Y40" s="313"/>
      <c r="Z40" s="313"/>
      <c r="AA40" s="313"/>
      <c r="AB40" s="313"/>
      <c r="AC40" s="313"/>
      <c r="AD40" s="313"/>
      <c r="AE40" s="315"/>
      <c r="AF40" s="315"/>
    </row>
    <row r="41" spans="2:32" ht="30" customHeight="1">
      <c r="C41" s="366" t="str">
        <f>Dictionary!B1301</f>
        <v>People Kompetenz Elemente</v>
      </c>
      <c r="D41" s="315"/>
      <c r="E41" s="406"/>
      <c r="F41" s="315"/>
      <c r="G41" s="315"/>
      <c r="H41" s="315"/>
      <c r="I41" s="315"/>
      <c r="J41" s="315"/>
      <c r="K41" s="315"/>
      <c r="L41" s="315"/>
      <c r="M41" s="315"/>
      <c r="N41" s="315"/>
      <c r="O41" s="315"/>
      <c r="Q41" s="356"/>
      <c r="R41" s="367"/>
      <c r="W41" s="313"/>
      <c r="X41" s="313"/>
      <c r="Y41" s="313"/>
      <c r="Z41" s="313"/>
      <c r="AA41" s="313"/>
      <c r="AB41" s="313"/>
      <c r="AC41" s="313"/>
      <c r="AD41" s="313"/>
      <c r="AE41" s="334"/>
      <c r="AF41" s="334"/>
    </row>
    <row r="42" spans="2:32" ht="20" customHeight="1">
      <c r="B42" s="341" t="s">
        <v>448</v>
      </c>
      <c r="C42" s="342" t="str">
        <f>Dictionary!B1302</f>
        <v>Selbstreflexion und Selbstmanagement</v>
      </c>
      <c r="D42" s="343"/>
      <c r="E42" s="353"/>
      <c r="F42" s="315"/>
      <c r="G42" s="436"/>
      <c r="H42" s="360"/>
      <c r="I42" s="359"/>
      <c r="J42" s="360"/>
      <c r="K42" s="359"/>
      <c r="L42" s="315"/>
      <c r="M42" s="359"/>
      <c r="N42" s="360"/>
      <c r="O42" s="359"/>
      <c r="Q42" s="356"/>
      <c r="R42" s="346" t="str">
        <f>IF(AND(E42="",G42=""),"",IF((E42+G42)&gt;Dictionary!$I$52,"Pass","Fail"))</f>
        <v/>
      </c>
      <c r="T42" s="428">
        <f>COUNTIF(T43:T47,"&gt;3")/AE42</f>
        <v>0</v>
      </c>
      <c r="V42" s="2376"/>
      <c r="W42" s="2377"/>
      <c r="X42" s="2377"/>
      <c r="Y42" s="2377"/>
      <c r="Z42" s="2378"/>
      <c r="AA42" s="348"/>
      <c r="AB42" s="348"/>
      <c r="AC42" s="348"/>
      <c r="AD42" s="348"/>
      <c r="AE42" s="349">
        <v>5</v>
      </c>
      <c r="AF42" s="349">
        <f>ROUNDUP(AE42/2,0)</f>
        <v>3</v>
      </c>
    </row>
    <row r="43" spans="2:32" ht="24" hidden="1" customHeight="1">
      <c r="B43" s="350" t="str">
        <f>".1"</f>
        <v>.1</v>
      </c>
      <c r="C43" s="351" t="s">
        <v>447</v>
      </c>
      <c r="D43" s="352"/>
      <c r="E43" s="353"/>
      <c r="F43" s="354"/>
      <c r="G43" s="353"/>
      <c r="H43" s="354"/>
      <c r="I43" s="353"/>
      <c r="J43" s="354"/>
      <c r="K43" s="353"/>
      <c r="L43" s="354"/>
      <c r="M43" s="349" t="str">
        <f t="shared" ref="M43:M77" si="3">IF(MAX(E43,G43,I43,K43)=0,"",MAX(E43,G43,I43,K43))</f>
        <v/>
      </c>
      <c r="N43" s="354"/>
      <c r="O43" s="355"/>
      <c r="Q43" s="356" t="str">
        <f>IF(T43&gt;0,T43,"")</f>
        <v/>
      </c>
      <c r="R43" s="346" t="str">
        <f>IF(AND(E43="",G43=""),"",IF((E43+G43)&gt;Dictionary!$I$52,"Pass","Fail"))</f>
        <v/>
      </c>
      <c r="T43" s="349" t="str">
        <f>Scoring!U45</f>
        <v/>
      </c>
      <c r="V43" s="2376"/>
      <c r="W43" s="2377"/>
      <c r="X43" s="2377"/>
      <c r="Y43" s="2377"/>
      <c r="Z43" s="2378"/>
      <c r="AA43" s="348"/>
      <c r="AB43" s="348"/>
      <c r="AC43" s="348"/>
      <c r="AD43" s="348"/>
      <c r="AE43" s="349"/>
      <c r="AF43" s="349"/>
    </row>
    <row r="44" spans="2:32" ht="24" hidden="1" customHeight="1">
      <c r="B44" s="350" t="str">
        <f>".2"</f>
        <v>.2</v>
      </c>
      <c r="C44" s="351" t="s">
        <v>446</v>
      </c>
      <c r="D44" s="352"/>
      <c r="E44" s="353"/>
      <c r="F44" s="354"/>
      <c r="G44" s="353"/>
      <c r="H44" s="354"/>
      <c r="I44" s="353"/>
      <c r="J44" s="354"/>
      <c r="K44" s="353"/>
      <c r="L44" s="354"/>
      <c r="M44" s="349" t="str">
        <f t="shared" si="3"/>
        <v/>
      </c>
      <c r="N44" s="354"/>
      <c r="O44" s="355"/>
      <c r="Q44" s="356" t="str">
        <f>IF(T44&gt;0,T44,"")</f>
        <v/>
      </c>
      <c r="R44" s="346" t="str">
        <f>IF(AND(E44="",G44=""),"",IF((E44+G44)&gt;Dictionary!$I$52,"Pass","Fail"))</f>
        <v/>
      </c>
      <c r="T44" s="349" t="str">
        <f>Scoring!U46</f>
        <v/>
      </c>
      <c r="V44" s="2376"/>
      <c r="W44" s="2377"/>
      <c r="X44" s="2377"/>
      <c r="Y44" s="2377"/>
      <c r="Z44" s="2378"/>
      <c r="AA44" s="348"/>
      <c r="AB44" s="348"/>
      <c r="AC44" s="348"/>
      <c r="AD44" s="348"/>
      <c r="AE44" s="349"/>
      <c r="AF44" s="349"/>
    </row>
    <row r="45" spans="2:32" ht="24" hidden="1" customHeight="1">
      <c r="B45" s="350" t="str">
        <f>".3"</f>
        <v>.3</v>
      </c>
      <c r="C45" s="351" t="s">
        <v>445</v>
      </c>
      <c r="D45" s="352"/>
      <c r="E45" s="353"/>
      <c r="F45" s="354"/>
      <c r="G45" s="353"/>
      <c r="H45" s="354"/>
      <c r="I45" s="353"/>
      <c r="J45" s="354"/>
      <c r="K45" s="353"/>
      <c r="L45" s="354"/>
      <c r="M45" s="349" t="str">
        <f t="shared" si="3"/>
        <v/>
      </c>
      <c r="N45" s="354"/>
      <c r="O45" s="355"/>
      <c r="Q45" s="356" t="str">
        <f>IF(T45&gt;0,T45,"")</f>
        <v/>
      </c>
      <c r="R45" s="346" t="str">
        <f>IF(AND(E45="",G45=""),"",IF((E45+G45)&gt;Dictionary!$I$52,"Pass","Fail"))</f>
        <v/>
      </c>
      <c r="T45" s="349" t="str">
        <f>Scoring!U47</f>
        <v/>
      </c>
      <c r="V45" s="2376"/>
      <c r="W45" s="2377"/>
      <c r="X45" s="2377"/>
      <c r="Y45" s="2377"/>
      <c r="Z45" s="2378"/>
      <c r="AA45" s="348"/>
      <c r="AB45" s="348"/>
      <c r="AC45" s="348"/>
      <c r="AD45" s="348"/>
      <c r="AE45" s="349"/>
      <c r="AF45" s="349"/>
    </row>
    <row r="46" spans="2:32" ht="24" hidden="1" customHeight="1">
      <c r="B46" s="350" t="str">
        <f>".4"</f>
        <v>.4</v>
      </c>
      <c r="C46" s="351" t="s">
        <v>444</v>
      </c>
      <c r="D46" s="352"/>
      <c r="E46" s="353"/>
      <c r="F46" s="354"/>
      <c r="G46" s="353"/>
      <c r="H46" s="354"/>
      <c r="I46" s="353"/>
      <c r="J46" s="354"/>
      <c r="K46" s="353"/>
      <c r="L46" s="354"/>
      <c r="M46" s="349" t="str">
        <f t="shared" si="3"/>
        <v/>
      </c>
      <c r="N46" s="354"/>
      <c r="O46" s="355"/>
      <c r="Q46" s="356" t="str">
        <f>IF(T46&gt;0,T46,"")</f>
        <v/>
      </c>
      <c r="R46" s="346" t="str">
        <f>IF(AND(E46="",G46=""),"",IF((E46+G46)&gt;Dictionary!$I$52,"Pass","Fail"))</f>
        <v/>
      </c>
      <c r="T46" s="349" t="str">
        <f>Scoring!U48</f>
        <v/>
      </c>
      <c r="V46" s="2376"/>
      <c r="W46" s="2377"/>
      <c r="X46" s="2377"/>
      <c r="Y46" s="2377"/>
      <c r="Z46" s="2378"/>
      <c r="AA46" s="348"/>
      <c r="AB46" s="348"/>
      <c r="AC46" s="348"/>
      <c r="AD46" s="348"/>
      <c r="AE46" s="349"/>
      <c r="AF46" s="349"/>
    </row>
    <row r="47" spans="2:32" ht="18" hidden="1" customHeight="1">
      <c r="B47" s="350" t="str">
        <f>".5"</f>
        <v>.5</v>
      </c>
      <c r="C47" s="351" t="s">
        <v>443</v>
      </c>
      <c r="D47" s="352"/>
      <c r="E47" s="353"/>
      <c r="F47" s="354"/>
      <c r="G47" s="353"/>
      <c r="H47" s="354"/>
      <c r="I47" s="353"/>
      <c r="J47" s="354"/>
      <c r="K47" s="353"/>
      <c r="L47" s="354"/>
      <c r="M47" s="349" t="str">
        <f t="shared" si="3"/>
        <v/>
      </c>
      <c r="N47" s="354"/>
      <c r="O47" s="355"/>
      <c r="Q47" s="356" t="str">
        <f>IF(T47&gt;0,T47,"")</f>
        <v/>
      </c>
      <c r="R47" s="346" t="str">
        <f>IF(AND(E47="",G47=""),"",IF((E47+G47)&gt;Dictionary!$I$52,"Pass","Fail"))</f>
        <v/>
      </c>
      <c r="T47" s="349" t="str">
        <f>Scoring!U49</f>
        <v/>
      </c>
      <c r="V47" s="2376"/>
      <c r="W47" s="2377"/>
      <c r="X47" s="2377"/>
      <c r="Y47" s="2377"/>
      <c r="Z47" s="2378"/>
      <c r="AA47" s="348"/>
      <c r="AB47" s="348"/>
      <c r="AC47" s="348"/>
      <c r="AD47" s="348"/>
      <c r="AE47" s="349"/>
      <c r="AF47" s="349"/>
    </row>
    <row r="48" spans="2:32" ht="20" customHeight="1">
      <c r="B48" s="341" t="s">
        <v>442</v>
      </c>
      <c r="C48" s="342" t="str">
        <f>Dictionary!B1310</f>
        <v>Persönliche Integrität und Verlässlichkeit</v>
      </c>
      <c r="D48" s="368" t="str">
        <f>IF(COUNTBLANK(D49:D53)=$AE48,"",IF((COUNTIF(D49:D53,"&gt;=4")/$AE48*100)&gt;=50,"Pass","Fail"))</f>
        <v/>
      </c>
      <c r="E48" s="353"/>
      <c r="F48" s="315"/>
      <c r="G48" s="436"/>
      <c r="H48" s="360"/>
      <c r="I48" s="359"/>
      <c r="J48" s="360"/>
      <c r="K48" s="359"/>
      <c r="L48" s="315"/>
      <c r="M48" s="359"/>
      <c r="N48" s="360"/>
      <c r="O48" s="359"/>
      <c r="Q48" s="356"/>
      <c r="R48" s="346" t="str">
        <f>IF(AND(E48="",G48=""),"",IF((E48+G48)&gt;Dictionary!$I$52,"Pass","Fail"))</f>
        <v/>
      </c>
      <c r="T48" s="428">
        <f>COUNTIF(T49:T53,"&gt;3")/AE48</f>
        <v>0</v>
      </c>
      <c r="V48" s="2376"/>
      <c r="W48" s="2377"/>
      <c r="X48" s="2377"/>
      <c r="Y48" s="2377"/>
      <c r="Z48" s="2378"/>
      <c r="AA48" s="348"/>
      <c r="AB48" s="348"/>
      <c r="AC48" s="348"/>
      <c r="AD48" s="348"/>
      <c r="AE48" s="349">
        <v>5</v>
      </c>
      <c r="AF48" s="349">
        <f>ROUNDUP(AE48/2,0)</f>
        <v>3</v>
      </c>
    </row>
    <row r="49" spans="2:32" ht="24" hidden="1" customHeight="1">
      <c r="B49" s="350" t="str">
        <f>".1"</f>
        <v>.1</v>
      </c>
      <c r="C49" s="351" t="s">
        <v>441</v>
      </c>
      <c r="D49" s="352"/>
      <c r="E49" s="353"/>
      <c r="F49" s="354"/>
      <c r="G49" s="353"/>
      <c r="H49" s="354"/>
      <c r="I49" s="353"/>
      <c r="J49" s="354"/>
      <c r="K49" s="353"/>
      <c r="L49" s="354"/>
      <c r="M49" s="349" t="str">
        <f t="shared" si="3"/>
        <v/>
      </c>
      <c r="N49" s="354"/>
      <c r="O49" s="355"/>
      <c r="Q49" s="356" t="str">
        <f>IF(T49&gt;0,T49,"")</f>
        <v/>
      </c>
      <c r="R49" s="346" t="str">
        <f>IF(AND(E49="",G49=""),"",IF((E49+G49)&gt;Dictionary!$I$52,"Pass","Fail"))</f>
        <v/>
      </c>
      <c r="T49" s="349" t="str">
        <f>Scoring!U51</f>
        <v/>
      </c>
      <c r="V49" s="2376"/>
      <c r="W49" s="2377"/>
      <c r="X49" s="2377"/>
      <c r="Y49" s="2377"/>
      <c r="Z49" s="2378"/>
      <c r="AA49" s="348"/>
      <c r="AB49" s="348"/>
      <c r="AC49" s="348"/>
      <c r="AD49" s="348"/>
      <c r="AE49" s="349"/>
      <c r="AF49" s="349"/>
    </row>
    <row r="50" spans="2:32" ht="18" hidden="1" customHeight="1">
      <c r="B50" s="350" t="str">
        <f>".2"</f>
        <v>.2</v>
      </c>
      <c r="C50" s="351" t="s">
        <v>440</v>
      </c>
      <c r="D50" s="352"/>
      <c r="E50" s="353"/>
      <c r="F50" s="354"/>
      <c r="G50" s="353"/>
      <c r="H50" s="354"/>
      <c r="I50" s="353"/>
      <c r="J50" s="354"/>
      <c r="K50" s="353"/>
      <c r="L50" s="354"/>
      <c r="M50" s="349" t="str">
        <f t="shared" si="3"/>
        <v/>
      </c>
      <c r="N50" s="354"/>
      <c r="O50" s="355"/>
      <c r="Q50" s="356" t="str">
        <f>IF(T50&gt;0,T50,"")</f>
        <v/>
      </c>
      <c r="R50" s="346" t="str">
        <f>IF(AND(E50="",G50=""),"",IF((E50+G50)&gt;Dictionary!$I$52,"Pass","Fail"))</f>
        <v/>
      </c>
      <c r="T50" s="349" t="str">
        <f>Scoring!U52</f>
        <v/>
      </c>
      <c r="V50" s="2376"/>
      <c r="W50" s="2377"/>
      <c r="X50" s="2377"/>
      <c r="Y50" s="2377"/>
      <c r="Z50" s="2378"/>
      <c r="AA50" s="348"/>
      <c r="AB50" s="348"/>
      <c r="AC50" s="348"/>
      <c r="AD50" s="348"/>
      <c r="AE50" s="349"/>
      <c r="AF50" s="349"/>
    </row>
    <row r="51" spans="2:32" ht="18" hidden="1" customHeight="1">
      <c r="B51" s="350" t="str">
        <f>".3"</f>
        <v>.3</v>
      </c>
      <c r="C51" s="351" t="s">
        <v>439</v>
      </c>
      <c r="D51" s="352"/>
      <c r="E51" s="353"/>
      <c r="F51" s="354"/>
      <c r="G51" s="353"/>
      <c r="H51" s="354"/>
      <c r="I51" s="353"/>
      <c r="J51" s="354"/>
      <c r="K51" s="353"/>
      <c r="L51" s="354"/>
      <c r="M51" s="349" t="str">
        <f t="shared" si="3"/>
        <v/>
      </c>
      <c r="N51" s="354"/>
      <c r="O51" s="355"/>
      <c r="Q51" s="356" t="str">
        <f>IF(T51&gt;0,T51,"")</f>
        <v/>
      </c>
      <c r="R51" s="346" t="str">
        <f>IF(AND(E51="",G51=""),"",IF((E51+G51)&gt;Dictionary!$I$52,"Pass","Fail"))</f>
        <v/>
      </c>
      <c r="T51" s="349" t="str">
        <f>Scoring!U53</f>
        <v/>
      </c>
      <c r="V51" s="2376"/>
      <c r="W51" s="2377"/>
      <c r="X51" s="2377"/>
      <c r="Y51" s="2377"/>
      <c r="Z51" s="2378"/>
      <c r="AA51" s="348"/>
      <c r="AB51" s="348"/>
      <c r="AC51" s="348"/>
      <c r="AD51" s="348"/>
      <c r="AE51" s="349"/>
      <c r="AF51" s="349"/>
    </row>
    <row r="52" spans="2:32" ht="18" hidden="1" customHeight="1">
      <c r="B52" s="350" t="str">
        <f>".4"</f>
        <v>.4</v>
      </c>
      <c r="C52" s="351" t="s">
        <v>438</v>
      </c>
      <c r="D52" s="352"/>
      <c r="E52" s="353"/>
      <c r="F52" s="354"/>
      <c r="G52" s="353"/>
      <c r="H52" s="354"/>
      <c r="I52" s="353"/>
      <c r="J52" s="354"/>
      <c r="K52" s="353"/>
      <c r="L52" s="354"/>
      <c r="M52" s="349" t="str">
        <f t="shared" si="3"/>
        <v/>
      </c>
      <c r="N52" s="354"/>
      <c r="O52" s="355"/>
      <c r="Q52" s="356" t="str">
        <f>IF(T52&gt;0,T52,"")</f>
        <v/>
      </c>
      <c r="R52" s="346" t="str">
        <f>IF(AND(E52="",G52=""),"",IF((E52+G52)&gt;Dictionary!$I$52,"Pass","Fail"))</f>
        <v/>
      </c>
      <c r="T52" s="349" t="str">
        <f>Scoring!U54</f>
        <v/>
      </c>
      <c r="V52" s="2376"/>
      <c r="W52" s="2377"/>
      <c r="X52" s="2377"/>
      <c r="Y52" s="2377"/>
      <c r="Z52" s="2378"/>
      <c r="AA52" s="348"/>
      <c r="AB52" s="348"/>
      <c r="AC52" s="348"/>
      <c r="AD52" s="348"/>
      <c r="AE52" s="349"/>
      <c r="AF52" s="349"/>
    </row>
    <row r="53" spans="2:32" ht="24" hidden="1" customHeight="1">
      <c r="B53" s="350" t="str">
        <f>".5"</f>
        <v>.5</v>
      </c>
      <c r="C53" s="351" t="s">
        <v>437</v>
      </c>
      <c r="D53" s="352"/>
      <c r="E53" s="353"/>
      <c r="F53" s="354"/>
      <c r="G53" s="353"/>
      <c r="H53" s="354"/>
      <c r="I53" s="353"/>
      <c r="J53" s="354"/>
      <c r="K53" s="353"/>
      <c r="L53" s="354"/>
      <c r="M53" s="349" t="str">
        <f t="shared" si="3"/>
        <v/>
      </c>
      <c r="N53" s="354"/>
      <c r="O53" s="355"/>
      <c r="Q53" s="356" t="str">
        <f>IF(T53&gt;0,T53,"")</f>
        <v/>
      </c>
      <c r="R53" s="346" t="str">
        <f>IF(AND(E53="",G53=""),"",IF((E53+G53)&gt;Dictionary!$I$52,"Pass","Fail"))</f>
        <v/>
      </c>
      <c r="T53" s="349" t="str">
        <f>Scoring!U55</f>
        <v/>
      </c>
      <c r="V53" s="2376"/>
      <c r="W53" s="2377"/>
      <c r="X53" s="2377"/>
      <c r="Y53" s="2377"/>
      <c r="Z53" s="2378"/>
      <c r="AA53" s="348"/>
      <c r="AB53" s="348"/>
      <c r="AC53" s="348"/>
      <c r="AD53" s="348"/>
      <c r="AE53" s="349"/>
      <c r="AF53" s="349"/>
    </row>
    <row r="54" spans="2:32" ht="20" customHeight="1">
      <c r="B54" s="341" t="s">
        <v>436</v>
      </c>
      <c r="C54" s="342" t="str">
        <f>Dictionary!B1318</f>
        <v>Persönliche Kommunikation</v>
      </c>
      <c r="D54" s="343"/>
      <c r="E54" s="436"/>
      <c r="F54" s="315"/>
      <c r="G54" s="353"/>
      <c r="H54" s="360"/>
      <c r="I54" s="359"/>
      <c r="J54" s="360"/>
      <c r="K54" s="359"/>
      <c r="L54" s="315"/>
      <c r="M54" s="359"/>
      <c r="N54" s="360"/>
      <c r="O54" s="359"/>
      <c r="Q54" s="356"/>
      <c r="R54" s="346" t="str">
        <f>IF(AND(E54="",G54=""),"",IF((E54+G54)&gt;Dictionary!$I$52,"Pass","Fail"))</f>
        <v/>
      </c>
      <c r="T54" s="428">
        <f>COUNTIF(T55:T59,"&gt;3")/AE54</f>
        <v>0</v>
      </c>
      <c r="V54" s="2376"/>
      <c r="W54" s="2377"/>
      <c r="X54" s="2377"/>
      <c r="Y54" s="2377"/>
      <c r="Z54" s="2378"/>
      <c r="AA54" s="348"/>
      <c r="AB54" s="348"/>
      <c r="AC54" s="348"/>
      <c r="AD54" s="369"/>
      <c r="AE54" s="349">
        <v>5</v>
      </c>
      <c r="AF54" s="349">
        <f>ROUNDUP(AE54/2,0)</f>
        <v>3</v>
      </c>
    </row>
    <row r="55" spans="2:32" ht="24" hidden="1" customHeight="1">
      <c r="B55" s="350" t="str">
        <f>".1"</f>
        <v>.1</v>
      </c>
      <c r="C55" s="351" t="s">
        <v>435</v>
      </c>
      <c r="D55" s="352"/>
      <c r="E55" s="353"/>
      <c r="F55" s="354"/>
      <c r="G55" s="353"/>
      <c r="H55" s="354"/>
      <c r="I55" s="353"/>
      <c r="J55" s="354"/>
      <c r="K55" s="353"/>
      <c r="L55" s="354"/>
      <c r="M55" s="349" t="str">
        <f t="shared" si="3"/>
        <v/>
      </c>
      <c r="N55" s="354"/>
      <c r="O55" s="355"/>
      <c r="Q55" s="356" t="str">
        <f>IF(T55&gt;0,T55,"")</f>
        <v/>
      </c>
      <c r="R55" s="346" t="str">
        <f>IF(AND(E55="",G55=""),"",IF((E55+G55)&gt;Dictionary!$I$52,"Pass","Fail"))</f>
        <v/>
      </c>
      <c r="T55" s="349" t="str">
        <f>Scoring!U57</f>
        <v/>
      </c>
      <c r="V55" s="2376"/>
      <c r="W55" s="2377"/>
      <c r="X55" s="2377"/>
      <c r="Y55" s="2377"/>
      <c r="Z55" s="2378"/>
      <c r="AA55" s="348"/>
      <c r="AB55" s="348"/>
      <c r="AC55" s="348"/>
      <c r="AD55" s="348"/>
      <c r="AE55" s="349"/>
      <c r="AF55" s="349"/>
    </row>
    <row r="56" spans="2:32" ht="18" hidden="1" customHeight="1">
      <c r="B56" s="350" t="str">
        <f>".2"</f>
        <v>.2</v>
      </c>
      <c r="C56" s="351" t="s">
        <v>434</v>
      </c>
      <c r="D56" s="352"/>
      <c r="E56" s="353"/>
      <c r="F56" s="354"/>
      <c r="G56" s="353"/>
      <c r="H56" s="354"/>
      <c r="I56" s="353"/>
      <c r="J56" s="354"/>
      <c r="K56" s="353"/>
      <c r="L56" s="354"/>
      <c r="M56" s="349" t="str">
        <f t="shared" si="3"/>
        <v/>
      </c>
      <c r="N56" s="354"/>
      <c r="O56" s="355"/>
      <c r="Q56" s="356" t="str">
        <f>IF(T56&gt;0,T56,"")</f>
        <v/>
      </c>
      <c r="R56" s="346" t="str">
        <f>IF(AND(E56="",G56=""),"",IF((E56+G56)&gt;Dictionary!$I$52,"Pass","Fail"))</f>
        <v/>
      </c>
      <c r="T56" s="349" t="str">
        <f>Scoring!U58</f>
        <v/>
      </c>
      <c r="V56" s="2376"/>
      <c r="W56" s="2377"/>
      <c r="X56" s="2377"/>
      <c r="Y56" s="2377"/>
      <c r="Z56" s="2378"/>
      <c r="AA56" s="348"/>
      <c r="AB56" s="348"/>
      <c r="AC56" s="348"/>
      <c r="AD56" s="348"/>
      <c r="AE56" s="349"/>
      <c r="AF56" s="349"/>
    </row>
    <row r="57" spans="2:32" ht="24" hidden="1" customHeight="1">
      <c r="B57" s="350" t="str">
        <f>".3"</f>
        <v>.3</v>
      </c>
      <c r="C57" s="351" t="s">
        <v>433</v>
      </c>
      <c r="D57" s="352"/>
      <c r="E57" s="353"/>
      <c r="F57" s="354"/>
      <c r="G57" s="353"/>
      <c r="H57" s="354"/>
      <c r="I57" s="353"/>
      <c r="J57" s="354"/>
      <c r="K57" s="353"/>
      <c r="L57" s="354"/>
      <c r="M57" s="349" t="str">
        <f t="shared" si="3"/>
        <v/>
      </c>
      <c r="N57" s="354"/>
      <c r="O57" s="355"/>
      <c r="Q57" s="356" t="str">
        <f>IF(T57&gt;0,T57,"")</f>
        <v/>
      </c>
      <c r="R57" s="346" t="str">
        <f>IF(AND(E57="",G57=""),"",IF((E57+G57)&gt;Dictionary!$I$52,"Pass","Fail"))</f>
        <v/>
      </c>
      <c r="T57" s="349" t="str">
        <f>Scoring!U59</f>
        <v/>
      </c>
      <c r="V57" s="2376"/>
      <c r="W57" s="2377"/>
      <c r="X57" s="2377"/>
      <c r="Y57" s="2377"/>
      <c r="Z57" s="2378"/>
      <c r="AA57" s="348"/>
      <c r="AB57" s="348"/>
      <c r="AC57" s="348"/>
      <c r="AD57" s="348"/>
      <c r="AE57" s="349"/>
      <c r="AF57" s="349"/>
    </row>
    <row r="58" spans="2:32" ht="18" hidden="1" customHeight="1">
      <c r="B58" s="350" t="str">
        <f>".4"</f>
        <v>.4</v>
      </c>
      <c r="C58" s="351" t="s">
        <v>432</v>
      </c>
      <c r="D58" s="352"/>
      <c r="E58" s="353"/>
      <c r="F58" s="354"/>
      <c r="G58" s="353"/>
      <c r="H58" s="354"/>
      <c r="I58" s="353"/>
      <c r="J58" s="354"/>
      <c r="K58" s="353"/>
      <c r="L58" s="354"/>
      <c r="M58" s="349" t="str">
        <f t="shared" si="3"/>
        <v/>
      </c>
      <c r="N58" s="354"/>
      <c r="O58" s="355"/>
      <c r="Q58" s="356" t="str">
        <f>IF(T58&gt;0,T58,"")</f>
        <v/>
      </c>
      <c r="R58" s="346" t="str">
        <f>IF(AND(E58="",G58=""),"",IF((E58+G58)&gt;Dictionary!$I$52,"Pass","Fail"))</f>
        <v/>
      </c>
      <c r="T58" s="349" t="str">
        <f>Scoring!U60</f>
        <v/>
      </c>
      <c r="V58" s="2376"/>
      <c r="W58" s="2377"/>
      <c r="X58" s="2377"/>
      <c r="Y58" s="2377"/>
      <c r="Z58" s="2378"/>
      <c r="AA58" s="348"/>
      <c r="AB58" s="348"/>
      <c r="AC58" s="348"/>
      <c r="AD58" s="348"/>
      <c r="AE58" s="349"/>
      <c r="AF58" s="349"/>
    </row>
    <row r="59" spans="2:32" ht="18" hidden="1" customHeight="1">
      <c r="B59" s="350" t="str">
        <f>".5"</f>
        <v>.5</v>
      </c>
      <c r="C59" s="351" t="s">
        <v>431</v>
      </c>
      <c r="D59" s="352"/>
      <c r="E59" s="353"/>
      <c r="F59" s="354"/>
      <c r="G59" s="353"/>
      <c r="H59" s="354"/>
      <c r="I59" s="353"/>
      <c r="J59" s="354"/>
      <c r="K59" s="353"/>
      <c r="L59" s="354"/>
      <c r="M59" s="349" t="str">
        <f t="shared" si="3"/>
        <v/>
      </c>
      <c r="N59" s="354"/>
      <c r="O59" s="355"/>
      <c r="Q59" s="356" t="str">
        <f>IF(T59&gt;0,T59,"")</f>
        <v/>
      </c>
      <c r="R59" s="346" t="str">
        <f>IF(AND(E59="",G59=""),"",IF((E59+G59)&gt;Dictionary!$I$52,"Pass","Fail"))</f>
        <v/>
      </c>
      <c r="T59" s="349" t="str">
        <f>Scoring!U61</f>
        <v/>
      </c>
      <c r="V59" s="2376"/>
      <c r="W59" s="2377"/>
      <c r="X59" s="2377"/>
      <c r="Y59" s="2377"/>
      <c r="Z59" s="2378"/>
      <c r="AA59" s="348"/>
      <c r="AB59" s="348"/>
      <c r="AC59" s="348"/>
      <c r="AD59" s="348"/>
      <c r="AE59" s="349"/>
      <c r="AF59" s="349"/>
    </row>
    <row r="60" spans="2:32" ht="20" customHeight="1">
      <c r="B60" s="341" t="s">
        <v>430</v>
      </c>
      <c r="C60" s="342" t="str">
        <f>Dictionary!B1326</f>
        <v>Beziehungen und Engagement</v>
      </c>
      <c r="D60" s="343"/>
      <c r="E60" s="353"/>
      <c r="F60" s="315"/>
      <c r="G60" s="436"/>
      <c r="H60" s="360"/>
      <c r="I60" s="359"/>
      <c r="J60" s="360"/>
      <c r="K60" s="359"/>
      <c r="L60" s="315"/>
      <c r="M60" s="359"/>
      <c r="N60" s="360"/>
      <c r="O60" s="359"/>
      <c r="Q60" s="356"/>
      <c r="R60" s="346" t="str">
        <f>IF(AND(E60="",G60=""),"",IF((E60+G60)&gt;Dictionary!$I$52,"Pass","Fail"))</f>
        <v/>
      </c>
      <c r="T60" s="428">
        <f>COUNTIF(T61:T65,"&gt;3")/AE60</f>
        <v>0</v>
      </c>
      <c r="V60" s="2376"/>
      <c r="W60" s="2377"/>
      <c r="X60" s="2377"/>
      <c r="Y60" s="2377"/>
      <c r="Z60" s="2378"/>
      <c r="AA60" s="348"/>
      <c r="AB60" s="348"/>
      <c r="AC60" s="348"/>
      <c r="AD60" s="369"/>
      <c r="AE60" s="349">
        <v>5</v>
      </c>
      <c r="AF60" s="349">
        <f>ROUNDUP(AE60/2,0)</f>
        <v>3</v>
      </c>
    </row>
    <row r="61" spans="2:32" ht="18" hidden="1" customHeight="1">
      <c r="B61" s="350" t="str">
        <f>".1"</f>
        <v>.1</v>
      </c>
      <c r="C61" s="351" t="s">
        <v>429</v>
      </c>
      <c r="D61" s="352"/>
      <c r="E61" s="353"/>
      <c r="F61" s="354"/>
      <c r="G61" s="353"/>
      <c r="H61" s="354"/>
      <c r="I61" s="353"/>
      <c r="J61" s="354"/>
      <c r="K61" s="353"/>
      <c r="L61" s="354"/>
      <c r="M61" s="349" t="str">
        <f t="shared" si="3"/>
        <v/>
      </c>
      <c r="N61" s="354"/>
      <c r="O61" s="355"/>
      <c r="Q61" s="356" t="str">
        <f>IF(T61&gt;0,T61,"")</f>
        <v/>
      </c>
      <c r="R61" s="346" t="str">
        <f>IF(AND(E61="",G61=""),"",IF((E61+G61)&gt;Dictionary!$I$52,"Pass","Fail"))</f>
        <v/>
      </c>
      <c r="T61" s="349" t="str">
        <f>Scoring!U63</f>
        <v/>
      </c>
      <c r="V61" s="2376"/>
      <c r="W61" s="2377"/>
      <c r="X61" s="2377"/>
      <c r="Y61" s="2377"/>
      <c r="Z61" s="2378"/>
      <c r="AA61" s="348"/>
      <c r="AB61" s="348"/>
      <c r="AC61" s="348"/>
      <c r="AD61" s="348"/>
      <c r="AE61" s="349"/>
      <c r="AF61" s="349"/>
    </row>
    <row r="62" spans="2:32" ht="18" hidden="1" customHeight="1">
      <c r="B62" s="350" t="str">
        <f>".2"</f>
        <v>.2</v>
      </c>
      <c r="C62" s="351" t="s">
        <v>428</v>
      </c>
      <c r="D62" s="352"/>
      <c r="E62" s="353"/>
      <c r="F62" s="354"/>
      <c r="G62" s="353"/>
      <c r="H62" s="354"/>
      <c r="I62" s="353"/>
      <c r="J62" s="354"/>
      <c r="K62" s="353"/>
      <c r="L62" s="354"/>
      <c r="M62" s="349" t="str">
        <f t="shared" si="3"/>
        <v/>
      </c>
      <c r="N62" s="354"/>
      <c r="O62" s="355"/>
      <c r="Q62" s="356" t="str">
        <f>IF(T62&gt;0,T62,"")</f>
        <v/>
      </c>
      <c r="R62" s="346" t="str">
        <f>IF(AND(E62="",G62=""),"",IF((E62+G62)&gt;Dictionary!$I$52,"Pass","Fail"))</f>
        <v/>
      </c>
      <c r="T62" s="349" t="str">
        <f>Scoring!U64</f>
        <v/>
      </c>
      <c r="V62" s="2376"/>
      <c r="W62" s="2377"/>
      <c r="X62" s="2377"/>
      <c r="Y62" s="2377"/>
      <c r="Z62" s="2378"/>
      <c r="AA62" s="348"/>
      <c r="AB62" s="348"/>
      <c r="AC62" s="348"/>
      <c r="AD62" s="348"/>
      <c r="AE62" s="349"/>
      <c r="AF62" s="349"/>
    </row>
    <row r="63" spans="2:32" ht="24" hidden="1" customHeight="1">
      <c r="B63" s="350" t="str">
        <f>".3"</f>
        <v>.3</v>
      </c>
      <c r="C63" s="351" t="s">
        <v>427</v>
      </c>
      <c r="D63" s="352"/>
      <c r="E63" s="353"/>
      <c r="F63" s="354"/>
      <c r="G63" s="353"/>
      <c r="H63" s="354"/>
      <c r="I63" s="353"/>
      <c r="J63" s="354"/>
      <c r="K63" s="353"/>
      <c r="L63" s="354"/>
      <c r="M63" s="349" t="str">
        <f t="shared" si="3"/>
        <v/>
      </c>
      <c r="N63" s="354"/>
      <c r="O63" s="355"/>
      <c r="Q63" s="356" t="str">
        <f>IF(T63&gt;0,T63,"")</f>
        <v/>
      </c>
      <c r="R63" s="346" t="str">
        <f>IF(AND(E63="",G63=""),"",IF((E63+G63)&gt;Dictionary!$I$52,"Pass","Fail"))</f>
        <v/>
      </c>
      <c r="T63" s="349" t="str">
        <f>Scoring!U65</f>
        <v/>
      </c>
      <c r="V63" s="2376"/>
      <c r="W63" s="2377"/>
      <c r="X63" s="2377"/>
      <c r="Y63" s="2377"/>
      <c r="Z63" s="2378"/>
      <c r="AA63" s="348"/>
      <c r="AB63" s="348"/>
      <c r="AC63" s="348"/>
      <c r="AD63" s="348"/>
      <c r="AE63" s="349"/>
      <c r="AF63" s="349"/>
    </row>
    <row r="64" spans="2:32" ht="24" hidden="1" customHeight="1">
      <c r="B64" s="350" t="str">
        <f>".4"</f>
        <v>.4</v>
      </c>
      <c r="C64" s="351" t="s">
        <v>426</v>
      </c>
      <c r="D64" s="352"/>
      <c r="E64" s="353"/>
      <c r="F64" s="354"/>
      <c r="G64" s="353"/>
      <c r="H64" s="354"/>
      <c r="I64" s="353"/>
      <c r="J64" s="354"/>
      <c r="K64" s="353"/>
      <c r="L64" s="354"/>
      <c r="M64" s="349" t="str">
        <f t="shared" si="3"/>
        <v/>
      </c>
      <c r="N64" s="354"/>
      <c r="O64" s="355"/>
      <c r="Q64" s="356" t="str">
        <f>IF(T64&gt;0,T64,"")</f>
        <v/>
      </c>
      <c r="R64" s="346" t="str">
        <f>IF(AND(E64="",G64=""),"",IF((E64+G64)&gt;Dictionary!$I$52,"Pass","Fail"))</f>
        <v/>
      </c>
      <c r="T64" s="349" t="str">
        <f>Scoring!U66</f>
        <v/>
      </c>
      <c r="V64" s="2376"/>
      <c r="W64" s="2377"/>
      <c r="X64" s="2377"/>
      <c r="Y64" s="2377"/>
      <c r="Z64" s="2378"/>
      <c r="AA64" s="348"/>
      <c r="AB64" s="348"/>
      <c r="AC64" s="348"/>
      <c r="AD64" s="348"/>
      <c r="AE64" s="349"/>
      <c r="AF64" s="349"/>
    </row>
    <row r="65" spans="2:32" ht="24" hidden="1" customHeight="1">
      <c r="B65" s="350" t="str">
        <f>".5"</f>
        <v>.5</v>
      </c>
      <c r="C65" s="351" t="s">
        <v>425</v>
      </c>
      <c r="D65" s="352"/>
      <c r="E65" s="353"/>
      <c r="F65" s="354"/>
      <c r="G65" s="353"/>
      <c r="H65" s="354"/>
      <c r="I65" s="353"/>
      <c r="J65" s="354"/>
      <c r="K65" s="353"/>
      <c r="L65" s="354"/>
      <c r="M65" s="349" t="str">
        <f t="shared" si="3"/>
        <v/>
      </c>
      <c r="N65" s="354"/>
      <c r="O65" s="355"/>
      <c r="Q65" s="356" t="str">
        <f>IF(T65&gt;0,T65,"")</f>
        <v/>
      </c>
      <c r="R65" s="346" t="str">
        <f>IF(AND(E65="",G65=""),"",IF((E65+G65)&gt;Dictionary!$I$52,"Pass","Fail"))</f>
        <v/>
      </c>
      <c r="T65" s="349" t="str">
        <f>Scoring!U67</f>
        <v/>
      </c>
      <c r="V65" s="2376"/>
      <c r="W65" s="2377"/>
      <c r="X65" s="2377"/>
      <c r="Y65" s="2377"/>
      <c r="Z65" s="2378"/>
      <c r="AA65" s="348"/>
      <c r="AB65" s="348"/>
      <c r="AC65" s="348"/>
      <c r="AD65" s="348"/>
      <c r="AE65" s="349"/>
      <c r="AF65" s="349"/>
    </row>
    <row r="66" spans="2:32" ht="20" customHeight="1">
      <c r="B66" s="341" t="s">
        <v>424</v>
      </c>
      <c r="C66" s="342" t="str">
        <f>Dictionary!B1334</f>
        <v>Führung</v>
      </c>
      <c r="D66" s="343"/>
      <c r="E66" s="353"/>
      <c r="F66" s="315"/>
      <c r="G66" s="436"/>
      <c r="H66" s="360"/>
      <c r="I66" s="359"/>
      <c r="J66" s="360"/>
      <c r="K66" s="359"/>
      <c r="L66" s="315"/>
      <c r="M66" s="359"/>
      <c r="N66" s="360"/>
      <c r="O66" s="359"/>
      <c r="Q66" s="356"/>
      <c r="R66" s="346" t="str">
        <f>IF(AND(E66="",G66=""),"",IF((E66+G66)&gt;Dictionary!$I$52,"Pass","Fail"))</f>
        <v/>
      </c>
      <c r="T66" s="428">
        <f>COUNTIF(T67:T71,"&gt;3")/AE66</f>
        <v>0</v>
      </c>
      <c r="V66" s="2376"/>
      <c r="W66" s="2377"/>
      <c r="X66" s="2377"/>
      <c r="Y66" s="2377"/>
      <c r="Z66" s="2378"/>
      <c r="AA66" s="348"/>
      <c r="AB66" s="348"/>
      <c r="AC66" s="348"/>
      <c r="AD66" s="348"/>
      <c r="AE66" s="349">
        <v>5</v>
      </c>
      <c r="AF66" s="349">
        <f>ROUNDUP(AE66/2,0)</f>
        <v>3</v>
      </c>
    </row>
    <row r="67" spans="2:32" ht="18" hidden="1" customHeight="1">
      <c r="B67" s="350" t="str">
        <f>".1"</f>
        <v>.1</v>
      </c>
      <c r="C67" s="351" t="s">
        <v>423</v>
      </c>
      <c r="D67" s="352"/>
      <c r="E67" s="353"/>
      <c r="F67" s="354"/>
      <c r="G67" s="353"/>
      <c r="H67" s="354"/>
      <c r="I67" s="353"/>
      <c r="J67" s="354"/>
      <c r="K67" s="353"/>
      <c r="L67" s="354"/>
      <c r="M67" s="349" t="str">
        <f t="shared" si="3"/>
        <v/>
      </c>
      <c r="N67" s="354"/>
      <c r="O67" s="355"/>
      <c r="Q67" s="356" t="str">
        <f>IF(T67&gt;0,T67,"")</f>
        <v/>
      </c>
      <c r="R67" s="346" t="str">
        <f>IF(AND(E67="",G67=""),"",IF((E67+G67)&gt;Dictionary!$I$52,"Pass","Fail"))</f>
        <v/>
      </c>
      <c r="T67" s="349" t="str">
        <f>Scoring!U69</f>
        <v/>
      </c>
      <c r="V67" s="2376"/>
      <c r="W67" s="2377"/>
      <c r="X67" s="2377"/>
      <c r="Y67" s="2377"/>
      <c r="Z67" s="2378"/>
      <c r="AA67" s="348"/>
      <c r="AB67" s="348"/>
      <c r="AC67" s="348"/>
      <c r="AD67" s="348"/>
      <c r="AE67" s="349"/>
      <c r="AF67" s="349"/>
    </row>
    <row r="68" spans="2:32" ht="18" hidden="1" customHeight="1">
      <c r="B68" s="350" t="str">
        <f>".2"</f>
        <v>.2</v>
      </c>
      <c r="C68" s="351" t="s">
        <v>422</v>
      </c>
      <c r="D68" s="352"/>
      <c r="E68" s="353"/>
      <c r="F68" s="354"/>
      <c r="G68" s="353"/>
      <c r="H68" s="354"/>
      <c r="I68" s="353"/>
      <c r="J68" s="354"/>
      <c r="K68" s="353"/>
      <c r="L68" s="354"/>
      <c r="M68" s="349" t="str">
        <f t="shared" si="3"/>
        <v/>
      </c>
      <c r="N68" s="354"/>
      <c r="O68" s="355"/>
      <c r="Q68" s="356" t="str">
        <f>IF(T68&gt;0,T68,"")</f>
        <v/>
      </c>
      <c r="R68" s="346" t="str">
        <f>IF(AND(E68="",G68=""),"",IF((E68+G68)&gt;Dictionary!$I$52,"Pass","Fail"))</f>
        <v/>
      </c>
      <c r="T68" s="349" t="str">
        <f>Scoring!U70</f>
        <v/>
      </c>
      <c r="V68" s="2376"/>
      <c r="W68" s="2377"/>
      <c r="X68" s="2377"/>
      <c r="Y68" s="2377"/>
      <c r="Z68" s="2378"/>
      <c r="AA68" s="348"/>
      <c r="AB68" s="348"/>
      <c r="AC68" s="348"/>
      <c r="AD68" s="348"/>
      <c r="AE68" s="349"/>
      <c r="AF68" s="349"/>
    </row>
    <row r="69" spans="2:32" ht="24" hidden="1" customHeight="1">
      <c r="B69" s="350" t="str">
        <f>".3"</f>
        <v>.3</v>
      </c>
      <c r="C69" s="351" t="s">
        <v>421</v>
      </c>
      <c r="D69" s="352"/>
      <c r="E69" s="353"/>
      <c r="F69" s="354"/>
      <c r="G69" s="353"/>
      <c r="H69" s="354"/>
      <c r="I69" s="353"/>
      <c r="J69" s="354"/>
      <c r="K69" s="353"/>
      <c r="L69" s="354"/>
      <c r="M69" s="349" t="str">
        <f t="shared" si="3"/>
        <v/>
      </c>
      <c r="N69" s="354"/>
      <c r="O69" s="355"/>
      <c r="Q69" s="356" t="str">
        <f>IF(T69&gt;0,T69,"")</f>
        <v/>
      </c>
      <c r="R69" s="346" t="str">
        <f>IF(AND(E69="",G69=""),"",IF((E69+G69)&gt;Dictionary!$I$52,"Pass","Fail"))</f>
        <v/>
      </c>
      <c r="T69" s="349" t="str">
        <f>Scoring!U71</f>
        <v/>
      </c>
      <c r="V69" s="2376"/>
      <c r="W69" s="2377"/>
      <c r="X69" s="2377"/>
      <c r="Y69" s="2377"/>
      <c r="Z69" s="2378"/>
      <c r="AA69" s="348"/>
      <c r="AB69" s="348"/>
      <c r="AC69" s="348"/>
      <c r="AD69" s="348"/>
      <c r="AE69" s="349"/>
      <c r="AF69" s="349"/>
    </row>
    <row r="70" spans="2:32" ht="24" hidden="1" customHeight="1">
      <c r="B70" s="350" t="str">
        <f>".4"</f>
        <v>.4</v>
      </c>
      <c r="C70" s="351" t="s">
        <v>420</v>
      </c>
      <c r="D70" s="352"/>
      <c r="E70" s="353"/>
      <c r="F70" s="354"/>
      <c r="G70" s="353"/>
      <c r="H70" s="354"/>
      <c r="I70" s="353"/>
      <c r="J70" s="354"/>
      <c r="K70" s="353"/>
      <c r="L70" s="354"/>
      <c r="M70" s="349" t="str">
        <f t="shared" si="3"/>
        <v/>
      </c>
      <c r="N70" s="354"/>
      <c r="O70" s="355"/>
      <c r="Q70" s="356" t="str">
        <f>IF(T70&gt;0,T70,"")</f>
        <v/>
      </c>
      <c r="R70" s="346" t="str">
        <f>IF(AND(E70="",G70=""),"",IF((E70+G70)&gt;Dictionary!$I$52,"Pass","Fail"))</f>
        <v/>
      </c>
      <c r="T70" s="349" t="str">
        <f>Scoring!U72</f>
        <v/>
      </c>
      <c r="V70" s="2376"/>
      <c r="W70" s="2377"/>
      <c r="X70" s="2377"/>
      <c r="Y70" s="2377"/>
      <c r="Z70" s="2378"/>
      <c r="AA70" s="348"/>
      <c r="AB70" s="348"/>
      <c r="AC70" s="348"/>
      <c r="AD70" s="348"/>
      <c r="AE70" s="349"/>
      <c r="AF70" s="349"/>
    </row>
    <row r="71" spans="2:32" ht="18" hidden="1" customHeight="1">
      <c r="B71" s="350" t="str">
        <f>".5"</f>
        <v>.5</v>
      </c>
      <c r="C71" s="351" t="s">
        <v>419</v>
      </c>
      <c r="D71" s="352"/>
      <c r="E71" s="353"/>
      <c r="F71" s="354"/>
      <c r="G71" s="353"/>
      <c r="H71" s="354"/>
      <c r="I71" s="353"/>
      <c r="J71" s="354"/>
      <c r="K71" s="353"/>
      <c r="L71" s="354"/>
      <c r="M71" s="349" t="str">
        <f t="shared" si="3"/>
        <v/>
      </c>
      <c r="N71" s="354"/>
      <c r="O71" s="355"/>
      <c r="Q71" s="356" t="str">
        <f>IF(T71&gt;0,T71,"")</f>
        <v/>
      </c>
      <c r="R71" s="346" t="str">
        <f>IF(AND(E71="",G71=""),"",IF((E71+G71)&gt;Dictionary!$I$52,"Pass","Fail"))</f>
        <v/>
      </c>
      <c r="T71" s="349" t="str">
        <f>Scoring!U73</f>
        <v/>
      </c>
      <c r="V71" s="2376"/>
      <c r="W71" s="2377"/>
      <c r="X71" s="2377"/>
      <c r="Y71" s="2377"/>
      <c r="Z71" s="2378"/>
      <c r="AA71" s="348"/>
      <c r="AB71" s="348"/>
      <c r="AC71" s="348"/>
      <c r="AD71" s="348"/>
      <c r="AE71" s="349"/>
      <c r="AF71" s="349"/>
    </row>
    <row r="72" spans="2:32" ht="20" customHeight="1">
      <c r="B72" s="341" t="s">
        <v>418</v>
      </c>
      <c r="C72" s="342" t="str">
        <f>Dictionary!B1342</f>
        <v>Teamarbeit</v>
      </c>
      <c r="D72" s="343"/>
      <c r="E72" s="353"/>
      <c r="F72" s="315"/>
      <c r="G72" s="436"/>
      <c r="H72" s="360"/>
      <c r="I72" s="359"/>
      <c r="J72" s="360"/>
      <c r="K72" s="359"/>
      <c r="L72" s="315"/>
      <c r="M72" s="359"/>
      <c r="N72" s="360"/>
      <c r="O72" s="359"/>
      <c r="Q72" s="356"/>
      <c r="R72" s="346" t="str">
        <f>IF(AND(E72="",G72=""),"",IF((E72+G72)&gt;Dictionary!$I$52,"Pass","Fail"))</f>
        <v/>
      </c>
      <c r="T72" s="428">
        <f>COUNTIF(T73:T77,"&gt;3")/AE72</f>
        <v>0</v>
      </c>
      <c r="V72" s="2376"/>
      <c r="W72" s="2377"/>
      <c r="X72" s="2377"/>
      <c r="Y72" s="2377"/>
      <c r="Z72" s="2378"/>
      <c r="AA72" s="348"/>
      <c r="AB72" s="348"/>
      <c r="AC72" s="348"/>
      <c r="AD72" s="348"/>
      <c r="AE72" s="349">
        <v>5</v>
      </c>
      <c r="AF72" s="349">
        <f>ROUNDUP(AE72/2,0)</f>
        <v>3</v>
      </c>
    </row>
    <row r="73" spans="2:32" ht="18" hidden="1" customHeight="1">
      <c r="B73" s="350" t="str">
        <f>".1"</f>
        <v>.1</v>
      </c>
      <c r="C73" s="351" t="s">
        <v>417</v>
      </c>
      <c r="D73" s="352"/>
      <c r="E73" s="353"/>
      <c r="F73" s="354"/>
      <c r="G73" s="353"/>
      <c r="H73" s="354"/>
      <c r="I73" s="353"/>
      <c r="J73" s="354"/>
      <c r="K73" s="353"/>
      <c r="L73" s="354"/>
      <c r="M73" s="349" t="str">
        <f t="shared" si="3"/>
        <v/>
      </c>
      <c r="N73" s="354"/>
      <c r="O73" s="355"/>
      <c r="Q73" s="356" t="str">
        <f>IF(T73&gt;0,T73,"")</f>
        <v/>
      </c>
      <c r="R73" s="346" t="str">
        <f>IF(AND(E73="",G73=""),"",IF((E73+G73)&gt;Dictionary!$I$52,"Pass","Fail"))</f>
        <v/>
      </c>
      <c r="T73" s="349" t="str">
        <f>Scoring!U75</f>
        <v/>
      </c>
      <c r="V73" s="2376"/>
      <c r="W73" s="2377"/>
      <c r="X73" s="2377"/>
      <c r="Y73" s="2377"/>
      <c r="Z73" s="2378"/>
      <c r="AA73" s="348"/>
      <c r="AB73" s="348"/>
      <c r="AC73" s="348"/>
      <c r="AD73" s="348"/>
      <c r="AE73" s="349"/>
      <c r="AF73" s="349"/>
    </row>
    <row r="74" spans="2:32" ht="24" hidden="1" customHeight="1">
      <c r="B74" s="350" t="str">
        <f>".2"</f>
        <v>.2</v>
      </c>
      <c r="C74" s="351" t="s">
        <v>416</v>
      </c>
      <c r="D74" s="352"/>
      <c r="E74" s="353"/>
      <c r="F74" s="354"/>
      <c r="G74" s="353"/>
      <c r="H74" s="354"/>
      <c r="I74" s="353"/>
      <c r="J74" s="354"/>
      <c r="K74" s="353"/>
      <c r="L74" s="354"/>
      <c r="M74" s="349" t="str">
        <f t="shared" si="3"/>
        <v/>
      </c>
      <c r="N74" s="354"/>
      <c r="O74" s="355"/>
      <c r="Q74" s="356" t="str">
        <f>IF(T74&gt;0,T74,"")</f>
        <v/>
      </c>
      <c r="R74" s="346" t="str">
        <f>IF(AND(E74="",G74=""),"",IF((E74+G74)&gt;Dictionary!$I$52,"Pass","Fail"))</f>
        <v/>
      </c>
      <c r="T74" s="349" t="str">
        <f>Scoring!U76</f>
        <v/>
      </c>
      <c r="V74" s="2376"/>
      <c r="W74" s="2377"/>
      <c r="X74" s="2377"/>
      <c r="Y74" s="2377"/>
      <c r="Z74" s="2378"/>
      <c r="AA74" s="348"/>
      <c r="AB74" s="348"/>
      <c r="AC74" s="348"/>
      <c r="AD74" s="348"/>
      <c r="AE74" s="349"/>
      <c r="AF74" s="349"/>
    </row>
    <row r="75" spans="2:32" ht="24" hidden="1" customHeight="1">
      <c r="B75" s="350" t="str">
        <f>".3"</f>
        <v>.3</v>
      </c>
      <c r="C75" s="351" t="s">
        <v>415</v>
      </c>
      <c r="D75" s="352"/>
      <c r="E75" s="353"/>
      <c r="F75" s="354"/>
      <c r="G75" s="353"/>
      <c r="H75" s="354"/>
      <c r="I75" s="353"/>
      <c r="J75" s="354"/>
      <c r="K75" s="353"/>
      <c r="L75" s="354"/>
      <c r="M75" s="349" t="str">
        <f t="shared" si="3"/>
        <v/>
      </c>
      <c r="N75" s="354"/>
      <c r="O75" s="355"/>
      <c r="Q75" s="356" t="str">
        <f>IF(T75&gt;0,T75,"")</f>
        <v/>
      </c>
      <c r="R75" s="346" t="str">
        <f>IF(AND(E75="",G75=""),"",IF((E75+G75)&gt;Dictionary!$I$52,"Pass","Fail"))</f>
        <v/>
      </c>
      <c r="T75" s="349" t="str">
        <f>Scoring!U77</f>
        <v/>
      </c>
      <c r="V75" s="2376"/>
      <c r="W75" s="2377"/>
      <c r="X75" s="2377"/>
      <c r="Y75" s="2377"/>
      <c r="Z75" s="2378"/>
      <c r="AA75" s="348"/>
      <c r="AB75" s="348"/>
      <c r="AC75" s="348"/>
      <c r="AD75" s="348"/>
      <c r="AE75" s="349"/>
      <c r="AF75" s="349"/>
    </row>
    <row r="76" spans="2:32" ht="18" hidden="1" customHeight="1">
      <c r="B76" s="350" t="str">
        <f>".4"</f>
        <v>.4</v>
      </c>
      <c r="C76" s="351" t="s">
        <v>414</v>
      </c>
      <c r="D76" s="352"/>
      <c r="E76" s="353"/>
      <c r="F76" s="354"/>
      <c r="G76" s="353"/>
      <c r="H76" s="354"/>
      <c r="I76" s="353"/>
      <c r="J76" s="354"/>
      <c r="K76" s="353"/>
      <c r="L76" s="354"/>
      <c r="M76" s="349" t="str">
        <f t="shared" si="3"/>
        <v/>
      </c>
      <c r="N76" s="354"/>
      <c r="O76" s="355"/>
      <c r="Q76" s="356" t="str">
        <f>IF(T76&gt;0,T76,"")</f>
        <v/>
      </c>
      <c r="R76" s="346" t="str">
        <f>IF(AND(E76="",G76=""),"",IF((E76+G76)&gt;Dictionary!$I$52,"Pass","Fail"))</f>
        <v/>
      </c>
      <c r="T76" s="349" t="str">
        <f>Scoring!U78</f>
        <v/>
      </c>
      <c r="V76" s="2376"/>
      <c r="W76" s="2377"/>
      <c r="X76" s="2377"/>
      <c r="Y76" s="2377"/>
      <c r="Z76" s="2378"/>
      <c r="AA76" s="348"/>
      <c r="AB76" s="348"/>
      <c r="AC76" s="348"/>
      <c r="AD76" s="348"/>
      <c r="AE76" s="349"/>
      <c r="AF76" s="349"/>
    </row>
    <row r="77" spans="2:32" ht="18" hidden="1" customHeight="1">
      <c r="B77" s="350" t="str">
        <f>".5"</f>
        <v>.5</v>
      </c>
      <c r="C77" s="351" t="s">
        <v>413</v>
      </c>
      <c r="D77" s="352"/>
      <c r="E77" s="353"/>
      <c r="F77" s="354"/>
      <c r="G77" s="353"/>
      <c r="H77" s="354"/>
      <c r="I77" s="353"/>
      <c r="J77" s="354"/>
      <c r="K77" s="353"/>
      <c r="L77" s="354"/>
      <c r="M77" s="349" t="str">
        <f t="shared" si="3"/>
        <v/>
      </c>
      <c r="N77" s="354"/>
      <c r="O77" s="355"/>
      <c r="Q77" s="356" t="str">
        <f>IF(T77&gt;0,T77,"")</f>
        <v/>
      </c>
      <c r="R77" s="346" t="str">
        <f>IF(AND(E77="",G77=""),"",IF((E77+G77)&gt;Dictionary!$I$52,"Pass","Fail"))</f>
        <v/>
      </c>
      <c r="T77" s="349" t="str">
        <f>Scoring!U79</f>
        <v/>
      </c>
      <c r="V77" s="2376"/>
      <c r="W77" s="2377"/>
      <c r="X77" s="2377"/>
      <c r="Y77" s="2377"/>
      <c r="Z77" s="2378"/>
      <c r="AA77" s="348"/>
      <c r="AB77" s="348"/>
      <c r="AC77" s="348"/>
      <c r="AD77" s="348"/>
      <c r="AE77" s="349"/>
      <c r="AF77" s="349"/>
    </row>
    <row r="78" spans="2:32" ht="20" customHeight="1">
      <c r="B78" s="341" t="s">
        <v>412</v>
      </c>
      <c r="C78" s="342" t="str">
        <f>Dictionary!B1350</f>
        <v>Konflikte und Krisen</v>
      </c>
      <c r="D78" s="343"/>
      <c r="E78" s="353"/>
      <c r="F78" s="315"/>
      <c r="G78" s="436"/>
      <c r="H78" s="360"/>
      <c r="I78" s="359"/>
      <c r="J78" s="360"/>
      <c r="K78" s="359"/>
      <c r="L78" s="315"/>
      <c r="M78" s="359"/>
      <c r="N78" s="360"/>
      <c r="O78" s="359"/>
      <c r="Q78" s="356"/>
      <c r="R78" s="346" t="str">
        <f>IF(AND(E78="",G78=""),"",IF((E78+G78)&gt;Dictionary!$I$52,"Pass","Fail"))</f>
        <v/>
      </c>
      <c r="T78" s="428">
        <f>COUNTIF(T79:T82,"&gt;3")/AE78</f>
        <v>0</v>
      </c>
      <c r="V78" s="2376"/>
      <c r="W78" s="2377"/>
      <c r="X78" s="2377"/>
      <c r="Y78" s="2377"/>
      <c r="Z78" s="2378"/>
      <c r="AA78" s="348"/>
      <c r="AB78" s="348"/>
      <c r="AC78" s="348"/>
      <c r="AD78" s="348"/>
      <c r="AE78" s="349">
        <v>4</v>
      </c>
      <c r="AF78" s="349">
        <f>ROUNDUP(AE78/2,0)</f>
        <v>2</v>
      </c>
    </row>
    <row r="79" spans="2:32" ht="18" hidden="1" customHeight="1">
      <c r="B79" s="350" t="str">
        <f>".1"</f>
        <v>.1</v>
      </c>
      <c r="C79" s="351" t="s">
        <v>411</v>
      </c>
      <c r="D79" s="352"/>
      <c r="E79" s="353"/>
      <c r="F79" s="354"/>
      <c r="G79" s="353"/>
      <c r="H79" s="354"/>
      <c r="I79" s="353"/>
      <c r="J79" s="354"/>
      <c r="K79" s="353"/>
      <c r="L79" s="354"/>
      <c r="M79" s="349" t="str">
        <f>IF(MAX(E79,G79,I79,K79)=0,"",MAX(E79,G79,I79,K79))</f>
        <v/>
      </c>
      <c r="N79" s="354"/>
      <c r="O79" s="355"/>
      <c r="Q79" s="356" t="str">
        <f>IF(T79&gt;0,T79,"")</f>
        <v/>
      </c>
      <c r="R79" s="346" t="str">
        <f>IF(AND(E79="",G79=""),"",IF((E79+G79)&gt;Dictionary!$I$52,"Pass","Fail"))</f>
        <v/>
      </c>
      <c r="T79" s="349" t="str">
        <f>Scoring!U81</f>
        <v/>
      </c>
      <c r="V79" s="2376"/>
      <c r="W79" s="2377"/>
      <c r="X79" s="2377"/>
      <c r="Y79" s="2377"/>
      <c r="Z79" s="2378"/>
      <c r="AA79" s="348"/>
      <c r="AB79" s="348"/>
      <c r="AC79" s="348"/>
      <c r="AD79" s="348"/>
      <c r="AE79" s="349"/>
      <c r="AF79" s="349"/>
    </row>
    <row r="80" spans="2:32" ht="24" hidden="1" customHeight="1">
      <c r="B80" s="350" t="str">
        <f>".2"</f>
        <v>.2</v>
      </c>
      <c r="C80" s="351" t="s">
        <v>410</v>
      </c>
      <c r="D80" s="352"/>
      <c r="E80" s="353"/>
      <c r="F80" s="354"/>
      <c r="G80" s="353"/>
      <c r="H80" s="354"/>
      <c r="I80" s="353"/>
      <c r="J80" s="354"/>
      <c r="K80" s="353"/>
      <c r="L80" s="354"/>
      <c r="M80" s="349" t="str">
        <f>IF(MAX(E80,G80,I80,K80)=0,"",MAX(E80,G80,I80,K80))</f>
        <v/>
      </c>
      <c r="N80" s="354"/>
      <c r="O80" s="355"/>
      <c r="Q80" s="356" t="str">
        <f>IF(T80&gt;0,T80,"")</f>
        <v/>
      </c>
      <c r="R80" s="346" t="str">
        <f>IF(AND(E80="",G80=""),"",IF((E80+G80)&gt;Dictionary!$I$52,"Pass","Fail"))</f>
        <v/>
      </c>
      <c r="T80" s="349" t="str">
        <f>Scoring!U82</f>
        <v/>
      </c>
      <c r="V80" s="2376"/>
      <c r="W80" s="2377"/>
      <c r="X80" s="2377"/>
      <c r="Y80" s="2377"/>
      <c r="Z80" s="2378"/>
      <c r="AA80" s="348"/>
      <c r="AB80" s="348"/>
      <c r="AC80" s="348"/>
      <c r="AD80" s="348"/>
      <c r="AE80" s="349"/>
      <c r="AF80" s="349"/>
    </row>
    <row r="81" spans="2:32" ht="24" hidden="1" customHeight="1">
      <c r="B81" s="350" t="str">
        <f>".3"</f>
        <v>.3</v>
      </c>
      <c r="C81" s="351" t="s">
        <v>409</v>
      </c>
      <c r="D81" s="352"/>
      <c r="E81" s="353"/>
      <c r="F81" s="354"/>
      <c r="G81" s="353"/>
      <c r="H81" s="354"/>
      <c r="I81" s="353"/>
      <c r="J81" s="354"/>
      <c r="K81" s="353"/>
      <c r="L81" s="354"/>
      <c r="M81" s="349" t="str">
        <f>IF(MAX(E81,G81,I81,K81)=0,"",MAX(E81,G81,I81,K81))</f>
        <v/>
      </c>
      <c r="N81" s="354"/>
      <c r="O81" s="355"/>
      <c r="Q81" s="356" t="str">
        <f>IF(T81&gt;0,T81,"")</f>
        <v/>
      </c>
      <c r="R81" s="346" t="str">
        <f>IF(AND(E81="",G81=""),"",IF((E81+G81)&gt;Dictionary!$I$52,"Pass","Fail"))</f>
        <v/>
      </c>
      <c r="T81" s="349" t="str">
        <f>Scoring!U83</f>
        <v/>
      </c>
      <c r="V81" s="2376"/>
      <c r="W81" s="2377"/>
      <c r="X81" s="2377"/>
      <c r="Y81" s="2377"/>
      <c r="Z81" s="2378"/>
      <c r="AA81" s="348"/>
      <c r="AB81" s="348"/>
      <c r="AC81" s="348"/>
      <c r="AD81" s="348"/>
      <c r="AE81" s="349"/>
      <c r="AF81" s="349"/>
    </row>
    <row r="82" spans="2:32" ht="24" hidden="1" customHeight="1">
      <c r="B82" s="350" t="str">
        <f>".4"</f>
        <v>.4</v>
      </c>
      <c r="C82" s="351" t="s">
        <v>408</v>
      </c>
      <c r="D82" s="352"/>
      <c r="E82" s="353"/>
      <c r="F82" s="354"/>
      <c r="G82" s="353"/>
      <c r="H82" s="354"/>
      <c r="I82" s="353"/>
      <c r="J82" s="354"/>
      <c r="K82" s="353"/>
      <c r="L82" s="354"/>
      <c r="M82" s="349" t="str">
        <f>IF(MAX(E82,G82,I82,K82)=0,"",MAX(E82,G82,I82,K82))</f>
        <v/>
      </c>
      <c r="N82" s="354"/>
      <c r="O82" s="355"/>
      <c r="Q82" s="356" t="str">
        <f>IF(T82&gt;0,T82,"")</f>
        <v/>
      </c>
      <c r="R82" s="346" t="str">
        <f>IF(AND(E82="",G82=""),"",IF((E82+G82)&gt;Dictionary!$I$52,"Pass","Fail"))</f>
        <v/>
      </c>
      <c r="T82" s="349" t="str">
        <f>Scoring!U84</f>
        <v/>
      </c>
      <c r="V82" s="2376"/>
      <c r="W82" s="2377"/>
      <c r="X82" s="2377"/>
      <c r="Y82" s="2377"/>
      <c r="Z82" s="2378"/>
      <c r="AA82" s="348"/>
      <c r="AB82" s="348"/>
      <c r="AC82" s="348"/>
      <c r="AD82" s="348"/>
      <c r="AE82" s="349"/>
      <c r="AF82" s="349"/>
    </row>
    <row r="83" spans="2:32" ht="20" customHeight="1">
      <c r="B83" s="341" t="s">
        <v>407</v>
      </c>
      <c r="C83" s="342" t="str">
        <f>Dictionary!B1357</f>
        <v>Vielseitigkeit</v>
      </c>
      <c r="D83" s="343"/>
      <c r="E83" s="353"/>
      <c r="F83" s="315"/>
      <c r="G83" s="436"/>
      <c r="H83" s="360"/>
      <c r="I83" s="359"/>
      <c r="J83" s="360"/>
      <c r="K83" s="359"/>
      <c r="L83" s="315"/>
      <c r="M83" s="359"/>
      <c r="N83" s="360"/>
      <c r="O83" s="359"/>
      <c r="Q83" s="356"/>
      <c r="R83" s="346" t="str">
        <f>IF(AND(E83="",G83=""),"",IF((E83+G83)&gt;Dictionary!$I$52,"Pass","Fail"))</f>
        <v/>
      </c>
      <c r="T83" s="428">
        <f>COUNTIF(T84:T88,"&gt;3")/AE83</f>
        <v>0</v>
      </c>
      <c r="V83" s="2376"/>
      <c r="W83" s="2377"/>
      <c r="X83" s="2377"/>
      <c r="Y83" s="2377"/>
      <c r="Z83" s="2378"/>
      <c r="AA83" s="348"/>
      <c r="AB83" s="348"/>
      <c r="AC83" s="348"/>
      <c r="AD83" s="348"/>
      <c r="AE83" s="349">
        <v>5</v>
      </c>
      <c r="AF83" s="349">
        <f>ROUNDUP(AE83/2,0)</f>
        <v>3</v>
      </c>
    </row>
    <row r="84" spans="2:32" ht="18" hidden="1" customHeight="1">
      <c r="B84" s="350" t="str">
        <f>".1"</f>
        <v>.1</v>
      </c>
      <c r="C84" s="351" t="s">
        <v>406</v>
      </c>
      <c r="D84" s="352"/>
      <c r="E84" s="353"/>
      <c r="F84" s="354"/>
      <c r="G84" s="353"/>
      <c r="H84" s="354"/>
      <c r="I84" s="353"/>
      <c r="J84" s="354"/>
      <c r="K84" s="353"/>
      <c r="L84" s="354"/>
      <c r="M84" s="349" t="str">
        <f t="shared" ref="M84:M100" si="4">IF(MAX(E84,G84,I84,K84)=0,"",MAX(E84,G84,I84,K84))</f>
        <v/>
      </c>
      <c r="N84" s="354"/>
      <c r="O84" s="355"/>
      <c r="Q84" s="356" t="str">
        <f>IF(T84&gt;0,T84,"")</f>
        <v/>
      </c>
      <c r="R84" s="346" t="str">
        <f>IF(AND(E84="",G84=""),"",IF((E84+G84)&gt;Dictionary!$I$52,"Pass","Fail"))</f>
        <v/>
      </c>
      <c r="T84" s="349" t="str">
        <f>Scoring!U86</f>
        <v/>
      </c>
      <c r="V84" s="2376"/>
      <c r="W84" s="2377"/>
      <c r="X84" s="2377"/>
      <c r="Y84" s="2377"/>
      <c r="Z84" s="2378"/>
      <c r="AA84" s="348"/>
      <c r="AB84" s="348"/>
      <c r="AC84" s="348"/>
      <c r="AD84" s="348"/>
      <c r="AE84" s="349"/>
      <c r="AF84" s="349"/>
    </row>
    <row r="85" spans="2:32" ht="24" hidden="1" customHeight="1">
      <c r="B85" s="350" t="str">
        <f>".2"</f>
        <v>.2</v>
      </c>
      <c r="C85" s="351" t="s">
        <v>405</v>
      </c>
      <c r="D85" s="352"/>
      <c r="E85" s="353"/>
      <c r="F85" s="354"/>
      <c r="G85" s="353"/>
      <c r="H85" s="354"/>
      <c r="I85" s="353"/>
      <c r="J85" s="354"/>
      <c r="K85" s="353"/>
      <c r="L85" s="354"/>
      <c r="M85" s="349" t="str">
        <f t="shared" si="4"/>
        <v/>
      </c>
      <c r="N85" s="354"/>
      <c r="O85" s="355"/>
      <c r="Q85" s="356" t="str">
        <f>IF(T85&gt;0,T85,"")</f>
        <v/>
      </c>
      <c r="R85" s="346" t="str">
        <f>IF(AND(E85="",G85=""),"",IF((E85+G85)&gt;Dictionary!$I$52,"Pass","Fail"))</f>
        <v/>
      </c>
      <c r="T85" s="349" t="str">
        <f>Scoring!U87</f>
        <v/>
      </c>
      <c r="V85" s="2376"/>
      <c r="W85" s="2377"/>
      <c r="X85" s="2377"/>
      <c r="Y85" s="2377"/>
      <c r="Z85" s="2378"/>
      <c r="AA85" s="348"/>
      <c r="AB85" s="348"/>
      <c r="AC85" s="348"/>
      <c r="AD85" s="348"/>
      <c r="AE85" s="349"/>
      <c r="AF85" s="349"/>
    </row>
    <row r="86" spans="2:32" ht="24" hidden="1" customHeight="1">
      <c r="B86" s="350" t="str">
        <f>".3"</f>
        <v>.3</v>
      </c>
      <c r="C86" s="351" t="s">
        <v>404</v>
      </c>
      <c r="D86" s="352"/>
      <c r="E86" s="353"/>
      <c r="F86" s="354"/>
      <c r="G86" s="353"/>
      <c r="H86" s="354"/>
      <c r="I86" s="353"/>
      <c r="J86" s="354"/>
      <c r="K86" s="353"/>
      <c r="L86" s="354"/>
      <c r="M86" s="349" t="str">
        <f t="shared" si="4"/>
        <v/>
      </c>
      <c r="N86" s="354"/>
      <c r="O86" s="355"/>
      <c r="Q86" s="356" t="str">
        <f>IF(T86&gt;0,T86,"")</f>
        <v/>
      </c>
      <c r="R86" s="346" t="str">
        <f>IF(AND(E86="",G86=""),"",IF((E86+G86)&gt;Dictionary!$I$52,"Pass","Fail"))</f>
        <v/>
      </c>
      <c r="T86" s="349" t="str">
        <f>Scoring!U88</f>
        <v/>
      </c>
      <c r="V86" s="2376"/>
      <c r="W86" s="2377"/>
      <c r="X86" s="2377"/>
      <c r="Y86" s="2377"/>
      <c r="Z86" s="2378"/>
      <c r="AA86" s="348"/>
      <c r="AB86" s="348"/>
      <c r="AC86" s="348"/>
      <c r="AD86" s="348"/>
      <c r="AE86" s="349"/>
      <c r="AF86" s="349"/>
    </row>
    <row r="87" spans="2:32" ht="24" hidden="1" customHeight="1">
      <c r="B87" s="350" t="str">
        <f>".4"</f>
        <v>.4</v>
      </c>
      <c r="C87" s="351" t="s">
        <v>403</v>
      </c>
      <c r="D87" s="352"/>
      <c r="E87" s="353"/>
      <c r="F87" s="354"/>
      <c r="G87" s="353"/>
      <c r="H87" s="354"/>
      <c r="I87" s="353"/>
      <c r="J87" s="354"/>
      <c r="K87" s="353"/>
      <c r="L87" s="354"/>
      <c r="M87" s="349" t="str">
        <f t="shared" si="4"/>
        <v/>
      </c>
      <c r="N87" s="354"/>
      <c r="O87" s="355"/>
      <c r="Q87" s="356" t="str">
        <f>IF(T87&gt;0,T87,"")</f>
        <v/>
      </c>
      <c r="R87" s="346" t="str">
        <f>IF(AND(E87="",G87=""),"",IF((E87+G87)&gt;Dictionary!$I$52,"Pass","Fail"))</f>
        <v/>
      </c>
      <c r="T87" s="349" t="str">
        <f>Scoring!U89</f>
        <v/>
      </c>
      <c r="V87" s="2376"/>
      <c r="W87" s="2377"/>
      <c r="X87" s="2377"/>
      <c r="Y87" s="2377"/>
      <c r="Z87" s="2378"/>
      <c r="AA87" s="348"/>
      <c r="AB87" s="348"/>
      <c r="AC87" s="348"/>
      <c r="AD87" s="348"/>
      <c r="AE87" s="349"/>
      <c r="AF87" s="349"/>
    </row>
    <row r="88" spans="2:32" ht="24" hidden="1" customHeight="1">
      <c r="B88" s="350" t="str">
        <f>".5"</f>
        <v>.5</v>
      </c>
      <c r="C88" s="351" t="s">
        <v>402</v>
      </c>
      <c r="D88" s="352"/>
      <c r="E88" s="353"/>
      <c r="F88" s="354"/>
      <c r="G88" s="353"/>
      <c r="H88" s="354"/>
      <c r="I88" s="353"/>
      <c r="J88" s="354"/>
      <c r="K88" s="353"/>
      <c r="L88" s="354"/>
      <c r="M88" s="349" t="str">
        <f t="shared" si="4"/>
        <v/>
      </c>
      <c r="N88" s="354"/>
      <c r="O88" s="355"/>
      <c r="Q88" s="356" t="str">
        <f>IF(T88&gt;0,T88,"")</f>
        <v/>
      </c>
      <c r="R88" s="346" t="str">
        <f>IF(AND(E88="",G88=""),"",IF((E88+G88)&gt;Dictionary!$I$52,"Pass","Fail"))</f>
        <v/>
      </c>
      <c r="T88" s="349" t="str">
        <f>Scoring!U90</f>
        <v/>
      </c>
      <c r="V88" s="2376"/>
      <c r="W88" s="2377"/>
      <c r="X88" s="2377"/>
      <c r="Y88" s="2377"/>
      <c r="Z88" s="2378"/>
      <c r="AA88" s="348"/>
      <c r="AB88" s="348"/>
      <c r="AC88" s="348"/>
      <c r="AD88" s="348"/>
      <c r="AE88" s="349"/>
      <c r="AF88" s="349"/>
    </row>
    <row r="89" spans="2:32" ht="20" customHeight="1">
      <c r="B89" s="341" t="s">
        <v>401</v>
      </c>
      <c r="C89" s="342" t="str">
        <f>Dictionary!B1365</f>
        <v>Verhandlungen</v>
      </c>
      <c r="D89" s="343"/>
      <c r="E89" s="353"/>
      <c r="F89" s="315"/>
      <c r="G89" s="436"/>
      <c r="H89" s="360"/>
      <c r="I89" s="359"/>
      <c r="J89" s="360"/>
      <c r="K89" s="359"/>
      <c r="L89" s="315"/>
      <c r="M89" s="359"/>
      <c r="N89" s="360"/>
      <c r="O89" s="359"/>
      <c r="Q89" s="356"/>
      <c r="R89" s="346" t="str">
        <f>IF(AND(E89="",G89=""),"",IF((E89+G89)&gt;Dictionary!$I$52,"Pass","Fail"))</f>
        <v/>
      </c>
      <c r="T89" s="428">
        <f>COUNTIF(T90:T94,"&gt;3")/AE89</f>
        <v>0</v>
      </c>
      <c r="V89" s="2376"/>
      <c r="W89" s="2377"/>
      <c r="X89" s="2377"/>
      <c r="Y89" s="2377"/>
      <c r="Z89" s="2378"/>
      <c r="AA89" s="348"/>
      <c r="AB89" s="348"/>
      <c r="AC89" s="348"/>
      <c r="AD89" s="348"/>
      <c r="AE89" s="349">
        <v>5</v>
      </c>
      <c r="AF89" s="349">
        <f>ROUNDUP(AE89/2,0)</f>
        <v>3</v>
      </c>
    </row>
    <row r="90" spans="2:32" ht="24" hidden="1" customHeight="1">
      <c r="B90" s="350" t="str">
        <f>".1"</f>
        <v>.1</v>
      </c>
      <c r="C90" s="351" t="s">
        <v>400</v>
      </c>
      <c r="D90" s="352"/>
      <c r="E90" s="353"/>
      <c r="F90" s="354"/>
      <c r="G90" s="353"/>
      <c r="H90" s="354"/>
      <c r="I90" s="353"/>
      <c r="J90" s="354"/>
      <c r="K90" s="353"/>
      <c r="L90" s="354"/>
      <c r="M90" s="349" t="str">
        <f t="shared" si="4"/>
        <v/>
      </c>
      <c r="N90" s="354"/>
      <c r="O90" s="355"/>
      <c r="Q90" s="356" t="str">
        <f>IF(T90&gt;0,T90,"")</f>
        <v/>
      </c>
      <c r="R90" s="346" t="str">
        <f>IF(AND(E90="",G90=""),"",IF((E90+G90)&gt;Dictionary!$I$52,"Pass","Fail"))</f>
        <v/>
      </c>
      <c r="T90" s="349" t="str">
        <f>Scoring!U92</f>
        <v/>
      </c>
      <c r="V90" s="2376"/>
      <c r="W90" s="2377"/>
      <c r="X90" s="2377"/>
      <c r="Y90" s="2377"/>
      <c r="Z90" s="2378"/>
      <c r="AA90" s="348"/>
      <c r="AB90" s="348"/>
      <c r="AC90" s="348"/>
      <c r="AD90" s="348"/>
      <c r="AE90" s="349"/>
      <c r="AF90" s="349"/>
    </row>
    <row r="91" spans="2:32" ht="24" hidden="1" customHeight="1">
      <c r="B91" s="350" t="str">
        <f>".2"</f>
        <v>.2</v>
      </c>
      <c r="C91" s="351" t="s">
        <v>399</v>
      </c>
      <c r="D91" s="352"/>
      <c r="E91" s="353"/>
      <c r="F91" s="354"/>
      <c r="G91" s="353"/>
      <c r="H91" s="354"/>
      <c r="I91" s="353"/>
      <c r="J91" s="354"/>
      <c r="K91" s="353"/>
      <c r="L91" s="354"/>
      <c r="M91" s="349" t="str">
        <f t="shared" si="4"/>
        <v/>
      </c>
      <c r="N91" s="354"/>
      <c r="O91" s="355"/>
      <c r="Q91" s="356" t="str">
        <f>IF(T91&gt;0,T91,"")</f>
        <v/>
      </c>
      <c r="R91" s="346" t="str">
        <f>IF(AND(E91="",G91=""),"",IF((E91+G91)&gt;Dictionary!$I$52,"Pass","Fail"))</f>
        <v/>
      </c>
      <c r="T91" s="349" t="str">
        <f>Scoring!U93</f>
        <v/>
      </c>
      <c r="V91" s="2376"/>
      <c r="W91" s="2377"/>
      <c r="X91" s="2377"/>
      <c r="Y91" s="2377"/>
      <c r="Z91" s="2378"/>
      <c r="AA91" s="348"/>
      <c r="AB91" s="348"/>
      <c r="AC91" s="348"/>
      <c r="AD91" s="348"/>
      <c r="AE91" s="349"/>
      <c r="AF91" s="349"/>
    </row>
    <row r="92" spans="2:32" ht="24" hidden="1" customHeight="1">
      <c r="B92" s="350" t="str">
        <f>".3"</f>
        <v>.3</v>
      </c>
      <c r="C92" s="351" t="s">
        <v>398</v>
      </c>
      <c r="D92" s="352"/>
      <c r="E92" s="353"/>
      <c r="F92" s="354"/>
      <c r="G92" s="353"/>
      <c r="H92" s="354"/>
      <c r="I92" s="353"/>
      <c r="J92" s="354"/>
      <c r="K92" s="353"/>
      <c r="L92" s="354"/>
      <c r="M92" s="349" t="str">
        <f t="shared" si="4"/>
        <v/>
      </c>
      <c r="N92" s="354"/>
      <c r="O92" s="355"/>
      <c r="Q92" s="356" t="str">
        <f>IF(T92&gt;0,T92,"")</f>
        <v/>
      </c>
      <c r="R92" s="346" t="str">
        <f>IF(AND(E92="",G92=""),"",IF((E92+G92)&gt;Dictionary!$I$52,"Pass","Fail"))</f>
        <v/>
      </c>
      <c r="T92" s="349" t="str">
        <f>Scoring!U94</f>
        <v/>
      </c>
      <c r="V92" s="2376"/>
      <c r="W92" s="2377"/>
      <c r="X92" s="2377"/>
      <c r="Y92" s="2377"/>
      <c r="Z92" s="2378"/>
      <c r="AA92" s="348"/>
      <c r="AB92" s="348"/>
      <c r="AC92" s="348"/>
      <c r="AD92" s="348"/>
      <c r="AE92" s="349"/>
      <c r="AF92" s="349"/>
    </row>
    <row r="93" spans="2:32" ht="24" hidden="1" customHeight="1">
      <c r="B93" s="350" t="str">
        <f>".4"</f>
        <v>.4</v>
      </c>
      <c r="C93" s="351" t="s">
        <v>397</v>
      </c>
      <c r="D93" s="352"/>
      <c r="E93" s="353"/>
      <c r="F93" s="354"/>
      <c r="G93" s="353"/>
      <c r="H93" s="354"/>
      <c r="I93" s="353"/>
      <c r="J93" s="354"/>
      <c r="K93" s="353"/>
      <c r="L93" s="354"/>
      <c r="M93" s="349" t="str">
        <f t="shared" si="4"/>
        <v/>
      </c>
      <c r="N93" s="354"/>
      <c r="O93" s="355"/>
      <c r="Q93" s="356" t="str">
        <f>IF(T93&gt;0,T93,"")</f>
        <v/>
      </c>
      <c r="R93" s="346" t="str">
        <f>IF(AND(E93="",G93=""),"",IF((E93+G93)&gt;Dictionary!$I$52,"Pass","Fail"))</f>
        <v/>
      </c>
      <c r="T93" s="349" t="str">
        <f>Scoring!U95</f>
        <v/>
      </c>
      <c r="V93" s="2376"/>
      <c r="W93" s="2377"/>
      <c r="X93" s="2377"/>
      <c r="Y93" s="2377"/>
      <c r="Z93" s="2378"/>
      <c r="AA93" s="348"/>
      <c r="AB93" s="348"/>
      <c r="AC93" s="348"/>
      <c r="AD93" s="348"/>
      <c r="AE93" s="349"/>
      <c r="AF93" s="349"/>
    </row>
    <row r="94" spans="2:32" ht="24" hidden="1" customHeight="1">
      <c r="B94" s="350" t="str">
        <f>".5"</f>
        <v>.5</v>
      </c>
      <c r="C94" s="351" t="s">
        <v>396</v>
      </c>
      <c r="D94" s="352"/>
      <c r="E94" s="353"/>
      <c r="F94" s="354"/>
      <c r="G94" s="353"/>
      <c r="H94" s="354"/>
      <c r="I94" s="353"/>
      <c r="J94" s="354"/>
      <c r="K94" s="353"/>
      <c r="L94" s="354"/>
      <c r="M94" s="349" t="str">
        <f t="shared" si="4"/>
        <v/>
      </c>
      <c r="N94" s="354"/>
      <c r="O94" s="355"/>
      <c r="Q94" s="356" t="str">
        <f>IF(T94&gt;0,T94,"")</f>
        <v/>
      </c>
      <c r="R94" s="346" t="str">
        <f>IF(AND(E94="",G94=""),"",IF((E94+G94)&gt;Dictionary!$I$52,"Pass","Fail"))</f>
        <v/>
      </c>
      <c r="T94" s="349" t="str">
        <f>Scoring!U96</f>
        <v/>
      </c>
      <c r="V94" s="2376"/>
      <c r="W94" s="2377"/>
      <c r="X94" s="2377"/>
      <c r="Y94" s="2377"/>
      <c r="Z94" s="2378"/>
      <c r="AA94" s="348"/>
      <c r="AB94" s="348"/>
      <c r="AC94" s="348"/>
      <c r="AD94" s="348"/>
      <c r="AE94" s="349"/>
      <c r="AF94" s="349"/>
    </row>
    <row r="95" spans="2:32" ht="20" customHeight="1">
      <c r="B95" s="341" t="s">
        <v>395</v>
      </c>
      <c r="C95" s="342" t="str">
        <f>Dictionary!B1373</f>
        <v>Ergebnisorientierung</v>
      </c>
      <c r="D95" s="343"/>
      <c r="E95" s="353"/>
      <c r="F95" s="315"/>
      <c r="G95" s="436"/>
      <c r="H95" s="360"/>
      <c r="I95" s="359"/>
      <c r="J95" s="360"/>
      <c r="K95" s="359"/>
      <c r="L95" s="315"/>
      <c r="M95" s="359"/>
      <c r="N95" s="360"/>
      <c r="O95" s="359"/>
      <c r="Q95" s="356"/>
      <c r="R95" s="346" t="str">
        <f>IF(AND(E95="",G95=""),"",IF((E95+G95)&gt;Dictionary!$I$52,"Pass","Fail"))</f>
        <v/>
      </c>
      <c r="T95" s="428">
        <f>COUNTIF(T96:T100,"&gt;3")/AE95</f>
        <v>0</v>
      </c>
      <c r="V95" s="2376"/>
      <c r="W95" s="2377"/>
      <c r="X95" s="2377"/>
      <c r="Y95" s="2377"/>
      <c r="Z95" s="2378"/>
      <c r="AA95" s="348"/>
      <c r="AB95" s="348"/>
      <c r="AC95" s="348"/>
      <c r="AD95" s="348"/>
      <c r="AE95" s="349">
        <v>5</v>
      </c>
      <c r="AF95" s="349">
        <f>ROUNDUP(AE95/2,0)</f>
        <v>3</v>
      </c>
    </row>
    <row r="96" spans="2:32" ht="24" hidden="1" customHeight="1">
      <c r="B96" s="350" t="str">
        <f>".1"</f>
        <v>.1</v>
      </c>
      <c r="C96" s="351" t="s">
        <v>394</v>
      </c>
      <c r="D96" s="352"/>
      <c r="E96" s="404"/>
      <c r="F96" s="354"/>
      <c r="G96" s="353"/>
      <c r="H96" s="354"/>
      <c r="I96" s="353"/>
      <c r="J96" s="354"/>
      <c r="K96" s="353"/>
      <c r="L96" s="354"/>
      <c r="M96" s="349" t="str">
        <f t="shared" si="4"/>
        <v/>
      </c>
      <c r="N96" s="354"/>
      <c r="O96" s="355"/>
      <c r="Q96" s="356" t="str">
        <f>IF(T96&gt;0,T96,"")</f>
        <v/>
      </c>
      <c r="T96" s="349" t="str">
        <f>Scoring!U98</f>
        <v/>
      </c>
      <c r="V96" s="2376"/>
      <c r="W96" s="2377"/>
      <c r="X96" s="2377"/>
      <c r="Y96" s="2377"/>
      <c r="Z96" s="2378"/>
      <c r="AA96" s="348"/>
      <c r="AB96" s="348"/>
      <c r="AC96" s="348"/>
      <c r="AD96" s="348"/>
      <c r="AE96" s="349"/>
      <c r="AF96" s="349"/>
    </row>
    <row r="97" spans="2:32" ht="24" hidden="1" customHeight="1">
      <c r="B97" s="350" t="str">
        <f>".2"</f>
        <v>.2</v>
      </c>
      <c r="C97" s="351" t="s">
        <v>393</v>
      </c>
      <c r="D97" s="352"/>
      <c r="E97" s="404"/>
      <c r="F97" s="354"/>
      <c r="G97" s="353"/>
      <c r="H97" s="354"/>
      <c r="I97" s="353"/>
      <c r="J97" s="354"/>
      <c r="K97" s="353"/>
      <c r="L97" s="354"/>
      <c r="M97" s="349" t="str">
        <f t="shared" si="4"/>
        <v/>
      </c>
      <c r="N97" s="354"/>
      <c r="O97" s="355"/>
      <c r="Q97" s="356" t="str">
        <f>IF(T97&gt;0,T97,"")</f>
        <v/>
      </c>
      <c r="T97" s="349" t="str">
        <f>Scoring!U99</f>
        <v/>
      </c>
      <c r="V97" s="2376"/>
      <c r="W97" s="2377"/>
      <c r="X97" s="2377"/>
      <c r="Y97" s="2377"/>
      <c r="Z97" s="2378"/>
      <c r="AA97" s="348"/>
      <c r="AB97" s="348"/>
      <c r="AC97" s="348"/>
      <c r="AD97" s="348"/>
      <c r="AE97" s="349"/>
      <c r="AF97" s="349"/>
    </row>
    <row r="98" spans="2:32" ht="24" hidden="1" customHeight="1">
      <c r="B98" s="350" t="str">
        <f>".3"</f>
        <v>.3</v>
      </c>
      <c r="C98" s="351" t="s">
        <v>392</v>
      </c>
      <c r="D98" s="352"/>
      <c r="E98" s="404"/>
      <c r="F98" s="354"/>
      <c r="G98" s="353"/>
      <c r="H98" s="354"/>
      <c r="I98" s="353"/>
      <c r="J98" s="354"/>
      <c r="K98" s="353"/>
      <c r="L98" s="354"/>
      <c r="M98" s="349" t="str">
        <f t="shared" si="4"/>
        <v/>
      </c>
      <c r="N98" s="354"/>
      <c r="O98" s="355"/>
      <c r="Q98" s="356" t="str">
        <f>IF(T98&gt;0,T98,"")</f>
        <v/>
      </c>
      <c r="T98" s="349" t="str">
        <f>Scoring!U100</f>
        <v/>
      </c>
      <c r="V98" s="2376"/>
      <c r="W98" s="2377"/>
      <c r="X98" s="2377"/>
      <c r="Y98" s="2377"/>
      <c r="Z98" s="2378"/>
      <c r="AA98" s="348"/>
      <c r="AB98" s="348"/>
      <c r="AC98" s="348"/>
      <c r="AD98" s="348"/>
      <c r="AE98" s="349"/>
      <c r="AF98" s="349"/>
    </row>
    <row r="99" spans="2:32" ht="24" hidden="1" customHeight="1">
      <c r="B99" s="350" t="str">
        <f>".4"</f>
        <v>.4</v>
      </c>
      <c r="C99" s="351" t="s">
        <v>391</v>
      </c>
      <c r="D99" s="352"/>
      <c r="E99" s="404"/>
      <c r="F99" s="354"/>
      <c r="G99" s="353"/>
      <c r="H99" s="354"/>
      <c r="I99" s="353"/>
      <c r="J99" s="354"/>
      <c r="K99" s="353"/>
      <c r="L99" s="354"/>
      <c r="M99" s="349" t="str">
        <f t="shared" si="4"/>
        <v/>
      </c>
      <c r="N99" s="354"/>
      <c r="O99" s="355"/>
      <c r="Q99" s="356" t="str">
        <f>IF(T99&gt;0,T99,"")</f>
        <v/>
      </c>
      <c r="T99" s="349" t="str">
        <f>Scoring!U101</f>
        <v/>
      </c>
      <c r="V99" s="2376"/>
      <c r="W99" s="2377"/>
      <c r="X99" s="2377"/>
      <c r="Y99" s="2377"/>
      <c r="Z99" s="2378"/>
      <c r="AA99" s="348"/>
      <c r="AB99" s="348"/>
      <c r="AC99" s="348"/>
      <c r="AD99" s="348"/>
      <c r="AE99" s="349"/>
      <c r="AF99" s="349"/>
    </row>
    <row r="100" spans="2:32" ht="18" hidden="1" customHeight="1">
      <c r="B100" s="350" t="str">
        <f>".5"</f>
        <v>.5</v>
      </c>
      <c r="C100" s="351" t="s">
        <v>390</v>
      </c>
      <c r="D100" s="352"/>
      <c r="E100" s="404"/>
      <c r="F100" s="354"/>
      <c r="G100" s="353"/>
      <c r="H100" s="354"/>
      <c r="I100" s="353"/>
      <c r="J100" s="354"/>
      <c r="K100" s="353"/>
      <c r="L100" s="354"/>
      <c r="M100" s="349" t="str">
        <f t="shared" si="4"/>
        <v/>
      </c>
      <c r="N100" s="354"/>
      <c r="O100" s="355"/>
      <c r="Q100" s="356" t="str">
        <f>IF(T100&gt;0,T100,"")</f>
        <v/>
      </c>
      <c r="T100" s="349" t="str">
        <f>Scoring!U102</f>
        <v/>
      </c>
      <c r="V100" s="2376"/>
      <c r="W100" s="2377"/>
      <c r="X100" s="2377"/>
      <c r="Y100" s="2377"/>
      <c r="Z100" s="2378"/>
      <c r="AA100" s="348"/>
      <c r="AB100" s="348"/>
      <c r="AC100" s="348"/>
      <c r="AD100" s="348"/>
      <c r="AE100" s="349"/>
      <c r="AF100" s="349"/>
    </row>
    <row r="101" spans="2:32" ht="30" customHeight="1">
      <c r="C101" s="363"/>
      <c r="D101" s="315"/>
      <c r="E101" s="406"/>
      <c r="F101" s="315"/>
      <c r="G101" s="315"/>
      <c r="H101" s="315"/>
      <c r="I101" s="315"/>
      <c r="J101" s="315"/>
      <c r="K101" s="315"/>
      <c r="L101" s="315"/>
      <c r="M101" s="315"/>
      <c r="N101" s="315"/>
      <c r="O101" s="315"/>
      <c r="Q101" s="356"/>
      <c r="R101" s="365"/>
      <c r="W101" s="313"/>
      <c r="X101" s="313"/>
      <c r="Y101" s="313"/>
      <c r="Z101" s="313"/>
      <c r="AA101" s="313"/>
      <c r="AB101" s="313"/>
      <c r="AC101" s="313"/>
      <c r="AD101" s="313"/>
      <c r="AE101" s="370"/>
      <c r="AF101" s="370"/>
    </row>
    <row r="102" spans="2:32" ht="30" customHeight="1">
      <c r="C102" s="366" t="str">
        <f>Dictionary!B1380</f>
        <v>Practice Kompetenz Elements</v>
      </c>
      <c r="D102" s="315"/>
      <c r="E102" s="406"/>
      <c r="F102" s="315"/>
      <c r="G102" s="315"/>
      <c r="H102" s="315"/>
      <c r="I102" s="315"/>
      <c r="J102" s="315"/>
      <c r="K102" s="315"/>
      <c r="L102" s="315"/>
      <c r="M102" s="315"/>
      <c r="N102" s="315"/>
      <c r="O102" s="315"/>
      <c r="Q102" s="356"/>
      <c r="R102" s="367"/>
      <c r="W102" s="313"/>
      <c r="X102" s="313"/>
      <c r="Y102" s="313"/>
      <c r="Z102" s="313"/>
      <c r="AA102" s="313"/>
      <c r="AB102" s="313"/>
      <c r="AC102" s="313"/>
      <c r="AD102" s="313"/>
      <c r="AE102" s="334"/>
      <c r="AF102" s="334"/>
    </row>
    <row r="103" spans="2:32" ht="20" customHeight="1">
      <c r="B103" s="341" t="s">
        <v>388</v>
      </c>
      <c r="C103" s="342" t="str">
        <f>Dictionary!B1381</f>
        <v>Projektdesign</v>
      </c>
      <c r="D103" s="343"/>
      <c r="E103" s="436"/>
      <c r="F103" s="315"/>
      <c r="G103" s="353"/>
      <c r="H103" s="360"/>
      <c r="I103" s="359"/>
      <c r="J103" s="360"/>
      <c r="K103" s="359"/>
      <c r="L103" s="315"/>
      <c r="M103" s="359"/>
      <c r="N103" s="360"/>
      <c r="O103" s="359"/>
      <c r="Q103" s="356"/>
      <c r="R103" s="346" t="str">
        <f>IF(AND(E103="",G103=""),"",IF((E103+G103)&gt;Dictionary!$I$52,"Pass","Fail"))</f>
        <v/>
      </c>
      <c r="T103" s="428">
        <f>COUNTIF(T104:T108,"&gt;3")/AE103</f>
        <v>0</v>
      </c>
      <c r="V103" s="2376"/>
      <c r="W103" s="2377"/>
      <c r="X103" s="2377"/>
      <c r="Y103" s="2377"/>
      <c r="Z103" s="2378"/>
      <c r="AA103" s="348"/>
      <c r="AB103" s="348"/>
      <c r="AC103" s="348"/>
      <c r="AD103" s="348"/>
      <c r="AE103" s="349">
        <v>5</v>
      </c>
      <c r="AF103" s="349">
        <f>ROUNDUP(AE103/2,0)</f>
        <v>3</v>
      </c>
    </row>
    <row r="104" spans="2:32" ht="18" hidden="1" customHeight="1">
      <c r="B104" s="350" t="str">
        <f>".1"</f>
        <v>.1</v>
      </c>
      <c r="C104" s="351" t="s">
        <v>387</v>
      </c>
      <c r="D104" s="352"/>
      <c r="E104" s="436"/>
      <c r="F104" s="354"/>
      <c r="G104" s="353"/>
      <c r="H104" s="354"/>
      <c r="I104" s="353"/>
      <c r="J104" s="354"/>
      <c r="K104" s="353"/>
      <c r="L104" s="354"/>
      <c r="M104" s="349" t="str">
        <f t="shared" ref="M104:M167" si="5">IF(MAX(E104,G104,I104,K104)=0,"",MAX(E104,G104,I104,K104))</f>
        <v/>
      </c>
      <c r="N104" s="354"/>
      <c r="O104" s="355"/>
      <c r="Q104" s="356" t="str">
        <f>IF(T104&gt;0,T104,"")</f>
        <v/>
      </c>
      <c r="R104" s="346" t="str">
        <f>IF(AND(E104="",G104=""),"",IF((E104+G104)&gt;Dictionary!$I$52,"Pass","Fail"))</f>
        <v/>
      </c>
      <c r="T104" s="349" t="str">
        <f>Scoring!U106</f>
        <v/>
      </c>
      <c r="V104" s="2376"/>
      <c r="W104" s="2377"/>
      <c r="X104" s="2377"/>
      <c r="Y104" s="2377"/>
      <c r="Z104" s="2378"/>
      <c r="AA104" s="348"/>
      <c r="AB104" s="348"/>
      <c r="AC104" s="348"/>
      <c r="AD104" s="348"/>
      <c r="AE104" s="349"/>
      <c r="AF104" s="349"/>
    </row>
    <row r="105" spans="2:32" ht="24" hidden="1" customHeight="1">
      <c r="B105" s="350" t="str">
        <f>".2"</f>
        <v>.2</v>
      </c>
      <c r="C105" s="351" t="s">
        <v>386</v>
      </c>
      <c r="D105" s="352"/>
      <c r="E105" s="436"/>
      <c r="F105" s="354"/>
      <c r="G105" s="353"/>
      <c r="H105" s="354"/>
      <c r="I105" s="353"/>
      <c r="J105" s="354"/>
      <c r="K105" s="353"/>
      <c r="L105" s="354"/>
      <c r="M105" s="349" t="str">
        <f t="shared" si="5"/>
        <v/>
      </c>
      <c r="N105" s="354"/>
      <c r="O105" s="355"/>
      <c r="Q105" s="356" t="str">
        <f>IF(T105&gt;0,T105,"")</f>
        <v/>
      </c>
      <c r="R105" s="346" t="str">
        <f>IF(AND(E105="",G105=""),"",IF((E105+G105)&gt;Dictionary!$I$52,"Pass","Fail"))</f>
        <v/>
      </c>
      <c r="T105" s="349" t="str">
        <f>Scoring!U107</f>
        <v/>
      </c>
      <c r="V105" s="2376"/>
      <c r="W105" s="2377"/>
      <c r="X105" s="2377"/>
      <c r="Y105" s="2377"/>
      <c r="Z105" s="2378"/>
      <c r="AA105" s="348"/>
      <c r="AB105" s="348"/>
      <c r="AC105" s="348"/>
      <c r="AD105" s="348"/>
      <c r="AE105" s="349"/>
      <c r="AF105" s="349"/>
    </row>
    <row r="106" spans="2:32" ht="24" hidden="1" customHeight="1">
      <c r="B106" s="350" t="str">
        <f>".3"</f>
        <v>.3</v>
      </c>
      <c r="C106" s="351" t="s">
        <v>385</v>
      </c>
      <c r="D106" s="352"/>
      <c r="E106" s="436"/>
      <c r="F106" s="354"/>
      <c r="G106" s="353"/>
      <c r="H106" s="354"/>
      <c r="I106" s="353"/>
      <c r="J106" s="354"/>
      <c r="K106" s="353"/>
      <c r="L106" s="354"/>
      <c r="M106" s="349" t="str">
        <f t="shared" si="5"/>
        <v/>
      </c>
      <c r="N106" s="354"/>
      <c r="O106" s="355"/>
      <c r="Q106" s="356" t="str">
        <f>IF(T106&gt;0,T106,"")</f>
        <v/>
      </c>
      <c r="R106" s="346" t="str">
        <f>IF(AND(E106="",G106=""),"",IF((E106+G106)&gt;Dictionary!$I$52,"Pass","Fail"))</f>
        <v/>
      </c>
      <c r="T106" s="349" t="str">
        <f>Scoring!U108</f>
        <v/>
      </c>
      <c r="V106" s="2376"/>
      <c r="W106" s="2377"/>
      <c r="X106" s="2377"/>
      <c r="Y106" s="2377"/>
      <c r="Z106" s="2378"/>
      <c r="AA106" s="348"/>
      <c r="AB106" s="348"/>
      <c r="AC106" s="348"/>
      <c r="AD106" s="348"/>
      <c r="AE106" s="349"/>
      <c r="AF106" s="349"/>
    </row>
    <row r="107" spans="2:32" ht="18" hidden="1" customHeight="1">
      <c r="B107" s="350" t="str">
        <f>".4"</f>
        <v>.4</v>
      </c>
      <c r="C107" s="351" t="s">
        <v>384</v>
      </c>
      <c r="D107" s="352"/>
      <c r="E107" s="436"/>
      <c r="F107" s="354"/>
      <c r="G107" s="353"/>
      <c r="H107" s="354"/>
      <c r="I107" s="353"/>
      <c r="J107" s="354"/>
      <c r="K107" s="353"/>
      <c r="L107" s="354"/>
      <c r="M107" s="349" t="str">
        <f t="shared" si="5"/>
        <v/>
      </c>
      <c r="N107" s="354"/>
      <c r="O107" s="355"/>
      <c r="Q107" s="356" t="str">
        <f>IF(T107&gt;0,T107,"")</f>
        <v/>
      </c>
      <c r="R107" s="346" t="str">
        <f>IF(AND(E107="",G107=""),"",IF((E107+G107)&gt;Dictionary!$I$52,"Pass","Fail"))</f>
        <v/>
      </c>
      <c r="T107" s="349" t="str">
        <f>Scoring!U109</f>
        <v/>
      </c>
      <c r="V107" s="2376"/>
      <c r="W107" s="2377"/>
      <c r="X107" s="2377"/>
      <c r="Y107" s="2377"/>
      <c r="Z107" s="2378"/>
      <c r="AA107" s="348"/>
      <c r="AB107" s="348"/>
      <c r="AC107" s="348"/>
      <c r="AD107" s="348"/>
      <c r="AE107" s="349"/>
      <c r="AF107" s="349"/>
    </row>
    <row r="108" spans="2:32" ht="18" hidden="1" customHeight="1">
      <c r="B108" s="350" t="str">
        <f>".5"</f>
        <v>.5</v>
      </c>
      <c r="C108" s="351" t="s">
        <v>383</v>
      </c>
      <c r="D108" s="352"/>
      <c r="E108" s="436"/>
      <c r="F108" s="354"/>
      <c r="G108" s="353"/>
      <c r="H108" s="354"/>
      <c r="I108" s="353"/>
      <c r="J108" s="354"/>
      <c r="K108" s="353"/>
      <c r="L108" s="354"/>
      <c r="M108" s="349" t="str">
        <f t="shared" si="5"/>
        <v/>
      </c>
      <c r="N108" s="354"/>
      <c r="O108" s="355"/>
      <c r="Q108" s="356" t="str">
        <f>IF(T108&gt;0,T108,"")</f>
        <v/>
      </c>
      <c r="R108" s="346" t="str">
        <f>IF(AND(E108="",G108=""),"",IF((E108+G108)&gt;Dictionary!$I$52,"Pass","Fail"))</f>
        <v/>
      </c>
      <c r="T108" s="349" t="str">
        <f>Scoring!U110</f>
        <v/>
      </c>
      <c r="V108" s="2376"/>
      <c r="W108" s="2377"/>
      <c r="X108" s="2377"/>
      <c r="Y108" s="2377"/>
      <c r="Z108" s="2378"/>
      <c r="AA108" s="348"/>
      <c r="AB108" s="348"/>
      <c r="AC108" s="348"/>
      <c r="AD108" s="348"/>
      <c r="AE108" s="349"/>
      <c r="AF108" s="349"/>
    </row>
    <row r="109" spans="2:32" ht="20" customHeight="1">
      <c r="B109" s="341" t="s">
        <v>382</v>
      </c>
      <c r="C109" s="342" t="str">
        <f>Dictionary!B1392</f>
        <v>Anforderungen und Ziele</v>
      </c>
      <c r="D109" s="343"/>
      <c r="E109" s="436"/>
      <c r="F109" s="315"/>
      <c r="G109" s="353"/>
      <c r="H109" s="360"/>
      <c r="I109" s="359"/>
      <c r="J109" s="360"/>
      <c r="K109" s="359"/>
      <c r="L109" s="315"/>
      <c r="M109" s="359"/>
      <c r="N109" s="360"/>
      <c r="O109" s="359"/>
      <c r="Q109" s="356"/>
      <c r="R109" s="346" t="str">
        <f>IF(AND(E109="",G109=""),"",IF((E109+G109)&gt;Dictionary!$I$52,"Pass","Fail"))</f>
        <v/>
      </c>
      <c r="T109" s="428">
        <f>COUNTIF(T110:T112,"&gt;3")/AE109</f>
        <v>0</v>
      </c>
      <c r="V109" s="2376"/>
      <c r="W109" s="2377"/>
      <c r="X109" s="2377"/>
      <c r="Y109" s="2377"/>
      <c r="Z109" s="2378"/>
      <c r="AA109" s="348"/>
      <c r="AB109" s="348"/>
      <c r="AC109" s="348"/>
      <c r="AD109" s="348"/>
      <c r="AE109" s="349">
        <v>3</v>
      </c>
      <c r="AF109" s="349">
        <f>ROUNDUP(AE109/2,0)</f>
        <v>2</v>
      </c>
    </row>
    <row r="110" spans="2:32" ht="18" hidden="1" customHeight="1">
      <c r="B110" s="350" t="str">
        <f>".1"</f>
        <v>.1</v>
      </c>
      <c r="C110" s="351" t="s">
        <v>381</v>
      </c>
      <c r="D110" s="352"/>
      <c r="E110" s="436"/>
      <c r="F110" s="354"/>
      <c r="G110" s="353"/>
      <c r="H110" s="354"/>
      <c r="I110" s="353"/>
      <c r="J110" s="354"/>
      <c r="K110" s="353"/>
      <c r="L110" s="354"/>
      <c r="M110" s="349" t="str">
        <f t="shared" si="5"/>
        <v/>
      </c>
      <c r="N110" s="354"/>
      <c r="O110" s="355"/>
      <c r="Q110" s="356" t="str">
        <f>IF(T110&gt;0,T110,"")</f>
        <v/>
      </c>
      <c r="R110" s="346" t="str">
        <f>IF(AND(E110="",G110=""),"",IF((E110+G110)&gt;Dictionary!$I$52,"Pass","Fail"))</f>
        <v/>
      </c>
      <c r="T110" s="349" t="str">
        <f>Scoring!U115</f>
        <v/>
      </c>
      <c r="V110" s="2376"/>
      <c r="W110" s="2377"/>
      <c r="X110" s="2377"/>
      <c r="Y110" s="2377"/>
      <c r="Z110" s="2378"/>
      <c r="AA110" s="348"/>
      <c r="AB110" s="348"/>
      <c r="AC110" s="348"/>
      <c r="AD110" s="348"/>
      <c r="AE110" s="349"/>
      <c r="AF110" s="349"/>
    </row>
    <row r="111" spans="2:32" ht="24" hidden="1" customHeight="1">
      <c r="B111" s="350" t="str">
        <f>".2"</f>
        <v>.2</v>
      </c>
      <c r="C111" s="351" t="s">
        <v>380</v>
      </c>
      <c r="D111" s="352"/>
      <c r="E111" s="436"/>
      <c r="F111" s="354"/>
      <c r="G111" s="353"/>
      <c r="H111" s="354"/>
      <c r="I111" s="353"/>
      <c r="J111" s="354"/>
      <c r="K111" s="353"/>
      <c r="L111" s="354"/>
      <c r="M111" s="349" t="str">
        <f t="shared" si="5"/>
        <v/>
      </c>
      <c r="N111" s="354"/>
      <c r="O111" s="355"/>
      <c r="Q111" s="356" t="str">
        <f>IF(T111&gt;0,T111,"")</f>
        <v/>
      </c>
      <c r="R111" s="346" t="str">
        <f>IF(AND(E111="",G111=""),"",IF((E111+G111)&gt;Dictionary!$I$52,"Pass","Fail"))</f>
        <v/>
      </c>
      <c r="T111" s="349" t="str">
        <f>Scoring!U116</f>
        <v/>
      </c>
      <c r="V111" s="2376"/>
      <c r="W111" s="2377"/>
      <c r="X111" s="2377"/>
      <c r="Y111" s="2377"/>
      <c r="Z111" s="2378"/>
      <c r="AA111" s="348"/>
      <c r="AB111" s="348"/>
      <c r="AC111" s="348"/>
      <c r="AD111" s="348"/>
      <c r="AE111" s="349"/>
      <c r="AF111" s="349"/>
    </row>
    <row r="112" spans="2:32" ht="24" hidden="1" customHeight="1">
      <c r="B112" s="350" t="str">
        <f>".3"</f>
        <v>.3</v>
      </c>
      <c r="C112" s="351" t="s">
        <v>379</v>
      </c>
      <c r="D112" s="352"/>
      <c r="E112" s="436"/>
      <c r="F112" s="354"/>
      <c r="G112" s="353"/>
      <c r="H112" s="354"/>
      <c r="I112" s="353"/>
      <c r="J112" s="354"/>
      <c r="K112" s="353"/>
      <c r="L112" s="354"/>
      <c r="M112" s="349" t="str">
        <f t="shared" si="5"/>
        <v/>
      </c>
      <c r="N112" s="354"/>
      <c r="O112" s="355"/>
      <c r="Q112" s="356" t="str">
        <f>IF(T112&gt;0,T112,"")</f>
        <v/>
      </c>
      <c r="R112" s="346" t="str">
        <f>IF(AND(E112="",G112=""),"",IF((E112+G112)&gt;Dictionary!$I$52,"Pass","Fail"))</f>
        <v/>
      </c>
      <c r="T112" s="349" t="str">
        <f>Scoring!U117</f>
        <v/>
      </c>
      <c r="V112" s="2376"/>
      <c r="W112" s="2377"/>
      <c r="X112" s="2377"/>
      <c r="Y112" s="2377"/>
      <c r="Z112" s="2378"/>
      <c r="AA112" s="348"/>
      <c r="AB112" s="348"/>
      <c r="AC112" s="348"/>
      <c r="AD112" s="348"/>
      <c r="AE112" s="349"/>
      <c r="AF112" s="349"/>
    </row>
    <row r="113" spans="2:32" ht="20" customHeight="1">
      <c r="B113" s="341" t="s">
        <v>378</v>
      </c>
      <c r="C113" s="342" t="str">
        <f>Dictionary!B1400</f>
        <v>Leistungsumfang</v>
      </c>
      <c r="D113" s="343"/>
      <c r="E113" s="436"/>
      <c r="F113" s="315"/>
      <c r="G113" s="353"/>
      <c r="H113" s="360"/>
      <c r="I113" s="359"/>
      <c r="J113" s="360"/>
      <c r="K113" s="359"/>
      <c r="L113" s="315"/>
      <c r="M113" s="359"/>
      <c r="N113" s="360"/>
      <c r="O113" s="359"/>
      <c r="Q113" s="356"/>
      <c r="R113" s="346" t="str">
        <f>IF(AND(E113="",G113=""),"",IF((E113+G113)&gt;Dictionary!$I$52,"Pass","Fail"))</f>
        <v/>
      </c>
      <c r="T113" s="428">
        <f>COUNTIF(T114:T117,"&gt;3")/AE113</f>
        <v>0</v>
      </c>
      <c r="V113" s="2376"/>
      <c r="W113" s="2377"/>
      <c r="X113" s="2377"/>
      <c r="Y113" s="2377"/>
      <c r="Z113" s="2378"/>
      <c r="AA113" s="348"/>
      <c r="AB113" s="348"/>
      <c r="AC113" s="348"/>
      <c r="AD113" s="348"/>
      <c r="AE113" s="349">
        <v>4</v>
      </c>
      <c r="AF113" s="349">
        <f>ROUNDUP(AE113/2,0)</f>
        <v>2</v>
      </c>
    </row>
    <row r="114" spans="2:32" ht="18" hidden="1" customHeight="1">
      <c r="B114" s="350" t="str">
        <f>".1"</f>
        <v>.1</v>
      </c>
      <c r="C114" s="351" t="s">
        <v>377</v>
      </c>
      <c r="D114" s="352"/>
      <c r="E114" s="436"/>
      <c r="F114" s="354"/>
      <c r="G114" s="353"/>
      <c r="H114" s="354"/>
      <c r="I114" s="353"/>
      <c r="J114" s="354"/>
      <c r="K114" s="353"/>
      <c r="L114" s="354"/>
      <c r="M114" s="349" t="str">
        <f t="shared" si="5"/>
        <v/>
      </c>
      <c r="N114" s="354"/>
      <c r="O114" s="355"/>
      <c r="Q114" s="356" t="str">
        <f>IF(T114&gt;0,T114,"")</f>
        <v/>
      </c>
      <c r="R114" s="346" t="str">
        <f>IF(AND(E114="",G114=""),"",IF((E114+G114)&gt;Dictionary!$I$52,"Pass","Fail"))</f>
        <v/>
      </c>
      <c r="T114" s="349" t="str">
        <f>Scoring!U121</f>
        <v/>
      </c>
      <c r="V114" s="2376"/>
      <c r="W114" s="2377"/>
      <c r="X114" s="2377"/>
      <c r="Y114" s="2377"/>
      <c r="Z114" s="2378"/>
      <c r="AA114" s="348"/>
      <c r="AB114" s="348"/>
      <c r="AC114" s="348"/>
      <c r="AD114" s="348"/>
      <c r="AE114" s="349"/>
      <c r="AF114" s="349"/>
    </row>
    <row r="115" spans="2:32" ht="18" hidden="1" customHeight="1">
      <c r="B115" s="350" t="str">
        <f>".2"</f>
        <v>.2</v>
      </c>
      <c r="C115" s="351" t="s">
        <v>376</v>
      </c>
      <c r="D115" s="352"/>
      <c r="E115" s="436"/>
      <c r="F115" s="354"/>
      <c r="G115" s="353"/>
      <c r="H115" s="354"/>
      <c r="I115" s="353"/>
      <c r="J115" s="354"/>
      <c r="K115" s="353"/>
      <c r="L115" s="354"/>
      <c r="M115" s="349" t="str">
        <f t="shared" si="5"/>
        <v/>
      </c>
      <c r="N115" s="354"/>
      <c r="O115" s="355"/>
      <c r="Q115" s="356" t="str">
        <f>IF(T115&gt;0,T115,"")</f>
        <v/>
      </c>
      <c r="R115" s="346" t="str">
        <f>IF(AND(E115="",G115=""),"",IF((E115+G115)&gt;Dictionary!$I$52,"Pass","Fail"))</f>
        <v/>
      </c>
      <c r="T115" s="349" t="str">
        <f>Scoring!U122</f>
        <v/>
      </c>
      <c r="V115" s="2376"/>
      <c r="W115" s="2377"/>
      <c r="X115" s="2377"/>
      <c r="Y115" s="2377"/>
      <c r="Z115" s="2378"/>
      <c r="AA115" s="348"/>
      <c r="AB115" s="348"/>
      <c r="AC115" s="348"/>
      <c r="AD115" s="348"/>
      <c r="AE115" s="349"/>
      <c r="AF115" s="349"/>
    </row>
    <row r="116" spans="2:32" ht="18" hidden="1" customHeight="1">
      <c r="B116" s="350" t="str">
        <f>".3"</f>
        <v>.3</v>
      </c>
      <c r="C116" s="351" t="s">
        <v>375</v>
      </c>
      <c r="D116" s="352"/>
      <c r="E116" s="436"/>
      <c r="F116" s="354"/>
      <c r="G116" s="353"/>
      <c r="H116" s="354"/>
      <c r="I116" s="353"/>
      <c r="J116" s="354"/>
      <c r="K116" s="353"/>
      <c r="L116" s="354"/>
      <c r="M116" s="349" t="str">
        <f t="shared" si="5"/>
        <v/>
      </c>
      <c r="N116" s="354"/>
      <c r="O116" s="355"/>
      <c r="Q116" s="356" t="str">
        <f>IF(T116&gt;0,T116,"")</f>
        <v/>
      </c>
      <c r="R116" s="346" t="str">
        <f>IF(AND(E116="",G116=""),"",IF((E116+G116)&gt;Dictionary!$I$52,"Pass","Fail"))</f>
        <v/>
      </c>
      <c r="T116" s="349" t="str">
        <f>Scoring!U123</f>
        <v/>
      </c>
      <c r="V116" s="2376"/>
      <c r="W116" s="2377"/>
      <c r="X116" s="2377"/>
      <c r="Y116" s="2377"/>
      <c r="Z116" s="2378"/>
      <c r="AA116" s="348"/>
      <c r="AB116" s="348"/>
      <c r="AC116" s="348"/>
      <c r="AD116" s="348"/>
      <c r="AE116" s="349"/>
      <c r="AF116" s="349"/>
    </row>
    <row r="117" spans="2:32" ht="18" hidden="1" customHeight="1">
      <c r="B117" s="350" t="str">
        <f>".4"</f>
        <v>.4</v>
      </c>
      <c r="C117" s="351" t="s">
        <v>374</v>
      </c>
      <c r="D117" s="352"/>
      <c r="E117" s="436"/>
      <c r="F117" s="354"/>
      <c r="G117" s="353"/>
      <c r="H117" s="354"/>
      <c r="I117" s="353"/>
      <c r="J117" s="354"/>
      <c r="K117" s="353"/>
      <c r="L117" s="354"/>
      <c r="M117" s="349" t="str">
        <f t="shared" si="5"/>
        <v/>
      </c>
      <c r="N117" s="354"/>
      <c r="O117" s="355"/>
      <c r="Q117" s="356" t="str">
        <f>IF(T117&gt;0,T117,"")</f>
        <v/>
      </c>
      <c r="R117" s="346" t="str">
        <f>IF(AND(E117="",G117=""),"",IF((E117+G117)&gt;Dictionary!$I$52,"Pass","Fail"))</f>
        <v/>
      </c>
      <c r="T117" s="349" t="str">
        <f>Scoring!U124</f>
        <v/>
      </c>
      <c r="V117" s="2376"/>
      <c r="W117" s="2377"/>
      <c r="X117" s="2377"/>
      <c r="Y117" s="2377"/>
      <c r="Z117" s="2378"/>
      <c r="AA117" s="348"/>
      <c r="AB117" s="348"/>
      <c r="AC117" s="348"/>
      <c r="AD117" s="348"/>
      <c r="AE117" s="349"/>
      <c r="AF117" s="349"/>
    </row>
    <row r="118" spans="2:32" ht="20" customHeight="1">
      <c r="B118" s="341" t="s">
        <v>373</v>
      </c>
      <c r="C118" s="342" t="str">
        <f>Dictionary!B1407</f>
        <v>Ablauf und Termine</v>
      </c>
      <c r="D118" s="343"/>
      <c r="E118" s="436"/>
      <c r="F118" s="315"/>
      <c r="G118" s="353"/>
      <c r="H118" s="360"/>
      <c r="I118" s="359"/>
      <c r="J118" s="360"/>
      <c r="K118" s="359"/>
      <c r="L118" s="315"/>
      <c r="M118" s="359" t="str">
        <f>IF(MAX(E118,G118,K118)=0,"",MAX(E118,G118,K118))</f>
        <v/>
      </c>
      <c r="N118" s="360"/>
      <c r="O118" s="359"/>
      <c r="Q118" s="356"/>
      <c r="R118" s="346" t="str">
        <f>IF(AND(E118="",G118=""),"",IF((E118+G118)&gt;Dictionary!$I$52,"Pass","Fail"))</f>
        <v/>
      </c>
      <c r="T118" s="428">
        <f>COUNTIF(T119:T123,"&gt;3")/AE118</f>
        <v>0</v>
      </c>
      <c r="V118" s="2376"/>
      <c r="W118" s="2377"/>
      <c r="X118" s="2377"/>
      <c r="Y118" s="2377"/>
      <c r="Z118" s="2378"/>
      <c r="AA118" s="348"/>
      <c r="AB118" s="348"/>
      <c r="AC118" s="348"/>
      <c r="AD118" s="348"/>
      <c r="AE118" s="349">
        <v>5</v>
      </c>
      <c r="AF118" s="349">
        <f>ROUNDUP(AE118/2,0)</f>
        <v>3</v>
      </c>
    </row>
    <row r="119" spans="2:32" ht="18" hidden="1" customHeight="1">
      <c r="B119" s="350" t="str">
        <f>".1"</f>
        <v>.1</v>
      </c>
      <c r="C119" s="351" t="s">
        <v>372</v>
      </c>
      <c r="D119" s="352"/>
      <c r="E119" s="436"/>
      <c r="F119" s="354"/>
      <c r="G119" s="353"/>
      <c r="H119" s="354"/>
      <c r="I119" s="353"/>
      <c r="J119" s="354"/>
      <c r="K119" s="353"/>
      <c r="L119" s="354"/>
      <c r="M119" s="349" t="str">
        <f t="shared" si="5"/>
        <v/>
      </c>
      <c r="N119" s="354"/>
      <c r="O119" s="355"/>
      <c r="Q119" s="356" t="str">
        <f>IF(T119&gt;0,T119,"")</f>
        <v/>
      </c>
      <c r="R119" s="346" t="str">
        <f>IF(AND(E119="",G119=""),"",IF((E119+G119)&gt;Dictionary!$I$52,"Pass","Fail"))</f>
        <v/>
      </c>
      <c r="T119" s="349" t="str">
        <f>Scoring!U126</f>
        <v/>
      </c>
      <c r="V119" s="2376"/>
      <c r="W119" s="2377"/>
      <c r="X119" s="2377"/>
      <c r="Y119" s="2377"/>
      <c r="Z119" s="2378"/>
      <c r="AA119" s="348"/>
      <c r="AB119" s="348"/>
      <c r="AC119" s="348"/>
      <c r="AD119" s="348"/>
      <c r="AE119" s="349"/>
      <c r="AF119" s="349"/>
    </row>
    <row r="120" spans="2:32" ht="18" hidden="1" customHeight="1">
      <c r="B120" s="350" t="str">
        <f>".2"</f>
        <v>.2</v>
      </c>
      <c r="C120" s="351" t="s">
        <v>371</v>
      </c>
      <c r="D120" s="352"/>
      <c r="E120" s="436"/>
      <c r="F120" s="354"/>
      <c r="G120" s="353"/>
      <c r="H120" s="354"/>
      <c r="I120" s="353"/>
      <c r="J120" s="354"/>
      <c r="K120" s="353"/>
      <c r="L120" s="354"/>
      <c r="M120" s="349" t="str">
        <f t="shared" si="5"/>
        <v/>
      </c>
      <c r="N120" s="354"/>
      <c r="O120" s="355"/>
      <c r="Q120" s="356" t="str">
        <f>IF(T120&gt;0,T120,"")</f>
        <v/>
      </c>
      <c r="R120" s="346" t="str">
        <f>IF(AND(E120="",G120=""),"",IF((E120+G120)&gt;Dictionary!$I$52,"Pass","Fail"))</f>
        <v/>
      </c>
      <c r="T120" s="349" t="str">
        <f>Scoring!U127</f>
        <v/>
      </c>
      <c r="V120" s="2376"/>
      <c r="W120" s="2377"/>
      <c r="X120" s="2377"/>
      <c r="Y120" s="2377"/>
      <c r="Z120" s="2378"/>
      <c r="AA120" s="348"/>
      <c r="AB120" s="348"/>
      <c r="AC120" s="348"/>
      <c r="AD120" s="348"/>
      <c r="AE120" s="349"/>
      <c r="AF120" s="349"/>
    </row>
    <row r="121" spans="2:32" ht="18" hidden="1" customHeight="1">
      <c r="B121" s="350" t="str">
        <f>".3"</f>
        <v>.3</v>
      </c>
      <c r="C121" s="351" t="s">
        <v>370</v>
      </c>
      <c r="D121" s="352"/>
      <c r="E121" s="436"/>
      <c r="F121" s="354"/>
      <c r="G121" s="353"/>
      <c r="H121" s="354"/>
      <c r="I121" s="353"/>
      <c r="J121" s="354"/>
      <c r="K121" s="353"/>
      <c r="L121" s="354"/>
      <c r="M121" s="349" t="str">
        <f t="shared" si="5"/>
        <v/>
      </c>
      <c r="N121" s="354"/>
      <c r="O121" s="355"/>
      <c r="Q121" s="356" t="str">
        <f>IF(T121&gt;0,T121,"")</f>
        <v/>
      </c>
      <c r="R121" s="346" t="str">
        <f>IF(AND(E121="",G121=""),"",IF((E121+G121)&gt;Dictionary!$I$52,"Pass","Fail"))</f>
        <v/>
      </c>
      <c r="T121" s="349" t="str">
        <f>Scoring!U128</f>
        <v/>
      </c>
      <c r="V121" s="2376"/>
      <c r="W121" s="2377"/>
      <c r="X121" s="2377"/>
      <c r="Y121" s="2377"/>
      <c r="Z121" s="2378"/>
      <c r="AA121" s="348"/>
      <c r="AB121" s="348"/>
      <c r="AC121" s="348"/>
      <c r="AD121" s="348"/>
      <c r="AE121" s="349"/>
      <c r="AF121" s="349"/>
    </row>
    <row r="122" spans="2:32" ht="18" hidden="1" customHeight="1">
      <c r="B122" s="350" t="str">
        <f>".4"</f>
        <v>.4</v>
      </c>
      <c r="C122" s="351" t="s">
        <v>369</v>
      </c>
      <c r="D122" s="352"/>
      <c r="E122" s="436"/>
      <c r="F122" s="354"/>
      <c r="G122" s="353"/>
      <c r="H122" s="354"/>
      <c r="I122" s="353"/>
      <c r="J122" s="354"/>
      <c r="K122" s="353"/>
      <c r="L122" s="354"/>
      <c r="M122" s="349" t="str">
        <f t="shared" si="5"/>
        <v/>
      </c>
      <c r="N122" s="354"/>
      <c r="O122" s="355"/>
      <c r="Q122" s="356" t="str">
        <f>IF(T122&gt;0,T122,"")</f>
        <v/>
      </c>
      <c r="R122" s="346" t="str">
        <f>IF(AND(E122="",G122=""),"",IF((E122+G122)&gt;Dictionary!$I$52,"Pass","Fail"))</f>
        <v/>
      </c>
      <c r="T122" s="349" t="str">
        <f>Scoring!U129</f>
        <v/>
      </c>
      <c r="V122" s="2376"/>
      <c r="W122" s="2377"/>
      <c r="X122" s="2377"/>
      <c r="Y122" s="2377"/>
      <c r="Z122" s="2378"/>
      <c r="AA122" s="348"/>
      <c r="AB122" s="348"/>
      <c r="AC122" s="348"/>
      <c r="AD122" s="348"/>
      <c r="AE122" s="349"/>
      <c r="AF122" s="349"/>
    </row>
    <row r="123" spans="2:32" ht="24" hidden="1" customHeight="1">
      <c r="B123" s="350" t="str">
        <f>".5"</f>
        <v>.5</v>
      </c>
      <c r="C123" s="351" t="s">
        <v>368</v>
      </c>
      <c r="D123" s="352"/>
      <c r="E123" s="436"/>
      <c r="F123" s="354"/>
      <c r="G123" s="353"/>
      <c r="H123" s="354"/>
      <c r="I123" s="353"/>
      <c r="J123" s="354"/>
      <c r="K123" s="353"/>
      <c r="L123" s="354"/>
      <c r="M123" s="349" t="str">
        <f t="shared" si="5"/>
        <v/>
      </c>
      <c r="N123" s="354"/>
      <c r="O123" s="355"/>
      <c r="Q123" s="356" t="str">
        <f>IF(T123&gt;0,T123,"")</f>
        <v/>
      </c>
      <c r="R123" s="346" t="str">
        <f>IF(AND(E123="",G123=""),"",IF((E123+G123)&gt;Dictionary!$I$52,"Pass","Fail"))</f>
        <v/>
      </c>
      <c r="T123" s="349" t="str">
        <f>Scoring!U130</f>
        <v/>
      </c>
      <c r="V123" s="2376"/>
      <c r="W123" s="2377"/>
      <c r="X123" s="2377"/>
      <c r="Y123" s="2377"/>
      <c r="Z123" s="2378"/>
      <c r="AA123" s="348"/>
      <c r="AB123" s="348"/>
      <c r="AC123" s="348"/>
      <c r="AD123" s="348"/>
      <c r="AE123" s="349"/>
      <c r="AF123" s="349"/>
    </row>
    <row r="124" spans="2:32" ht="20" customHeight="1">
      <c r="B124" s="341" t="s">
        <v>367</v>
      </c>
      <c r="C124" s="342" t="str">
        <f>Dictionary!B1415</f>
        <v>Organisation und Information</v>
      </c>
      <c r="D124" s="343"/>
      <c r="E124" s="436"/>
      <c r="F124" s="315"/>
      <c r="G124" s="353"/>
      <c r="H124" s="360"/>
      <c r="I124" s="359"/>
      <c r="J124" s="360"/>
      <c r="K124" s="359"/>
      <c r="L124" s="315"/>
      <c r="M124" s="359"/>
      <c r="N124" s="360"/>
      <c r="O124" s="359"/>
      <c r="Q124" s="356"/>
      <c r="R124" s="346" t="str">
        <f>IF(AND(E124="",G124=""),"",IF((E124+G124)&gt;Dictionary!$I$52,"Pass","Fail"))</f>
        <v/>
      </c>
      <c r="T124" s="428">
        <f>COUNTIF(T125:T128,"&gt;3")/AE124</f>
        <v>0</v>
      </c>
      <c r="V124" s="2376"/>
      <c r="W124" s="2377"/>
      <c r="X124" s="2377"/>
      <c r="Y124" s="2377"/>
      <c r="Z124" s="2378"/>
      <c r="AA124" s="348"/>
      <c r="AB124" s="348"/>
      <c r="AC124" s="348"/>
      <c r="AD124" s="348"/>
      <c r="AE124" s="349">
        <v>4</v>
      </c>
      <c r="AF124" s="349">
        <f>ROUNDUP(AE124/2,0)</f>
        <v>2</v>
      </c>
    </row>
    <row r="125" spans="2:32" ht="24" hidden="1" customHeight="1">
      <c r="B125" s="350" t="str">
        <f>".1"</f>
        <v>.1</v>
      </c>
      <c r="C125" s="351" t="s">
        <v>365</v>
      </c>
      <c r="D125" s="352"/>
      <c r="E125" s="353"/>
      <c r="F125" s="354"/>
      <c r="G125" s="353"/>
      <c r="H125" s="354"/>
      <c r="I125" s="353"/>
      <c r="J125" s="354"/>
      <c r="K125" s="353"/>
      <c r="L125" s="354"/>
      <c r="M125" s="349" t="str">
        <f t="shared" si="5"/>
        <v/>
      </c>
      <c r="N125" s="354"/>
      <c r="O125" s="355"/>
      <c r="Q125" s="356" t="str">
        <f>IF(T125&gt;0,T125,"")</f>
        <v/>
      </c>
      <c r="R125" s="346" t="str">
        <f>IF(AND(E125="",G125=""),"",IF((E125+G125)&gt;Dictionary!$I$52,"Pass","Fail"))</f>
        <v/>
      </c>
      <c r="T125" s="349" t="str">
        <f>Scoring!U132</f>
        <v/>
      </c>
      <c r="V125" s="2376"/>
      <c r="W125" s="2377"/>
      <c r="X125" s="2377"/>
      <c r="Y125" s="2377"/>
      <c r="Z125" s="2378"/>
      <c r="AA125" s="348"/>
      <c r="AB125" s="348"/>
      <c r="AC125" s="348"/>
      <c r="AD125" s="348"/>
      <c r="AE125" s="349"/>
      <c r="AF125" s="349"/>
    </row>
    <row r="126" spans="2:32" ht="24" hidden="1" customHeight="1">
      <c r="B126" s="350" t="str">
        <f>".2"</f>
        <v>.2</v>
      </c>
      <c r="C126" s="351" t="s">
        <v>364</v>
      </c>
      <c r="D126" s="352"/>
      <c r="E126" s="353"/>
      <c r="F126" s="354"/>
      <c r="G126" s="353"/>
      <c r="H126" s="354"/>
      <c r="I126" s="353"/>
      <c r="J126" s="354"/>
      <c r="K126" s="353"/>
      <c r="L126" s="354"/>
      <c r="M126" s="349" t="str">
        <f t="shared" si="5"/>
        <v/>
      </c>
      <c r="N126" s="354"/>
      <c r="O126" s="355"/>
      <c r="Q126" s="356" t="str">
        <f>IF(T126&gt;0,T126,"")</f>
        <v/>
      </c>
      <c r="R126" s="346" t="str">
        <f>IF(AND(E126="",G126=""),"",IF((E126+G126)&gt;Dictionary!$I$52,"Pass","Fail"))</f>
        <v/>
      </c>
      <c r="T126" s="349" t="str">
        <f>Scoring!U133</f>
        <v/>
      </c>
      <c r="V126" s="2376"/>
      <c r="W126" s="2377"/>
      <c r="X126" s="2377"/>
      <c r="Y126" s="2377"/>
      <c r="Z126" s="2378"/>
      <c r="AA126" s="348"/>
      <c r="AB126" s="348"/>
      <c r="AC126" s="348"/>
      <c r="AD126" s="348"/>
      <c r="AE126" s="349"/>
      <c r="AF126" s="349"/>
    </row>
    <row r="127" spans="2:32" ht="24" hidden="1" customHeight="1">
      <c r="B127" s="350" t="str">
        <f>".3"</f>
        <v>.3</v>
      </c>
      <c r="C127" s="351" t="s">
        <v>363</v>
      </c>
      <c r="D127" s="352"/>
      <c r="E127" s="353"/>
      <c r="F127" s="354"/>
      <c r="G127" s="353"/>
      <c r="H127" s="354"/>
      <c r="I127" s="353"/>
      <c r="J127" s="354"/>
      <c r="K127" s="353"/>
      <c r="L127" s="354"/>
      <c r="M127" s="349" t="str">
        <f t="shared" si="5"/>
        <v/>
      </c>
      <c r="N127" s="354"/>
      <c r="O127" s="355"/>
      <c r="Q127" s="356" t="str">
        <f>IF(T127&gt;0,T127,"")</f>
        <v/>
      </c>
      <c r="R127" s="346" t="str">
        <f>IF(AND(E127="",G127=""),"",IF((E127+G127)&gt;Dictionary!$I$52,"Pass","Fail"))</f>
        <v/>
      </c>
      <c r="T127" s="349" t="str">
        <f>Scoring!U134</f>
        <v/>
      </c>
      <c r="V127" s="2376"/>
      <c r="W127" s="2377"/>
      <c r="X127" s="2377"/>
      <c r="Y127" s="2377"/>
      <c r="Z127" s="2378"/>
      <c r="AA127" s="348"/>
      <c r="AB127" s="348"/>
      <c r="AC127" s="348"/>
      <c r="AD127" s="348"/>
      <c r="AE127" s="349"/>
      <c r="AF127" s="349"/>
    </row>
    <row r="128" spans="2:32" ht="24" hidden="1" customHeight="1">
      <c r="B128" s="350" t="str">
        <f>".4"</f>
        <v>.4</v>
      </c>
      <c r="C128" s="351" t="s">
        <v>362</v>
      </c>
      <c r="D128" s="352"/>
      <c r="E128" s="353"/>
      <c r="F128" s="354"/>
      <c r="G128" s="353"/>
      <c r="H128" s="354"/>
      <c r="I128" s="353"/>
      <c r="J128" s="354"/>
      <c r="K128" s="353"/>
      <c r="L128" s="354"/>
      <c r="M128" s="349" t="str">
        <f t="shared" si="5"/>
        <v/>
      </c>
      <c r="N128" s="354"/>
      <c r="O128" s="355"/>
      <c r="Q128" s="356" t="str">
        <f>IF(T128&gt;0,T128,"")</f>
        <v/>
      </c>
      <c r="R128" s="346" t="str">
        <f>IF(AND(E128="",G128=""),"",IF((E128+G128)&gt;Dictionary!$I$52,"Pass","Fail"))</f>
        <v/>
      </c>
      <c r="T128" s="349" t="str">
        <f>Scoring!U135</f>
        <v/>
      </c>
      <c r="V128" s="2376"/>
      <c r="W128" s="2377"/>
      <c r="X128" s="2377"/>
      <c r="Y128" s="2377"/>
      <c r="Z128" s="2378"/>
      <c r="AA128" s="348"/>
      <c r="AB128" s="348"/>
      <c r="AC128" s="348"/>
      <c r="AD128" s="348"/>
      <c r="AE128" s="349"/>
      <c r="AF128" s="349"/>
    </row>
    <row r="129" spans="2:32" ht="20" customHeight="1">
      <c r="B129" s="341" t="s">
        <v>361</v>
      </c>
      <c r="C129" s="342" t="str">
        <f>Dictionary!B1422</f>
        <v>Qualität</v>
      </c>
      <c r="D129" s="343"/>
      <c r="E129" s="353"/>
      <c r="F129" s="315"/>
      <c r="G129" s="436"/>
      <c r="H129" s="360"/>
      <c r="I129" s="359"/>
      <c r="J129" s="360"/>
      <c r="K129" s="359"/>
      <c r="L129" s="315"/>
      <c r="M129" s="359"/>
      <c r="N129" s="360"/>
      <c r="O129" s="359"/>
      <c r="Q129" s="356"/>
      <c r="R129" s="346" t="str">
        <f>IF(AND(E129="",G129=""),"",IF((E129+G129)&gt;Dictionary!$I$52,"Pass","Fail"))</f>
        <v/>
      </c>
      <c r="T129" s="428">
        <f>COUNTIF(T130:T134,"&gt;3")/AE129</f>
        <v>0</v>
      </c>
      <c r="V129" s="2376"/>
      <c r="W129" s="2377"/>
      <c r="X129" s="2377"/>
      <c r="Y129" s="2377"/>
      <c r="Z129" s="2378"/>
      <c r="AA129" s="348"/>
      <c r="AB129" s="348"/>
      <c r="AC129" s="348"/>
      <c r="AD129" s="348"/>
      <c r="AE129" s="349">
        <v>5</v>
      </c>
      <c r="AF129" s="349">
        <f>ROUNDUP(AE129/2,0)</f>
        <v>3</v>
      </c>
    </row>
    <row r="130" spans="2:32" ht="24" hidden="1" customHeight="1">
      <c r="B130" s="350" t="str">
        <f>".1"</f>
        <v>.1</v>
      </c>
      <c r="C130" s="351" t="s">
        <v>360</v>
      </c>
      <c r="D130" s="352"/>
      <c r="E130" s="353"/>
      <c r="F130" s="354"/>
      <c r="G130" s="353"/>
      <c r="H130" s="354"/>
      <c r="I130" s="353"/>
      <c r="J130" s="354"/>
      <c r="K130" s="353"/>
      <c r="L130" s="354"/>
      <c r="M130" s="349" t="str">
        <f t="shared" si="5"/>
        <v/>
      </c>
      <c r="N130" s="354"/>
      <c r="O130" s="355"/>
      <c r="Q130" s="356" t="str">
        <f>IF(T130&gt;0,T130,"")</f>
        <v/>
      </c>
      <c r="R130" s="346" t="str">
        <f>IF(AND(E130="",G130=""),"",IF((E130+G130)&gt;Dictionary!$I$52,"Pass","Fail"))</f>
        <v/>
      </c>
      <c r="T130" s="349" t="str">
        <f>Scoring!U137</f>
        <v/>
      </c>
      <c r="V130" s="2376"/>
      <c r="W130" s="2377"/>
      <c r="X130" s="2377"/>
      <c r="Y130" s="2377"/>
      <c r="Z130" s="2378"/>
      <c r="AA130" s="348"/>
      <c r="AB130" s="348"/>
      <c r="AC130" s="348"/>
      <c r="AD130" s="348"/>
      <c r="AE130" s="349"/>
      <c r="AF130" s="349"/>
    </row>
    <row r="131" spans="2:32" ht="36" hidden="1" customHeight="1">
      <c r="B131" s="350" t="str">
        <f>".2"</f>
        <v>.2</v>
      </c>
      <c r="C131" s="351" t="s">
        <v>359</v>
      </c>
      <c r="D131" s="352"/>
      <c r="E131" s="353"/>
      <c r="F131" s="354"/>
      <c r="G131" s="353"/>
      <c r="H131" s="354"/>
      <c r="I131" s="353"/>
      <c r="J131" s="354"/>
      <c r="K131" s="353"/>
      <c r="L131" s="354"/>
      <c r="M131" s="349" t="str">
        <f t="shared" si="5"/>
        <v/>
      </c>
      <c r="N131" s="354"/>
      <c r="O131" s="355"/>
      <c r="Q131" s="356" t="str">
        <f>IF(T131&gt;0,T131,"")</f>
        <v/>
      </c>
      <c r="R131" s="346" t="str">
        <f>IF(AND(E131="",G131=""),"",IF((E131+G131)&gt;Dictionary!$I$52,"Pass","Fail"))</f>
        <v/>
      </c>
      <c r="T131" s="349" t="str">
        <f>Scoring!U138</f>
        <v/>
      </c>
      <c r="V131" s="2376"/>
      <c r="W131" s="2377"/>
      <c r="X131" s="2377"/>
      <c r="Y131" s="2377"/>
      <c r="Z131" s="2378"/>
      <c r="AA131" s="348"/>
      <c r="AB131" s="348"/>
      <c r="AC131" s="348"/>
      <c r="AD131" s="348"/>
      <c r="AE131" s="349"/>
      <c r="AF131" s="349"/>
    </row>
    <row r="132" spans="2:32" ht="36" hidden="1" customHeight="1">
      <c r="B132" s="350" t="str">
        <f>".3"</f>
        <v>.3</v>
      </c>
      <c r="C132" s="351" t="s">
        <v>358</v>
      </c>
      <c r="D132" s="352"/>
      <c r="E132" s="353"/>
      <c r="F132" s="354"/>
      <c r="G132" s="353"/>
      <c r="H132" s="354"/>
      <c r="I132" s="353"/>
      <c r="J132" s="354"/>
      <c r="K132" s="353"/>
      <c r="L132" s="354"/>
      <c r="M132" s="349" t="str">
        <f t="shared" si="5"/>
        <v/>
      </c>
      <c r="N132" s="354"/>
      <c r="O132" s="355"/>
      <c r="Q132" s="356" t="str">
        <f>IF(T132&gt;0,T132,"")</f>
        <v/>
      </c>
      <c r="R132" s="346" t="str">
        <f>IF(AND(E132="",G132=""),"",IF((E132+G132)&gt;Dictionary!$I$52,"Pass","Fail"))</f>
        <v/>
      </c>
      <c r="T132" s="349" t="str">
        <f>Scoring!U139</f>
        <v/>
      </c>
      <c r="V132" s="2376"/>
      <c r="W132" s="2377"/>
      <c r="X132" s="2377"/>
      <c r="Y132" s="2377"/>
      <c r="Z132" s="2378"/>
      <c r="AA132" s="348"/>
      <c r="AB132" s="348"/>
      <c r="AC132" s="348"/>
      <c r="AD132" s="348"/>
      <c r="AE132" s="349"/>
      <c r="AF132" s="349"/>
    </row>
    <row r="133" spans="2:32" ht="18" hidden="1" customHeight="1">
      <c r="B133" s="350" t="str">
        <f>".4"</f>
        <v>.4</v>
      </c>
      <c r="C133" s="351" t="s">
        <v>357</v>
      </c>
      <c r="D133" s="352"/>
      <c r="E133" s="353"/>
      <c r="F133" s="354"/>
      <c r="G133" s="353"/>
      <c r="H133" s="354"/>
      <c r="I133" s="353"/>
      <c r="J133" s="354"/>
      <c r="K133" s="353"/>
      <c r="L133" s="354"/>
      <c r="M133" s="349" t="str">
        <f t="shared" si="5"/>
        <v/>
      </c>
      <c r="N133" s="354"/>
      <c r="O133" s="355"/>
      <c r="Q133" s="356" t="str">
        <f>IF(T133&gt;0,T133,"")</f>
        <v/>
      </c>
      <c r="R133" s="346" t="str">
        <f>IF(AND(E133="",G133=""),"",IF((E133+G133)&gt;Dictionary!$I$52,"Pass","Fail"))</f>
        <v/>
      </c>
      <c r="T133" s="349" t="str">
        <f>Scoring!U140</f>
        <v/>
      </c>
      <c r="V133" s="2376"/>
      <c r="W133" s="2377"/>
      <c r="X133" s="2377"/>
      <c r="Y133" s="2377"/>
      <c r="Z133" s="2378"/>
      <c r="AA133" s="348"/>
      <c r="AB133" s="348"/>
      <c r="AC133" s="348"/>
      <c r="AD133" s="348"/>
      <c r="AE133" s="349"/>
      <c r="AF133" s="349"/>
    </row>
    <row r="134" spans="2:32" ht="18" hidden="1" customHeight="1">
      <c r="B134" s="350" t="str">
        <f>".5"</f>
        <v>.5</v>
      </c>
      <c r="C134" s="351" t="s">
        <v>356</v>
      </c>
      <c r="D134" s="352"/>
      <c r="E134" s="353"/>
      <c r="F134" s="354"/>
      <c r="G134" s="353"/>
      <c r="H134" s="354"/>
      <c r="I134" s="353"/>
      <c r="J134" s="354"/>
      <c r="K134" s="353"/>
      <c r="L134" s="354"/>
      <c r="M134" s="349" t="str">
        <f t="shared" si="5"/>
        <v/>
      </c>
      <c r="N134" s="354"/>
      <c r="O134" s="355"/>
      <c r="Q134" s="356" t="str">
        <f>IF(T134&gt;0,T134,"")</f>
        <v/>
      </c>
      <c r="R134" s="346" t="str">
        <f>IF(AND(E134="",G134=""),"",IF((E134+G134)&gt;Dictionary!$I$52,"Pass","Fail"))</f>
        <v/>
      </c>
      <c r="T134" s="349" t="str">
        <f>Scoring!U141</f>
        <v/>
      </c>
      <c r="V134" s="2376"/>
      <c r="W134" s="2377"/>
      <c r="X134" s="2377"/>
      <c r="Y134" s="2377"/>
      <c r="Z134" s="2378"/>
      <c r="AA134" s="348"/>
      <c r="AB134" s="348"/>
      <c r="AC134" s="348"/>
      <c r="AD134" s="348"/>
      <c r="AE134" s="349"/>
      <c r="AF134" s="349"/>
    </row>
    <row r="135" spans="2:32" ht="20" customHeight="1">
      <c r="B135" s="341" t="s">
        <v>355</v>
      </c>
      <c r="C135" s="342" t="str">
        <f>Dictionary!B1430</f>
        <v>Kosten &amp; Finanzierung</v>
      </c>
      <c r="D135" s="343"/>
      <c r="E135" s="436"/>
      <c r="F135" s="315"/>
      <c r="G135" s="353"/>
      <c r="H135" s="360"/>
      <c r="I135" s="359"/>
      <c r="J135" s="360"/>
      <c r="K135" s="359"/>
      <c r="L135" s="315"/>
      <c r="M135" s="359"/>
      <c r="N135" s="360"/>
      <c r="O135" s="359"/>
      <c r="Q135" s="356"/>
      <c r="R135" s="346" t="str">
        <f>IF(AND(E135="",G135=""),"",IF((E135+G135)&gt;Dictionary!$I$52,"Pass","Fail"))</f>
        <v/>
      </c>
      <c r="T135" s="428">
        <f>COUNTIF(T136:T140,"&gt;3")/AE135</f>
        <v>0</v>
      </c>
      <c r="V135" s="2376"/>
      <c r="W135" s="2377"/>
      <c r="X135" s="2377"/>
      <c r="Y135" s="2377"/>
      <c r="Z135" s="2378"/>
      <c r="AA135" s="348"/>
      <c r="AB135" s="348"/>
      <c r="AC135" s="348"/>
      <c r="AD135" s="348"/>
      <c r="AE135" s="349">
        <v>5</v>
      </c>
      <c r="AF135" s="349">
        <f>ROUNDUP(AE135/2,0)</f>
        <v>3</v>
      </c>
    </row>
    <row r="136" spans="2:32" ht="18" hidden="1" customHeight="1">
      <c r="B136" s="350" t="str">
        <f>".1"</f>
        <v>.1</v>
      </c>
      <c r="C136" s="351" t="s">
        <v>354</v>
      </c>
      <c r="D136" s="352"/>
      <c r="E136" s="436"/>
      <c r="F136" s="354"/>
      <c r="G136" s="353"/>
      <c r="H136" s="354"/>
      <c r="I136" s="353"/>
      <c r="J136" s="354"/>
      <c r="K136" s="353"/>
      <c r="L136" s="354"/>
      <c r="M136" s="349" t="str">
        <f t="shared" si="5"/>
        <v/>
      </c>
      <c r="N136" s="354"/>
      <c r="O136" s="355"/>
      <c r="Q136" s="356" t="str">
        <f>IF(T136&gt;0,T136,"")</f>
        <v/>
      </c>
      <c r="R136" s="346" t="str">
        <f>IF(AND(E136="",G136=""),"",IF((E136+G136)&gt;Dictionary!$I$52,"Pass","Fail"))</f>
        <v/>
      </c>
      <c r="T136" s="349" t="str">
        <f>Scoring!U143</f>
        <v/>
      </c>
      <c r="V136" s="2376"/>
      <c r="W136" s="2377"/>
      <c r="X136" s="2377"/>
      <c r="Y136" s="2377"/>
      <c r="Z136" s="2378"/>
      <c r="AA136" s="348"/>
      <c r="AB136" s="348"/>
      <c r="AC136" s="348"/>
      <c r="AD136" s="348"/>
      <c r="AE136" s="349"/>
      <c r="AF136" s="349"/>
    </row>
    <row r="137" spans="2:32" ht="18" hidden="1" customHeight="1">
      <c r="B137" s="350" t="str">
        <f>".2"</f>
        <v>.2</v>
      </c>
      <c r="C137" s="351" t="s">
        <v>353</v>
      </c>
      <c r="D137" s="352"/>
      <c r="E137" s="436"/>
      <c r="F137" s="354"/>
      <c r="G137" s="353"/>
      <c r="H137" s="354"/>
      <c r="I137" s="353"/>
      <c r="J137" s="354"/>
      <c r="K137" s="353"/>
      <c r="L137" s="354"/>
      <c r="M137" s="349" t="str">
        <f t="shared" si="5"/>
        <v/>
      </c>
      <c r="N137" s="354"/>
      <c r="O137" s="355"/>
      <c r="Q137" s="356" t="str">
        <f>IF(T137&gt;0,T137,"")</f>
        <v/>
      </c>
      <c r="R137" s="346" t="str">
        <f>IF(AND(E137="",G137=""),"",IF((E137+G137)&gt;Dictionary!$I$52,"Pass","Fail"))</f>
        <v/>
      </c>
      <c r="T137" s="349" t="str">
        <f>Scoring!U144</f>
        <v/>
      </c>
      <c r="V137" s="2376"/>
      <c r="W137" s="2377"/>
      <c r="X137" s="2377"/>
      <c r="Y137" s="2377"/>
      <c r="Z137" s="2378"/>
      <c r="AA137" s="348"/>
      <c r="AB137" s="348"/>
      <c r="AC137" s="348"/>
      <c r="AD137" s="348"/>
      <c r="AE137" s="349"/>
      <c r="AF137" s="349"/>
    </row>
    <row r="138" spans="2:32" ht="18" hidden="1" customHeight="1">
      <c r="B138" s="350" t="str">
        <f>".3"</f>
        <v>.3</v>
      </c>
      <c r="C138" s="351" t="s">
        <v>352</v>
      </c>
      <c r="D138" s="352"/>
      <c r="E138" s="436"/>
      <c r="F138" s="354"/>
      <c r="G138" s="353"/>
      <c r="H138" s="354"/>
      <c r="I138" s="353"/>
      <c r="J138" s="354"/>
      <c r="K138" s="353"/>
      <c r="L138" s="354"/>
      <c r="M138" s="349" t="str">
        <f t="shared" si="5"/>
        <v/>
      </c>
      <c r="N138" s="354"/>
      <c r="O138" s="355"/>
      <c r="Q138" s="356" t="str">
        <f>IF(T138&gt;0,T138,"")</f>
        <v/>
      </c>
      <c r="R138" s="346" t="str">
        <f>IF(AND(E138="",G138=""),"",IF((E138+G138)&gt;Dictionary!$I$52,"Pass","Fail"))</f>
        <v/>
      </c>
      <c r="T138" s="349" t="str">
        <f>Scoring!U145</f>
        <v/>
      </c>
      <c r="V138" s="2376"/>
      <c r="W138" s="2377"/>
      <c r="X138" s="2377"/>
      <c r="Y138" s="2377"/>
      <c r="Z138" s="2378"/>
      <c r="AA138" s="348"/>
      <c r="AB138" s="348"/>
      <c r="AC138" s="348"/>
      <c r="AD138" s="348"/>
      <c r="AE138" s="349"/>
      <c r="AF138" s="349"/>
    </row>
    <row r="139" spans="2:32" ht="24" hidden="1" customHeight="1">
      <c r="B139" s="350" t="str">
        <f>".4"</f>
        <v>.4</v>
      </c>
      <c r="C139" s="351" t="s">
        <v>351</v>
      </c>
      <c r="D139" s="352"/>
      <c r="E139" s="436"/>
      <c r="F139" s="354"/>
      <c r="G139" s="353"/>
      <c r="H139" s="354"/>
      <c r="I139" s="353"/>
      <c r="J139" s="354"/>
      <c r="K139" s="353"/>
      <c r="L139" s="354"/>
      <c r="M139" s="349" t="str">
        <f t="shared" si="5"/>
        <v/>
      </c>
      <c r="N139" s="354"/>
      <c r="O139" s="355"/>
      <c r="Q139" s="356" t="str">
        <f>IF(T139&gt;0,T139,"")</f>
        <v/>
      </c>
      <c r="R139" s="346" t="str">
        <f>IF(AND(E139="",G139=""),"",IF((E139+G139)&gt;Dictionary!$I$52,"Pass","Fail"))</f>
        <v/>
      </c>
      <c r="T139" s="349" t="str">
        <f>Scoring!U146</f>
        <v/>
      </c>
      <c r="V139" s="2376"/>
      <c r="W139" s="2377"/>
      <c r="X139" s="2377"/>
      <c r="Y139" s="2377"/>
      <c r="Z139" s="2378"/>
      <c r="AA139" s="348"/>
      <c r="AB139" s="348"/>
      <c r="AC139" s="348"/>
      <c r="AD139" s="348"/>
      <c r="AE139" s="349"/>
      <c r="AF139" s="349"/>
    </row>
    <row r="140" spans="2:32" ht="24" hidden="1" customHeight="1">
      <c r="B140" s="350" t="str">
        <f>".5"</f>
        <v>.5</v>
      </c>
      <c r="C140" s="351" t="s">
        <v>350</v>
      </c>
      <c r="D140" s="352"/>
      <c r="E140" s="436"/>
      <c r="F140" s="354"/>
      <c r="G140" s="353"/>
      <c r="H140" s="354"/>
      <c r="I140" s="353"/>
      <c r="J140" s="354"/>
      <c r="K140" s="353"/>
      <c r="L140" s="354"/>
      <c r="M140" s="349" t="str">
        <f t="shared" si="5"/>
        <v/>
      </c>
      <c r="N140" s="354"/>
      <c r="O140" s="355"/>
      <c r="Q140" s="356" t="str">
        <f>IF(T140&gt;0,T140,"")</f>
        <v/>
      </c>
      <c r="R140" s="346" t="str">
        <f>IF(AND(E140="",G140=""),"",IF((E140+G140)&gt;Dictionary!$I$52,"Pass","Fail"))</f>
        <v/>
      </c>
      <c r="T140" s="349" t="str">
        <f>Scoring!U147</f>
        <v/>
      </c>
      <c r="V140" s="2376"/>
      <c r="W140" s="2377"/>
      <c r="X140" s="2377"/>
      <c r="Y140" s="2377"/>
      <c r="Z140" s="2378"/>
      <c r="AA140" s="348"/>
      <c r="AB140" s="348"/>
      <c r="AC140" s="348"/>
      <c r="AD140" s="348"/>
      <c r="AE140" s="349"/>
      <c r="AF140" s="349"/>
    </row>
    <row r="141" spans="2:32" ht="20" customHeight="1">
      <c r="B141" s="341" t="s">
        <v>349</v>
      </c>
      <c r="C141" s="342" t="str">
        <f>Dictionary!B1438</f>
        <v>Ressourcen</v>
      </c>
      <c r="D141" s="343"/>
      <c r="E141" s="436"/>
      <c r="F141" s="315"/>
      <c r="G141" s="353"/>
      <c r="H141" s="360"/>
      <c r="I141" s="359"/>
      <c r="J141" s="360"/>
      <c r="K141" s="359"/>
      <c r="L141" s="315"/>
      <c r="M141" s="359"/>
      <c r="N141" s="360"/>
      <c r="O141" s="359"/>
      <c r="Q141" s="356"/>
      <c r="R141" s="346" t="str">
        <f>IF(AND(E141="",G141=""),"",IF((E141+G141)&gt;Dictionary!$I$52,"Pass","Fail"))</f>
        <v/>
      </c>
      <c r="T141" s="428">
        <f>COUNTIF(T142:T146,"&gt;3")/AE141</f>
        <v>0</v>
      </c>
      <c r="V141" s="2376"/>
      <c r="W141" s="2377"/>
      <c r="X141" s="2377"/>
      <c r="Y141" s="2377"/>
      <c r="Z141" s="2378"/>
      <c r="AA141" s="348"/>
      <c r="AB141" s="348"/>
      <c r="AC141" s="348"/>
      <c r="AD141" s="348"/>
      <c r="AE141" s="349">
        <v>5</v>
      </c>
      <c r="AF141" s="349">
        <f>ROUNDUP(AE141/2,0)</f>
        <v>3</v>
      </c>
    </row>
    <row r="142" spans="2:32" ht="18" hidden="1" customHeight="1">
      <c r="B142" s="350" t="str">
        <f>".1"</f>
        <v>.1</v>
      </c>
      <c r="C142" s="351" t="s">
        <v>348</v>
      </c>
      <c r="D142" s="352"/>
      <c r="E142" s="353"/>
      <c r="F142" s="354"/>
      <c r="G142" s="353"/>
      <c r="H142" s="354"/>
      <c r="I142" s="353"/>
      <c r="J142" s="354"/>
      <c r="K142" s="353"/>
      <c r="L142" s="354"/>
      <c r="M142" s="349" t="str">
        <f t="shared" si="5"/>
        <v/>
      </c>
      <c r="N142" s="354"/>
      <c r="O142" s="355"/>
      <c r="Q142" s="356" t="str">
        <f>IF(T142&gt;0,T142,"")</f>
        <v/>
      </c>
      <c r="R142" s="346" t="str">
        <f>IF(AND(E142="",G142=""),"",IF((E142+G142)&gt;Dictionary!$I$52,"Pass","Fail"))</f>
        <v/>
      </c>
      <c r="T142" s="349" t="str">
        <f>Scoring!U149</f>
        <v/>
      </c>
      <c r="V142" s="2376"/>
      <c r="W142" s="2377"/>
      <c r="X142" s="2377"/>
      <c r="Y142" s="2377"/>
      <c r="Z142" s="2378"/>
      <c r="AA142" s="348"/>
      <c r="AB142" s="348"/>
      <c r="AC142" s="348"/>
      <c r="AD142" s="348"/>
      <c r="AE142" s="349"/>
      <c r="AF142" s="349"/>
    </row>
    <row r="143" spans="2:32" ht="18" hidden="1" customHeight="1">
      <c r="B143" s="350" t="str">
        <f>".2"</f>
        <v>.2</v>
      </c>
      <c r="C143" s="351" t="s">
        <v>347</v>
      </c>
      <c r="D143" s="352"/>
      <c r="E143" s="353"/>
      <c r="F143" s="354"/>
      <c r="G143" s="353"/>
      <c r="H143" s="354"/>
      <c r="I143" s="353"/>
      <c r="J143" s="354"/>
      <c r="K143" s="353"/>
      <c r="L143" s="354"/>
      <c r="M143" s="349" t="str">
        <f t="shared" si="5"/>
        <v/>
      </c>
      <c r="N143" s="354"/>
      <c r="O143" s="355"/>
      <c r="Q143" s="356" t="str">
        <f>IF(T143&gt;0,T143,"")</f>
        <v/>
      </c>
      <c r="R143" s="346" t="str">
        <f>IF(AND(E143="",G143=""),"",IF((E143+G143)&gt;Dictionary!$I$52,"Pass","Fail"))</f>
        <v/>
      </c>
      <c r="T143" s="349" t="str">
        <f>Scoring!U150</f>
        <v/>
      </c>
      <c r="V143" s="2376"/>
      <c r="W143" s="2377"/>
      <c r="X143" s="2377"/>
      <c r="Y143" s="2377"/>
      <c r="Z143" s="2378"/>
      <c r="AA143" s="348"/>
      <c r="AB143" s="348"/>
      <c r="AC143" s="348"/>
      <c r="AD143" s="348"/>
      <c r="AE143" s="349"/>
      <c r="AF143" s="349"/>
    </row>
    <row r="144" spans="2:32" ht="24" hidden="1" customHeight="1">
      <c r="B144" s="350" t="str">
        <f>".3"</f>
        <v>.3</v>
      </c>
      <c r="C144" s="351" t="s">
        <v>346</v>
      </c>
      <c r="D144" s="352"/>
      <c r="E144" s="353"/>
      <c r="F144" s="354"/>
      <c r="G144" s="353"/>
      <c r="H144" s="354"/>
      <c r="I144" s="353"/>
      <c r="J144" s="354"/>
      <c r="K144" s="353"/>
      <c r="L144" s="354"/>
      <c r="M144" s="349" t="str">
        <f t="shared" si="5"/>
        <v/>
      </c>
      <c r="N144" s="354"/>
      <c r="O144" s="355"/>
      <c r="Q144" s="356" t="str">
        <f>IF(T144&gt;0,T144,"")</f>
        <v/>
      </c>
      <c r="R144" s="346" t="str">
        <f>IF(AND(E144="",G144=""),"",IF((E144+G144)&gt;Dictionary!$I$52,"Pass","Fail"))</f>
        <v/>
      </c>
      <c r="T144" s="349" t="str">
        <f>Scoring!U151</f>
        <v/>
      </c>
      <c r="V144" s="2376"/>
      <c r="W144" s="2377"/>
      <c r="X144" s="2377"/>
      <c r="Y144" s="2377"/>
      <c r="Z144" s="2378"/>
      <c r="AA144" s="348"/>
      <c r="AB144" s="348"/>
      <c r="AC144" s="348"/>
      <c r="AD144" s="348"/>
      <c r="AE144" s="349"/>
      <c r="AF144" s="349"/>
    </row>
    <row r="145" spans="2:32" ht="18" hidden="1" customHeight="1">
      <c r="B145" s="350" t="str">
        <f>".4"</f>
        <v>.4</v>
      </c>
      <c r="C145" s="351" t="s">
        <v>345</v>
      </c>
      <c r="D145" s="352"/>
      <c r="E145" s="353"/>
      <c r="F145" s="354"/>
      <c r="G145" s="353"/>
      <c r="H145" s="354"/>
      <c r="I145" s="353"/>
      <c r="J145" s="354"/>
      <c r="K145" s="353"/>
      <c r="L145" s="354"/>
      <c r="M145" s="349" t="str">
        <f t="shared" si="5"/>
        <v/>
      </c>
      <c r="N145" s="354"/>
      <c r="O145" s="355"/>
      <c r="Q145" s="356" t="str">
        <f>IF(T145&gt;0,T145,"")</f>
        <v/>
      </c>
      <c r="R145" s="346" t="str">
        <f>IF(AND(E145="",G145=""),"",IF((E145+G145)&gt;Dictionary!$I$52,"Pass","Fail"))</f>
        <v/>
      </c>
      <c r="T145" s="349" t="str">
        <f>Scoring!U152</f>
        <v/>
      </c>
      <c r="V145" s="2376"/>
      <c r="W145" s="2377"/>
      <c r="X145" s="2377"/>
      <c r="Y145" s="2377"/>
      <c r="Z145" s="2378"/>
      <c r="AA145" s="348"/>
      <c r="AB145" s="348"/>
      <c r="AC145" s="348"/>
      <c r="AD145" s="348"/>
      <c r="AE145" s="349"/>
      <c r="AF145" s="349"/>
    </row>
    <row r="146" spans="2:32" ht="24" hidden="1" customHeight="1">
      <c r="B146" s="350" t="str">
        <f>".5"</f>
        <v>.5</v>
      </c>
      <c r="C146" s="351" t="s">
        <v>344</v>
      </c>
      <c r="D146" s="352"/>
      <c r="E146" s="353"/>
      <c r="F146" s="354"/>
      <c r="G146" s="353"/>
      <c r="H146" s="354"/>
      <c r="I146" s="353"/>
      <c r="J146" s="354"/>
      <c r="K146" s="353"/>
      <c r="L146" s="354"/>
      <c r="M146" s="349" t="str">
        <f t="shared" si="5"/>
        <v/>
      </c>
      <c r="N146" s="354"/>
      <c r="O146" s="355"/>
      <c r="Q146" s="356" t="str">
        <f>IF(T146&gt;0,T146,"")</f>
        <v/>
      </c>
      <c r="R146" s="346" t="str">
        <f>IF(AND(E146="",G146=""),"",IF((E146+G146)&gt;Dictionary!$I$52,"Pass","Fail"))</f>
        <v/>
      </c>
      <c r="T146" s="349" t="str">
        <f>Scoring!U153</f>
        <v/>
      </c>
      <c r="V146" s="2376"/>
      <c r="W146" s="2377"/>
      <c r="X146" s="2377"/>
      <c r="Y146" s="2377"/>
      <c r="Z146" s="2378"/>
      <c r="AA146" s="348"/>
      <c r="AB146" s="348"/>
      <c r="AC146" s="348"/>
      <c r="AD146" s="348"/>
      <c r="AE146" s="349"/>
      <c r="AF146" s="349"/>
    </row>
    <row r="147" spans="2:32" ht="20" customHeight="1">
      <c r="B147" s="341" t="s">
        <v>343</v>
      </c>
      <c r="C147" s="342" t="str">
        <f>Dictionary!B1446</f>
        <v>Beschaffung</v>
      </c>
      <c r="D147" s="343"/>
      <c r="E147" s="353"/>
      <c r="F147" s="315"/>
      <c r="G147" s="436"/>
      <c r="H147" s="360"/>
      <c r="I147" s="359"/>
      <c r="J147" s="360"/>
      <c r="K147" s="359"/>
      <c r="L147" s="315"/>
      <c r="M147" s="359"/>
      <c r="N147" s="360"/>
      <c r="O147" s="359"/>
      <c r="Q147" s="356"/>
      <c r="R147" s="346" t="str">
        <f>IF(AND(E147="",G147=""),"",IF((E147+G147)&gt;Dictionary!$I$52,"Pass","Fail"))</f>
        <v/>
      </c>
      <c r="T147" s="428">
        <f>COUNTIF(T148:T151,"&gt;3")/AE147</f>
        <v>0</v>
      </c>
      <c r="V147" s="2376"/>
      <c r="W147" s="2377"/>
      <c r="X147" s="2377"/>
      <c r="Y147" s="2377"/>
      <c r="Z147" s="2378"/>
      <c r="AA147" s="348"/>
      <c r="AB147" s="348"/>
      <c r="AC147" s="348"/>
      <c r="AD147" s="348"/>
      <c r="AE147" s="349">
        <v>4</v>
      </c>
      <c r="AF147" s="349">
        <f>ROUNDUP(AE147/2,0)</f>
        <v>2</v>
      </c>
    </row>
    <row r="148" spans="2:32" ht="18" hidden="1" customHeight="1">
      <c r="B148" s="350" t="str">
        <f>".1"</f>
        <v>.1</v>
      </c>
      <c r="C148" s="351" t="s">
        <v>342</v>
      </c>
      <c r="D148" s="352"/>
      <c r="E148" s="353"/>
      <c r="F148" s="354"/>
      <c r="G148" s="353"/>
      <c r="H148" s="354"/>
      <c r="I148" s="353"/>
      <c r="J148" s="354"/>
      <c r="K148" s="353"/>
      <c r="L148" s="354"/>
      <c r="M148" s="349" t="str">
        <f t="shared" si="5"/>
        <v/>
      </c>
      <c r="N148" s="354"/>
      <c r="O148" s="355"/>
      <c r="Q148" s="356" t="str">
        <f>IF(T148&gt;0,T148,"")</f>
        <v/>
      </c>
      <c r="R148" s="346" t="str">
        <f>IF(AND(E148="",G148=""),"",IF((E148+G148)&gt;Dictionary!$I$52,"Pass","Fail"))</f>
        <v/>
      </c>
      <c r="T148" s="349" t="str">
        <f>Scoring!U155</f>
        <v/>
      </c>
      <c r="V148" s="2376"/>
      <c r="W148" s="2377"/>
      <c r="X148" s="2377"/>
      <c r="Y148" s="2377"/>
      <c r="Z148" s="2378"/>
      <c r="AA148" s="348"/>
      <c r="AB148" s="348"/>
      <c r="AC148" s="348"/>
      <c r="AD148" s="348"/>
      <c r="AE148" s="349"/>
      <c r="AF148" s="349"/>
    </row>
    <row r="149" spans="2:32" ht="24" hidden="1" customHeight="1">
      <c r="B149" s="350" t="str">
        <f>".2"</f>
        <v>.2</v>
      </c>
      <c r="C149" s="351" t="s">
        <v>341</v>
      </c>
      <c r="D149" s="352"/>
      <c r="E149" s="353"/>
      <c r="F149" s="354"/>
      <c r="G149" s="353"/>
      <c r="H149" s="354"/>
      <c r="I149" s="353"/>
      <c r="J149" s="354"/>
      <c r="K149" s="353"/>
      <c r="L149" s="354"/>
      <c r="M149" s="349" t="str">
        <f t="shared" si="5"/>
        <v/>
      </c>
      <c r="N149" s="354"/>
      <c r="O149" s="355"/>
      <c r="Q149" s="356" t="str">
        <f>IF(T149&gt;0,T149,"")</f>
        <v/>
      </c>
      <c r="R149" s="346" t="str">
        <f>IF(AND(E149="",G149=""),"",IF((E149+G149)&gt;Dictionary!$I$52,"Pass","Fail"))</f>
        <v/>
      </c>
      <c r="T149" s="349" t="str">
        <f>Scoring!U156</f>
        <v/>
      </c>
      <c r="V149" s="2376"/>
      <c r="W149" s="2377"/>
      <c r="X149" s="2377"/>
      <c r="Y149" s="2377"/>
      <c r="Z149" s="2378"/>
      <c r="AA149" s="348"/>
      <c r="AB149" s="348"/>
      <c r="AC149" s="348"/>
      <c r="AD149" s="348"/>
      <c r="AE149" s="349"/>
      <c r="AF149" s="349"/>
    </row>
    <row r="150" spans="2:32" ht="24" hidden="1" customHeight="1">
      <c r="B150" s="350" t="str">
        <f>".3"</f>
        <v>.3</v>
      </c>
      <c r="C150" s="351" t="s">
        <v>340</v>
      </c>
      <c r="D150" s="352"/>
      <c r="E150" s="353"/>
      <c r="F150" s="354"/>
      <c r="G150" s="353"/>
      <c r="H150" s="354"/>
      <c r="I150" s="353"/>
      <c r="J150" s="354"/>
      <c r="K150" s="353"/>
      <c r="L150" s="354"/>
      <c r="M150" s="349" t="str">
        <f t="shared" si="5"/>
        <v/>
      </c>
      <c r="N150" s="354"/>
      <c r="O150" s="355"/>
      <c r="Q150" s="356" t="str">
        <f>IF(T150&gt;0,T150,"")</f>
        <v/>
      </c>
      <c r="R150" s="346" t="str">
        <f>IF(AND(E150="",G150=""),"",IF((E150+G150)&gt;Dictionary!$I$52,"Pass","Fail"))</f>
        <v/>
      </c>
      <c r="T150" s="349" t="str">
        <f>Scoring!U157</f>
        <v/>
      </c>
      <c r="V150" s="2376"/>
      <c r="W150" s="2377"/>
      <c r="X150" s="2377"/>
      <c r="Y150" s="2377"/>
      <c r="Z150" s="2378"/>
      <c r="AA150" s="348"/>
      <c r="AB150" s="348"/>
      <c r="AC150" s="348"/>
      <c r="AD150" s="348"/>
      <c r="AE150" s="349"/>
      <c r="AF150" s="349"/>
    </row>
    <row r="151" spans="2:32" ht="24" hidden="1" customHeight="1">
      <c r="B151" s="350" t="str">
        <f>".4"</f>
        <v>.4</v>
      </c>
      <c r="C151" s="351" t="s">
        <v>339</v>
      </c>
      <c r="D151" s="352"/>
      <c r="E151" s="353"/>
      <c r="F151" s="354"/>
      <c r="G151" s="353"/>
      <c r="H151" s="354"/>
      <c r="I151" s="353"/>
      <c r="J151" s="354"/>
      <c r="K151" s="353"/>
      <c r="L151" s="354"/>
      <c r="M151" s="349" t="str">
        <f t="shared" si="5"/>
        <v/>
      </c>
      <c r="N151" s="354"/>
      <c r="O151" s="355"/>
      <c r="Q151" s="356" t="str">
        <f>IF(T151&gt;0,T151,"")</f>
        <v/>
      </c>
      <c r="R151" s="346" t="str">
        <f>IF(AND(E151="",G151=""),"",IF((E151+G151)&gt;Dictionary!$I$52,"Pass","Fail"))</f>
        <v/>
      </c>
      <c r="T151" s="349" t="str">
        <f>Scoring!U158</f>
        <v/>
      </c>
      <c r="V151" s="2376"/>
      <c r="W151" s="2377"/>
      <c r="X151" s="2377"/>
      <c r="Y151" s="2377"/>
      <c r="Z151" s="2378"/>
      <c r="AA151" s="348"/>
      <c r="AB151" s="348"/>
      <c r="AC151" s="348"/>
      <c r="AD151" s="348"/>
      <c r="AE151" s="349"/>
      <c r="AF151" s="349"/>
    </row>
    <row r="152" spans="2:32" ht="20" customHeight="1">
      <c r="B152" s="341" t="s">
        <v>338</v>
      </c>
      <c r="C152" s="342" t="str">
        <f>Dictionary!B1453</f>
        <v>Planung und Steuerung</v>
      </c>
      <c r="D152" s="343"/>
      <c r="E152" s="436"/>
      <c r="F152" s="315"/>
      <c r="G152" s="353"/>
      <c r="H152" s="360"/>
      <c r="I152" s="359"/>
      <c r="J152" s="360"/>
      <c r="K152" s="359"/>
      <c r="L152" s="315"/>
      <c r="M152" s="359"/>
      <c r="N152" s="360"/>
      <c r="O152" s="359"/>
      <c r="Q152" s="356"/>
      <c r="R152" s="346" t="str">
        <f>IF(AND(E152="",G152=""),"",IF((E152+G152)&gt;Dictionary!$I$52,"Pass","Fail"))</f>
        <v/>
      </c>
      <c r="T152" s="428">
        <f>COUNTIF(T153:T158,"&gt;3")/AE152</f>
        <v>0</v>
      </c>
      <c r="V152" s="2376"/>
      <c r="W152" s="2377"/>
      <c r="X152" s="2377"/>
      <c r="Y152" s="2377"/>
      <c r="Z152" s="2378"/>
      <c r="AA152" s="348"/>
      <c r="AB152" s="348"/>
      <c r="AC152" s="348"/>
      <c r="AD152" s="369"/>
      <c r="AE152" s="349">
        <v>6</v>
      </c>
      <c r="AF152" s="349">
        <f>ROUNDUP(AE152/2,0)</f>
        <v>3</v>
      </c>
    </row>
    <row r="153" spans="2:32" ht="24" hidden="1" customHeight="1">
      <c r="B153" s="350" t="str">
        <f>".1"</f>
        <v>.1</v>
      </c>
      <c r="C153" s="351" t="s">
        <v>337</v>
      </c>
      <c r="D153" s="352"/>
      <c r="E153" s="436"/>
      <c r="F153" s="354"/>
      <c r="G153" s="353"/>
      <c r="H153" s="354"/>
      <c r="I153" s="353"/>
      <c r="J153" s="354"/>
      <c r="K153" s="353"/>
      <c r="L153" s="354"/>
      <c r="M153" s="349" t="str">
        <f t="shared" si="5"/>
        <v/>
      </c>
      <c r="N153" s="354"/>
      <c r="O153" s="355"/>
      <c r="Q153" s="356" t="str">
        <f t="shared" ref="Q153:Q158" si="6">IF(T153&gt;0,T153,"")</f>
        <v/>
      </c>
      <c r="R153" s="346" t="str">
        <f>IF(AND(E153="",G153=""),"",IF((E153+G153)&gt;Dictionary!$I$52,"Pass","Fail"))</f>
        <v/>
      </c>
      <c r="T153" s="349" t="str">
        <f>Scoring!U160</f>
        <v/>
      </c>
      <c r="V153" s="2376"/>
      <c r="W153" s="2377"/>
      <c r="X153" s="2377"/>
      <c r="Y153" s="2377"/>
      <c r="Z153" s="2378"/>
      <c r="AA153" s="348"/>
      <c r="AB153" s="348"/>
      <c r="AC153" s="348"/>
      <c r="AD153" s="348"/>
      <c r="AE153" s="349"/>
      <c r="AF153" s="349"/>
    </row>
    <row r="154" spans="2:32" ht="18" hidden="1" customHeight="1">
      <c r="B154" s="350" t="str">
        <f>".2"</f>
        <v>.2</v>
      </c>
      <c r="C154" s="351" t="s">
        <v>336</v>
      </c>
      <c r="D154" s="352"/>
      <c r="E154" s="436"/>
      <c r="F154" s="354"/>
      <c r="G154" s="353"/>
      <c r="H154" s="354"/>
      <c r="I154" s="353"/>
      <c r="J154" s="354"/>
      <c r="K154" s="353"/>
      <c r="L154" s="354"/>
      <c r="M154" s="349" t="str">
        <f t="shared" si="5"/>
        <v/>
      </c>
      <c r="N154" s="354"/>
      <c r="O154" s="355"/>
      <c r="Q154" s="356" t="str">
        <f t="shared" si="6"/>
        <v/>
      </c>
      <c r="R154" s="346" t="str">
        <f>IF(AND(E154="",G154=""),"",IF((E154+G154)&gt;Dictionary!$I$52,"Pass","Fail"))</f>
        <v/>
      </c>
      <c r="T154" s="349" t="str">
        <f>Scoring!U161</f>
        <v/>
      </c>
      <c r="V154" s="2376"/>
      <c r="W154" s="2377"/>
      <c r="X154" s="2377"/>
      <c r="Y154" s="2377"/>
      <c r="Z154" s="2378"/>
      <c r="AA154" s="348"/>
      <c r="AB154" s="348"/>
      <c r="AC154" s="348"/>
      <c r="AD154" s="348"/>
      <c r="AE154" s="349"/>
      <c r="AF154" s="349"/>
    </row>
    <row r="155" spans="2:32" ht="24" hidden="1" customHeight="1">
      <c r="B155" s="350" t="str">
        <f>".3"</f>
        <v>.3</v>
      </c>
      <c r="C155" s="351" t="s">
        <v>335</v>
      </c>
      <c r="D155" s="352"/>
      <c r="E155" s="436"/>
      <c r="F155" s="354"/>
      <c r="G155" s="353"/>
      <c r="H155" s="354"/>
      <c r="I155" s="353"/>
      <c r="J155" s="354"/>
      <c r="K155" s="353"/>
      <c r="L155" s="354"/>
      <c r="M155" s="349" t="str">
        <f t="shared" si="5"/>
        <v/>
      </c>
      <c r="N155" s="354"/>
      <c r="O155" s="355"/>
      <c r="Q155" s="356" t="str">
        <f t="shared" si="6"/>
        <v/>
      </c>
      <c r="R155" s="346" t="str">
        <f>IF(AND(E155="",G155=""),"",IF((E155+G155)&gt;Dictionary!$I$52,"Pass","Fail"))</f>
        <v/>
      </c>
      <c r="T155" s="349" t="str">
        <f>Scoring!U162</f>
        <v/>
      </c>
      <c r="V155" s="2376"/>
      <c r="W155" s="2377"/>
      <c r="X155" s="2377"/>
      <c r="Y155" s="2377"/>
      <c r="Z155" s="2378"/>
      <c r="AA155" s="348"/>
      <c r="AB155" s="348"/>
      <c r="AC155" s="348"/>
      <c r="AD155" s="348"/>
      <c r="AE155" s="349"/>
      <c r="AF155" s="349"/>
    </row>
    <row r="156" spans="2:32" ht="18" hidden="1" customHeight="1">
      <c r="B156" s="350" t="str">
        <f>".4"</f>
        <v>.4</v>
      </c>
      <c r="C156" s="351" t="s">
        <v>334</v>
      </c>
      <c r="D156" s="352"/>
      <c r="E156" s="436"/>
      <c r="F156" s="354"/>
      <c r="G156" s="353"/>
      <c r="H156" s="354"/>
      <c r="I156" s="353"/>
      <c r="J156" s="354"/>
      <c r="K156" s="353"/>
      <c r="L156" s="354"/>
      <c r="M156" s="349" t="str">
        <f t="shared" si="5"/>
        <v/>
      </c>
      <c r="N156" s="354"/>
      <c r="O156" s="355"/>
      <c r="Q156" s="356" t="str">
        <f t="shared" si="6"/>
        <v/>
      </c>
      <c r="R156" s="346" t="str">
        <f>IF(AND(E156="",G156=""),"",IF((E156+G156)&gt;Dictionary!$I$52,"Pass","Fail"))</f>
        <v/>
      </c>
      <c r="T156" s="349" t="str">
        <f>Scoring!U163</f>
        <v/>
      </c>
      <c r="V156" s="2376"/>
      <c r="W156" s="2377"/>
      <c r="X156" s="2377"/>
      <c r="Y156" s="2377"/>
      <c r="Z156" s="2378"/>
      <c r="AA156" s="348"/>
      <c r="AB156" s="348"/>
      <c r="AC156" s="348"/>
      <c r="AD156" s="348"/>
      <c r="AE156" s="349"/>
      <c r="AF156" s="349"/>
    </row>
    <row r="157" spans="2:32" ht="18" hidden="1" customHeight="1">
      <c r="B157" s="350" t="str">
        <f>".5"</f>
        <v>.5</v>
      </c>
      <c r="C157" s="351" t="s">
        <v>333</v>
      </c>
      <c r="D157" s="352"/>
      <c r="E157" s="436"/>
      <c r="F157" s="354"/>
      <c r="G157" s="353"/>
      <c r="H157" s="354"/>
      <c r="I157" s="353"/>
      <c r="J157" s="354"/>
      <c r="K157" s="353"/>
      <c r="L157" s="354"/>
      <c r="M157" s="349" t="str">
        <f t="shared" si="5"/>
        <v/>
      </c>
      <c r="N157" s="354"/>
      <c r="O157" s="355"/>
      <c r="Q157" s="356" t="str">
        <f t="shared" si="6"/>
        <v/>
      </c>
      <c r="R157" s="346" t="str">
        <f>IF(AND(E157="",G157=""),"",IF((E157+G157)&gt;Dictionary!$I$52,"Pass","Fail"))</f>
        <v/>
      </c>
      <c r="T157" s="349" t="str">
        <f>Scoring!U164</f>
        <v/>
      </c>
      <c r="V157" s="2376"/>
      <c r="W157" s="2377"/>
      <c r="X157" s="2377"/>
      <c r="Y157" s="2377"/>
      <c r="Z157" s="2378"/>
      <c r="AA157" s="348"/>
      <c r="AB157" s="348"/>
      <c r="AC157" s="348"/>
      <c r="AD157" s="348"/>
      <c r="AE157" s="349"/>
      <c r="AF157" s="349"/>
    </row>
    <row r="158" spans="2:32" ht="18" hidden="1" customHeight="1">
      <c r="B158" s="350" t="str">
        <f>".6"</f>
        <v>.6</v>
      </c>
      <c r="C158" s="351" t="s">
        <v>332</v>
      </c>
      <c r="D158" s="352"/>
      <c r="E158" s="436"/>
      <c r="F158" s="354"/>
      <c r="G158" s="353"/>
      <c r="H158" s="354"/>
      <c r="I158" s="353"/>
      <c r="J158" s="354"/>
      <c r="K158" s="353"/>
      <c r="L158" s="354"/>
      <c r="M158" s="349" t="str">
        <f t="shared" si="5"/>
        <v/>
      </c>
      <c r="N158" s="354"/>
      <c r="O158" s="355"/>
      <c r="Q158" s="356" t="str">
        <f t="shared" si="6"/>
        <v/>
      </c>
      <c r="R158" s="346" t="str">
        <f>IF(AND(E158="",G158=""),"",IF((E158+G158)&gt;Dictionary!$I$52,"Pass","Fail"))</f>
        <v/>
      </c>
      <c r="T158" s="349" t="str">
        <f>Scoring!U165</f>
        <v/>
      </c>
      <c r="V158" s="2376"/>
      <c r="W158" s="2377"/>
      <c r="X158" s="2377"/>
      <c r="Y158" s="2377"/>
      <c r="Z158" s="2378"/>
      <c r="AA158" s="348"/>
      <c r="AB158" s="348"/>
      <c r="AC158" s="348"/>
      <c r="AD158" s="348"/>
      <c r="AE158" s="349"/>
      <c r="AF158" s="349"/>
    </row>
    <row r="159" spans="2:32" ht="20" customHeight="1">
      <c r="B159" s="341" t="s">
        <v>331</v>
      </c>
      <c r="C159" s="342" t="str">
        <f>Dictionary!B1462</f>
        <v>Risiken und Chancen</v>
      </c>
      <c r="D159" s="343"/>
      <c r="E159" s="436"/>
      <c r="F159" s="315"/>
      <c r="G159" s="353"/>
      <c r="H159" s="360"/>
      <c r="I159" s="359"/>
      <c r="J159" s="360"/>
      <c r="K159" s="359"/>
      <c r="L159" s="315"/>
      <c r="M159" s="359"/>
      <c r="N159" s="360"/>
      <c r="O159" s="359"/>
      <c r="Q159" s="356"/>
      <c r="R159" s="346" t="str">
        <f>IF(AND(E159="",G159=""),"",IF((E159+G159)&gt;Dictionary!$I$52,"Pass","Fail"))</f>
        <v/>
      </c>
      <c r="T159" s="428">
        <f>COUNTIF(T160:T164,"&gt;3")/AE159</f>
        <v>0</v>
      </c>
      <c r="V159" s="2376"/>
      <c r="W159" s="2377"/>
      <c r="X159" s="2377"/>
      <c r="Y159" s="2377"/>
      <c r="Z159" s="2378"/>
      <c r="AA159" s="348"/>
      <c r="AB159" s="348"/>
      <c r="AC159" s="348"/>
      <c r="AD159" s="369"/>
      <c r="AE159" s="349">
        <v>5</v>
      </c>
      <c r="AF159" s="349">
        <f>ROUNDUP(AE159/2,0)</f>
        <v>3</v>
      </c>
    </row>
    <row r="160" spans="2:32" ht="18" hidden="1" customHeight="1">
      <c r="B160" s="350" t="str">
        <f>".1"</f>
        <v>.1</v>
      </c>
      <c r="C160" s="351" t="s">
        <v>330</v>
      </c>
      <c r="D160" s="352"/>
      <c r="E160" s="436"/>
      <c r="F160" s="354"/>
      <c r="G160" s="353"/>
      <c r="H160" s="354"/>
      <c r="I160" s="353"/>
      <c r="J160" s="354"/>
      <c r="K160" s="353"/>
      <c r="L160" s="354"/>
      <c r="M160" s="349" t="str">
        <f t="shared" si="5"/>
        <v/>
      </c>
      <c r="N160" s="354"/>
      <c r="O160" s="355"/>
      <c r="Q160" s="356" t="str">
        <f>IF(T160&gt;0,T160,"")</f>
        <v/>
      </c>
      <c r="R160" s="346" t="str">
        <f>IF(AND(E160="",G160=""),"",IF((E160+G160)&gt;Dictionary!$I$52,"Pass","Fail"))</f>
        <v/>
      </c>
      <c r="T160" s="349" t="str">
        <f>Scoring!U167</f>
        <v/>
      </c>
      <c r="V160" s="2376"/>
      <c r="W160" s="2377"/>
      <c r="X160" s="2377"/>
      <c r="Y160" s="2377"/>
      <c r="Z160" s="2378"/>
      <c r="AA160" s="348"/>
      <c r="AB160" s="348"/>
      <c r="AC160" s="348"/>
      <c r="AD160" s="348"/>
      <c r="AE160" s="349"/>
      <c r="AF160" s="349"/>
    </row>
    <row r="161" spans="2:32" ht="18" hidden="1" customHeight="1">
      <c r="B161" s="350" t="str">
        <f>".2"</f>
        <v>.2</v>
      </c>
      <c r="C161" s="351" t="s">
        <v>329</v>
      </c>
      <c r="D161" s="352"/>
      <c r="E161" s="436"/>
      <c r="F161" s="354"/>
      <c r="G161" s="353"/>
      <c r="H161" s="354"/>
      <c r="I161" s="353"/>
      <c r="J161" s="354"/>
      <c r="K161" s="353"/>
      <c r="L161" s="354"/>
      <c r="M161" s="349" t="str">
        <f t="shared" si="5"/>
        <v/>
      </c>
      <c r="N161" s="354"/>
      <c r="O161" s="355"/>
      <c r="Q161" s="356" t="str">
        <f>IF(T161&gt;0,T161,"")</f>
        <v/>
      </c>
      <c r="R161" s="346" t="str">
        <f>IF(AND(E161="",G161=""),"",IF((E161+G161)&gt;Dictionary!$I$52,"Pass","Fail"))</f>
        <v/>
      </c>
      <c r="T161" s="349" t="str">
        <f>Scoring!U168</f>
        <v/>
      </c>
      <c r="V161" s="2376"/>
      <c r="W161" s="2377"/>
      <c r="X161" s="2377"/>
      <c r="Y161" s="2377"/>
      <c r="Z161" s="2378"/>
      <c r="AA161" s="348"/>
      <c r="AB161" s="348"/>
      <c r="AC161" s="348"/>
      <c r="AD161" s="348"/>
      <c r="AE161" s="349"/>
      <c r="AF161" s="349"/>
    </row>
    <row r="162" spans="2:32" ht="24" hidden="1" customHeight="1">
      <c r="B162" s="350" t="str">
        <f>".3"</f>
        <v>.3</v>
      </c>
      <c r="C162" s="351" t="s">
        <v>328</v>
      </c>
      <c r="D162" s="352"/>
      <c r="E162" s="436"/>
      <c r="F162" s="354"/>
      <c r="G162" s="353"/>
      <c r="H162" s="354"/>
      <c r="I162" s="353"/>
      <c r="J162" s="354"/>
      <c r="K162" s="353"/>
      <c r="L162" s="354"/>
      <c r="M162" s="349" t="str">
        <f t="shared" si="5"/>
        <v/>
      </c>
      <c r="N162" s="354"/>
      <c r="O162" s="355"/>
      <c r="Q162" s="356" t="str">
        <f>IF(T162&gt;0,T162,"")</f>
        <v/>
      </c>
      <c r="R162" s="346" t="str">
        <f>IF(AND(E162="",G162=""),"",IF((E162+G162)&gt;Dictionary!$I$52,"Pass","Fail"))</f>
        <v/>
      </c>
      <c r="T162" s="349" t="str">
        <f>Scoring!U169</f>
        <v/>
      </c>
      <c r="V162" s="2376"/>
      <c r="W162" s="2377"/>
      <c r="X162" s="2377"/>
      <c r="Y162" s="2377"/>
      <c r="Z162" s="2378"/>
      <c r="AA162" s="348"/>
      <c r="AB162" s="348"/>
      <c r="AC162" s="348"/>
      <c r="AD162" s="348"/>
      <c r="AE162" s="349"/>
      <c r="AF162" s="349"/>
    </row>
    <row r="163" spans="2:32" ht="24" hidden="1" customHeight="1">
      <c r="B163" s="350" t="str">
        <f>".4"</f>
        <v>.4</v>
      </c>
      <c r="C163" s="351" t="s">
        <v>327</v>
      </c>
      <c r="D163" s="352"/>
      <c r="E163" s="436"/>
      <c r="F163" s="354"/>
      <c r="G163" s="353"/>
      <c r="H163" s="354"/>
      <c r="I163" s="353"/>
      <c r="J163" s="354"/>
      <c r="K163" s="353"/>
      <c r="L163" s="354"/>
      <c r="M163" s="349" t="str">
        <f t="shared" si="5"/>
        <v/>
      </c>
      <c r="N163" s="354"/>
      <c r="O163" s="355"/>
      <c r="Q163" s="356" t="str">
        <f>IF(T163&gt;0,T163,"")</f>
        <v/>
      </c>
      <c r="R163" s="346" t="str">
        <f>IF(AND(E163="",G163=""),"",IF((E163+G163)&gt;Dictionary!$I$52,"Pass","Fail"))</f>
        <v/>
      </c>
      <c r="T163" s="349" t="str">
        <f>Scoring!U170</f>
        <v/>
      </c>
      <c r="V163" s="2376"/>
      <c r="W163" s="2377"/>
      <c r="X163" s="2377"/>
      <c r="Y163" s="2377"/>
      <c r="Z163" s="2378"/>
      <c r="AA163" s="348"/>
      <c r="AB163" s="348"/>
      <c r="AC163" s="348"/>
      <c r="AD163" s="348"/>
      <c r="AE163" s="349"/>
      <c r="AF163" s="349"/>
    </row>
    <row r="164" spans="2:32" ht="24" hidden="1" customHeight="1">
      <c r="B164" s="350" t="str">
        <f>".5"</f>
        <v>.5</v>
      </c>
      <c r="C164" s="351" t="s">
        <v>326</v>
      </c>
      <c r="D164" s="352"/>
      <c r="E164" s="436"/>
      <c r="F164" s="354"/>
      <c r="G164" s="353"/>
      <c r="H164" s="354"/>
      <c r="I164" s="353"/>
      <c r="J164" s="354"/>
      <c r="K164" s="353"/>
      <c r="L164" s="354"/>
      <c r="M164" s="349" t="str">
        <f t="shared" si="5"/>
        <v/>
      </c>
      <c r="N164" s="354"/>
      <c r="O164" s="355"/>
      <c r="Q164" s="356" t="str">
        <f>IF(T164&gt;0,T164,"")</f>
        <v/>
      </c>
      <c r="R164" s="346" t="str">
        <f>IF(AND(E164="",G164=""),"",IF((E164+G164)&gt;Dictionary!$I$52,"Pass","Fail"))</f>
        <v/>
      </c>
      <c r="T164" s="349" t="str">
        <f>Scoring!U171</f>
        <v/>
      </c>
      <c r="V164" s="2376"/>
      <c r="W164" s="2377"/>
      <c r="X164" s="2377"/>
      <c r="Y164" s="2377"/>
      <c r="Z164" s="2378"/>
      <c r="AA164" s="348"/>
      <c r="AB164" s="348"/>
      <c r="AC164" s="348"/>
      <c r="AD164" s="348"/>
      <c r="AE164" s="349"/>
      <c r="AF164" s="349"/>
    </row>
    <row r="165" spans="2:32" ht="20" customHeight="1">
      <c r="B165" s="341" t="s">
        <v>325</v>
      </c>
      <c r="C165" s="342" t="str">
        <f>Dictionary!B1470</f>
        <v>Stakeholder</v>
      </c>
      <c r="D165" s="343"/>
      <c r="E165" s="436"/>
      <c r="F165" s="315"/>
      <c r="G165" s="353"/>
      <c r="H165" s="360"/>
      <c r="I165" s="359"/>
      <c r="J165" s="360"/>
      <c r="K165" s="359"/>
      <c r="L165" s="315"/>
      <c r="M165" s="359"/>
      <c r="N165" s="360"/>
      <c r="O165" s="359"/>
      <c r="Q165" s="356"/>
      <c r="R165" s="346" t="str">
        <f>IF(AND(E165="",G165=""),"",IF((E165+G165)&gt;Dictionary!$I$52,"Pass","Fail"))</f>
        <v/>
      </c>
      <c r="T165" s="428">
        <f>COUNTIF(T166:T170,"&gt;3")/AE165</f>
        <v>0</v>
      </c>
      <c r="V165" s="2376"/>
      <c r="W165" s="2377"/>
      <c r="X165" s="2377"/>
      <c r="Y165" s="2377"/>
      <c r="Z165" s="2378"/>
      <c r="AA165" s="348"/>
      <c r="AB165" s="348"/>
      <c r="AC165" s="348"/>
      <c r="AD165" s="369"/>
      <c r="AE165" s="349">
        <v>5</v>
      </c>
      <c r="AF165" s="349">
        <f>ROUNDUP(AE165/2,0)</f>
        <v>3</v>
      </c>
    </row>
    <row r="166" spans="2:32" ht="24" hidden="1" customHeight="1">
      <c r="B166" s="350" t="str">
        <f>".1"</f>
        <v>.1</v>
      </c>
      <c r="C166" s="351" t="s">
        <v>324</v>
      </c>
      <c r="D166" s="352"/>
      <c r="E166" s="353"/>
      <c r="F166" s="354"/>
      <c r="G166" s="353"/>
      <c r="H166" s="354"/>
      <c r="I166" s="353"/>
      <c r="J166" s="354"/>
      <c r="K166" s="353"/>
      <c r="L166" s="354"/>
      <c r="M166" s="349" t="str">
        <f t="shared" si="5"/>
        <v/>
      </c>
      <c r="N166" s="354"/>
      <c r="O166" s="355"/>
      <c r="Q166" s="356" t="str">
        <f>IF(T166&gt;0,T166,"")</f>
        <v/>
      </c>
      <c r="R166" s="346" t="str">
        <f>IF(AND(E166="",G166=""),"",IF((E166+G166)&gt;Dictionary!$I$52,"Pass","Fail"))</f>
        <v/>
      </c>
      <c r="T166" s="349" t="str">
        <f>Scoring!U173</f>
        <v/>
      </c>
      <c r="V166" s="2376"/>
      <c r="W166" s="2377"/>
      <c r="X166" s="2377"/>
      <c r="Y166" s="2377"/>
      <c r="Z166" s="2378"/>
      <c r="AA166" s="348"/>
      <c r="AB166" s="348"/>
      <c r="AC166" s="348"/>
      <c r="AD166" s="348"/>
      <c r="AE166" s="349"/>
      <c r="AF166" s="349"/>
    </row>
    <row r="167" spans="2:32" ht="24" hidden="1" customHeight="1">
      <c r="B167" s="350" t="str">
        <f>".2"</f>
        <v>.2</v>
      </c>
      <c r="C167" s="351" t="s">
        <v>323</v>
      </c>
      <c r="D167" s="352"/>
      <c r="E167" s="353"/>
      <c r="F167" s="354"/>
      <c r="G167" s="353"/>
      <c r="H167" s="354"/>
      <c r="I167" s="353"/>
      <c r="J167" s="354"/>
      <c r="K167" s="353"/>
      <c r="L167" s="354"/>
      <c r="M167" s="349" t="str">
        <f t="shared" si="5"/>
        <v/>
      </c>
      <c r="N167" s="354"/>
      <c r="O167" s="355"/>
      <c r="Q167" s="356" t="str">
        <f>IF(T167&gt;0,T167,"")</f>
        <v/>
      </c>
      <c r="R167" s="346" t="str">
        <f>IF(AND(E167="",G167=""),"",IF((E167+G167)&gt;Dictionary!$I$52,"Pass","Fail"))</f>
        <v/>
      </c>
      <c r="T167" s="349" t="str">
        <f>Scoring!U174</f>
        <v/>
      </c>
      <c r="V167" s="2376"/>
      <c r="W167" s="2377"/>
      <c r="X167" s="2377"/>
      <c r="Y167" s="2377"/>
      <c r="Z167" s="2378"/>
      <c r="AA167" s="348"/>
      <c r="AB167" s="348"/>
      <c r="AC167" s="348"/>
      <c r="AD167" s="348"/>
      <c r="AE167" s="349"/>
      <c r="AF167" s="349"/>
    </row>
    <row r="168" spans="2:32" ht="36" hidden="1" customHeight="1">
      <c r="B168" s="350" t="str">
        <f>".3"</f>
        <v>.3</v>
      </c>
      <c r="C168" s="351" t="s">
        <v>322</v>
      </c>
      <c r="D168" s="352"/>
      <c r="E168" s="353"/>
      <c r="F168" s="354"/>
      <c r="G168" s="353"/>
      <c r="H168" s="354"/>
      <c r="I168" s="353"/>
      <c r="J168" s="354"/>
      <c r="K168" s="353"/>
      <c r="L168" s="354"/>
      <c r="M168" s="349" t="str">
        <f>IF(MAX(E168,G168,I168,K168)=0,"",MAX(E168,G168,I168,K168))</f>
        <v/>
      </c>
      <c r="N168" s="354"/>
      <c r="O168" s="355"/>
      <c r="Q168" s="356" t="str">
        <f>IF(T168&gt;0,T168,"")</f>
        <v/>
      </c>
      <c r="R168" s="346" t="str">
        <f>IF(AND(E168="",G168=""),"",IF((E168+G168)&gt;Dictionary!$I$52,"Pass","Fail"))</f>
        <v/>
      </c>
      <c r="T168" s="349" t="str">
        <f>Scoring!U175</f>
        <v/>
      </c>
      <c r="V168" s="2376"/>
      <c r="W168" s="2377"/>
      <c r="X168" s="2377"/>
      <c r="Y168" s="2377"/>
      <c r="Z168" s="2378"/>
      <c r="AA168" s="348"/>
      <c r="AB168" s="348"/>
      <c r="AC168" s="348"/>
      <c r="AD168" s="348"/>
      <c r="AE168" s="349"/>
      <c r="AF168" s="349"/>
    </row>
    <row r="169" spans="2:32" ht="24" hidden="1" customHeight="1">
      <c r="B169" s="350" t="str">
        <f>".4"</f>
        <v>.4</v>
      </c>
      <c r="C169" s="351" t="s">
        <v>321</v>
      </c>
      <c r="D169" s="352"/>
      <c r="E169" s="353"/>
      <c r="F169" s="354"/>
      <c r="G169" s="353"/>
      <c r="H169" s="354"/>
      <c r="I169" s="353"/>
      <c r="J169" s="354"/>
      <c r="K169" s="353"/>
      <c r="L169" s="354"/>
      <c r="M169" s="349" t="str">
        <f>IF(MAX(E169,G169,I169,K169)=0,"",MAX(E169,G169,I169,K169))</f>
        <v/>
      </c>
      <c r="N169" s="354"/>
      <c r="O169" s="355"/>
      <c r="Q169" s="356" t="str">
        <f>IF(T169&gt;0,T169,"")</f>
        <v/>
      </c>
      <c r="R169" s="346" t="str">
        <f>IF(AND(E169="",G169=""),"",IF((E169+G169)&gt;Dictionary!$I$52,"Pass","Fail"))</f>
        <v/>
      </c>
      <c r="T169" s="349" t="str">
        <f>Scoring!U176</f>
        <v/>
      </c>
      <c r="V169" s="2376"/>
      <c r="W169" s="2377"/>
      <c r="X169" s="2377"/>
      <c r="Y169" s="2377"/>
      <c r="Z169" s="2378"/>
      <c r="AA169" s="348"/>
      <c r="AB169" s="348"/>
      <c r="AC169" s="348"/>
      <c r="AD169" s="348"/>
      <c r="AE169" s="349"/>
      <c r="AF169" s="349"/>
    </row>
    <row r="170" spans="2:32" ht="18" hidden="1" customHeight="1">
      <c r="B170" s="350" t="str">
        <f>".5"</f>
        <v>.5</v>
      </c>
      <c r="C170" s="351" t="s">
        <v>320</v>
      </c>
      <c r="D170" s="352"/>
      <c r="E170" s="353"/>
      <c r="F170" s="354"/>
      <c r="G170" s="353"/>
      <c r="H170" s="354"/>
      <c r="I170" s="353"/>
      <c r="J170" s="354"/>
      <c r="K170" s="353"/>
      <c r="L170" s="354"/>
      <c r="M170" s="349" t="str">
        <f>IF(MAX(E170,G170,I170,K170)=0,"",MAX(E170,G170,I170,K170))</f>
        <v/>
      </c>
      <c r="N170" s="354"/>
      <c r="O170" s="355"/>
      <c r="Q170" s="356" t="str">
        <f>IF(T170&gt;0,T170,"")</f>
        <v/>
      </c>
      <c r="R170" s="346" t="str">
        <f>IF(AND(E170="",G170=""),"",IF((E170+G170)&gt;Dictionary!$I$52,"Pass","Fail"))</f>
        <v/>
      </c>
      <c r="T170" s="349" t="str">
        <f>Scoring!U177</f>
        <v/>
      </c>
      <c r="V170" s="2376"/>
      <c r="W170" s="2377"/>
      <c r="X170" s="2377"/>
      <c r="Y170" s="2377"/>
      <c r="Z170" s="2378"/>
      <c r="AA170" s="348"/>
      <c r="AB170" s="348"/>
      <c r="AC170" s="348"/>
      <c r="AD170" s="348"/>
      <c r="AE170" s="349"/>
      <c r="AF170" s="349"/>
    </row>
    <row r="171" spans="2:32" ht="20" customHeight="1">
      <c r="B171" s="341" t="s">
        <v>319</v>
      </c>
      <c r="C171" s="342" t="str">
        <f>Dictionary!B1478</f>
        <v>Change und Transformation</v>
      </c>
      <c r="D171" s="343"/>
      <c r="E171" s="353"/>
      <c r="F171" s="315"/>
      <c r="G171" s="436"/>
      <c r="H171" s="360"/>
      <c r="I171" s="359"/>
      <c r="J171" s="360"/>
      <c r="K171" s="359"/>
      <c r="L171" s="315"/>
      <c r="M171" s="359"/>
      <c r="N171" s="360"/>
      <c r="O171" s="359"/>
      <c r="Q171" s="356"/>
      <c r="R171" s="346" t="str">
        <f>IF(AND(E171="",G171=""),"",IF((E171+G171)&gt;Dictionary!$I$52,"Pass","Fail"))</f>
        <v/>
      </c>
      <c r="T171" s="428">
        <f>COUNTIF(T172:T175,"&gt;3")/AE171</f>
        <v>0</v>
      </c>
      <c r="V171" s="2376"/>
      <c r="W171" s="2377"/>
      <c r="X171" s="2377"/>
      <c r="Y171" s="2377"/>
      <c r="Z171" s="2378"/>
      <c r="AA171" s="348"/>
      <c r="AB171" s="348"/>
      <c r="AC171" s="348"/>
      <c r="AD171" s="369"/>
      <c r="AE171" s="349">
        <v>4</v>
      </c>
      <c r="AF171" s="349">
        <f>ROUNDUP(AE171/2,0)</f>
        <v>2</v>
      </c>
    </row>
    <row r="172" spans="2:32" ht="18" hidden="1" customHeight="1">
      <c r="B172" s="350" t="str">
        <f>".1"</f>
        <v>.1</v>
      </c>
      <c r="C172" s="351" t="s">
        <v>318</v>
      </c>
      <c r="D172" s="352"/>
      <c r="E172" s="404" t="str">
        <f>IF('(8) Exam Evaluation'!Y179="","",'(8) Exam Evaluation'!Y179)</f>
        <v/>
      </c>
      <c r="F172" s="354"/>
      <c r="G172" s="353"/>
      <c r="H172" s="354"/>
      <c r="I172" s="353"/>
      <c r="J172" s="354"/>
      <c r="K172" s="353"/>
      <c r="L172" s="354"/>
      <c r="M172" s="349" t="str">
        <f>IF(MAX(E172,G172,I172,K172)=0,"",MAX(E172,G172,I172,K172))</f>
        <v/>
      </c>
      <c r="N172" s="354"/>
      <c r="O172" s="355"/>
      <c r="Q172" s="356" t="str">
        <f>IF(T172&gt;0,T172,"")</f>
        <v/>
      </c>
      <c r="T172" s="349" t="str">
        <f>Scoring!U179</f>
        <v/>
      </c>
      <c r="V172" s="2376"/>
      <c r="W172" s="2377"/>
      <c r="X172" s="2377"/>
      <c r="Y172" s="2377"/>
      <c r="Z172" s="2378"/>
      <c r="AA172" s="348"/>
      <c r="AB172" s="348"/>
      <c r="AC172" s="348"/>
      <c r="AD172" s="348"/>
      <c r="AE172" s="349"/>
      <c r="AF172" s="349"/>
    </row>
    <row r="173" spans="2:32" ht="24" hidden="1" customHeight="1">
      <c r="B173" s="350" t="str">
        <f>".2"</f>
        <v>.2</v>
      </c>
      <c r="C173" s="351" t="s">
        <v>317</v>
      </c>
      <c r="D173" s="352"/>
      <c r="E173" s="404" t="str">
        <f>IF('(8) Exam Evaluation'!Y180="","",'(8) Exam Evaluation'!Y180)</f>
        <v/>
      </c>
      <c r="F173" s="354"/>
      <c r="G173" s="353"/>
      <c r="H173" s="354"/>
      <c r="I173" s="353"/>
      <c r="J173" s="354"/>
      <c r="K173" s="353"/>
      <c r="L173" s="354"/>
      <c r="M173" s="349" t="str">
        <f>IF(MAX(E173,G173,I173,K173)=0,"",MAX(E173,G173,I173,K173))</f>
        <v/>
      </c>
      <c r="N173" s="354"/>
      <c r="O173" s="355"/>
      <c r="Q173" s="356" t="str">
        <f>IF(T173&gt;0,T173,"")</f>
        <v/>
      </c>
      <c r="T173" s="349" t="str">
        <f>Scoring!U180</f>
        <v/>
      </c>
      <c r="V173" s="2376"/>
      <c r="W173" s="2377"/>
      <c r="X173" s="2377"/>
      <c r="Y173" s="2377"/>
      <c r="Z173" s="2378"/>
      <c r="AA173" s="348"/>
      <c r="AB173" s="348"/>
      <c r="AC173" s="348"/>
      <c r="AD173" s="348"/>
      <c r="AE173" s="349"/>
      <c r="AF173" s="349"/>
    </row>
    <row r="174" spans="2:32" ht="18" hidden="1" customHeight="1">
      <c r="B174" s="350" t="str">
        <f>".3"</f>
        <v>.3</v>
      </c>
      <c r="C174" s="351" t="s">
        <v>316</v>
      </c>
      <c r="D174" s="352"/>
      <c r="E174" s="404" t="str">
        <f>IF('(8) Exam Evaluation'!Y181="","",'(8) Exam Evaluation'!Y181)</f>
        <v/>
      </c>
      <c r="F174" s="354"/>
      <c r="G174" s="353"/>
      <c r="H174" s="354"/>
      <c r="I174" s="353"/>
      <c r="J174" s="354"/>
      <c r="K174" s="353"/>
      <c r="L174" s="354"/>
      <c r="M174" s="349" t="str">
        <f>IF(MAX(E174,G174,I174,K174)=0,"",MAX(E174,G174,I174,K174))</f>
        <v/>
      </c>
      <c r="N174" s="354"/>
      <c r="O174" s="355"/>
      <c r="Q174" s="356" t="str">
        <f>IF(T174&gt;0,T174,"")</f>
        <v/>
      </c>
      <c r="T174" s="349" t="str">
        <f>Scoring!U181</f>
        <v/>
      </c>
      <c r="V174" s="2376"/>
      <c r="W174" s="2377"/>
      <c r="X174" s="2377"/>
      <c r="Y174" s="2377"/>
      <c r="Z174" s="2378"/>
      <c r="AA174" s="348"/>
      <c r="AB174" s="348"/>
      <c r="AC174" s="348"/>
      <c r="AD174" s="348"/>
      <c r="AE174" s="349"/>
      <c r="AF174" s="349"/>
    </row>
    <row r="175" spans="2:32" ht="18" hidden="1" customHeight="1">
      <c r="B175" s="350" t="str">
        <f>".4"</f>
        <v>.4</v>
      </c>
      <c r="C175" s="351" t="s">
        <v>315</v>
      </c>
      <c r="D175" s="352"/>
      <c r="E175" s="404" t="str">
        <f>IF('(8) Exam Evaluation'!Y182="","",'(8) Exam Evaluation'!Y182)</f>
        <v/>
      </c>
      <c r="F175" s="354"/>
      <c r="G175" s="353"/>
      <c r="H175" s="354"/>
      <c r="I175" s="353"/>
      <c r="J175" s="354"/>
      <c r="K175" s="353"/>
      <c r="L175" s="354"/>
      <c r="M175" s="349" t="str">
        <f>IF(MAX(E175,G175,I175,K175)=0,"",MAX(E175,G175,I175,K175))</f>
        <v/>
      </c>
      <c r="N175" s="354"/>
      <c r="O175" s="355"/>
      <c r="Q175" s="356" t="str">
        <f>IF(T175&gt;0,T175,"")</f>
        <v/>
      </c>
      <c r="T175" s="349" t="str">
        <f>Scoring!U182</f>
        <v/>
      </c>
      <c r="V175" s="2376"/>
      <c r="W175" s="2377"/>
      <c r="X175" s="2377"/>
      <c r="Y175" s="2377"/>
      <c r="Z175" s="2378"/>
      <c r="AA175" s="348"/>
      <c r="AB175" s="348"/>
      <c r="AC175" s="348"/>
      <c r="AD175" s="348"/>
      <c r="AE175" s="349"/>
      <c r="AF175" s="349"/>
    </row>
    <row r="176" spans="2:32" s="321" customFormat="1" ht="16.25" customHeight="1">
      <c r="Q176" s="371"/>
      <c r="AE176" s="371"/>
      <c r="AF176" s="371"/>
    </row>
    <row r="177" spans="3:32" s="321" customFormat="1" ht="16.25" customHeight="1">
      <c r="C177" s="372" t="str">
        <f>Dictionary!B945</f>
        <v>Zusammenfassung</v>
      </c>
      <c r="Q177" s="371"/>
      <c r="AD177" s="321" t="s">
        <v>303</v>
      </c>
      <c r="AE177" s="373">
        <f>SUM(AE11:AE175)</f>
        <v>133</v>
      </c>
      <c r="AF177" s="373">
        <f>SUM(AF11:AF175)</f>
        <v>77</v>
      </c>
    </row>
    <row r="178" spans="3:32" s="321" customFormat="1" ht="9" customHeight="1">
      <c r="C178" s="372"/>
      <c r="Q178" s="371"/>
      <c r="AE178" s="374"/>
      <c r="AF178" s="374"/>
    </row>
    <row r="179" spans="3:32" s="321" customFormat="1" ht="18" customHeight="1">
      <c r="C179" s="375" t="str">
        <f>Dictionary!B923</f>
        <v>Perspective Kompetenz Elemente erfüllt</v>
      </c>
      <c r="E179" s="432">
        <f>(E11&gt;Dictionary!$I$52)+(E17&gt;Dictionary!$I$52)+(E32&gt;Dictionary!$I$52)+(E25&gt;Dictionary!$I$52)+(E36&gt;Dictionary!$I$52)</f>
        <v>0</v>
      </c>
      <c r="F179" s="376"/>
      <c r="G179" s="432">
        <f>(G11&gt;Dictionary!$I$52)+(G17&gt;Dictionary!$I$52)+(G32&gt;Dictionary!$I$52)+(G25&gt;Dictionary!$I$52)+(G36&gt;Dictionary!$I$52)</f>
        <v>0</v>
      </c>
      <c r="H179" s="377"/>
      <c r="I179" s="377"/>
      <c r="J179" s="376"/>
      <c r="K179" s="377"/>
      <c r="L179" s="376"/>
      <c r="M179" s="377"/>
      <c r="N179" s="376"/>
      <c r="O179" s="377"/>
      <c r="Q179" s="371"/>
      <c r="R179" s="432">
        <f>E179+G179</f>
        <v>0</v>
      </c>
      <c r="V179" s="2376"/>
      <c r="W179" s="2377"/>
      <c r="X179" s="2377"/>
      <c r="Y179" s="2377"/>
      <c r="Z179" s="2378"/>
      <c r="AE179" s="371"/>
      <c r="AF179" s="371"/>
    </row>
    <row r="180" spans="3:32" s="321" customFormat="1" ht="18" customHeight="1">
      <c r="C180" s="375" t="str">
        <f>Dictionary!B924</f>
        <v>People Kompetenz Elemente erfüllt</v>
      </c>
      <c r="E180" s="432">
        <f>(E42&gt;Dictionary!$I$52)+(E48&gt;Dictionary!$I$52)+(E54&gt;Dictionary!$I$52)+(E60&gt;Dictionary!$I$52)+(E66&gt;Dictionary!$I$52)+(E72&gt;Dictionary!$I$52)+(E78&gt;Dictionary!$I$52)+(E83&gt;Dictionary!$I$52)+(E89&gt;Dictionary!$I$52)+(E95&gt;Dictionary!$I$52)</f>
        <v>0</v>
      </c>
      <c r="F180" s="376"/>
      <c r="G180" s="432">
        <f>(G42&gt;Dictionary!$I$52)+(G48&gt;Dictionary!$I$52)+(G54&gt;Dictionary!$I$52)+(G60&gt;Dictionary!$I$52)+(G66&gt;Dictionary!$I$52)+(G72&gt;Dictionary!$I$52)+(G78&gt;Dictionary!$I$52)+(G83&gt;Dictionary!$I$52)+(G89&gt;Dictionary!$I$52)+(G95&gt;Dictionary!$I$52)</f>
        <v>0</v>
      </c>
      <c r="H180" s="377"/>
      <c r="I180" s="377"/>
      <c r="J180" s="376"/>
      <c r="K180" s="377"/>
      <c r="L180" s="376"/>
      <c r="M180" s="377"/>
      <c r="N180" s="376"/>
      <c r="O180" s="377"/>
      <c r="Q180" s="371"/>
      <c r="R180" s="432">
        <f t="shared" ref="R180:R181" si="7">E180+G180</f>
        <v>0</v>
      </c>
      <c r="V180" s="2376"/>
      <c r="W180" s="2377"/>
      <c r="X180" s="2377"/>
      <c r="Y180" s="2377"/>
      <c r="Z180" s="2378"/>
      <c r="AE180" s="371"/>
      <c r="AF180" s="371"/>
    </row>
    <row r="181" spans="3:32" s="321" customFormat="1" ht="18" customHeight="1">
      <c r="C181" s="375" t="str">
        <f>Dictionary!B925</f>
        <v>Practice Kompetenz Elemente erfüllt</v>
      </c>
      <c r="E181" s="432">
        <f>(E103&gt;Dictionary!$I$52)+(E109&gt;Dictionary!$I$52)+(E113&gt;Dictionary!$I$52)+(E118&gt;Dictionary!$I$52)+(E124&gt;Dictionary!$I$52)+(E129&gt;Dictionary!$I$52)+(E135&gt;Dictionary!$I$52)+(E141&gt;Dictionary!$I$52)+(E147&gt;Dictionary!$I$52)+(E152&gt;Dictionary!$I$52)+(E159&gt;Dictionary!$I$52)+(E165&gt;Dictionary!$I$52)+(E171&gt;Dictionary!$I$52)</f>
        <v>0</v>
      </c>
      <c r="F181" s="376"/>
      <c r="G181" s="432">
        <f>(G103&gt;Dictionary!$I$52)+(G109&gt;Dictionary!$I$52)+(G113&gt;Dictionary!$I$52)+(G118&gt;Dictionary!$I$52)+(G124&gt;Dictionary!$I$52)+(G129&gt;Dictionary!$I$52)+(G135&gt;Dictionary!$I$52)+(G141&gt;Dictionary!$I$52)+(G147&gt;Dictionary!$I$52)+(G152&gt;Dictionary!$I$52)+(G159&gt;Dictionary!$I$52)+(G165&gt;Dictionary!$I$52)+(G171&gt;Dictionary!$I$52)</f>
        <v>0</v>
      </c>
      <c r="H181" s="377"/>
      <c r="I181" s="377"/>
      <c r="J181" s="376"/>
      <c r="K181" s="377"/>
      <c r="L181" s="376"/>
      <c r="M181" s="377"/>
      <c r="N181" s="376"/>
      <c r="O181" s="377"/>
      <c r="Q181" s="371"/>
      <c r="R181" s="432">
        <f t="shared" si="7"/>
        <v>0</v>
      </c>
      <c r="V181" s="2376"/>
      <c r="W181" s="2377"/>
      <c r="X181" s="2377"/>
      <c r="Y181" s="2377"/>
      <c r="Z181" s="2378"/>
      <c r="AA181" s="378"/>
      <c r="AB181" s="378"/>
      <c r="AC181" s="378"/>
      <c r="AD181" s="378"/>
      <c r="AE181" s="371"/>
      <c r="AF181" s="371"/>
    </row>
    <row r="182" spans="3:32" s="321" customFormat="1" ht="18" customHeight="1">
      <c r="C182" s="379" t="str">
        <f>Dictionary!B946</f>
        <v>Gesamtergebnis</v>
      </c>
      <c r="E182" s="664" t="str">
        <f>IF(SUM(E179:E181)=0,"",IF(SUM(E179:E181)&gt;=E184,Dictionary!B9,Dictionary!B10))</f>
        <v/>
      </c>
      <c r="F182" s="376"/>
      <c r="G182" s="664" t="str">
        <f>IF(SUM(G179:G181)=0,"",IF(SUM(G179:G181)&gt;=G184,Dictionary!B9,Dictionary!B10))</f>
        <v/>
      </c>
      <c r="H182" s="665"/>
      <c r="I182" s="380"/>
      <c r="J182" s="376"/>
      <c r="K182" s="380"/>
      <c r="L182" s="376"/>
      <c r="M182" s="380"/>
      <c r="N182" s="376"/>
      <c r="O182" s="380"/>
      <c r="Q182" s="371"/>
      <c r="R182" s="664" t="str">
        <f>IF(GC_Flag="",IF(SUM(R179:R181)=0,"",IF(SUM(R179:R181)&gt;=R184,Dictionary!B9,Dictionary!B10)),'D+ INT'!R182)</f>
        <v/>
      </c>
      <c r="V182" s="2376"/>
      <c r="W182" s="2377"/>
      <c r="X182" s="2377"/>
      <c r="Y182" s="2377"/>
      <c r="Z182" s="2378"/>
      <c r="AA182" s="378"/>
      <c r="AB182" s="378"/>
      <c r="AC182" s="378"/>
      <c r="AD182" s="378"/>
      <c r="AE182" s="371"/>
      <c r="AF182" s="371"/>
    </row>
    <row r="183" spans="3:32" s="321" customFormat="1" ht="11" customHeight="1">
      <c r="C183" s="371"/>
      <c r="F183" s="376"/>
      <c r="H183" s="371"/>
      <c r="I183" s="371"/>
      <c r="K183" s="371"/>
      <c r="M183" s="371"/>
      <c r="Q183" s="371"/>
    </row>
    <row r="184" spans="3:32" ht="18" customHeight="1">
      <c r="C184" s="375" t="str">
        <f>Dictionary!B947</f>
        <v>Individuelle Bestehensgrenze</v>
      </c>
      <c r="E184" s="381">
        <v>9</v>
      </c>
      <c r="G184" s="381">
        <v>9</v>
      </c>
      <c r="R184" s="381">
        <f>ROUNDUP(28*0.8,0)</f>
        <v>23</v>
      </c>
      <c r="S184" s="321"/>
    </row>
    <row r="185" spans="3:32" s="321" customFormat="1" ht="20" customHeight="1">
      <c r="Q185" s="371"/>
    </row>
    <row r="186" spans="3:32" s="321" customFormat="1" ht="14.5" customHeight="1">
      <c r="C186" s="312" t="s">
        <v>105</v>
      </c>
      <c r="Q186" s="371"/>
    </row>
    <row r="187" spans="3:32" s="321" customFormat="1" ht="14.5" customHeight="1">
      <c r="C187" s="382"/>
      <c r="Q187" s="371"/>
    </row>
    <row r="188" spans="3:32" s="321" customFormat="1" ht="14.5" customHeight="1">
      <c r="Q188" s="371"/>
    </row>
    <row r="189" spans="3:32" s="321" customFormat="1" ht="14.5" customHeight="1">
      <c r="Q189" s="371"/>
    </row>
    <row r="190" spans="3:32" s="321" customFormat="1" ht="14.5" customHeight="1">
      <c r="Q190" s="371"/>
    </row>
    <row r="191" spans="3:32" s="321" customFormat="1" ht="14.5" customHeight="1">
      <c r="Q191" s="371"/>
    </row>
    <row r="192" spans="3:32" s="321" customFormat="1" ht="14.5" customHeight="1">
      <c r="Q192" s="371"/>
      <c r="AB192" s="433"/>
      <c r="AC192" s="433"/>
    </row>
    <row r="193" spans="3:24" s="321" customFormat="1" ht="14.5" customHeight="1">
      <c r="Q193" s="371"/>
    </row>
    <row r="194" spans="3:24" s="321" customFormat="1" ht="14.5" customHeight="1">
      <c r="Q194" s="371"/>
    </row>
    <row r="195" spans="3:24" s="321" customFormat="1" ht="14.5" customHeight="1">
      <c r="Q195" s="371"/>
    </row>
    <row r="196" spans="3:24" s="321" customFormat="1" ht="14.5" customHeight="1">
      <c r="Q196" s="371"/>
    </row>
    <row r="197" spans="3:24" s="321" customFormat="1" ht="14.5" customHeight="1">
      <c r="Q197" s="371"/>
    </row>
    <row r="198" spans="3:24" s="321" customFormat="1" ht="14.5" customHeight="1">
      <c r="Q198" s="371"/>
    </row>
    <row r="199" spans="3:24" s="321" customFormat="1" ht="14.5" customHeight="1">
      <c r="C199" s="314"/>
      <c r="O199" s="314"/>
      <c r="Q199" s="315"/>
      <c r="R199" s="314"/>
      <c r="V199" s="313"/>
      <c r="W199" s="314"/>
      <c r="X199" s="314"/>
    </row>
  </sheetData>
  <sheetProtection algorithmName="SHA-512" hashValue="NReRxfK4jM4JR6j2HiwJtGBVg2C3MWFjjYRLCEaaBq5taWT4ctwqOcqSUGDRTB7mCOatlqCisqwfiDmqXK1ilw==" saltValue="8wL+2aghBB6wE/d72goNnA==" spinCount="100000" sheet="1" objects="1" scenarios="1" formatColumns="0" selectLockedCells="1"/>
  <mergeCells count="167">
    <mergeCell ref="E4:R7"/>
    <mergeCell ref="V14:Z14"/>
    <mergeCell ref="V15:Z15"/>
    <mergeCell ref="V16:Z16"/>
    <mergeCell ref="V17:Z17"/>
    <mergeCell ref="V18:Z18"/>
    <mergeCell ref="V21:Z21"/>
    <mergeCell ref="Y5:Z5"/>
    <mergeCell ref="Y6:Z6"/>
    <mergeCell ref="V9:Z9"/>
    <mergeCell ref="V11:Z11"/>
    <mergeCell ref="V12:Z12"/>
    <mergeCell ref="V13:Z13"/>
    <mergeCell ref="V28:Z28"/>
    <mergeCell ref="V29:Z29"/>
    <mergeCell ref="V30:Z30"/>
    <mergeCell ref="V31:Z31"/>
    <mergeCell ref="V32:Z32"/>
    <mergeCell ref="V33:Z33"/>
    <mergeCell ref="V22:Z22"/>
    <mergeCell ref="V23:Z23"/>
    <mergeCell ref="V24:Z24"/>
    <mergeCell ref="V25:Z25"/>
    <mergeCell ref="V26:Z26"/>
    <mergeCell ref="V27:Z27"/>
    <mergeCell ref="V42:Z42"/>
    <mergeCell ref="V43:Z43"/>
    <mergeCell ref="V44:Z44"/>
    <mergeCell ref="V45:Z45"/>
    <mergeCell ref="V46:Z46"/>
    <mergeCell ref="V47:Z47"/>
    <mergeCell ref="V34:Z34"/>
    <mergeCell ref="V35:Z35"/>
    <mergeCell ref="V36:Z36"/>
    <mergeCell ref="V37:Z37"/>
    <mergeCell ref="V38:Z38"/>
    <mergeCell ref="V39:Z39"/>
    <mergeCell ref="V54:Z54"/>
    <mergeCell ref="V55:Z55"/>
    <mergeCell ref="V56:Z56"/>
    <mergeCell ref="V57:Z57"/>
    <mergeCell ref="V58:Z58"/>
    <mergeCell ref="V59:Z59"/>
    <mergeCell ref="V48:Z48"/>
    <mergeCell ref="V49:Z49"/>
    <mergeCell ref="V50:Z50"/>
    <mergeCell ref="V51:Z51"/>
    <mergeCell ref="V52:Z52"/>
    <mergeCell ref="V53:Z53"/>
    <mergeCell ref="V66:Z66"/>
    <mergeCell ref="V67:Z67"/>
    <mergeCell ref="V68:Z68"/>
    <mergeCell ref="V69:Z69"/>
    <mergeCell ref="V70:Z70"/>
    <mergeCell ref="V71:Z71"/>
    <mergeCell ref="V60:Z60"/>
    <mergeCell ref="V61:Z61"/>
    <mergeCell ref="V62:Z62"/>
    <mergeCell ref="V63:Z63"/>
    <mergeCell ref="V64:Z64"/>
    <mergeCell ref="V65:Z65"/>
    <mergeCell ref="V78:Z78"/>
    <mergeCell ref="V79:Z79"/>
    <mergeCell ref="V80:Z80"/>
    <mergeCell ref="V81:Z81"/>
    <mergeCell ref="V82:Z82"/>
    <mergeCell ref="V83:Z83"/>
    <mergeCell ref="V72:Z72"/>
    <mergeCell ref="V73:Z73"/>
    <mergeCell ref="V74:Z74"/>
    <mergeCell ref="V75:Z75"/>
    <mergeCell ref="V76:Z76"/>
    <mergeCell ref="V77:Z77"/>
    <mergeCell ref="V90:Z90"/>
    <mergeCell ref="V91:Z91"/>
    <mergeCell ref="V92:Z92"/>
    <mergeCell ref="V93:Z93"/>
    <mergeCell ref="V94:Z94"/>
    <mergeCell ref="V95:Z95"/>
    <mergeCell ref="V84:Z84"/>
    <mergeCell ref="V85:Z85"/>
    <mergeCell ref="V86:Z86"/>
    <mergeCell ref="V87:Z87"/>
    <mergeCell ref="V88:Z88"/>
    <mergeCell ref="V89:Z89"/>
    <mergeCell ref="V104:Z104"/>
    <mergeCell ref="V105:Z105"/>
    <mergeCell ref="V106:Z106"/>
    <mergeCell ref="V107:Z107"/>
    <mergeCell ref="V108:Z108"/>
    <mergeCell ref="V109:Z109"/>
    <mergeCell ref="V96:Z96"/>
    <mergeCell ref="V97:Z97"/>
    <mergeCell ref="V98:Z98"/>
    <mergeCell ref="V99:Z99"/>
    <mergeCell ref="V100:Z100"/>
    <mergeCell ref="V103:Z103"/>
    <mergeCell ref="V116:Z116"/>
    <mergeCell ref="V117:Z117"/>
    <mergeCell ref="V118:Z118"/>
    <mergeCell ref="V119:Z119"/>
    <mergeCell ref="V120:Z120"/>
    <mergeCell ref="V121:Z121"/>
    <mergeCell ref="V110:Z110"/>
    <mergeCell ref="V111:Z111"/>
    <mergeCell ref="V112:Z112"/>
    <mergeCell ref="V113:Z113"/>
    <mergeCell ref="V114:Z114"/>
    <mergeCell ref="V115:Z115"/>
    <mergeCell ref="V128:Z128"/>
    <mergeCell ref="V129:Z129"/>
    <mergeCell ref="V130:Z130"/>
    <mergeCell ref="V131:Z131"/>
    <mergeCell ref="V132:Z132"/>
    <mergeCell ref="V133:Z133"/>
    <mergeCell ref="V122:Z122"/>
    <mergeCell ref="V123:Z123"/>
    <mergeCell ref="V124:Z124"/>
    <mergeCell ref="V125:Z125"/>
    <mergeCell ref="V126:Z126"/>
    <mergeCell ref="V127:Z127"/>
    <mergeCell ref="V140:Z140"/>
    <mergeCell ref="V141:Z141"/>
    <mergeCell ref="V142:Z142"/>
    <mergeCell ref="V143:Z143"/>
    <mergeCell ref="V144:Z144"/>
    <mergeCell ref="V145:Z145"/>
    <mergeCell ref="V134:Z134"/>
    <mergeCell ref="V135:Z135"/>
    <mergeCell ref="V136:Z136"/>
    <mergeCell ref="V137:Z137"/>
    <mergeCell ref="V138:Z138"/>
    <mergeCell ref="V139:Z139"/>
    <mergeCell ref="V152:Z152"/>
    <mergeCell ref="V153:Z153"/>
    <mergeCell ref="V154:Z154"/>
    <mergeCell ref="V155:Z155"/>
    <mergeCell ref="V156:Z156"/>
    <mergeCell ref="V157:Z157"/>
    <mergeCell ref="V146:Z146"/>
    <mergeCell ref="V147:Z147"/>
    <mergeCell ref="V148:Z148"/>
    <mergeCell ref="V149:Z149"/>
    <mergeCell ref="V150:Z150"/>
    <mergeCell ref="V151:Z151"/>
    <mergeCell ref="V164:Z164"/>
    <mergeCell ref="V165:Z165"/>
    <mergeCell ref="V166:Z166"/>
    <mergeCell ref="V167:Z167"/>
    <mergeCell ref="V168:Z168"/>
    <mergeCell ref="V169:Z169"/>
    <mergeCell ref="V158:Z158"/>
    <mergeCell ref="V159:Z159"/>
    <mergeCell ref="V160:Z160"/>
    <mergeCell ref="V161:Z161"/>
    <mergeCell ref="V162:Z162"/>
    <mergeCell ref="V163:Z163"/>
    <mergeCell ref="V179:Z179"/>
    <mergeCell ref="V180:Z180"/>
    <mergeCell ref="V181:Z181"/>
    <mergeCell ref="V182:Z182"/>
    <mergeCell ref="V170:Z170"/>
    <mergeCell ref="V171:Z171"/>
    <mergeCell ref="V172:Z172"/>
    <mergeCell ref="V173:Z173"/>
    <mergeCell ref="V174:Z174"/>
    <mergeCell ref="V175:Z175"/>
  </mergeCells>
  <conditionalFormatting sqref="B7">
    <cfRule type="cellIs" dxfId="176" priority="108" operator="lessThan">
      <formula>$R$184</formula>
    </cfRule>
    <cfRule type="cellIs" dxfId="175" priority="107" operator="greaterThanOrEqual">
      <formula>$R$184</formula>
    </cfRule>
  </conditionalFormatting>
  <conditionalFormatting sqref="C11 C17 C32 C36 C89 C109 C147 C171">
    <cfRule type="expression" dxfId="172" priority="2">
      <formula>SEGPMC_Flag&lt;&gt;""</formula>
    </cfRule>
  </conditionalFormatting>
  <conditionalFormatting sqref="E182">
    <cfRule type="containsText" dxfId="171" priority="16" operator="containsText" text="not yet">
      <formula>NOT(ISERROR(SEARCH("not yet",E182)))</formula>
    </cfRule>
    <cfRule type="containsText" dxfId="170" priority="18" operator="containsText" text="Pass">
      <formula>NOT(ISERROR(SEARCH("Pass",E182)))</formula>
    </cfRule>
    <cfRule type="containsText" dxfId="169" priority="17" operator="containsText" text="bestanden">
      <formula>NOT(ISERROR(SEARCH("bestanden",E182)))</formula>
    </cfRule>
    <cfRule type="containsText" dxfId="168" priority="15" operator="containsText" text="noch nicht">
      <formula>NOT(ISERROR(SEARCH("noch nicht",E182)))</formula>
    </cfRule>
  </conditionalFormatting>
  <conditionalFormatting sqref="G182:H182">
    <cfRule type="containsText" dxfId="166" priority="11" operator="containsText" text="noch nicht">
      <formula>NOT(ISERROR(SEARCH("noch nicht",G182)))</formula>
    </cfRule>
    <cfRule type="containsText" dxfId="165" priority="12" operator="containsText" text="not yet">
      <formula>NOT(ISERROR(SEARCH("not yet",G182)))</formula>
    </cfRule>
    <cfRule type="containsText" dxfId="164" priority="13" operator="containsText" text="bestanden">
      <formula>NOT(ISERROR(SEARCH("bestanden",G182)))</formula>
    </cfRule>
    <cfRule type="containsText" dxfId="163" priority="14" operator="containsText" text="Pass">
      <formula>NOT(ISERROR(SEARCH("Pass",G182)))</formula>
    </cfRule>
  </conditionalFormatting>
  <conditionalFormatting sqref="R11:R36">
    <cfRule type="cellIs" dxfId="162" priority="115" operator="equal">
      <formula>"Fail"</formula>
    </cfRule>
    <cfRule type="cellIs" dxfId="161" priority="114" operator="equal">
      <formula>"Pass"</formula>
    </cfRule>
  </conditionalFormatting>
  <conditionalFormatting sqref="R42:R95">
    <cfRule type="cellIs" dxfId="160" priority="5" operator="equal">
      <formula>"Pass"</formula>
    </cfRule>
    <cfRule type="cellIs" dxfId="159" priority="6" operator="equal">
      <formula>"Fail"</formula>
    </cfRule>
  </conditionalFormatting>
  <conditionalFormatting sqref="R103:R171">
    <cfRule type="cellIs" dxfId="158" priority="3" operator="equal">
      <formula>"Pass"</formula>
    </cfRule>
    <cfRule type="cellIs" dxfId="157" priority="4" operator="equal">
      <formula>"Fail"</formula>
    </cfRule>
  </conditionalFormatting>
  <conditionalFormatting sqref="R182">
    <cfRule type="containsText" dxfId="156" priority="9" operator="containsText" text="bestanden">
      <formula>NOT(ISERROR(SEARCH("bestanden",R182)))</formula>
    </cfRule>
    <cfRule type="containsText" dxfId="155" priority="7" operator="containsText" text="noch nicht">
      <formula>NOT(ISERROR(SEARCH("noch nicht",R182)))</formula>
    </cfRule>
    <cfRule type="containsText" dxfId="154" priority="8" operator="containsText" text="not yet">
      <formula>NOT(ISERROR(SEARCH("not yet",R182)))</formula>
    </cfRule>
    <cfRule type="containsText" dxfId="153" priority="10" operator="containsText" text="Pass">
      <formula>NOT(ISERROR(SEARCH("Pass",R182)))</formula>
    </cfRule>
  </conditionalFormatting>
  <conditionalFormatting sqref="T11">
    <cfRule type="dataBar" priority="52">
      <dataBar>
        <cfvo type="num" val="0"/>
        <cfvo type="num" val="1"/>
        <color theme="4" tint="0.59996337778862885"/>
      </dataBar>
      <extLst>
        <ext xmlns:x14="http://schemas.microsoft.com/office/spreadsheetml/2009/9/main" uri="{B025F937-C7B1-47D3-B67F-A62EFF666E3E}">
          <x14:id>{369414DB-849B-45AE-97B6-29A219A2A65B}</x14:id>
        </ext>
      </extLst>
    </cfRule>
  </conditionalFormatting>
  <conditionalFormatting sqref="T17">
    <cfRule type="dataBar" priority="51">
      <dataBar>
        <cfvo type="num" val="0"/>
        <cfvo type="num" val="1"/>
        <color theme="4" tint="0.59996337778862885"/>
      </dataBar>
      <extLst>
        <ext xmlns:x14="http://schemas.microsoft.com/office/spreadsheetml/2009/9/main" uri="{B025F937-C7B1-47D3-B67F-A62EFF666E3E}">
          <x14:id>{F21FF35F-2A2C-4F4A-9611-E2F15F0CD8FD}</x14:id>
        </ext>
      </extLst>
    </cfRule>
  </conditionalFormatting>
  <conditionalFormatting sqref="T25">
    <cfRule type="dataBar" priority="50">
      <dataBar>
        <cfvo type="num" val="0"/>
        <cfvo type="num" val="1"/>
        <color theme="4" tint="0.59996337778862885"/>
      </dataBar>
      <extLst>
        <ext xmlns:x14="http://schemas.microsoft.com/office/spreadsheetml/2009/9/main" uri="{B025F937-C7B1-47D3-B67F-A62EFF666E3E}">
          <x14:id>{EFBEE8A2-7946-4BA8-AA67-7BB2632C18DC}</x14:id>
        </ext>
      </extLst>
    </cfRule>
  </conditionalFormatting>
  <conditionalFormatting sqref="T32">
    <cfRule type="dataBar" priority="49">
      <dataBar>
        <cfvo type="num" val="0"/>
        <cfvo type="num" val="1"/>
        <color theme="4" tint="0.59996337778862885"/>
      </dataBar>
      <extLst>
        <ext xmlns:x14="http://schemas.microsoft.com/office/spreadsheetml/2009/9/main" uri="{B025F937-C7B1-47D3-B67F-A62EFF666E3E}">
          <x14:id>{7A2284B5-C3CE-48CA-9828-A828CFF38190}</x14:id>
        </ext>
      </extLst>
    </cfRule>
  </conditionalFormatting>
  <conditionalFormatting sqref="T36">
    <cfRule type="dataBar" priority="48">
      <dataBar>
        <cfvo type="num" val="0"/>
        <cfvo type="num" val="1"/>
        <color theme="4" tint="0.59996337778862885"/>
      </dataBar>
      <extLst>
        <ext xmlns:x14="http://schemas.microsoft.com/office/spreadsheetml/2009/9/main" uri="{B025F937-C7B1-47D3-B67F-A62EFF666E3E}">
          <x14:id>{D22BE090-0449-4D7B-B2A6-BDDA4E53EA8E}</x14:id>
        </ext>
      </extLst>
    </cfRule>
  </conditionalFormatting>
  <conditionalFormatting sqref="T42">
    <cfRule type="dataBar" priority="47">
      <dataBar>
        <cfvo type="num" val="0"/>
        <cfvo type="num" val="1"/>
        <color theme="4" tint="0.59996337778862885"/>
      </dataBar>
      <extLst>
        <ext xmlns:x14="http://schemas.microsoft.com/office/spreadsheetml/2009/9/main" uri="{B025F937-C7B1-47D3-B67F-A62EFF666E3E}">
          <x14:id>{29DDB21D-3ECE-4E2C-AAC5-3DE56BD8A863}</x14:id>
        </ext>
      </extLst>
    </cfRule>
  </conditionalFormatting>
  <conditionalFormatting sqref="T48">
    <cfRule type="dataBar" priority="46">
      <dataBar>
        <cfvo type="num" val="0"/>
        <cfvo type="num" val="1"/>
        <color theme="4" tint="0.59996337778862885"/>
      </dataBar>
      <extLst>
        <ext xmlns:x14="http://schemas.microsoft.com/office/spreadsheetml/2009/9/main" uri="{B025F937-C7B1-47D3-B67F-A62EFF666E3E}">
          <x14:id>{25E13622-6D7E-49D0-9600-A1F594DB7698}</x14:id>
        </ext>
      </extLst>
    </cfRule>
  </conditionalFormatting>
  <conditionalFormatting sqref="T54">
    <cfRule type="dataBar" priority="45">
      <dataBar>
        <cfvo type="num" val="0"/>
        <cfvo type="num" val="1"/>
        <color theme="4" tint="0.59996337778862885"/>
      </dataBar>
      <extLst>
        <ext xmlns:x14="http://schemas.microsoft.com/office/spreadsheetml/2009/9/main" uri="{B025F937-C7B1-47D3-B67F-A62EFF666E3E}">
          <x14:id>{8C1895DB-E765-4EE0-8097-66EA7C81557D}</x14:id>
        </ext>
      </extLst>
    </cfRule>
  </conditionalFormatting>
  <conditionalFormatting sqref="T60">
    <cfRule type="dataBar" priority="44">
      <dataBar>
        <cfvo type="num" val="0"/>
        <cfvo type="num" val="1"/>
        <color theme="4" tint="0.59996337778862885"/>
      </dataBar>
      <extLst>
        <ext xmlns:x14="http://schemas.microsoft.com/office/spreadsheetml/2009/9/main" uri="{B025F937-C7B1-47D3-B67F-A62EFF666E3E}">
          <x14:id>{C7619FA6-2750-40FF-9533-0196A0842669}</x14:id>
        </ext>
      </extLst>
    </cfRule>
  </conditionalFormatting>
  <conditionalFormatting sqref="T66">
    <cfRule type="dataBar" priority="43">
      <dataBar>
        <cfvo type="num" val="0"/>
        <cfvo type="num" val="1"/>
        <color theme="4" tint="0.59996337778862885"/>
      </dataBar>
      <extLst>
        <ext xmlns:x14="http://schemas.microsoft.com/office/spreadsheetml/2009/9/main" uri="{B025F937-C7B1-47D3-B67F-A62EFF666E3E}">
          <x14:id>{E2E532DC-8140-40CE-B3A5-E03CC5AA9942}</x14:id>
        </ext>
      </extLst>
    </cfRule>
  </conditionalFormatting>
  <conditionalFormatting sqref="T72">
    <cfRule type="dataBar" priority="42">
      <dataBar>
        <cfvo type="num" val="0"/>
        <cfvo type="num" val="1"/>
        <color theme="4" tint="0.59996337778862885"/>
      </dataBar>
      <extLst>
        <ext xmlns:x14="http://schemas.microsoft.com/office/spreadsheetml/2009/9/main" uri="{B025F937-C7B1-47D3-B67F-A62EFF666E3E}">
          <x14:id>{A5F237F5-04D3-4656-8739-B7BC52A5A5EE}</x14:id>
        </ext>
      </extLst>
    </cfRule>
  </conditionalFormatting>
  <conditionalFormatting sqref="T78">
    <cfRule type="dataBar" priority="41">
      <dataBar>
        <cfvo type="num" val="0"/>
        <cfvo type="num" val="1"/>
        <color theme="4" tint="0.59996337778862885"/>
      </dataBar>
      <extLst>
        <ext xmlns:x14="http://schemas.microsoft.com/office/spreadsheetml/2009/9/main" uri="{B025F937-C7B1-47D3-B67F-A62EFF666E3E}">
          <x14:id>{8ED84B74-91EB-4E09-A7C8-4DE8CB2E2BEC}</x14:id>
        </ext>
      </extLst>
    </cfRule>
  </conditionalFormatting>
  <conditionalFormatting sqref="T83">
    <cfRule type="dataBar" priority="40">
      <dataBar>
        <cfvo type="num" val="0"/>
        <cfvo type="num" val="1"/>
        <color theme="4" tint="0.59996337778862885"/>
      </dataBar>
      <extLst>
        <ext xmlns:x14="http://schemas.microsoft.com/office/spreadsheetml/2009/9/main" uri="{B025F937-C7B1-47D3-B67F-A62EFF666E3E}">
          <x14:id>{76E2DFF1-CEC3-4E0C-A930-D5E37B643F0B}</x14:id>
        </ext>
      </extLst>
    </cfRule>
  </conditionalFormatting>
  <conditionalFormatting sqref="T89">
    <cfRule type="dataBar" priority="39">
      <dataBar>
        <cfvo type="num" val="0"/>
        <cfvo type="num" val="1"/>
        <color theme="4" tint="0.59996337778862885"/>
      </dataBar>
      <extLst>
        <ext xmlns:x14="http://schemas.microsoft.com/office/spreadsheetml/2009/9/main" uri="{B025F937-C7B1-47D3-B67F-A62EFF666E3E}">
          <x14:id>{5A5478E4-F671-4B0D-A042-22C102879EBD}</x14:id>
        </ext>
      </extLst>
    </cfRule>
  </conditionalFormatting>
  <conditionalFormatting sqref="T95">
    <cfRule type="dataBar" priority="38">
      <dataBar>
        <cfvo type="num" val="0"/>
        <cfvo type="num" val="1"/>
        <color theme="4" tint="0.59996337778862885"/>
      </dataBar>
      <extLst>
        <ext xmlns:x14="http://schemas.microsoft.com/office/spreadsheetml/2009/9/main" uri="{B025F937-C7B1-47D3-B67F-A62EFF666E3E}">
          <x14:id>{807B07ED-831D-4901-8369-7512829F8E95}</x14:id>
        </ext>
      </extLst>
    </cfRule>
  </conditionalFormatting>
  <conditionalFormatting sqref="T103">
    <cfRule type="dataBar" priority="37">
      <dataBar>
        <cfvo type="num" val="0"/>
        <cfvo type="num" val="1"/>
        <color theme="4" tint="0.59996337778862885"/>
      </dataBar>
      <extLst>
        <ext xmlns:x14="http://schemas.microsoft.com/office/spreadsheetml/2009/9/main" uri="{B025F937-C7B1-47D3-B67F-A62EFF666E3E}">
          <x14:id>{7CCE4C4B-0AF2-4E82-BE41-F65541EF4609}</x14:id>
        </ext>
      </extLst>
    </cfRule>
  </conditionalFormatting>
  <conditionalFormatting sqref="T109">
    <cfRule type="dataBar" priority="34">
      <dataBar>
        <cfvo type="num" val="0"/>
        <cfvo type="num" val="1"/>
        <color theme="4" tint="0.59996337778862885"/>
      </dataBar>
      <extLst>
        <ext xmlns:x14="http://schemas.microsoft.com/office/spreadsheetml/2009/9/main" uri="{B025F937-C7B1-47D3-B67F-A62EFF666E3E}">
          <x14:id>{809CB210-1E24-415D-82E0-06544DA8D491}</x14:id>
        </ext>
      </extLst>
    </cfRule>
  </conditionalFormatting>
  <conditionalFormatting sqref="T113">
    <cfRule type="dataBar" priority="35">
      <dataBar>
        <cfvo type="num" val="0"/>
        <cfvo type="num" val="1"/>
        <color theme="4" tint="0.59996337778862885"/>
      </dataBar>
      <extLst>
        <ext xmlns:x14="http://schemas.microsoft.com/office/spreadsheetml/2009/9/main" uri="{B025F937-C7B1-47D3-B67F-A62EFF666E3E}">
          <x14:id>{7D456ACF-C074-46E2-9AC8-5EC3DCF9E655}</x14:id>
        </ext>
      </extLst>
    </cfRule>
  </conditionalFormatting>
  <conditionalFormatting sqref="T118">
    <cfRule type="dataBar" priority="36">
      <dataBar>
        <cfvo type="num" val="0"/>
        <cfvo type="num" val="1"/>
        <color theme="4" tint="0.59996337778862885"/>
      </dataBar>
      <extLst>
        <ext xmlns:x14="http://schemas.microsoft.com/office/spreadsheetml/2009/9/main" uri="{B025F937-C7B1-47D3-B67F-A62EFF666E3E}">
          <x14:id>{D60B5B21-CF48-47F8-BA4A-76330517267D}</x14:id>
        </ext>
      </extLst>
    </cfRule>
  </conditionalFormatting>
  <conditionalFormatting sqref="T124">
    <cfRule type="dataBar" priority="33">
      <dataBar>
        <cfvo type="num" val="0"/>
        <cfvo type="num" val="1"/>
        <color theme="4" tint="0.59996337778862885"/>
      </dataBar>
      <extLst>
        <ext xmlns:x14="http://schemas.microsoft.com/office/spreadsheetml/2009/9/main" uri="{B025F937-C7B1-47D3-B67F-A62EFF666E3E}">
          <x14:id>{29F7CE2D-AAA8-4526-BD05-779E905394EB}</x14:id>
        </ext>
      </extLst>
    </cfRule>
  </conditionalFormatting>
  <conditionalFormatting sqref="T129">
    <cfRule type="dataBar" priority="32">
      <dataBar>
        <cfvo type="num" val="0"/>
        <cfvo type="num" val="1"/>
        <color theme="4" tint="0.59996337778862885"/>
      </dataBar>
      <extLst>
        <ext xmlns:x14="http://schemas.microsoft.com/office/spreadsheetml/2009/9/main" uri="{B025F937-C7B1-47D3-B67F-A62EFF666E3E}">
          <x14:id>{0111E3C6-EB17-4AF8-B637-32138FD1DCD4}</x14:id>
        </ext>
      </extLst>
    </cfRule>
  </conditionalFormatting>
  <conditionalFormatting sqref="T135">
    <cfRule type="dataBar" priority="31">
      <dataBar>
        <cfvo type="num" val="0"/>
        <cfvo type="num" val="1"/>
        <color theme="4" tint="0.59996337778862885"/>
      </dataBar>
      <extLst>
        <ext xmlns:x14="http://schemas.microsoft.com/office/spreadsheetml/2009/9/main" uri="{B025F937-C7B1-47D3-B67F-A62EFF666E3E}">
          <x14:id>{B71C1B1F-A859-4F1E-A4C0-4836C380BE2B}</x14:id>
        </ext>
      </extLst>
    </cfRule>
  </conditionalFormatting>
  <conditionalFormatting sqref="T141">
    <cfRule type="dataBar" priority="30">
      <dataBar>
        <cfvo type="num" val="0"/>
        <cfvo type="num" val="1"/>
        <color theme="4" tint="0.59996337778862885"/>
      </dataBar>
      <extLst>
        <ext xmlns:x14="http://schemas.microsoft.com/office/spreadsheetml/2009/9/main" uri="{B025F937-C7B1-47D3-B67F-A62EFF666E3E}">
          <x14:id>{99E98BA5-28CC-49F7-8008-CAED6360F81F}</x14:id>
        </ext>
      </extLst>
    </cfRule>
  </conditionalFormatting>
  <conditionalFormatting sqref="T147">
    <cfRule type="dataBar" priority="29">
      <dataBar>
        <cfvo type="num" val="0"/>
        <cfvo type="num" val="1"/>
        <color theme="4" tint="0.59996337778862885"/>
      </dataBar>
      <extLst>
        <ext xmlns:x14="http://schemas.microsoft.com/office/spreadsheetml/2009/9/main" uri="{B025F937-C7B1-47D3-B67F-A62EFF666E3E}">
          <x14:id>{BF252EDF-659F-4779-9BC8-649BA2536F60}</x14:id>
        </ext>
      </extLst>
    </cfRule>
  </conditionalFormatting>
  <conditionalFormatting sqref="T152">
    <cfRule type="dataBar" priority="28">
      <dataBar>
        <cfvo type="num" val="0"/>
        <cfvo type="num" val="1"/>
        <color theme="4" tint="0.59996337778862885"/>
      </dataBar>
      <extLst>
        <ext xmlns:x14="http://schemas.microsoft.com/office/spreadsheetml/2009/9/main" uri="{B025F937-C7B1-47D3-B67F-A62EFF666E3E}">
          <x14:id>{021B5020-CCAE-4366-A217-BB81EC735688}</x14:id>
        </ext>
      </extLst>
    </cfRule>
  </conditionalFormatting>
  <conditionalFormatting sqref="T159">
    <cfRule type="dataBar" priority="27">
      <dataBar>
        <cfvo type="num" val="0"/>
        <cfvo type="num" val="1"/>
        <color theme="4" tint="0.59996337778862885"/>
      </dataBar>
      <extLst>
        <ext xmlns:x14="http://schemas.microsoft.com/office/spreadsheetml/2009/9/main" uri="{B025F937-C7B1-47D3-B67F-A62EFF666E3E}">
          <x14:id>{E707FFE5-517F-4BDC-B1C8-3BF0AD99F5A4}</x14:id>
        </ext>
      </extLst>
    </cfRule>
  </conditionalFormatting>
  <conditionalFormatting sqref="T165">
    <cfRule type="dataBar" priority="26">
      <dataBar>
        <cfvo type="num" val="0"/>
        <cfvo type="num" val="1"/>
        <color theme="4" tint="0.59996337778862885"/>
      </dataBar>
      <extLst>
        <ext xmlns:x14="http://schemas.microsoft.com/office/spreadsheetml/2009/9/main" uri="{B025F937-C7B1-47D3-B67F-A62EFF666E3E}">
          <x14:id>{62D694DC-369A-4DB2-AD99-E2E56E8320AC}</x14:id>
        </ext>
      </extLst>
    </cfRule>
  </conditionalFormatting>
  <conditionalFormatting sqref="T171">
    <cfRule type="dataBar" priority="25">
      <dataBar>
        <cfvo type="num" val="0"/>
        <cfvo type="num" val="1"/>
        <color theme="4" tint="0.59996337778862885"/>
      </dataBar>
      <extLst>
        <ext xmlns:x14="http://schemas.microsoft.com/office/spreadsheetml/2009/9/main" uri="{B025F937-C7B1-47D3-B67F-A62EFF666E3E}">
          <x14:id>{31CD793A-A102-4BD5-8C0F-B793369B4091}</x14:id>
        </ext>
      </extLst>
    </cfRule>
  </conditionalFormatting>
  <dataValidations count="1">
    <dataValidation type="whole" allowBlank="1" showInputMessage="1" showErrorMessage="1" sqref="D12:D16 F12:O16 D18:D24 F18:F24 H18:O24 D26:D31 F26:F31 H26:O31 D33:D35 F33:F35 H33:O35 D37:D39 F37:H39 I37:I41 J37:J39 K37:K41 L37:L39 M37:M41 N37:N39 O37:O41 E40:E41 G40:G41 R40:R41 D43:D47 F43:F47 H43:O47 D49:D53 F49:F53 H49:O53 D55:D59 F55:F59 H55:O59 D61:D65 F61:F65 H61:O65 D67:D71 F67:F71 H67:O71 D73:D77 F73:F77 H73:O77 D79:D82 F79:F82 H79:O82 D84:D88 F84:F88 H84:O88 D90:D94 F90:F94 H90:O94 D96:D100 F96:H100 I96:I102 J96:J100 K96:K102 L96:L100 M96:M102 N96:N100 O96:O102 E101:E102 G101:G102 R101:R102 D104:D108 F104:F108 H104:O108 D110:D112 F110:F112 H110:O112 D114:D117 F114:F117 H114:O117 D119:D123 F119:F123 H119:O123 D125:D128 F125:F128 H125:O128 D130:D134 F130:F134 H130:O134 D136:D140 F136:F140 H136:O140 D142:D146 F142:F146 H142:O146 D148:D151 F148:F151 H148:O151 D153:D158 F153:F158 H153:O158 D160:D164 F160:F164 H160:O164 D166:D170 F166:F170 H166:O170 D172:D175 F172:O175" xr:uid="{00000000-0002-0000-4C00-000000000000}">
      <formula1>0</formula1>
      <formula2>5</formula2>
    </dataValidation>
  </dataValidations>
  <pageMargins left="0.7" right="0.7" top="0.78740157499999996" bottom="0.78740157499999996" header="0.3" footer="0.3"/>
  <pageSetup scale="46" orientation="landscape" r:id="rId1"/>
  <headerFooter>
    <oddFooter>&amp;LDok.-Nr./Rev./Datum
F01         /  03   / 04.12.2020
&amp;F&amp;C&amp;U&amp;A&amp;RSeite &amp;P / &amp;N</oddFooter>
  </headerFooter>
  <rowBreaks count="2" manualBreakCount="2">
    <brk id="40" max="16383" man="1"/>
    <brk id="101" max="16383" man="1"/>
  </rowBreaks>
  <extLst>
    <ext xmlns:x14="http://schemas.microsoft.com/office/spreadsheetml/2009/9/main" uri="{78C0D931-6437-407d-A8EE-F0AAD7539E65}">
      <x14:conditionalFormattings>
        <x14:conditionalFormatting xmlns:xm="http://schemas.microsoft.com/office/excel/2006/main">
          <x14:cfRule type="containsText" priority="110" operator="containsText" id="{B4D1806A-AFC0-4A0A-B942-440C0B2B7CA9}">
            <xm:f>NOT(ISERROR(SEARCH(Dictionary!$B$9,C7)))</xm:f>
            <xm:f>Dictionary!$B$9</xm:f>
            <x14:dxf>
              <font>
                <b/>
                <i/>
                <color theme="9"/>
              </font>
              <fill>
                <patternFill>
                  <bgColor theme="9" tint="0.79995117038483843"/>
                </patternFill>
              </fill>
            </x14:dxf>
          </x14:cfRule>
          <x14:cfRule type="containsText" priority="109" stopIfTrue="1" operator="containsText" id="{E87A13AF-45BF-4E8A-8FB1-D4848E4A195B}">
            <xm:f>NOT(ISERROR(SEARCH(Dictionary!$B$10,C7)))</xm:f>
            <xm:f>Dictionary!$B$10</xm:f>
            <x14:dxf>
              <font>
                <b/>
                <i/>
                <color rgb="FFC00000"/>
              </font>
              <fill>
                <patternFill>
                  <bgColor rgb="FFFFCCCC"/>
                </patternFill>
              </fill>
            </x14:dxf>
          </x14:cfRule>
          <xm:sqref>C7</xm:sqref>
        </x14:conditionalFormatting>
        <x14:conditionalFormatting xmlns:xm="http://schemas.microsoft.com/office/excel/2006/main">
          <x14:cfRule type="expression" priority="1" id="{00000000-000E-0000-4C00-000001000000}">
            <xm:f>COV!$D$93=""</xm:f>
            <x14:dxf>
              <font>
                <color theme="0"/>
              </font>
              <fill>
                <patternFill>
                  <bgColor theme="0"/>
                </patternFill>
              </fill>
              <border>
                <left/>
                <right/>
                <top/>
                <bottom/>
              </border>
            </x14:dxf>
          </x14:cfRule>
          <xm:sqref>E4:R7</xm:sqref>
        </x14:conditionalFormatting>
        <x14:conditionalFormatting xmlns:xm="http://schemas.microsoft.com/office/excel/2006/main">
          <x14:cfRule type="iconSet" priority="111" id="{D98F8378-0AB5-4633-8DB1-B0B04D990ADF}">
            <x14:iconSet iconSet="3Symbols" showValue="0" custom="1">
              <x14:cfvo type="percent">
                <xm:f>0</xm:f>
              </x14:cfvo>
              <x14:cfvo type="num" gte="0">
                <xm:f>2</xm:f>
              </x14:cfvo>
              <x14:cfvo type="num">
                <xm:f>4</xm:f>
              </x14:cfvo>
              <x14:cfIcon iconSet="3Symbols" iconId="0"/>
              <x14:cfIcon iconSet="3Symbols" iconId="1"/>
              <x14:cfIcon iconSet="3Symbols" iconId="2"/>
            </x14:iconSet>
          </x14:cfRule>
          <xm:sqref>Q12:Q175</xm:sqref>
        </x14:conditionalFormatting>
        <x14:conditionalFormatting xmlns:xm="http://schemas.microsoft.com/office/excel/2006/main">
          <x14:cfRule type="dataBar" id="{369414DB-849B-45AE-97B6-29A219A2A65B}">
            <x14:dataBar minLength="0" maxLength="100" border="1" gradient="0">
              <x14:cfvo type="num">
                <xm:f>0</xm:f>
              </x14:cfvo>
              <x14:cfvo type="num">
                <xm:f>1</xm:f>
              </x14:cfvo>
              <x14:borderColor rgb="FF00B0F0"/>
              <x14:negativeFillColor rgb="FFFF0000"/>
              <x14:axisColor rgb="FF000000"/>
            </x14:dataBar>
          </x14:cfRule>
          <xm:sqref>T11</xm:sqref>
        </x14:conditionalFormatting>
        <x14:conditionalFormatting xmlns:xm="http://schemas.microsoft.com/office/excel/2006/main">
          <x14:cfRule type="dataBar" id="{F21FF35F-2A2C-4F4A-9611-E2F15F0CD8FD}">
            <x14:dataBar minLength="0" maxLength="100" border="1" gradient="0">
              <x14:cfvo type="num">
                <xm:f>0</xm:f>
              </x14:cfvo>
              <x14:cfvo type="num">
                <xm:f>1</xm:f>
              </x14:cfvo>
              <x14:borderColor rgb="FF00B0F0"/>
              <x14:negativeFillColor rgb="FFFF0000"/>
              <x14:axisColor rgb="FF000000"/>
            </x14:dataBar>
          </x14:cfRule>
          <xm:sqref>T17</xm:sqref>
        </x14:conditionalFormatting>
        <x14:conditionalFormatting xmlns:xm="http://schemas.microsoft.com/office/excel/2006/main">
          <x14:cfRule type="dataBar" id="{EFBEE8A2-7946-4BA8-AA67-7BB2632C18DC}">
            <x14:dataBar minLength="0" maxLength="100" border="1" gradient="0">
              <x14:cfvo type="num">
                <xm:f>0</xm:f>
              </x14:cfvo>
              <x14:cfvo type="num">
                <xm:f>1</xm:f>
              </x14:cfvo>
              <x14:borderColor rgb="FF00B0F0"/>
              <x14:negativeFillColor rgb="FFFF0000"/>
              <x14:axisColor rgb="FF000000"/>
            </x14:dataBar>
          </x14:cfRule>
          <xm:sqref>T25</xm:sqref>
        </x14:conditionalFormatting>
        <x14:conditionalFormatting xmlns:xm="http://schemas.microsoft.com/office/excel/2006/main">
          <x14:cfRule type="dataBar" id="{7A2284B5-C3CE-48CA-9828-A828CFF38190}">
            <x14:dataBar minLength="0" maxLength="100" border="1" gradient="0">
              <x14:cfvo type="num">
                <xm:f>0</xm:f>
              </x14:cfvo>
              <x14:cfvo type="num">
                <xm:f>1</xm:f>
              </x14:cfvo>
              <x14:borderColor rgb="FF00B0F0"/>
              <x14:negativeFillColor rgb="FFFF0000"/>
              <x14:axisColor rgb="FF000000"/>
            </x14:dataBar>
          </x14:cfRule>
          <xm:sqref>T32</xm:sqref>
        </x14:conditionalFormatting>
        <x14:conditionalFormatting xmlns:xm="http://schemas.microsoft.com/office/excel/2006/main">
          <x14:cfRule type="dataBar" id="{D22BE090-0449-4D7B-B2A6-BDDA4E53EA8E}">
            <x14:dataBar minLength="0" maxLength="100" border="1" gradient="0">
              <x14:cfvo type="num">
                <xm:f>0</xm:f>
              </x14:cfvo>
              <x14:cfvo type="num">
                <xm:f>1</xm:f>
              </x14:cfvo>
              <x14:borderColor rgb="FF00B0F0"/>
              <x14:negativeFillColor rgb="FFFF0000"/>
              <x14:axisColor rgb="FF000000"/>
            </x14:dataBar>
          </x14:cfRule>
          <xm:sqref>T36</xm:sqref>
        </x14:conditionalFormatting>
        <x14:conditionalFormatting xmlns:xm="http://schemas.microsoft.com/office/excel/2006/main">
          <x14:cfRule type="dataBar" id="{29DDB21D-3ECE-4E2C-AAC5-3DE56BD8A863}">
            <x14:dataBar minLength="0" maxLength="100" border="1" gradient="0">
              <x14:cfvo type="num">
                <xm:f>0</xm:f>
              </x14:cfvo>
              <x14:cfvo type="num">
                <xm:f>1</xm:f>
              </x14:cfvo>
              <x14:borderColor rgb="FF00B0F0"/>
              <x14:negativeFillColor rgb="FFFF0000"/>
              <x14:axisColor rgb="FF000000"/>
            </x14:dataBar>
          </x14:cfRule>
          <xm:sqref>T42</xm:sqref>
        </x14:conditionalFormatting>
        <x14:conditionalFormatting xmlns:xm="http://schemas.microsoft.com/office/excel/2006/main">
          <x14:cfRule type="dataBar" id="{25E13622-6D7E-49D0-9600-A1F594DB7698}">
            <x14:dataBar minLength="0" maxLength="100" border="1" gradient="0">
              <x14:cfvo type="num">
                <xm:f>0</xm:f>
              </x14:cfvo>
              <x14:cfvo type="num">
                <xm:f>1</xm:f>
              </x14:cfvo>
              <x14:borderColor rgb="FF00B0F0"/>
              <x14:negativeFillColor rgb="FFFF0000"/>
              <x14:axisColor rgb="FF000000"/>
            </x14:dataBar>
          </x14:cfRule>
          <xm:sqref>T48</xm:sqref>
        </x14:conditionalFormatting>
        <x14:conditionalFormatting xmlns:xm="http://schemas.microsoft.com/office/excel/2006/main">
          <x14:cfRule type="dataBar" id="{8C1895DB-E765-4EE0-8097-66EA7C81557D}">
            <x14:dataBar minLength="0" maxLength="100" border="1" gradient="0">
              <x14:cfvo type="num">
                <xm:f>0</xm:f>
              </x14:cfvo>
              <x14:cfvo type="num">
                <xm:f>1</xm:f>
              </x14:cfvo>
              <x14:borderColor rgb="FF00B0F0"/>
              <x14:negativeFillColor rgb="FFFF0000"/>
              <x14:axisColor rgb="FF000000"/>
            </x14:dataBar>
          </x14:cfRule>
          <xm:sqref>T54</xm:sqref>
        </x14:conditionalFormatting>
        <x14:conditionalFormatting xmlns:xm="http://schemas.microsoft.com/office/excel/2006/main">
          <x14:cfRule type="dataBar" id="{C7619FA6-2750-40FF-9533-0196A0842669}">
            <x14:dataBar minLength="0" maxLength="100" border="1" gradient="0">
              <x14:cfvo type="num">
                <xm:f>0</xm:f>
              </x14:cfvo>
              <x14:cfvo type="num">
                <xm:f>1</xm:f>
              </x14:cfvo>
              <x14:borderColor rgb="FF00B0F0"/>
              <x14:negativeFillColor rgb="FFFF0000"/>
              <x14:axisColor rgb="FF000000"/>
            </x14:dataBar>
          </x14:cfRule>
          <xm:sqref>T60</xm:sqref>
        </x14:conditionalFormatting>
        <x14:conditionalFormatting xmlns:xm="http://schemas.microsoft.com/office/excel/2006/main">
          <x14:cfRule type="dataBar" id="{E2E532DC-8140-40CE-B3A5-E03CC5AA9942}">
            <x14:dataBar minLength="0" maxLength="100" border="1" gradient="0">
              <x14:cfvo type="num">
                <xm:f>0</xm:f>
              </x14:cfvo>
              <x14:cfvo type="num">
                <xm:f>1</xm:f>
              </x14:cfvo>
              <x14:borderColor rgb="FF00B0F0"/>
              <x14:negativeFillColor rgb="FFFF0000"/>
              <x14:axisColor rgb="FF000000"/>
            </x14:dataBar>
          </x14:cfRule>
          <xm:sqref>T66</xm:sqref>
        </x14:conditionalFormatting>
        <x14:conditionalFormatting xmlns:xm="http://schemas.microsoft.com/office/excel/2006/main">
          <x14:cfRule type="dataBar" id="{A5F237F5-04D3-4656-8739-B7BC52A5A5EE}">
            <x14:dataBar minLength="0" maxLength="100" border="1" gradient="0">
              <x14:cfvo type="num">
                <xm:f>0</xm:f>
              </x14:cfvo>
              <x14:cfvo type="num">
                <xm:f>1</xm:f>
              </x14:cfvo>
              <x14:borderColor rgb="FF00B0F0"/>
              <x14:negativeFillColor rgb="FFFF0000"/>
              <x14:axisColor rgb="FF000000"/>
            </x14:dataBar>
          </x14:cfRule>
          <xm:sqref>T72</xm:sqref>
        </x14:conditionalFormatting>
        <x14:conditionalFormatting xmlns:xm="http://schemas.microsoft.com/office/excel/2006/main">
          <x14:cfRule type="dataBar" id="{8ED84B74-91EB-4E09-A7C8-4DE8CB2E2BEC}">
            <x14:dataBar minLength="0" maxLength="100" border="1" gradient="0">
              <x14:cfvo type="num">
                <xm:f>0</xm:f>
              </x14:cfvo>
              <x14:cfvo type="num">
                <xm:f>1</xm:f>
              </x14:cfvo>
              <x14:borderColor rgb="FF00B0F0"/>
              <x14:negativeFillColor rgb="FFFF0000"/>
              <x14:axisColor rgb="FF000000"/>
            </x14:dataBar>
          </x14:cfRule>
          <xm:sqref>T78</xm:sqref>
        </x14:conditionalFormatting>
        <x14:conditionalFormatting xmlns:xm="http://schemas.microsoft.com/office/excel/2006/main">
          <x14:cfRule type="dataBar" id="{76E2DFF1-CEC3-4E0C-A930-D5E37B643F0B}">
            <x14:dataBar minLength="0" maxLength="100" border="1" gradient="0">
              <x14:cfvo type="num">
                <xm:f>0</xm:f>
              </x14:cfvo>
              <x14:cfvo type="num">
                <xm:f>1</xm:f>
              </x14:cfvo>
              <x14:borderColor rgb="FF00B0F0"/>
              <x14:negativeFillColor rgb="FFFF0000"/>
              <x14:axisColor rgb="FF000000"/>
            </x14:dataBar>
          </x14:cfRule>
          <xm:sqref>T83</xm:sqref>
        </x14:conditionalFormatting>
        <x14:conditionalFormatting xmlns:xm="http://schemas.microsoft.com/office/excel/2006/main">
          <x14:cfRule type="dataBar" id="{5A5478E4-F671-4B0D-A042-22C102879EBD}">
            <x14:dataBar minLength="0" maxLength="100" border="1" gradient="0">
              <x14:cfvo type="num">
                <xm:f>0</xm:f>
              </x14:cfvo>
              <x14:cfvo type="num">
                <xm:f>1</xm:f>
              </x14:cfvo>
              <x14:borderColor rgb="FF00B0F0"/>
              <x14:negativeFillColor rgb="FFFF0000"/>
              <x14:axisColor rgb="FF000000"/>
            </x14:dataBar>
          </x14:cfRule>
          <xm:sqref>T89</xm:sqref>
        </x14:conditionalFormatting>
        <x14:conditionalFormatting xmlns:xm="http://schemas.microsoft.com/office/excel/2006/main">
          <x14:cfRule type="dataBar" id="{807B07ED-831D-4901-8369-7512829F8E95}">
            <x14:dataBar minLength="0" maxLength="100" border="1" gradient="0">
              <x14:cfvo type="num">
                <xm:f>0</xm:f>
              </x14:cfvo>
              <x14:cfvo type="num">
                <xm:f>1</xm:f>
              </x14:cfvo>
              <x14:borderColor rgb="FF00B0F0"/>
              <x14:negativeFillColor rgb="FFFF0000"/>
              <x14:axisColor rgb="FF000000"/>
            </x14:dataBar>
          </x14:cfRule>
          <xm:sqref>T95</xm:sqref>
        </x14:conditionalFormatting>
        <x14:conditionalFormatting xmlns:xm="http://schemas.microsoft.com/office/excel/2006/main">
          <x14:cfRule type="dataBar" id="{7CCE4C4B-0AF2-4E82-BE41-F65541EF4609}">
            <x14:dataBar minLength="0" maxLength="100" border="1" gradient="0">
              <x14:cfvo type="num">
                <xm:f>0</xm:f>
              </x14:cfvo>
              <x14:cfvo type="num">
                <xm:f>1</xm:f>
              </x14:cfvo>
              <x14:borderColor rgb="FF00B0F0"/>
              <x14:negativeFillColor rgb="FFFF0000"/>
              <x14:axisColor rgb="FF000000"/>
            </x14:dataBar>
          </x14:cfRule>
          <xm:sqref>T103</xm:sqref>
        </x14:conditionalFormatting>
        <x14:conditionalFormatting xmlns:xm="http://schemas.microsoft.com/office/excel/2006/main">
          <x14:cfRule type="dataBar" id="{809CB210-1E24-415D-82E0-06544DA8D491}">
            <x14:dataBar minLength="0" maxLength="100" border="1" gradient="0">
              <x14:cfvo type="num">
                <xm:f>0</xm:f>
              </x14:cfvo>
              <x14:cfvo type="num">
                <xm:f>1</xm:f>
              </x14:cfvo>
              <x14:borderColor rgb="FF00B0F0"/>
              <x14:negativeFillColor rgb="FFFF0000"/>
              <x14:axisColor rgb="FF000000"/>
            </x14:dataBar>
          </x14:cfRule>
          <xm:sqref>T109</xm:sqref>
        </x14:conditionalFormatting>
        <x14:conditionalFormatting xmlns:xm="http://schemas.microsoft.com/office/excel/2006/main">
          <x14:cfRule type="dataBar" id="{7D456ACF-C074-46E2-9AC8-5EC3DCF9E655}">
            <x14:dataBar minLength="0" maxLength="100" border="1" gradient="0">
              <x14:cfvo type="num">
                <xm:f>0</xm:f>
              </x14:cfvo>
              <x14:cfvo type="num">
                <xm:f>1</xm:f>
              </x14:cfvo>
              <x14:borderColor rgb="FF00B0F0"/>
              <x14:negativeFillColor rgb="FFFF0000"/>
              <x14:axisColor rgb="FF000000"/>
            </x14:dataBar>
          </x14:cfRule>
          <xm:sqref>T113</xm:sqref>
        </x14:conditionalFormatting>
        <x14:conditionalFormatting xmlns:xm="http://schemas.microsoft.com/office/excel/2006/main">
          <x14:cfRule type="dataBar" id="{D60B5B21-CF48-47F8-BA4A-76330517267D}">
            <x14:dataBar minLength="0" maxLength="100" border="1" gradient="0">
              <x14:cfvo type="num">
                <xm:f>0</xm:f>
              </x14:cfvo>
              <x14:cfvo type="num">
                <xm:f>1</xm:f>
              </x14:cfvo>
              <x14:borderColor rgb="FF00B0F0"/>
              <x14:negativeFillColor rgb="FFFF0000"/>
              <x14:axisColor rgb="FF000000"/>
            </x14:dataBar>
          </x14:cfRule>
          <xm:sqref>T118</xm:sqref>
        </x14:conditionalFormatting>
        <x14:conditionalFormatting xmlns:xm="http://schemas.microsoft.com/office/excel/2006/main">
          <x14:cfRule type="dataBar" id="{29F7CE2D-AAA8-4526-BD05-779E905394EB}">
            <x14:dataBar minLength="0" maxLength="100" border="1" gradient="0">
              <x14:cfvo type="num">
                <xm:f>0</xm:f>
              </x14:cfvo>
              <x14:cfvo type="num">
                <xm:f>1</xm:f>
              </x14:cfvo>
              <x14:borderColor rgb="FF00B0F0"/>
              <x14:negativeFillColor rgb="FFFF0000"/>
              <x14:axisColor rgb="FF000000"/>
            </x14:dataBar>
          </x14:cfRule>
          <xm:sqref>T124</xm:sqref>
        </x14:conditionalFormatting>
        <x14:conditionalFormatting xmlns:xm="http://schemas.microsoft.com/office/excel/2006/main">
          <x14:cfRule type="dataBar" id="{0111E3C6-EB17-4AF8-B637-32138FD1DCD4}">
            <x14:dataBar minLength="0" maxLength="100" border="1" gradient="0">
              <x14:cfvo type="num">
                <xm:f>0</xm:f>
              </x14:cfvo>
              <x14:cfvo type="num">
                <xm:f>1</xm:f>
              </x14:cfvo>
              <x14:borderColor rgb="FF00B0F0"/>
              <x14:negativeFillColor rgb="FFFF0000"/>
              <x14:axisColor rgb="FF000000"/>
            </x14:dataBar>
          </x14:cfRule>
          <xm:sqref>T129</xm:sqref>
        </x14:conditionalFormatting>
        <x14:conditionalFormatting xmlns:xm="http://schemas.microsoft.com/office/excel/2006/main">
          <x14:cfRule type="dataBar" id="{B71C1B1F-A859-4F1E-A4C0-4836C380BE2B}">
            <x14:dataBar minLength="0" maxLength="100" border="1" gradient="0">
              <x14:cfvo type="num">
                <xm:f>0</xm:f>
              </x14:cfvo>
              <x14:cfvo type="num">
                <xm:f>1</xm:f>
              </x14:cfvo>
              <x14:borderColor rgb="FF00B0F0"/>
              <x14:negativeFillColor rgb="FFFF0000"/>
              <x14:axisColor rgb="FF000000"/>
            </x14:dataBar>
          </x14:cfRule>
          <xm:sqref>T135</xm:sqref>
        </x14:conditionalFormatting>
        <x14:conditionalFormatting xmlns:xm="http://schemas.microsoft.com/office/excel/2006/main">
          <x14:cfRule type="dataBar" id="{99E98BA5-28CC-49F7-8008-CAED6360F81F}">
            <x14:dataBar minLength="0" maxLength="100" border="1" gradient="0">
              <x14:cfvo type="num">
                <xm:f>0</xm:f>
              </x14:cfvo>
              <x14:cfvo type="num">
                <xm:f>1</xm:f>
              </x14:cfvo>
              <x14:borderColor rgb="FF00B0F0"/>
              <x14:negativeFillColor rgb="FFFF0000"/>
              <x14:axisColor rgb="FF000000"/>
            </x14:dataBar>
          </x14:cfRule>
          <xm:sqref>T141</xm:sqref>
        </x14:conditionalFormatting>
        <x14:conditionalFormatting xmlns:xm="http://schemas.microsoft.com/office/excel/2006/main">
          <x14:cfRule type="dataBar" id="{BF252EDF-659F-4779-9BC8-649BA2536F60}">
            <x14:dataBar minLength="0" maxLength="100" border="1" gradient="0">
              <x14:cfvo type="num">
                <xm:f>0</xm:f>
              </x14:cfvo>
              <x14:cfvo type="num">
                <xm:f>1</xm:f>
              </x14:cfvo>
              <x14:borderColor rgb="FF00B0F0"/>
              <x14:negativeFillColor rgb="FFFF0000"/>
              <x14:axisColor rgb="FF000000"/>
            </x14:dataBar>
          </x14:cfRule>
          <xm:sqref>T147</xm:sqref>
        </x14:conditionalFormatting>
        <x14:conditionalFormatting xmlns:xm="http://schemas.microsoft.com/office/excel/2006/main">
          <x14:cfRule type="dataBar" id="{021B5020-CCAE-4366-A217-BB81EC735688}">
            <x14:dataBar minLength="0" maxLength="100" border="1" gradient="0">
              <x14:cfvo type="num">
                <xm:f>0</xm:f>
              </x14:cfvo>
              <x14:cfvo type="num">
                <xm:f>1</xm:f>
              </x14:cfvo>
              <x14:borderColor rgb="FF00B0F0"/>
              <x14:negativeFillColor rgb="FFFF0000"/>
              <x14:axisColor rgb="FF000000"/>
            </x14:dataBar>
          </x14:cfRule>
          <xm:sqref>T152</xm:sqref>
        </x14:conditionalFormatting>
        <x14:conditionalFormatting xmlns:xm="http://schemas.microsoft.com/office/excel/2006/main">
          <x14:cfRule type="dataBar" id="{E707FFE5-517F-4BDC-B1C8-3BF0AD99F5A4}">
            <x14:dataBar minLength="0" maxLength="100" border="1" gradient="0">
              <x14:cfvo type="num">
                <xm:f>0</xm:f>
              </x14:cfvo>
              <x14:cfvo type="num">
                <xm:f>1</xm:f>
              </x14:cfvo>
              <x14:borderColor rgb="FF00B0F0"/>
              <x14:negativeFillColor rgb="FFFF0000"/>
              <x14:axisColor rgb="FF000000"/>
            </x14:dataBar>
          </x14:cfRule>
          <xm:sqref>T159</xm:sqref>
        </x14:conditionalFormatting>
        <x14:conditionalFormatting xmlns:xm="http://schemas.microsoft.com/office/excel/2006/main">
          <x14:cfRule type="dataBar" id="{62D694DC-369A-4DB2-AD99-E2E56E8320AC}">
            <x14:dataBar minLength="0" maxLength="100" border="1" gradient="0">
              <x14:cfvo type="num">
                <xm:f>0</xm:f>
              </x14:cfvo>
              <x14:cfvo type="num">
                <xm:f>1</xm:f>
              </x14:cfvo>
              <x14:borderColor rgb="FF00B0F0"/>
              <x14:negativeFillColor rgb="FFFF0000"/>
              <x14:axisColor rgb="FF000000"/>
            </x14:dataBar>
          </x14:cfRule>
          <xm:sqref>T165</xm:sqref>
        </x14:conditionalFormatting>
        <x14:conditionalFormatting xmlns:xm="http://schemas.microsoft.com/office/excel/2006/main">
          <x14:cfRule type="dataBar" id="{31CD793A-A102-4BD5-8C0F-B793369B4091}">
            <x14:dataBar minLength="0" maxLength="100" border="1" gradient="0">
              <x14:cfvo type="num">
                <xm:f>0</xm:f>
              </x14:cfvo>
              <x14:cfvo type="num">
                <xm:f>1</xm:f>
              </x14:cfvo>
              <x14:borderColor rgb="FF00B0F0"/>
              <x14:negativeFillColor rgb="FFFF0000"/>
              <x14:axisColor rgb="FF000000"/>
            </x14:dataBar>
          </x14:cfRule>
          <xm:sqref>T171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4C00-000001000000}">
          <x14:formula1>
            <xm:f>Dictionary!$I$46:$I$51</xm:f>
          </x14:formula1>
          <xm:sqref>E11 G11 E17:E36 G17:G36 E42:E95 G42:G95 E103:E171 G103:G171</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9F042-7D44-4171-92AA-CED0C741F905}">
  <sheetPr codeName="Level_D_E_Scoring">
    <tabColor rgb="FFC00000"/>
  </sheetPr>
  <dimension ref="B1:AG199"/>
  <sheetViews>
    <sheetView showGridLines="0" zoomScale="80" zoomScaleNormal="80" zoomScalePageLayoutView="125" workbookViewId="0">
      <pane ySplit="9" topLeftCell="A10" activePane="bottomLeft" state="frozen"/>
      <selection activeCell="B109" sqref="B109"/>
      <selection pane="bottomLeft" activeCell="V179" sqref="V179:Z179"/>
    </sheetView>
  </sheetViews>
  <sheetFormatPr baseColWidth="10" defaultColWidth="10" defaultRowHeight="14"/>
  <cols>
    <col min="1" max="1" width="2.33203125" style="314" customWidth="1"/>
    <col min="2" max="2" width="7.5" style="313" customWidth="1"/>
    <col min="3" max="3" width="51.83203125" style="314" customWidth="1"/>
    <col min="4" max="4" width="0.83203125" style="314" customWidth="1"/>
    <col min="5" max="5" width="17.5" style="314" customWidth="1"/>
    <col min="6" max="6" width="1" style="314" customWidth="1"/>
    <col min="7" max="7" width="17.5" style="314" customWidth="1"/>
    <col min="8" max="8" width="1" style="314" hidden="1" customWidth="1"/>
    <col min="9" max="9" width="6.33203125" style="314" hidden="1" customWidth="1"/>
    <col min="10" max="10" width="1" style="314" hidden="1" customWidth="1"/>
    <col min="11" max="11" width="6.33203125" style="314" hidden="1" customWidth="1"/>
    <col min="12" max="12" width="1" style="314" hidden="1" customWidth="1"/>
    <col min="13" max="13" width="6.33203125" style="314" hidden="1" customWidth="1"/>
    <col min="14" max="14" width="1" style="314" hidden="1" customWidth="1"/>
    <col min="15" max="15" width="6.33203125" style="314" hidden="1" customWidth="1"/>
    <col min="16" max="16" width="0.83203125" style="314" customWidth="1"/>
    <col min="17" max="17" width="2" style="315" customWidth="1"/>
    <col min="18" max="18" width="17.5" style="314" customWidth="1"/>
    <col min="19" max="19" width="0.83203125" style="314" customWidth="1"/>
    <col min="20" max="20" width="10.6640625" style="314" hidden="1" customWidth="1"/>
    <col min="21" max="21" width="0.83203125" style="314" customWidth="1"/>
    <col min="22" max="22" width="13.1640625" style="313" customWidth="1"/>
    <col min="23" max="23" width="0.83203125" style="314" customWidth="1"/>
    <col min="24" max="24" width="14.6640625" style="314" customWidth="1"/>
    <col min="25" max="25" width="20.33203125" style="314" customWidth="1"/>
    <col min="26" max="26" width="14.6640625" style="314" customWidth="1"/>
    <col min="27" max="27" width="1.6640625" style="314" customWidth="1"/>
    <col min="28" max="29" width="14" style="314" customWidth="1"/>
    <col min="30" max="30" width="14" style="314" hidden="1" customWidth="1"/>
    <col min="31" max="33" width="9.5" style="314" hidden="1" customWidth="1"/>
    <col min="34" max="34" width="0" style="314" hidden="1" customWidth="1"/>
    <col min="35" max="16384" width="10" style="314"/>
  </cols>
  <sheetData>
    <row r="1" spans="2:33" ht="40.5" customHeight="1">
      <c r="C1" s="2423" t="str">
        <f>Dictionary!B931</f>
        <v>Bewertung Level D (Upgrade von Basis Zertifikat)</v>
      </c>
      <c r="D1" s="2423"/>
      <c r="E1" s="2423"/>
      <c r="F1" s="2423"/>
      <c r="G1" s="2423"/>
    </row>
    <row r="2" spans="2:33" ht="18" customHeight="1">
      <c r="C2" s="324" t="str">
        <f>'EXP Eval'!B3</f>
        <v xml:space="preserve">, </v>
      </c>
      <c r="F2" s="386"/>
      <c r="G2" s="386"/>
      <c r="H2" s="386"/>
      <c r="I2" s="386"/>
      <c r="J2" s="386"/>
      <c r="K2" s="387"/>
      <c r="L2" s="386"/>
      <c r="R2" s="388"/>
      <c r="S2" s="388"/>
      <c r="T2" s="388"/>
      <c r="U2" s="388"/>
      <c r="V2" s="387" t="s">
        <v>289</v>
      </c>
      <c r="W2" s="388"/>
      <c r="X2" s="389" t="str">
        <f>COV!V13</f>
        <v>Lead Assessor:</v>
      </c>
      <c r="Y2" s="387" t="s">
        <v>482</v>
      </c>
      <c r="Z2" s="389" t="str">
        <f>COV!V14</f>
        <v>Co Assessor:</v>
      </c>
      <c r="AA2" s="317"/>
      <c r="AB2" s="317"/>
      <c r="AC2" s="317"/>
      <c r="AD2" s="317"/>
      <c r="AE2" s="318"/>
      <c r="AF2" s="318"/>
      <c r="AG2" s="318"/>
    </row>
    <row r="3" spans="2:33" ht="19.25" customHeight="1">
      <c r="D3" s="320"/>
      <c r="E3" s="317"/>
      <c r="F3" s="317"/>
      <c r="G3" s="317"/>
      <c r="H3" s="317"/>
      <c r="I3" s="317"/>
      <c r="J3" s="317"/>
      <c r="K3" s="317"/>
      <c r="L3" s="317"/>
      <c r="R3" s="317"/>
      <c r="S3" s="317"/>
      <c r="T3" s="317"/>
      <c r="U3" s="317"/>
      <c r="V3" s="317"/>
      <c r="W3" s="317"/>
      <c r="X3" s="317"/>
      <c r="Y3" s="317"/>
      <c r="Z3" s="317"/>
      <c r="AA3" s="317"/>
      <c r="AB3" s="321"/>
      <c r="AC3" s="321"/>
      <c r="AD3" s="321"/>
      <c r="AE3" s="321"/>
      <c r="AF3" s="321"/>
      <c r="AG3" s="321"/>
    </row>
    <row r="4" spans="2:33" ht="19.25" customHeight="1">
      <c r="B4" s="390">
        <f>Scoring!C6</f>
        <v>0</v>
      </c>
      <c r="C4" s="391" t="str">
        <f>Dictionary!B923</f>
        <v>Perspective Kompetenz Elemente erfüllt</v>
      </c>
      <c r="D4" s="320"/>
      <c r="E4" s="2453" t="str">
        <f>IF(E194="","",Dictionary!B953)</f>
        <v/>
      </c>
      <c r="F4" s="2453"/>
      <c r="G4" s="2453"/>
      <c r="H4" s="317"/>
      <c r="I4" s="317"/>
      <c r="J4" s="317"/>
      <c r="K4" s="317"/>
      <c r="L4" s="317"/>
      <c r="M4" s="317"/>
      <c r="N4" s="317"/>
      <c r="O4" s="317"/>
      <c r="P4" s="317"/>
      <c r="Q4" s="317"/>
      <c r="R4" s="317"/>
      <c r="S4" s="317"/>
      <c r="T4" s="317"/>
      <c r="U4" s="317"/>
      <c r="V4" s="420"/>
      <c r="W4" s="421"/>
      <c r="X4" s="421"/>
      <c r="Y4" s="421"/>
      <c r="Z4" s="422"/>
      <c r="AA4" s="317"/>
      <c r="AB4" s="433" t="str">
        <f>Dictionary!B932</f>
        <v>Bewertung Level D</v>
      </c>
      <c r="AC4" s="433"/>
      <c r="AD4" s="321"/>
      <c r="AE4" s="321"/>
      <c r="AF4" s="321"/>
      <c r="AG4" s="321"/>
    </row>
    <row r="5" spans="2:33" ht="19.25" customHeight="1">
      <c r="B5" s="394">
        <f>Scoring!C7</f>
        <v>0</v>
      </c>
      <c r="C5" s="395" t="str">
        <f>Dictionary!B924</f>
        <v>People Kompetenz Elemente erfüllt</v>
      </c>
      <c r="D5" s="320"/>
      <c r="E5" s="2450" t="str">
        <f>Dictionary!B949</f>
        <v>Zert. Stelle bestätigt Pfad</v>
      </c>
      <c r="F5" s="2451"/>
      <c r="G5" s="2452"/>
      <c r="H5" s="317"/>
      <c r="I5" s="317"/>
      <c r="J5" s="317"/>
      <c r="K5" s="317"/>
      <c r="L5" s="317"/>
      <c r="M5" s="317"/>
      <c r="N5" s="317"/>
      <c r="O5" s="317"/>
      <c r="P5" s="317"/>
      <c r="Q5" s="317"/>
      <c r="R5" s="317"/>
      <c r="S5" s="317"/>
      <c r="T5" s="317"/>
      <c r="U5" s="317"/>
      <c r="V5" s="423" t="str">
        <f>Dictionary!B927</f>
        <v>Schriftliche Prüfungsvariante:</v>
      </c>
      <c r="W5" s="424"/>
      <c r="X5" s="424"/>
      <c r="Y5" s="2443"/>
      <c r="Z5" s="2444"/>
      <c r="AA5" s="317"/>
      <c r="AB5" s="434" t="str">
        <f>Dictionary!B47</f>
        <v>Bestanden</v>
      </c>
      <c r="AC5" s="434">
        <v>1</v>
      </c>
      <c r="AD5" s="321"/>
      <c r="AE5" s="321"/>
      <c r="AF5" s="321"/>
      <c r="AG5" s="321"/>
    </row>
    <row r="6" spans="2:33" ht="19.25" customHeight="1">
      <c r="B6" s="394">
        <f>Scoring!C8</f>
        <v>0</v>
      </c>
      <c r="C6" s="395" t="str">
        <f>Dictionary!B925</f>
        <v>Practice Kompetenz Elemente erfüllt</v>
      </c>
      <c r="D6" s="320"/>
      <c r="E6" s="317"/>
      <c r="F6" s="317"/>
      <c r="G6" s="317"/>
      <c r="H6" s="317"/>
      <c r="I6" s="317"/>
      <c r="J6" s="317"/>
      <c r="K6" s="317"/>
      <c r="L6" s="317"/>
      <c r="M6" s="317"/>
      <c r="N6" s="317"/>
      <c r="O6" s="317"/>
      <c r="P6" s="317"/>
      <c r="Q6" s="317"/>
      <c r="R6" s="317"/>
      <c r="S6" s="317"/>
      <c r="T6" s="317"/>
      <c r="U6" s="317"/>
      <c r="V6" s="423"/>
      <c r="W6" s="424"/>
      <c r="X6" s="424"/>
      <c r="Y6" s="2445"/>
      <c r="Z6" s="2446"/>
      <c r="AA6" s="317"/>
      <c r="AB6" s="434" t="str">
        <f>Dictionary!B46</f>
        <v>Nicht bestanden</v>
      </c>
      <c r="AC6" s="434">
        <v>0</v>
      </c>
      <c r="AD6" s="321"/>
      <c r="AE6" s="321"/>
      <c r="AF6" s="321"/>
      <c r="AG6" s="321"/>
    </row>
    <row r="7" spans="2:33" ht="17" customHeight="1">
      <c r="B7" s="396">
        <f>Scoring!C9</f>
        <v>0</v>
      </c>
      <c r="C7" s="397" t="str">
        <f>"Overall result: "&amp;R182</f>
        <v xml:space="preserve">Overall result: </v>
      </c>
      <c r="D7" s="318"/>
      <c r="E7" s="1360" t="str">
        <f>Dictionary!B950</f>
        <v>Alte Regeln</v>
      </c>
      <c r="F7" s="317"/>
      <c r="G7" s="1360" t="str">
        <f>Dictionary!B951</f>
        <v>Neue Regeln</v>
      </c>
      <c r="H7" s="317"/>
      <c r="I7" s="317"/>
      <c r="J7" s="317"/>
      <c r="K7" s="317"/>
      <c r="L7" s="317"/>
      <c r="M7" s="317"/>
      <c r="N7" s="317"/>
      <c r="O7" s="317"/>
      <c r="P7" s="317"/>
      <c r="Q7" s="317"/>
      <c r="R7" s="317"/>
      <c r="S7" s="317"/>
      <c r="T7" s="317"/>
      <c r="U7" s="317"/>
      <c r="V7" s="425"/>
      <c r="W7" s="426"/>
      <c r="X7" s="426"/>
      <c r="Y7" s="426"/>
      <c r="Z7" s="427"/>
      <c r="AA7" s="317"/>
      <c r="AB7" s="321"/>
      <c r="AC7" s="321"/>
      <c r="AD7" s="321"/>
      <c r="AE7" s="323"/>
      <c r="AF7" s="323"/>
      <c r="AG7" s="318"/>
    </row>
    <row r="8" spans="2:33" s="326" customFormat="1" ht="10.25" customHeight="1">
      <c r="B8" s="399"/>
      <c r="C8" s="400"/>
      <c r="D8" s="325"/>
      <c r="E8" s="325"/>
      <c r="F8" s="325"/>
      <c r="G8" s="325"/>
      <c r="H8" s="325"/>
      <c r="I8" s="325"/>
      <c r="J8" s="325"/>
      <c r="K8" s="325"/>
      <c r="L8" s="325"/>
      <c r="M8" s="325"/>
      <c r="N8" s="325"/>
      <c r="O8" s="317"/>
      <c r="Q8" s="327"/>
      <c r="R8" s="317"/>
      <c r="V8" s="328"/>
      <c r="W8" s="317"/>
      <c r="X8" s="329"/>
      <c r="Y8" s="330"/>
      <c r="Z8" s="321"/>
      <c r="AA8" s="321"/>
      <c r="AB8" s="321"/>
      <c r="AC8" s="321"/>
      <c r="AD8" s="321"/>
      <c r="AE8" s="331"/>
      <c r="AF8" s="331"/>
      <c r="AG8" s="325"/>
    </row>
    <row r="9" spans="2:33" s="326" customFormat="1" ht="36" customHeight="1">
      <c r="B9" s="332"/>
      <c r="D9" s="325"/>
      <c r="E9" s="333" t="s">
        <v>3233</v>
      </c>
      <c r="F9" s="334"/>
      <c r="G9" s="335" t="s">
        <v>3234</v>
      </c>
      <c r="H9" s="334"/>
      <c r="I9" s="335" t="s">
        <v>483</v>
      </c>
      <c r="J9" s="334"/>
      <c r="K9" s="335" t="s">
        <v>480</v>
      </c>
      <c r="L9" s="325"/>
      <c r="M9" s="336" t="s">
        <v>479</v>
      </c>
      <c r="N9" s="337"/>
      <c r="O9" s="338" t="s">
        <v>478</v>
      </c>
      <c r="Q9" s="331"/>
      <c r="R9" s="339" t="str">
        <f>Dictionary!B941</f>
        <v>Endergebnis</v>
      </c>
      <c r="V9" s="2373" t="str">
        <f>Dictionary!B942</f>
        <v xml:space="preserve">Kommentare </v>
      </c>
      <c r="W9" s="2374"/>
      <c r="X9" s="2374"/>
      <c r="Y9" s="2374"/>
      <c r="Z9" s="2375"/>
      <c r="AA9" s="317"/>
      <c r="AB9" s="317"/>
      <c r="AC9" s="317"/>
      <c r="AD9" s="317"/>
    </row>
    <row r="10" spans="2:33" ht="18" customHeight="1">
      <c r="C10" s="334" t="str">
        <f>Dictionary!B1262</f>
        <v>Perspective Kompetenz Elemente</v>
      </c>
      <c r="D10" s="315"/>
      <c r="E10" s="315"/>
      <c r="F10" s="315"/>
      <c r="G10" s="315"/>
      <c r="H10" s="315"/>
      <c r="I10" s="315"/>
      <c r="J10" s="315"/>
      <c r="K10" s="315"/>
      <c r="L10" s="315"/>
      <c r="M10" s="315"/>
      <c r="N10" s="315"/>
      <c r="O10" s="315"/>
      <c r="R10" s="315"/>
      <c r="AE10" s="340"/>
      <c r="AF10" s="340"/>
      <c r="AG10" s="326"/>
    </row>
    <row r="11" spans="2:33" ht="20" customHeight="1">
      <c r="B11" s="341" t="s">
        <v>475</v>
      </c>
      <c r="C11" s="342" t="str">
        <f>Dictionary!B1263</f>
        <v>Strategie</v>
      </c>
      <c r="D11" s="343"/>
      <c r="E11" s="353"/>
      <c r="F11" s="343"/>
      <c r="G11" s="436"/>
      <c r="H11" s="345"/>
      <c r="I11" s="344"/>
      <c r="J11" s="345"/>
      <c r="K11" s="344"/>
      <c r="L11" s="343"/>
      <c r="M11" s="344"/>
      <c r="N11" s="345"/>
      <c r="O11" s="344"/>
      <c r="Q11" s="343"/>
      <c r="R11" s="346" t="str">
        <f>IF(AND(E11="",G11=""),"",IF((E11+G11)&gt;0,"Pass","Fail"))</f>
        <v/>
      </c>
      <c r="T11" s="428">
        <f>COUNTIF(T12:T16,"&gt;3")/AE11</f>
        <v>0</v>
      </c>
      <c r="V11" s="2376"/>
      <c r="W11" s="2377"/>
      <c r="X11" s="2377"/>
      <c r="Y11" s="2377"/>
      <c r="Z11" s="2378"/>
      <c r="AA11" s="348"/>
      <c r="AB11" s="348"/>
      <c r="AC11" s="348"/>
      <c r="AD11" s="348"/>
      <c r="AE11" s="349">
        <v>5</v>
      </c>
      <c r="AF11" s="349">
        <f>ROUNDUP(AE11/2,0)</f>
        <v>3</v>
      </c>
    </row>
    <row r="12" spans="2:33" ht="18" hidden="1" customHeight="1">
      <c r="B12" s="350" t="str">
        <f>".1"</f>
        <v>.1</v>
      </c>
      <c r="C12" s="351" t="s">
        <v>474</v>
      </c>
      <c r="D12" s="352"/>
      <c r="E12" s="404"/>
      <c r="F12" s="354"/>
      <c r="G12" s="353"/>
      <c r="H12" s="354"/>
      <c r="I12" s="353"/>
      <c r="J12" s="354"/>
      <c r="K12" s="353"/>
      <c r="L12" s="354"/>
      <c r="M12" s="349" t="str">
        <f>IF(MAX(E12,G12,I12,K12)=0,"",MAX(E12,G12,I12,K12))</f>
        <v/>
      </c>
      <c r="N12" s="354"/>
      <c r="O12" s="355"/>
      <c r="Q12" s="356" t="str">
        <f>IF(T12&gt;0,T12,"")</f>
        <v/>
      </c>
      <c r="T12" s="349" t="str">
        <f>Scoring!U14</f>
        <v/>
      </c>
      <c r="V12" s="2376"/>
      <c r="W12" s="2377"/>
      <c r="X12" s="2377"/>
      <c r="Y12" s="2377"/>
      <c r="Z12" s="2378"/>
      <c r="AA12" s="348"/>
      <c r="AB12" s="348"/>
      <c r="AC12" s="348"/>
      <c r="AD12" s="348"/>
      <c r="AE12" s="349"/>
      <c r="AF12" s="349"/>
    </row>
    <row r="13" spans="2:33" ht="24" hidden="1" customHeight="1">
      <c r="B13" s="350" t="str">
        <f>".2"</f>
        <v>.2</v>
      </c>
      <c r="C13" s="351" t="s">
        <v>473</v>
      </c>
      <c r="D13" s="352"/>
      <c r="E13" s="404"/>
      <c r="F13" s="354"/>
      <c r="G13" s="353"/>
      <c r="H13" s="354"/>
      <c r="I13" s="353"/>
      <c r="J13" s="354"/>
      <c r="K13" s="353"/>
      <c r="L13" s="354"/>
      <c r="M13" s="349" t="str">
        <f t="shared" ref="M13:M39" si="0">IF(MAX(E13,G13,I13,K13)=0,"",MAX(E13,G13,I13,K13))</f>
        <v/>
      </c>
      <c r="N13" s="354"/>
      <c r="O13" s="355"/>
      <c r="Q13" s="356" t="str">
        <f>IF(T13&gt;0,T13,"")</f>
        <v/>
      </c>
      <c r="T13" s="349" t="str">
        <f>Scoring!U15</f>
        <v/>
      </c>
      <c r="V13" s="2376"/>
      <c r="W13" s="2377"/>
      <c r="X13" s="2377"/>
      <c r="Y13" s="2377"/>
      <c r="Z13" s="2378"/>
      <c r="AA13" s="348"/>
      <c r="AB13" s="348"/>
      <c r="AC13" s="348"/>
      <c r="AD13" s="348"/>
      <c r="AE13" s="349"/>
      <c r="AF13" s="349"/>
    </row>
    <row r="14" spans="2:33" ht="24" hidden="1" customHeight="1">
      <c r="B14" s="350" t="str">
        <f>".3"</f>
        <v>.3</v>
      </c>
      <c r="C14" s="351" t="s">
        <v>472</v>
      </c>
      <c r="D14" s="352"/>
      <c r="E14" s="404"/>
      <c r="F14" s="354"/>
      <c r="G14" s="353"/>
      <c r="H14" s="354"/>
      <c r="I14" s="353"/>
      <c r="J14" s="354"/>
      <c r="K14" s="353"/>
      <c r="L14" s="354"/>
      <c r="M14" s="349" t="str">
        <f t="shared" si="0"/>
        <v/>
      </c>
      <c r="N14" s="354"/>
      <c r="O14" s="355"/>
      <c r="Q14" s="356" t="str">
        <f>IF(T14&gt;0,T14,"")</f>
        <v/>
      </c>
      <c r="T14" s="349" t="str">
        <f>Scoring!U16</f>
        <v/>
      </c>
      <c r="V14" s="2376"/>
      <c r="W14" s="2377"/>
      <c r="X14" s="2377"/>
      <c r="Y14" s="2377"/>
      <c r="Z14" s="2378"/>
      <c r="AA14" s="348"/>
      <c r="AB14" s="348"/>
      <c r="AC14" s="348"/>
      <c r="AD14" s="348"/>
      <c r="AE14" s="349"/>
      <c r="AF14" s="349"/>
    </row>
    <row r="15" spans="2:33" ht="18" hidden="1" customHeight="1">
      <c r="B15" s="350" t="str">
        <f>".4"</f>
        <v>.4</v>
      </c>
      <c r="C15" s="351" t="s">
        <v>471</v>
      </c>
      <c r="D15" s="352"/>
      <c r="E15" s="404"/>
      <c r="F15" s="354"/>
      <c r="G15" s="353"/>
      <c r="H15" s="354"/>
      <c r="I15" s="353"/>
      <c r="J15" s="354"/>
      <c r="K15" s="353"/>
      <c r="L15" s="354"/>
      <c r="M15" s="349" t="str">
        <f t="shared" si="0"/>
        <v/>
      </c>
      <c r="N15" s="354"/>
      <c r="O15" s="355"/>
      <c r="Q15" s="356" t="str">
        <f>IF(T15&gt;0,T15,"")</f>
        <v/>
      </c>
      <c r="T15" s="349" t="str">
        <f>Scoring!U17</f>
        <v/>
      </c>
      <c r="V15" s="2376"/>
      <c r="W15" s="2377"/>
      <c r="X15" s="2377"/>
      <c r="Y15" s="2377"/>
      <c r="Z15" s="2378"/>
      <c r="AA15" s="348"/>
      <c r="AB15" s="348"/>
      <c r="AC15" s="348"/>
      <c r="AD15" s="348"/>
      <c r="AE15" s="349"/>
      <c r="AF15" s="349"/>
    </row>
    <row r="16" spans="2:33" ht="18" hidden="1" customHeight="1">
      <c r="B16" s="350" t="str">
        <f>".5"</f>
        <v>.5</v>
      </c>
      <c r="C16" s="351" t="s">
        <v>470</v>
      </c>
      <c r="D16" s="352"/>
      <c r="E16" s="404"/>
      <c r="F16" s="354"/>
      <c r="G16" s="353"/>
      <c r="H16" s="354"/>
      <c r="I16" s="353"/>
      <c r="J16" s="354"/>
      <c r="K16" s="353"/>
      <c r="L16" s="354"/>
      <c r="M16" s="349" t="str">
        <f t="shared" si="0"/>
        <v/>
      </c>
      <c r="N16" s="354"/>
      <c r="O16" s="355"/>
      <c r="Q16" s="356" t="str">
        <f>IF(T16&gt;0,T16,"")</f>
        <v/>
      </c>
      <c r="T16" s="349" t="str">
        <f>Scoring!U18</f>
        <v/>
      </c>
      <c r="V16" s="2376"/>
      <c r="W16" s="2377"/>
      <c r="X16" s="2377"/>
      <c r="Y16" s="2377"/>
      <c r="Z16" s="2378"/>
      <c r="AA16" s="348"/>
      <c r="AB16" s="348"/>
      <c r="AC16" s="348"/>
      <c r="AD16" s="348"/>
      <c r="AE16" s="349"/>
      <c r="AF16" s="349"/>
    </row>
    <row r="17" spans="2:32" ht="20" customHeight="1">
      <c r="B17" s="341" t="s">
        <v>469</v>
      </c>
      <c r="C17" s="342" t="str">
        <f>Dictionary!B1271</f>
        <v>Governance, Strukturen und Prozesse</v>
      </c>
      <c r="D17" s="343"/>
      <c r="E17" s="353"/>
      <c r="F17" s="315"/>
      <c r="G17" s="436"/>
      <c r="H17" s="360"/>
      <c r="I17" s="359"/>
      <c r="J17" s="360"/>
      <c r="K17" s="359"/>
      <c r="L17" s="315"/>
      <c r="M17" s="359"/>
      <c r="N17" s="360"/>
      <c r="O17" s="359"/>
      <c r="Q17" s="356"/>
      <c r="R17" s="346" t="str">
        <f>IF(AND(E17="",G17=""),"",IF((E17+G17)&gt;0,"Pass","Fail"))</f>
        <v/>
      </c>
      <c r="T17" s="428">
        <f>COUNTIF(T18:T24,"&gt;3")/AE17</f>
        <v>0</v>
      </c>
      <c r="V17" s="2376"/>
      <c r="W17" s="2377"/>
      <c r="X17" s="2377"/>
      <c r="Y17" s="2377"/>
      <c r="Z17" s="2378"/>
      <c r="AA17" s="348"/>
      <c r="AB17" s="348"/>
      <c r="AC17" s="348"/>
      <c r="AD17" s="348"/>
      <c r="AE17" s="362">
        <v>7</v>
      </c>
      <c r="AF17" s="349">
        <f>ROUNDUP(AE17/2,0)</f>
        <v>4</v>
      </c>
    </row>
    <row r="18" spans="2:32" ht="24" hidden="1" customHeight="1">
      <c r="B18" s="350" t="s">
        <v>516</v>
      </c>
      <c r="C18" s="351" t="s">
        <v>468</v>
      </c>
      <c r="D18" s="352"/>
      <c r="E18" s="353"/>
      <c r="F18" s="354"/>
      <c r="G18" s="353"/>
      <c r="H18" s="354"/>
      <c r="I18" s="353"/>
      <c r="J18" s="354"/>
      <c r="K18" s="353"/>
      <c r="L18" s="354"/>
      <c r="M18" s="349" t="str">
        <f t="shared" si="0"/>
        <v/>
      </c>
      <c r="N18" s="354"/>
      <c r="O18" s="355"/>
      <c r="Q18" s="356" t="str">
        <f t="shared" ref="Q18:Q24" si="1">IF(T18&gt;0,T18,"")</f>
        <v/>
      </c>
      <c r="T18" s="349" t="str">
        <f>Scoring!U20</f>
        <v/>
      </c>
      <c r="V18" s="2376"/>
      <c r="W18" s="2377"/>
      <c r="X18" s="2377"/>
      <c r="Y18" s="2377"/>
      <c r="Z18" s="2378"/>
      <c r="AA18" s="348"/>
      <c r="AB18" s="348"/>
      <c r="AC18" s="348"/>
      <c r="AD18" s="348"/>
      <c r="AE18" s="349"/>
      <c r="AF18" s="349"/>
    </row>
    <row r="19" spans="2:32" ht="24" hidden="1" customHeight="1">
      <c r="B19" s="350" t="s">
        <v>517</v>
      </c>
      <c r="C19" s="351" t="s">
        <v>518</v>
      </c>
      <c r="D19" s="352"/>
      <c r="E19" s="353"/>
      <c r="F19" s="354"/>
      <c r="G19" s="353"/>
      <c r="H19" s="354"/>
      <c r="I19" s="353"/>
      <c r="J19" s="354"/>
      <c r="K19" s="353"/>
      <c r="L19" s="354"/>
      <c r="M19" s="349" t="str">
        <f t="shared" si="0"/>
        <v/>
      </c>
      <c r="N19" s="354"/>
      <c r="O19" s="355"/>
      <c r="Q19" s="356" t="str">
        <f t="shared" si="1"/>
        <v/>
      </c>
      <c r="T19" s="349" t="str">
        <f>Scoring!U21</f>
        <v/>
      </c>
      <c r="V19" s="429"/>
      <c r="W19" s="430"/>
      <c r="X19" s="430"/>
      <c r="Y19" s="430"/>
      <c r="Z19" s="431"/>
      <c r="AA19" s="348"/>
      <c r="AB19" s="348"/>
      <c r="AC19" s="348"/>
      <c r="AD19" s="348"/>
      <c r="AE19" s="349"/>
      <c r="AF19" s="349"/>
    </row>
    <row r="20" spans="2:32" ht="24" hidden="1" customHeight="1">
      <c r="B20" s="350" t="s">
        <v>519</v>
      </c>
      <c r="C20" s="351" t="s">
        <v>520</v>
      </c>
      <c r="D20" s="352"/>
      <c r="E20" s="353"/>
      <c r="F20" s="354"/>
      <c r="G20" s="353"/>
      <c r="H20" s="354"/>
      <c r="I20" s="353"/>
      <c r="J20" s="354"/>
      <c r="K20" s="353"/>
      <c r="L20" s="354"/>
      <c r="M20" s="349" t="str">
        <f t="shared" si="0"/>
        <v/>
      </c>
      <c r="N20" s="354"/>
      <c r="O20" s="355"/>
      <c r="Q20" s="356" t="str">
        <f t="shared" si="1"/>
        <v/>
      </c>
      <c r="T20" s="349" t="str">
        <f>Scoring!U22</f>
        <v/>
      </c>
      <c r="V20" s="429"/>
      <c r="W20" s="430"/>
      <c r="X20" s="430"/>
      <c r="Y20" s="430"/>
      <c r="Z20" s="431"/>
      <c r="AA20" s="348"/>
      <c r="AB20" s="348"/>
      <c r="AC20" s="348"/>
      <c r="AD20" s="348"/>
      <c r="AE20" s="349"/>
      <c r="AF20" s="349"/>
    </row>
    <row r="21" spans="2:32" ht="18" hidden="1" customHeight="1">
      <c r="B21" s="350" t="s">
        <v>521</v>
      </c>
      <c r="C21" s="351" t="s">
        <v>467</v>
      </c>
      <c r="D21" s="352"/>
      <c r="E21" s="353"/>
      <c r="F21" s="354"/>
      <c r="G21" s="353"/>
      <c r="H21" s="354"/>
      <c r="I21" s="353"/>
      <c r="J21" s="354"/>
      <c r="K21" s="353"/>
      <c r="L21" s="354"/>
      <c r="M21" s="349" t="str">
        <f t="shared" si="0"/>
        <v/>
      </c>
      <c r="N21" s="354"/>
      <c r="O21" s="355"/>
      <c r="Q21" s="356" t="str">
        <f t="shared" si="1"/>
        <v/>
      </c>
      <c r="T21" s="349" t="str">
        <f>Scoring!U23</f>
        <v/>
      </c>
      <c r="V21" s="2376"/>
      <c r="W21" s="2377"/>
      <c r="X21" s="2377"/>
      <c r="Y21" s="2377"/>
      <c r="Z21" s="2378"/>
      <c r="AA21" s="348"/>
      <c r="AB21" s="348"/>
      <c r="AC21" s="348"/>
      <c r="AD21" s="348"/>
      <c r="AE21" s="349"/>
      <c r="AF21" s="349"/>
    </row>
    <row r="22" spans="2:32" ht="24" hidden="1" customHeight="1">
      <c r="B22" s="350" t="s">
        <v>522</v>
      </c>
      <c r="C22" s="351" t="s">
        <v>466</v>
      </c>
      <c r="D22" s="352"/>
      <c r="E22" s="353"/>
      <c r="F22" s="354"/>
      <c r="G22" s="353"/>
      <c r="H22" s="354"/>
      <c r="I22" s="353"/>
      <c r="J22" s="354"/>
      <c r="K22" s="353"/>
      <c r="L22" s="354"/>
      <c r="M22" s="349" t="str">
        <f t="shared" si="0"/>
        <v/>
      </c>
      <c r="N22" s="354"/>
      <c r="O22" s="355"/>
      <c r="Q22" s="356" t="str">
        <f t="shared" si="1"/>
        <v/>
      </c>
      <c r="T22" s="349" t="str">
        <f>Scoring!U24</f>
        <v/>
      </c>
      <c r="V22" s="2376"/>
      <c r="W22" s="2377"/>
      <c r="X22" s="2377"/>
      <c r="Y22" s="2377"/>
      <c r="Z22" s="2378"/>
      <c r="AA22" s="348"/>
      <c r="AB22" s="348"/>
      <c r="AC22" s="348"/>
      <c r="AD22" s="348"/>
      <c r="AE22" s="349"/>
      <c r="AF22" s="349"/>
    </row>
    <row r="23" spans="2:32" ht="24" hidden="1" customHeight="1">
      <c r="B23" s="350" t="s">
        <v>523</v>
      </c>
      <c r="C23" s="351" t="s">
        <v>465</v>
      </c>
      <c r="D23" s="352"/>
      <c r="E23" s="353"/>
      <c r="F23" s="354"/>
      <c r="G23" s="353"/>
      <c r="H23" s="354"/>
      <c r="I23" s="353"/>
      <c r="J23" s="354"/>
      <c r="K23" s="353"/>
      <c r="L23" s="354"/>
      <c r="M23" s="349" t="str">
        <f t="shared" si="0"/>
        <v/>
      </c>
      <c r="N23" s="354"/>
      <c r="O23" s="355"/>
      <c r="Q23" s="356" t="str">
        <f t="shared" si="1"/>
        <v/>
      </c>
      <c r="T23" s="349" t="str">
        <f>Scoring!U25</f>
        <v/>
      </c>
      <c r="V23" s="2376"/>
      <c r="W23" s="2377"/>
      <c r="X23" s="2377"/>
      <c r="Y23" s="2377"/>
      <c r="Z23" s="2378"/>
      <c r="AA23" s="348"/>
      <c r="AB23" s="348"/>
      <c r="AC23" s="348"/>
      <c r="AD23" s="348"/>
      <c r="AE23" s="349"/>
      <c r="AF23" s="349"/>
    </row>
    <row r="24" spans="2:32" ht="24" hidden="1" customHeight="1">
      <c r="B24" s="350" t="s">
        <v>524</v>
      </c>
      <c r="C24" s="351" t="s">
        <v>464</v>
      </c>
      <c r="D24" s="352"/>
      <c r="E24" s="353"/>
      <c r="F24" s="354"/>
      <c r="G24" s="353"/>
      <c r="H24" s="354"/>
      <c r="I24" s="353"/>
      <c r="J24" s="354"/>
      <c r="K24" s="353"/>
      <c r="L24" s="354"/>
      <c r="M24" s="349" t="str">
        <f t="shared" si="0"/>
        <v/>
      </c>
      <c r="N24" s="354"/>
      <c r="O24" s="355"/>
      <c r="Q24" s="356" t="str">
        <f t="shared" si="1"/>
        <v/>
      </c>
      <c r="T24" s="349" t="str">
        <f>Scoring!U26</f>
        <v/>
      </c>
      <c r="V24" s="2376"/>
      <c r="W24" s="2377"/>
      <c r="X24" s="2377"/>
      <c r="Y24" s="2377"/>
      <c r="Z24" s="2378"/>
      <c r="AA24" s="348"/>
      <c r="AB24" s="348"/>
      <c r="AC24" s="348"/>
      <c r="AD24" s="348"/>
      <c r="AE24" s="349"/>
      <c r="AF24" s="349"/>
    </row>
    <row r="25" spans="2:32" ht="20" customHeight="1">
      <c r="B25" s="341" t="s">
        <v>463</v>
      </c>
      <c r="C25" s="342" t="str">
        <f>Dictionary!B1280</f>
        <v>Compliance, Standards und Regularien</v>
      </c>
      <c r="D25" s="343"/>
      <c r="E25" s="353"/>
      <c r="F25" s="315"/>
      <c r="G25" s="353"/>
      <c r="H25" s="360"/>
      <c r="I25" s="359"/>
      <c r="J25" s="360"/>
      <c r="K25" s="359"/>
      <c r="L25" s="315"/>
      <c r="M25" s="359"/>
      <c r="N25" s="360"/>
      <c r="O25" s="359"/>
      <c r="Q25" s="356"/>
      <c r="R25" s="346" t="str">
        <f>IF(AND(E25="",G25=""),"",IF((E25+G25)&gt;0,"Pass","Fail"))</f>
        <v/>
      </c>
      <c r="T25" s="428">
        <f>COUNTIF(T26:T31,"&gt;3")/AE25</f>
        <v>0</v>
      </c>
      <c r="V25" s="2376"/>
      <c r="W25" s="2377"/>
      <c r="X25" s="2377"/>
      <c r="Y25" s="2377"/>
      <c r="Z25" s="2378"/>
      <c r="AA25" s="348"/>
      <c r="AB25" s="348"/>
      <c r="AC25" s="348"/>
      <c r="AD25" s="348"/>
      <c r="AE25" s="349">
        <v>6</v>
      </c>
      <c r="AF25" s="349">
        <f>ROUNDUP(AE25/2,0)</f>
        <v>3</v>
      </c>
    </row>
    <row r="26" spans="2:32" ht="24" hidden="1" customHeight="1">
      <c r="B26" s="350" t="str">
        <f>".1"</f>
        <v>.1</v>
      </c>
      <c r="C26" s="351" t="s">
        <v>462</v>
      </c>
      <c r="D26" s="352"/>
      <c r="E26" s="353"/>
      <c r="F26" s="354"/>
      <c r="G26" s="353"/>
      <c r="H26" s="354"/>
      <c r="I26" s="353"/>
      <c r="J26" s="354"/>
      <c r="K26" s="353"/>
      <c r="L26" s="354"/>
      <c r="M26" s="349" t="str">
        <f t="shared" si="0"/>
        <v/>
      </c>
      <c r="N26" s="354"/>
      <c r="O26" s="355"/>
      <c r="Q26" s="356" t="str">
        <f t="shared" ref="Q26:Q31" si="2">IF(T26&gt;0,T26,"")</f>
        <v/>
      </c>
      <c r="T26" s="349" t="str">
        <f>Scoring!U28</f>
        <v/>
      </c>
      <c r="V26" s="2376"/>
      <c r="W26" s="2377"/>
      <c r="X26" s="2377"/>
      <c r="Y26" s="2377"/>
      <c r="Z26" s="2378"/>
      <c r="AA26" s="348"/>
      <c r="AB26" s="348"/>
      <c r="AC26" s="348"/>
      <c r="AD26" s="348"/>
      <c r="AE26" s="349"/>
      <c r="AF26" s="349"/>
    </row>
    <row r="27" spans="2:32" ht="36" hidden="1" customHeight="1">
      <c r="B27" s="350" t="str">
        <f>".2"</f>
        <v>.2</v>
      </c>
      <c r="C27" s="351" t="s">
        <v>461</v>
      </c>
      <c r="D27" s="352"/>
      <c r="E27" s="353"/>
      <c r="F27" s="354"/>
      <c r="G27" s="353"/>
      <c r="H27" s="354"/>
      <c r="I27" s="353"/>
      <c r="J27" s="354"/>
      <c r="K27" s="353"/>
      <c r="L27" s="354"/>
      <c r="M27" s="349" t="str">
        <f t="shared" si="0"/>
        <v/>
      </c>
      <c r="N27" s="354"/>
      <c r="O27" s="355"/>
      <c r="Q27" s="356" t="str">
        <f t="shared" si="2"/>
        <v/>
      </c>
      <c r="T27" s="349" t="str">
        <f>Scoring!U29</f>
        <v/>
      </c>
      <c r="V27" s="2376"/>
      <c r="W27" s="2377"/>
      <c r="X27" s="2377"/>
      <c r="Y27" s="2377"/>
      <c r="Z27" s="2378"/>
      <c r="AA27" s="348"/>
      <c r="AB27" s="348"/>
      <c r="AC27" s="348"/>
      <c r="AD27" s="348"/>
      <c r="AE27" s="349"/>
      <c r="AF27" s="349"/>
    </row>
    <row r="28" spans="2:32" ht="24" hidden="1" customHeight="1">
      <c r="B28" s="350" t="str">
        <f>".3"</f>
        <v>.3</v>
      </c>
      <c r="C28" s="351" t="s">
        <v>460</v>
      </c>
      <c r="D28" s="352"/>
      <c r="E28" s="353"/>
      <c r="F28" s="354"/>
      <c r="G28" s="353"/>
      <c r="H28" s="354"/>
      <c r="I28" s="353"/>
      <c r="J28" s="354"/>
      <c r="K28" s="353"/>
      <c r="L28" s="354"/>
      <c r="M28" s="349" t="str">
        <f t="shared" si="0"/>
        <v/>
      </c>
      <c r="N28" s="354"/>
      <c r="O28" s="355"/>
      <c r="Q28" s="356" t="str">
        <f t="shared" si="2"/>
        <v/>
      </c>
      <c r="T28" s="349" t="str">
        <f>Scoring!U30</f>
        <v/>
      </c>
      <c r="V28" s="2376"/>
      <c r="W28" s="2377"/>
      <c r="X28" s="2377"/>
      <c r="Y28" s="2377"/>
      <c r="Z28" s="2378"/>
      <c r="AA28" s="348"/>
      <c r="AB28" s="348"/>
      <c r="AC28" s="348"/>
      <c r="AD28" s="348"/>
      <c r="AE28" s="349"/>
      <c r="AF28" s="349"/>
    </row>
    <row r="29" spans="2:32" ht="24" hidden="1" customHeight="1">
      <c r="B29" s="350" t="str">
        <f>".4"</f>
        <v>.4</v>
      </c>
      <c r="C29" s="351" t="s">
        <v>459</v>
      </c>
      <c r="D29" s="352"/>
      <c r="E29" s="353"/>
      <c r="F29" s="354"/>
      <c r="G29" s="353"/>
      <c r="H29" s="354"/>
      <c r="I29" s="353"/>
      <c r="J29" s="354"/>
      <c r="K29" s="353"/>
      <c r="L29" s="354"/>
      <c r="M29" s="349" t="str">
        <f t="shared" si="0"/>
        <v/>
      </c>
      <c r="N29" s="354"/>
      <c r="O29" s="355"/>
      <c r="Q29" s="356" t="str">
        <f t="shared" si="2"/>
        <v/>
      </c>
      <c r="T29" s="349" t="str">
        <f>Scoring!U31</f>
        <v/>
      </c>
      <c r="V29" s="2376"/>
      <c r="W29" s="2377"/>
      <c r="X29" s="2377"/>
      <c r="Y29" s="2377"/>
      <c r="Z29" s="2378"/>
      <c r="AA29" s="348"/>
      <c r="AB29" s="348"/>
      <c r="AC29" s="348"/>
      <c r="AD29" s="348"/>
      <c r="AE29" s="349"/>
      <c r="AF29" s="349"/>
    </row>
    <row r="30" spans="2:32" ht="24" hidden="1" customHeight="1">
      <c r="B30" s="350" t="str">
        <f>".5"</f>
        <v>.5</v>
      </c>
      <c r="C30" s="351" t="s">
        <v>458</v>
      </c>
      <c r="D30" s="352"/>
      <c r="E30" s="353"/>
      <c r="F30" s="354"/>
      <c r="G30" s="353"/>
      <c r="H30" s="354"/>
      <c r="I30" s="353"/>
      <c r="J30" s="354"/>
      <c r="K30" s="353"/>
      <c r="L30" s="354"/>
      <c r="M30" s="349" t="str">
        <f t="shared" si="0"/>
        <v/>
      </c>
      <c r="N30" s="354"/>
      <c r="O30" s="355"/>
      <c r="Q30" s="356" t="str">
        <f t="shared" si="2"/>
        <v/>
      </c>
      <c r="T30" s="349" t="str">
        <f>Scoring!U32</f>
        <v/>
      </c>
      <c r="V30" s="2376"/>
      <c r="W30" s="2377"/>
      <c r="X30" s="2377"/>
      <c r="Y30" s="2377"/>
      <c r="Z30" s="2378"/>
      <c r="AA30" s="348"/>
      <c r="AB30" s="348"/>
      <c r="AC30" s="348"/>
      <c r="AD30" s="348"/>
      <c r="AE30" s="349"/>
      <c r="AF30" s="349"/>
    </row>
    <row r="31" spans="2:32" ht="24" hidden="1" customHeight="1">
      <c r="B31" s="350" t="str">
        <f>".6"</f>
        <v>.6</v>
      </c>
      <c r="C31" s="351" t="s">
        <v>457</v>
      </c>
      <c r="D31" s="352"/>
      <c r="E31" s="353"/>
      <c r="F31" s="354"/>
      <c r="G31" s="353"/>
      <c r="H31" s="354"/>
      <c r="I31" s="353"/>
      <c r="J31" s="354"/>
      <c r="K31" s="353"/>
      <c r="L31" s="354"/>
      <c r="M31" s="349" t="str">
        <f t="shared" si="0"/>
        <v/>
      </c>
      <c r="N31" s="354"/>
      <c r="O31" s="355"/>
      <c r="Q31" s="356" t="str">
        <f t="shared" si="2"/>
        <v/>
      </c>
      <c r="T31" s="349" t="str">
        <f>Scoring!U33</f>
        <v/>
      </c>
      <c r="V31" s="2376"/>
      <c r="W31" s="2377"/>
      <c r="X31" s="2377"/>
      <c r="Y31" s="2377"/>
      <c r="Z31" s="2378"/>
      <c r="AA31" s="348"/>
      <c r="AB31" s="348"/>
      <c r="AC31" s="348"/>
      <c r="AD31" s="348"/>
      <c r="AE31" s="349"/>
      <c r="AF31" s="349"/>
    </row>
    <row r="32" spans="2:32" ht="20" customHeight="1">
      <c r="B32" s="341" t="s">
        <v>456</v>
      </c>
      <c r="C32" s="342" t="str">
        <f>Dictionary!B1289</f>
        <v>Macht und Interessen</v>
      </c>
      <c r="D32" s="343"/>
      <c r="E32" s="353"/>
      <c r="F32" s="315"/>
      <c r="G32" s="436"/>
      <c r="H32" s="360"/>
      <c r="I32" s="359"/>
      <c r="J32" s="360"/>
      <c r="K32" s="359"/>
      <c r="L32" s="315"/>
      <c r="M32" s="359"/>
      <c r="N32" s="360"/>
      <c r="O32" s="359"/>
      <c r="Q32" s="356"/>
      <c r="R32" s="346" t="str">
        <f>IF(AND(E32="",G32=""),"",IF((E32+G32)&gt;0,"Pass","Fail"))</f>
        <v/>
      </c>
      <c r="T32" s="428">
        <f>COUNTIF(T33:T35,"&gt;3")/AE32</f>
        <v>0</v>
      </c>
      <c r="V32" s="2376"/>
      <c r="W32" s="2377"/>
      <c r="X32" s="2377"/>
      <c r="Y32" s="2377"/>
      <c r="Z32" s="2378"/>
      <c r="AA32" s="348"/>
      <c r="AB32" s="348"/>
      <c r="AC32" s="348"/>
      <c r="AD32" s="348"/>
      <c r="AE32" s="349">
        <v>3</v>
      </c>
      <c r="AF32" s="349">
        <f>ROUNDUP(AE32/2,0)</f>
        <v>2</v>
      </c>
    </row>
    <row r="33" spans="2:32" ht="24" hidden="1" customHeight="1">
      <c r="B33" s="350" t="str">
        <f>".1"</f>
        <v>.1</v>
      </c>
      <c r="C33" s="351" t="s">
        <v>455</v>
      </c>
      <c r="D33" s="352"/>
      <c r="E33" s="353"/>
      <c r="F33" s="354"/>
      <c r="G33" s="353"/>
      <c r="H33" s="354"/>
      <c r="I33" s="353"/>
      <c r="J33" s="354"/>
      <c r="K33" s="353"/>
      <c r="L33" s="354"/>
      <c r="M33" s="349" t="str">
        <f t="shared" si="0"/>
        <v/>
      </c>
      <c r="N33" s="354"/>
      <c r="O33" s="355"/>
      <c r="Q33" s="356" t="str">
        <f>IF(T33&gt;0,T33,"")</f>
        <v/>
      </c>
      <c r="T33" s="349" t="str">
        <f>Scoring!U35</f>
        <v/>
      </c>
      <c r="V33" s="2376"/>
      <c r="W33" s="2377"/>
      <c r="X33" s="2377"/>
      <c r="Y33" s="2377"/>
      <c r="Z33" s="2378"/>
      <c r="AA33" s="348"/>
      <c r="AB33" s="348"/>
      <c r="AC33" s="348"/>
      <c r="AD33" s="348"/>
      <c r="AE33" s="349"/>
      <c r="AF33" s="349"/>
    </row>
    <row r="34" spans="2:32" ht="24" hidden="1" customHeight="1">
      <c r="B34" s="350" t="str">
        <f>".2"</f>
        <v>.2</v>
      </c>
      <c r="C34" s="351" t="s">
        <v>454</v>
      </c>
      <c r="D34" s="352"/>
      <c r="E34" s="353"/>
      <c r="F34" s="354"/>
      <c r="G34" s="353"/>
      <c r="H34" s="354"/>
      <c r="I34" s="353"/>
      <c r="J34" s="354"/>
      <c r="K34" s="353"/>
      <c r="L34" s="354"/>
      <c r="M34" s="349" t="str">
        <f t="shared" si="0"/>
        <v/>
      </c>
      <c r="N34" s="354"/>
      <c r="O34" s="355"/>
      <c r="Q34" s="356" t="str">
        <f>IF(T34&gt;0,T34,"")</f>
        <v/>
      </c>
      <c r="T34" s="349" t="str">
        <f>Scoring!U36</f>
        <v/>
      </c>
      <c r="V34" s="2376"/>
      <c r="W34" s="2377"/>
      <c r="X34" s="2377"/>
      <c r="Y34" s="2377"/>
      <c r="Z34" s="2378"/>
      <c r="AA34" s="348"/>
      <c r="AB34" s="348"/>
      <c r="AC34" s="348"/>
      <c r="AD34" s="348"/>
      <c r="AE34" s="349"/>
      <c r="AF34" s="349"/>
    </row>
    <row r="35" spans="2:32" ht="24" hidden="1" customHeight="1">
      <c r="B35" s="350" t="str">
        <f>".3"</f>
        <v>.3</v>
      </c>
      <c r="C35" s="351" t="s">
        <v>453</v>
      </c>
      <c r="D35" s="352"/>
      <c r="E35" s="353"/>
      <c r="F35" s="354"/>
      <c r="G35" s="353"/>
      <c r="H35" s="354"/>
      <c r="I35" s="353"/>
      <c r="J35" s="354"/>
      <c r="K35" s="353"/>
      <c r="L35" s="354"/>
      <c r="M35" s="349" t="str">
        <f t="shared" si="0"/>
        <v/>
      </c>
      <c r="N35" s="354"/>
      <c r="O35" s="355"/>
      <c r="Q35" s="356" t="str">
        <f>IF(T35&gt;0,T35,"")</f>
        <v/>
      </c>
      <c r="T35" s="349" t="str">
        <f>Scoring!U37</f>
        <v/>
      </c>
      <c r="V35" s="2376"/>
      <c r="W35" s="2377"/>
      <c r="X35" s="2377"/>
      <c r="Y35" s="2377"/>
      <c r="Z35" s="2378"/>
      <c r="AA35" s="348"/>
      <c r="AB35" s="348"/>
      <c r="AC35" s="348"/>
      <c r="AD35" s="348"/>
      <c r="AE35" s="349"/>
      <c r="AF35" s="349"/>
    </row>
    <row r="36" spans="2:32" ht="20" customHeight="1">
      <c r="B36" s="341" t="s">
        <v>452</v>
      </c>
      <c r="C36" s="342" t="str">
        <f>Dictionary!B1295</f>
        <v>Kultur und Werte</v>
      </c>
      <c r="D36" s="343"/>
      <c r="E36" s="353"/>
      <c r="F36" s="315"/>
      <c r="G36" s="353"/>
      <c r="H36" s="360"/>
      <c r="I36" s="359"/>
      <c r="J36" s="360"/>
      <c r="K36" s="359"/>
      <c r="L36" s="315"/>
      <c r="M36" s="359"/>
      <c r="N36" s="360"/>
      <c r="O36" s="359"/>
      <c r="Q36" s="356"/>
      <c r="R36" s="346" t="str">
        <f>IF(AND(E36="",G36=""),"",IF((E36+G36)&gt;0,"Pass","Fail"))</f>
        <v/>
      </c>
      <c r="T36" s="428">
        <f>COUNTIF(T37:T39,"&gt;3")/AE36</f>
        <v>0</v>
      </c>
      <c r="V36" s="2376"/>
      <c r="W36" s="2377"/>
      <c r="X36" s="2377"/>
      <c r="Y36" s="2377"/>
      <c r="Z36" s="2378"/>
      <c r="AA36" s="348"/>
      <c r="AB36" s="348"/>
      <c r="AC36" s="348"/>
      <c r="AD36" s="348"/>
      <c r="AE36" s="349">
        <v>3</v>
      </c>
      <c r="AF36" s="349">
        <f>ROUNDUP(AE36/2,0)</f>
        <v>2</v>
      </c>
    </row>
    <row r="37" spans="2:32" ht="24" hidden="1" customHeight="1">
      <c r="B37" s="350" t="str">
        <f>".1"</f>
        <v>.1</v>
      </c>
      <c r="C37" s="351" t="s">
        <v>451</v>
      </c>
      <c r="D37" s="352"/>
      <c r="E37" s="404" t="str">
        <f>IF('(8) Exam Evaluation'!Y39="","",'(8) Exam Evaluation'!Y39)</f>
        <v/>
      </c>
      <c r="F37" s="354"/>
      <c r="G37" s="353"/>
      <c r="H37" s="354"/>
      <c r="I37" s="353"/>
      <c r="J37" s="354"/>
      <c r="K37" s="353"/>
      <c r="L37" s="354"/>
      <c r="M37" s="349" t="str">
        <f t="shared" si="0"/>
        <v/>
      </c>
      <c r="N37" s="354"/>
      <c r="O37" s="355"/>
      <c r="Q37" s="356" t="str">
        <f>IF(T37&gt;0,T37,"")</f>
        <v/>
      </c>
      <c r="T37" s="349" t="str">
        <f>Scoring!U39</f>
        <v/>
      </c>
      <c r="V37" s="2376"/>
      <c r="W37" s="2377"/>
      <c r="X37" s="2377"/>
      <c r="Y37" s="2377"/>
      <c r="Z37" s="2378"/>
      <c r="AA37" s="348"/>
      <c r="AB37" s="348"/>
      <c r="AC37" s="348"/>
      <c r="AD37" s="348"/>
      <c r="AE37" s="349"/>
      <c r="AF37" s="349"/>
    </row>
    <row r="38" spans="2:32" ht="24" hidden="1" customHeight="1">
      <c r="B38" s="350" t="str">
        <f>".2"</f>
        <v>.2</v>
      </c>
      <c r="C38" s="351" t="s">
        <v>450</v>
      </c>
      <c r="D38" s="352"/>
      <c r="E38" s="404" t="str">
        <f>IF('(8) Exam Evaluation'!Y40="","",'(8) Exam Evaluation'!Y40)</f>
        <v/>
      </c>
      <c r="F38" s="354"/>
      <c r="G38" s="353"/>
      <c r="H38" s="354"/>
      <c r="I38" s="353"/>
      <c r="J38" s="354"/>
      <c r="K38" s="353"/>
      <c r="L38" s="354"/>
      <c r="M38" s="349" t="str">
        <f t="shared" si="0"/>
        <v/>
      </c>
      <c r="N38" s="354"/>
      <c r="O38" s="355"/>
      <c r="Q38" s="356" t="str">
        <f>IF(T38&gt;0,T38,"")</f>
        <v/>
      </c>
      <c r="T38" s="349" t="str">
        <f>Scoring!U40</f>
        <v/>
      </c>
      <c r="V38" s="2376"/>
      <c r="W38" s="2377"/>
      <c r="X38" s="2377"/>
      <c r="Y38" s="2377"/>
      <c r="Z38" s="2378"/>
      <c r="AA38" s="348"/>
      <c r="AB38" s="348"/>
      <c r="AC38" s="348"/>
      <c r="AD38" s="348"/>
      <c r="AE38" s="349"/>
      <c r="AF38" s="349"/>
    </row>
    <row r="39" spans="2:32" ht="24" hidden="1" customHeight="1">
      <c r="B39" s="350" t="str">
        <f>".3"</f>
        <v>.3</v>
      </c>
      <c r="C39" s="351" t="s">
        <v>449</v>
      </c>
      <c r="D39" s="352"/>
      <c r="E39" s="404" t="str">
        <f>IF('(8) Exam Evaluation'!Y41="","",'(8) Exam Evaluation'!Y41)</f>
        <v/>
      </c>
      <c r="F39" s="354"/>
      <c r="G39" s="353"/>
      <c r="H39" s="354"/>
      <c r="I39" s="353"/>
      <c r="J39" s="354"/>
      <c r="K39" s="353"/>
      <c r="L39" s="354"/>
      <c r="M39" s="349" t="str">
        <f t="shared" si="0"/>
        <v/>
      </c>
      <c r="N39" s="354"/>
      <c r="O39" s="355"/>
      <c r="Q39" s="356" t="str">
        <f>IF(T39&gt;0,T39,"")</f>
        <v/>
      </c>
      <c r="T39" s="349" t="str">
        <f>Scoring!U41</f>
        <v/>
      </c>
      <c r="V39" s="2376"/>
      <c r="W39" s="2377"/>
      <c r="X39" s="2377"/>
      <c r="Y39" s="2377"/>
      <c r="Z39" s="2378"/>
      <c r="AA39" s="348"/>
      <c r="AB39" s="348"/>
      <c r="AC39" s="348"/>
      <c r="AD39" s="348"/>
      <c r="AE39" s="349"/>
      <c r="AF39" s="349"/>
    </row>
    <row r="40" spans="2:32" ht="30" customHeight="1">
      <c r="C40" s="363"/>
      <c r="D40" s="315"/>
      <c r="E40" s="406"/>
      <c r="F40" s="315"/>
      <c r="G40" s="315"/>
      <c r="H40" s="315"/>
      <c r="I40" s="315"/>
      <c r="J40" s="315"/>
      <c r="K40" s="315"/>
      <c r="L40" s="315"/>
      <c r="M40" s="315"/>
      <c r="N40" s="315"/>
      <c r="O40" s="315"/>
      <c r="Q40" s="356"/>
      <c r="R40" s="365"/>
      <c r="W40" s="313"/>
      <c r="X40" s="313"/>
      <c r="Y40" s="313"/>
      <c r="Z40" s="313"/>
      <c r="AA40" s="313"/>
      <c r="AB40" s="313"/>
      <c r="AC40" s="313"/>
      <c r="AD40" s="313"/>
      <c r="AE40" s="315"/>
      <c r="AF40" s="315"/>
    </row>
    <row r="41" spans="2:32" ht="30" customHeight="1">
      <c r="C41" s="366" t="str">
        <f>Dictionary!B1301</f>
        <v>People Kompetenz Elemente</v>
      </c>
      <c r="D41" s="315"/>
      <c r="E41" s="406"/>
      <c r="F41" s="315"/>
      <c r="G41" s="315"/>
      <c r="H41" s="315"/>
      <c r="I41" s="315"/>
      <c r="J41" s="315"/>
      <c r="K41" s="315"/>
      <c r="L41" s="315"/>
      <c r="M41" s="315"/>
      <c r="N41" s="315"/>
      <c r="O41" s="315"/>
      <c r="Q41" s="356"/>
      <c r="R41" s="367"/>
      <c r="W41" s="313"/>
      <c r="X41" s="313"/>
      <c r="Y41" s="313"/>
      <c r="Z41" s="313"/>
      <c r="AA41" s="313"/>
      <c r="AB41" s="313"/>
      <c r="AC41" s="313"/>
      <c r="AD41" s="313"/>
      <c r="AE41" s="334"/>
      <c r="AF41" s="334"/>
    </row>
    <row r="42" spans="2:32" ht="20" customHeight="1">
      <c r="B42" s="341" t="s">
        <v>448</v>
      </c>
      <c r="C42" s="342" t="str">
        <f>Dictionary!B1302</f>
        <v>Selbstreflexion und Selbstmanagement</v>
      </c>
      <c r="D42" s="343"/>
      <c r="E42" s="436"/>
      <c r="F42" s="315"/>
      <c r="G42" s="353"/>
      <c r="H42" s="360"/>
      <c r="I42" s="359"/>
      <c r="J42" s="360"/>
      <c r="K42" s="359"/>
      <c r="L42" s="315"/>
      <c r="M42" s="359"/>
      <c r="N42" s="360"/>
      <c r="O42" s="359"/>
      <c r="Q42" s="356"/>
      <c r="R42" s="346" t="str">
        <f>IF(AND(E42="",G42=""),"",IF((E42+G42)&gt;0,"Pass","Fail"))</f>
        <v/>
      </c>
      <c r="T42" s="428">
        <f>COUNTIF(T43:T47,"&gt;3")/AE42</f>
        <v>0</v>
      </c>
      <c r="V42" s="2376"/>
      <c r="W42" s="2377"/>
      <c r="X42" s="2377"/>
      <c r="Y42" s="2377"/>
      <c r="Z42" s="2378"/>
      <c r="AA42" s="348"/>
      <c r="AB42" s="348"/>
      <c r="AC42" s="348"/>
      <c r="AD42" s="348"/>
      <c r="AE42" s="349">
        <v>5</v>
      </c>
      <c r="AF42" s="349">
        <f>ROUNDUP(AE42/2,0)</f>
        <v>3</v>
      </c>
    </row>
    <row r="43" spans="2:32" ht="24" hidden="1" customHeight="1">
      <c r="B43" s="350" t="str">
        <f>".1"</f>
        <v>.1</v>
      </c>
      <c r="C43" s="351" t="s">
        <v>447</v>
      </c>
      <c r="D43" s="352"/>
      <c r="E43" s="353"/>
      <c r="F43" s="354"/>
      <c r="G43" s="353"/>
      <c r="H43" s="354"/>
      <c r="I43" s="353"/>
      <c r="J43" s="354"/>
      <c r="K43" s="353"/>
      <c r="L43" s="354"/>
      <c r="M43" s="349" t="str">
        <f t="shared" ref="M43:M77" si="3">IF(MAX(E43,G43,I43,K43)=0,"",MAX(E43,G43,I43,K43))</f>
        <v/>
      </c>
      <c r="N43" s="354"/>
      <c r="O43" s="355"/>
      <c r="Q43" s="356" t="str">
        <f>IF(T43&gt;0,T43,"")</f>
        <v/>
      </c>
      <c r="T43" s="349" t="str">
        <f>Scoring!U45</f>
        <v/>
      </c>
      <c r="V43" s="2376"/>
      <c r="W43" s="2377"/>
      <c r="X43" s="2377"/>
      <c r="Y43" s="2377"/>
      <c r="Z43" s="2378"/>
      <c r="AA43" s="348"/>
      <c r="AB43" s="348"/>
      <c r="AC43" s="348"/>
      <c r="AD43" s="348"/>
      <c r="AE43" s="349"/>
      <c r="AF43" s="349"/>
    </row>
    <row r="44" spans="2:32" ht="24" hidden="1" customHeight="1">
      <c r="B44" s="350" t="str">
        <f>".2"</f>
        <v>.2</v>
      </c>
      <c r="C44" s="351" t="s">
        <v>446</v>
      </c>
      <c r="D44" s="352"/>
      <c r="E44" s="353"/>
      <c r="F44" s="354"/>
      <c r="G44" s="353"/>
      <c r="H44" s="354"/>
      <c r="I44" s="353"/>
      <c r="J44" s="354"/>
      <c r="K44" s="353"/>
      <c r="L44" s="354"/>
      <c r="M44" s="349" t="str">
        <f t="shared" si="3"/>
        <v/>
      </c>
      <c r="N44" s="354"/>
      <c r="O44" s="355"/>
      <c r="Q44" s="356" t="str">
        <f>IF(T44&gt;0,T44,"")</f>
        <v/>
      </c>
      <c r="T44" s="349" t="str">
        <f>Scoring!U46</f>
        <v/>
      </c>
      <c r="V44" s="2376"/>
      <c r="W44" s="2377"/>
      <c r="X44" s="2377"/>
      <c r="Y44" s="2377"/>
      <c r="Z44" s="2378"/>
      <c r="AA44" s="348"/>
      <c r="AB44" s="348"/>
      <c r="AC44" s="348"/>
      <c r="AD44" s="348"/>
      <c r="AE44" s="349"/>
      <c r="AF44" s="349"/>
    </row>
    <row r="45" spans="2:32" ht="24" hidden="1" customHeight="1">
      <c r="B45" s="350" t="str">
        <f>".3"</f>
        <v>.3</v>
      </c>
      <c r="C45" s="351" t="s">
        <v>445</v>
      </c>
      <c r="D45" s="352"/>
      <c r="E45" s="353"/>
      <c r="F45" s="354"/>
      <c r="G45" s="353"/>
      <c r="H45" s="354"/>
      <c r="I45" s="353"/>
      <c r="J45" s="354"/>
      <c r="K45" s="353"/>
      <c r="L45" s="354"/>
      <c r="M45" s="349" t="str">
        <f t="shared" si="3"/>
        <v/>
      </c>
      <c r="N45" s="354"/>
      <c r="O45" s="355"/>
      <c r="Q45" s="356" t="str">
        <f>IF(T45&gt;0,T45,"")</f>
        <v/>
      </c>
      <c r="T45" s="349" t="str">
        <f>Scoring!U47</f>
        <v/>
      </c>
      <c r="V45" s="2376"/>
      <c r="W45" s="2377"/>
      <c r="X45" s="2377"/>
      <c r="Y45" s="2377"/>
      <c r="Z45" s="2378"/>
      <c r="AA45" s="348"/>
      <c r="AB45" s="348"/>
      <c r="AC45" s="348"/>
      <c r="AD45" s="348"/>
      <c r="AE45" s="349"/>
      <c r="AF45" s="349"/>
    </row>
    <row r="46" spans="2:32" ht="24" hidden="1" customHeight="1">
      <c r="B46" s="350" t="str">
        <f>".4"</f>
        <v>.4</v>
      </c>
      <c r="C46" s="351" t="s">
        <v>444</v>
      </c>
      <c r="D46" s="352"/>
      <c r="E46" s="353"/>
      <c r="F46" s="354"/>
      <c r="G46" s="353"/>
      <c r="H46" s="354"/>
      <c r="I46" s="353"/>
      <c r="J46" s="354"/>
      <c r="K46" s="353"/>
      <c r="L46" s="354"/>
      <c r="M46" s="349" t="str">
        <f t="shared" si="3"/>
        <v/>
      </c>
      <c r="N46" s="354"/>
      <c r="O46" s="355"/>
      <c r="Q46" s="356" t="str">
        <f>IF(T46&gt;0,T46,"")</f>
        <v/>
      </c>
      <c r="T46" s="349" t="str">
        <f>Scoring!U48</f>
        <v/>
      </c>
      <c r="V46" s="2376"/>
      <c r="W46" s="2377"/>
      <c r="X46" s="2377"/>
      <c r="Y46" s="2377"/>
      <c r="Z46" s="2378"/>
      <c r="AA46" s="348"/>
      <c r="AB46" s="348"/>
      <c r="AC46" s="348"/>
      <c r="AD46" s="348"/>
      <c r="AE46" s="349"/>
      <c r="AF46" s="349"/>
    </row>
    <row r="47" spans="2:32" ht="18" hidden="1" customHeight="1">
      <c r="B47" s="350" t="str">
        <f>".5"</f>
        <v>.5</v>
      </c>
      <c r="C47" s="351" t="s">
        <v>443</v>
      </c>
      <c r="D47" s="352"/>
      <c r="E47" s="353"/>
      <c r="F47" s="354"/>
      <c r="G47" s="353"/>
      <c r="H47" s="354"/>
      <c r="I47" s="353"/>
      <c r="J47" s="354"/>
      <c r="K47" s="353"/>
      <c r="L47" s="354"/>
      <c r="M47" s="349" t="str">
        <f t="shared" si="3"/>
        <v/>
      </c>
      <c r="N47" s="354"/>
      <c r="O47" s="355"/>
      <c r="Q47" s="356" t="str">
        <f>IF(T47&gt;0,T47,"")</f>
        <v/>
      </c>
      <c r="T47" s="349" t="str">
        <f>Scoring!U49</f>
        <v/>
      </c>
      <c r="V47" s="2376"/>
      <c r="W47" s="2377"/>
      <c r="X47" s="2377"/>
      <c r="Y47" s="2377"/>
      <c r="Z47" s="2378"/>
      <c r="AA47" s="348"/>
      <c r="AB47" s="348"/>
      <c r="AC47" s="348"/>
      <c r="AD47" s="348"/>
      <c r="AE47" s="349"/>
      <c r="AF47" s="349"/>
    </row>
    <row r="48" spans="2:32" ht="20" customHeight="1">
      <c r="B48" s="341" t="s">
        <v>442</v>
      </c>
      <c r="C48" s="342" t="str">
        <f>Dictionary!B1310</f>
        <v>Persönliche Integrität und Verlässlichkeit</v>
      </c>
      <c r="D48" s="368" t="str">
        <f>IF(COUNTBLANK(D49:D53)=$AE48,"",IF((COUNTIF(D49:D53,"&gt;=4")/$AE48*100)&gt;=50,"Pass","Fail"))</f>
        <v/>
      </c>
      <c r="E48" s="353"/>
      <c r="F48" s="315"/>
      <c r="G48" s="353"/>
      <c r="H48" s="360"/>
      <c r="I48" s="359"/>
      <c r="J48" s="360"/>
      <c r="K48" s="359"/>
      <c r="L48" s="315"/>
      <c r="M48" s="359"/>
      <c r="N48" s="360"/>
      <c r="O48" s="359"/>
      <c r="Q48" s="356"/>
      <c r="R48" s="346" t="str">
        <f>IF(AND(E48="",G48=""),"",IF((E48+G48)&gt;0,"Pass","Fail"))</f>
        <v/>
      </c>
      <c r="T48" s="428">
        <f>COUNTIF(T49:T53,"&gt;3")/AE48</f>
        <v>0</v>
      </c>
      <c r="V48" s="2376"/>
      <c r="W48" s="2377"/>
      <c r="X48" s="2377"/>
      <c r="Y48" s="2377"/>
      <c r="Z48" s="2378"/>
      <c r="AA48" s="348"/>
      <c r="AB48" s="348"/>
      <c r="AC48" s="348"/>
      <c r="AD48" s="348"/>
      <c r="AE48" s="349">
        <v>5</v>
      </c>
      <c r="AF48" s="349">
        <f>ROUNDUP(AE48/2,0)</f>
        <v>3</v>
      </c>
    </row>
    <row r="49" spans="2:32" ht="24" hidden="1" customHeight="1">
      <c r="B49" s="350" t="str">
        <f>".1"</f>
        <v>.1</v>
      </c>
      <c r="C49" s="351" t="s">
        <v>441</v>
      </c>
      <c r="D49" s="352"/>
      <c r="E49" s="353"/>
      <c r="F49" s="354"/>
      <c r="G49" s="353"/>
      <c r="H49" s="354"/>
      <c r="I49" s="353"/>
      <c r="J49" s="354"/>
      <c r="K49" s="353"/>
      <c r="L49" s="354"/>
      <c r="M49" s="349" t="str">
        <f t="shared" si="3"/>
        <v/>
      </c>
      <c r="N49" s="354"/>
      <c r="O49" s="355"/>
      <c r="Q49" s="356" t="str">
        <f>IF(T49&gt;0,T49,"")</f>
        <v/>
      </c>
      <c r="T49" s="349" t="str">
        <f>Scoring!U51</f>
        <v/>
      </c>
      <c r="V49" s="2376"/>
      <c r="W49" s="2377"/>
      <c r="X49" s="2377"/>
      <c r="Y49" s="2377"/>
      <c r="Z49" s="2378"/>
      <c r="AA49" s="348"/>
      <c r="AB49" s="348"/>
      <c r="AC49" s="348"/>
      <c r="AD49" s="348"/>
      <c r="AE49" s="349"/>
      <c r="AF49" s="349"/>
    </row>
    <row r="50" spans="2:32" ht="18" hidden="1" customHeight="1">
      <c r="B50" s="350" t="str">
        <f>".2"</f>
        <v>.2</v>
      </c>
      <c r="C50" s="351" t="s">
        <v>440</v>
      </c>
      <c r="D50" s="352"/>
      <c r="E50" s="353"/>
      <c r="F50" s="354"/>
      <c r="G50" s="353"/>
      <c r="H50" s="354"/>
      <c r="I50" s="353"/>
      <c r="J50" s="354"/>
      <c r="K50" s="353"/>
      <c r="L50" s="354"/>
      <c r="M50" s="349" t="str">
        <f t="shared" si="3"/>
        <v/>
      </c>
      <c r="N50" s="354"/>
      <c r="O50" s="355"/>
      <c r="Q50" s="356" t="str">
        <f>IF(T50&gt;0,T50,"")</f>
        <v/>
      </c>
      <c r="T50" s="349" t="str">
        <f>Scoring!U52</f>
        <v/>
      </c>
      <c r="V50" s="2376"/>
      <c r="W50" s="2377"/>
      <c r="X50" s="2377"/>
      <c r="Y50" s="2377"/>
      <c r="Z50" s="2378"/>
      <c r="AA50" s="348"/>
      <c r="AB50" s="348"/>
      <c r="AC50" s="348"/>
      <c r="AD50" s="348"/>
      <c r="AE50" s="349"/>
      <c r="AF50" s="349"/>
    </row>
    <row r="51" spans="2:32" ht="18" hidden="1" customHeight="1">
      <c r="B51" s="350" t="str">
        <f>".3"</f>
        <v>.3</v>
      </c>
      <c r="C51" s="351" t="s">
        <v>439</v>
      </c>
      <c r="D51" s="352"/>
      <c r="E51" s="353"/>
      <c r="F51" s="354"/>
      <c r="G51" s="353"/>
      <c r="H51" s="354"/>
      <c r="I51" s="353"/>
      <c r="J51" s="354"/>
      <c r="K51" s="353"/>
      <c r="L51" s="354"/>
      <c r="M51" s="349" t="str">
        <f t="shared" si="3"/>
        <v/>
      </c>
      <c r="N51" s="354"/>
      <c r="O51" s="355"/>
      <c r="Q51" s="356" t="str">
        <f>IF(T51&gt;0,T51,"")</f>
        <v/>
      </c>
      <c r="T51" s="349" t="str">
        <f>Scoring!U53</f>
        <v/>
      </c>
      <c r="V51" s="2376"/>
      <c r="W51" s="2377"/>
      <c r="X51" s="2377"/>
      <c r="Y51" s="2377"/>
      <c r="Z51" s="2378"/>
      <c r="AA51" s="348"/>
      <c r="AB51" s="348"/>
      <c r="AC51" s="348"/>
      <c r="AD51" s="348"/>
      <c r="AE51" s="349"/>
      <c r="AF51" s="349"/>
    </row>
    <row r="52" spans="2:32" ht="18" hidden="1" customHeight="1">
      <c r="B52" s="350" t="str">
        <f>".4"</f>
        <v>.4</v>
      </c>
      <c r="C52" s="351" t="s">
        <v>438</v>
      </c>
      <c r="D52" s="352"/>
      <c r="E52" s="353"/>
      <c r="F52" s="354"/>
      <c r="G52" s="353"/>
      <c r="H52" s="354"/>
      <c r="I52" s="353"/>
      <c r="J52" s="354"/>
      <c r="K52" s="353"/>
      <c r="L52" s="354"/>
      <c r="M52" s="349" t="str">
        <f t="shared" si="3"/>
        <v/>
      </c>
      <c r="N52" s="354"/>
      <c r="O52" s="355"/>
      <c r="Q52" s="356" t="str">
        <f>IF(T52&gt;0,T52,"")</f>
        <v/>
      </c>
      <c r="T52" s="349" t="str">
        <f>Scoring!U54</f>
        <v/>
      </c>
      <c r="V52" s="2376"/>
      <c r="W52" s="2377"/>
      <c r="X52" s="2377"/>
      <c r="Y52" s="2377"/>
      <c r="Z52" s="2378"/>
      <c r="AA52" s="348"/>
      <c r="AB52" s="348"/>
      <c r="AC52" s="348"/>
      <c r="AD52" s="348"/>
      <c r="AE52" s="349"/>
      <c r="AF52" s="349"/>
    </row>
    <row r="53" spans="2:32" ht="24" hidden="1" customHeight="1">
      <c r="B53" s="350" t="str">
        <f>".5"</f>
        <v>.5</v>
      </c>
      <c r="C53" s="351" t="s">
        <v>437</v>
      </c>
      <c r="D53" s="352"/>
      <c r="E53" s="353"/>
      <c r="F53" s="354"/>
      <c r="G53" s="353"/>
      <c r="H53" s="354"/>
      <c r="I53" s="353"/>
      <c r="J53" s="354"/>
      <c r="K53" s="353"/>
      <c r="L53" s="354"/>
      <c r="M53" s="349" t="str">
        <f t="shared" si="3"/>
        <v/>
      </c>
      <c r="N53" s="354"/>
      <c r="O53" s="355"/>
      <c r="Q53" s="356" t="str">
        <f>IF(T53&gt;0,T53,"")</f>
        <v/>
      </c>
      <c r="T53" s="349" t="str">
        <f>Scoring!U55</f>
        <v/>
      </c>
      <c r="V53" s="2376"/>
      <c r="W53" s="2377"/>
      <c r="X53" s="2377"/>
      <c r="Y53" s="2377"/>
      <c r="Z53" s="2378"/>
      <c r="AA53" s="348"/>
      <c r="AB53" s="348"/>
      <c r="AC53" s="348"/>
      <c r="AD53" s="348"/>
      <c r="AE53" s="349"/>
      <c r="AF53" s="349"/>
    </row>
    <row r="54" spans="2:32" ht="20" customHeight="1">
      <c r="B54" s="341" t="s">
        <v>436</v>
      </c>
      <c r="C54" s="342" t="str">
        <f>Dictionary!B1318</f>
        <v>Persönliche Kommunikation</v>
      </c>
      <c r="D54" s="343"/>
      <c r="E54" s="436"/>
      <c r="F54" s="315"/>
      <c r="G54" s="436"/>
      <c r="H54" s="360"/>
      <c r="I54" s="359"/>
      <c r="J54" s="360"/>
      <c r="K54" s="359"/>
      <c r="L54" s="315"/>
      <c r="M54" s="359"/>
      <c r="N54" s="360"/>
      <c r="O54" s="359"/>
      <c r="Q54" s="356"/>
      <c r="R54" s="346" t="str">
        <f>IF(AND(E54="",G54=""),"",IF((E54+G54)&gt;0,"Pass","Fail"))</f>
        <v/>
      </c>
      <c r="T54" s="428">
        <f>COUNTIF(T55:T59,"&gt;3")/AE54</f>
        <v>0</v>
      </c>
      <c r="V54" s="2376"/>
      <c r="W54" s="2377"/>
      <c r="X54" s="2377"/>
      <c r="Y54" s="2377"/>
      <c r="Z54" s="2378"/>
      <c r="AA54" s="348"/>
      <c r="AB54" s="348"/>
      <c r="AC54" s="348"/>
      <c r="AD54" s="369"/>
      <c r="AE54" s="349">
        <v>5</v>
      </c>
      <c r="AF54" s="349">
        <f>ROUNDUP(AE54/2,0)</f>
        <v>3</v>
      </c>
    </row>
    <row r="55" spans="2:32" ht="24" hidden="1" customHeight="1">
      <c r="B55" s="350" t="str">
        <f>".1"</f>
        <v>.1</v>
      </c>
      <c r="C55" s="351" t="s">
        <v>435</v>
      </c>
      <c r="D55" s="352"/>
      <c r="E55" s="353"/>
      <c r="F55" s="354"/>
      <c r="G55" s="353"/>
      <c r="H55" s="354"/>
      <c r="I55" s="353"/>
      <c r="J55" s="354"/>
      <c r="K55" s="353"/>
      <c r="L55" s="354"/>
      <c r="M55" s="349" t="str">
        <f t="shared" si="3"/>
        <v/>
      </c>
      <c r="N55" s="354"/>
      <c r="O55" s="355"/>
      <c r="Q55" s="356" t="str">
        <f>IF(T55&gt;0,T55,"")</f>
        <v/>
      </c>
      <c r="T55" s="349" t="str">
        <f>Scoring!U57</f>
        <v/>
      </c>
      <c r="V55" s="2376"/>
      <c r="W55" s="2377"/>
      <c r="X55" s="2377"/>
      <c r="Y55" s="2377"/>
      <c r="Z55" s="2378"/>
      <c r="AA55" s="348"/>
      <c r="AB55" s="348"/>
      <c r="AC55" s="348"/>
      <c r="AD55" s="348"/>
      <c r="AE55" s="349"/>
      <c r="AF55" s="349"/>
    </row>
    <row r="56" spans="2:32" ht="18" hidden="1" customHeight="1">
      <c r="B56" s="350" t="str">
        <f>".2"</f>
        <v>.2</v>
      </c>
      <c r="C56" s="351" t="s">
        <v>434</v>
      </c>
      <c r="D56" s="352"/>
      <c r="E56" s="353"/>
      <c r="F56" s="354"/>
      <c r="G56" s="353"/>
      <c r="H56" s="354"/>
      <c r="I56" s="353"/>
      <c r="J56" s="354"/>
      <c r="K56" s="353"/>
      <c r="L56" s="354"/>
      <c r="M56" s="349" t="str">
        <f t="shared" si="3"/>
        <v/>
      </c>
      <c r="N56" s="354"/>
      <c r="O56" s="355"/>
      <c r="Q56" s="356" t="str">
        <f>IF(T56&gt;0,T56,"")</f>
        <v/>
      </c>
      <c r="T56" s="349" t="str">
        <f>Scoring!U58</f>
        <v/>
      </c>
      <c r="V56" s="2376"/>
      <c r="W56" s="2377"/>
      <c r="X56" s="2377"/>
      <c r="Y56" s="2377"/>
      <c r="Z56" s="2378"/>
      <c r="AA56" s="348"/>
      <c r="AB56" s="348"/>
      <c r="AC56" s="348"/>
      <c r="AD56" s="348"/>
      <c r="AE56" s="349"/>
      <c r="AF56" s="349"/>
    </row>
    <row r="57" spans="2:32" ht="24" hidden="1" customHeight="1">
      <c r="B57" s="350" t="str">
        <f>".3"</f>
        <v>.3</v>
      </c>
      <c r="C57" s="351" t="s">
        <v>433</v>
      </c>
      <c r="D57" s="352"/>
      <c r="E57" s="353"/>
      <c r="F57" s="354"/>
      <c r="G57" s="353"/>
      <c r="H57" s="354"/>
      <c r="I57" s="353"/>
      <c r="J57" s="354"/>
      <c r="K57" s="353"/>
      <c r="L57" s="354"/>
      <c r="M57" s="349" t="str">
        <f t="shared" si="3"/>
        <v/>
      </c>
      <c r="N57" s="354"/>
      <c r="O57" s="355"/>
      <c r="Q57" s="356" t="str">
        <f>IF(T57&gt;0,T57,"")</f>
        <v/>
      </c>
      <c r="T57" s="349" t="str">
        <f>Scoring!U59</f>
        <v/>
      </c>
      <c r="V57" s="2376"/>
      <c r="W57" s="2377"/>
      <c r="X57" s="2377"/>
      <c r="Y57" s="2377"/>
      <c r="Z57" s="2378"/>
      <c r="AA57" s="348"/>
      <c r="AB57" s="348"/>
      <c r="AC57" s="348"/>
      <c r="AD57" s="348"/>
      <c r="AE57" s="349"/>
      <c r="AF57" s="349"/>
    </row>
    <row r="58" spans="2:32" ht="18" hidden="1" customHeight="1">
      <c r="B58" s="350" t="str">
        <f>".4"</f>
        <v>.4</v>
      </c>
      <c r="C58" s="351" t="s">
        <v>432</v>
      </c>
      <c r="D58" s="352"/>
      <c r="E58" s="353"/>
      <c r="F58" s="354"/>
      <c r="G58" s="353"/>
      <c r="H58" s="354"/>
      <c r="I58" s="353"/>
      <c r="J58" s="354"/>
      <c r="K58" s="353"/>
      <c r="L58" s="354"/>
      <c r="M58" s="349" t="str">
        <f t="shared" si="3"/>
        <v/>
      </c>
      <c r="N58" s="354"/>
      <c r="O58" s="355"/>
      <c r="Q58" s="356" t="str">
        <f>IF(T58&gt;0,T58,"")</f>
        <v/>
      </c>
      <c r="T58" s="349" t="str">
        <f>Scoring!U60</f>
        <v/>
      </c>
      <c r="V58" s="2376"/>
      <c r="W58" s="2377"/>
      <c r="X58" s="2377"/>
      <c r="Y58" s="2377"/>
      <c r="Z58" s="2378"/>
      <c r="AA58" s="348"/>
      <c r="AB58" s="348"/>
      <c r="AC58" s="348"/>
      <c r="AD58" s="348"/>
      <c r="AE58" s="349"/>
      <c r="AF58" s="349"/>
    </row>
    <row r="59" spans="2:32" ht="18" hidden="1" customHeight="1">
      <c r="B59" s="350" t="str">
        <f>".5"</f>
        <v>.5</v>
      </c>
      <c r="C59" s="351" t="s">
        <v>431</v>
      </c>
      <c r="D59" s="352"/>
      <c r="E59" s="353"/>
      <c r="F59" s="354"/>
      <c r="G59" s="353"/>
      <c r="H59" s="354"/>
      <c r="I59" s="353"/>
      <c r="J59" s="354"/>
      <c r="K59" s="353"/>
      <c r="L59" s="354"/>
      <c r="M59" s="349" t="str">
        <f t="shared" si="3"/>
        <v/>
      </c>
      <c r="N59" s="354"/>
      <c r="O59" s="355"/>
      <c r="Q59" s="356" t="str">
        <f>IF(T59&gt;0,T59,"")</f>
        <v/>
      </c>
      <c r="T59" s="349" t="str">
        <f>Scoring!U61</f>
        <v/>
      </c>
      <c r="V59" s="2376"/>
      <c r="W59" s="2377"/>
      <c r="X59" s="2377"/>
      <c r="Y59" s="2377"/>
      <c r="Z59" s="2378"/>
      <c r="AA59" s="348"/>
      <c r="AB59" s="348"/>
      <c r="AC59" s="348"/>
      <c r="AD59" s="348"/>
      <c r="AE59" s="349"/>
      <c r="AF59" s="349"/>
    </row>
    <row r="60" spans="2:32" ht="20" customHeight="1">
      <c r="B60" s="341" t="s">
        <v>430</v>
      </c>
      <c r="C60" s="342" t="str">
        <f>Dictionary!B1326</f>
        <v>Beziehungen und Engagement</v>
      </c>
      <c r="D60" s="343"/>
      <c r="E60" s="353"/>
      <c r="F60" s="315"/>
      <c r="G60" s="353"/>
      <c r="H60" s="360"/>
      <c r="I60" s="359"/>
      <c r="J60" s="360"/>
      <c r="K60" s="359"/>
      <c r="L60" s="315"/>
      <c r="M60" s="359"/>
      <c r="N60" s="360"/>
      <c r="O60" s="359"/>
      <c r="Q60" s="356"/>
      <c r="R60" s="346" t="str">
        <f>IF(AND(E60="",G60=""),"",IF((E60+G60)&gt;0,"Pass","Fail"))</f>
        <v/>
      </c>
      <c r="T60" s="428">
        <f>COUNTIF(T61:T65,"&gt;3")/AE60</f>
        <v>0</v>
      </c>
      <c r="V60" s="2376"/>
      <c r="W60" s="2377"/>
      <c r="X60" s="2377"/>
      <c r="Y60" s="2377"/>
      <c r="Z60" s="2378"/>
      <c r="AA60" s="348"/>
      <c r="AB60" s="348"/>
      <c r="AC60" s="348"/>
      <c r="AD60" s="369"/>
      <c r="AE60" s="349">
        <v>5</v>
      </c>
      <c r="AF60" s="349">
        <f>ROUNDUP(AE60/2,0)</f>
        <v>3</v>
      </c>
    </row>
    <row r="61" spans="2:32" ht="18" hidden="1" customHeight="1">
      <c r="B61" s="350" t="str">
        <f>".1"</f>
        <v>.1</v>
      </c>
      <c r="C61" s="351" t="s">
        <v>429</v>
      </c>
      <c r="D61" s="352"/>
      <c r="E61" s="353"/>
      <c r="F61" s="354"/>
      <c r="G61" s="353"/>
      <c r="H61" s="354"/>
      <c r="I61" s="353"/>
      <c r="J61" s="354"/>
      <c r="K61" s="353"/>
      <c r="L61" s="354"/>
      <c r="M61" s="349" t="str">
        <f t="shared" si="3"/>
        <v/>
      </c>
      <c r="N61" s="354"/>
      <c r="O61" s="355"/>
      <c r="Q61" s="356" t="str">
        <f>IF(T61&gt;0,T61,"")</f>
        <v/>
      </c>
      <c r="T61" s="349" t="str">
        <f>Scoring!U63</f>
        <v/>
      </c>
      <c r="V61" s="2376"/>
      <c r="W61" s="2377"/>
      <c r="X61" s="2377"/>
      <c r="Y61" s="2377"/>
      <c r="Z61" s="2378"/>
      <c r="AA61" s="348"/>
      <c r="AB61" s="348"/>
      <c r="AC61" s="348"/>
      <c r="AD61" s="348"/>
      <c r="AE61" s="349"/>
      <c r="AF61" s="349"/>
    </row>
    <row r="62" spans="2:32" ht="18" hidden="1" customHeight="1">
      <c r="B62" s="350" t="str">
        <f>".2"</f>
        <v>.2</v>
      </c>
      <c r="C62" s="351" t="s">
        <v>428</v>
      </c>
      <c r="D62" s="352"/>
      <c r="E62" s="353"/>
      <c r="F62" s="354"/>
      <c r="G62" s="353"/>
      <c r="H62" s="354"/>
      <c r="I62" s="353"/>
      <c r="J62" s="354"/>
      <c r="K62" s="353"/>
      <c r="L62" s="354"/>
      <c r="M62" s="349" t="str">
        <f t="shared" si="3"/>
        <v/>
      </c>
      <c r="N62" s="354"/>
      <c r="O62" s="355"/>
      <c r="Q62" s="356" t="str">
        <f>IF(T62&gt;0,T62,"")</f>
        <v/>
      </c>
      <c r="T62" s="349" t="str">
        <f>Scoring!U64</f>
        <v/>
      </c>
      <c r="V62" s="2376"/>
      <c r="W62" s="2377"/>
      <c r="X62" s="2377"/>
      <c r="Y62" s="2377"/>
      <c r="Z62" s="2378"/>
      <c r="AA62" s="348"/>
      <c r="AB62" s="348"/>
      <c r="AC62" s="348"/>
      <c r="AD62" s="348"/>
      <c r="AE62" s="349"/>
      <c r="AF62" s="349"/>
    </row>
    <row r="63" spans="2:32" ht="24" hidden="1" customHeight="1">
      <c r="B63" s="350" t="str">
        <f>".3"</f>
        <v>.3</v>
      </c>
      <c r="C63" s="351" t="s">
        <v>427</v>
      </c>
      <c r="D63" s="352"/>
      <c r="E63" s="353"/>
      <c r="F63" s="354"/>
      <c r="G63" s="353"/>
      <c r="H63" s="354"/>
      <c r="I63" s="353"/>
      <c r="J63" s="354"/>
      <c r="K63" s="353"/>
      <c r="L63" s="354"/>
      <c r="M63" s="349" t="str">
        <f t="shared" si="3"/>
        <v/>
      </c>
      <c r="N63" s="354"/>
      <c r="O63" s="355"/>
      <c r="Q63" s="356" t="str">
        <f>IF(T63&gt;0,T63,"")</f>
        <v/>
      </c>
      <c r="T63" s="349" t="str">
        <f>Scoring!U65</f>
        <v/>
      </c>
      <c r="V63" s="2376"/>
      <c r="W63" s="2377"/>
      <c r="X63" s="2377"/>
      <c r="Y63" s="2377"/>
      <c r="Z63" s="2378"/>
      <c r="AA63" s="348"/>
      <c r="AB63" s="348"/>
      <c r="AC63" s="348"/>
      <c r="AD63" s="348"/>
      <c r="AE63" s="349"/>
      <c r="AF63" s="349"/>
    </row>
    <row r="64" spans="2:32" ht="24" hidden="1" customHeight="1">
      <c r="B64" s="350" t="str">
        <f>".4"</f>
        <v>.4</v>
      </c>
      <c r="C64" s="351" t="s">
        <v>426</v>
      </c>
      <c r="D64" s="352"/>
      <c r="E64" s="353"/>
      <c r="F64" s="354"/>
      <c r="G64" s="353"/>
      <c r="H64" s="354"/>
      <c r="I64" s="353"/>
      <c r="J64" s="354"/>
      <c r="K64" s="353"/>
      <c r="L64" s="354"/>
      <c r="M64" s="349" t="str">
        <f t="shared" si="3"/>
        <v/>
      </c>
      <c r="N64" s="354"/>
      <c r="O64" s="355"/>
      <c r="Q64" s="356" t="str">
        <f>IF(T64&gt;0,T64,"")</f>
        <v/>
      </c>
      <c r="T64" s="349" t="str">
        <f>Scoring!U66</f>
        <v/>
      </c>
      <c r="V64" s="2376"/>
      <c r="W64" s="2377"/>
      <c r="X64" s="2377"/>
      <c r="Y64" s="2377"/>
      <c r="Z64" s="2378"/>
      <c r="AA64" s="348"/>
      <c r="AB64" s="348"/>
      <c r="AC64" s="348"/>
      <c r="AD64" s="348"/>
      <c r="AE64" s="349"/>
      <c r="AF64" s="349"/>
    </row>
    <row r="65" spans="2:32" ht="24" hidden="1" customHeight="1">
      <c r="B65" s="350" t="str">
        <f>".5"</f>
        <v>.5</v>
      </c>
      <c r="C65" s="351" t="s">
        <v>425</v>
      </c>
      <c r="D65" s="352"/>
      <c r="E65" s="353"/>
      <c r="F65" s="354"/>
      <c r="G65" s="353"/>
      <c r="H65" s="354"/>
      <c r="I65" s="353"/>
      <c r="J65" s="354"/>
      <c r="K65" s="353"/>
      <c r="L65" s="354"/>
      <c r="M65" s="349" t="str">
        <f t="shared" si="3"/>
        <v/>
      </c>
      <c r="N65" s="354"/>
      <c r="O65" s="355"/>
      <c r="Q65" s="356" t="str">
        <f>IF(T65&gt;0,T65,"")</f>
        <v/>
      </c>
      <c r="T65" s="349" t="str">
        <f>Scoring!U67</f>
        <v/>
      </c>
      <c r="V65" s="2376"/>
      <c r="W65" s="2377"/>
      <c r="X65" s="2377"/>
      <c r="Y65" s="2377"/>
      <c r="Z65" s="2378"/>
      <c r="AA65" s="348"/>
      <c r="AB65" s="348"/>
      <c r="AC65" s="348"/>
      <c r="AD65" s="348"/>
      <c r="AE65" s="349"/>
      <c r="AF65" s="349"/>
    </row>
    <row r="66" spans="2:32" ht="20" customHeight="1">
      <c r="B66" s="341" t="s">
        <v>424</v>
      </c>
      <c r="C66" s="342" t="str">
        <f>Dictionary!B1334</f>
        <v>Führung</v>
      </c>
      <c r="D66" s="343"/>
      <c r="E66" s="353"/>
      <c r="F66" s="315"/>
      <c r="G66" s="353"/>
      <c r="H66" s="360"/>
      <c r="I66" s="359"/>
      <c r="J66" s="360"/>
      <c r="K66" s="359"/>
      <c r="L66" s="315"/>
      <c r="M66" s="359"/>
      <c r="N66" s="360"/>
      <c r="O66" s="359"/>
      <c r="Q66" s="356"/>
      <c r="R66" s="346" t="str">
        <f>IF(AND(E66="",G66=""),"",IF((E66+G66)&gt;0,"Pass","Fail"))</f>
        <v/>
      </c>
      <c r="T66" s="428">
        <f>COUNTIF(T67:T71,"&gt;3")/AE66</f>
        <v>0</v>
      </c>
      <c r="V66" s="2376"/>
      <c r="W66" s="2377"/>
      <c r="X66" s="2377"/>
      <c r="Y66" s="2377"/>
      <c r="Z66" s="2378"/>
      <c r="AA66" s="348"/>
      <c r="AB66" s="348"/>
      <c r="AC66" s="348"/>
      <c r="AD66" s="348"/>
      <c r="AE66" s="349">
        <v>5</v>
      </c>
      <c r="AF66" s="349">
        <f>ROUNDUP(AE66/2,0)</f>
        <v>3</v>
      </c>
    </row>
    <row r="67" spans="2:32" ht="18" hidden="1" customHeight="1">
      <c r="B67" s="350" t="str">
        <f>".1"</f>
        <v>.1</v>
      </c>
      <c r="C67" s="351" t="s">
        <v>423</v>
      </c>
      <c r="D67" s="352"/>
      <c r="E67" s="353"/>
      <c r="F67" s="354"/>
      <c r="G67" s="353"/>
      <c r="H67" s="354"/>
      <c r="I67" s="353"/>
      <c r="J67" s="354"/>
      <c r="K67" s="353"/>
      <c r="L67" s="354"/>
      <c r="M67" s="349" t="str">
        <f t="shared" si="3"/>
        <v/>
      </c>
      <c r="N67" s="354"/>
      <c r="O67" s="355"/>
      <c r="Q67" s="356" t="str">
        <f>IF(T67&gt;0,T67,"")</f>
        <v/>
      </c>
      <c r="T67" s="349" t="str">
        <f>Scoring!U69</f>
        <v/>
      </c>
      <c r="V67" s="2376"/>
      <c r="W67" s="2377"/>
      <c r="X67" s="2377"/>
      <c r="Y67" s="2377"/>
      <c r="Z67" s="2378"/>
      <c r="AA67" s="348"/>
      <c r="AB67" s="348"/>
      <c r="AC67" s="348"/>
      <c r="AD67" s="348"/>
      <c r="AE67" s="349"/>
      <c r="AF67" s="349"/>
    </row>
    <row r="68" spans="2:32" ht="18" hidden="1" customHeight="1">
      <c r="B68" s="350" t="str">
        <f>".2"</f>
        <v>.2</v>
      </c>
      <c r="C68" s="351" t="s">
        <v>422</v>
      </c>
      <c r="D68" s="352"/>
      <c r="E68" s="353"/>
      <c r="F68" s="354"/>
      <c r="G68" s="353"/>
      <c r="H68" s="354"/>
      <c r="I68" s="353"/>
      <c r="J68" s="354"/>
      <c r="K68" s="353"/>
      <c r="L68" s="354"/>
      <c r="M68" s="349" t="str">
        <f t="shared" si="3"/>
        <v/>
      </c>
      <c r="N68" s="354"/>
      <c r="O68" s="355"/>
      <c r="Q68" s="356" t="str">
        <f>IF(T68&gt;0,T68,"")</f>
        <v/>
      </c>
      <c r="T68" s="349" t="str">
        <f>Scoring!U70</f>
        <v/>
      </c>
      <c r="V68" s="2376"/>
      <c r="W68" s="2377"/>
      <c r="X68" s="2377"/>
      <c r="Y68" s="2377"/>
      <c r="Z68" s="2378"/>
      <c r="AA68" s="348"/>
      <c r="AB68" s="348"/>
      <c r="AC68" s="348"/>
      <c r="AD68" s="348"/>
      <c r="AE68" s="349"/>
      <c r="AF68" s="349"/>
    </row>
    <row r="69" spans="2:32" ht="24" hidden="1" customHeight="1">
      <c r="B69" s="350" t="str">
        <f>".3"</f>
        <v>.3</v>
      </c>
      <c r="C69" s="351" t="s">
        <v>421</v>
      </c>
      <c r="D69" s="352"/>
      <c r="E69" s="353"/>
      <c r="F69" s="354"/>
      <c r="G69" s="353"/>
      <c r="H69" s="354"/>
      <c r="I69" s="353"/>
      <c r="J69" s="354"/>
      <c r="K69" s="353"/>
      <c r="L69" s="354"/>
      <c r="M69" s="349" t="str">
        <f t="shared" si="3"/>
        <v/>
      </c>
      <c r="N69" s="354"/>
      <c r="O69" s="355"/>
      <c r="Q69" s="356" t="str">
        <f>IF(T69&gt;0,T69,"")</f>
        <v/>
      </c>
      <c r="T69" s="349" t="str">
        <f>Scoring!U71</f>
        <v/>
      </c>
      <c r="V69" s="2376"/>
      <c r="W69" s="2377"/>
      <c r="X69" s="2377"/>
      <c r="Y69" s="2377"/>
      <c r="Z69" s="2378"/>
      <c r="AA69" s="348"/>
      <c r="AB69" s="348"/>
      <c r="AC69" s="348"/>
      <c r="AD69" s="348"/>
      <c r="AE69" s="349"/>
      <c r="AF69" s="349"/>
    </row>
    <row r="70" spans="2:32" ht="24" hidden="1" customHeight="1">
      <c r="B70" s="350" t="str">
        <f>".4"</f>
        <v>.4</v>
      </c>
      <c r="C70" s="351" t="s">
        <v>420</v>
      </c>
      <c r="D70" s="352"/>
      <c r="E70" s="353"/>
      <c r="F70" s="354"/>
      <c r="G70" s="353"/>
      <c r="H70" s="354"/>
      <c r="I70" s="353"/>
      <c r="J70" s="354"/>
      <c r="K70" s="353"/>
      <c r="L70" s="354"/>
      <c r="M70" s="349" t="str">
        <f t="shared" si="3"/>
        <v/>
      </c>
      <c r="N70" s="354"/>
      <c r="O70" s="355"/>
      <c r="Q70" s="356" t="str">
        <f>IF(T70&gt;0,T70,"")</f>
        <v/>
      </c>
      <c r="T70" s="349" t="str">
        <f>Scoring!U72</f>
        <v/>
      </c>
      <c r="V70" s="2376"/>
      <c r="W70" s="2377"/>
      <c r="X70" s="2377"/>
      <c r="Y70" s="2377"/>
      <c r="Z70" s="2378"/>
      <c r="AA70" s="348"/>
      <c r="AB70" s="348"/>
      <c r="AC70" s="348"/>
      <c r="AD70" s="348"/>
      <c r="AE70" s="349"/>
      <c r="AF70" s="349"/>
    </row>
    <row r="71" spans="2:32" ht="18" hidden="1" customHeight="1">
      <c r="B71" s="350" t="str">
        <f>".5"</f>
        <v>.5</v>
      </c>
      <c r="C71" s="351" t="s">
        <v>419</v>
      </c>
      <c r="D71" s="352"/>
      <c r="E71" s="353"/>
      <c r="F71" s="354"/>
      <c r="G71" s="353"/>
      <c r="H71" s="354"/>
      <c r="I71" s="353"/>
      <c r="J71" s="354"/>
      <c r="K71" s="353"/>
      <c r="L71" s="354"/>
      <c r="M71" s="349" t="str">
        <f t="shared" si="3"/>
        <v/>
      </c>
      <c r="N71" s="354"/>
      <c r="O71" s="355"/>
      <c r="Q71" s="356" t="str">
        <f>IF(T71&gt;0,T71,"")</f>
        <v/>
      </c>
      <c r="T71" s="349" t="str">
        <f>Scoring!U73</f>
        <v/>
      </c>
      <c r="V71" s="2376"/>
      <c r="W71" s="2377"/>
      <c r="X71" s="2377"/>
      <c r="Y71" s="2377"/>
      <c r="Z71" s="2378"/>
      <c r="AA71" s="348"/>
      <c r="AB71" s="348"/>
      <c r="AC71" s="348"/>
      <c r="AD71" s="348"/>
      <c r="AE71" s="349"/>
      <c r="AF71" s="349"/>
    </row>
    <row r="72" spans="2:32" ht="20" customHeight="1">
      <c r="B72" s="341" t="s">
        <v>418</v>
      </c>
      <c r="C72" s="342" t="str">
        <f>Dictionary!B1342</f>
        <v>Teamarbeit</v>
      </c>
      <c r="D72" s="343"/>
      <c r="E72" s="353"/>
      <c r="F72" s="315"/>
      <c r="G72" s="353"/>
      <c r="H72" s="360"/>
      <c r="I72" s="359"/>
      <c r="J72" s="360"/>
      <c r="K72" s="359"/>
      <c r="L72" s="315"/>
      <c r="M72" s="359"/>
      <c r="N72" s="360"/>
      <c r="O72" s="359"/>
      <c r="Q72" s="356"/>
      <c r="R72" s="346" t="str">
        <f>IF(AND(E72="",G72=""),"",IF((E72+G72)&gt;0,"Pass","Fail"))</f>
        <v/>
      </c>
      <c r="T72" s="428">
        <f>COUNTIF(T73:T77,"&gt;3")/AE72</f>
        <v>0</v>
      </c>
      <c r="V72" s="2376"/>
      <c r="W72" s="2377"/>
      <c r="X72" s="2377"/>
      <c r="Y72" s="2377"/>
      <c r="Z72" s="2378"/>
      <c r="AA72" s="348"/>
      <c r="AB72" s="348"/>
      <c r="AC72" s="348"/>
      <c r="AD72" s="348"/>
      <c r="AE72" s="349">
        <v>5</v>
      </c>
      <c r="AF72" s="349">
        <f>ROUNDUP(AE72/2,0)</f>
        <v>3</v>
      </c>
    </row>
    <row r="73" spans="2:32" ht="18" hidden="1" customHeight="1">
      <c r="B73" s="350" t="str">
        <f>".1"</f>
        <v>.1</v>
      </c>
      <c r="C73" s="351" t="s">
        <v>417</v>
      </c>
      <c r="D73" s="352"/>
      <c r="E73" s="353"/>
      <c r="F73" s="354"/>
      <c r="G73" s="353"/>
      <c r="H73" s="354"/>
      <c r="I73" s="353"/>
      <c r="J73" s="354"/>
      <c r="K73" s="353"/>
      <c r="L73" s="354"/>
      <c r="M73" s="349" t="str">
        <f t="shared" si="3"/>
        <v/>
      </c>
      <c r="N73" s="354"/>
      <c r="O73" s="355"/>
      <c r="Q73" s="356" t="str">
        <f>IF(T73&gt;0,T73,"")</f>
        <v/>
      </c>
      <c r="T73" s="349" t="str">
        <f>Scoring!U75</f>
        <v/>
      </c>
      <c r="V73" s="2376"/>
      <c r="W73" s="2377"/>
      <c r="X73" s="2377"/>
      <c r="Y73" s="2377"/>
      <c r="Z73" s="2378"/>
      <c r="AA73" s="348"/>
      <c r="AB73" s="348"/>
      <c r="AC73" s="348"/>
      <c r="AD73" s="348"/>
      <c r="AE73" s="349"/>
      <c r="AF73" s="349"/>
    </row>
    <row r="74" spans="2:32" ht="24" hidden="1" customHeight="1">
      <c r="B74" s="350" t="str">
        <f>".2"</f>
        <v>.2</v>
      </c>
      <c r="C74" s="351" t="s">
        <v>416</v>
      </c>
      <c r="D74" s="352"/>
      <c r="E74" s="353"/>
      <c r="F74" s="354"/>
      <c r="G74" s="353"/>
      <c r="H74" s="354"/>
      <c r="I74" s="353"/>
      <c r="J74" s="354"/>
      <c r="K74" s="353"/>
      <c r="L74" s="354"/>
      <c r="M74" s="349" t="str">
        <f t="shared" si="3"/>
        <v/>
      </c>
      <c r="N74" s="354"/>
      <c r="O74" s="355"/>
      <c r="Q74" s="356" t="str">
        <f>IF(T74&gt;0,T74,"")</f>
        <v/>
      </c>
      <c r="T74" s="349" t="str">
        <f>Scoring!U76</f>
        <v/>
      </c>
      <c r="V74" s="2376"/>
      <c r="W74" s="2377"/>
      <c r="X74" s="2377"/>
      <c r="Y74" s="2377"/>
      <c r="Z74" s="2378"/>
      <c r="AA74" s="348"/>
      <c r="AB74" s="348"/>
      <c r="AC74" s="348"/>
      <c r="AD74" s="348"/>
      <c r="AE74" s="349"/>
      <c r="AF74" s="349"/>
    </row>
    <row r="75" spans="2:32" ht="24" hidden="1" customHeight="1">
      <c r="B75" s="350" t="str">
        <f>".3"</f>
        <v>.3</v>
      </c>
      <c r="C75" s="351" t="s">
        <v>415</v>
      </c>
      <c r="D75" s="352"/>
      <c r="E75" s="353"/>
      <c r="F75" s="354"/>
      <c r="G75" s="353"/>
      <c r="H75" s="354"/>
      <c r="I75" s="353"/>
      <c r="J75" s="354"/>
      <c r="K75" s="353"/>
      <c r="L75" s="354"/>
      <c r="M75" s="349" t="str">
        <f t="shared" si="3"/>
        <v/>
      </c>
      <c r="N75" s="354"/>
      <c r="O75" s="355"/>
      <c r="Q75" s="356" t="str">
        <f>IF(T75&gt;0,T75,"")</f>
        <v/>
      </c>
      <c r="T75" s="349" t="str">
        <f>Scoring!U77</f>
        <v/>
      </c>
      <c r="V75" s="2376"/>
      <c r="W75" s="2377"/>
      <c r="X75" s="2377"/>
      <c r="Y75" s="2377"/>
      <c r="Z75" s="2378"/>
      <c r="AA75" s="348"/>
      <c r="AB75" s="348"/>
      <c r="AC75" s="348"/>
      <c r="AD75" s="348"/>
      <c r="AE75" s="349"/>
      <c r="AF75" s="349"/>
    </row>
    <row r="76" spans="2:32" ht="18" hidden="1" customHeight="1">
      <c r="B76" s="350" t="str">
        <f>".4"</f>
        <v>.4</v>
      </c>
      <c r="C76" s="351" t="s">
        <v>414</v>
      </c>
      <c r="D76" s="352"/>
      <c r="E76" s="353"/>
      <c r="F76" s="354"/>
      <c r="G76" s="353"/>
      <c r="H76" s="354"/>
      <c r="I76" s="353"/>
      <c r="J76" s="354"/>
      <c r="K76" s="353"/>
      <c r="L76" s="354"/>
      <c r="M76" s="349" t="str">
        <f t="shared" si="3"/>
        <v/>
      </c>
      <c r="N76" s="354"/>
      <c r="O76" s="355"/>
      <c r="Q76" s="356" t="str">
        <f>IF(T76&gt;0,T76,"")</f>
        <v/>
      </c>
      <c r="T76" s="349" t="str">
        <f>Scoring!U78</f>
        <v/>
      </c>
      <c r="V76" s="2376"/>
      <c r="W76" s="2377"/>
      <c r="X76" s="2377"/>
      <c r="Y76" s="2377"/>
      <c r="Z76" s="2378"/>
      <c r="AA76" s="348"/>
      <c r="AB76" s="348"/>
      <c r="AC76" s="348"/>
      <c r="AD76" s="348"/>
      <c r="AE76" s="349"/>
      <c r="AF76" s="349"/>
    </row>
    <row r="77" spans="2:32" ht="18" hidden="1" customHeight="1">
      <c r="B77" s="350" t="str">
        <f>".5"</f>
        <v>.5</v>
      </c>
      <c r="C77" s="351" t="s">
        <v>413</v>
      </c>
      <c r="D77" s="352"/>
      <c r="E77" s="353"/>
      <c r="F77" s="354"/>
      <c r="G77" s="353"/>
      <c r="H77" s="354"/>
      <c r="I77" s="353"/>
      <c r="J77" s="354"/>
      <c r="K77" s="353"/>
      <c r="L77" s="354"/>
      <c r="M77" s="349" t="str">
        <f t="shared" si="3"/>
        <v/>
      </c>
      <c r="N77" s="354"/>
      <c r="O77" s="355"/>
      <c r="Q77" s="356" t="str">
        <f>IF(T77&gt;0,T77,"")</f>
        <v/>
      </c>
      <c r="T77" s="349" t="str">
        <f>Scoring!U79</f>
        <v/>
      </c>
      <c r="V77" s="2376"/>
      <c r="W77" s="2377"/>
      <c r="X77" s="2377"/>
      <c r="Y77" s="2377"/>
      <c r="Z77" s="2378"/>
      <c r="AA77" s="348"/>
      <c r="AB77" s="348"/>
      <c r="AC77" s="348"/>
      <c r="AD77" s="348"/>
      <c r="AE77" s="349"/>
      <c r="AF77" s="349"/>
    </row>
    <row r="78" spans="2:32" ht="20" customHeight="1">
      <c r="B78" s="341" t="s">
        <v>412</v>
      </c>
      <c r="C78" s="342" t="str">
        <f>Dictionary!B1350</f>
        <v>Konflikte und Krisen</v>
      </c>
      <c r="D78" s="343"/>
      <c r="E78" s="353"/>
      <c r="F78" s="315"/>
      <c r="G78" s="353"/>
      <c r="H78" s="360"/>
      <c r="I78" s="359"/>
      <c r="J78" s="360"/>
      <c r="K78" s="359"/>
      <c r="L78" s="315"/>
      <c r="M78" s="359"/>
      <c r="N78" s="360"/>
      <c r="O78" s="359"/>
      <c r="Q78" s="356"/>
      <c r="R78" s="346" t="str">
        <f>IF(AND(E78="",G78=""),"",IF((E78+G78)&gt;0,"Pass","Fail"))</f>
        <v/>
      </c>
      <c r="T78" s="428">
        <f>COUNTIF(T79:T82,"&gt;3")/AE78</f>
        <v>0</v>
      </c>
      <c r="V78" s="2376"/>
      <c r="W78" s="2377"/>
      <c r="X78" s="2377"/>
      <c r="Y78" s="2377"/>
      <c r="Z78" s="2378"/>
      <c r="AA78" s="348"/>
      <c r="AB78" s="348"/>
      <c r="AC78" s="348"/>
      <c r="AD78" s="348"/>
      <c r="AE78" s="349">
        <v>4</v>
      </c>
      <c r="AF78" s="349">
        <f>ROUNDUP(AE78/2,0)</f>
        <v>2</v>
      </c>
    </row>
    <row r="79" spans="2:32" ht="18" hidden="1" customHeight="1">
      <c r="B79" s="350" t="str">
        <f>".1"</f>
        <v>.1</v>
      </c>
      <c r="C79" s="351" t="s">
        <v>411</v>
      </c>
      <c r="D79" s="352"/>
      <c r="E79" s="353"/>
      <c r="F79" s="354"/>
      <c r="G79" s="353"/>
      <c r="H79" s="354"/>
      <c r="I79" s="353"/>
      <c r="J79" s="354"/>
      <c r="K79" s="353"/>
      <c r="L79" s="354"/>
      <c r="M79" s="349" t="str">
        <f>IF(MAX(E79,G79,I79,K79)=0,"",MAX(E79,G79,I79,K79))</f>
        <v/>
      </c>
      <c r="N79" s="354"/>
      <c r="O79" s="355"/>
      <c r="Q79" s="356" t="str">
        <f>IF(T79&gt;0,T79,"")</f>
        <v/>
      </c>
      <c r="T79" s="349" t="str">
        <f>Scoring!U81</f>
        <v/>
      </c>
      <c r="V79" s="2376"/>
      <c r="W79" s="2377"/>
      <c r="X79" s="2377"/>
      <c r="Y79" s="2377"/>
      <c r="Z79" s="2378"/>
      <c r="AA79" s="348"/>
      <c r="AB79" s="348"/>
      <c r="AC79" s="348"/>
      <c r="AD79" s="348"/>
      <c r="AE79" s="349"/>
      <c r="AF79" s="349"/>
    </row>
    <row r="80" spans="2:32" ht="24" hidden="1" customHeight="1">
      <c r="B80" s="350" t="str">
        <f>".2"</f>
        <v>.2</v>
      </c>
      <c r="C80" s="351" t="s">
        <v>410</v>
      </c>
      <c r="D80" s="352"/>
      <c r="E80" s="353"/>
      <c r="F80" s="354"/>
      <c r="G80" s="353"/>
      <c r="H80" s="354"/>
      <c r="I80" s="353"/>
      <c r="J80" s="354"/>
      <c r="K80" s="353"/>
      <c r="L80" s="354"/>
      <c r="M80" s="349" t="str">
        <f>IF(MAX(E80,G80,I80,K80)=0,"",MAX(E80,G80,I80,K80))</f>
        <v/>
      </c>
      <c r="N80" s="354"/>
      <c r="O80" s="355"/>
      <c r="Q80" s="356" t="str">
        <f>IF(T80&gt;0,T80,"")</f>
        <v/>
      </c>
      <c r="T80" s="349" t="str">
        <f>Scoring!U82</f>
        <v/>
      </c>
      <c r="V80" s="2376"/>
      <c r="W80" s="2377"/>
      <c r="X80" s="2377"/>
      <c r="Y80" s="2377"/>
      <c r="Z80" s="2378"/>
      <c r="AA80" s="348"/>
      <c r="AB80" s="348"/>
      <c r="AC80" s="348"/>
      <c r="AD80" s="348"/>
      <c r="AE80" s="349"/>
      <c r="AF80" s="349"/>
    </row>
    <row r="81" spans="2:32" ht="24" hidden="1" customHeight="1">
      <c r="B81" s="350" t="str">
        <f>".3"</f>
        <v>.3</v>
      </c>
      <c r="C81" s="351" t="s">
        <v>409</v>
      </c>
      <c r="D81" s="352"/>
      <c r="E81" s="353"/>
      <c r="F81" s="354"/>
      <c r="G81" s="353"/>
      <c r="H81" s="354"/>
      <c r="I81" s="353"/>
      <c r="J81" s="354"/>
      <c r="K81" s="353"/>
      <c r="L81" s="354"/>
      <c r="M81" s="349" t="str">
        <f>IF(MAX(E81,G81,I81,K81)=0,"",MAX(E81,G81,I81,K81))</f>
        <v/>
      </c>
      <c r="N81" s="354"/>
      <c r="O81" s="355"/>
      <c r="Q81" s="356" t="str">
        <f>IF(T81&gt;0,T81,"")</f>
        <v/>
      </c>
      <c r="T81" s="349" t="str">
        <f>Scoring!U83</f>
        <v/>
      </c>
      <c r="V81" s="2376"/>
      <c r="W81" s="2377"/>
      <c r="X81" s="2377"/>
      <c r="Y81" s="2377"/>
      <c r="Z81" s="2378"/>
      <c r="AA81" s="348"/>
      <c r="AB81" s="348"/>
      <c r="AC81" s="348"/>
      <c r="AD81" s="348"/>
      <c r="AE81" s="349"/>
      <c r="AF81" s="349"/>
    </row>
    <row r="82" spans="2:32" ht="24" hidden="1" customHeight="1">
      <c r="B82" s="350" t="str">
        <f>".4"</f>
        <v>.4</v>
      </c>
      <c r="C82" s="351" t="s">
        <v>408</v>
      </c>
      <c r="D82" s="352"/>
      <c r="E82" s="353"/>
      <c r="F82" s="354"/>
      <c r="G82" s="353"/>
      <c r="H82" s="354"/>
      <c r="I82" s="353"/>
      <c r="J82" s="354"/>
      <c r="K82" s="353"/>
      <c r="L82" s="354"/>
      <c r="M82" s="349" t="str">
        <f>IF(MAX(E82,G82,I82,K82)=0,"",MAX(E82,G82,I82,K82))</f>
        <v/>
      </c>
      <c r="N82" s="354"/>
      <c r="O82" s="355"/>
      <c r="Q82" s="356" t="str">
        <f>IF(T82&gt;0,T82,"")</f>
        <v/>
      </c>
      <c r="T82" s="349" t="str">
        <f>Scoring!U84</f>
        <v/>
      </c>
      <c r="V82" s="2376"/>
      <c r="W82" s="2377"/>
      <c r="X82" s="2377"/>
      <c r="Y82" s="2377"/>
      <c r="Z82" s="2378"/>
      <c r="AA82" s="348"/>
      <c r="AB82" s="348"/>
      <c r="AC82" s="348"/>
      <c r="AD82" s="348"/>
      <c r="AE82" s="349"/>
      <c r="AF82" s="349"/>
    </row>
    <row r="83" spans="2:32" ht="20" customHeight="1">
      <c r="B83" s="341" t="s">
        <v>407</v>
      </c>
      <c r="C83" s="342" t="str">
        <f>Dictionary!B1357</f>
        <v>Vielseitigkeit</v>
      </c>
      <c r="D83" s="343"/>
      <c r="E83" s="436"/>
      <c r="F83" s="315"/>
      <c r="G83" s="353"/>
      <c r="H83" s="360"/>
      <c r="I83" s="359"/>
      <c r="J83" s="360"/>
      <c r="K83" s="359"/>
      <c r="L83" s="315"/>
      <c r="M83" s="359"/>
      <c r="N83" s="360"/>
      <c r="O83" s="359"/>
      <c r="Q83" s="356"/>
      <c r="R83" s="346" t="str">
        <f>IF(AND(E83="",G83=""),"",IF((E83+G83)&gt;0,"Pass","Fail"))</f>
        <v/>
      </c>
      <c r="T83" s="428">
        <f>COUNTIF(T84:T88,"&gt;3")/AE83</f>
        <v>0</v>
      </c>
      <c r="V83" s="2376"/>
      <c r="W83" s="2377"/>
      <c r="X83" s="2377"/>
      <c r="Y83" s="2377"/>
      <c r="Z83" s="2378"/>
      <c r="AA83" s="348"/>
      <c r="AB83" s="348"/>
      <c r="AC83" s="348"/>
      <c r="AD83" s="348"/>
      <c r="AE83" s="349">
        <v>5</v>
      </c>
      <c r="AF83" s="349">
        <f>ROUNDUP(AE83/2,0)</f>
        <v>3</v>
      </c>
    </row>
    <row r="84" spans="2:32" ht="18" hidden="1" customHeight="1">
      <c r="B84" s="350" t="str">
        <f>".1"</f>
        <v>.1</v>
      </c>
      <c r="C84" s="351" t="s">
        <v>406</v>
      </c>
      <c r="D84" s="352"/>
      <c r="E84" s="353"/>
      <c r="F84" s="354"/>
      <c r="G84" s="353"/>
      <c r="H84" s="354"/>
      <c r="I84" s="353"/>
      <c r="J84" s="354"/>
      <c r="K84" s="353"/>
      <c r="L84" s="354"/>
      <c r="M84" s="349" t="str">
        <f t="shared" ref="M84:M100" si="4">IF(MAX(E84,G84,I84,K84)=0,"",MAX(E84,G84,I84,K84))</f>
        <v/>
      </c>
      <c r="N84" s="354"/>
      <c r="O84" s="355"/>
      <c r="Q84" s="356" t="str">
        <f>IF(T84&gt;0,T84,"")</f>
        <v/>
      </c>
      <c r="T84" s="349" t="str">
        <f>Scoring!U86</f>
        <v/>
      </c>
      <c r="V84" s="2376"/>
      <c r="W84" s="2377"/>
      <c r="X84" s="2377"/>
      <c r="Y84" s="2377"/>
      <c r="Z84" s="2378"/>
      <c r="AA84" s="348"/>
      <c r="AB84" s="348"/>
      <c r="AC84" s="348"/>
      <c r="AD84" s="348"/>
      <c r="AE84" s="349"/>
      <c r="AF84" s="349"/>
    </row>
    <row r="85" spans="2:32" ht="24" hidden="1" customHeight="1">
      <c r="B85" s="350" t="str">
        <f>".2"</f>
        <v>.2</v>
      </c>
      <c r="C85" s="351" t="s">
        <v>405</v>
      </c>
      <c r="D85" s="352"/>
      <c r="E85" s="353"/>
      <c r="F85" s="354"/>
      <c r="G85" s="353"/>
      <c r="H85" s="354"/>
      <c r="I85" s="353"/>
      <c r="J85" s="354"/>
      <c r="K85" s="353"/>
      <c r="L85" s="354"/>
      <c r="M85" s="349" t="str">
        <f t="shared" si="4"/>
        <v/>
      </c>
      <c r="N85" s="354"/>
      <c r="O85" s="355"/>
      <c r="Q85" s="356" t="str">
        <f>IF(T85&gt;0,T85,"")</f>
        <v/>
      </c>
      <c r="T85" s="349" t="str">
        <f>Scoring!U87</f>
        <v/>
      </c>
      <c r="V85" s="2376"/>
      <c r="W85" s="2377"/>
      <c r="X85" s="2377"/>
      <c r="Y85" s="2377"/>
      <c r="Z85" s="2378"/>
      <c r="AA85" s="348"/>
      <c r="AB85" s="348"/>
      <c r="AC85" s="348"/>
      <c r="AD85" s="348"/>
      <c r="AE85" s="349"/>
      <c r="AF85" s="349"/>
    </row>
    <row r="86" spans="2:32" ht="24" hidden="1" customHeight="1">
      <c r="B86" s="350" t="str">
        <f>".3"</f>
        <v>.3</v>
      </c>
      <c r="C86" s="351" t="s">
        <v>404</v>
      </c>
      <c r="D86" s="352"/>
      <c r="E86" s="353"/>
      <c r="F86" s="354"/>
      <c r="G86" s="353"/>
      <c r="H86" s="354"/>
      <c r="I86" s="353"/>
      <c r="J86" s="354"/>
      <c r="K86" s="353"/>
      <c r="L86" s="354"/>
      <c r="M86" s="349" t="str">
        <f t="shared" si="4"/>
        <v/>
      </c>
      <c r="N86" s="354"/>
      <c r="O86" s="355"/>
      <c r="Q86" s="356" t="str">
        <f>IF(T86&gt;0,T86,"")</f>
        <v/>
      </c>
      <c r="T86" s="349" t="str">
        <f>Scoring!U88</f>
        <v/>
      </c>
      <c r="V86" s="2376"/>
      <c r="W86" s="2377"/>
      <c r="X86" s="2377"/>
      <c r="Y86" s="2377"/>
      <c r="Z86" s="2378"/>
      <c r="AA86" s="348"/>
      <c r="AB86" s="348"/>
      <c r="AC86" s="348"/>
      <c r="AD86" s="348"/>
      <c r="AE86" s="349"/>
      <c r="AF86" s="349"/>
    </row>
    <row r="87" spans="2:32" ht="24" hidden="1" customHeight="1">
      <c r="B87" s="350" t="str">
        <f>".4"</f>
        <v>.4</v>
      </c>
      <c r="C87" s="351" t="s">
        <v>403</v>
      </c>
      <c r="D87" s="352"/>
      <c r="E87" s="353"/>
      <c r="F87" s="354"/>
      <c r="G87" s="353"/>
      <c r="H87" s="354"/>
      <c r="I87" s="353"/>
      <c r="J87" s="354"/>
      <c r="K87" s="353"/>
      <c r="L87" s="354"/>
      <c r="M87" s="349" t="str">
        <f t="shared" si="4"/>
        <v/>
      </c>
      <c r="N87" s="354"/>
      <c r="O87" s="355"/>
      <c r="Q87" s="356" t="str">
        <f>IF(T87&gt;0,T87,"")</f>
        <v/>
      </c>
      <c r="T87" s="349" t="str">
        <f>Scoring!U89</f>
        <v/>
      </c>
      <c r="V87" s="2376"/>
      <c r="W87" s="2377"/>
      <c r="X87" s="2377"/>
      <c r="Y87" s="2377"/>
      <c r="Z87" s="2378"/>
      <c r="AA87" s="348"/>
      <c r="AB87" s="348"/>
      <c r="AC87" s="348"/>
      <c r="AD87" s="348"/>
      <c r="AE87" s="349"/>
      <c r="AF87" s="349"/>
    </row>
    <row r="88" spans="2:32" ht="24" hidden="1" customHeight="1">
      <c r="B88" s="350" t="str">
        <f>".5"</f>
        <v>.5</v>
      </c>
      <c r="C88" s="351" t="s">
        <v>402</v>
      </c>
      <c r="D88" s="352"/>
      <c r="E88" s="353"/>
      <c r="F88" s="354"/>
      <c r="G88" s="353"/>
      <c r="H88" s="354"/>
      <c r="I88" s="353"/>
      <c r="J88" s="354"/>
      <c r="K88" s="353"/>
      <c r="L88" s="354"/>
      <c r="M88" s="349" t="str">
        <f t="shared" si="4"/>
        <v/>
      </c>
      <c r="N88" s="354"/>
      <c r="O88" s="355"/>
      <c r="Q88" s="356" t="str">
        <f>IF(T88&gt;0,T88,"")</f>
        <v/>
      </c>
      <c r="T88" s="349" t="str">
        <f>Scoring!U90</f>
        <v/>
      </c>
      <c r="V88" s="2376"/>
      <c r="W88" s="2377"/>
      <c r="X88" s="2377"/>
      <c r="Y88" s="2377"/>
      <c r="Z88" s="2378"/>
      <c r="AA88" s="348"/>
      <c r="AB88" s="348"/>
      <c r="AC88" s="348"/>
      <c r="AD88" s="348"/>
      <c r="AE88" s="349"/>
      <c r="AF88" s="349"/>
    </row>
    <row r="89" spans="2:32" ht="20" customHeight="1">
      <c r="B89" s="341" t="s">
        <v>401</v>
      </c>
      <c r="C89" s="342" t="str">
        <f>Dictionary!B1365</f>
        <v>Verhandlungen</v>
      </c>
      <c r="D89" s="343"/>
      <c r="E89" s="353"/>
      <c r="F89" s="315"/>
      <c r="G89" s="353"/>
      <c r="H89" s="360"/>
      <c r="I89" s="359"/>
      <c r="J89" s="360"/>
      <c r="K89" s="359"/>
      <c r="L89" s="315"/>
      <c r="M89" s="359"/>
      <c r="N89" s="360"/>
      <c r="O89" s="359"/>
      <c r="Q89" s="356"/>
      <c r="R89" s="346" t="str">
        <f>IF(AND(E89="",G89=""),"",IF((E89+G89)&gt;0,"Pass","Fail"))</f>
        <v/>
      </c>
      <c r="T89" s="428">
        <f>COUNTIF(T90:T94,"&gt;3")/AE89</f>
        <v>0</v>
      </c>
      <c r="V89" s="2376"/>
      <c r="W89" s="2377"/>
      <c r="X89" s="2377"/>
      <c r="Y89" s="2377"/>
      <c r="Z89" s="2378"/>
      <c r="AA89" s="348"/>
      <c r="AB89" s="348"/>
      <c r="AC89" s="348"/>
      <c r="AD89" s="348"/>
      <c r="AE89" s="349">
        <v>5</v>
      </c>
      <c r="AF89" s="349">
        <f>ROUNDUP(AE89/2,0)</f>
        <v>3</v>
      </c>
    </row>
    <row r="90" spans="2:32" ht="24" hidden="1" customHeight="1">
      <c r="B90" s="350" t="str">
        <f>".1"</f>
        <v>.1</v>
      </c>
      <c r="C90" s="351" t="s">
        <v>400</v>
      </c>
      <c r="D90" s="352"/>
      <c r="E90" s="353"/>
      <c r="F90" s="354"/>
      <c r="G90" s="353"/>
      <c r="H90" s="354"/>
      <c r="I90" s="353"/>
      <c r="J90" s="354"/>
      <c r="K90" s="353"/>
      <c r="L90" s="354"/>
      <c r="M90" s="349" t="str">
        <f t="shared" si="4"/>
        <v/>
      </c>
      <c r="N90" s="354"/>
      <c r="O90" s="355"/>
      <c r="Q90" s="356" t="str">
        <f>IF(T90&gt;0,T90,"")</f>
        <v/>
      </c>
      <c r="T90" s="349" t="str">
        <f>Scoring!U92</f>
        <v/>
      </c>
      <c r="V90" s="2376"/>
      <c r="W90" s="2377"/>
      <c r="X90" s="2377"/>
      <c r="Y90" s="2377"/>
      <c r="Z90" s="2378"/>
      <c r="AA90" s="348"/>
      <c r="AB90" s="348"/>
      <c r="AC90" s="348"/>
      <c r="AD90" s="348"/>
      <c r="AE90" s="349"/>
      <c r="AF90" s="349"/>
    </row>
    <row r="91" spans="2:32" ht="24" hidden="1" customHeight="1">
      <c r="B91" s="350" t="str">
        <f>".2"</f>
        <v>.2</v>
      </c>
      <c r="C91" s="351" t="s">
        <v>399</v>
      </c>
      <c r="D91" s="352"/>
      <c r="E91" s="353"/>
      <c r="F91" s="354"/>
      <c r="G91" s="353"/>
      <c r="H91" s="354"/>
      <c r="I91" s="353"/>
      <c r="J91" s="354"/>
      <c r="K91" s="353"/>
      <c r="L91" s="354"/>
      <c r="M91" s="349" t="str">
        <f t="shared" si="4"/>
        <v/>
      </c>
      <c r="N91" s="354"/>
      <c r="O91" s="355"/>
      <c r="Q91" s="356" t="str">
        <f>IF(T91&gt;0,T91,"")</f>
        <v/>
      </c>
      <c r="T91" s="349" t="str">
        <f>Scoring!U93</f>
        <v/>
      </c>
      <c r="V91" s="2376"/>
      <c r="W91" s="2377"/>
      <c r="X91" s="2377"/>
      <c r="Y91" s="2377"/>
      <c r="Z91" s="2378"/>
      <c r="AA91" s="348"/>
      <c r="AB91" s="348"/>
      <c r="AC91" s="348"/>
      <c r="AD91" s="348"/>
      <c r="AE91" s="349"/>
      <c r="AF91" s="349"/>
    </row>
    <row r="92" spans="2:32" ht="24" hidden="1" customHeight="1">
      <c r="B92" s="350" t="str">
        <f>".3"</f>
        <v>.3</v>
      </c>
      <c r="C92" s="351" t="s">
        <v>398</v>
      </c>
      <c r="D92" s="352"/>
      <c r="E92" s="353"/>
      <c r="F92" s="354"/>
      <c r="G92" s="353"/>
      <c r="H92" s="354"/>
      <c r="I92" s="353"/>
      <c r="J92" s="354"/>
      <c r="K92" s="353"/>
      <c r="L92" s="354"/>
      <c r="M92" s="349" t="str">
        <f t="shared" si="4"/>
        <v/>
      </c>
      <c r="N92" s="354"/>
      <c r="O92" s="355"/>
      <c r="Q92" s="356" t="str">
        <f>IF(T92&gt;0,T92,"")</f>
        <v/>
      </c>
      <c r="T92" s="349" t="str">
        <f>Scoring!U94</f>
        <v/>
      </c>
      <c r="V92" s="2376"/>
      <c r="W92" s="2377"/>
      <c r="X92" s="2377"/>
      <c r="Y92" s="2377"/>
      <c r="Z92" s="2378"/>
      <c r="AA92" s="348"/>
      <c r="AB92" s="348"/>
      <c r="AC92" s="348"/>
      <c r="AD92" s="348"/>
      <c r="AE92" s="349"/>
      <c r="AF92" s="349"/>
    </row>
    <row r="93" spans="2:32" ht="24" hidden="1" customHeight="1">
      <c r="B93" s="350" t="str">
        <f>".4"</f>
        <v>.4</v>
      </c>
      <c r="C93" s="351" t="s">
        <v>397</v>
      </c>
      <c r="D93" s="352"/>
      <c r="E93" s="353"/>
      <c r="F93" s="354"/>
      <c r="G93" s="353"/>
      <c r="H93" s="354"/>
      <c r="I93" s="353"/>
      <c r="J93" s="354"/>
      <c r="K93" s="353"/>
      <c r="L93" s="354"/>
      <c r="M93" s="349" t="str">
        <f t="shared" si="4"/>
        <v/>
      </c>
      <c r="N93" s="354"/>
      <c r="O93" s="355"/>
      <c r="Q93" s="356" t="str">
        <f>IF(T93&gt;0,T93,"")</f>
        <v/>
      </c>
      <c r="T93" s="349" t="str">
        <f>Scoring!U95</f>
        <v/>
      </c>
      <c r="V93" s="2376"/>
      <c r="W93" s="2377"/>
      <c r="X93" s="2377"/>
      <c r="Y93" s="2377"/>
      <c r="Z93" s="2378"/>
      <c r="AA93" s="348"/>
      <c r="AB93" s="348"/>
      <c r="AC93" s="348"/>
      <c r="AD93" s="348"/>
      <c r="AE93" s="349"/>
      <c r="AF93" s="349"/>
    </row>
    <row r="94" spans="2:32" ht="24" hidden="1" customHeight="1">
      <c r="B94" s="350" t="str">
        <f>".5"</f>
        <v>.5</v>
      </c>
      <c r="C94" s="351" t="s">
        <v>396</v>
      </c>
      <c r="D94" s="352"/>
      <c r="E94" s="353"/>
      <c r="F94" s="354"/>
      <c r="G94" s="353"/>
      <c r="H94" s="354"/>
      <c r="I94" s="353"/>
      <c r="J94" s="354"/>
      <c r="K94" s="353"/>
      <c r="L94" s="354"/>
      <c r="M94" s="349" t="str">
        <f t="shared" si="4"/>
        <v/>
      </c>
      <c r="N94" s="354"/>
      <c r="O94" s="355"/>
      <c r="Q94" s="356" t="str">
        <f>IF(T94&gt;0,T94,"")</f>
        <v/>
      </c>
      <c r="T94" s="349" t="str">
        <f>Scoring!U96</f>
        <v/>
      </c>
      <c r="V94" s="2376"/>
      <c r="W94" s="2377"/>
      <c r="X94" s="2377"/>
      <c r="Y94" s="2377"/>
      <c r="Z94" s="2378"/>
      <c r="AA94" s="348"/>
      <c r="AB94" s="348"/>
      <c r="AC94" s="348"/>
      <c r="AD94" s="348"/>
      <c r="AE94" s="349"/>
      <c r="AF94" s="349"/>
    </row>
    <row r="95" spans="2:32" ht="20" customHeight="1">
      <c r="B95" s="341" t="s">
        <v>395</v>
      </c>
      <c r="C95" s="342" t="str">
        <f>Dictionary!B1373</f>
        <v>Ergebnisorientierung</v>
      </c>
      <c r="D95" s="343"/>
      <c r="E95" s="353"/>
      <c r="F95" s="315"/>
      <c r="G95" s="353"/>
      <c r="H95" s="360"/>
      <c r="I95" s="359"/>
      <c r="J95" s="360"/>
      <c r="K95" s="359"/>
      <c r="L95" s="315"/>
      <c r="M95" s="359"/>
      <c r="N95" s="360"/>
      <c r="O95" s="359"/>
      <c r="Q95" s="356"/>
      <c r="R95" s="346" t="str">
        <f>IF(AND(E95="",G95=""),"",IF((E95+G95)&gt;0,"Pass","Fail"))</f>
        <v/>
      </c>
      <c r="T95" s="428">
        <f>COUNTIF(T96:T100,"&gt;3")/AE95</f>
        <v>0</v>
      </c>
      <c r="V95" s="2376"/>
      <c r="W95" s="2377"/>
      <c r="X95" s="2377"/>
      <c r="Y95" s="2377"/>
      <c r="Z95" s="2378"/>
      <c r="AA95" s="348"/>
      <c r="AB95" s="348"/>
      <c r="AC95" s="348"/>
      <c r="AD95" s="348"/>
      <c r="AE95" s="349">
        <v>5</v>
      </c>
      <c r="AF95" s="349">
        <f>ROUNDUP(AE95/2,0)</f>
        <v>3</v>
      </c>
    </row>
    <row r="96" spans="2:32" ht="24" hidden="1" customHeight="1">
      <c r="B96" s="350" t="str">
        <f>".1"</f>
        <v>.1</v>
      </c>
      <c r="C96" s="351" t="s">
        <v>394</v>
      </c>
      <c r="D96" s="352"/>
      <c r="E96" s="404" t="str">
        <f>IF('(8) Exam Evaluation'!Y98="","",'(8) Exam Evaluation'!Y98)</f>
        <v/>
      </c>
      <c r="F96" s="354"/>
      <c r="G96" s="353"/>
      <c r="H96" s="354"/>
      <c r="I96" s="353"/>
      <c r="J96" s="354"/>
      <c r="K96" s="353"/>
      <c r="L96" s="354"/>
      <c r="M96" s="349" t="str">
        <f t="shared" si="4"/>
        <v/>
      </c>
      <c r="N96" s="354"/>
      <c r="O96" s="355"/>
      <c r="Q96" s="356" t="str">
        <f>IF(T96&gt;0,T96,"")</f>
        <v/>
      </c>
      <c r="T96" s="349" t="str">
        <f>Scoring!U98</f>
        <v/>
      </c>
      <c r="V96" s="2376"/>
      <c r="W96" s="2377"/>
      <c r="X96" s="2377"/>
      <c r="Y96" s="2377"/>
      <c r="Z96" s="2378"/>
      <c r="AA96" s="348"/>
      <c r="AB96" s="348"/>
      <c r="AC96" s="348"/>
      <c r="AD96" s="348"/>
      <c r="AE96" s="349"/>
      <c r="AF96" s="349"/>
    </row>
    <row r="97" spans="2:32" ht="24" hidden="1" customHeight="1">
      <c r="B97" s="350" t="str">
        <f>".2"</f>
        <v>.2</v>
      </c>
      <c r="C97" s="351" t="s">
        <v>393</v>
      </c>
      <c r="D97" s="352"/>
      <c r="E97" s="404" t="str">
        <f>IF('(8) Exam Evaluation'!Y99="","",'(8) Exam Evaluation'!Y99)</f>
        <v/>
      </c>
      <c r="F97" s="354"/>
      <c r="G97" s="353"/>
      <c r="H97" s="354"/>
      <c r="I97" s="353"/>
      <c r="J97" s="354"/>
      <c r="K97" s="353"/>
      <c r="L97" s="354"/>
      <c r="M97" s="349" t="str">
        <f t="shared" si="4"/>
        <v/>
      </c>
      <c r="N97" s="354"/>
      <c r="O97" s="355"/>
      <c r="Q97" s="356" t="str">
        <f>IF(T97&gt;0,T97,"")</f>
        <v/>
      </c>
      <c r="T97" s="349" t="str">
        <f>Scoring!U99</f>
        <v/>
      </c>
      <c r="V97" s="2376"/>
      <c r="W97" s="2377"/>
      <c r="X97" s="2377"/>
      <c r="Y97" s="2377"/>
      <c r="Z97" s="2378"/>
      <c r="AA97" s="348"/>
      <c r="AB97" s="348"/>
      <c r="AC97" s="348"/>
      <c r="AD97" s="348"/>
      <c r="AE97" s="349"/>
      <c r="AF97" s="349"/>
    </row>
    <row r="98" spans="2:32" ht="24" hidden="1" customHeight="1">
      <c r="B98" s="350" t="str">
        <f>".3"</f>
        <v>.3</v>
      </c>
      <c r="C98" s="351" t="s">
        <v>392</v>
      </c>
      <c r="D98" s="352"/>
      <c r="E98" s="404" t="str">
        <f>IF('(8) Exam Evaluation'!Y100="","",'(8) Exam Evaluation'!Y100)</f>
        <v/>
      </c>
      <c r="F98" s="354"/>
      <c r="G98" s="353"/>
      <c r="H98" s="354"/>
      <c r="I98" s="353"/>
      <c r="J98" s="354"/>
      <c r="K98" s="353"/>
      <c r="L98" s="354"/>
      <c r="M98" s="349" t="str">
        <f t="shared" si="4"/>
        <v/>
      </c>
      <c r="N98" s="354"/>
      <c r="O98" s="355"/>
      <c r="Q98" s="356" t="str">
        <f>IF(T98&gt;0,T98,"")</f>
        <v/>
      </c>
      <c r="T98" s="349" t="str">
        <f>Scoring!U100</f>
        <v/>
      </c>
      <c r="V98" s="2376"/>
      <c r="W98" s="2377"/>
      <c r="X98" s="2377"/>
      <c r="Y98" s="2377"/>
      <c r="Z98" s="2378"/>
      <c r="AA98" s="348"/>
      <c r="AB98" s="348"/>
      <c r="AC98" s="348"/>
      <c r="AD98" s="348"/>
      <c r="AE98" s="349"/>
      <c r="AF98" s="349"/>
    </row>
    <row r="99" spans="2:32" ht="24" hidden="1" customHeight="1">
      <c r="B99" s="350" t="str">
        <f>".4"</f>
        <v>.4</v>
      </c>
      <c r="C99" s="351" t="s">
        <v>391</v>
      </c>
      <c r="D99" s="352"/>
      <c r="E99" s="404" t="str">
        <f>IF('(8) Exam Evaluation'!Y101="","",'(8) Exam Evaluation'!Y101)</f>
        <v/>
      </c>
      <c r="F99" s="354"/>
      <c r="G99" s="353"/>
      <c r="H99" s="354"/>
      <c r="I99" s="353"/>
      <c r="J99" s="354"/>
      <c r="K99" s="353"/>
      <c r="L99" s="354"/>
      <c r="M99" s="349" t="str">
        <f t="shared" si="4"/>
        <v/>
      </c>
      <c r="N99" s="354"/>
      <c r="O99" s="355"/>
      <c r="Q99" s="356" t="str">
        <f>IF(T99&gt;0,T99,"")</f>
        <v/>
      </c>
      <c r="T99" s="349" t="str">
        <f>Scoring!U101</f>
        <v/>
      </c>
      <c r="V99" s="2376"/>
      <c r="W99" s="2377"/>
      <c r="X99" s="2377"/>
      <c r="Y99" s="2377"/>
      <c r="Z99" s="2378"/>
      <c r="AA99" s="348"/>
      <c r="AB99" s="348"/>
      <c r="AC99" s="348"/>
      <c r="AD99" s="348"/>
      <c r="AE99" s="349"/>
      <c r="AF99" s="349"/>
    </row>
    <row r="100" spans="2:32" ht="18" hidden="1" customHeight="1">
      <c r="B100" s="350" t="str">
        <f>".5"</f>
        <v>.5</v>
      </c>
      <c r="C100" s="351" t="s">
        <v>390</v>
      </c>
      <c r="D100" s="352"/>
      <c r="E100" s="404" t="str">
        <f>IF('(8) Exam Evaluation'!Y102="","",'(8) Exam Evaluation'!Y102)</f>
        <v/>
      </c>
      <c r="F100" s="354"/>
      <c r="G100" s="353"/>
      <c r="H100" s="354"/>
      <c r="I100" s="353"/>
      <c r="J100" s="354"/>
      <c r="K100" s="353"/>
      <c r="L100" s="354"/>
      <c r="M100" s="349" t="str">
        <f t="shared" si="4"/>
        <v/>
      </c>
      <c r="N100" s="354"/>
      <c r="O100" s="355"/>
      <c r="Q100" s="356" t="str">
        <f>IF(T100&gt;0,T100,"")</f>
        <v/>
      </c>
      <c r="T100" s="349" t="str">
        <f>Scoring!U102</f>
        <v/>
      </c>
      <c r="V100" s="2376"/>
      <c r="W100" s="2377"/>
      <c r="X100" s="2377"/>
      <c r="Y100" s="2377"/>
      <c r="Z100" s="2378"/>
      <c r="AA100" s="348"/>
      <c r="AB100" s="348"/>
      <c r="AC100" s="348"/>
      <c r="AD100" s="348"/>
      <c r="AE100" s="349"/>
      <c r="AF100" s="349"/>
    </row>
    <row r="101" spans="2:32" ht="30" customHeight="1">
      <c r="C101" s="363"/>
      <c r="D101" s="315"/>
      <c r="E101" s="406"/>
      <c r="F101" s="315"/>
      <c r="G101" s="315"/>
      <c r="H101" s="315"/>
      <c r="I101" s="315"/>
      <c r="J101" s="315"/>
      <c r="K101" s="315"/>
      <c r="L101" s="315"/>
      <c r="M101" s="315"/>
      <c r="N101" s="315"/>
      <c r="O101" s="315"/>
      <c r="Q101" s="356"/>
      <c r="R101" s="365"/>
      <c r="W101" s="313"/>
      <c r="X101" s="313"/>
      <c r="Y101" s="313"/>
      <c r="Z101" s="313"/>
      <c r="AA101" s="313"/>
      <c r="AB101" s="313"/>
      <c r="AC101" s="313"/>
      <c r="AD101" s="313"/>
      <c r="AE101" s="370"/>
      <c r="AF101" s="370"/>
    </row>
    <row r="102" spans="2:32" ht="30" customHeight="1">
      <c r="C102" s="366" t="str">
        <f>Dictionary!B1380</f>
        <v>Practice Kompetenz Elements</v>
      </c>
      <c r="D102" s="315"/>
      <c r="E102" s="406"/>
      <c r="F102" s="315"/>
      <c r="G102" s="315"/>
      <c r="H102" s="315"/>
      <c r="I102" s="315"/>
      <c r="J102" s="315"/>
      <c r="K102" s="315"/>
      <c r="L102" s="315"/>
      <c r="M102" s="315"/>
      <c r="N102" s="315"/>
      <c r="O102" s="315"/>
      <c r="Q102" s="356"/>
      <c r="R102" s="367"/>
      <c r="W102" s="313"/>
      <c r="X102" s="313"/>
      <c r="Y102" s="313"/>
      <c r="Z102" s="313"/>
      <c r="AA102" s="313"/>
      <c r="AB102" s="313"/>
      <c r="AC102" s="313"/>
      <c r="AD102" s="313"/>
      <c r="AE102" s="334"/>
      <c r="AF102" s="334"/>
    </row>
    <row r="103" spans="2:32" ht="20" customHeight="1">
      <c r="B103" s="341" t="s">
        <v>388</v>
      </c>
      <c r="C103" s="342" t="str">
        <f>Dictionary!B1381</f>
        <v>Projektdesign</v>
      </c>
      <c r="D103" s="343"/>
      <c r="E103" s="436"/>
      <c r="F103" s="315"/>
      <c r="G103" s="436"/>
      <c r="H103" s="360"/>
      <c r="I103" s="359"/>
      <c r="J103" s="360"/>
      <c r="K103" s="359"/>
      <c r="L103" s="315"/>
      <c r="M103" s="359"/>
      <c r="N103" s="360"/>
      <c r="O103" s="359"/>
      <c r="Q103" s="356"/>
      <c r="R103" s="346" t="str">
        <f>IF(AND(E103="",G103=""),"",IF((E103+G103)&gt;0,"Pass","Fail"))</f>
        <v/>
      </c>
      <c r="T103" s="428">
        <f>COUNTIF(T104:T108,"&gt;3")/AE103</f>
        <v>0</v>
      </c>
      <c r="V103" s="2376"/>
      <c r="W103" s="2377"/>
      <c r="X103" s="2377"/>
      <c r="Y103" s="2377"/>
      <c r="Z103" s="2378"/>
      <c r="AA103" s="348"/>
      <c r="AB103" s="348"/>
      <c r="AC103" s="348"/>
      <c r="AD103" s="348"/>
      <c r="AE103" s="349">
        <v>5</v>
      </c>
      <c r="AF103" s="349">
        <f>ROUNDUP(AE103/2,0)</f>
        <v>3</v>
      </c>
    </row>
    <row r="104" spans="2:32" ht="18" hidden="1" customHeight="1">
      <c r="B104" s="350" t="str">
        <f>".1"</f>
        <v>.1</v>
      </c>
      <c r="C104" s="351" t="s">
        <v>387</v>
      </c>
      <c r="D104" s="352"/>
      <c r="E104" s="353"/>
      <c r="F104" s="354"/>
      <c r="G104" s="353"/>
      <c r="H104" s="354"/>
      <c r="I104" s="353"/>
      <c r="J104" s="354"/>
      <c r="K104" s="353"/>
      <c r="L104" s="354"/>
      <c r="M104" s="349" t="str">
        <f t="shared" ref="M104:M167" si="5">IF(MAX(E104,G104,I104,K104)=0,"",MAX(E104,G104,I104,K104))</f>
        <v/>
      </c>
      <c r="N104" s="354"/>
      <c r="O104" s="355"/>
      <c r="Q104" s="356" t="str">
        <f>IF(T104&gt;0,T104,"")</f>
        <v/>
      </c>
      <c r="T104" s="349" t="str">
        <f>Scoring!U106</f>
        <v/>
      </c>
      <c r="V104" s="2376"/>
      <c r="W104" s="2377"/>
      <c r="X104" s="2377"/>
      <c r="Y104" s="2377"/>
      <c r="Z104" s="2378"/>
      <c r="AA104" s="348"/>
      <c r="AB104" s="348"/>
      <c r="AC104" s="348"/>
      <c r="AD104" s="348"/>
      <c r="AE104" s="349"/>
      <c r="AF104" s="349"/>
    </row>
    <row r="105" spans="2:32" ht="24" hidden="1" customHeight="1">
      <c r="B105" s="350" t="str">
        <f>".2"</f>
        <v>.2</v>
      </c>
      <c r="C105" s="351" t="s">
        <v>386</v>
      </c>
      <c r="D105" s="352"/>
      <c r="E105" s="353"/>
      <c r="F105" s="354"/>
      <c r="G105" s="353"/>
      <c r="H105" s="354"/>
      <c r="I105" s="353"/>
      <c r="J105" s="354"/>
      <c r="K105" s="353"/>
      <c r="L105" s="354"/>
      <c r="M105" s="349" t="str">
        <f t="shared" si="5"/>
        <v/>
      </c>
      <c r="N105" s="354"/>
      <c r="O105" s="355"/>
      <c r="Q105" s="356" t="str">
        <f>IF(T105&gt;0,T105,"")</f>
        <v/>
      </c>
      <c r="T105" s="349" t="str">
        <f>Scoring!U107</f>
        <v/>
      </c>
      <c r="V105" s="2376"/>
      <c r="W105" s="2377"/>
      <c r="X105" s="2377"/>
      <c r="Y105" s="2377"/>
      <c r="Z105" s="2378"/>
      <c r="AA105" s="348"/>
      <c r="AB105" s="348"/>
      <c r="AC105" s="348"/>
      <c r="AD105" s="348"/>
      <c r="AE105" s="349"/>
      <c r="AF105" s="349"/>
    </row>
    <row r="106" spans="2:32" ht="24" hidden="1" customHeight="1">
      <c r="B106" s="350" t="str">
        <f>".3"</f>
        <v>.3</v>
      </c>
      <c r="C106" s="351" t="s">
        <v>385</v>
      </c>
      <c r="D106" s="352"/>
      <c r="E106" s="353"/>
      <c r="F106" s="354"/>
      <c r="G106" s="353"/>
      <c r="H106" s="354"/>
      <c r="I106" s="353"/>
      <c r="J106" s="354"/>
      <c r="K106" s="353"/>
      <c r="L106" s="354"/>
      <c r="M106" s="349" t="str">
        <f t="shared" si="5"/>
        <v/>
      </c>
      <c r="N106" s="354"/>
      <c r="O106" s="355"/>
      <c r="Q106" s="356" t="str">
        <f>IF(T106&gt;0,T106,"")</f>
        <v/>
      </c>
      <c r="T106" s="349" t="str">
        <f>Scoring!U108</f>
        <v/>
      </c>
      <c r="V106" s="2376"/>
      <c r="W106" s="2377"/>
      <c r="X106" s="2377"/>
      <c r="Y106" s="2377"/>
      <c r="Z106" s="2378"/>
      <c r="AA106" s="348"/>
      <c r="AB106" s="348"/>
      <c r="AC106" s="348"/>
      <c r="AD106" s="348"/>
      <c r="AE106" s="349"/>
      <c r="AF106" s="349"/>
    </row>
    <row r="107" spans="2:32" ht="18" hidden="1" customHeight="1">
      <c r="B107" s="350" t="str">
        <f>".4"</f>
        <v>.4</v>
      </c>
      <c r="C107" s="351" t="s">
        <v>384</v>
      </c>
      <c r="D107" s="352"/>
      <c r="E107" s="353"/>
      <c r="F107" s="354"/>
      <c r="G107" s="353"/>
      <c r="H107" s="354"/>
      <c r="I107" s="353"/>
      <c r="J107" s="354"/>
      <c r="K107" s="353"/>
      <c r="L107" s="354"/>
      <c r="M107" s="349" t="str">
        <f t="shared" si="5"/>
        <v/>
      </c>
      <c r="N107" s="354"/>
      <c r="O107" s="355"/>
      <c r="Q107" s="356" t="str">
        <f>IF(T107&gt;0,T107,"")</f>
        <v/>
      </c>
      <c r="T107" s="349" t="str">
        <f>Scoring!U109</f>
        <v/>
      </c>
      <c r="V107" s="2376"/>
      <c r="W107" s="2377"/>
      <c r="X107" s="2377"/>
      <c r="Y107" s="2377"/>
      <c r="Z107" s="2378"/>
      <c r="AA107" s="348"/>
      <c r="AB107" s="348"/>
      <c r="AC107" s="348"/>
      <c r="AD107" s="348"/>
      <c r="AE107" s="349"/>
      <c r="AF107" s="349"/>
    </row>
    <row r="108" spans="2:32" ht="18" hidden="1" customHeight="1">
      <c r="B108" s="350" t="str">
        <f>".5"</f>
        <v>.5</v>
      </c>
      <c r="C108" s="351" t="s">
        <v>383</v>
      </c>
      <c r="D108" s="352"/>
      <c r="E108" s="353"/>
      <c r="F108" s="354"/>
      <c r="G108" s="353"/>
      <c r="H108" s="354"/>
      <c r="I108" s="353"/>
      <c r="J108" s="354"/>
      <c r="K108" s="353"/>
      <c r="L108" s="354"/>
      <c r="M108" s="349" t="str">
        <f t="shared" si="5"/>
        <v/>
      </c>
      <c r="N108" s="354"/>
      <c r="O108" s="355"/>
      <c r="Q108" s="356" t="str">
        <f>IF(T108&gt;0,T108,"")</f>
        <v/>
      </c>
      <c r="T108" s="349" t="str">
        <f>Scoring!U110</f>
        <v/>
      </c>
      <c r="V108" s="2376"/>
      <c r="W108" s="2377"/>
      <c r="X108" s="2377"/>
      <c r="Y108" s="2377"/>
      <c r="Z108" s="2378"/>
      <c r="AA108" s="348"/>
      <c r="AB108" s="348"/>
      <c r="AC108" s="348"/>
      <c r="AD108" s="348"/>
      <c r="AE108" s="349"/>
      <c r="AF108" s="349"/>
    </row>
    <row r="109" spans="2:32" ht="20" customHeight="1">
      <c r="B109" s="341" t="s">
        <v>382</v>
      </c>
      <c r="C109" s="342" t="str">
        <f>Dictionary!B1392</f>
        <v>Anforderungen und Ziele</v>
      </c>
      <c r="D109" s="343"/>
      <c r="E109" s="436"/>
      <c r="F109" s="315"/>
      <c r="G109" s="436"/>
      <c r="H109" s="360"/>
      <c r="I109" s="359"/>
      <c r="J109" s="360"/>
      <c r="K109" s="359"/>
      <c r="L109" s="315"/>
      <c r="M109" s="359"/>
      <c r="N109" s="360"/>
      <c r="O109" s="359"/>
      <c r="Q109" s="356"/>
      <c r="R109" s="346" t="str">
        <f>IF(AND(E109="",G109=""),"",IF((E109+G109)&gt;0,"Pass","Fail"))</f>
        <v/>
      </c>
      <c r="T109" s="428">
        <f>COUNTIF(T110:T112,"&gt;3")/AE109</f>
        <v>0</v>
      </c>
      <c r="V109" s="2376"/>
      <c r="W109" s="2377"/>
      <c r="X109" s="2377"/>
      <c r="Y109" s="2377"/>
      <c r="Z109" s="2378"/>
      <c r="AA109" s="348"/>
      <c r="AB109" s="348"/>
      <c r="AC109" s="348"/>
      <c r="AD109" s="348"/>
      <c r="AE109" s="349">
        <v>3</v>
      </c>
      <c r="AF109" s="349">
        <f>ROUNDUP(AE109/2,0)</f>
        <v>2</v>
      </c>
    </row>
    <row r="110" spans="2:32" ht="18" hidden="1" customHeight="1">
      <c r="B110" s="350" t="str">
        <f>".1"</f>
        <v>.1</v>
      </c>
      <c r="C110" s="351" t="s">
        <v>381</v>
      </c>
      <c r="D110" s="352"/>
      <c r="E110" s="353"/>
      <c r="F110" s="354"/>
      <c r="G110" s="353"/>
      <c r="H110" s="354"/>
      <c r="I110" s="353"/>
      <c r="J110" s="354"/>
      <c r="K110" s="353"/>
      <c r="L110" s="354"/>
      <c r="M110" s="349" t="str">
        <f t="shared" si="5"/>
        <v/>
      </c>
      <c r="N110" s="354"/>
      <c r="O110" s="355"/>
      <c r="Q110" s="356" t="str">
        <f>IF(T110&gt;0,T110,"")</f>
        <v/>
      </c>
      <c r="T110" s="349" t="str">
        <f>Scoring!U115</f>
        <v/>
      </c>
      <c r="V110" s="2376"/>
      <c r="W110" s="2377"/>
      <c r="X110" s="2377"/>
      <c r="Y110" s="2377"/>
      <c r="Z110" s="2378"/>
      <c r="AA110" s="348"/>
      <c r="AB110" s="348"/>
      <c r="AC110" s="348"/>
      <c r="AD110" s="348"/>
      <c r="AE110" s="349"/>
      <c r="AF110" s="349"/>
    </row>
    <row r="111" spans="2:32" ht="24" hidden="1" customHeight="1">
      <c r="B111" s="350" t="str">
        <f>".2"</f>
        <v>.2</v>
      </c>
      <c r="C111" s="351" t="s">
        <v>380</v>
      </c>
      <c r="D111" s="352"/>
      <c r="E111" s="353"/>
      <c r="F111" s="354"/>
      <c r="G111" s="353"/>
      <c r="H111" s="354"/>
      <c r="I111" s="353"/>
      <c r="J111" s="354"/>
      <c r="K111" s="353"/>
      <c r="L111" s="354"/>
      <c r="M111" s="349" t="str">
        <f t="shared" si="5"/>
        <v/>
      </c>
      <c r="N111" s="354"/>
      <c r="O111" s="355"/>
      <c r="Q111" s="356" t="str">
        <f>IF(T111&gt;0,T111,"")</f>
        <v/>
      </c>
      <c r="T111" s="349" t="str">
        <f>Scoring!U116</f>
        <v/>
      </c>
      <c r="V111" s="2376"/>
      <c r="W111" s="2377"/>
      <c r="X111" s="2377"/>
      <c r="Y111" s="2377"/>
      <c r="Z111" s="2378"/>
      <c r="AA111" s="348"/>
      <c r="AB111" s="348"/>
      <c r="AC111" s="348"/>
      <c r="AD111" s="348"/>
      <c r="AE111" s="349"/>
      <c r="AF111" s="349"/>
    </row>
    <row r="112" spans="2:32" ht="24" hidden="1" customHeight="1">
      <c r="B112" s="350" t="str">
        <f>".3"</f>
        <v>.3</v>
      </c>
      <c r="C112" s="351" t="s">
        <v>379</v>
      </c>
      <c r="D112" s="352"/>
      <c r="E112" s="353"/>
      <c r="F112" s="354"/>
      <c r="G112" s="353"/>
      <c r="H112" s="354"/>
      <c r="I112" s="353"/>
      <c r="J112" s="354"/>
      <c r="K112" s="353"/>
      <c r="L112" s="354"/>
      <c r="M112" s="349" t="str">
        <f t="shared" si="5"/>
        <v/>
      </c>
      <c r="N112" s="354"/>
      <c r="O112" s="355"/>
      <c r="Q112" s="356" t="str">
        <f>IF(T112&gt;0,T112,"")</f>
        <v/>
      </c>
      <c r="T112" s="349" t="str">
        <f>Scoring!U117</f>
        <v/>
      </c>
      <c r="V112" s="2376"/>
      <c r="W112" s="2377"/>
      <c r="X112" s="2377"/>
      <c r="Y112" s="2377"/>
      <c r="Z112" s="2378"/>
      <c r="AA112" s="348"/>
      <c r="AB112" s="348"/>
      <c r="AC112" s="348"/>
      <c r="AD112" s="348"/>
      <c r="AE112" s="349"/>
      <c r="AF112" s="349"/>
    </row>
    <row r="113" spans="2:32" ht="20" customHeight="1">
      <c r="B113" s="341" t="s">
        <v>378</v>
      </c>
      <c r="C113" s="342" t="str">
        <f>Dictionary!B1400</f>
        <v>Leistungsumfang</v>
      </c>
      <c r="D113" s="343"/>
      <c r="E113" s="436"/>
      <c r="F113" s="315"/>
      <c r="G113" s="436"/>
      <c r="H113" s="360"/>
      <c r="I113" s="359"/>
      <c r="J113" s="360"/>
      <c r="K113" s="359"/>
      <c r="L113" s="315"/>
      <c r="M113" s="359"/>
      <c r="N113" s="360"/>
      <c r="O113" s="359"/>
      <c r="Q113" s="356"/>
      <c r="R113" s="346" t="str">
        <f>IF(AND(E113="",G113=""),"",IF((E113+G113)&gt;0,"Pass","Fail"))</f>
        <v/>
      </c>
      <c r="T113" s="428">
        <f>COUNTIF(T114:T117,"&gt;3")/AE113</f>
        <v>0</v>
      </c>
      <c r="V113" s="2376"/>
      <c r="W113" s="2377"/>
      <c r="X113" s="2377"/>
      <c r="Y113" s="2377"/>
      <c r="Z113" s="2378"/>
      <c r="AA113" s="348"/>
      <c r="AB113" s="348"/>
      <c r="AC113" s="348"/>
      <c r="AD113" s="348"/>
      <c r="AE113" s="349">
        <v>4</v>
      </c>
      <c r="AF113" s="349">
        <f>ROUNDUP(AE113/2,0)</f>
        <v>2</v>
      </c>
    </row>
    <row r="114" spans="2:32" ht="18" hidden="1" customHeight="1">
      <c r="B114" s="350" t="str">
        <f>".1"</f>
        <v>.1</v>
      </c>
      <c r="C114" s="351" t="s">
        <v>377</v>
      </c>
      <c r="D114" s="352"/>
      <c r="E114" s="353"/>
      <c r="F114" s="354"/>
      <c r="G114" s="353"/>
      <c r="H114" s="354"/>
      <c r="I114" s="353"/>
      <c r="J114" s="354"/>
      <c r="K114" s="353"/>
      <c r="L114" s="354"/>
      <c r="M114" s="349" t="str">
        <f t="shared" si="5"/>
        <v/>
      </c>
      <c r="N114" s="354"/>
      <c r="O114" s="355"/>
      <c r="Q114" s="356" t="str">
        <f>IF(T114&gt;0,T114,"")</f>
        <v/>
      </c>
      <c r="T114" s="349" t="str">
        <f>Scoring!U121</f>
        <v/>
      </c>
      <c r="V114" s="2376"/>
      <c r="W114" s="2377"/>
      <c r="X114" s="2377"/>
      <c r="Y114" s="2377"/>
      <c r="Z114" s="2378"/>
      <c r="AA114" s="348"/>
      <c r="AB114" s="348"/>
      <c r="AC114" s="348"/>
      <c r="AD114" s="348"/>
      <c r="AE114" s="349"/>
      <c r="AF114" s="349"/>
    </row>
    <row r="115" spans="2:32" ht="18" hidden="1" customHeight="1">
      <c r="B115" s="350" t="str">
        <f>".2"</f>
        <v>.2</v>
      </c>
      <c r="C115" s="351" t="s">
        <v>376</v>
      </c>
      <c r="D115" s="352"/>
      <c r="E115" s="353"/>
      <c r="F115" s="354"/>
      <c r="G115" s="353"/>
      <c r="H115" s="354"/>
      <c r="I115" s="353"/>
      <c r="J115" s="354"/>
      <c r="K115" s="353"/>
      <c r="L115" s="354"/>
      <c r="M115" s="349" t="str">
        <f t="shared" si="5"/>
        <v/>
      </c>
      <c r="N115" s="354"/>
      <c r="O115" s="355"/>
      <c r="Q115" s="356" t="str">
        <f>IF(T115&gt;0,T115,"")</f>
        <v/>
      </c>
      <c r="T115" s="349" t="str">
        <f>Scoring!U122</f>
        <v/>
      </c>
      <c r="V115" s="2376"/>
      <c r="W115" s="2377"/>
      <c r="X115" s="2377"/>
      <c r="Y115" s="2377"/>
      <c r="Z115" s="2378"/>
      <c r="AA115" s="348"/>
      <c r="AB115" s="348"/>
      <c r="AC115" s="348"/>
      <c r="AD115" s="348"/>
      <c r="AE115" s="349"/>
      <c r="AF115" s="349"/>
    </row>
    <row r="116" spans="2:32" ht="18" hidden="1" customHeight="1">
      <c r="B116" s="350" t="str">
        <f>".3"</f>
        <v>.3</v>
      </c>
      <c r="C116" s="351" t="s">
        <v>375</v>
      </c>
      <c r="D116" s="352"/>
      <c r="E116" s="353"/>
      <c r="F116" s="354"/>
      <c r="G116" s="353"/>
      <c r="H116" s="354"/>
      <c r="I116" s="353"/>
      <c r="J116" s="354"/>
      <c r="K116" s="353"/>
      <c r="L116" s="354"/>
      <c r="M116" s="349" t="str">
        <f t="shared" si="5"/>
        <v/>
      </c>
      <c r="N116" s="354"/>
      <c r="O116" s="355"/>
      <c r="Q116" s="356" t="str">
        <f>IF(T116&gt;0,T116,"")</f>
        <v/>
      </c>
      <c r="T116" s="349" t="str">
        <f>Scoring!U123</f>
        <v/>
      </c>
      <c r="V116" s="2376"/>
      <c r="W116" s="2377"/>
      <c r="X116" s="2377"/>
      <c r="Y116" s="2377"/>
      <c r="Z116" s="2378"/>
      <c r="AA116" s="348"/>
      <c r="AB116" s="348"/>
      <c r="AC116" s="348"/>
      <c r="AD116" s="348"/>
      <c r="AE116" s="349"/>
      <c r="AF116" s="349"/>
    </row>
    <row r="117" spans="2:32" ht="18" hidden="1" customHeight="1">
      <c r="B117" s="350" t="str">
        <f>".4"</f>
        <v>.4</v>
      </c>
      <c r="C117" s="351" t="s">
        <v>374</v>
      </c>
      <c r="D117" s="352"/>
      <c r="E117" s="353"/>
      <c r="F117" s="354"/>
      <c r="G117" s="353"/>
      <c r="H117" s="354"/>
      <c r="I117" s="353"/>
      <c r="J117" s="354"/>
      <c r="K117" s="353"/>
      <c r="L117" s="354"/>
      <c r="M117" s="349" t="str">
        <f t="shared" si="5"/>
        <v/>
      </c>
      <c r="N117" s="354"/>
      <c r="O117" s="355"/>
      <c r="Q117" s="356" t="str">
        <f>IF(T117&gt;0,T117,"")</f>
        <v/>
      </c>
      <c r="T117" s="349" t="str">
        <f>Scoring!U124</f>
        <v/>
      </c>
      <c r="V117" s="2376"/>
      <c r="W117" s="2377"/>
      <c r="X117" s="2377"/>
      <c r="Y117" s="2377"/>
      <c r="Z117" s="2378"/>
      <c r="AA117" s="348"/>
      <c r="AB117" s="348"/>
      <c r="AC117" s="348"/>
      <c r="AD117" s="348"/>
      <c r="AE117" s="349"/>
      <c r="AF117" s="349"/>
    </row>
    <row r="118" spans="2:32" ht="20" customHeight="1">
      <c r="B118" s="341" t="s">
        <v>373</v>
      </c>
      <c r="C118" s="342" t="str">
        <f>Dictionary!B1407</f>
        <v>Ablauf und Termine</v>
      </c>
      <c r="D118" s="343"/>
      <c r="E118" s="436"/>
      <c r="F118" s="315"/>
      <c r="G118" s="436"/>
      <c r="H118" s="360"/>
      <c r="I118" s="359"/>
      <c r="J118" s="360"/>
      <c r="K118" s="359"/>
      <c r="L118" s="315"/>
      <c r="M118" s="359" t="str">
        <f>IF(MAX(E118,G118,K118)=0,"",MAX(E118,G118,K118))</f>
        <v/>
      </c>
      <c r="N118" s="360"/>
      <c r="O118" s="359"/>
      <c r="Q118" s="356"/>
      <c r="R118" s="346" t="str">
        <f>IF(AND(E118="",G118=""),"",IF((E118+G118)&gt;0,"Pass","Fail"))</f>
        <v/>
      </c>
      <c r="T118" s="428">
        <f>COUNTIF(T119:T123,"&gt;3")/AE118</f>
        <v>0</v>
      </c>
      <c r="V118" s="2376"/>
      <c r="W118" s="2377"/>
      <c r="X118" s="2377"/>
      <c r="Y118" s="2377"/>
      <c r="Z118" s="2378"/>
      <c r="AA118" s="348"/>
      <c r="AB118" s="348"/>
      <c r="AC118" s="348"/>
      <c r="AD118" s="348"/>
      <c r="AE118" s="349">
        <v>5</v>
      </c>
      <c r="AF118" s="349">
        <f>ROUNDUP(AE118/2,0)</f>
        <v>3</v>
      </c>
    </row>
    <row r="119" spans="2:32" ht="18" hidden="1" customHeight="1">
      <c r="B119" s="350" t="str">
        <f>".1"</f>
        <v>.1</v>
      </c>
      <c r="C119" s="351" t="s">
        <v>372</v>
      </c>
      <c r="D119" s="352"/>
      <c r="E119" s="353"/>
      <c r="F119" s="354"/>
      <c r="G119" s="353"/>
      <c r="H119" s="354"/>
      <c r="I119" s="353"/>
      <c r="J119" s="354"/>
      <c r="K119" s="353"/>
      <c r="L119" s="354"/>
      <c r="M119" s="349" t="str">
        <f t="shared" si="5"/>
        <v/>
      </c>
      <c r="N119" s="354"/>
      <c r="O119" s="355"/>
      <c r="Q119" s="356" t="str">
        <f>IF(T119&gt;0,T119,"")</f>
        <v/>
      </c>
      <c r="T119" s="349" t="str">
        <f>Scoring!U126</f>
        <v/>
      </c>
      <c r="V119" s="2376"/>
      <c r="W119" s="2377"/>
      <c r="X119" s="2377"/>
      <c r="Y119" s="2377"/>
      <c r="Z119" s="2378"/>
      <c r="AA119" s="348"/>
      <c r="AB119" s="348"/>
      <c r="AC119" s="348"/>
      <c r="AD119" s="348"/>
      <c r="AE119" s="349"/>
      <c r="AF119" s="349"/>
    </row>
    <row r="120" spans="2:32" ht="18" hidden="1" customHeight="1">
      <c r="B120" s="350" t="str">
        <f>".2"</f>
        <v>.2</v>
      </c>
      <c r="C120" s="351" t="s">
        <v>371</v>
      </c>
      <c r="D120" s="352"/>
      <c r="E120" s="353"/>
      <c r="F120" s="354"/>
      <c r="G120" s="353"/>
      <c r="H120" s="354"/>
      <c r="I120" s="353"/>
      <c r="J120" s="354"/>
      <c r="K120" s="353"/>
      <c r="L120" s="354"/>
      <c r="M120" s="349" t="str">
        <f t="shared" si="5"/>
        <v/>
      </c>
      <c r="N120" s="354"/>
      <c r="O120" s="355"/>
      <c r="Q120" s="356" t="str">
        <f>IF(T120&gt;0,T120,"")</f>
        <v/>
      </c>
      <c r="T120" s="349" t="str">
        <f>Scoring!U127</f>
        <v/>
      </c>
      <c r="V120" s="2376"/>
      <c r="W120" s="2377"/>
      <c r="X120" s="2377"/>
      <c r="Y120" s="2377"/>
      <c r="Z120" s="2378"/>
      <c r="AA120" s="348"/>
      <c r="AB120" s="348"/>
      <c r="AC120" s="348"/>
      <c r="AD120" s="348"/>
      <c r="AE120" s="349"/>
      <c r="AF120" s="349"/>
    </row>
    <row r="121" spans="2:32" ht="18" hidden="1" customHeight="1">
      <c r="B121" s="350" t="str">
        <f>".3"</f>
        <v>.3</v>
      </c>
      <c r="C121" s="351" t="s">
        <v>370</v>
      </c>
      <c r="D121" s="352"/>
      <c r="E121" s="353"/>
      <c r="F121" s="354"/>
      <c r="G121" s="353"/>
      <c r="H121" s="354"/>
      <c r="I121" s="353"/>
      <c r="J121" s="354"/>
      <c r="K121" s="353"/>
      <c r="L121" s="354"/>
      <c r="M121" s="349" t="str">
        <f t="shared" si="5"/>
        <v/>
      </c>
      <c r="N121" s="354"/>
      <c r="O121" s="355"/>
      <c r="Q121" s="356" t="str">
        <f>IF(T121&gt;0,T121,"")</f>
        <v/>
      </c>
      <c r="T121" s="349" t="str">
        <f>Scoring!U128</f>
        <v/>
      </c>
      <c r="V121" s="2376"/>
      <c r="W121" s="2377"/>
      <c r="X121" s="2377"/>
      <c r="Y121" s="2377"/>
      <c r="Z121" s="2378"/>
      <c r="AA121" s="348"/>
      <c r="AB121" s="348"/>
      <c r="AC121" s="348"/>
      <c r="AD121" s="348"/>
      <c r="AE121" s="349"/>
      <c r="AF121" s="349"/>
    </row>
    <row r="122" spans="2:32" ht="18" hidden="1" customHeight="1">
      <c r="B122" s="350" t="str">
        <f>".4"</f>
        <v>.4</v>
      </c>
      <c r="C122" s="351" t="s">
        <v>369</v>
      </c>
      <c r="D122" s="352"/>
      <c r="E122" s="353"/>
      <c r="F122" s="354"/>
      <c r="G122" s="353"/>
      <c r="H122" s="354"/>
      <c r="I122" s="353"/>
      <c r="J122" s="354"/>
      <c r="K122" s="353"/>
      <c r="L122" s="354"/>
      <c r="M122" s="349" t="str">
        <f t="shared" si="5"/>
        <v/>
      </c>
      <c r="N122" s="354"/>
      <c r="O122" s="355"/>
      <c r="Q122" s="356" t="str">
        <f>IF(T122&gt;0,T122,"")</f>
        <v/>
      </c>
      <c r="T122" s="349" t="str">
        <f>Scoring!U129</f>
        <v/>
      </c>
      <c r="V122" s="2376"/>
      <c r="W122" s="2377"/>
      <c r="X122" s="2377"/>
      <c r="Y122" s="2377"/>
      <c r="Z122" s="2378"/>
      <c r="AA122" s="348"/>
      <c r="AB122" s="348"/>
      <c r="AC122" s="348"/>
      <c r="AD122" s="348"/>
      <c r="AE122" s="349"/>
      <c r="AF122" s="349"/>
    </row>
    <row r="123" spans="2:32" ht="24" hidden="1" customHeight="1">
      <c r="B123" s="350" t="str">
        <f>".5"</f>
        <v>.5</v>
      </c>
      <c r="C123" s="351" t="s">
        <v>368</v>
      </c>
      <c r="D123" s="352"/>
      <c r="E123" s="353"/>
      <c r="F123" s="354"/>
      <c r="G123" s="353"/>
      <c r="H123" s="354"/>
      <c r="I123" s="353"/>
      <c r="J123" s="354"/>
      <c r="K123" s="353"/>
      <c r="L123" s="354"/>
      <c r="M123" s="349" t="str">
        <f t="shared" si="5"/>
        <v/>
      </c>
      <c r="N123" s="354"/>
      <c r="O123" s="355"/>
      <c r="Q123" s="356" t="str">
        <f>IF(T123&gt;0,T123,"")</f>
        <v/>
      </c>
      <c r="T123" s="349" t="str">
        <f>Scoring!U130</f>
        <v/>
      </c>
      <c r="V123" s="2376"/>
      <c r="W123" s="2377"/>
      <c r="X123" s="2377"/>
      <c r="Y123" s="2377"/>
      <c r="Z123" s="2378"/>
      <c r="AA123" s="348"/>
      <c r="AB123" s="348"/>
      <c r="AC123" s="348"/>
      <c r="AD123" s="348"/>
      <c r="AE123" s="349"/>
      <c r="AF123" s="349"/>
    </row>
    <row r="124" spans="2:32" ht="20" customHeight="1">
      <c r="B124" s="341" t="s">
        <v>367</v>
      </c>
      <c r="C124" s="342" t="str">
        <f>Dictionary!B1415</f>
        <v>Organisation und Information</v>
      </c>
      <c r="D124" s="343"/>
      <c r="E124" s="436"/>
      <c r="F124" s="315"/>
      <c r="G124" s="436"/>
      <c r="H124" s="360"/>
      <c r="I124" s="359"/>
      <c r="J124" s="360"/>
      <c r="K124" s="359"/>
      <c r="L124" s="315"/>
      <c r="M124" s="359"/>
      <c r="N124" s="360"/>
      <c r="O124" s="359"/>
      <c r="Q124" s="356"/>
      <c r="R124" s="346" t="str">
        <f>IF(AND(E124="",G124=""),"",IF((E124+G124)&gt;0,"Pass","Fail"))</f>
        <v/>
      </c>
      <c r="T124" s="428">
        <f>COUNTIF(T125:T128,"&gt;3")/AE124</f>
        <v>0</v>
      </c>
      <c r="V124" s="2376"/>
      <c r="W124" s="2377"/>
      <c r="X124" s="2377"/>
      <c r="Y124" s="2377"/>
      <c r="Z124" s="2378"/>
      <c r="AA124" s="348"/>
      <c r="AB124" s="348"/>
      <c r="AC124" s="348"/>
      <c r="AD124" s="348"/>
      <c r="AE124" s="349">
        <v>4</v>
      </c>
      <c r="AF124" s="349">
        <f>ROUNDUP(AE124/2,0)</f>
        <v>2</v>
      </c>
    </row>
    <row r="125" spans="2:32" ht="24" hidden="1" customHeight="1">
      <c r="B125" s="350" t="str">
        <f>".1"</f>
        <v>.1</v>
      </c>
      <c r="C125" s="351" t="s">
        <v>365</v>
      </c>
      <c r="D125" s="352"/>
      <c r="E125" s="353"/>
      <c r="F125" s="354"/>
      <c r="G125" s="353"/>
      <c r="H125" s="354"/>
      <c r="I125" s="353"/>
      <c r="J125" s="354"/>
      <c r="K125" s="353"/>
      <c r="L125" s="354"/>
      <c r="M125" s="349" t="str">
        <f t="shared" si="5"/>
        <v/>
      </c>
      <c r="N125" s="354"/>
      <c r="O125" s="355"/>
      <c r="Q125" s="356" t="str">
        <f>IF(T125&gt;0,T125,"")</f>
        <v/>
      </c>
      <c r="T125" s="349" t="str">
        <f>Scoring!U132</f>
        <v/>
      </c>
      <c r="V125" s="2376"/>
      <c r="W125" s="2377"/>
      <c r="X125" s="2377"/>
      <c r="Y125" s="2377"/>
      <c r="Z125" s="2378"/>
      <c r="AA125" s="348"/>
      <c r="AB125" s="348"/>
      <c r="AC125" s="348"/>
      <c r="AD125" s="348"/>
      <c r="AE125" s="349"/>
      <c r="AF125" s="349"/>
    </row>
    <row r="126" spans="2:32" ht="24" hidden="1" customHeight="1">
      <c r="B126" s="350" t="str">
        <f>".2"</f>
        <v>.2</v>
      </c>
      <c r="C126" s="351" t="s">
        <v>364</v>
      </c>
      <c r="D126" s="352"/>
      <c r="E126" s="353"/>
      <c r="F126" s="354"/>
      <c r="G126" s="353"/>
      <c r="H126" s="354"/>
      <c r="I126" s="353"/>
      <c r="J126" s="354"/>
      <c r="K126" s="353"/>
      <c r="L126" s="354"/>
      <c r="M126" s="349" t="str">
        <f t="shared" si="5"/>
        <v/>
      </c>
      <c r="N126" s="354"/>
      <c r="O126" s="355"/>
      <c r="Q126" s="356" t="str">
        <f>IF(T126&gt;0,T126,"")</f>
        <v/>
      </c>
      <c r="T126" s="349" t="str">
        <f>Scoring!U133</f>
        <v/>
      </c>
      <c r="V126" s="2376"/>
      <c r="W126" s="2377"/>
      <c r="X126" s="2377"/>
      <c r="Y126" s="2377"/>
      <c r="Z126" s="2378"/>
      <c r="AA126" s="348"/>
      <c r="AB126" s="348"/>
      <c r="AC126" s="348"/>
      <c r="AD126" s="348"/>
      <c r="AE126" s="349"/>
      <c r="AF126" s="349"/>
    </row>
    <row r="127" spans="2:32" ht="24" hidden="1" customHeight="1">
      <c r="B127" s="350" t="str">
        <f>".3"</f>
        <v>.3</v>
      </c>
      <c r="C127" s="351" t="s">
        <v>363</v>
      </c>
      <c r="D127" s="352"/>
      <c r="E127" s="353"/>
      <c r="F127" s="354"/>
      <c r="G127" s="353"/>
      <c r="H127" s="354"/>
      <c r="I127" s="353"/>
      <c r="J127" s="354"/>
      <c r="K127" s="353"/>
      <c r="L127" s="354"/>
      <c r="M127" s="349" t="str">
        <f t="shared" si="5"/>
        <v/>
      </c>
      <c r="N127" s="354"/>
      <c r="O127" s="355"/>
      <c r="Q127" s="356" t="str">
        <f>IF(T127&gt;0,T127,"")</f>
        <v/>
      </c>
      <c r="T127" s="349" t="str">
        <f>Scoring!U134</f>
        <v/>
      </c>
      <c r="V127" s="2376"/>
      <c r="W127" s="2377"/>
      <c r="X127" s="2377"/>
      <c r="Y127" s="2377"/>
      <c r="Z127" s="2378"/>
      <c r="AA127" s="348"/>
      <c r="AB127" s="348"/>
      <c r="AC127" s="348"/>
      <c r="AD127" s="348"/>
      <c r="AE127" s="349"/>
      <c r="AF127" s="349"/>
    </row>
    <row r="128" spans="2:32" ht="24" hidden="1" customHeight="1">
      <c r="B128" s="350" t="str">
        <f>".4"</f>
        <v>.4</v>
      </c>
      <c r="C128" s="351" t="s">
        <v>362</v>
      </c>
      <c r="D128" s="352"/>
      <c r="E128" s="353"/>
      <c r="F128" s="354"/>
      <c r="G128" s="353"/>
      <c r="H128" s="354"/>
      <c r="I128" s="353"/>
      <c r="J128" s="354"/>
      <c r="K128" s="353"/>
      <c r="L128" s="354"/>
      <c r="M128" s="349" t="str">
        <f t="shared" si="5"/>
        <v/>
      </c>
      <c r="N128" s="354"/>
      <c r="O128" s="355"/>
      <c r="Q128" s="356" t="str">
        <f>IF(T128&gt;0,T128,"")</f>
        <v/>
      </c>
      <c r="T128" s="349" t="str">
        <f>Scoring!U135</f>
        <v/>
      </c>
      <c r="V128" s="2376"/>
      <c r="W128" s="2377"/>
      <c r="X128" s="2377"/>
      <c r="Y128" s="2377"/>
      <c r="Z128" s="2378"/>
      <c r="AA128" s="348"/>
      <c r="AB128" s="348"/>
      <c r="AC128" s="348"/>
      <c r="AD128" s="348"/>
      <c r="AE128" s="349"/>
      <c r="AF128" s="349"/>
    </row>
    <row r="129" spans="2:32" ht="20" customHeight="1">
      <c r="B129" s="341" t="s">
        <v>361</v>
      </c>
      <c r="C129" s="342" t="str">
        <f>Dictionary!B1422</f>
        <v>Qualität</v>
      </c>
      <c r="D129" s="343"/>
      <c r="E129" s="436"/>
      <c r="F129" s="315"/>
      <c r="G129" s="353"/>
      <c r="H129" s="360"/>
      <c r="I129" s="359"/>
      <c r="J129" s="360"/>
      <c r="K129" s="359"/>
      <c r="L129" s="315"/>
      <c r="M129" s="359"/>
      <c r="N129" s="360"/>
      <c r="O129" s="359"/>
      <c r="Q129" s="356"/>
      <c r="R129" s="346" t="str">
        <f>IF(AND(E129="",G129=""),"",IF((E129+G129)&gt;0,"Pass","Fail"))</f>
        <v/>
      </c>
      <c r="T129" s="428">
        <f>COUNTIF(T130:T134,"&gt;3")/AE129</f>
        <v>0</v>
      </c>
      <c r="V129" s="2376"/>
      <c r="W129" s="2377"/>
      <c r="X129" s="2377"/>
      <c r="Y129" s="2377"/>
      <c r="Z129" s="2378"/>
      <c r="AA129" s="348"/>
      <c r="AB129" s="348"/>
      <c r="AC129" s="348"/>
      <c r="AD129" s="348"/>
      <c r="AE129" s="349">
        <v>5</v>
      </c>
      <c r="AF129" s="349">
        <f>ROUNDUP(AE129/2,0)</f>
        <v>3</v>
      </c>
    </row>
    <row r="130" spans="2:32" ht="24" hidden="1" customHeight="1">
      <c r="B130" s="350" t="str">
        <f>".1"</f>
        <v>.1</v>
      </c>
      <c r="C130" s="351" t="s">
        <v>360</v>
      </c>
      <c r="D130" s="352"/>
      <c r="E130" s="353"/>
      <c r="F130" s="354"/>
      <c r="G130" s="353"/>
      <c r="H130" s="354"/>
      <c r="I130" s="353"/>
      <c r="J130" s="354"/>
      <c r="K130" s="353"/>
      <c r="L130" s="354"/>
      <c r="M130" s="349" t="str">
        <f t="shared" si="5"/>
        <v/>
      </c>
      <c r="N130" s="354"/>
      <c r="O130" s="355"/>
      <c r="Q130" s="356" t="str">
        <f>IF(T130&gt;0,T130,"")</f>
        <v/>
      </c>
      <c r="T130" s="349" t="str">
        <f>Scoring!U137</f>
        <v/>
      </c>
      <c r="V130" s="2376"/>
      <c r="W130" s="2377"/>
      <c r="X130" s="2377"/>
      <c r="Y130" s="2377"/>
      <c r="Z130" s="2378"/>
      <c r="AA130" s="348"/>
      <c r="AB130" s="348"/>
      <c r="AC130" s="348"/>
      <c r="AD130" s="348"/>
      <c r="AE130" s="349"/>
      <c r="AF130" s="349"/>
    </row>
    <row r="131" spans="2:32" ht="36" hidden="1" customHeight="1">
      <c r="B131" s="350" t="str">
        <f>".2"</f>
        <v>.2</v>
      </c>
      <c r="C131" s="351" t="s">
        <v>359</v>
      </c>
      <c r="D131" s="352"/>
      <c r="E131" s="353"/>
      <c r="F131" s="354"/>
      <c r="G131" s="353"/>
      <c r="H131" s="354"/>
      <c r="I131" s="353"/>
      <c r="J131" s="354"/>
      <c r="K131" s="353"/>
      <c r="L131" s="354"/>
      <c r="M131" s="349" t="str">
        <f t="shared" si="5"/>
        <v/>
      </c>
      <c r="N131" s="354"/>
      <c r="O131" s="355"/>
      <c r="Q131" s="356" t="str">
        <f>IF(T131&gt;0,T131,"")</f>
        <v/>
      </c>
      <c r="T131" s="349" t="str">
        <f>Scoring!U138</f>
        <v/>
      </c>
      <c r="V131" s="2376"/>
      <c r="W131" s="2377"/>
      <c r="X131" s="2377"/>
      <c r="Y131" s="2377"/>
      <c r="Z131" s="2378"/>
      <c r="AA131" s="348"/>
      <c r="AB131" s="348"/>
      <c r="AC131" s="348"/>
      <c r="AD131" s="348"/>
      <c r="AE131" s="349"/>
      <c r="AF131" s="349"/>
    </row>
    <row r="132" spans="2:32" ht="36" hidden="1" customHeight="1">
      <c r="B132" s="350" t="str">
        <f>".3"</f>
        <v>.3</v>
      </c>
      <c r="C132" s="351" t="s">
        <v>358</v>
      </c>
      <c r="D132" s="352"/>
      <c r="E132" s="353"/>
      <c r="F132" s="354"/>
      <c r="G132" s="353"/>
      <c r="H132" s="354"/>
      <c r="I132" s="353"/>
      <c r="J132" s="354"/>
      <c r="K132" s="353"/>
      <c r="L132" s="354"/>
      <c r="M132" s="349" t="str">
        <f t="shared" si="5"/>
        <v/>
      </c>
      <c r="N132" s="354"/>
      <c r="O132" s="355"/>
      <c r="Q132" s="356" t="str">
        <f>IF(T132&gt;0,T132,"")</f>
        <v/>
      </c>
      <c r="T132" s="349" t="str">
        <f>Scoring!U139</f>
        <v/>
      </c>
      <c r="V132" s="2376"/>
      <c r="W132" s="2377"/>
      <c r="X132" s="2377"/>
      <c r="Y132" s="2377"/>
      <c r="Z132" s="2378"/>
      <c r="AA132" s="348"/>
      <c r="AB132" s="348"/>
      <c r="AC132" s="348"/>
      <c r="AD132" s="348"/>
      <c r="AE132" s="349"/>
      <c r="AF132" s="349"/>
    </row>
    <row r="133" spans="2:32" ht="18" hidden="1" customHeight="1">
      <c r="B133" s="350" t="str">
        <f>".4"</f>
        <v>.4</v>
      </c>
      <c r="C133" s="351" t="s">
        <v>357</v>
      </c>
      <c r="D133" s="352"/>
      <c r="E133" s="353"/>
      <c r="F133" s="354"/>
      <c r="G133" s="353"/>
      <c r="H133" s="354"/>
      <c r="I133" s="353"/>
      <c r="J133" s="354"/>
      <c r="K133" s="353"/>
      <c r="L133" s="354"/>
      <c r="M133" s="349" t="str">
        <f t="shared" si="5"/>
        <v/>
      </c>
      <c r="N133" s="354"/>
      <c r="O133" s="355"/>
      <c r="Q133" s="356" t="str">
        <f>IF(T133&gt;0,T133,"")</f>
        <v/>
      </c>
      <c r="T133" s="349" t="str">
        <f>Scoring!U140</f>
        <v/>
      </c>
      <c r="V133" s="2376"/>
      <c r="W133" s="2377"/>
      <c r="X133" s="2377"/>
      <c r="Y133" s="2377"/>
      <c r="Z133" s="2378"/>
      <c r="AA133" s="348"/>
      <c r="AB133" s="348"/>
      <c r="AC133" s="348"/>
      <c r="AD133" s="348"/>
      <c r="AE133" s="349"/>
      <c r="AF133" s="349"/>
    </row>
    <row r="134" spans="2:32" ht="18" hidden="1" customHeight="1">
      <c r="B134" s="350" t="str">
        <f>".5"</f>
        <v>.5</v>
      </c>
      <c r="C134" s="351" t="s">
        <v>356</v>
      </c>
      <c r="D134" s="352"/>
      <c r="E134" s="353"/>
      <c r="F134" s="354"/>
      <c r="G134" s="353"/>
      <c r="H134" s="354"/>
      <c r="I134" s="353"/>
      <c r="J134" s="354"/>
      <c r="K134" s="353"/>
      <c r="L134" s="354"/>
      <c r="M134" s="349" t="str">
        <f t="shared" si="5"/>
        <v/>
      </c>
      <c r="N134" s="354"/>
      <c r="O134" s="355"/>
      <c r="Q134" s="356" t="str">
        <f>IF(T134&gt;0,T134,"")</f>
        <v/>
      </c>
      <c r="T134" s="349" t="str">
        <f>Scoring!U141</f>
        <v/>
      </c>
      <c r="V134" s="2376"/>
      <c r="W134" s="2377"/>
      <c r="X134" s="2377"/>
      <c r="Y134" s="2377"/>
      <c r="Z134" s="2378"/>
      <c r="AA134" s="348"/>
      <c r="AB134" s="348"/>
      <c r="AC134" s="348"/>
      <c r="AD134" s="348"/>
      <c r="AE134" s="349"/>
      <c r="AF134" s="349"/>
    </row>
    <row r="135" spans="2:32" ht="20" customHeight="1">
      <c r="B135" s="341" t="s">
        <v>355</v>
      </c>
      <c r="C135" s="342" t="str">
        <f>Dictionary!B1430</f>
        <v>Kosten &amp; Finanzierung</v>
      </c>
      <c r="D135" s="343"/>
      <c r="E135" s="436"/>
      <c r="F135" s="315"/>
      <c r="G135" s="436"/>
      <c r="H135" s="360"/>
      <c r="I135" s="359"/>
      <c r="J135" s="360"/>
      <c r="K135" s="359"/>
      <c r="L135" s="315"/>
      <c r="M135" s="359"/>
      <c r="N135" s="360"/>
      <c r="O135" s="359"/>
      <c r="Q135" s="356"/>
      <c r="R135" s="346" t="str">
        <f>IF(AND(E135="",G135=""),"",IF((E135+G135)&gt;0,"Pass","Fail"))</f>
        <v/>
      </c>
      <c r="T135" s="428">
        <f>COUNTIF(T136:T140,"&gt;3")/AE135</f>
        <v>0</v>
      </c>
      <c r="V135" s="2376"/>
      <c r="W135" s="2377"/>
      <c r="X135" s="2377"/>
      <c r="Y135" s="2377"/>
      <c r="Z135" s="2378"/>
      <c r="AA135" s="348"/>
      <c r="AB135" s="348"/>
      <c r="AC135" s="348"/>
      <c r="AD135" s="348"/>
      <c r="AE135" s="349">
        <v>5</v>
      </c>
      <c r="AF135" s="349">
        <f>ROUNDUP(AE135/2,0)</f>
        <v>3</v>
      </c>
    </row>
    <row r="136" spans="2:32" ht="18" hidden="1" customHeight="1">
      <c r="B136" s="350" t="str">
        <f>".1"</f>
        <v>.1</v>
      </c>
      <c r="C136" s="351" t="s">
        <v>354</v>
      </c>
      <c r="D136" s="352"/>
      <c r="E136" s="353"/>
      <c r="F136" s="354"/>
      <c r="G136" s="353"/>
      <c r="H136" s="354"/>
      <c r="I136" s="353"/>
      <c r="J136" s="354"/>
      <c r="K136" s="353"/>
      <c r="L136" s="354"/>
      <c r="M136" s="349" t="str">
        <f t="shared" si="5"/>
        <v/>
      </c>
      <c r="N136" s="354"/>
      <c r="O136" s="355"/>
      <c r="Q136" s="356" t="str">
        <f>IF(T136&gt;0,T136,"")</f>
        <v/>
      </c>
      <c r="T136" s="349" t="str">
        <f>Scoring!U143</f>
        <v/>
      </c>
      <c r="V136" s="2376"/>
      <c r="W136" s="2377"/>
      <c r="X136" s="2377"/>
      <c r="Y136" s="2377"/>
      <c r="Z136" s="2378"/>
      <c r="AA136" s="348"/>
      <c r="AB136" s="348"/>
      <c r="AC136" s="348"/>
      <c r="AD136" s="348"/>
      <c r="AE136" s="349"/>
      <c r="AF136" s="349"/>
    </row>
    <row r="137" spans="2:32" ht="18" hidden="1" customHeight="1">
      <c r="B137" s="350" t="str">
        <f>".2"</f>
        <v>.2</v>
      </c>
      <c r="C137" s="351" t="s">
        <v>353</v>
      </c>
      <c r="D137" s="352"/>
      <c r="E137" s="353"/>
      <c r="F137" s="354"/>
      <c r="G137" s="353"/>
      <c r="H137" s="354"/>
      <c r="I137" s="353"/>
      <c r="J137" s="354"/>
      <c r="K137" s="353"/>
      <c r="L137" s="354"/>
      <c r="M137" s="349" t="str">
        <f t="shared" si="5"/>
        <v/>
      </c>
      <c r="N137" s="354"/>
      <c r="O137" s="355"/>
      <c r="Q137" s="356" t="str">
        <f>IF(T137&gt;0,T137,"")</f>
        <v/>
      </c>
      <c r="T137" s="349" t="str">
        <f>Scoring!U144</f>
        <v/>
      </c>
      <c r="V137" s="2376"/>
      <c r="W137" s="2377"/>
      <c r="X137" s="2377"/>
      <c r="Y137" s="2377"/>
      <c r="Z137" s="2378"/>
      <c r="AA137" s="348"/>
      <c r="AB137" s="348"/>
      <c r="AC137" s="348"/>
      <c r="AD137" s="348"/>
      <c r="AE137" s="349"/>
      <c r="AF137" s="349"/>
    </row>
    <row r="138" spans="2:32" ht="18" hidden="1" customHeight="1">
      <c r="B138" s="350" t="str">
        <f>".3"</f>
        <v>.3</v>
      </c>
      <c r="C138" s="351" t="s">
        <v>352</v>
      </c>
      <c r="D138" s="352"/>
      <c r="E138" s="353"/>
      <c r="F138" s="354"/>
      <c r="G138" s="353"/>
      <c r="H138" s="354"/>
      <c r="I138" s="353"/>
      <c r="J138" s="354"/>
      <c r="K138" s="353"/>
      <c r="L138" s="354"/>
      <c r="M138" s="349" t="str">
        <f t="shared" si="5"/>
        <v/>
      </c>
      <c r="N138" s="354"/>
      <c r="O138" s="355"/>
      <c r="Q138" s="356" t="str">
        <f>IF(T138&gt;0,T138,"")</f>
        <v/>
      </c>
      <c r="T138" s="349" t="str">
        <f>Scoring!U145</f>
        <v/>
      </c>
      <c r="V138" s="2376"/>
      <c r="W138" s="2377"/>
      <c r="X138" s="2377"/>
      <c r="Y138" s="2377"/>
      <c r="Z138" s="2378"/>
      <c r="AA138" s="348"/>
      <c r="AB138" s="348"/>
      <c r="AC138" s="348"/>
      <c r="AD138" s="348"/>
      <c r="AE138" s="349"/>
      <c r="AF138" s="349"/>
    </row>
    <row r="139" spans="2:32" ht="24" hidden="1" customHeight="1">
      <c r="B139" s="350" t="str">
        <f>".4"</f>
        <v>.4</v>
      </c>
      <c r="C139" s="351" t="s">
        <v>351</v>
      </c>
      <c r="D139" s="352"/>
      <c r="E139" s="353"/>
      <c r="F139" s="354"/>
      <c r="G139" s="353"/>
      <c r="H139" s="354"/>
      <c r="I139" s="353"/>
      <c r="J139" s="354"/>
      <c r="K139" s="353"/>
      <c r="L139" s="354"/>
      <c r="M139" s="349" t="str">
        <f t="shared" si="5"/>
        <v/>
      </c>
      <c r="N139" s="354"/>
      <c r="O139" s="355"/>
      <c r="Q139" s="356" t="str">
        <f>IF(T139&gt;0,T139,"")</f>
        <v/>
      </c>
      <c r="T139" s="349" t="str">
        <f>Scoring!U146</f>
        <v/>
      </c>
      <c r="V139" s="2376"/>
      <c r="W139" s="2377"/>
      <c r="X139" s="2377"/>
      <c r="Y139" s="2377"/>
      <c r="Z139" s="2378"/>
      <c r="AA139" s="348"/>
      <c r="AB139" s="348"/>
      <c r="AC139" s="348"/>
      <c r="AD139" s="348"/>
      <c r="AE139" s="349"/>
      <c r="AF139" s="349"/>
    </row>
    <row r="140" spans="2:32" ht="24" hidden="1" customHeight="1">
      <c r="B140" s="350" t="str">
        <f>".5"</f>
        <v>.5</v>
      </c>
      <c r="C140" s="351" t="s">
        <v>350</v>
      </c>
      <c r="D140" s="352"/>
      <c r="E140" s="353"/>
      <c r="F140" s="354"/>
      <c r="G140" s="353"/>
      <c r="H140" s="354"/>
      <c r="I140" s="353"/>
      <c r="J140" s="354"/>
      <c r="K140" s="353"/>
      <c r="L140" s="354"/>
      <c r="M140" s="349" t="str">
        <f t="shared" si="5"/>
        <v/>
      </c>
      <c r="N140" s="354"/>
      <c r="O140" s="355"/>
      <c r="Q140" s="356" t="str">
        <f>IF(T140&gt;0,T140,"")</f>
        <v/>
      </c>
      <c r="T140" s="349" t="str">
        <f>Scoring!U147</f>
        <v/>
      </c>
      <c r="V140" s="2376"/>
      <c r="W140" s="2377"/>
      <c r="X140" s="2377"/>
      <c r="Y140" s="2377"/>
      <c r="Z140" s="2378"/>
      <c r="AA140" s="348"/>
      <c r="AB140" s="348"/>
      <c r="AC140" s="348"/>
      <c r="AD140" s="348"/>
      <c r="AE140" s="349"/>
      <c r="AF140" s="349"/>
    </row>
    <row r="141" spans="2:32" ht="20" customHeight="1">
      <c r="B141" s="341" t="s">
        <v>349</v>
      </c>
      <c r="C141" s="342" t="str">
        <f>Dictionary!B1438</f>
        <v>Ressourcen</v>
      </c>
      <c r="D141" s="343"/>
      <c r="E141" s="436"/>
      <c r="F141" s="315"/>
      <c r="G141" s="436"/>
      <c r="H141" s="360"/>
      <c r="I141" s="359"/>
      <c r="J141" s="360"/>
      <c r="K141" s="359"/>
      <c r="L141" s="315"/>
      <c r="M141" s="359"/>
      <c r="N141" s="360"/>
      <c r="O141" s="359"/>
      <c r="Q141" s="356"/>
      <c r="R141" s="346" t="str">
        <f>IF(AND(E141="",G141=""),"",IF((E141+G141)&gt;0,"Pass","Fail"))</f>
        <v/>
      </c>
      <c r="T141" s="428">
        <f>COUNTIF(T142:T146,"&gt;3")/AE141</f>
        <v>0</v>
      </c>
      <c r="V141" s="2376"/>
      <c r="W141" s="2377"/>
      <c r="X141" s="2377"/>
      <c r="Y141" s="2377"/>
      <c r="Z141" s="2378"/>
      <c r="AA141" s="348"/>
      <c r="AB141" s="348"/>
      <c r="AC141" s="348"/>
      <c r="AD141" s="348"/>
      <c r="AE141" s="349">
        <v>5</v>
      </c>
      <c r="AF141" s="349">
        <f>ROUNDUP(AE141/2,0)</f>
        <v>3</v>
      </c>
    </row>
    <row r="142" spans="2:32" ht="18" hidden="1" customHeight="1">
      <c r="B142" s="350" t="str">
        <f>".1"</f>
        <v>.1</v>
      </c>
      <c r="C142" s="351" t="s">
        <v>348</v>
      </c>
      <c r="D142" s="352"/>
      <c r="E142" s="353"/>
      <c r="F142" s="354"/>
      <c r="G142" s="353"/>
      <c r="H142" s="354"/>
      <c r="I142" s="353"/>
      <c r="J142" s="354"/>
      <c r="K142" s="353"/>
      <c r="L142" s="354"/>
      <c r="M142" s="349" t="str">
        <f t="shared" si="5"/>
        <v/>
      </c>
      <c r="N142" s="354"/>
      <c r="O142" s="355"/>
      <c r="Q142" s="356" t="str">
        <f>IF(T142&gt;0,T142,"")</f>
        <v/>
      </c>
      <c r="T142" s="349" t="str">
        <f>Scoring!U149</f>
        <v/>
      </c>
      <c r="V142" s="2376"/>
      <c r="W142" s="2377"/>
      <c r="X142" s="2377"/>
      <c r="Y142" s="2377"/>
      <c r="Z142" s="2378"/>
      <c r="AA142" s="348"/>
      <c r="AB142" s="348"/>
      <c r="AC142" s="348"/>
      <c r="AD142" s="348"/>
      <c r="AE142" s="349"/>
      <c r="AF142" s="349"/>
    </row>
    <row r="143" spans="2:32" ht="18" hidden="1" customHeight="1">
      <c r="B143" s="350" t="str">
        <f>".2"</f>
        <v>.2</v>
      </c>
      <c r="C143" s="351" t="s">
        <v>347</v>
      </c>
      <c r="D143" s="352"/>
      <c r="E143" s="353"/>
      <c r="F143" s="354"/>
      <c r="G143" s="353"/>
      <c r="H143" s="354"/>
      <c r="I143" s="353"/>
      <c r="J143" s="354"/>
      <c r="K143" s="353"/>
      <c r="L143" s="354"/>
      <c r="M143" s="349" t="str">
        <f t="shared" si="5"/>
        <v/>
      </c>
      <c r="N143" s="354"/>
      <c r="O143" s="355"/>
      <c r="Q143" s="356" t="str">
        <f>IF(T143&gt;0,T143,"")</f>
        <v/>
      </c>
      <c r="T143" s="349" t="str">
        <f>Scoring!U150</f>
        <v/>
      </c>
      <c r="V143" s="2376"/>
      <c r="W143" s="2377"/>
      <c r="X143" s="2377"/>
      <c r="Y143" s="2377"/>
      <c r="Z143" s="2378"/>
      <c r="AA143" s="348"/>
      <c r="AB143" s="348"/>
      <c r="AC143" s="348"/>
      <c r="AD143" s="348"/>
      <c r="AE143" s="349"/>
      <c r="AF143" s="349"/>
    </row>
    <row r="144" spans="2:32" ht="24" hidden="1" customHeight="1">
      <c r="B144" s="350" t="str">
        <f>".3"</f>
        <v>.3</v>
      </c>
      <c r="C144" s="351" t="s">
        <v>346</v>
      </c>
      <c r="D144" s="352"/>
      <c r="E144" s="353"/>
      <c r="F144" s="354"/>
      <c r="G144" s="353"/>
      <c r="H144" s="354"/>
      <c r="I144" s="353"/>
      <c r="J144" s="354"/>
      <c r="K144" s="353"/>
      <c r="L144" s="354"/>
      <c r="M144" s="349" t="str">
        <f t="shared" si="5"/>
        <v/>
      </c>
      <c r="N144" s="354"/>
      <c r="O144" s="355"/>
      <c r="Q144" s="356" t="str">
        <f>IF(T144&gt;0,T144,"")</f>
        <v/>
      </c>
      <c r="T144" s="349" t="str">
        <f>Scoring!U151</f>
        <v/>
      </c>
      <c r="V144" s="2376"/>
      <c r="W144" s="2377"/>
      <c r="X144" s="2377"/>
      <c r="Y144" s="2377"/>
      <c r="Z144" s="2378"/>
      <c r="AA144" s="348"/>
      <c r="AB144" s="348"/>
      <c r="AC144" s="348"/>
      <c r="AD144" s="348"/>
      <c r="AE144" s="349"/>
      <c r="AF144" s="349"/>
    </row>
    <row r="145" spans="2:32" ht="18" hidden="1" customHeight="1">
      <c r="B145" s="350" t="str">
        <f>".4"</f>
        <v>.4</v>
      </c>
      <c r="C145" s="351" t="s">
        <v>345</v>
      </c>
      <c r="D145" s="352"/>
      <c r="E145" s="353"/>
      <c r="F145" s="354"/>
      <c r="G145" s="353"/>
      <c r="H145" s="354"/>
      <c r="I145" s="353"/>
      <c r="J145" s="354"/>
      <c r="K145" s="353"/>
      <c r="L145" s="354"/>
      <c r="M145" s="349" t="str">
        <f t="shared" si="5"/>
        <v/>
      </c>
      <c r="N145" s="354"/>
      <c r="O145" s="355"/>
      <c r="Q145" s="356" t="str">
        <f>IF(T145&gt;0,T145,"")</f>
        <v/>
      </c>
      <c r="T145" s="349" t="str">
        <f>Scoring!U152</f>
        <v/>
      </c>
      <c r="V145" s="2376"/>
      <c r="W145" s="2377"/>
      <c r="X145" s="2377"/>
      <c r="Y145" s="2377"/>
      <c r="Z145" s="2378"/>
      <c r="AA145" s="348"/>
      <c r="AB145" s="348"/>
      <c r="AC145" s="348"/>
      <c r="AD145" s="348"/>
      <c r="AE145" s="349"/>
      <c r="AF145" s="349"/>
    </row>
    <row r="146" spans="2:32" ht="24" hidden="1" customHeight="1">
      <c r="B146" s="350" t="str">
        <f>".5"</f>
        <v>.5</v>
      </c>
      <c r="C146" s="351" t="s">
        <v>344</v>
      </c>
      <c r="D146" s="352"/>
      <c r="E146" s="353"/>
      <c r="F146" s="354"/>
      <c r="G146" s="353"/>
      <c r="H146" s="354"/>
      <c r="I146" s="353"/>
      <c r="J146" s="354"/>
      <c r="K146" s="353"/>
      <c r="L146" s="354"/>
      <c r="M146" s="349" t="str">
        <f t="shared" si="5"/>
        <v/>
      </c>
      <c r="N146" s="354"/>
      <c r="O146" s="355"/>
      <c r="Q146" s="356" t="str">
        <f>IF(T146&gt;0,T146,"")</f>
        <v/>
      </c>
      <c r="T146" s="349" t="str">
        <f>Scoring!U153</f>
        <v/>
      </c>
      <c r="V146" s="2376"/>
      <c r="W146" s="2377"/>
      <c r="X146" s="2377"/>
      <c r="Y146" s="2377"/>
      <c r="Z146" s="2378"/>
      <c r="AA146" s="348"/>
      <c r="AB146" s="348"/>
      <c r="AC146" s="348"/>
      <c r="AD146" s="348"/>
      <c r="AE146" s="349"/>
      <c r="AF146" s="349"/>
    </row>
    <row r="147" spans="2:32" ht="20" customHeight="1">
      <c r="B147" s="341" t="s">
        <v>343</v>
      </c>
      <c r="C147" s="342" t="str">
        <f>Dictionary!B1446</f>
        <v>Beschaffung</v>
      </c>
      <c r="D147" s="343"/>
      <c r="E147" s="353"/>
      <c r="F147" s="315"/>
      <c r="G147" s="353"/>
      <c r="H147" s="360"/>
      <c r="I147" s="359"/>
      <c r="J147" s="360"/>
      <c r="K147" s="359"/>
      <c r="L147" s="315"/>
      <c r="M147" s="359"/>
      <c r="N147" s="360"/>
      <c r="O147" s="359"/>
      <c r="Q147" s="356"/>
      <c r="R147" s="346" t="str">
        <f>IF(AND(E147="",G147=""),"",IF((E147+G147)&gt;0,"Pass","Fail"))</f>
        <v/>
      </c>
      <c r="T147" s="428">
        <f>COUNTIF(T148:T151,"&gt;3")/AE147</f>
        <v>0</v>
      </c>
      <c r="V147" s="2376"/>
      <c r="W147" s="2377"/>
      <c r="X147" s="2377"/>
      <c r="Y147" s="2377"/>
      <c r="Z147" s="2378"/>
      <c r="AA147" s="348"/>
      <c r="AB147" s="348"/>
      <c r="AC147" s="348"/>
      <c r="AD147" s="348"/>
      <c r="AE147" s="349">
        <v>4</v>
      </c>
      <c r="AF147" s="349">
        <f>ROUNDUP(AE147/2,0)</f>
        <v>2</v>
      </c>
    </row>
    <row r="148" spans="2:32" ht="18" hidden="1" customHeight="1">
      <c r="B148" s="350" t="str">
        <f>".1"</f>
        <v>.1</v>
      </c>
      <c r="C148" s="351" t="s">
        <v>342</v>
      </c>
      <c r="D148" s="352"/>
      <c r="E148" s="353"/>
      <c r="F148" s="354"/>
      <c r="G148" s="353"/>
      <c r="H148" s="354"/>
      <c r="I148" s="353"/>
      <c r="J148" s="354"/>
      <c r="K148" s="353"/>
      <c r="L148" s="354"/>
      <c r="M148" s="349" t="str">
        <f t="shared" si="5"/>
        <v/>
      </c>
      <c r="N148" s="354"/>
      <c r="O148" s="355"/>
      <c r="Q148" s="356" t="str">
        <f>IF(T148&gt;0,T148,"")</f>
        <v/>
      </c>
      <c r="T148" s="349" t="str">
        <f>Scoring!U155</f>
        <v/>
      </c>
      <c r="V148" s="2376"/>
      <c r="W148" s="2377"/>
      <c r="X148" s="2377"/>
      <c r="Y148" s="2377"/>
      <c r="Z148" s="2378"/>
      <c r="AA148" s="348"/>
      <c r="AB148" s="348"/>
      <c r="AC148" s="348"/>
      <c r="AD148" s="348"/>
      <c r="AE148" s="349"/>
      <c r="AF148" s="349"/>
    </row>
    <row r="149" spans="2:32" ht="24" hidden="1" customHeight="1">
      <c r="B149" s="350" t="str">
        <f>".2"</f>
        <v>.2</v>
      </c>
      <c r="C149" s="351" t="s">
        <v>341</v>
      </c>
      <c r="D149" s="352"/>
      <c r="E149" s="353"/>
      <c r="F149" s="354"/>
      <c r="G149" s="353"/>
      <c r="H149" s="354"/>
      <c r="I149" s="353"/>
      <c r="J149" s="354"/>
      <c r="K149" s="353"/>
      <c r="L149" s="354"/>
      <c r="M149" s="349" t="str">
        <f t="shared" si="5"/>
        <v/>
      </c>
      <c r="N149" s="354"/>
      <c r="O149" s="355"/>
      <c r="Q149" s="356" t="str">
        <f>IF(T149&gt;0,T149,"")</f>
        <v/>
      </c>
      <c r="T149" s="349" t="str">
        <f>Scoring!U156</f>
        <v/>
      </c>
      <c r="V149" s="2376"/>
      <c r="W149" s="2377"/>
      <c r="X149" s="2377"/>
      <c r="Y149" s="2377"/>
      <c r="Z149" s="2378"/>
      <c r="AA149" s="348"/>
      <c r="AB149" s="348"/>
      <c r="AC149" s="348"/>
      <c r="AD149" s="348"/>
      <c r="AE149" s="349"/>
      <c r="AF149" s="349"/>
    </row>
    <row r="150" spans="2:32" ht="24" hidden="1" customHeight="1">
      <c r="B150" s="350" t="str">
        <f>".3"</f>
        <v>.3</v>
      </c>
      <c r="C150" s="351" t="s">
        <v>340</v>
      </c>
      <c r="D150" s="352"/>
      <c r="E150" s="353"/>
      <c r="F150" s="354"/>
      <c r="G150" s="353"/>
      <c r="H150" s="354"/>
      <c r="I150" s="353"/>
      <c r="J150" s="354"/>
      <c r="K150" s="353"/>
      <c r="L150" s="354"/>
      <c r="M150" s="349" t="str">
        <f t="shared" si="5"/>
        <v/>
      </c>
      <c r="N150" s="354"/>
      <c r="O150" s="355"/>
      <c r="Q150" s="356" t="str">
        <f>IF(T150&gt;0,T150,"")</f>
        <v/>
      </c>
      <c r="T150" s="349" t="str">
        <f>Scoring!U157</f>
        <v/>
      </c>
      <c r="V150" s="2376"/>
      <c r="W150" s="2377"/>
      <c r="X150" s="2377"/>
      <c r="Y150" s="2377"/>
      <c r="Z150" s="2378"/>
      <c r="AA150" s="348"/>
      <c r="AB150" s="348"/>
      <c r="AC150" s="348"/>
      <c r="AD150" s="348"/>
      <c r="AE150" s="349"/>
      <c r="AF150" s="349"/>
    </row>
    <row r="151" spans="2:32" ht="24" hidden="1" customHeight="1">
      <c r="B151" s="350" t="str">
        <f>".4"</f>
        <v>.4</v>
      </c>
      <c r="C151" s="351" t="s">
        <v>339</v>
      </c>
      <c r="D151" s="352"/>
      <c r="E151" s="353"/>
      <c r="F151" s="354"/>
      <c r="G151" s="353"/>
      <c r="H151" s="354"/>
      <c r="I151" s="353"/>
      <c r="J151" s="354"/>
      <c r="K151" s="353"/>
      <c r="L151" s="354"/>
      <c r="M151" s="349" t="str">
        <f t="shared" si="5"/>
        <v/>
      </c>
      <c r="N151" s="354"/>
      <c r="O151" s="355"/>
      <c r="Q151" s="356" t="str">
        <f>IF(T151&gt;0,T151,"")</f>
        <v/>
      </c>
      <c r="T151" s="349" t="str">
        <f>Scoring!U158</f>
        <v/>
      </c>
      <c r="V151" s="2376"/>
      <c r="W151" s="2377"/>
      <c r="X151" s="2377"/>
      <c r="Y151" s="2377"/>
      <c r="Z151" s="2378"/>
      <c r="AA151" s="348"/>
      <c r="AB151" s="348"/>
      <c r="AC151" s="348"/>
      <c r="AD151" s="348"/>
      <c r="AE151" s="349"/>
      <c r="AF151" s="349"/>
    </row>
    <row r="152" spans="2:32" ht="20" customHeight="1">
      <c r="B152" s="341" t="s">
        <v>338</v>
      </c>
      <c r="C152" s="342" t="str">
        <f>Dictionary!B1453</f>
        <v>Planung und Steuerung</v>
      </c>
      <c r="D152" s="343"/>
      <c r="E152" s="436"/>
      <c r="F152" s="315"/>
      <c r="G152" s="436"/>
      <c r="H152" s="360"/>
      <c r="I152" s="359"/>
      <c r="J152" s="360"/>
      <c r="K152" s="359"/>
      <c r="L152" s="315"/>
      <c r="M152" s="359"/>
      <c r="N152" s="360"/>
      <c r="O152" s="359"/>
      <c r="Q152" s="356"/>
      <c r="R152" s="346" t="str">
        <f>IF(AND(E152="",G152=""),"",IF((E152+G152)&gt;0,"Pass","Fail"))</f>
        <v/>
      </c>
      <c r="T152" s="428">
        <f>COUNTIF(T153:T158,"&gt;3")/AE152</f>
        <v>0</v>
      </c>
      <c r="V152" s="2376"/>
      <c r="W152" s="2377"/>
      <c r="X152" s="2377"/>
      <c r="Y152" s="2377"/>
      <c r="Z152" s="2378"/>
      <c r="AA152" s="348"/>
      <c r="AB152" s="348"/>
      <c r="AC152" s="348"/>
      <c r="AD152" s="369"/>
      <c r="AE152" s="349">
        <v>6</v>
      </c>
      <c r="AF152" s="349">
        <f>ROUNDUP(AE152/2,0)</f>
        <v>3</v>
      </c>
    </row>
    <row r="153" spans="2:32" ht="24" hidden="1" customHeight="1">
      <c r="B153" s="350" t="str">
        <f>".1"</f>
        <v>.1</v>
      </c>
      <c r="C153" s="351" t="s">
        <v>337</v>
      </c>
      <c r="D153" s="352"/>
      <c r="E153" s="353"/>
      <c r="F153" s="354"/>
      <c r="G153" s="353"/>
      <c r="H153" s="354"/>
      <c r="I153" s="353"/>
      <c r="J153" s="354"/>
      <c r="K153" s="353"/>
      <c r="L153" s="354"/>
      <c r="M153" s="349" t="str">
        <f t="shared" si="5"/>
        <v/>
      </c>
      <c r="N153" s="354"/>
      <c r="O153" s="355"/>
      <c r="Q153" s="356" t="str">
        <f t="shared" ref="Q153:Q158" si="6">IF(T153&gt;0,T153,"")</f>
        <v/>
      </c>
      <c r="T153" s="349" t="str">
        <f>Scoring!U160</f>
        <v/>
      </c>
      <c r="V153" s="2376"/>
      <c r="W153" s="2377"/>
      <c r="X153" s="2377"/>
      <c r="Y153" s="2377"/>
      <c r="Z153" s="2378"/>
      <c r="AA153" s="348"/>
      <c r="AB153" s="348"/>
      <c r="AC153" s="348"/>
      <c r="AD153" s="348"/>
      <c r="AE153" s="349"/>
      <c r="AF153" s="349"/>
    </row>
    <row r="154" spans="2:32" ht="18" hidden="1" customHeight="1">
      <c r="B154" s="350" t="str">
        <f>".2"</f>
        <v>.2</v>
      </c>
      <c r="C154" s="351" t="s">
        <v>336</v>
      </c>
      <c r="D154" s="352"/>
      <c r="E154" s="353"/>
      <c r="F154" s="354"/>
      <c r="G154" s="353"/>
      <c r="H154" s="354"/>
      <c r="I154" s="353"/>
      <c r="J154" s="354"/>
      <c r="K154" s="353"/>
      <c r="L154" s="354"/>
      <c r="M154" s="349" t="str">
        <f t="shared" si="5"/>
        <v/>
      </c>
      <c r="N154" s="354"/>
      <c r="O154" s="355"/>
      <c r="Q154" s="356" t="str">
        <f t="shared" si="6"/>
        <v/>
      </c>
      <c r="T154" s="349" t="str">
        <f>Scoring!U161</f>
        <v/>
      </c>
      <c r="V154" s="2376"/>
      <c r="W154" s="2377"/>
      <c r="X154" s="2377"/>
      <c r="Y154" s="2377"/>
      <c r="Z154" s="2378"/>
      <c r="AA154" s="348"/>
      <c r="AB154" s="348"/>
      <c r="AC154" s="348"/>
      <c r="AD154" s="348"/>
      <c r="AE154" s="349"/>
      <c r="AF154" s="349"/>
    </row>
    <row r="155" spans="2:32" ht="24" hidden="1" customHeight="1">
      <c r="B155" s="350" t="str">
        <f>".3"</f>
        <v>.3</v>
      </c>
      <c r="C155" s="351" t="s">
        <v>335</v>
      </c>
      <c r="D155" s="352"/>
      <c r="E155" s="353"/>
      <c r="F155" s="354"/>
      <c r="G155" s="353"/>
      <c r="H155" s="354"/>
      <c r="I155" s="353"/>
      <c r="J155" s="354"/>
      <c r="K155" s="353"/>
      <c r="L155" s="354"/>
      <c r="M155" s="349" t="str">
        <f t="shared" si="5"/>
        <v/>
      </c>
      <c r="N155" s="354"/>
      <c r="O155" s="355"/>
      <c r="Q155" s="356" t="str">
        <f t="shared" si="6"/>
        <v/>
      </c>
      <c r="T155" s="349" t="str">
        <f>Scoring!U162</f>
        <v/>
      </c>
      <c r="V155" s="2376"/>
      <c r="W155" s="2377"/>
      <c r="X155" s="2377"/>
      <c r="Y155" s="2377"/>
      <c r="Z155" s="2378"/>
      <c r="AA155" s="348"/>
      <c r="AB155" s="348"/>
      <c r="AC155" s="348"/>
      <c r="AD155" s="348"/>
      <c r="AE155" s="349"/>
      <c r="AF155" s="349"/>
    </row>
    <row r="156" spans="2:32" ht="18" hidden="1" customHeight="1">
      <c r="B156" s="350" t="str">
        <f>".4"</f>
        <v>.4</v>
      </c>
      <c r="C156" s="351" t="s">
        <v>334</v>
      </c>
      <c r="D156" s="352"/>
      <c r="E156" s="353"/>
      <c r="F156" s="354"/>
      <c r="G156" s="353"/>
      <c r="H156" s="354"/>
      <c r="I156" s="353"/>
      <c r="J156" s="354"/>
      <c r="K156" s="353"/>
      <c r="L156" s="354"/>
      <c r="M156" s="349" t="str">
        <f t="shared" si="5"/>
        <v/>
      </c>
      <c r="N156" s="354"/>
      <c r="O156" s="355"/>
      <c r="Q156" s="356" t="str">
        <f t="shared" si="6"/>
        <v/>
      </c>
      <c r="T156" s="349" t="str">
        <f>Scoring!U163</f>
        <v/>
      </c>
      <c r="V156" s="2376"/>
      <c r="W156" s="2377"/>
      <c r="X156" s="2377"/>
      <c r="Y156" s="2377"/>
      <c r="Z156" s="2378"/>
      <c r="AA156" s="348"/>
      <c r="AB156" s="348"/>
      <c r="AC156" s="348"/>
      <c r="AD156" s="348"/>
      <c r="AE156" s="349"/>
      <c r="AF156" s="349"/>
    </row>
    <row r="157" spans="2:32" ht="18" hidden="1" customHeight="1">
      <c r="B157" s="350" t="str">
        <f>".5"</f>
        <v>.5</v>
      </c>
      <c r="C157" s="351" t="s">
        <v>333</v>
      </c>
      <c r="D157" s="352"/>
      <c r="E157" s="353"/>
      <c r="F157" s="354"/>
      <c r="G157" s="353"/>
      <c r="H157" s="354"/>
      <c r="I157" s="353"/>
      <c r="J157" s="354"/>
      <c r="K157" s="353"/>
      <c r="L157" s="354"/>
      <c r="M157" s="349" t="str">
        <f t="shared" si="5"/>
        <v/>
      </c>
      <c r="N157" s="354"/>
      <c r="O157" s="355"/>
      <c r="Q157" s="356" t="str">
        <f t="shared" si="6"/>
        <v/>
      </c>
      <c r="T157" s="349" t="str">
        <f>Scoring!U164</f>
        <v/>
      </c>
      <c r="V157" s="2376"/>
      <c r="W157" s="2377"/>
      <c r="X157" s="2377"/>
      <c r="Y157" s="2377"/>
      <c r="Z157" s="2378"/>
      <c r="AA157" s="348"/>
      <c r="AB157" s="348"/>
      <c r="AC157" s="348"/>
      <c r="AD157" s="348"/>
      <c r="AE157" s="349"/>
      <c r="AF157" s="349"/>
    </row>
    <row r="158" spans="2:32" ht="18" hidden="1" customHeight="1">
      <c r="B158" s="350" t="str">
        <f>".6"</f>
        <v>.6</v>
      </c>
      <c r="C158" s="351" t="s">
        <v>332</v>
      </c>
      <c r="D158" s="352"/>
      <c r="E158" s="353"/>
      <c r="F158" s="354"/>
      <c r="G158" s="353"/>
      <c r="H158" s="354"/>
      <c r="I158" s="353"/>
      <c r="J158" s="354"/>
      <c r="K158" s="353"/>
      <c r="L158" s="354"/>
      <c r="M158" s="349" t="str">
        <f t="shared" si="5"/>
        <v/>
      </c>
      <c r="N158" s="354"/>
      <c r="O158" s="355"/>
      <c r="Q158" s="356" t="str">
        <f t="shared" si="6"/>
        <v/>
      </c>
      <c r="T158" s="349" t="str">
        <f>Scoring!U165</f>
        <v/>
      </c>
      <c r="V158" s="2376"/>
      <c r="W158" s="2377"/>
      <c r="X158" s="2377"/>
      <c r="Y158" s="2377"/>
      <c r="Z158" s="2378"/>
      <c r="AA158" s="348"/>
      <c r="AB158" s="348"/>
      <c r="AC158" s="348"/>
      <c r="AD158" s="348"/>
      <c r="AE158" s="349"/>
      <c r="AF158" s="349"/>
    </row>
    <row r="159" spans="2:32" ht="20" customHeight="1">
      <c r="B159" s="341" t="s">
        <v>331</v>
      </c>
      <c r="C159" s="342" t="str">
        <f>Dictionary!B1462</f>
        <v>Risiken und Chancen</v>
      </c>
      <c r="D159" s="343"/>
      <c r="E159" s="436"/>
      <c r="F159" s="315"/>
      <c r="G159" s="436"/>
      <c r="H159" s="360"/>
      <c r="I159" s="359"/>
      <c r="J159" s="360"/>
      <c r="K159" s="359"/>
      <c r="L159" s="315"/>
      <c r="M159" s="359"/>
      <c r="N159" s="360"/>
      <c r="O159" s="359"/>
      <c r="Q159" s="356"/>
      <c r="R159" s="346" t="str">
        <f>IF(AND(E159="",G159=""),"",IF((E159+G159)&gt;0,"Pass","Fail"))</f>
        <v/>
      </c>
      <c r="T159" s="428">
        <f>COUNTIF(T160:T164,"&gt;3")/AE159</f>
        <v>0</v>
      </c>
      <c r="V159" s="2376"/>
      <c r="W159" s="2377"/>
      <c r="X159" s="2377"/>
      <c r="Y159" s="2377"/>
      <c r="Z159" s="2378"/>
      <c r="AA159" s="348"/>
      <c r="AB159" s="348"/>
      <c r="AC159" s="348"/>
      <c r="AD159" s="369"/>
      <c r="AE159" s="349">
        <v>5</v>
      </c>
      <c r="AF159" s="349">
        <f>ROUNDUP(AE159/2,0)</f>
        <v>3</v>
      </c>
    </row>
    <row r="160" spans="2:32" ht="18" hidden="1" customHeight="1">
      <c r="B160" s="350" t="str">
        <f>".1"</f>
        <v>.1</v>
      </c>
      <c r="C160" s="351" t="s">
        <v>330</v>
      </c>
      <c r="D160" s="352"/>
      <c r="E160" s="353"/>
      <c r="F160" s="354"/>
      <c r="G160" s="353"/>
      <c r="H160" s="354"/>
      <c r="I160" s="353"/>
      <c r="J160" s="354"/>
      <c r="K160" s="353"/>
      <c r="L160" s="354"/>
      <c r="M160" s="349" t="str">
        <f t="shared" si="5"/>
        <v/>
      </c>
      <c r="N160" s="354"/>
      <c r="O160" s="355"/>
      <c r="Q160" s="356" t="str">
        <f>IF(T160&gt;0,T160,"")</f>
        <v/>
      </c>
      <c r="T160" s="349" t="str">
        <f>Scoring!U167</f>
        <v/>
      </c>
      <c r="V160" s="2376"/>
      <c r="W160" s="2377"/>
      <c r="X160" s="2377"/>
      <c r="Y160" s="2377"/>
      <c r="Z160" s="2378"/>
      <c r="AA160" s="348"/>
      <c r="AB160" s="348"/>
      <c r="AC160" s="348"/>
      <c r="AD160" s="348"/>
      <c r="AE160" s="349"/>
      <c r="AF160" s="349"/>
    </row>
    <row r="161" spans="2:32" ht="18" hidden="1" customHeight="1">
      <c r="B161" s="350" t="str">
        <f>".2"</f>
        <v>.2</v>
      </c>
      <c r="C161" s="351" t="s">
        <v>329</v>
      </c>
      <c r="D161" s="352"/>
      <c r="E161" s="353"/>
      <c r="F161" s="354"/>
      <c r="G161" s="353"/>
      <c r="H161" s="354"/>
      <c r="I161" s="353"/>
      <c r="J161" s="354"/>
      <c r="K161" s="353"/>
      <c r="L161" s="354"/>
      <c r="M161" s="349" t="str">
        <f t="shared" si="5"/>
        <v/>
      </c>
      <c r="N161" s="354"/>
      <c r="O161" s="355"/>
      <c r="Q161" s="356" t="str">
        <f>IF(T161&gt;0,T161,"")</f>
        <v/>
      </c>
      <c r="T161" s="349" t="str">
        <f>Scoring!U168</f>
        <v/>
      </c>
      <c r="V161" s="2376"/>
      <c r="W161" s="2377"/>
      <c r="X161" s="2377"/>
      <c r="Y161" s="2377"/>
      <c r="Z161" s="2378"/>
      <c r="AA161" s="348"/>
      <c r="AB161" s="348"/>
      <c r="AC161" s="348"/>
      <c r="AD161" s="348"/>
      <c r="AE161" s="349"/>
      <c r="AF161" s="349"/>
    </row>
    <row r="162" spans="2:32" ht="24" hidden="1" customHeight="1">
      <c r="B162" s="350" t="str">
        <f>".3"</f>
        <v>.3</v>
      </c>
      <c r="C162" s="351" t="s">
        <v>328</v>
      </c>
      <c r="D162" s="352"/>
      <c r="E162" s="353"/>
      <c r="F162" s="354"/>
      <c r="G162" s="353"/>
      <c r="H162" s="354"/>
      <c r="I162" s="353"/>
      <c r="J162" s="354"/>
      <c r="K162" s="353"/>
      <c r="L162" s="354"/>
      <c r="M162" s="349" t="str">
        <f t="shared" si="5"/>
        <v/>
      </c>
      <c r="N162" s="354"/>
      <c r="O162" s="355"/>
      <c r="Q162" s="356" t="str">
        <f>IF(T162&gt;0,T162,"")</f>
        <v/>
      </c>
      <c r="T162" s="349" t="str">
        <f>Scoring!U169</f>
        <v/>
      </c>
      <c r="V162" s="2376"/>
      <c r="W162" s="2377"/>
      <c r="X162" s="2377"/>
      <c r="Y162" s="2377"/>
      <c r="Z162" s="2378"/>
      <c r="AA162" s="348"/>
      <c r="AB162" s="348"/>
      <c r="AC162" s="348"/>
      <c r="AD162" s="348"/>
      <c r="AE162" s="349"/>
      <c r="AF162" s="349"/>
    </row>
    <row r="163" spans="2:32" ht="24" hidden="1" customHeight="1">
      <c r="B163" s="350" t="str">
        <f>".4"</f>
        <v>.4</v>
      </c>
      <c r="C163" s="351" t="s">
        <v>327</v>
      </c>
      <c r="D163" s="352"/>
      <c r="E163" s="353"/>
      <c r="F163" s="354"/>
      <c r="G163" s="353"/>
      <c r="H163" s="354"/>
      <c r="I163" s="353"/>
      <c r="J163" s="354"/>
      <c r="K163" s="353"/>
      <c r="L163" s="354"/>
      <c r="M163" s="349" t="str">
        <f t="shared" si="5"/>
        <v/>
      </c>
      <c r="N163" s="354"/>
      <c r="O163" s="355"/>
      <c r="Q163" s="356" t="str">
        <f>IF(T163&gt;0,T163,"")</f>
        <v/>
      </c>
      <c r="T163" s="349" t="str">
        <f>Scoring!U170</f>
        <v/>
      </c>
      <c r="V163" s="2376"/>
      <c r="W163" s="2377"/>
      <c r="X163" s="2377"/>
      <c r="Y163" s="2377"/>
      <c r="Z163" s="2378"/>
      <c r="AA163" s="348"/>
      <c r="AB163" s="348"/>
      <c r="AC163" s="348"/>
      <c r="AD163" s="348"/>
      <c r="AE163" s="349"/>
      <c r="AF163" s="349"/>
    </row>
    <row r="164" spans="2:32" ht="24" hidden="1" customHeight="1">
      <c r="B164" s="350" t="str">
        <f>".5"</f>
        <v>.5</v>
      </c>
      <c r="C164" s="351" t="s">
        <v>326</v>
      </c>
      <c r="D164" s="352"/>
      <c r="E164" s="353"/>
      <c r="F164" s="354"/>
      <c r="G164" s="353"/>
      <c r="H164" s="354"/>
      <c r="I164" s="353"/>
      <c r="J164" s="354"/>
      <c r="K164" s="353"/>
      <c r="L164" s="354"/>
      <c r="M164" s="349" t="str">
        <f t="shared" si="5"/>
        <v/>
      </c>
      <c r="N164" s="354"/>
      <c r="O164" s="355"/>
      <c r="Q164" s="356" t="str">
        <f>IF(T164&gt;0,T164,"")</f>
        <v/>
      </c>
      <c r="T164" s="349" t="str">
        <f>Scoring!U171</f>
        <v/>
      </c>
      <c r="V164" s="2376"/>
      <c r="W164" s="2377"/>
      <c r="X164" s="2377"/>
      <c r="Y164" s="2377"/>
      <c r="Z164" s="2378"/>
      <c r="AA164" s="348"/>
      <c r="AB164" s="348"/>
      <c r="AC164" s="348"/>
      <c r="AD164" s="348"/>
      <c r="AE164" s="349"/>
      <c r="AF164" s="349"/>
    </row>
    <row r="165" spans="2:32" ht="20" customHeight="1">
      <c r="B165" s="341" t="s">
        <v>325</v>
      </c>
      <c r="C165" s="342" t="str">
        <f>Dictionary!B1470</f>
        <v>Stakeholder</v>
      </c>
      <c r="D165" s="343"/>
      <c r="E165" s="436"/>
      <c r="F165" s="315"/>
      <c r="G165" s="436"/>
      <c r="H165" s="360"/>
      <c r="I165" s="359"/>
      <c r="J165" s="360"/>
      <c r="K165" s="359"/>
      <c r="L165" s="315"/>
      <c r="M165" s="359"/>
      <c r="N165" s="360"/>
      <c r="O165" s="359"/>
      <c r="Q165" s="356"/>
      <c r="R165" s="346" t="str">
        <f>IF(AND(E165="",G165=""),"",IF((E165+G165)&gt;0,"Pass","Fail"))</f>
        <v/>
      </c>
      <c r="T165" s="428">
        <f>COUNTIF(T166:T170,"&gt;3")/AE165</f>
        <v>0</v>
      </c>
      <c r="V165" s="2376"/>
      <c r="W165" s="2377"/>
      <c r="X165" s="2377"/>
      <c r="Y165" s="2377"/>
      <c r="Z165" s="2378"/>
      <c r="AA165" s="348"/>
      <c r="AB165" s="348"/>
      <c r="AC165" s="348"/>
      <c r="AD165" s="369"/>
      <c r="AE165" s="349">
        <v>5</v>
      </c>
      <c r="AF165" s="349">
        <f>ROUNDUP(AE165/2,0)</f>
        <v>3</v>
      </c>
    </row>
    <row r="166" spans="2:32" ht="24" hidden="1" customHeight="1">
      <c r="B166" s="350" t="str">
        <f>".1"</f>
        <v>.1</v>
      </c>
      <c r="C166" s="351" t="s">
        <v>324</v>
      </c>
      <c r="D166" s="352"/>
      <c r="E166" s="353"/>
      <c r="F166" s="354"/>
      <c r="G166" s="353"/>
      <c r="H166" s="354"/>
      <c r="I166" s="353"/>
      <c r="J166" s="354"/>
      <c r="K166" s="353"/>
      <c r="L166" s="354"/>
      <c r="M166" s="349" t="str">
        <f t="shared" si="5"/>
        <v/>
      </c>
      <c r="N166" s="354"/>
      <c r="O166" s="355"/>
      <c r="Q166" s="356" t="str">
        <f>IF(T166&gt;0,T166,"")</f>
        <v/>
      </c>
      <c r="T166" s="349" t="str">
        <f>Scoring!U173</f>
        <v/>
      </c>
      <c r="V166" s="2376"/>
      <c r="W166" s="2377"/>
      <c r="X166" s="2377"/>
      <c r="Y166" s="2377"/>
      <c r="Z166" s="2378"/>
      <c r="AA166" s="348"/>
      <c r="AB166" s="348"/>
      <c r="AC166" s="348"/>
      <c r="AD166" s="348"/>
      <c r="AE166" s="349"/>
      <c r="AF166" s="349"/>
    </row>
    <row r="167" spans="2:32" ht="24" hidden="1" customHeight="1">
      <c r="B167" s="350" t="str">
        <f>".2"</f>
        <v>.2</v>
      </c>
      <c r="C167" s="351" t="s">
        <v>323</v>
      </c>
      <c r="D167" s="352"/>
      <c r="E167" s="353"/>
      <c r="F167" s="354"/>
      <c r="G167" s="353"/>
      <c r="H167" s="354"/>
      <c r="I167" s="353"/>
      <c r="J167" s="354"/>
      <c r="K167" s="353"/>
      <c r="L167" s="354"/>
      <c r="M167" s="349" t="str">
        <f t="shared" si="5"/>
        <v/>
      </c>
      <c r="N167" s="354"/>
      <c r="O167" s="355"/>
      <c r="Q167" s="356" t="str">
        <f>IF(T167&gt;0,T167,"")</f>
        <v/>
      </c>
      <c r="T167" s="349" t="str">
        <f>Scoring!U174</f>
        <v/>
      </c>
      <c r="V167" s="2376"/>
      <c r="W167" s="2377"/>
      <c r="X167" s="2377"/>
      <c r="Y167" s="2377"/>
      <c r="Z167" s="2378"/>
      <c r="AA167" s="348"/>
      <c r="AB167" s="348"/>
      <c r="AC167" s="348"/>
      <c r="AD167" s="348"/>
      <c r="AE167" s="349"/>
      <c r="AF167" s="349"/>
    </row>
    <row r="168" spans="2:32" ht="36" hidden="1" customHeight="1">
      <c r="B168" s="350" t="str">
        <f>".3"</f>
        <v>.3</v>
      </c>
      <c r="C168" s="351" t="s">
        <v>322</v>
      </c>
      <c r="D168" s="352"/>
      <c r="E168" s="353"/>
      <c r="F168" s="354"/>
      <c r="G168" s="353"/>
      <c r="H168" s="354"/>
      <c r="I168" s="353"/>
      <c r="J168" s="354"/>
      <c r="K168" s="353"/>
      <c r="L168" s="354"/>
      <c r="M168" s="349" t="str">
        <f>IF(MAX(E168,G168,I168,K168)=0,"",MAX(E168,G168,I168,K168))</f>
        <v/>
      </c>
      <c r="N168" s="354"/>
      <c r="O168" s="355"/>
      <c r="Q168" s="356" t="str">
        <f>IF(T168&gt;0,T168,"")</f>
        <v/>
      </c>
      <c r="T168" s="349" t="str">
        <f>Scoring!U175</f>
        <v/>
      </c>
      <c r="V168" s="2376"/>
      <c r="W168" s="2377"/>
      <c r="X168" s="2377"/>
      <c r="Y168" s="2377"/>
      <c r="Z168" s="2378"/>
      <c r="AA168" s="348"/>
      <c r="AB168" s="348"/>
      <c r="AC168" s="348"/>
      <c r="AD168" s="348"/>
      <c r="AE168" s="349"/>
      <c r="AF168" s="349"/>
    </row>
    <row r="169" spans="2:32" ht="24" hidden="1" customHeight="1">
      <c r="B169" s="350" t="str">
        <f>".4"</f>
        <v>.4</v>
      </c>
      <c r="C169" s="351" t="s">
        <v>321</v>
      </c>
      <c r="D169" s="352"/>
      <c r="E169" s="353"/>
      <c r="F169" s="354"/>
      <c r="G169" s="353"/>
      <c r="H169" s="354"/>
      <c r="I169" s="353"/>
      <c r="J169" s="354"/>
      <c r="K169" s="353"/>
      <c r="L169" s="354"/>
      <c r="M169" s="349" t="str">
        <f>IF(MAX(E169,G169,I169,K169)=0,"",MAX(E169,G169,I169,K169))</f>
        <v/>
      </c>
      <c r="N169" s="354"/>
      <c r="O169" s="355"/>
      <c r="Q169" s="356" t="str">
        <f>IF(T169&gt;0,T169,"")</f>
        <v/>
      </c>
      <c r="T169" s="349" t="str">
        <f>Scoring!U176</f>
        <v/>
      </c>
      <c r="V169" s="2376"/>
      <c r="W169" s="2377"/>
      <c r="X169" s="2377"/>
      <c r="Y169" s="2377"/>
      <c r="Z169" s="2378"/>
      <c r="AA169" s="348"/>
      <c r="AB169" s="348"/>
      <c r="AC169" s="348"/>
      <c r="AD169" s="348"/>
      <c r="AE169" s="349"/>
      <c r="AF169" s="349"/>
    </row>
    <row r="170" spans="2:32" ht="18" hidden="1" customHeight="1">
      <c r="B170" s="350" t="str">
        <f>".5"</f>
        <v>.5</v>
      </c>
      <c r="C170" s="351" t="s">
        <v>320</v>
      </c>
      <c r="D170" s="352"/>
      <c r="E170" s="353"/>
      <c r="F170" s="354"/>
      <c r="G170" s="353"/>
      <c r="H170" s="354"/>
      <c r="I170" s="353"/>
      <c r="J170" s="354"/>
      <c r="K170" s="353"/>
      <c r="L170" s="354"/>
      <c r="M170" s="349" t="str">
        <f>IF(MAX(E170,G170,I170,K170)=0,"",MAX(E170,G170,I170,K170))</f>
        <v/>
      </c>
      <c r="N170" s="354"/>
      <c r="O170" s="355"/>
      <c r="Q170" s="356" t="str">
        <f>IF(T170&gt;0,T170,"")</f>
        <v/>
      </c>
      <c r="T170" s="349" t="str">
        <f>Scoring!U177</f>
        <v/>
      </c>
      <c r="V170" s="2376"/>
      <c r="W170" s="2377"/>
      <c r="X170" s="2377"/>
      <c r="Y170" s="2377"/>
      <c r="Z170" s="2378"/>
      <c r="AA170" s="348"/>
      <c r="AB170" s="348"/>
      <c r="AC170" s="348"/>
      <c r="AD170" s="348"/>
      <c r="AE170" s="349"/>
      <c r="AF170" s="349"/>
    </row>
    <row r="171" spans="2:32" ht="20" customHeight="1">
      <c r="B171" s="341" t="s">
        <v>319</v>
      </c>
      <c r="C171" s="342" t="str">
        <f>Dictionary!B1478</f>
        <v>Change und Transformation</v>
      </c>
      <c r="D171" s="343"/>
      <c r="E171" s="353"/>
      <c r="F171" s="315"/>
      <c r="G171" s="353"/>
      <c r="H171" s="360"/>
      <c r="I171" s="359"/>
      <c r="J171" s="360"/>
      <c r="K171" s="359"/>
      <c r="L171" s="315"/>
      <c r="M171" s="359"/>
      <c r="N171" s="360"/>
      <c r="O171" s="359"/>
      <c r="Q171" s="356"/>
      <c r="R171" s="346" t="str">
        <f>IF(AND(E171="",G171=""),"",IF((E171+G171)&gt;0,"Pass","Fail"))</f>
        <v/>
      </c>
      <c r="T171" s="428">
        <f>COUNTIF(T172:T175,"&gt;3")/AE171</f>
        <v>0</v>
      </c>
      <c r="V171" s="2376"/>
      <c r="W171" s="2377"/>
      <c r="X171" s="2377"/>
      <c r="Y171" s="2377"/>
      <c r="Z171" s="2378"/>
      <c r="AA171" s="348"/>
      <c r="AB171" s="348"/>
      <c r="AC171" s="348"/>
      <c r="AD171" s="369"/>
      <c r="AE171" s="349">
        <v>4</v>
      </c>
      <c r="AF171" s="349">
        <f>ROUNDUP(AE171/2,0)</f>
        <v>2</v>
      </c>
    </row>
    <row r="172" spans="2:32" ht="18" hidden="1" customHeight="1">
      <c r="B172" s="350" t="str">
        <f>".1"</f>
        <v>.1</v>
      </c>
      <c r="C172" s="351" t="s">
        <v>318</v>
      </c>
      <c r="D172" s="352"/>
      <c r="E172" s="404" t="str">
        <f>IF('(8) Exam Evaluation'!Y179="","",'(8) Exam Evaluation'!Y179)</f>
        <v/>
      </c>
      <c r="F172" s="354"/>
      <c r="G172" s="353"/>
      <c r="H172" s="354"/>
      <c r="I172" s="353"/>
      <c r="J172" s="354"/>
      <c r="K172" s="353"/>
      <c r="L172" s="354"/>
      <c r="M172" s="349" t="str">
        <f>IF(MAX(E172,G172,I172,K172)=0,"",MAX(E172,G172,I172,K172))</f>
        <v/>
      </c>
      <c r="N172" s="354"/>
      <c r="O172" s="355"/>
      <c r="Q172" s="356" t="str">
        <f>IF(T172&gt;0,T172,"")</f>
        <v/>
      </c>
      <c r="T172" s="349" t="str">
        <f>Scoring!U179</f>
        <v/>
      </c>
      <c r="V172" s="2376"/>
      <c r="W172" s="2377"/>
      <c r="X172" s="2377"/>
      <c r="Y172" s="2377"/>
      <c r="Z172" s="2378"/>
      <c r="AA172" s="348"/>
      <c r="AB172" s="348"/>
      <c r="AC172" s="348"/>
      <c r="AD172" s="348"/>
      <c r="AE172" s="349"/>
      <c r="AF172" s="349"/>
    </row>
    <row r="173" spans="2:32" ht="24" hidden="1" customHeight="1">
      <c r="B173" s="350" t="str">
        <f>".2"</f>
        <v>.2</v>
      </c>
      <c r="C173" s="351" t="s">
        <v>317</v>
      </c>
      <c r="D173" s="352"/>
      <c r="E173" s="404" t="str">
        <f>IF('(8) Exam Evaluation'!Y180="","",'(8) Exam Evaluation'!Y180)</f>
        <v/>
      </c>
      <c r="F173" s="354"/>
      <c r="G173" s="353"/>
      <c r="H173" s="354"/>
      <c r="I173" s="353"/>
      <c r="J173" s="354"/>
      <c r="K173" s="353"/>
      <c r="L173" s="354"/>
      <c r="M173" s="349" t="str">
        <f>IF(MAX(E173,G173,I173,K173)=0,"",MAX(E173,G173,I173,K173))</f>
        <v/>
      </c>
      <c r="N173" s="354"/>
      <c r="O173" s="355"/>
      <c r="Q173" s="356" t="str">
        <f>IF(T173&gt;0,T173,"")</f>
        <v/>
      </c>
      <c r="T173" s="349" t="str">
        <f>Scoring!U180</f>
        <v/>
      </c>
      <c r="V173" s="2376"/>
      <c r="W173" s="2377"/>
      <c r="X173" s="2377"/>
      <c r="Y173" s="2377"/>
      <c r="Z173" s="2378"/>
      <c r="AA173" s="348"/>
      <c r="AB173" s="348"/>
      <c r="AC173" s="348"/>
      <c r="AD173" s="348"/>
      <c r="AE173" s="349"/>
      <c r="AF173" s="349"/>
    </row>
    <row r="174" spans="2:32" ht="18" hidden="1" customHeight="1">
      <c r="B174" s="350" t="str">
        <f>".3"</f>
        <v>.3</v>
      </c>
      <c r="C174" s="351" t="s">
        <v>316</v>
      </c>
      <c r="D174" s="352"/>
      <c r="E174" s="404" t="str">
        <f>IF('(8) Exam Evaluation'!Y181="","",'(8) Exam Evaluation'!Y181)</f>
        <v/>
      </c>
      <c r="F174" s="354"/>
      <c r="G174" s="353"/>
      <c r="H174" s="354"/>
      <c r="I174" s="353"/>
      <c r="J174" s="354"/>
      <c r="K174" s="353"/>
      <c r="L174" s="354"/>
      <c r="M174" s="349" t="str">
        <f>IF(MAX(E174,G174,I174,K174)=0,"",MAX(E174,G174,I174,K174))</f>
        <v/>
      </c>
      <c r="N174" s="354"/>
      <c r="O174" s="355"/>
      <c r="Q174" s="356" t="str">
        <f>IF(T174&gt;0,T174,"")</f>
        <v/>
      </c>
      <c r="T174" s="349" t="str">
        <f>Scoring!U181</f>
        <v/>
      </c>
      <c r="V174" s="2376"/>
      <c r="W174" s="2377"/>
      <c r="X174" s="2377"/>
      <c r="Y174" s="2377"/>
      <c r="Z174" s="2378"/>
      <c r="AA174" s="348"/>
      <c r="AB174" s="348"/>
      <c r="AC174" s="348"/>
      <c r="AD174" s="348"/>
      <c r="AE174" s="349"/>
      <c r="AF174" s="349"/>
    </row>
    <row r="175" spans="2:32" ht="18" hidden="1" customHeight="1">
      <c r="B175" s="350" t="str">
        <f>".4"</f>
        <v>.4</v>
      </c>
      <c r="C175" s="351" t="s">
        <v>315</v>
      </c>
      <c r="D175" s="352"/>
      <c r="E175" s="404" t="str">
        <f>IF('(8) Exam Evaluation'!Y182="","",'(8) Exam Evaluation'!Y182)</f>
        <v/>
      </c>
      <c r="F175" s="354"/>
      <c r="G175" s="353"/>
      <c r="H175" s="354"/>
      <c r="I175" s="353"/>
      <c r="J175" s="354"/>
      <c r="K175" s="353"/>
      <c r="L175" s="354"/>
      <c r="M175" s="349" t="str">
        <f>IF(MAX(E175,G175,I175,K175)=0,"",MAX(E175,G175,I175,K175))</f>
        <v/>
      </c>
      <c r="N175" s="354"/>
      <c r="O175" s="355"/>
      <c r="Q175" s="356" t="str">
        <f>IF(T175&gt;0,T175,"")</f>
        <v/>
      </c>
      <c r="T175" s="349" t="str">
        <f>Scoring!U182</f>
        <v/>
      </c>
      <c r="V175" s="2376"/>
      <c r="W175" s="2377"/>
      <c r="X175" s="2377"/>
      <c r="Y175" s="2377"/>
      <c r="Z175" s="2378"/>
      <c r="AA175" s="348"/>
      <c r="AB175" s="348"/>
      <c r="AC175" s="348"/>
      <c r="AD175" s="348"/>
      <c r="AE175" s="349"/>
      <c r="AF175" s="349"/>
    </row>
    <row r="176" spans="2:32" s="321" customFormat="1" ht="16.25" customHeight="1">
      <c r="Q176" s="371"/>
      <c r="AE176" s="371"/>
      <c r="AF176" s="371"/>
    </row>
    <row r="177" spans="3:32" s="321" customFormat="1" ht="16.25" customHeight="1">
      <c r="C177" s="372" t="str">
        <f>Dictionary!B945</f>
        <v>Zusammenfassung</v>
      </c>
      <c r="E177" s="2454" t="str">
        <f>IF(E194="","",Dictionary!B954)</f>
        <v/>
      </c>
      <c r="F177" s="2454"/>
      <c r="G177" s="2454"/>
      <c r="Q177" s="371"/>
      <c r="AD177" s="321" t="s">
        <v>303</v>
      </c>
      <c r="AE177" s="373">
        <f>SUM(AE11:AE175)</f>
        <v>133</v>
      </c>
      <c r="AF177" s="373">
        <f>SUM(AF11:AF175)</f>
        <v>77</v>
      </c>
    </row>
    <row r="178" spans="3:32" s="321" customFormat="1" ht="9" customHeight="1">
      <c r="C178" s="372"/>
      <c r="Q178" s="371"/>
      <c r="AE178" s="374"/>
      <c r="AF178" s="374"/>
    </row>
    <row r="179" spans="3:32" s="321" customFormat="1" ht="18" customHeight="1">
      <c r="C179" s="375" t="str">
        <f>Dictionary!B923</f>
        <v>Perspective Kompetenz Elemente erfüllt</v>
      </c>
      <c r="E179" s="432">
        <f>SUM(E11:E36)</f>
        <v>0</v>
      </c>
      <c r="F179" s="376"/>
      <c r="G179" s="432">
        <f>SUM(G11:G36)</f>
        <v>0</v>
      </c>
      <c r="H179" s="377"/>
      <c r="I179" s="377"/>
      <c r="J179" s="376"/>
      <c r="K179" s="377"/>
      <c r="L179" s="376"/>
      <c r="M179" s="377"/>
      <c r="N179" s="376"/>
      <c r="O179" s="377"/>
      <c r="Q179" s="371"/>
      <c r="R179" s="432">
        <f>E179+G179</f>
        <v>0</v>
      </c>
      <c r="V179" s="2376"/>
      <c r="W179" s="2377"/>
      <c r="X179" s="2377"/>
      <c r="Y179" s="2377"/>
      <c r="Z179" s="2378"/>
      <c r="AE179" s="371"/>
      <c r="AF179" s="371"/>
    </row>
    <row r="180" spans="3:32" s="321" customFormat="1" ht="18" customHeight="1">
      <c r="C180" s="375" t="str">
        <f>Dictionary!B924</f>
        <v>People Kompetenz Elemente erfüllt</v>
      </c>
      <c r="E180" s="432">
        <f>SUM(E42:E95)</f>
        <v>0</v>
      </c>
      <c r="F180" s="376"/>
      <c r="G180" s="432">
        <f>SUM(G42:G95)</f>
        <v>0</v>
      </c>
      <c r="H180" s="377"/>
      <c r="I180" s="377"/>
      <c r="J180" s="376"/>
      <c r="K180" s="377"/>
      <c r="L180" s="376"/>
      <c r="M180" s="377"/>
      <c r="N180" s="376"/>
      <c r="O180" s="377"/>
      <c r="Q180" s="371"/>
      <c r="R180" s="432">
        <f t="shared" ref="R180:R181" si="7">E180+G180</f>
        <v>0</v>
      </c>
      <c r="V180" s="2376"/>
      <c r="W180" s="2377"/>
      <c r="X180" s="2377"/>
      <c r="Y180" s="2377"/>
      <c r="Z180" s="2378"/>
      <c r="AE180" s="371"/>
      <c r="AF180" s="371"/>
    </row>
    <row r="181" spans="3:32" s="321" customFormat="1" ht="18" customHeight="1">
      <c r="C181" s="375" t="str">
        <f>Dictionary!B925</f>
        <v>Practice Kompetenz Elemente erfüllt</v>
      </c>
      <c r="E181" s="432">
        <f>SUM(E103:E171)</f>
        <v>0</v>
      </c>
      <c r="F181" s="376"/>
      <c r="G181" s="432">
        <f>SUM(G103:G171)</f>
        <v>0</v>
      </c>
      <c r="H181" s="377"/>
      <c r="I181" s="377"/>
      <c r="J181" s="376"/>
      <c r="K181" s="377"/>
      <c r="L181" s="376"/>
      <c r="M181" s="377"/>
      <c r="N181" s="376"/>
      <c r="O181" s="377"/>
      <c r="Q181" s="371"/>
      <c r="R181" s="432">
        <f t="shared" si="7"/>
        <v>0</v>
      </c>
      <c r="V181" s="2376"/>
      <c r="W181" s="2377"/>
      <c r="X181" s="2377"/>
      <c r="Y181" s="2377"/>
      <c r="Z181" s="2378"/>
      <c r="AA181" s="378"/>
      <c r="AB181" s="378"/>
      <c r="AC181" s="378"/>
      <c r="AD181" s="378"/>
      <c r="AE181" s="371"/>
      <c r="AF181" s="371"/>
    </row>
    <row r="182" spans="3:32" s="321" customFormat="1" ht="18" customHeight="1">
      <c r="C182" s="379" t="str">
        <f>Dictionary!B946</f>
        <v>Gesamtergebnis</v>
      </c>
      <c r="E182" s="664" t="str">
        <f>IF(SUM(E179:E181)=0,"",IF(SUM(E179:E181)&gt;=E184,Dictionary!B9,Dictionary!B10))</f>
        <v/>
      </c>
      <c r="F182" s="376"/>
      <c r="G182" s="664" t="str">
        <f>IF(SUM(G179:G181)=0,"",IF(SUM(G179:G181)&gt;=G184,Dictionary!B9,Dictionary!B10))</f>
        <v/>
      </c>
      <c r="H182" s="665"/>
      <c r="I182" s="380"/>
      <c r="J182" s="376"/>
      <c r="K182" s="380"/>
      <c r="L182" s="376"/>
      <c r="M182" s="380"/>
      <c r="N182" s="376"/>
      <c r="O182" s="380"/>
      <c r="Q182" s="371"/>
      <c r="R182" s="664" t="str">
        <f>IF(SUM(R179:R181)=0,"",IF(OR(E193=2,G193=2),Dictionary!B9,Dictionary!B10))</f>
        <v/>
      </c>
      <c r="V182" s="2376"/>
      <c r="W182" s="2377"/>
      <c r="X182" s="2377"/>
      <c r="Y182" s="2377"/>
      <c r="Z182" s="2378"/>
      <c r="AA182" s="378"/>
      <c r="AB182" s="378"/>
      <c r="AC182" s="378"/>
      <c r="AD182" s="378"/>
      <c r="AE182" s="371"/>
      <c r="AF182" s="371"/>
    </row>
    <row r="183" spans="3:32" s="321" customFormat="1" ht="11" customHeight="1">
      <c r="C183" s="371"/>
      <c r="F183" s="376"/>
      <c r="H183" s="371"/>
      <c r="I183" s="371"/>
      <c r="K183" s="371"/>
      <c r="M183" s="371"/>
      <c r="Q183" s="371"/>
    </row>
    <row r="184" spans="3:32" ht="18" customHeight="1">
      <c r="C184" s="375" t="str">
        <f>Dictionary!B947</f>
        <v>Individuelle Bestehensgrenze</v>
      </c>
      <c r="E184" s="381">
        <v>12</v>
      </c>
      <c r="F184" s="376"/>
      <c r="G184" s="381">
        <v>12</v>
      </c>
      <c r="R184" s="381">
        <v>12</v>
      </c>
    </row>
    <row r="185" spans="3:32" s="321" customFormat="1" ht="20" customHeight="1">
      <c r="Q185" s="371"/>
    </row>
    <row r="186" spans="3:32" s="321" customFormat="1" ht="14.5" customHeight="1">
      <c r="C186" s="312" t="s">
        <v>105</v>
      </c>
      <c r="Q186" s="371"/>
    </row>
    <row r="187" spans="3:32" s="321" customFormat="1" ht="14.5" customHeight="1">
      <c r="C187" s="382"/>
      <c r="Q187" s="371"/>
    </row>
    <row r="188" spans="3:32" s="321" customFormat="1" ht="14.5" customHeight="1">
      <c r="Q188" s="371"/>
    </row>
    <row r="189" spans="3:32" s="321" customFormat="1" ht="14.5" customHeight="1">
      <c r="Q189" s="371"/>
    </row>
    <row r="190" spans="3:32" s="321" customFormat="1" ht="14.5" hidden="1" customHeight="1">
      <c r="Q190" s="371"/>
    </row>
    <row r="191" spans="3:32" s="321" customFormat="1" ht="14.5" hidden="1" customHeight="1">
      <c r="Q191" s="371"/>
    </row>
    <row r="192" spans="3:32" s="321" customFormat="1" ht="14.5" hidden="1" customHeight="1">
      <c r="C192" s="492"/>
      <c r="D192" s="492"/>
      <c r="E192" s="492" t="s">
        <v>3235</v>
      </c>
      <c r="F192" s="492"/>
      <c r="G192" s="492"/>
      <c r="H192" s="492"/>
      <c r="I192" s="492"/>
      <c r="J192" s="492"/>
      <c r="K192" s="492"/>
      <c r="L192" s="492"/>
      <c r="M192" s="492"/>
      <c r="N192" s="492"/>
      <c r="O192" s="492"/>
      <c r="P192" s="492"/>
      <c r="Q192" s="1351"/>
      <c r="R192" s="492"/>
    </row>
    <row r="193" spans="3:24" s="321" customFormat="1" ht="14.5" hidden="1" customHeight="1">
      <c r="C193" s="321" t="s">
        <v>3236</v>
      </c>
      <c r="E193" s="1361" t="str">
        <f>IF(SUM(E179:E181)=0,"",IF(SUM(E179:E181)&gt;=E184,2,1))</f>
        <v/>
      </c>
      <c r="F193" s="371"/>
      <c r="G193" s="1361" t="str">
        <f t="shared" ref="G193" si="8">IF(SUM(G179:G181)=0,"",IF(SUM(G179:G181)&gt;=G184,2,1))</f>
        <v/>
      </c>
      <c r="Q193" s="371"/>
    </row>
    <row r="194" spans="3:24" s="321" customFormat="1" ht="14.5" hidden="1" customHeight="1">
      <c r="C194" s="321" t="s">
        <v>3255</v>
      </c>
      <c r="E194" s="1361" t="str">
        <f>IF(AND(E182&lt;&gt;"",G182&lt;&gt;""),"X","")</f>
        <v/>
      </c>
      <c r="Q194" s="371"/>
    </row>
    <row r="195" spans="3:24" s="321" customFormat="1" ht="14.5" hidden="1" customHeight="1">
      <c r="C195" s="314"/>
      <c r="O195" s="314"/>
      <c r="Q195" s="315"/>
      <c r="R195" s="314"/>
      <c r="V195" s="313"/>
      <c r="W195" s="314"/>
      <c r="X195" s="314"/>
    </row>
    <row r="196" spans="3:24" hidden="1"/>
    <row r="197" spans="3:24" hidden="1"/>
    <row r="198" spans="3:24" hidden="1"/>
    <row r="199" spans="3:24" hidden="1"/>
  </sheetData>
  <sheetProtection algorithmName="SHA-512" hashValue="LY6jvNSv7H5DvYkjPLB2dxjqURubbFZoeo9e63nRL/wVK/NyOr0TlxGQIAc3Mkzn6SAEd8dACReqCScjC56z4w==" saltValue="C9jJMwffqwDB3OVzpXXD0w==" spinCount="100000" sheet="1" objects="1" scenarios="1" formatColumns="0" selectLockedCells="1"/>
  <mergeCells count="170">
    <mergeCell ref="V14:Z14"/>
    <mergeCell ref="V15:Z15"/>
    <mergeCell ref="V16:Z16"/>
    <mergeCell ref="V17:Z17"/>
    <mergeCell ref="V18:Z18"/>
    <mergeCell ref="V21:Z21"/>
    <mergeCell ref="Y5:Z5"/>
    <mergeCell ref="Y6:Z6"/>
    <mergeCell ref="V9:Z9"/>
    <mergeCell ref="V11:Z11"/>
    <mergeCell ref="V12:Z12"/>
    <mergeCell ref="V13:Z13"/>
    <mergeCell ref="V28:Z28"/>
    <mergeCell ref="V29:Z29"/>
    <mergeCell ref="V30:Z30"/>
    <mergeCell ref="V31:Z31"/>
    <mergeCell ref="V32:Z32"/>
    <mergeCell ref="V33:Z33"/>
    <mergeCell ref="V22:Z22"/>
    <mergeCell ref="V23:Z23"/>
    <mergeCell ref="V24:Z24"/>
    <mergeCell ref="V25:Z25"/>
    <mergeCell ref="V26:Z26"/>
    <mergeCell ref="V27:Z27"/>
    <mergeCell ref="V42:Z42"/>
    <mergeCell ref="V43:Z43"/>
    <mergeCell ref="V44:Z44"/>
    <mergeCell ref="V45:Z45"/>
    <mergeCell ref="V46:Z46"/>
    <mergeCell ref="V47:Z47"/>
    <mergeCell ref="V34:Z34"/>
    <mergeCell ref="V35:Z35"/>
    <mergeCell ref="V36:Z36"/>
    <mergeCell ref="V37:Z37"/>
    <mergeCell ref="V38:Z38"/>
    <mergeCell ref="V39:Z39"/>
    <mergeCell ref="V54:Z54"/>
    <mergeCell ref="V55:Z55"/>
    <mergeCell ref="V56:Z56"/>
    <mergeCell ref="V57:Z57"/>
    <mergeCell ref="V58:Z58"/>
    <mergeCell ref="V59:Z59"/>
    <mergeCell ref="V48:Z48"/>
    <mergeCell ref="V49:Z49"/>
    <mergeCell ref="V50:Z50"/>
    <mergeCell ref="V51:Z51"/>
    <mergeCell ref="V52:Z52"/>
    <mergeCell ref="V53:Z53"/>
    <mergeCell ref="V66:Z66"/>
    <mergeCell ref="V67:Z67"/>
    <mergeCell ref="V68:Z68"/>
    <mergeCell ref="V69:Z69"/>
    <mergeCell ref="V70:Z70"/>
    <mergeCell ref="V71:Z71"/>
    <mergeCell ref="V60:Z60"/>
    <mergeCell ref="V61:Z61"/>
    <mergeCell ref="V62:Z62"/>
    <mergeCell ref="V63:Z63"/>
    <mergeCell ref="V64:Z64"/>
    <mergeCell ref="V65:Z65"/>
    <mergeCell ref="V78:Z78"/>
    <mergeCell ref="V79:Z79"/>
    <mergeCell ref="V80:Z80"/>
    <mergeCell ref="V81:Z81"/>
    <mergeCell ref="V82:Z82"/>
    <mergeCell ref="V83:Z83"/>
    <mergeCell ref="V72:Z72"/>
    <mergeCell ref="V73:Z73"/>
    <mergeCell ref="V74:Z74"/>
    <mergeCell ref="V75:Z75"/>
    <mergeCell ref="V76:Z76"/>
    <mergeCell ref="V77:Z77"/>
    <mergeCell ref="V90:Z90"/>
    <mergeCell ref="V91:Z91"/>
    <mergeCell ref="V92:Z92"/>
    <mergeCell ref="V93:Z93"/>
    <mergeCell ref="V94:Z94"/>
    <mergeCell ref="V95:Z95"/>
    <mergeCell ref="V84:Z84"/>
    <mergeCell ref="V85:Z85"/>
    <mergeCell ref="V86:Z86"/>
    <mergeCell ref="V87:Z87"/>
    <mergeCell ref="V88:Z88"/>
    <mergeCell ref="V89:Z89"/>
    <mergeCell ref="V104:Z104"/>
    <mergeCell ref="V105:Z105"/>
    <mergeCell ref="V106:Z106"/>
    <mergeCell ref="V107:Z107"/>
    <mergeCell ref="V108:Z108"/>
    <mergeCell ref="V109:Z109"/>
    <mergeCell ref="V96:Z96"/>
    <mergeCell ref="V97:Z97"/>
    <mergeCell ref="V98:Z98"/>
    <mergeCell ref="V99:Z99"/>
    <mergeCell ref="V100:Z100"/>
    <mergeCell ref="V103:Z103"/>
    <mergeCell ref="V116:Z116"/>
    <mergeCell ref="V117:Z117"/>
    <mergeCell ref="V118:Z118"/>
    <mergeCell ref="V119:Z119"/>
    <mergeCell ref="V120:Z120"/>
    <mergeCell ref="V121:Z121"/>
    <mergeCell ref="V110:Z110"/>
    <mergeCell ref="V111:Z111"/>
    <mergeCell ref="V112:Z112"/>
    <mergeCell ref="V113:Z113"/>
    <mergeCell ref="V114:Z114"/>
    <mergeCell ref="V115:Z115"/>
    <mergeCell ref="V128:Z128"/>
    <mergeCell ref="V129:Z129"/>
    <mergeCell ref="V130:Z130"/>
    <mergeCell ref="V131:Z131"/>
    <mergeCell ref="V132:Z132"/>
    <mergeCell ref="V133:Z133"/>
    <mergeCell ref="V122:Z122"/>
    <mergeCell ref="V123:Z123"/>
    <mergeCell ref="V124:Z124"/>
    <mergeCell ref="V125:Z125"/>
    <mergeCell ref="V126:Z126"/>
    <mergeCell ref="V127:Z127"/>
    <mergeCell ref="V140:Z140"/>
    <mergeCell ref="V141:Z141"/>
    <mergeCell ref="V142:Z142"/>
    <mergeCell ref="V143:Z143"/>
    <mergeCell ref="V144:Z144"/>
    <mergeCell ref="V145:Z145"/>
    <mergeCell ref="V134:Z134"/>
    <mergeCell ref="V135:Z135"/>
    <mergeCell ref="V136:Z136"/>
    <mergeCell ref="V137:Z137"/>
    <mergeCell ref="V138:Z138"/>
    <mergeCell ref="V139:Z139"/>
    <mergeCell ref="V162:Z162"/>
    <mergeCell ref="V163:Z163"/>
    <mergeCell ref="V152:Z152"/>
    <mergeCell ref="V153:Z153"/>
    <mergeCell ref="V154:Z154"/>
    <mergeCell ref="V155:Z155"/>
    <mergeCell ref="V156:Z156"/>
    <mergeCell ref="V157:Z157"/>
    <mergeCell ref="V146:Z146"/>
    <mergeCell ref="V147:Z147"/>
    <mergeCell ref="V148:Z148"/>
    <mergeCell ref="V149:Z149"/>
    <mergeCell ref="V150:Z150"/>
    <mergeCell ref="V151:Z151"/>
    <mergeCell ref="E5:G5"/>
    <mergeCell ref="E4:G4"/>
    <mergeCell ref="E177:G177"/>
    <mergeCell ref="V179:Z179"/>
    <mergeCell ref="V180:Z180"/>
    <mergeCell ref="V181:Z181"/>
    <mergeCell ref="V182:Z182"/>
    <mergeCell ref="C1:G1"/>
    <mergeCell ref="V170:Z170"/>
    <mergeCell ref="V171:Z171"/>
    <mergeCell ref="V172:Z172"/>
    <mergeCell ref="V173:Z173"/>
    <mergeCell ref="V174:Z174"/>
    <mergeCell ref="V175:Z175"/>
    <mergeCell ref="V164:Z164"/>
    <mergeCell ref="V165:Z165"/>
    <mergeCell ref="V166:Z166"/>
    <mergeCell ref="V167:Z167"/>
    <mergeCell ref="V168:Z168"/>
    <mergeCell ref="V169:Z169"/>
    <mergeCell ref="V158:Z158"/>
    <mergeCell ref="V159:Z159"/>
    <mergeCell ref="V160:Z160"/>
    <mergeCell ref="V161:Z161"/>
  </mergeCells>
  <conditionalFormatting sqref="B7">
    <cfRule type="cellIs" dxfId="152" priority="46" operator="lessThan">
      <formula>$R$184</formula>
    </cfRule>
    <cfRule type="cellIs" dxfId="151" priority="45" operator="greaterThanOrEqual">
      <formula>$R$184</formula>
    </cfRule>
  </conditionalFormatting>
  <conditionalFormatting sqref="C7">
    <cfRule type="containsText" dxfId="150" priority="48" operator="containsText" text="Fail">
      <formula>NOT(ISERROR(SEARCH("Fail",C7)))</formula>
    </cfRule>
    <cfRule type="containsText" dxfId="149" priority="47" operator="containsText" text="Pass">
      <formula>NOT(ISERROR(SEARCH("Pass",C7)))</formula>
    </cfRule>
  </conditionalFormatting>
  <conditionalFormatting sqref="E182">
    <cfRule type="containsText" dxfId="148" priority="11" operator="containsText" text="noch nicht">
      <formula>NOT(ISERROR(SEARCH("noch nicht",E182)))</formula>
    </cfRule>
    <cfRule type="containsText" dxfId="147" priority="12" operator="containsText" text="not yet">
      <formula>NOT(ISERROR(SEARCH("not yet",E182)))</formula>
    </cfRule>
    <cfRule type="containsText" dxfId="146" priority="13" operator="containsText" text="bestanden">
      <formula>NOT(ISERROR(SEARCH("bestanden",E182)))</formula>
    </cfRule>
    <cfRule type="containsText" dxfId="145" priority="14" operator="containsText" text="Pass">
      <formula>NOT(ISERROR(SEARCH("Pass",E182)))</formula>
    </cfRule>
  </conditionalFormatting>
  <conditionalFormatting sqref="E4:G4">
    <cfRule type="notContainsBlanks" dxfId="144" priority="2">
      <formula>LEN(TRIM(E4))&gt;0</formula>
    </cfRule>
  </conditionalFormatting>
  <conditionalFormatting sqref="E177:G177">
    <cfRule type="notContainsBlanks" dxfId="143" priority="1">
      <formula>LEN(TRIM(E177))&gt;0</formula>
    </cfRule>
  </conditionalFormatting>
  <conditionalFormatting sqref="G182:H182">
    <cfRule type="containsText" dxfId="142" priority="7" operator="containsText" text="noch nicht">
      <formula>NOT(ISERROR(SEARCH("noch nicht",G182)))</formula>
    </cfRule>
    <cfRule type="containsText" dxfId="141" priority="8" operator="containsText" text="not yet">
      <formula>NOT(ISERROR(SEARCH("not yet",G182)))</formula>
    </cfRule>
    <cfRule type="containsText" dxfId="140" priority="9" operator="containsText" text="bestanden">
      <formula>NOT(ISERROR(SEARCH("bestanden",G182)))</formula>
    </cfRule>
    <cfRule type="containsText" dxfId="139" priority="10" operator="containsText" text="Pass">
      <formula>NOT(ISERROR(SEARCH("Pass",G182)))</formula>
    </cfRule>
  </conditionalFormatting>
  <conditionalFormatting sqref="R11">
    <cfRule type="cellIs" dxfId="138" priority="51" operator="equal">
      <formula>"Fail"</formula>
    </cfRule>
    <cfRule type="cellIs" dxfId="137" priority="50" operator="equal">
      <formula>"Pass"</formula>
    </cfRule>
  </conditionalFormatting>
  <conditionalFormatting sqref="R17 R25 R32 R36 R42 R48 R54 R60 R66 R72 R78 R83 R89 R95 R103 R109 R113 R118 R124 R129 R135 R141 R147 R152 R159 R165 R171">
    <cfRule type="cellIs" dxfId="136" priority="15" operator="equal">
      <formula>"Pass"</formula>
    </cfRule>
    <cfRule type="cellIs" dxfId="135" priority="16" operator="equal">
      <formula>"Fail"</formula>
    </cfRule>
  </conditionalFormatting>
  <conditionalFormatting sqref="R182">
    <cfRule type="containsText" dxfId="134" priority="3" operator="containsText" text="noch nicht">
      <formula>NOT(ISERROR(SEARCH("noch nicht",R182)))</formula>
    </cfRule>
    <cfRule type="containsText" dxfId="133" priority="4" operator="containsText" text="not yet">
      <formula>NOT(ISERROR(SEARCH("not yet",R182)))</formula>
    </cfRule>
    <cfRule type="containsText" dxfId="132" priority="5" operator="containsText" text="bestanden">
      <formula>NOT(ISERROR(SEARCH("bestanden",R182)))</formula>
    </cfRule>
    <cfRule type="containsText" dxfId="131" priority="6" operator="containsText" text="Pass">
      <formula>NOT(ISERROR(SEARCH("Pass",R182)))</formula>
    </cfRule>
  </conditionalFormatting>
  <conditionalFormatting sqref="T11">
    <cfRule type="dataBar" priority="44">
      <dataBar>
        <cfvo type="num" val="0"/>
        <cfvo type="num" val="1"/>
        <color theme="4" tint="0.59996337778862885"/>
      </dataBar>
      <extLst>
        <ext xmlns:x14="http://schemas.microsoft.com/office/spreadsheetml/2009/9/main" uri="{B025F937-C7B1-47D3-B67F-A62EFF666E3E}">
          <x14:id>{32ADD5F1-B6D8-4B4D-849E-0038BF7AC3C0}</x14:id>
        </ext>
      </extLst>
    </cfRule>
  </conditionalFormatting>
  <conditionalFormatting sqref="T17">
    <cfRule type="dataBar" priority="43">
      <dataBar>
        <cfvo type="num" val="0"/>
        <cfvo type="num" val="1"/>
        <color theme="4" tint="0.59996337778862885"/>
      </dataBar>
      <extLst>
        <ext xmlns:x14="http://schemas.microsoft.com/office/spreadsheetml/2009/9/main" uri="{B025F937-C7B1-47D3-B67F-A62EFF666E3E}">
          <x14:id>{A804043B-8CFB-40C2-AD85-6BC544D2E70D}</x14:id>
        </ext>
      </extLst>
    </cfRule>
  </conditionalFormatting>
  <conditionalFormatting sqref="T25">
    <cfRule type="dataBar" priority="42">
      <dataBar>
        <cfvo type="num" val="0"/>
        <cfvo type="num" val="1"/>
        <color theme="4" tint="0.59996337778862885"/>
      </dataBar>
      <extLst>
        <ext xmlns:x14="http://schemas.microsoft.com/office/spreadsheetml/2009/9/main" uri="{B025F937-C7B1-47D3-B67F-A62EFF666E3E}">
          <x14:id>{6F1F7103-C6BF-47D7-8A6C-CA82DA65DC0C}</x14:id>
        </ext>
      </extLst>
    </cfRule>
  </conditionalFormatting>
  <conditionalFormatting sqref="T32">
    <cfRule type="dataBar" priority="41">
      <dataBar>
        <cfvo type="num" val="0"/>
        <cfvo type="num" val="1"/>
        <color theme="4" tint="0.59996337778862885"/>
      </dataBar>
      <extLst>
        <ext xmlns:x14="http://schemas.microsoft.com/office/spreadsheetml/2009/9/main" uri="{B025F937-C7B1-47D3-B67F-A62EFF666E3E}">
          <x14:id>{8C46BE3B-7AB7-4D90-8AE9-C3F7DDCF846C}</x14:id>
        </ext>
      </extLst>
    </cfRule>
  </conditionalFormatting>
  <conditionalFormatting sqref="T36">
    <cfRule type="dataBar" priority="40">
      <dataBar>
        <cfvo type="num" val="0"/>
        <cfvo type="num" val="1"/>
        <color theme="4" tint="0.59996337778862885"/>
      </dataBar>
      <extLst>
        <ext xmlns:x14="http://schemas.microsoft.com/office/spreadsheetml/2009/9/main" uri="{B025F937-C7B1-47D3-B67F-A62EFF666E3E}">
          <x14:id>{A7D6F512-74E8-4485-ABE4-F90B892618D2}</x14:id>
        </ext>
      </extLst>
    </cfRule>
  </conditionalFormatting>
  <conditionalFormatting sqref="T42">
    <cfRule type="dataBar" priority="39">
      <dataBar>
        <cfvo type="num" val="0"/>
        <cfvo type="num" val="1"/>
        <color theme="4" tint="0.59996337778862885"/>
      </dataBar>
      <extLst>
        <ext xmlns:x14="http://schemas.microsoft.com/office/spreadsheetml/2009/9/main" uri="{B025F937-C7B1-47D3-B67F-A62EFF666E3E}">
          <x14:id>{6C97A779-5A2B-4E20-8A46-1316DD4D1687}</x14:id>
        </ext>
      </extLst>
    </cfRule>
  </conditionalFormatting>
  <conditionalFormatting sqref="T48">
    <cfRule type="dataBar" priority="38">
      <dataBar>
        <cfvo type="num" val="0"/>
        <cfvo type="num" val="1"/>
        <color theme="4" tint="0.59996337778862885"/>
      </dataBar>
      <extLst>
        <ext xmlns:x14="http://schemas.microsoft.com/office/spreadsheetml/2009/9/main" uri="{B025F937-C7B1-47D3-B67F-A62EFF666E3E}">
          <x14:id>{E1B5F7F1-0C22-4972-83A7-132A70D6ACED}</x14:id>
        </ext>
      </extLst>
    </cfRule>
  </conditionalFormatting>
  <conditionalFormatting sqref="T54">
    <cfRule type="dataBar" priority="37">
      <dataBar>
        <cfvo type="num" val="0"/>
        <cfvo type="num" val="1"/>
        <color theme="4" tint="0.59996337778862885"/>
      </dataBar>
      <extLst>
        <ext xmlns:x14="http://schemas.microsoft.com/office/spreadsheetml/2009/9/main" uri="{B025F937-C7B1-47D3-B67F-A62EFF666E3E}">
          <x14:id>{19D3C673-9D95-44EE-8840-E0E61BE7EFC8}</x14:id>
        </ext>
      </extLst>
    </cfRule>
  </conditionalFormatting>
  <conditionalFormatting sqref="T60">
    <cfRule type="dataBar" priority="36">
      <dataBar>
        <cfvo type="num" val="0"/>
        <cfvo type="num" val="1"/>
        <color theme="4" tint="0.59996337778862885"/>
      </dataBar>
      <extLst>
        <ext xmlns:x14="http://schemas.microsoft.com/office/spreadsheetml/2009/9/main" uri="{B025F937-C7B1-47D3-B67F-A62EFF666E3E}">
          <x14:id>{5CE4E07E-31FF-4290-AFE2-45F82B93E7DB}</x14:id>
        </ext>
      </extLst>
    </cfRule>
  </conditionalFormatting>
  <conditionalFormatting sqref="T66">
    <cfRule type="dataBar" priority="35">
      <dataBar>
        <cfvo type="num" val="0"/>
        <cfvo type="num" val="1"/>
        <color theme="4" tint="0.59996337778862885"/>
      </dataBar>
      <extLst>
        <ext xmlns:x14="http://schemas.microsoft.com/office/spreadsheetml/2009/9/main" uri="{B025F937-C7B1-47D3-B67F-A62EFF666E3E}">
          <x14:id>{CE092243-943E-47C0-AB4E-0151D2896AD8}</x14:id>
        </ext>
      </extLst>
    </cfRule>
  </conditionalFormatting>
  <conditionalFormatting sqref="T72">
    <cfRule type="dataBar" priority="34">
      <dataBar>
        <cfvo type="num" val="0"/>
        <cfvo type="num" val="1"/>
        <color theme="4" tint="0.59996337778862885"/>
      </dataBar>
      <extLst>
        <ext xmlns:x14="http://schemas.microsoft.com/office/spreadsheetml/2009/9/main" uri="{B025F937-C7B1-47D3-B67F-A62EFF666E3E}">
          <x14:id>{79678B72-557D-4658-8AC3-14E5613EB5F6}</x14:id>
        </ext>
      </extLst>
    </cfRule>
  </conditionalFormatting>
  <conditionalFormatting sqref="T78">
    <cfRule type="dataBar" priority="33">
      <dataBar>
        <cfvo type="num" val="0"/>
        <cfvo type="num" val="1"/>
        <color theme="4" tint="0.59996337778862885"/>
      </dataBar>
      <extLst>
        <ext xmlns:x14="http://schemas.microsoft.com/office/spreadsheetml/2009/9/main" uri="{B025F937-C7B1-47D3-B67F-A62EFF666E3E}">
          <x14:id>{6644B9AA-26EF-4FAC-9725-F4B0794F4CD9}</x14:id>
        </ext>
      </extLst>
    </cfRule>
  </conditionalFormatting>
  <conditionalFormatting sqref="T83">
    <cfRule type="dataBar" priority="32">
      <dataBar>
        <cfvo type="num" val="0"/>
        <cfvo type="num" val="1"/>
        <color theme="4" tint="0.59996337778862885"/>
      </dataBar>
      <extLst>
        <ext xmlns:x14="http://schemas.microsoft.com/office/spreadsheetml/2009/9/main" uri="{B025F937-C7B1-47D3-B67F-A62EFF666E3E}">
          <x14:id>{3BC221E1-1A2B-4067-9965-539D0F1CABF3}</x14:id>
        </ext>
      </extLst>
    </cfRule>
  </conditionalFormatting>
  <conditionalFormatting sqref="T89">
    <cfRule type="dataBar" priority="31">
      <dataBar>
        <cfvo type="num" val="0"/>
        <cfvo type="num" val="1"/>
        <color theme="4" tint="0.59996337778862885"/>
      </dataBar>
      <extLst>
        <ext xmlns:x14="http://schemas.microsoft.com/office/spreadsheetml/2009/9/main" uri="{B025F937-C7B1-47D3-B67F-A62EFF666E3E}">
          <x14:id>{B764BB58-582D-439F-87FC-913456140826}</x14:id>
        </ext>
      </extLst>
    </cfRule>
  </conditionalFormatting>
  <conditionalFormatting sqref="T95">
    <cfRule type="dataBar" priority="30">
      <dataBar>
        <cfvo type="num" val="0"/>
        <cfvo type="num" val="1"/>
        <color theme="4" tint="0.59996337778862885"/>
      </dataBar>
      <extLst>
        <ext xmlns:x14="http://schemas.microsoft.com/office/spreadsheetml/2009/9/main" uri="{B025F937-C7B1-47D3-B67F-A62EFF666E3E}">
          <x14:id>{9B202078-0D1A-4818-A2C5-7C11DD1D3BBC}</x14:id>
        </ext>
      </extLst>
    </cfRule>
  </conditionalFormatting>
  <conditionalFormatting sqref="T103">
    <cfRule type="dataBar" priority="29">
      <dataBar>
        <cfvo type="num" val="0"/>
        <cfvo type="num" val="1"/>
        <color theme="4" tint="0.59996337778862885"/>
      </dataBar>
      <extLst>
        <ext xmlns:x14="http://schemas.microsoft.com/office/spreadsheetml/2009/9/main" uri="{B025F937-C7B1-47D3-B67F-A62EFF666E3E}">
          <x14:id>{FA526BE7-4CC8-417B-B040-31CAFD21B1A0}</x14:id>
        </ext>
      </extLst>
    </cfRule>
  </conditionalFormatting>
  <conditionalFormatting sqref="T109">
    <cfRule type="dataBar" priority="26">
      <dataBar>
        <cfvo type="num" val="0"/>
        <cfvo type="num" val="1"/>
        <color theme="4" tint="0.59996337778862885"/>
      </dataBar>
      <extLst>
        <ext xmlns:x14="http://schemas.microsoft.com/office/spreadsheetml/2009/9/main" uri="{B025F937-C7B1-47D3-B67F-A62EFF666E3E}">
          <x14:id>{5211F139-8B06-4326-AA4C-BD975F68F066}</x14:id>
        </ext>
      </extLst>
    </cfRule>
  </conditionalFormatting>
  <conditionalFormatting sqref="T113">
    <cfRule type="dataBar" priority="27">
      <dataBar>
        <cfvo type="num" val="0"/>
        <cfvo type="num" val="1"/>
        <color theme="4" tint="0.59996337778862885"/>
      </dataBar>
      <extLst>
        <ext xmlns:x14="http://schemas.microsoft.com/office/spreadsheetml/2009/9/main" uri="{B025F937-C7B1-47D3-B67F-A62EFF666E3E}">
          <x14:id>{0A4C7EC4-C54C-4629-8032-530DDFCE2936}</x14:id>
        </ext>
      </extLst>
    </cfRule>
  </conditionalFormatting>
  <conditionalFormatting sqref="T118">
    <cfRule type="dataBar" priority="28">
      <dataBar>
        <cfvo type="num" val="0"/>
        <cfvo type="num" val="1"/>
        <color theme="4" tint="0.59996337778862885"/>
      </dataBar>
      <extLst>
        <ext xmlns:x14="http://schemas.microsoft.com/office/spreadsheetml/2009/9/main" uri="{B025F937-C7B1-47D3-B67F-A62EFF666E3E}">
          <x14:id>{5ACB7018-EBF8-4C8C-A955-FC7F13276FE9}</x14:id>
        </ext>
      </extLst>
    </cfRule>
  </conditionalFormatting>
  <conditionalFormatting sqref="T124">
    <cfRule type="dataBar" priority="25">
      <dataBar>
        <cfvo type="num" val="0"/>
        <cfvo type="num" val="1"/>
        <color theme="4" tint="0.59996337778862885"/>
      </dataBar>
      <extLst>
        <ext xmlns:x14="http://schemas.microsoft.com/office/spreadsheetml/2009/9/main" uri="{B025F937-C7B1-47D3-B67F-A62EFF666E3E}">
          <x14:id>{9ADD554E-279C-4B27-93BD-293AC5BF61CF}</x14:id>
        </ext>
      </extLst>
    </cfRule>
  </conditionalFormatting>
  <conditionalFormatting sqref="T129">
    <cfRule type="dataBar" priority="24">
      <dataBar>
        <cfvo type="num" val="0"/>
        <cfvo type="num" val="1"/>
        <color theme="4" tint="0.59996337778862885"/>
      </dataBar>
      <extLst>
        <ext xmlns:x14="http://schemas.microsoft.com/office/spreadsheetml/2009/9/main" uri="{B025F937-C7B1-47D3-B67F-A62EFF666E3E}">
          <x14:id>{E42D68C6-353D-48F1-8A83-B600E6813625}</x14:id>
        </ext>
      </extLst>
    </cfRule>
  </conditionalFormatting>
  <conditionalFormatting sqref="T135">
    <cfRule type="dataBar" priority="23">
      <dataBar>
        <cfvo type="num" val="0"/>
        <cfvo type="num" val="1"/>
        <color theme="4" tint="0.59996337778862885"/>
      </dataBar>
      <extLst>
        <ext xmlns:x14="http://schemas.microsoft.com/office/spreadsheetml/2009/9/main" uri="{B025F937-C7B1-47D3-B67F-A62EFF666E3E}">
          <x14:id>{C019AC91-7103-40DF-8427-844E6FB89BF2}</x14:id>
        </ext>
      </extLst>
    </cfRule>
  </conditionalFormatting>
  <conditionalFormatting sqref="T141">
    <cfRule type="dataBar" priority="22">
      <dataBar>
        <cfvo type="num" val="0"/>
        <cfvo type="num" val="1"/>
        <color theme="4" tint="0.59996337778862885"/>
      </dataBar>
      <extLst>
        <ext xmlns:x14="http://schemas.microsoft.com/office/spreadsheetml/2009/9/main" uri="{B025F937-C7B1-47D3-B67F-A62EFF666E3E}">
          <x14:id>{5131D6C2-43D9-44EF-82DF-6443E2405635}</x14:id>
        </ext>
      </extLst>
    </cfRule>
  </conditionalFormatting>
  <conditionalFormatting sqref="T147">
    <cfRule type="dataBar" priority="21">
      <dataBar>
        <cfvo type="num" val="0"/>
        <cfvo type="num" val="1"/>
        <color theme="4" tint="0.59996337778862885"/>
      </dataBar>
      <extLst>
        <ext xmlns:x14="http://schemas.microsoft.com/office/spreadsheetml/2009/9/main" uri="{B025F937-C7B1-47D3-B67F-A62EFF666E3E}">
          <x14:id>{422E114D-146A-48DB-A748-9B944EEF6EC1}</x14:id>
        </ext>
      </extLst>
    </cfRule>
  </conditionalFormatting>
  <conditionalFormatting sqref="T152">
    <cfRule type="dataBar" priority="20">
      <dataBar>
        <cfvo type="num" val="0"/>
        <cfvo type="num" val="1"/>
        <color theme="4" tint="0.59996337778862885"/>
      </dataBar>
      <extLst>
        <ext xmlns:x14="http://schemas.microsoft.com/office/spreadsheetml/2009/9/main" uri="{B025F937-C7B1-47D3-B67F-A62EFF666E3E}">
          <x14:id>{EDD92D83-554C-475D-8539-E4DA01D367F8}</x14:id>
        </ext>
      </extLst>
    </cfRule>
  </conditionalFormatting>
  <conditionalFormatting sqref="T159">
    <cfRule type="dataBar" priority="19">
      <dataBar>
        <cfvo type="num" val="0"/>
        <cfvo type="num" val="1"/>
        <color theme="4" tint="0.59996337778862885"/>
      </dataBar>
      <extLst>
        <ext xmlns:x14="http://schemas.microsoft.com/office/spreadsheetml/2009/9/main" uri="{B025F937-C7B1-47D3-B67F-A62EFF666E3E}">
          <x14:id>{C6D3C632-B843-494C-8D10-EC7EB82140BC}</x14:id>
        </ext>
      </extLst>
    </cfRule>
  </conditionalFormatting>
  <conditionalFormatting sqref="T165">
    <cfRule type="dataBar" priority="18">
      <dataBar>
        <cfvo type="num" val="0"/>
        <cfvo type="num" val="1"/>
        <color theme="4" tint="0.59996337778862885"/>
      </dataBar>
      <extLst>
        <ext xmlns:x14="http://schemas.microsoft.com/office/spreadsheetml/2009/9/main" uri="{B025F937-C7B1-47D3-B67F-A62EFF666E3E}">
          <x14:id>{B5231D81-D020-4F22-A78B-AD38870C5ABB}</x14:id>
        </ext>
      </extLst>
    </cfRule>
  </conditionalFormatting>
  <conditionalFormatting sqref="T171">
    <cfRule type="dataBar" priority="17">
      <dataBar>
        <cfvo type="num" val="0"/>
        <cfvo type="num" val="1"/>
        <color theme="4" tint="0.59996337778862885"/>
      </dataBar>
      <extLst>
        <ext xmlns:x14="http://schemas.microsoft.com/office/spreadsheetml/2009/9/main" uri="{B025F937-C7B1-47D3-B67F-A62EFF666E3E}">
          <x14:id>{B3B24C01-B7A0-4DAB-A23A-5C0B46CED432}</x14:id>
        </ext>
      </extLst>
    </cfRule>
  </conditionalFormatting>
  <dataValidations count="2">
    <dataValidation type="whole" allowBlank="1" showInputMessage="1" showErrorMessage="1" sqref="D12:D16 F12:O16 D18:D24 F18:F24 H18:O24 D26:D31 F26:F31 H26:O31 D33:D35 F33:F35 H33:O35 D37:D39 F37:H39 I37:I41 J37:J39 K37:K41 L37:L39 M37:M41 N37:N39 O37:O41 E40:E41 G40:G41 R40:R41 D43:D47 F43:F47 H43:O47 D49:D53 F49:F53 H49:O53 D55:D59 F55:F59 H55:O59 D61:D65 F61:F65 H61:O65 D67:D71 F67:F71 H67:O71 D73:D77 F73:F77 H73:O77 D79:D82 F79:F82 H79:O82 D84:D88 F84:F88 H84:O88 D90:D94 F90:F94 H90:O94 D96:D100 F96:H100 I96:I102 J96:J100 K96:K102 L96:L100 M96:M102 N96:N100 O96:O102 E101:E102 G101:G102 R101:R102 D104:D108 F104:F108 H104:O108 D110:D112 F110:F112 H110:O112 D114:D117 F114:F117 H114:O117 D119:D123 F119:F123 H119:O123 D125:D128 F125:F128 H125:O128 D130:D134 F130:F134 H130:O134 D136:D140 F136:F140 H136:O140 D142:D146 F142:F146 H142:O146 D148:D151 F148:F151 H148:O151 D153:D158 F153:F158 H153:O158 D160:D164 F160:F164 H160:O164 D166:D170 F166:F170 H166:O170 D172:D175 F172:O175" xr:uid="{00000000-0002-0000-4D00-000000000000}">
      <formula1>0</formula1>
      <formula2>5</formula2>
    </dataValidation>
    <dataValidation type="list" allowBlank="1" showInputMessage="1" showErrorMessage="1" sqref="E11 G11 E17:E36 G17:G36 E42:E95 G42:G95 E103:E171 G103:G171" xr:uid="{00000000-0002-0000-4D00-000001000000}">
      <formula1>$AC$5:$AC$6</formula1>
    </dataValidation>
  </dataValidations>
  <pageMargins left="0.7" right="0.7" top="0.78740157499999996" bottom="0.78740157499999996" header="0.3" footer="0.3"/>
  <pageSetup scale="46" orientation="landscape" r:id="rId1"/>
  <headerFooter>
    <oddFooter>&amp;LDok.-Nr./Rev./Datum
F01         /  03   / 04.12.2020
&amp;F&amp;C&amp;U&amp;A&amp;RSeite &amp;P / &amp;N</oddFooter>
  </headerFooter>
  <rowBreaks count="2" manualBreakCount="2">
    <brk id="40" max="16383" man="1"/>
    <brk id="101" max="16383" man="1"/>
  </rowBreaks>
  <drawing r:id="rId2"/>
  <extLst>
    <ext xmlns:x14="http://schemas.microsoft.com/office/spreadsheetml/2009/9/main" uri="{78C0D931-6437-407d-A8EE-F0AAD7539E65}">
      <x14:conditionalFormattings>
        <x14:conditionalFormatting xmlns:xm="http://schemas.microsoft.com/office/excel/2006/main">
          <x14:cfRule type="iconSet" priority="49" id="{3D6AA6F7-4A39-425E-A2B5-6083E6BF0DB6}">
            <x14:iconSet iconSet="3Symbols" showValue="0" custom="1">
              <x14:cfvo type="percent">
                <xm:f>0</xm:f>
              </x14:cfvo>
              <x14:cfvo type="num" gte="0">
                <xm:f>2</xm:f>
              </x14:cfvo>
              <x14:cfvo type="num">
                <xm:f>4</xm:f>
              </x14:cfvo>
              <x14:cfIcon iconSet="3Symbols" iconId="0"/>
              <x14:cfIcon iconSet="3Symbols" iconId="1"/>
              <x14:cfIcon iconSet="3Symbols" iconId="2"/>
            </x14:iconSet>
          </x14:cfRule>
          <xm:sqref>Q12:Q175</xm:sqref>
        </x14:conditionalFormatting>
        <x14:conditionalFormatting xmlns:xm="http://schemas.microsoft.com/office/excel/2006/main">
          <x14:cfRule type="dataBar" id="{32ADD5F1-B6D8-4B4D-849E-0038BF7AC3C0}">
            <x14:dataBar minLength="0" maxLength="100" border="1" gradient="0">
              <x14:cfvo type="num">
                <xm:f>0</xm:f>
              </x14:cfvo>
              <x14:cfvo type="num">
                <xm:f>1</xm:f>
              </x14:cfvo>
              <x14:borderColor rgb="FF00B0F0"/>
              <x14:negativeFillColor rgb="FFFF0000"/>
              <x14:axisColor rgb="FF000000"/>
            </x14:dataBar>
          </x14:cfRule>
          <xm:sqref>T11</xm:sqref>
        </x14:conditionalFormatting>
        <x14:conditionalFormatting xmlns:xm="http://schemas.microsoft.com/office/excel/2006/main">
          <x14:cfRule type="dataBar" id="{A804043B-8CFB-40C2-AD85-6BC544D2E70D}">
            <x14:dataBar minLength="0" maxLength="100" border="1" gradient="0">
              <x14:cfvo type="num">
                <xm:f>0</xm:f>
              </x14:cfvo>
              <x14:cfvo type="num">
                <xm:f>1</xm:f>
              </x14:cfvo>
              <x14:borderColor rgb="FF00B0F0"/>
              <x14:negativeFillColor rgb="FFFF0000"/>
              <x14:axisColor rgb="FF000000"/>
            </x14:dataBar>
          </x14:cfRule>
          <xm:sqref>T17</xm:sqref>
        </x14:conditionalFormatting>
        <x14:conditionalFormatting xmlns:xm="http://schemas.microsoft.com/office/excel/2006/main">
          <x14:cfRule type="dataBar" id="{6F1F7103-C6BF-47D7-8A6C-CA82DA65DC0C}">
            <x14:dataBar minLength="0" maxLength="100" border="1" gradient="0">
              <x14:cfvo type="num">
                <xm:f>0</xm:f>
              </x14:cfvo>
              <x14:cfvo type="num">
                <xm:f>1</xm:f>
              </x14:cfvo>
              <x14:borderColor rgb="FF00B0F0"/>
              <x14:negativeFillColor rgb="FFFF0000"/>
              <x14:axisColor rgb="FF000000"/>
            </x14:dataBar>
          </x14:cfRule>
          <xm:sqref>T25</xm:sqref>
        </x14:conditionalFormatting>
        <x14:conditionalFormatting xmlns:xm="http://schemas.microsoft.com/office/excel/2006/main">
          <x14:cfRule type="dataBar" id="{8C46BE3B-7AB7-4D90-8AE9-C3F7DDCF846C}">
            <x14:dataBar minLength="0" maxLength="100" border="1" gradient="0">
              <x14:cfvo type="num">
                <xm:f>0</xm:f>
              </x14:cfvo>
              <x14:cfvo type="num">
                <xm:f>1</xm:f>
              </x14:cfvo>
              <x14:borderColor rgb="FF00B0F0"/>
              <x14:negativeFillColor rgb="FFFF0000"/>
              <x14:axisColor rgb="FF000000"/>
            </x14:dataBar>
          </x14:cfRule>
          <xm:sqref>T32</xm:sqref>
        </x14:conditionalFormatting>
        <x14:conditionalFormatting xmlns:xm="http://schemas.microsoft.com/office/excel/2006/main">
          <x14:cfRule type="dataBar" id="{A7D6F512-74E8-4485-ABE4-F90B892618D2}">
            <x14:dataBar minLength="0" maxLength="100" border="1" gradient="0">
              <x14:cfvo type="num">
                <xm:f>0</xm:f>
              </x14:cfvo>
              <x14:cfvo type="num">
                <xm:f>1</xm:f>
              </x14:cfvo>
              <x14:borderColor rgb="FF00B0F0"/>
              <x14:negativeFillColor rgb="FFFF0000"/>
              <x14:axisColor rgb="FF000000"/>
            </x14:dataBar>
          </x14:cfRule>
          <xm:sqref>T36</xm:sqref>
        </x14:conditionalFormatting>
        <x14:conditionalFormatting xmlns:xm="http://schemas.microsoft.com/office/excel/2006/main">
          <x14:cfRule type="dataBar" id="{6C97A779-5A2B-4E20-8A46-1316DD4D1687}">
            <x14:dataBar minLength="0" maxLength="100" border="1" gradient="0">
              <x14:cfvo type="num">
                <xm:f>0</xm:f>
              </x14:cfvo>
              <x14:cfvo type="num">
                <xm:f>1</xm:f>
              </x14:cfvo>
              <x14:borderColor rgb="FF00B0F0"/>
              <x14:negativeFillColor rgb="FFFF0000"/>
              <x14:axisColor rgb="FF000000"/>
            </x14:dataBar>
          </x14:cfRule>
          <xm:sqref>T42</xm:sqref>
        </x14:conditionalFormatting>
        <x14:conditionalFormatting xmlns:xm="http://schemas.microsoft.com/office/excel/2006/main">
          <x14:cfRule type="dataBar" id="{E1B5F7F1-0C22-4972-83A7-132A70D6ACED}">
            <x14:dataBar minLength="0" maxLength="100" border="1" gradient="0">
              <x14:cfvo type="num">
                <xm:f>0</xm:f>
              </x14:cfvo>
              <x14:cfvo type="num">
                <xm:f>1</xm:f>
              </x14:cfvo>
              <x14:borderColor rgb="FF00B0F0"/>
              <x14:negativeFillColor rgb="FFFF0000"/>
              <x14:axisColor rgb="FF000000"/>
            </x14:dataBar>
          </x14:cfRule>
          <xm:sqref>T48</xm:sqref>
        </x14:conditionalFormatting>
        <x14:conditionalFormatting xmlns:xm="http://schemas.microsoft.com/office/excel/2006/main">
          <x14:cfRule type="dataBar" id="{19D3C673-9D95-44EE-8840-E0E61BE7EFC8}">
            <x14:dataBar minLength="0" maxLength="100" border="1" gradient="0">
              <x14:cfvo type="num">
                <xm:f>0</xm:f>
              </x14:cfvo>
              <x14:cfvo type="num">
                <xm:f>1</xm:f>
              </x14:cfvo>
              <x14:borderColor rgb="FF00B0F0"/>
              <x14:negativeFillColor rgb="FFFF0000"/>
              <x14:axisColor rgb="FF000000"/>
            </x14:dataBar>
          </x14:cfRule>
          <xm:sqref>T54</xm:sqref>
        </x14:conditionalFormatting>
        <x14:conditionalFormatting xmlns:xm="http://schemas.microsoft.com/office/excel/2006/main">
          <x14:cfRule type="dataBar" id="{5CE4E07E-31FF-4290-AFE2-45F82B93E7DB}">
            <x14:dataBar minLength="0" maxLength="100" border="1" gradient="0">
              <x14:cfvo type="num">
                <xm:f>0</xm:f>
              </x14:cfvo>
              <x14:cfvo type="num">
                <xm:f>1</xm:f>
              </x14:cfvo>
              <x14:borderColor rgb="FF00B0F0"/>
              <x14:negativeFillColor rgb="FFFF0000"/>
              <x14:axisColor rgb="FF000000"/>
            </x14:dataBar>
          </x14:cfRule>
          <xm:sqref>T60</xm:sqref>
        </x14:conditionalFormatting>
        <x14:conditionalFormatting xmlns:xm="http://schemas.microsoft.com/office/excel/2006/main">
          <x14:cfRule type="dataBar" id="{CE092243-943E-47C0-AB4E-0151D2896AD8}">
            <x14:dataBar minLength="0" maxLength="100" border="1" gradient="0">
              <x14:cfvo type="num">
                <xm:f>0</xm:f>
              </x14:cfvo>
              <x14:cfvo type="num">
                <xm:f>1</xm:f>
              </x14:cfvo>
              <x14:borderColor rgb="FF00B0F0"/>
              <x14:negativeFillColor rgb="FFFF0000"/>
              <x14:axisColor rgb="FF000000"/>
            </x14:dataBar>
          </x14:cfRule>
          <xm:sqref>T66</xm:sqref>
        </x14:conditionalFormatting>
        <x14:conditionalFormatting xmlns:xm="http://schemas.microsoft.com/office/excel/2006/main">
          <x14:cfRule type="dataBar" id="{79678B72-557D-4658-8AC3-14E5613EB5F6}">
            <x14:dataBar minLength="0" maxLength="100" border="1" gradient="0">
              <x14:cfvo type="num">
                <xm:f>0</xm:f>
              </x14:cfvo>
              <x14:cfvo type="num">
                <xm:f>1</xm:f>
              </x14:cfvo>
              <x14:borderColor rgb="FF00B0F0"/>
              <x14:negativeFillColor rgb="FFFF0000"/>
              <x14:axisColor rgb="FF000000"/>
            </x14:dataBar>
          </x14:cfRule>
          <xm:sqref>T72</xm:sqref>
        </x14:conditionalFormatting>
        <x14:conditionalFormatting xmlns:xm="http://schemas.microsoft.com/office/excel/2006/main">
          <x14:cfRule type="dataBar" id="{6644B9AA-26EF-4FAC-9725-F4B0794F4CD9}">
            <x14:dataBar minLength="0" maxLength="100" border="1" gradient="0">
              <x14:cfvo type="num">
                <xm:f>0</xm:f>
              </x14:cfvo>
              <x14:cfvo type="num">
                <xm:f>1</xm:f>
              </x14:cfvo>
              <x14:borderColor rgb="FF00B0F0"/>
              <x14:negativeFillColor rgb="FFFF0000"/>
              <x14:axisColor rgb="FF000000"/>
            </x14:dataBar>
          </x14:cfRule>
          <xm:sqref>T78</xm:sqref>
        </x14:conditionalFormatting>
        <x14:conditionalFormatting xmlns:xm="http://schemas.microsoft.com/office/excel/2006/main">
          <x14:cfRule type="dataBar" id="{3BC221E1-1A2B-4067-9965-539D0F1CABF3}">
            <x14:dataBar minLength="0" maxLength="100" border="1" gradient="0">
              <x14:cfvo type="num">
                <xm:f>0</xm:f>
              </x14:cfvo>
              <x14:cfvo type="num">
                <xm:f>1</xm:f>
              </x14:cfvo>
              <x14:borderColor rgb="FF00B0F0"/>
              <x14:negativeFillColor rgb="FFFF0000"/>
              <x14:axisColor rgb="FF000000"/>
            </x14:dataBar>
          </x14:cfRule>
          <xm:sqref>T83</xm:sqref>
        </x14:conditionalFormatting>
        <x14:conditionalFormatting xmlns:xm="http://schemas.microsoft.com/office/excel/2006/main">
          <x14:cfRule type="dataBar" id="{B764BB58-582D-439F-87FC-913456140826}">
            <x14:dataBar minLength="0" maxLength="100" border="1" gradient="0">
              <x14:cfvo type="num">
                <xm:f>0</xm:f>
              </x14:cfvo>
              <x14:cfvo type="num">
                <xm:f>1</xm:f>
              </x14:cfvo>
              <x14:borderColor rgb="FF00B0F0"/>
              <x14:negativeFillColor rgb="FFFF0000"/>
              <x14:axisColor rgb="FF000000"/>
            </x14:dataBar>
          </x14:cfRule>
          <xm:sqref>T89</xm:sqref>
        </x14:conditionalFormatting>
        <x14:conditionalFormatting xmlns:xm="http://schemas.microsoft.com/office/excel/2006/main">
          <x14:cfRule type="dataBar" id="{9B202078-0D1A-4818-A2C5-7C11DD1D3BBC}">
            <x14:dataBar minLength="0" maxLength="100" border="1" gradient="0">
              <x14:cfvo type="num">
                <xm:f>0</xm:f>
              </x14:cfvo>
              <x14:cfvo type="num">
                <xm:f>1</xm:f>
              </x14:cfvo>
              <x14:borderColor rgb="FF00B0F0"/>
              <x14:negativeFillColor rgb="FFFF0000"/>
              <x14:axisColor rgb="FF000000"/>
            </x14:dataBar>
          </x14:cfRule>
          <xm:sqref>T95</xm:sqref>
        </x14:conditionalFormatting>
        <x14:conditionalFormatting xmlns:xm="http://schemas.microsoft.com/office/excel/2006/main">
          <x14:cfRule type="dataBar" id="{FA526BE7-4CC8-417B-B040-31CAFD21B1A0}">
            <x14:dataBar minLength="0" maxLength="100" border="1" gradient="0">
              <x14:cfvo type="num">
                <xm:f>0</xm:f>
              </x14:cfvo>
              <x14:cfvo type="num">
                <xm:f>1</xm:f>
              </x14:cfvo>
              <x14:borderColor rgb="FF00B0F0"/>
              <x14:negativeFillColor rgb="FFFF0000"/>
              <x14:axisColor rgb="FF000000"/>
            </x14:dataBar>
          </x14:cfRule>
          <xm:sqref>T103</xm:sqref>
        </x14:conditionalFormatting>
        <x14:conditionalFormatting xmlns:xm="http://schemas.microsoft.com/office/excel/2006/main">
          <x14:cfRule type="dataBar" id="{5211F139-8B06-4326-AA4C-BD975F68F066}">
            <x14:dataBar minLength="0" maxLength="100" border="1" gradient="0">
              <x14:cfvo type="num">
                <xm:f>0</xm:f>
              </x14:cfvo>
              <x14:cfvo type="num">
                <xm:f>1</xm:f>
              </x14:cfvo>
              <x14:borderColor rgb="FF00B0F0"/>
              <x14:negativeFillColor rgb="FFFF0000"/>
              <x14:axisColor rgb="FF000000"/>
            </x14:dataBar>
          </x14:cfRule>
          <xm:sqref>T109</xm:sqref>
        </x14:conditionalFormatting>
        <x14:conditionalFormatting xmlns:xm="http://schemas.microsoft.com/office/excel/2006/main">
          <x14:cfRule type="dataBar" id="{0A4C7EC4-C54C-4629-8032-530DDFCE2936}">
            <x14:dataBar minLength="0" maxLength="100" border="1" gradient="0">
              <x14:cfvo type="num">
                <xm:f>0</xm:f>
              </x14:cfvo>
              <x14:cfvo type="num">
                <xm:f>1</xm:f>
              </x14:cfvo>
              <x14:borderColor rgb="FF00B0F0"/>
              <x14:negativeFillColor rgb="FFFF0000"/>
              <x14:axisColor rgb="FF000000"/>
            </x14:dataBar>
          </x14:cfRule>
          <xm:sqref>T113</xm:sqref>
        </x14:conditionalFormatting>
        <x14:conditionalFormatting xmlns:xm="http://schemas.microsoft.com/office/excel/2006/main">
          <x14:cfRule type="dataBar" id="{5ACB7018-EBF8-4C8C-A955-FC7F13276FE9}">
            <x14:dataBar minLength="0" maxLength="100" border="1" gradient="0">
              <x14:cfvo type="num">
                <xm:f>0</xm:f>
              </x14:cfvo>
              <x14:cfvo type="num">
                <xm:f>1</xm:f>
              </x14:cfvo>
              <x14:borderColor rgb="FF00B0F0"/>
              <x14:negativeFillColor rgb="FFFF0000"/>
              <x14:axisColor rgb="FF000000"/>
            </x14:dataBar>
          </x14:cfRule>
          <xm:sqref>T118</xm:sqref>
        </x14:conditionalFormatting>
        <x14:conditionalFormatting xmlns:xm="http://schemas.microsoft.com/office/excel/2006/main">
          <x14:cfRule type="dataBar" id="{9ADD554E-279C-4B27-93BD-293AC5BF61CF}">
            <x14:dataBar minLength="0" maxLength="100" border="1" gradient="0">
              <x14:cfvo type="num">
                <xm:f>0</xm:f>
              </x14:cfvo>
              <x14:cfvo type="num">
                <xm:f>1</xm:f>
              </x14:cfvo>
              <x14:borderColor rgb="FF00B0F0"/>
              <x14:negativeFillColor rgb="FFFF0000"/>
              <x14:axisColor rgb="FF000000"/>
            </x14:dataBar>
          </x14:cfRule>
          <xm:sqref>T124</xm:sqref>
        </x14:conditionalFormatting>
        <x14:conditionalFormatting xmlns:xm="http://schemas.microsoft.com/office/excel/2006/main">
          <x14:cfRule type="dataBar" id="{E42D68C6-353D-48F1-8A83-B600E6813625}">
            <x14:dataBar minLength="0" maxLength="100" border="1" gradient="0">
              <x14:cfvo type="num">
                <xm:f>0</xm:f>
              </x14:cfvo>
              <x14:cfvo type="num">
                <xm:f>1</xm:f>
              </x14:cfvo>
              <x14:borderColor rgb="FF00B0F0"/>
              <x14:negativeFillColor rgb="FFFF0000"/>
              <x14:axisColor rgb="FF000000"/>
            </x14:dataBar>
          </x14:cfRule>
          <xm:sqref>T129</xm:sqref>
        </x14:conditionalFormatting>
        <x14:conditionalFormatting xmlns:xm="http://schemas.microsoft.com/office/excel/2006/main">
          <x14:cfRule type="dataBar" id="{C019AC91-7103-40DF-8427-844E6FB89BF2}">
            <x14:dataBar minLength="0" maxLength="100" border="1" gradient="0">
              <x14:cfvo type="num">
                <xm:f>0</xm:f>
              </x14:cfvo>
              <x14:cfvo type="num">
                <xm:f>1</xm:f>
              </x14:cfvo>
              <x14:borderColor rgb="FF00B0F0"/>
              <x14:negativeFillColor rgb="FFFF0000"/>
              <x14:axisColor rgb="FF000000"/>
            </x14:dataBar>
          </x14:cfRule>
          <xm:sqref>T135</xm:sqref>
        </x14:conditionalFormatting>
        <x14:conditionalFormatting xmlns:xm="http://schemas.microsoft.com/office/excel/2006/main">
          <x14:cfRule type="dataBar" id="{5131D6C2-43D9-44EF-82DF-6443E2405635}">
            <x14:dataBar minLength="0" maxLength="100" border="1" gradient="0">
              <x14:cfvo type="num">
                <xm:f>0</xm:f>
              </x14:cfvo>
              <x14:cfvo type="num">
                <xm:f>1</xm:f>
              </x14:cfvo>
              <x14:borderColor rgb="FF00B0F0"/>
              <x14:negativeFillColor rgb="FFFF0000"/>
              <x14:axisColor rgb="FF000000"/>
            </x14:dataBar>
          </x14:cfRule>
          <xm:sqref>T141</xm:sqref>
        </x14:conditionalFormatting>
        <x14:conditionalFormatting xmlns:xm="http://schemas.microsoft.com/office/excel/2006/main">
          <x14:cfRule type="dataBar" id="{422E114D-146A-48DB-A748-9B944EEF6EC1}">
            <x14:dataBar minLength="0" maxLength="100" border="1" gradient="0">
              <x14:cfvo type="num">
                <xm:f>0</xm:f>
              </x14:cfvo>
              <x14:cfvo type="num">
                <xm:f>1</xm:f>
              </x14:cfvo>
              <x14:borderColor rgb="FF00B0F0"/>
              <x14:negativeFillColor rgb="FFFF0000"/>
              <x14:axisColor rgb="FF000000"/>
            </x14:dataBar>
          </x14:cfRule>
          <xm:sqref>T147</xm:sqref>
        </x14:conditionalFormatting>
        <x14:conditionalFormatting xmlns:xm="http://schemas.microsoft.com/office/excel/2006/main">
          <x14:cfRule type="dataBar" id="{EDD92D83-554C-475D-8539-E4DA01D367F8}">
            <x14:dataBar minLength="0" maxLength="100" border="1" gradient="0">
              <x14:cfvo type="num">
                <xm:f>0</xm:f>
              </x14:cfvo>
              <x14:cfvo type="num">
                <xm:f>1</xm:f>
              </x14:cfvo>
              <x14:borderColor rgb="FF00B0F0"/>
              <x14:negativeFillColor rgb="FFFF0000"/>
              <x14:axisColor rgb="FF000000"/>
            </x14:dataBar>
          </x14:cfRule>
          <xm:sqref>T152</xm:sqref>
        </x14:conditionalFormatting>
        <x14:conditionalFormatting xmlns:xm="http://schemas.microsoft.com/office/excel/2006/main">
          <x14:cfRule type="dataBar" id="{C6D3C632-B843-494C-8D10-EC7EB82140BC}">
            <x14:dataBar minLength="0" maxLength="100" border="1" gradient="0">
              <x14:cfvo type="num">
                <xm:f>0</xm:f>
              </x14:cfvo>
              <x14:cfvo type="num">
                <xm:f>1</xm:f>
              </x14:cfvo>
              <x14:borderColor rgb="FF00B0F0"/>
              <x14:negativeFillColor rgb="FFFF0000"/>
              <x14:axisColor rgb="FF000000"/>
            </x14:dataBar>
          </x14:cfRule>
          <xm:sqref>T159</xm:sqref>
        </x14:conditionalFormatting>
        <x14:conditionalFormatting xmlns:xm="http://schemas.microsoft.com/office/excel/2006/main">
          <x14:cfRule type="dataBar" id="{B5231D81-D020-4F22-A78B-AD38870C5ABB}">
            <x14:dataBar minLength="0" maxLength="100" border="1" gradient="0">
              <x14:cfvo type="num">
                <xm:f>0</xm:f>
              </x14:cfvo>
              <x14:cfvo type="num">
                <xm:f>1</xm:f>
              </x14:cfvo>
              <x14:borderColor rgb="FF00B0F0"/>
              <x14:negativeFillColor rgb="FFFF0000"/>
              <x14:axisColor rgb="FF000000"/>
            </x14:dataBar>
          </x14:cfRule>
          <xm:sqref>T165</xm:sqref>
        </x14:conditionalFormatting>
        <x14:conditionalFormatting xmlns:xm="http://schemas.microsoft.com/office/excel/2006/main">
          <x14:cfRule type="dataBar" id="{B3B24C01-B7A0-4DAB-A23A-5C0B46CED432}">
            <x14:dataBar minLength="0" maxLength="100" border="1" gradient="0">
              <x14:cfvo type="num">
                <xm:f>0</xm:f>
              </x14:cfvo>
              <x14:cfvo type="num">
                <xm:f>1</xm:f>
              </x14:cfvo>
              <x14:borderColor rgb="FF00B0F0"/>
              <x14:negativeFillColor rgb="FFFF0000"/>
              <x14:axisColor rgb="FF000000"/>
            </x14:dataBar>
          </x14:cfRule>
          <xm:sqref>T171</xm:sqref>
        </x14:conditionalFormatting>
      </x14:conditionalFormatting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8506F-7E3C-46CC-B160-407B69B6F8B9}">
  <sheetPr codeName="Level_E_Scoring">
    <tabColor rgb="FFC00000"/>
  </sheetPr>
  <dimension ref="B1:AG195"/>
  <sheetViews>
    <sheetView showGridLines="0" zoomScale="80" zoomScaleNormal="80" zoomScalePageLayoutView="125" workbookViewId="0">
      <pane ySplit="9" topLeftCell="A72" activePane="bottomLeft" state="frozen"/>
      <selection activeCell="B109" sqref="B109"/>
      <selection pane="bottomLeft" activeCell="E11" sqref="E11"/>
    </sheetView>
  </sheetViews>
  <sheetFormatPr baseColWidth="10" defaultColWidth="10" defaultRowHeight="14"/>
  <cols>
    <col min="1" max="1" width="2.33203125" style="314" customWidth="1"/>
    <col min="2" max="2" width="7.5" style="313" customWidth="1"/>
    <col min="3" max="3" width="51.83203125" style="314" customWidth="1"/>
    <col min="4" max="4" width="0.83203125" style="314" customWidth="1"/>
    <col min="5" max="5" width="17.5" style="314" customWidth="1"/>
    <col min="6" max="6" width="1" style="314" hidden="1" customWidth="1"/>
    <col min="7" max="7" width="17.5" style="314" hidden="1" customWidth="1"/>
    <col min="8" max="8" width="1" style="314" hidden="1" customWidth="1"/>
    <col min="9" max="9" width="6.33203125" style="314" hidden="1" customWidth="1"/>
    <col min="10" max="10" width="1" style="314" hidden="1" customWidth="1"/>
    <col min="11" max="11" width="6.33203125" style="314" hidden="1" customWidth="1"/>
    <col min="12" max="12" width="1" style="314" hidden="1" customWidth="1"/>
    <col min="13" max="13" width="6.33203125" style="314" hidden="1" customWidth="1"/>
    <col min="14" max="14" width="1" style="314" hidden="1" customWidth="1"/>
    <col min="15" max="15" width="6.33203125" style="314" hidden="1" customWidth="1"/>
    <col min="16" max="16" width="0.83203125" style="314" customWidth="1"/>
    <col min="17" max="17" width="2" style="315" customWidth="1"/>
    <col min="18" max="18" width="17.5" style="314" customWidth="1"/>
    <col min="19" max="19" width="0.83203125" style="314" customWidth="1"/>
    <col min="20" max="20" width="10.6640625" style="314" hidden="1" customWidth="1"/>
    <col min="21" max="21" width="0.83203125" style="314" customWidth="1"/>
    <col min="22" max="22" width="13.1640625" style="313" customWidth="1"/>
    <col min="23" max="23" width="0.83203125" style="314" customWidth="1"/>
    <col min="24" max="24" width="14.6640625" style="314" customWidth="1"/>
    <col min="25" max="25" width="20.33203125" style="314" customWidth="1"/>
    <col min="26" max="26" width="14.6640625" style="314" customWidth="1"/>
    <col min="27" max="27" width="1.6640625" style="314" customWidth="1"/>
    <col min="28" max="29" width="14" style="314" customWidth="1"/>
    <col min="30" max="30" width="14" style="314" hidden="1" customWidth="1"/>
    <col min="31" max="33" width="9.5" style="314" hidden="1" customWidth="1"/>
    <col min="34" max="34" width="0" style="314" hidden="1" customWidth="1"/>
    <col min="35" max="16384" width="10" style="314"/>
  </cols>
  <sheetData>
    <row r="1" spans="2:33" ht="40.5" customHeight="1">
      <c r="C1" s="316" t="str">
        <f>Dictionary!B930</f>
        <v>Bewertung für Basis Zertifikat</v>
      </c>
    </row>
    <row r="2" spans="2:33" ht="18" customHeight="1">
      <c r="C2" s="324" t="str">
        <f>'EXP Eval'!B3</f>
        <v xml:space="preserve">, </v>
      </c>
      <c r="F2" s="386"/>
      <c r="G2" s="386"/>
      <c r="H2" s="386"/>
      <c r="I2" s="386"/>
      <c r="J2" s="386"/>
      <c r="K2" s="387"/>
      <c r="L2" s="386"/>
      <c r="R2" s="388"/>
      <c r="S2" s="388"/>
      <c r="T2" s="388"/>
      <c r="U2" s="388"/>
      <c r="V2" s="387" t="s">
        <v>289</v>
      </c>
      <c r="W2" s="388"/>
      <c r="X2" s="389" t="str">
        <f>COV!V13</f>
        <v>Lead Assessor:</v>
      </c>
      <c r="Y2" s="387" t="s">
        <v>482</v>
      </c>
      <c r="Z2" s="389" t="str">
        <f>COV!V14</f>
        <v>Co Assessor:</v>
      </c>
      <c r="AA2" s="317"/>
      <c r="AB2" s="317"/>
      <c r="AC2" s="317"/>
      <c r="AD2" s="317"/>
      <c r="AE2" s="318"/>
      <c r="AF2" s="318"/>
      <c r="AG2" s="318"/>
    </row>
    <row r="3" spans="2:33" ht="19.25" customHeight="1">
      <c r="D3" s="320"/>
      <c r="E3" s="317"/>
      <c r="F3" s="317"/>
      <c r="G3" s="317"/>
      <c r="H3" s="317"/>
      <c r="I3" s="317"/>
      <c r="J3" s="317"/>
      <c r="K3" s="317"/>
      <c r="L3" s="317"/>
      <c r="R3" s="317"/>
      <c r="S3" s="317"/>
      <c r="T3" s="317"/>
      <c r="U3" s="317"/>
      <c r="V3" s="317"/>
      <c r="W3" s="317"/>
      <c r="X3" s="317"/>
      <c r="Y3" s="317"/>
      <c r="Z3" s="317"/>
      <c r="AA3" s="317"/>
      <c r="AB3" s="321"/>
      <c r="AC3" s="321"/>
      <c r="AD3" s="321"/>
      <c r="AE3" s="321"/>
      <c r="AF3" s="321"/>
      <c r="AG3" s="321"/>
    </row>
    <row r="4" spans="2:33" ht="19.25" customHeight="1">
      <c r="B4" s="390">
        <f>Scoring!C6</f>
        <v>0</v>
      </c>
      <c r="C4" s="391" t="str">
        <f>Dictionary!B923</f>
        <v>Perspective Kompetenz Elemente erfüllt</v>
      </c>
      <c r="D4" s="320"/>
      <c r="E4" s="317"/>
      <c r="F4" s="317"/>
      <c r="G4" s="317"/>
      <c r="H4" s="317"/>
      <c r="I4" s="317"/>
      <c r="J4" s="317"/>
      <c r="K4" s="317"/>
      <c r="L4" s="317"/>
      <c r="M4" s="317"/>
      <c r="N4" s="317"/>
      <c r="O4" s="317"/>
      <c r="P4" s="317"/>
      <c r="Q4" s="317"/>
      <c r="R4" s="317"/>
      <c r="S4" s="317"/>
      <c r="T4" s="317"/>
      <c r="U4" s="317"/>
      <c r="V4" s="420"/>
      <c r="W4" s="421"/>
      <c r="X4" s="421"/>
      <c r="Y4" s="421"/>
      <c r="Z4" s="422"/>
      <c r="AA4" s="317"/>
      <c r="AB4" s="433" t="str">
        <f>Dictionary!B932</f>
        <v>Bewertung Level D</v>
      </c>
      <c r="AC4" s="433"/>
      <c r="AD4" s="321"/>
      <c r="AE4" s="321"/>
      <c r="AF4" s="321"/>
      <c r="AG4" s="321"/>
    </row>
    <row r="5" spans="2:33" ht="19.25" customHeight="1">
      <c r="B5" s="394">
        <f>Scoring!C7</f>
        <v>0</v>
      </c>
      <c r="C5" s="395" t="str">
        <f>Dictionary!B924</f>
        <v>People Kompetenz Elemente erfüllt</v>
      </c>
      <c r="D5" s="320"/>
      <c r="E5" s="317"/>
      <c r="F5" s="317"/>
      <c r="G5" s="317"/>
      <c r="H5" s="317"/>
      <c r="I5" s="317"/>
      <c r="J5" s="317"/>
      <c r="K5" s="317"/>
      <c r="L5" s="317"/>
      <c r="M5" s="317"/>
      <c r="N5" s="317"/>
      <c r="O5" s="317"/>
      <c r="P5" s="317"/>
      <c r="Q5" s="317"/>
      <c r="R5" s="317"/>
      <c r="S5" s="317"/>
      <c r="T5" s="317"/>
      <c r="U5" s="317"/>
      <c r="V5" s="423" t="str">
        <f>Dictionary!B927</f>
        <v>Schriftliche Prüfungsvariante:</v>
      </c>
      <c r="W5" s="424"/>
      <c r="X5" s="424"/>
      <c r="Y5" s="2443"/>
      <c r="Z5" s="2444"/>
      <c r="AA5" s="317"/>
      <c r="AB5" s="434" t="str">
        <f>Dictionary!B47</f>
        <v>Bestanden</v>
      </c>
      <c r="AC5" s="434">
        <v>1</v>
      </c>
      <c r="AD5" s="321"/>
      <c r="AE5" s="321"/>
      <c r="AF5" s="321"/>
      <c r="AG5" s="321"/>
    </row>
    <row r="6" spans="2:33" ht="19.25" customHeight="1">
      <c r="B6" s="394">
        <f>Scoring!C8</f>
        <v>0</v>
      </c>
      <c r="C6" s="395" t="str">
        <f>Dictionary!B925</f>
        <v>Practice Kompetenz Elemente erfüllt</v>
      </c>
      <c r="D6" s="320"/>
      <c r="E6" s="317"/>
      <c r="F6" s="317"/>
      <c r="G6" s="317"/>
      <c r="H6" s="317"/>
      <c r="I6" s="317"/>
      <c r="J6" s="317"/>
      <c r="K6" s="317"/>
      <c r="L6" s="317"/>
      <c r="M6" s="317"/>
      <c r="N6" s="317"/>
      <c r="O6" s="317"/>
      <c r="P6" s="317"/>
      <c r="Q6" s="317"/>
      <c r="R6" s="317"/>
      <c r="S6" s="317"/>
      <c r="T6" s="317"/>
      <c r="U6" s="317"/>
      <c r="V6" s="423"/>
      <c r="W6" s="424"/>
      <c r="X6" s="424"/>
      <c r="Y6" s="2445"/>
      <c r="Z6" s="2446"/>
      <c r="AA6" s="317"/>
      <c r="AB6" s="434" t="str">
        <f>Dictionary!B46</f>
        <v>Nicht bestanden</v>
      </c>
      <c r="AC6" s="434">
        <v>0</v>
      </c>
      <c r="AD6" s="321"/>
      <c r="AE6" s="321"/>
      <c r="AF6" s="321"/>
      <c r="AG6" s="321"/>
    </row>
    <row r="7" spans="2:33" ht="17" customHeight="1">
      <c r="B7" s="396">
        <f>Scoring!C9</f>
        <v>0</v>
      </c>
      <c r="C7" s="397" t="str">
        <f>Dictionary!B946&amp;": "&amp;R182</f>
        <v xml:space="preserve">Gesamtergebnis: </v>
      </c>
      <c r="D7" s="318"/>
      <c r="E7" s="317"/>
      <c r="F7" s="317"/>
      <c r="G7" s="317"/>
      <c r="H7" s="317"/>
      <c r="I7" s="317"/>
      <c r="J7" s="317"/>
      <c r="K7" s="317"/>
      <c r="L7" s="317"/>
      <c r="M7" s="317"/>
      <c r="N7" s="317"/>
      <c r="O7" s="317"/>
      <c r="P7" s="317"/>
      <c r="Q7" s="317"/>
      <c r="R7" s="317"/>
      <c r="S7" s="317"/>
      <c r="T7" s="317"/>
      <c r="U7" s="317"/>
      <c r="V7" s="425"/>
      <c r="W7" s="426"/>
      <c r="X7" s="426"/>
      <c r="Y7" s="426"/>
      <c r="Z7" s="427"/>
      <c r="AA7" s="317"/>
      <c r="AB7" s="321"/>
      <c r="AC7" s="321"/>
      <c r="AD7" s="321"/>
      <c r="AE7" s="323"/>
      <c r="AF7" s="323"/>
      <c r="AG7" s="318"/>
    </row>
    <row r="8" spans="2:33" s="326" customFormat="1" ht="10.25" customHeight="1">
      <c r="B8" s="399"/>
      <c r="C8" s="400"/>
      <c r="D8" s="325"/>
      <c r="E8" s="325"/>
      <c r="F8" s="325"/>
      <c r="G8" s="325"/>
      <c r="H8" s="325"/>
      <c r="I8" s="325"/>
      <c r="J8" s="325"/>
      <c r="K8" s="325"/>
      <c r="L8" s="325"/>
      <c r="M8" s="325"/>
      <c r="N8" s="325"/>
      <c r="O8" s="317"/>
      <c r="Q8" s="327"/>
      <c r="R8" s="317"/>
      <c r="V8" s="328"/>
      <c r="W8" s="317"/>
      <c r="X8" s="329"/>
      <c r="Y8" s="330"/>
      <c r="Z8" s="321"/>
      <c r="AA8" s="321"/>
      <c r="AB8" s="321"/>
      <c r="AC8" s="321"/>
      <c r="AD8" s="321"/>
      <c r="AE8" s="331"/>
      <c r="AF8" s="331"/>
      <c r="AG8" s="325"/>
    </row>
    <row r="9" spans="2:33" s="326" customFormat="1" ht="36" customHeight="1">
      <c r="B9" s="332"/>
      <c r="D9" s="325"/>
      <c r="E9" s="333" t="s">
        <v>1991</v>
      </c>
      <c r="F9" s="334"/>
      <c r="G9" s="335" t="s">
        <v>1992</v>
      </c>
      <c r="H9" s="334"/>
      <c r="I9" s="335" t="s">
        <v>483</v>
      </c>
      <c r="J9" s="334"/>
      <c r="K9" s="335" t="s">
        <v>480</v>
      </c>
      <c r="L9" s="325"/>
      <c r="M9" s="336" t="s">
        <v>479</v>
      </c>
      <c r="N9" s="337"/>
      <c r="O9" s="338" t="s">
        <v>478</v>
      </c>
      <c r="Q9" s="331"/>
      <c r="R9" s="339" t="str">
        <f>Dictionary!B941</f>
        <v>Endergebnis</v>
      </c>
      <c r="V9" s="2373" t="str">
        <f>Dictionary!B942</f>
        <v xml:space="preserve">Kommentare </v>
      </c>
      <c r="W9" s="2374"/>
      <c r="X9" s="2374"/>
      <c r="Y9" s="2374"/>
      <c r="Z9" s="2375"/>
      <c r="AA9" s="317"/>
      <c r="AB9" s="317"/>
      <c r="AC9" s="317"/>
      <c r="AD9" s="317"/>
    </row>
    <row r="10" spans="2:33" ht="18" customHeight="1">
      <c r="C10" s="334" t="str">
        <f>Dictionary!B1262</f>
        <v>Perspective Kompetenz Elemente</v>
      </c>
      <c r="D10" s="315"/>
      <c r="E10" s="315"/>
      <c r="F10" s="315"/>
      <c r="G10" s="315"/>
      <c r="H10" s="315"/>
      <c r="I10" s="315"/>
      <c r="J10" s="315"/>
      <c r="K10" s="315"/>
      <c r="L10" s="315"/>
      <c r="M10" s="315"/>
      <c r="N10" s="315"/>
      <c r="O10" s="315"/>
      <c r="R10" s="315"/>
      <c r="AE10" s="340"/>
      <c r="AF10" s="340"/>
      <c r="AG10" s="326"/>
    </row>
    <row r="11" spans="2:33" ht="20" customHeight="1">
      <c r="B11" s="341" t="s">
        <v>475</v>
      </c>
      <c r="C11" s="342" t="str">
        <f>Dictionary!B1263</f>
        <v>Strategie</v>
      </c>
      <c r="D11" s="343"/>
      <c r="E11" s="353"/>
      <c r="F11" s="343"/>
      <c r="G11" s="436"/>
      <c r="H11" s="345"/>
      <c r="I11" s="344"/>
      <c r="J11" s="345"/>
      <c r="K11" s="344"/>
      <c r="L11" s="343"/>
      <c r="M11" s="344"/>
      <c r="N11" s="345"/>
      <c r="O11" s="344"/>
      <c r="Q11" s="343"/>
      <c r="R11" s="346" t="str">
        <f>IF(AND(E11="",G11=""),"",IF((E11+G11)&gt;0,"Pass","Fail"))</f>
        <v/>
      </c>
      <c r="T11" s="428">
        <f>COUNTIF(T12:T16,"&gt;3")/AE11</f>
        <v>0</v>
      </c>
      <c r="V11" s="2376"/>
      <c r="W11" s="2377"/>
      <c r="X11" s="2377"/>
      <c r="Y11" s="2377"/>
      <c r="Z11" s="2378"/>
      <c r="AA11" s="348"/>
      <c r="AB11" s="348"/>
      <c r="AC11" s="348"/>
      <c r="AD11" s="348"/>
      <c r="AE11" s="349">
        <v>5</v>
      </c>
      <c r="AF11" s="349">
        <f>ROUNDUP(AE11/2,0)</f>
        <v>3</v>
      </c>
    </row>
    <row r="12" spans="2:33" ht="18" hidden="1" customHeight="1">
      <c r="B12" s="350" t="str">
        <f>".1"</f>
        <v>.1</v>
      </c>
      <c r="C12" s="351" t="s">
        <v>474</v>
      </c>
      <c r="D12" s="352"/>
      <c r="E12" s="404"/>
      <c r="F12" s="354"/>
      <c r="G12" s="353"/>
      <c r="H12" s="354"/>
      <c r="I12" s="353"/>
      <c r="J12" s="354"/>
      <c r="K12" s="353"/>
      <c r="L12" s="354"/>
      <c r="M12" s="349" t="str">
        <f>IF(MAX(E12,G12,I12,K12)=0,"",MAX(E12,G12,I12,K12))</f>
        <v/>
      </c>
      <c r="N12" s="354"/>
      <c r="O12" s="355"/>
      <c r="Q12" s="356" t="str">
        <f>IF(T12&gt;0,T12,"")</f>
        <v/>
      </c>
      <c r="T12" s="349" t="str">
        <f>Scoring!U14</f>
        <v/>
      </c>
      <c r="V12" s="2376"/>
      <c r="W12" s="2377"/>
      <c r="X12" s="2377"/>
      <c r="Y12" s="2377"/>
      <c r="Z12" s="2378"/>
      <c r="AA12" s="348"/>
      <c r="AB12" s="348"/>
      <c r="AC12" s="348"/>
      <c r="AD12" s="348"/>
      <c r="AE12" s="349"/>
      <c r="AF12" s="349"/>
    </row>
    <row r="13" spans="2:33" ht="24" hidden="1" customHeight="1">
      <c r="B13" s="350" t="str">
        <f>".2"</f>
        <v>.2</v>
      </c>
      <c r="C13" s="351" t="s">
        <v>473</v>
      </c>
      <c r="D13" s="352"/>
      <c r="E13" s="404"/>
      <c r="F13" s="354"/>
      <c r="G13" s="353"/>
      <c r="H13" s="354"/>
      <c r="I13" s="353"/>
      <c r="J13" s="354"/>
      <c r="K13" s="353"/>
      <c r="L13" s="354"/>
      <c r="M13" s="349" t="str">
        <f t="shared" ref="M13:M39" si="0">IF(MAX(E13,G13,I13,K13)=0,"",MAX(E13,G13,I13,K13))</f>
        <v/>
      </c>
      <c r="N13" s="354"/>
      <c r="O13" s="355"/>
      <c r="Q13" s="356" t="str">
        <f>IF(T13&gt;0,T13,"")</f>
        <v/>
      </c>
      <c r="T13" s="349" t="str">
        <f>Scoring!U15</f>
        <v/>
      </c>
      <c r="V13" s="2376"/>
      <c r="W13" s="2377"/>
      <c r="X13" s="2377"/>
      <c r="Y13" s="2377"/>
      <c r="Z13" s="2378"/>
      <c r="AA13" s="348"/>
      <c r="AB13" s="348"/>
      <c r="AC13" s="348"/>
      <c r="AD13" s="348"/>
      <c r="AE13" s="349"/>
      <c r="AF13" s="349"/>
    </row>
    <row r="14" spans="2:33" ht="24" hidden="1" customHeight="1">
      <c r="B14" s="350" t="str">
        <f>".3"</f>
        <v>.3</v>
      </c>
      <c r="C14" s="351" t="s">
        <v>472</v>
      </c>
      <c r="D14" s="352"/>
      <c r="E14" s="404"/>
      <c r="F14" s="354"/>
      <c r="G14" s="353"/>
      <c r="H14" s="354"/>
      <c r="I14" s="353"/>
      <c r="J14" s="354"/>
      <c r="K14" s="353"/>
      <c r="L14" s="354"/>
      <c r="M14" s="349" t="str">
        <f t="shared" si="0"/>
        <v/>
      </c>
      <c r="N14" s="354"/>
      <c r="O14" s="355"/>
      <c r="Q14" s="356" t="str">
        <f>IF(T14&gt;0,T14,"")</f>
        <v/>
      </c>
      <c r="T14" s="349" t="str">
        <f>Scoring!U16</f>
        <v/>
      </c>
      <c r="V14" s="2376"/>
      <c r="W14" s="2377"/>
      <c r="X14" s="2377"/>
      <c r="Y14" s="2377"/>
      <c r="Z14" s="2378"/>
      <c r="AA14" s="348"/>
      <c r="AB14" s="348"/>
      <c r="AC14" s="348"/>
      <c r="AD14" s="348"/>
      <c r="AE14" s="349"/>
      <c r="AF14" s="349"/>
    </row>
    <row r="15" spans="2:33" ht="18" hidden="1" customHeight="1">
      <c r="B15" s="350" t="str">
        <f>".4"</f>
        <v>.4</v>
      </c>
      <c r="C15" s="351" t="s">
        <v>471</v>
      </c>
      <c r="D15" s="352"/>
      <c r="E15" s="404"/>
      <c r="F15" s="354"/>
      <c r="G15" s="353"/>
      <c r="H15" s="354"/>
      <c r="I15" s="353"/>
      <c r="J15" s="354"/>
      <c r="K15" s="353"/>
      <c r="L15" s="354"/>
      <c r="M15" s="349" t="str">
        <f t="shared" si="0"/>
        <v/>
      </c>
      <c r="N15" s="354"/>
      <c r="O15" s="355"/>
      <c r="Q15" s="356" t="str">
        <f>IF(T15&gt;0,T15,"")</f>
        <v/>
      </c>
      <c r="T15" s="349" t="str">
        <f>Scoring!U17</f>
        <v/>
      </c>
      <c r="V15" s="2376"/>
      <c r="W15" s="2377"/>
      <c r="X15" s="2377"/>
      <c r="Y15" s="2377"/>
      <c r="Z15" s="2378"/>
      <c r="AA15" s="348"/>
      <c r="AB15" s="348"/>
      <c r="AC15" s="348"/>
      <c r="AD15" s="348"/>
      <c r="AE15" s="349"/>
      <c r="AF15" s="349"/>
    </row>
    <row r="16" spans="2:33" ht="18" hidden="1" customHeight="1">
      <c r="B16" s="350" t="str">
        <f>".5"</f>
        <v>.5</v>
      </c>
      <c r="C16" s="351" t="s">
        <v>470</v>
      </c>
      <c r="D16" s="352"/>
      <c r="E16" s="404"/>
      <c r="F16" s="354"/>
      <c r="G16" s="353"/>
      <c r="H16" s="354"/>
      <c r="I16" s="353"/>
      <c r="J16" s="354"/>
      <c r="K16" s="353"/>
      <c r="L16" s="354"/>
      <c r="M16" s="349" t="str">
        <f t="shared" si="0"/>
        <v/>
      </c>
      <c r="N16" s="354"/>
      <c r="O16" s="355"/>
      <c r="Q16" s="356" t="str">
        <f>IF(T16&gt;0,T16,"")</f>
        <v/>
      </c>
      <c r="T16" s="349" t="str">
        <f>Scoring!U18</f>
        <v/>
      </c>
      <c r="V16" s="2376"/>
      <c r="W16" s="2377"/>
      <c r="X16" s="2377"/>
      <c r="Y16" s="2377"/>
      <c r="Z16" s="2378"/>
      <c r="AA16" s="348"/>
      <c r="AB16" s="348"/>
      <c r="AC16" s="348"/>
      <c r="AD16" s="348"/>
      <c r="AE16" s="349"/>
      <c r="AF16" s="349"/>
    </row>
    <row r="17" spans="2:32" ht="20" customHeight="1">
      <c r="B17" s="341" t="s">
        <v>469</v>
      </c>
      <c r="C17" s="342" t="str">
        <f>Dictionary!B1271</f>
        <v>Governance, Strukturen und Prozesse</v>
      </c>
      <c r="D17" s="343"/>
      <c r="E17" s="353"/>
      <c r="F17" s="315"/>
      <c r="G17" s="436"/>
      <c r="H17" s="360"/>
      <c r="I17" s="359"/>
      <c r="J17" s="360"/>
      <c r="K17" s="359"/>
      <c r="L17" s="315"/>
      <c r="M17" s="359"/>
      <c r="N17" s="360"/>
      <c r="O17" s="359"/>
      <c r="Q17" s="356"/>
      <c r="R17" s="346" t="str">
        <f>IF(AND(E17="",G17=""),"",IF((E17+G17)&gt;0,"Pass","Fail"))</f>
        <v/>
      </c>
      <c r="T17" s="428">
        <f>COUNTIF(T18:T24,"&gt;3")/AE17</f>
        <v>0</v>
      </c>
      <c r="V17" s="2376"/>
      <c r="W17" s="2377"/>
      <c r="X17" s="2377"/>
      <c r="Y17" s="2377"/>
      <c r="Z17" s="2378"/>
      <c r="AA17" s="348"/>
      <c r="AB17" s="348"/>
      <c r="AC17" s="348"/>
      <c r="AD17" s="348"/>
      <c r="AE17" s="362">
        <v>7</v>
      </c>
      <c r="AF17" s="349">
        <f>ROUNDUP(AE17/2,0)</f>
        <v>4</v>
      </c>
    </row>
    <row r="18" spans="2:32" ht="24" hidden="1" customHeight="1">
      <c r="B18" s="350" t="s">
        <v>516</v>
      </c>
      <c r="C18" s="351" t="s">
        <v>468</v>
      </c>
      <c r="D18" s="352"/>
      <c r="E18" s="353"/>
      <c r="F18" s="354"/>
      <c r="G18" s="353"/>
      <c r="H18" s="354"/>
      <c r="I18" s="353"/>
      <c r="J18" s="354"/>
      <c r="K18" s="353"/>
      <c r="L18" s="354"/>
      <c r="M18" s="349" t="str">
        <f t="shared" si="0"/>
        <v/>
      </c>
      <c r="N18" s="354"/>
      <c r="O18" s="355"/>
      <c r="Q18" s="356" t="str">
        <f t="shared" ref="Q18:Q24" si="1">IF(T18&gt;0,T18,"")</f>
        <v/>
      </c>
      <c r="T18" s="349" t="str">
        <f>Scoring!U20</f>
        <v/>
      </c>
      <c r="V18" s="2376"/>
      <c r="W18" s="2377"/>
      <c r="X18" s="2377"/>
      <c r="Y18" s="2377"/>
      <c r="Z18" s="2378"/>
      <c r="AA18" s="348"/>
      <c r="AB18" s="348"/>
      <c r="AC18" s="348"/>
      <c r="AD18" s="348"/>
      <c r="AE18" s="349"/>
      <c r="AF18" s="349"/>
    </row>
    <row r="19" spans="2:32" ht="24" hidden="1" customHeight="1">
      <c r="B19" s="350" t="s">
        <v>517</v>
      </c>
      <c r="C19" s="351" t="s">
        <v>518</v>
      </c>
      <c r="D19" s="352"/>
      <c r="E19" s="353"/>
      <c r="F19" s="354"/>
      <c r="G19" s="353"/>
      <c r="H19" s="354"/>
      <c r="I19" s="353"/>
      <c r="J19" s="354"/>
      <c r="K19" s="353"/>
      <c r="L19" s="354"/>
      <c r="M19" s="349" t="str">
        <f t="shared" si="0"/>
        <v/>
      </c>
      <c r="N19" s="354"/>
      <c r="O19" s="355"/>
      <c r="Q19" s="356" t="str">
        <f t="shared" si="1"/>
        <v/>
      </c>
      <c r="T19" s="349" t="str">
        <f>Scoring!U21</f>
        <v/>
      </c>
      <c r="V19" s="429"/>
      <c r="W19" s="430"/>
      <c r="X19" s="430"/>
      <c r="Y19" s="430"/>
      <c r="Z19" s="431"/>
      <c r="AA19" s="348"/>
      <c r="AB19" s="348"/>
      <c r="AC19" s="348"/>
      <c r="AD19" s="348"/>
      <c r="AE19" s="349"/>
      <c r="AF19" s="349"/>
    </row>
    <row r="20" spans="2:32" ht="24" hidden="1" customHeight="1">
      <c r="B20" s="350" t="s">
        <v>519</v>
      </c>
      <c r="C20" s="351" t="s">
        <v>520</v>
      </c>
      <c r="D20" s="352"/>
      <c r="E20" s="353"/>
      <c r="F20" s="354"/>
      <c r="G20" s="353"/>
      <c r="H20" s="354"/>
      <c r="I20" s="353"/>
      <c r="J20" s="354"/>
      <c r="K20" s="353"/>
      <c r="L20" s="354"/>
      <c r="M20" s="349" t="str">
        <f t="shared" si="0"/>
        <v/>
      </c>
      <c r="N20" s="354"/>
      <c r="O20" s="355"/>
      <c r="Q20" s="356" t="str">
        <f t="shared" si="1"/>
        <v/>
      </c>
      <c r="T20" s="349" t="str">
        <f>Scoring!U22</f>
        <v/>
      </c>
      <c r="V20" s="429"/>
      <c r="W20" s="430"/>
      <c r="X20" s="430"/>
      <c r="Y20" s="430"/>
      <c r="Z20" s="431"/>
      <c r="AA20" s="348"/>
      <c r="AB20" s="348"/>
      <c r="AC20" s="348"/>
      <c r="AD20" s="348"/>
      <c r="AE20" s="349"/>
      <c r="AF20" s="349"/>
    </row>
    <row r="21" spans="2:32" ht="18" hidden="1" customHeight="1">
      <c r="B21" s="350" t="s">
        <v>521</v>
      </c>
      <c r="C21" s="351" t="s">
        <v>467</v>
      </c>
      <c r="D21" s="352"/>
      <c r="E21" s="353"/>
      <c r="F21" s="354"/>
      <c r="G21" s="353"/>
      <c r="H21" s="354"/>
      <c r="I21" s="353"/>
      <c r="J21" s="354"/>
      <c r="K21" s="353"/>
      <c r="L21" s="354"/>
      <c r="M21" s="349" t="str">
        <f t="shared" si="0"/>
        <v/>
      </c>
      <c r="N21" s="354"/>
      <c r="O21" s="355"/>
      <c r="Q21" s="356" t="str">
        <f t="shared" si="1"/>
        <v/>
      </c>
      <c r="T21" s="349" t="str">
        <f>Scoring!U23</f>
        <v/>
      </c>
      <c r="V21" s="2376"/>
      <c r="W21" s="2377"/>
      <c r="X21" s="2377"/>
      <c r="Y21" s="2377"/>
      <c r="Z21" s="2378"/>
      <c r="AA21" s="348"/>
      <c r="AB21" s="348"/>
      <c r="AC21" s="348"/>
      <c r="AD21" s="348"/>
      <c r="AE21" s="349"/>
      <c r="AF21" s="349"/>
    </row>
    <row r="22" spans="2:32" ht="24" hidden="1" customHeight="1">
      <c r="B22" s="350" t="s">
        <v>522</v>
      </c>
      <c r="C22" s="351" t="s">
        <v>466</v>
      </c>
      <c r="D22" s="352"/>
      <c r="E22" s="353"/>
      <c r="F22" s="354"/>
      <c r="G22" s="353"/>
      <c r="H22" s="354"/>
      <c r="I22" s="353"/>
      <c r="J22" s="354"/>
      <c r="K22" s="353"/>
      <c r="L22" s="354"/>
      <c r="M22" s="349" t="str">
        <f t="shared" si="0"/>
        <v/>
      </c>
      <c r="N22" s="354"/>
      <c r="O22" s="355"/>
      <c r="Q22" s="356" t="str">
        <f t="shared" si="1"/>
        <v/>
      </c>
      <c r="T22" s="349" t="str">
        <f>Scoring!U24</f>
        <v/>
      </c>
      <c r="V22" s="2376"/>
      <c r="W22" s="2377"/>
      <c r="X22" s="2377"/>
      <c r="Y22" s="2377"/>
      <c r="Z22" s="2378"/>
      <c r="AA22" s="348"/>
      <c r="AB22" s="348"/>
      <c r="AC22" s="348"/>
      <c r="AD22" s="348"/>
      <c r="AE22" s="349"/>
      <c r="AF22" s="349"/>
    </row>
    <row r="23" spans="2:32" ht="24" hidden="1" customHeight="1">
      <c r="B23" s="350" t="s">
        <v>523</v>
      </c>
      <c r="C23" s="351" t="s">
        <v>465</v>
      </c>
      <c r="D23" s="352"/>
      <c r="E23" s="353"/>
      <c r="F23" s="354"/>
      <c r="G23" s="353"/>
      <c r="H23" s="354"/>
      <c r="I23" s="353"/>
      <c r="J23" s="354"/>
      <c r="K23" s="353"/>
      <c r="L23" s="354"/>
      <c r="M23" s="349" t="str">
        <f t="shared" si="0"/>
        <v/>
      </c>
      <c r="N23" s="354"/>
      <c r="O23" s="355"/>
      <c r="Q23" s="356" t="str">
        <f t="shared" si="1"/>
        <v/>
      </c>
      <c r="T23" s="349" t="str">
        <f>Scoring!U25</f>
        <v/>
      </c>
      <c r="V23" s="2376"/>
      <c r="W23" s="2377"/>
      <c r="X23" s="2377"/>
      <c r="Y23" s="2377"/>
      <c r="Z23" s="2378"/>
      <c r="AA23" s="348"/>
      <c r="AB23" s="348"/>
      <c r="AC23" s="348"/>
      <c r="AD23" s="348"/>
      <c r="AE23" s="349"/>
      <c r="AF23" s="349"/>
    </row>
    <row r="24" spans="2:32" ht="24" hidden="1" customHeight="1">
      <c r="B24" s="350" t="s">
        <v>524</v>
      </c>
      <c r="C24" s="351" t="s">
        <v>464</v>
      </c>
      <c r="D24" s="352"/>
      <c r="E24" s="353"/>
      <c r="F24" s="354"/>
      <c r="G24" s="353"/>
      <c r="H24" s="354"/>
      <c r="I24" s="353"/>
      <c r="J24" s="354"/>
      <c r="K24" s="353"/>
      <c r="L24" s="354"/>
      <c r="M24" s="349" t="str">
        <f t="shared" si="0"/>
        <v/>
      </c>
      <c r="N24" s="354"/>
      <c r="O24" s="355"/>
      <c r="Q24" s="356" t="str">
        <f t="shared" si="1"/>
        <v/>
      </c>
      <c r="T24" s="349" t="str">
        <f>Scoring!U26</f>
        <v/>
      </c>
      <c r="V24" s="2376"/>
      <c r="W24" s="2377"/>
      <c r="X24" s="2377"/>
      <c r="Y24" s="2377"/>
      <c r="Z24" s="2378"/>
      <c r="AA24" s="348"/>
      <c r="AB24" s="348"/>
      <c r="AC24" s="348"/>
      <c r="AD24" s="348"/>
      <c r="AE24" s="349"/>
      <c r="AF24" s="349"/>
    </row>
    <row r="25" spans="2:32" ht="20" customHeight="1">
      <c r="B25" s="341" t="s">
        <v>463</v>
      </c>
      <c r="C25" s="342" t="str">
        <f>Dictionary!B1280</f>
        <v>Compliance, Standards und Regularien</v>
      </c>
      <c r="D25" s="343"/>
      <c r="E25" s="436"/>
      <c r="F25" s="315"/>
      <c r="G25" s="436"/>
      <c r="H25" s="360"/>
      <c r="I25" s="359"/>
      <c r="J25" s="360"/>
      <c r="K25" s="359"/>
      <c r="L25" s="315"/>
      <c r="M25" s="359"/>
      <c r="N25" s="360"/>
      <c r="O25" s="359"/>
      <c r="Q25" s="356"/>
      <c r="R25" s="346" t="str">
        <f>IF(AND(E25="",G25=""),"",IF((E25+G25)&gt;0,"Pass","Fail"))</f>
        <v/>
      </c>
      <c r="T25" s="428">
        <f>COUNTIF(T26:T31,"&gt;3")/AE25</f>
        <v>0</v>
      </c>
      <c r="V25" s="2376"/>
      <c r="W25" s="2377"/>
      <c r="X25" s="2377"/>
      <c r="Y25" s="2377"/>
      <c r="Z25" s="2378"/>
      <c r="AA25" s="348"/>
      <c r="AB25" s="348"/>
      <c r="AC25" s="348"/>
      <c r="AD25" s="348"/>
      <c r="AE25" s="349">
        <v>6</v>
      </c>
      <c r="AF25" s="349">
        <f>ROUNDUP(AE25/2,0)</f>
        <v>3</v>
      </c>
    </row>
    <row r="26" spans="2:32" ht="24" hidden="1" customHeight="1">
      <c r="B26" s="350" t="str">
        <f>".1"</f>
        <v>.1</v>
      </c>
      <c r="C26" s="351" t="s">
        <v>462</v>
      </c>
      <c r="D26" s="352"/>
      <c r="E26" s="353"/>
      <c r="F26" s="354"/>
      <c r="G26" s="353"/>
      <c r="H26" s="354"/>
      <c r="I26" s="353"/>
      <c r="J26" s="354"/>
      <c r="K26" s="353"/>
      <c r="L26" s="354"/>
      <c r="M26" s="349" t="str">
        <f t="shared" si="0"/>
        <v/>
      </c>
      <c r="N26" s="354"/>
      <c r="O26" s="355"/>
      <c r="Q26" s="356" t="str">
        <f t="shared" ref="Q26:Q31" si="2">IF(T26&gt;0,T26,"")</f>
        <v/>
      </c>
      <c r="T26" s="349" t="str">
        <f>Scoring!U28</f>
        <v/>
      </c>
      <c r="V26" s="2376"/>
      <c r="W26" s="2377"/>
      <c r="X26" s="2377"/>
      <c r="Y26" s="2377"/>
      <c r="Z26" s="2378"/>
      <c r="AA26" s="348"/>
      <c r="AB26" s="348"/>
      <c r="AC26" s="348"/>
      <c r="AD26" s="348"/>
      <c r="AE26" s="349"/>
      <c r="AF26" s="349"/>
    </row>
    <row r="27" spans="2:32" ht="36" hidden="1" customHeight="1">
      <c r="B27" s="350" t="str">
        <f>".2"</f>
        <v>.2</v>
      </c>
      <c r="C27" s="351" t="s">
        <v>461</v>
      </c>
      <c r="D27" s="352"/>
      <c r="E27" s="353"/>
      <c r="F27" s="354"/>
      <c r="G27" s="353"/>
      <c r="H27" s="354"/>
      <c r="I27" s="353"/>
      <c r="J27" s="354"/>
      <c r="K27" s="353"/>
      <c r="L27" s="354"/>
      <c r="M27" s="349" t="str">
        <f t="shared" si="0"/>
        <v/>
      </c>
      <c r="N27" s="354"/>
      <c r="O27" s="355"/>
      <c r="Q27" s="356" t="str">
        <f t="shared" si="2"/>
        <v/>
      </c>
      <c r="T27" s="349" t="str">
        <f>Scoring!U29</f>
        <v/>
      </c>
      <c r="V27" s="2376"/>
      <c r="W27" s="2377"/>
      <c r="X27" s="2377"/>
      <c r="Y27" s="2377"/>
      <c r="Z27" s="2378"/>
      <c r="AA27" s="348"/>
      <c r="AB27" s="348"/>
      <c r="AC27" s="348"/>
      <c r="AD27" s="348"/>
      <c r="AE27" s="349"/>
      <c r="AF27" s="349"/>
    </row>
    <row r="28" spans="2:32" ht="24" hidden="1" customHeight="1">
      <c r="B28" s="350" t="str">
        <f>".3"</f>
        <v>.3</v>
      </c>
      <c r="C28" s="351" t="s">
        <v>460</v>
      </c>
      <c r="D28" s="352"/>
      <c r="E28" s="353"/>
      <c r="F28" s="354"/>
      <c r="G28" s="353"/>
      <c r="H28" s="354"/>
      <c r="I28" s="353"/>
      <c r="J28" s="354"/>
      <c r="K28" s="353"/>
      <c r="L28" s="354"/>
      <c r="M28" s="349" t="str">
        <f t="shared" si="0"/>
        <v/>
      </c>
      <c r="N28" s="354"/>
      <c r="O28" s="355"/>
      <c r="Q28" s="356" t="str">
        <f t="shared" si="2"/>
        <v/>
      </c>
      <c r="T28" s="349" t="str">
        <f>Scoring!U30</f>
        <v/>
      </c>
      <c r="V28" s="2376"/>
      <c r="W28" s="2377"/>
      <c r="X28" s="2377"/>
      <c r="Y28" s="2377"/>
      <c r="Z28" s="2378"/>
      <c r="AA28" s="348"/>
      <c r="AB28" s="348"/>
      <c r="AC28" s="348"/>
      <c r="AD28" s="348"/>
      <c r="AE28" s="349"/>
      <c r="AF28" s="349"/>
    </row>
    <row r="29" spans="2:32" ht="24" hidden="1" customHeight="1">
      <c r="B29" s="350" t="str">
        <f>".4"</f>
        <v>.4</v>
      </c>
      <c r="C29" s="351" t="s">
        <v>459</v>
      </c>
      <c r="D29" s="352"/>
      <c r="E29" s="353"/>
      <c r="F29" s="354"/>
      <c r="G29" s="353"/>
      <c r="H29" s="354"/>
      <c r="I29" s="353"/>
      <c r="J29" s="354"/>
      <c r="K29" s="353"/>
      <c r="L29" s="354"/>
      <c r="M29" s="349" t="str">
        <f t="shared" si="0"/>
        <v/>
      </c>
      <c r="N29" s="354"/>
      <c r="O29" s="355"/>
      <c r="Q29" s="356" t="str">
        <f t="shared" si="2"/>
        <v/>
      </c>
      <c r="T29" s="349" t="str">
        <f>Scoring!U31</f>
        <v/>
      </c>
      <c r="V29" s="2376"/>
      <c r="W29" s="2377"/>
      <c r="X29" s="2377"/>
      <c r="Y29" s="2377"/>
      <c r="Z29" s="2378"/>
      <c r="AA29" s="348"/>
      <c r="AB29" s="348"/>
      <c r="AC29" s="348"/>
      <c r="AD29" s="348"/>
      <c r="AE29" s="349"/>
      <c r="AF29" s="349"/>
    </row>
    <row r="30" spans="2:32" ht="24" hidden="1" customHeight="1">
      <c r="B30" s="350" t="str">
        <f>".5"</f>
        <v>.5</v>
      </c>
      <c r="C30" s="351" t="s">
        <v>458</v>
      </c>
      <c r="D30" s="352"/>
      <c r="E30" s="353"/>
      <c r="F30" s="354"/>
      <c r="G30" s="353"/>
      <c r="H30" s="354"/>
      <c r="I30" s="353"/>
      <c r="J30" s="354"/>
      <c r="K30" s="353"/>
      <c r="L30" s="354"/>
      <c r="M30" s="349" t="str">
        <f t="shared" si="0"/>
        <v/>
      </c>
      <c r="N30" s="354"/>
      <c r="O30" s="355"/>
      <c r="Q30" s="356" t="str">
        <f t="shared" si="2"/>
        <v/>
      </c>
      <c r="T30" s="349" t="str">
        <f>Scoring!U32</f>
        <v/>
      </c>
      <c r="V30" s="2376"/>
      <c r="W30" s="2377"/>
      <c r="X30" s="2377"/>
      <c r="Y30" s="2377"/>
      <c r="Z30" s="2378"/>
      <c r="AA30" s="348"/>
      <c r="AB30" s="348"/>
      <c r="AC30" s="348"/>
      <c r="AD30" s="348"/>
      <c r="AE30" s="349"/>
      <c r="AF30" s="349"/>
    </row>
    <row r="31" spans="2:32" ht="24" hidden="1" customHeight="1">
      <c r="B31" s="350" t="str">
        <f>".6"</f>
        <v>.6</v>
      </c>
      <c r="C31" s="351" t="s">
        <v>457</v>
      </c>
      <c r="D31" s="352"/>
      <c r="E31" s="353"/>
      <c r="F31" s="354"/>
      <c r="G31" s="353"/>
      <c r="H31" s="354"/>
      <c r="I31" s="353"/>
      <c r="J31" s="354"/>
      <c r="K31" s="353"/>
      <c r="L31" s="354"/>
      <c r="M31" s="349" t="str">
        <f t="shared" si="0"/>
        <v/>
      </c>
      <c r="N31" s="354"/>
      <c r="O31" s="355"/>
      <c r="Q31" s="356" t="str">
        <f t="shared" si="2"/>
        <v/>
      </c>
      <c r="T31" s="349" t="str">
        <f>Scoring!U33</f>
        <v/>
      </c>
      <c r="V31" s="2376"/>
      <c r="W31" s="2377"/>
      <c r="X31" s="2377"/>
      <c r="Y31" s="2377"/>
      <c r="Z31" s="2378"/>
      <c r="AA31" s="348"/>
      <c r="AB31" s="348"/>
      <c r="AC31" s="348"/>
      <c r="AD31" s="348"/>
      <c r="AE31" s="349"/>
      <c r="AF31" s="349"/>
    </row>
    <row r="32" spans="2:32" ht="20" customHeight="1">
      <c r="B32" s="341" t="s">
        <v>456</v>
      </c>
      <c r="C32" s="342" t="str">
        <f>Dictionary!B1289</f>
        <v>Macht und Interessen</v>
      </c>
      <c r="D32" s="343"/>
      <c r="E32" s="353"/>
      <c r="F32" s="315"/>
      <c r="G32" s="436"/>
      <c r="H32" s="360"/>
      <c r="I32" s="359"/>
      <c r="J32" s="360"/>
      <c r="K32" s="359"/>
      <c r="L32" s="315"/>
      <c r="M32" s="359"/>
      <c r="N32" s="360"/>
      <c r="O32" s="359"/>
      <c r="Q32" s="356"/>
      <c r="R32" s="346" t="str">
        <f>IF(AND(E32="",G32=""),"",IF((E32+G32)&gt;0,"Pass","Fail"))</f>
        <v/>
      </c>
      <c r="T32" s="428">
        <f>COUNTIF(T33:T35,"&gt;3")/AE32</f>
        <v>0</v>
      </c>
      <c r="V32" s="2376"/>
      <c r="W32" s="2377"/>
      <c r="X32" s="2377"/>
      <c r="Y32" s="2377"/>
      <c r="Z32" s="2378"/>
      <c r="AA32" s="348"/>
      <c r="AB32" s="348"/>
      <c r="AC32" s="348"/>
      <c r="AD32" s="348"/>
      <c r="AE32" s="349">
        <v>3</v>
      </c>
      <c r="AF32" s="349">
        <f>ROUNDUP(AE32/2,0)</f>
        <v>2</v>
      </c>
    </row>
    <row r="33" spans="2:32" ht="24" hidden="1" customHeight="1">
      <c r="B33" s="350" t="str">
        <f>".1"</f>
        <v>.1</v>
      </c>
      <c r="C33" s="351" t="s">
        <v>455</v>
      </c>
      <c r="D33" s="352"/>
      <c r="E33" s="353"/>
      <c r="F33" s="354"/>
      <c r="G33" s="353"/>
      <c r="H33" s="354"/>
      <c r="I33" s="353"/>
      <c r="J33" s="354"/>
      <c r="K33" s="353"/>
      <c r="L33" s="354"/>
      <c r="M33" s="349" t="str">
        <f t="shared" si="0"/>
        <v/>
      </c>
      <c r="N33" s="354"/>
      <c r="O33" s="355"/>
      <c r="Q33" s="356" t="str">
        <f>IF(T33&gt;0,T33,"")</f>
        <v/>
      </c>
      <c r="T33" s="349" t="str">
        <f>Scoring!U35</f>
        <v/>
      </c>
      <c r="V33" s="2376"/>
      <c r="W33" s="2377"/>
      <c r="X33" s="2377"/>
      <c r="Y33" s="2377"/>
      <c r="Z33" s="2378"/>
      <c r="AA33" s="348"/>
      <c r="AB33" s="348"/>
      <c r="AC33" s="348"/>
      <c r="AD33" s="348"/>
      <c r="AE33" s="349"/>
      <c r="AF33" s="349"/>
    </row>
    <row r="34" spans="2:32" ht="24" hidden="1" customHeight="1">
      <c r="B34" s="350" t="str">
        <f>".2"</f>
        <v>.2</v>
      </c>
      <c r="C34" s="351" t="s">
        <v>454</v>
      </c>
      <c r="D34" s="352"/>
      <c r="E34" s="353"/>
      <c r="F34" s="354"/>
      <c r="G34" s="353"/>
      <c r="H34" s="354"/>
      <c r="I34" s="353"/>
      <c r="J34" s="354"/>
      <c r="K34" s="353"/>
      <c r="L34" s="354"/>
      <c r="M34" s="349" t="str">
        <f t="shared" si="0"/>
        <v/>
      </c>
      <c r="N34" s="354"/>
      <c r="O34" s="355"/>
      <c r="Q34" s="356" t="str">
        <f>IF(T34&gt;0,T34,"")</f>
        <v/>
      </c>
      <c r="T34" s="349" t="str">
        <f>Scoring!U36</f>
        <v/>
      </c>
      <c r="V34" s="2376"/>
      <c r="W34" s="2377"/>
      <c r="X34" s="2377"/>
      <c r="Y34" s="2377"/>
      <c r="Z34" s="2378"/>
      <c r="AA34" s="348"/>
      <c r="AB34" s="348"/>
      <c r="AC34" s="348"/>
      <c r="AD34" s="348"/>
      <c r="AE34" s="349"/>
      <c r="AF34" s="349"/>
    </row>
    <row r="35" spans="2:32" ht="24" hidden="1" customHeight="1">
      <c r="B35" s="350" t="str">
        <f>".3"</f>
        <v>.3</v>
      </c>
      <c r="C35" s="351" t="s">
        <v>453</v>
      </c>
      <c r="D35" s="352"/>
      <c r="E35" s="353"/>
      <c r="F35" s="354"/>
      <c r="G35" s="353"/>
      <c r="H35" s="354"/>
      <c r="I35" s="353"/>
      <c r="J35" s="354"/>
      <c r="K35" s="353"/>
      <c r="L35" s="354"/>
      <c r="M35" s="349" t="str">
        <f t="shared" si="0"/>
        <v/>
      </c>
      <c r="N35" s="354"/>
      <c r="O35" s="355"/>
      <c r="Q35" s="356" t="str">
        <f>IF(T35&gt;0,T35,"")</f>
        <v/>
      </c>
      <c r="T35" s="349" t="str">
        <f>Scoring!U37</f>
        <v/>
      </c>
      <c r="V35" s="2376"/>
      <c r="W35" s="2377"/>
      <c r="X35" s="2377"/>
      <c r="Y35" s="2377"/>
      <c r="Z35" s="2378"/>
      <c r="AA35" s="348"/>
      <c r="AB35" s="348"/>
      <c r="AC35" s="348"/>
      <c r="AD35" s="348"/>
      <c r="AE35" s="349"/>
      <c r="AF35" s="349"/>
    </row>
    <row r="36" spans="2:32" ht="20" customHeight="1">
      <c r="B36" s="341" t="s">
        <v>452</v>
      </c>
      <c r="C36" s="342" t="str">
        <f>Dictionary!B1295</f>
        <v>Kultur und Werte</v>
      </c>
      <c r="D36" s="343"/>
      <c r="E36" s="436"/>
      <c r="F36" s="315"/>
      <c r="G36" s="436"/>
      <c r="H36" s="360"/>
      <c r="I36" s="359"/>
      <c r="J36" s="360"/>
      <c r="K36" s="359"/>
      <c r="L36" s="315"/>
      <c r="M36" s="359"/>
      <c r="N36" s="360"/>
      <c r="O36" s="359"/>
      <c r="Q36" s="356"/>
      <c r="R36" s="346" t="str">
        <f>IF(AND(E36="",G36=""),"",IF((E36+G36)&gt;0,"Pass","Fail"))</f>
        <v/>
      </c>
      <c r="T36" s="428">
        <f>COUNTIF(T37:T39,"&gt;3")/AE36</f>
        <v>0</v>
      </c>
      <c r="V36" s="2376"/>
      <c r="W36" s="2377"/>
      <c r="X36" s="2377"/>
      <c r="Y36" s="2377"/>
      <c r="Z36" s="2378"/>
      <c r="AA36" s="348"/>
      <c r="AB36" s="348"/>
      <c r="AC36" s="348"/>
      <c r="AD36" s="348"/>
      <c r="AE36" s="349">
        <v>3</v>
      </c>
      <c r="AF36" s="349">
        <f>ROUNDUP(AE36/2,0)</f>
        <v>2</v>
      </c>
    </row>
    <row r="37" spans="2:32" ht="24" hidden="1" customHeight="1">
      <c r="B37" s="350" t="str">
        <f>".1"</f>
        <v>.1</v>
      </c>
      <c r="C37" s="351" t="s">
        <v>451</v>
      </c>
      <c r="D37" s="352"/>
      <c r="E37" s="404" t="str">
        <f>IF('(8) Exam Evaluation'!Y39="","",'(8) Exam Evaluation'!Y39)</f>
        <v/>
      </c>
      <c r="F37" s="354"/>
      <c r="G37" s="353"/>
      <c r="H37" s="354"/>
      <c r="I37" s="353"/>
      <c r="J37" s="354"/>
      <c r="K37" s="353"/>
      <c r="L37" s="354"/>
      <c r="M37" s="349" t="str">
        <f t="shared" si="0"/>
        <v/>
      </c>
      <c r="N37" s="354"/>
      <c r="O37" s="355"/>
      <c r="Q37" s="356" t="str">
        <f>IF(T37&gt;0,T37,"")</f>
        <v/>
      </c>
      <c r="T37" s="349" t="str">
        <f>Scoring!U39</f>
        <v/>
      </c>
      <c r="V37" s="2376"/>
      <c r="W37" s="2377"/>
      <c r="X37" s="2377"/>
      <c r="Y37" s="2377"/>
      <c r="Z37" s="2378"/>
      <c r="AA37" s="348"/>
      <c r="AB37" s="348"/>
      <c r="AC37" s="348"/>
      <c r="AD37" s="348"/>
      <c r="AE37" s="349"/>
      <c r="AF37" s="349"/>
    </row>
    <row r="38" spans="2:32" ht="24" hidden="1" customHeight="1">
      <c r="B38" s="350" t="str">
        <f>".2"</f>
        <v>.2</v>
      </c>
      <c r="C38" s="351" t="s">
        <v>450</v>
      </c>
      <c r="D38" s="352"/>
      <c r="E38" s="404" t="str">
        <f>IF('(8) Exam Evaluation'!Y40="","",'(8) Exam Evaluation'!Y40)</f>
        <v/>
      </c>
      <c r="F38" s="354"/>
      <c r="G38" s="353"/>
      <c r="H38" s="354"/>
      <c r="I38" s="353"/>
      <c r="J38" s="354"/>
      <c r="K38" s="353"/>
      <c r="L38" s="354"/>
      <c r="M38" s="349" t="str">
        <f t="shared" si="0"/>
        <v/>
      </c>
      <c r="N38" s="354"/>
      <c r="O38" s="355"/>
      <c r="Q38" s="356" t="str">
        <f>IF(T38&gt;0,T38,"")</f>
        <v/>
      </c>
      <c r="T38" s="349" t="str">
        <f>Scoring!U40</f>
        <v/>
      </c>
      <c r="V38" s="2376"/>
      <c r="W38" s="2377"/>
      <c r="X38" s="2377"/>
      <c r="Y38" s="2377"/>
      <c r="Z38" s="2378"/>
      <c r="AA38" s="348"/>
      <c r="AB38" s="348"/>
      <c r="AC38" s="348"/>
      <c r="AD38" s="348"/>
      <c r="AE38" s="349"/>
      <c r="AF38" s="349"/>
    </row>
    <row r="39" spans="2:32" ht="24" hidden="1" customHeight="1">
      <c r="B39" s="350" t="str">
        <f>".3"</f>
        <v>.3</v>
      </c>
      <c r="C39" s="351" t="s">
        <v>449</v>
      </c>
      <c r="D39" s="352"/>
      <c r="E39" s="404" t="str">
        <f>IF('(8) Exam Evaluation'!Y41="","",'(8) Exam Evaluation'!Y41)</f>
        <v/>
      </c>
      <c r="F39" s="354"/>
      <c r="G39" s="353"/>
      <c r="H39" s="354"/>
      <c r="I39" s="353"/>
      <c r="J39" s="354"/>
      <c r="K39" s="353"/>
      <c r="L39" s="354"/>
      <c r="M39" s="349" t="str">
        <f t="shared" si="0"/>
        <v/>
      </c>
      <c r="N39" s="354"/>
      <c r="O39" s="355"/>
      <c r="Q39" s="356" t="str">
        <f>IF(T39&gt;0,T39,"")</f>
        <v/>
      </c>
      <c r="T39" s="349" t="str">
        <f>Scoring!U41</f>
        <v/>
      </c>
      <c r="V39" s="2376"/>
      <c r="W39" s="2377"/>
      <c r="X39" s="2377"/>
      <c r="Y39" s="2377"/>
      <c r="Z39" s="2378"/>
      <c r="AA39" s="348"/>
      <c r="AB39" s="348"/>
      <c r="AC39" s="348"/>
      <c r="AD39" s="348"/>
      <c r="AE39" s="349"/>
      <c r="AF39" s="349"/>
    </row>
    <row r="40" spans="2:32" ht="30" customHeight="1">
      <c r="C40" s="363"/>
      <c r="D40" s="315"/>
      <c r="E40" s="406"/>
      <c r="F40" s="315"/>
      <c r="G40" s="315"/>
      <c r="H40" s="315"/>
      <c r="I40" s="315"/>
      <c r="J40" s="315"/>
      <c r="K40" s="315"/>
      <c r="L40" s="315"/>
      <c r="M40" s="315"/>
      <c r="N40" s="315"/>
      <c r="O40" s="315"/>
      <c r="Q40" s="356"/>
      <c r="R40" s="365"/>
      <c r="W40" s="313"/>
      <c r="X40" s="313"/>
      <c r="Y40" s="313"/>
      <c r="Z40" s="313"/>
      <c r="AA40" s="313"/>
      <c r="AB40" s="313"/>
      <c r="AC40" s="313"/>
      <c r="AD40" s="313"/>
      <c r="AE40" s="315"/>
      <c r="AF40" s="315"/>
    </row>
    <row r="41" spans="2:32" ht="30" customHeight="1">
      <c r="C41" s="366" t="str">
        <f>Dictionary!B1301</f>
        <v>People Kompetenz Elemente</v>
      </c>
      <c r="D41" s="315"/>
      <c r="E41" s="406"/>
      <c r="F41" s="315"/>
      <c r="G41" s="315"/>
      <c r="H41" s="315"/>
      <c r="I41" s="315"/>
      <c r="J41" s="315"/>
      <c r="K41" s="315"/>
      <c r="L41" s="315"/>
      <c r="M41" s="315"/>
      <c r="N41" s="315"/>
      <c r="O41" s="315"/>
      <c r="Q41" s="356"/>
      <c r="R41" s="367"/>
      <c r="W41" s="313"/>
      <c r="X41" s="313"/>
      <c r="Y41" s="313"/>
      <c r="Z41" s="313"/>
      <c r="AA41" s="313"/>
      <c r="AB41" s="313"/>
      <c r="AC41" s="313"/>
      <c r="AD41" s="313"/>
      <c r="AE41" s="334"/>
      <c r="AF41" s="334"/>
    </row>
    <row r="42" spans="2:32" ht="20" customHeight="1">
      <c r="B42" s="341" t="s">
        <v>448</v>
      </c>
      <c r="C42" s="342" t="str">
        <f>Dictionary!B1302</f>
        <v>Selbstreflexion und Selbstmanagement</v>
      </c>
      <c r="D42" s="343"/>
      <c r="E42" s="436"/>
      <c r="F42" s="315"/>
      <c r="G42" s="353"/>
      <c r="H42" s="360"/>
      <c r="I42" s="359"/>
      <c r="J42" s="360"/>
      <c r="K42" s="359"/>
      <c r="L42" s="315"/>
      <c r="M42" s="359"/>
      <c r="N42" s="360"/>
      <c r="O42" s="359"/>
      <c r="Q42" s="356"/>
      <c r="R42" s="346" t="str">
        <f>IF(AND(E42="",G42=""),"",IF((E42+G42)&gt;0,"Pass","Fail"))</f>
        <v/>
      </c>
      <c r="T42" s="428">
        <f>COUNTIF(T43:T47,"&gt;3")/AE42</f>
        <v>0</v>
      </c>
      <c r="V42" s="2376"/>
      <c r="W42" s="2377"/>
      <c r="X42" s="2377"/>
      <c r="Y42" s="2377"/>
      <c r="Z42" s="2378"/>
      <c r="AA42" s="348"/>
      <c r="AB42" s="348"/>
      <c r="AC42" s="348"/>
      <c r="AD42" s="348"/>
      <c r="AE42" s="349">
        <v>5</v>
      </c>
      <c r="AF42" s="349">
        <f>ROUNDUP(AE42/2,0)</f>
        <v>3</v>
      </c>
    </row>
    <row r="43" spans="2:32" ht="24" hidden="1" customHeight="1">
      <c r="B43" s="350" t="str">
        <f>".1"</f>
        <v>.1</v>
      </c>
      <c r="C43" s="351" t="s">
        <v>447</v>
      </c>
      <c r="D43" s="352"/>
      <c r="E43" s="353"/>
      <c r="F43" s="354"/>
      <c r="G43" s="353"/>
      <c r="H43" s="354"/>
      <c r="I43" s="353"/>
      <c r="J43" s="354"/>
      <c r="K43" s="353"/>
      <c r="L43" s="354"/>
      <c r="M43" s="349" t="str">
        <f t="shared" ref="M43:M77" si="3">IF(MAX(E43,G43,I43,K43)=0,"",MAX(E43,G43,I43,K43))</f>
        <v/>
      </c>
      <c r="N43" s="354"/>
      <c r="O43" s="355"/>
      <c r="Q43" s="356" t="str">
        <f>IF(T43&gt;0,T43,"")</f>
        <v/>
      </c>
      <c r="T43" s="349" t="str">
        <f>Scoring!U45</f>
        <v/>
      </c>
      <c r="V43" s="2376"/>
      <c r="W43" s="2377"/>
      <c r="X43" s="2377"/>
      <c r="Y43" s="2377"/>
      <c r="Z43" s="2378"/>
      <c r="AA43" s="348"/>
      <c r="AB43" s="348"/>
      <c r="AC43" s="348"/>
      <c r="AD43" s="348"/>
      <c r="AE43" s="349"/>
      <c r="AF43" s="349"/>
    </row>
    <row r="44" spans="2:32" ht="24" hidden="1" customHeight="1">
      <c r="B44" s="350" t="str">
        <f>".2"</f>
        <v>.2</v>
      </c>
      <c r="C44" s="351" t="s">
        <v>446</v>
      </c>
      <c r="D44" s="352"/>
      <c r="E44" s="353"/>
      <c r="F44" s="354"/>
      <c r="G44" s="353"/>
      <c r="H44" s="354"/>
      <c r="I44" s="353"/>
      <c r="J44" s="354"/>
      <c r="K44" s="353"/>
      <c r="L44" s="354"/>
      <c r="M44" s="349" t="str">
        <f t="shared" si="3"/>
        <v/>
      </c>
      <c r="N44" s="354"/>
      <c r="O44" s="355"/>
      <c r="Q44" s="356" t="str">
        <f>IF(T44&gt;0,T44,"")</f>
        <v/>
      </c>
      <c r="T44" s="349" t="str">
        <f>Scoring!U46</f>
        <v/>
      </c>
      <c r="V44" s="2376"/>
      <c r="W44" s="2377"/>
      <c r="X44" s="2377"/>
      <c r="Y44" s="2377"/>
      <c r="Z44" s="2378"/>
      <c r="AA44" s="348"/>
      <c r="AB44" s="348"/>
      <c r="AC44" s="348"/>
      <c r="AD44" s="348"/>
      <c r="AE44" s="349"/>
      <c r="AF44" s="349"/>
    </row>
    <row r="45" spans="2:32" ht="24" hidden="1" customHeight="1">
      <c r="B45" s="350" t="str">
        <f>".3"</f>
        <v>.3</v>
      </c>
      <c r="C45" s="351" t="s">
        <v>445</v>
      </c>
      <c r="D45" s="352"/>
      <c r="E45" s="353"/>
      <c r="F45" s="354"/>
      <c r="G45" s="353"/>
      <c r="H45" s="354"/>
      <c r="I45" s="353"/>
      <c r="J45" s="354"/>
      <c r="K45" s="353"/>
      <c r="L45" s="354"/>
      <c r="M45" s="349" t="str">
        <f t="shared" si="3"/>
        <v/>
      </c>
      <c r="N45" s="354"/>
      <c r="O45" s="355"/>
      <c r="Q45" s="356" t="str">
        <f>IF(T45&gt;0,T45,"")</f>
        <v/>
      </c>
      <c r="T45" s="349" t="str">
        <f>Scoring!U47</f>
        <v/>
      </c>
      <c r="V45" s="2376"/>
      <c r="W45" s="2377"/>
      <c r="X45" s="2377"/>
      <c r="Y45" s="2377"/>
      <c r="Z45" s="2378"/>
      <c r="AA45" s="348"/>
      <c r="AB45" s="348"/>
      <c r="AC45" s="348"/>
      <c r="AD45" s="348"/>
      <c r="AE45" s="349"/>
      <c r="AF45" s="349"/>
    </row>
    <row r="46" spans="2:32" ht="24" hidden="1" customHeight="1">
      <c r="B46" s="350" t="str">
        <f>".4"</f>
        <v>.4</v>
      </c>
      <c r="C46" s="351" t="s">
        <v>444</v>
      </c>
      <c r="D46" s="352"/>
      <c r="E46" s="353"/>
      <c r="F46" s="354"/>
      <c r="G46" s="353"/>
      <c r="H46" s="354"/>
      <c r="I46" s="353"/>
      <c r="J46" s="354"/>
      <c r="K46" s="353"/>
      <c r="L46" s="354"/>
      <c r="M46" s="349" t="str">
        <f t="shared" si="3"/>
        <v/>
      </c>
      <c r="N46" s="354"/>
      <c r="O46" s="355"/>
      <c r="Q46" s="356" t="str">
        <f>IF(T46&gt;0,T46,"")</f>
        <v/>
      </c>
      <c r="T46" s="349" t="str">
        <f>Scoring!U48</f>
        <v/>
      </c>
      <c r="V46" s="2376"/>
      <c r="W46" s="2377"/>
      <c r="X46" s="2377"/>
      <c r="Y46" s="2377"/>
      <c r="Z46" s="2378"/>
      <c r="AA46" s="348"/>
      <c r="AB46" s="348"/>
      <c r="AC46" s="348"/>
      <c r="AD46" s="348"/>
      <c r="AE46" s="349"/>
      <c r="AF46" s="349"/>
    </row>
    <row r="47" spans="2:32" ht="18" hidden="1" customHeight="1">
      <c r="B47" s="350" t="str">
        <f>".5"</f>
        <v>.5</v>
      </c>
      <c r="C47" s="351" t="s">
        <v>443</v>
      </c>
      <c r="D47" s="352"/>
      <c r="E47" s="353"/>
      <c r="F47" s="354"/>
      <c r="G47" s="353"/>
      <c r="H47" s="354"/>
      <c r="I47" s="353"/>
      <c r="J47" s="354"/>
      <c r="K47" s="353"/>
      <c r="L47" s="354"/>
      <c r="M47" s="349" t="str">
        <f t="shared" si="3"/>
        <v/>
      </c>
      <c r="N47" s="354"/>
      <c r="O47" s="355"/>
      <c r="Q47" s="356" t="str">
        <f>IF(T47&gt;0,T47,"")</f>
        <v/>
      </c>
      <c r="T47" s="349" t="str">
        <f>Scoring!U49</f>
        <v/>
      </c>
      <c r="V47" s="2376"/>
      <c r="W47" s="2377"/>
      <c r="X47" s="2377"/>
      <c r="Y47" s="2377"/>
      <c r="Z47" s="2378"/>
      <c r="AA47" s="348"/>
      <c r="AB47" s="348"/>
      <c r="AC47" s="348"/>
      <c r="AD47" s="348"/>
      <c r="AE47" s="349"/>
      <c r="AF47" s="349"/>
    </row>
    <row r="48" spans="2:32" ht="20" customHeight="1">
      <c r="B48" s="341" t="s">
        <v>442</v>
      </c>
      <c r="C48" s="342" t="str">
        <f>Dictionary!B1310</f>
        <v>Persönliche Integrität und Verlässlichkeit</v>
      </c>
      <c r="D48" s="368" t="str">
        <f>IF(COUNTBLANK(D49:D53)=$AE48,"",IF((COUNTIF(D49:D53,"&gt;=4")/$AE48*100)&gt;=50,"Pass","Fail"))</f>
        <v/>
      </c>
      <c r="E48" s="436"/>
      <c r="F48" s="315"/>
      <c r="G48" s="436"/>
      <c r="H48" s="360"/>
      <c r="I48" s="359"/>
      <c r="J48" s="360"/>
      <c r="K48" s="359"/>
      <c r="L48" s="315"/>
      <c r="M48" s="359"/>
      <c r="N48" s="360"/>
      <c r="O48" s="359"/>
      <c r="Q48" s="356"/>
      <c r="R48" s="346" t="str">
        <f>IF(AND(E48="",G48=""),"",IF((E48+G48)&gt;0,"Pass","Fail"))</f>
        <v/>
      </c>
      <c r="T48" s="428">
        <f>COUNTIF(T49:T53,"&gt;3")/AE48</f>
        <v>0</v>
      </c>
      <c r="V48" s="2376"/>
      <c r="W48" s="2377"/>
      <c r="X48" s="2377"/>
      <c r="Y48" s="2377"/>
      <c r="Z48" s="2378"/>
      <c r="AA48" s="348"/>
      <c r="AB48" s="348"/>
      <c r="AC48" s="348"/>
      <c r="AD48" s="348"/>
      <c r="AE48" s="349">
        <v>5</v>
      </c>
      <c r="AF48" s="349">
        <f>ROUNDUP(AE48/2,0)</f>
        <v>3</v>
      </c>
    </row>
    <row r="49" spans="2:32" ht="24" hidden="1" customHeight="1">
      <c r="B49" s="350" t="str">
        <f>".1"</f>
        <v>.1</v>
      </c>
      <c r="C49" s="351" t="s">
        <v>441</v>
      </c>
      <c r="D49" s="352"/>
      <c r="E49" s="436"/>
      <c r="F49" s="354"/>
      <c r="G49" s="353"/>
      <c r="H49" s="354"/>
      <c r="I49" s="353"/>
      <c r="J49" s="354"/>
      <c r="K49" s="353"/>
      <c r="L49" s="354"/>
      <c r="M49" s="349" t="str">
        <f t="shared" si="3"/>
        <v/>
      </c>
      <c r="N49" s="354"/>
      <c r="O49" s="355"/>
      <c r="Q49" s="356" t="str">
        <f>IF(T49&gt;0,T49,"")</f>
        <v/>
      </c>
      <c r="T49" s="349" t="str">
        <f>Scoring!U51</f>
        <v/>
      </c>
      <c r="V49" s="2376"/>
      <c r="W49" s="2377"/>
      <c r="X49" s="2377"/>
      <c r="Y49" s="2377"/>
      <c r="Z49" s="2378"/>
      <c r="AA49" s="348"/>
      <c r="AB49" s="348"/>
      <c r="AC49" s="348"/>
      <c r="AD49" s="348"/>
      <c r="AE49" s="349"/>
      <c r="AF49" s="349"/>
    </row>
    <row r="50" spans="2:32" ht="18" hidden="1" customHeight="1">
      <c r="B50" s="350" t="str">
        <f>".2"</f>
        <v>.2</v>
      </c>
      <c r="C50" s="351" t="s">
        <v>440</v>
      </c>
      <c r="D50" s="352"/>
      <c r="E50" s="436"/>
      <c r="F50" s="354"/>
      <c r="G50" s="353"/>
      <c r="H50" s="354"/>
      <c r="I50" s="353"/>
      <c r="J50" s="354"/>
      <c r="K50" s="353"/>
      <c r="L50" s="354"/>
      <c r="M50" s="349" t="str">
        <f t="shared" si="3"/>
        <v/>
      </c>
      <c r="N50" s="354"/>
      <c r="O50" s="355"/>
      <c r="Q50" s="356" t="str">
        <f>IF(T50&gt;0,T50,"")</f>
        <v/>
      </c>
      <c r="T50" s="349" t="str">
        <f>Scoring!U52</f>
        <v/>
      </c>
      <c r="V50" s="2376"/>
      <c r="W50" s="2377"/>
      <c r="X50" s="2377"/>
      <c r="Y50" s="2377"/>
      <c r="Z50" s="2378"/>
      <c r="AA50" s="348"/>
      <c r="AB50" s="348"/>
      <c r="AC50" s="348"/>
      <c r="AD50" s="348"/>
      <c r="AE50" s="349"/>
      <c r="AF50" s="349"/>
    </row>
    <row r="51" spans="2:32" ht="18" hidden="1" customHeight="1">
      <c r="B51" s="350" t="str">
        <f>".3"</f>
        <v>.3</v>
      </c>
      <c r="C51" s="351" t="s">
        <v>439</v>
      </c>
      <c r="D51" s="352"/>
      <c r="E51" s="436"/>
      <c r="F51" s="354"/>
      <c r="G51" s="353"/>
      <c r="H51" s="354"/>
      <c r="I51" s="353"/>
      <c r="J51" s="354"/>
      <c r="K51" s="353"/>
      <c r="L51" s="354"/>
      <c r="M51" s="349" t="str">
        <f t="shared" si="3"/>
        <v/>
      </c>
      <c r="N51" s="354"/>
      <c r="O51" s="355"/>
      <c r="Q51" s="356" t="str">
        <f>IF(T51&gt;0,T51,"")</f>
        <v/>
      </c>
      <c r="T51" s="349" t="str">
        <f>Scoring!U53</f>
        <v/>
      </c>
      <c r="V51" s="2376"/>
      <c r="W51" s="2377"/>
      <c r="X51" s="2377"/>
      <c r="Y51" s="2377"/>
      <c r="Z51" s="2378"/>
      <c r="AA51" s="348"/>
      <c r="AB51" s="348"/>
      <c r="AC51" s="348"/>
      <c r="AD51" s="348"/>
      <c r="AE51" s="349"/>
      <c r="AF51" s="349"/>
    </row>
    <row r="52" spans="2:32" ht="18" hidden="1" customHeight="1">
      <c r="B52" s="350" t="str">
        <f>".4"</f>
        <v>.4</v>
      </c>
      <c r="C52" s="351" t="s">
        <v>438</v>
      </c>
      <c r="D52" s="352"/>
      <c r="E52" s="436"/>
      <c r="F52" s="354"/>
      <c r="G52" s="353"/>
      <c r="H52" s="354"/>
      <c r="I52" s="353"/>
      <c r="J52" s="354"/>
      <c r="K52" s="353"/>
      <c r="L52" s="354"/>
      <c r="M52" s="349" t="str">
        <f t="shared" si="3"/>
        <v/>
      </c>
      <c r="N52" s="354"/>
      <c r="O52" s="355"/>
      <c r="Q52" s="356" t="str">
        <f>IF(T52&gt;0,T52,"")</f>
        <v/>
      </c>
      <c r="T52" s="349" t="str">
        <f>Scoring!U54</f>
        <v/>
      </c>
      <c r="V52" s="2376"/>
      <c r="W52" s="2377"/>
      <c r="X52" s="2377"/>
      <c r="Y52" s="2377"/>
      <c r="Z52" s="2378"/>
      <c r="AA52" s="348"/>
      <c r="AB52" s="348"/>
      <c r="AC52" s="348"/>
      <c r="AD52" s="348"/>
      <c r="AE52" s="349"/>
      <c r="AF52" s="349"/>
    </row>
    <row r="53" spans="2:32" ht="24" hidden="1" customHeight="1">
      <c r="B53" s="350" t="str">
        <f>".5"</f>
        <v>.5</v>
      </c>
      <c r="C53" s="351" t="s">
        <v>437</v>
      </c>
      <c r="D53" s="352"/>
      <c r="E53" s="436"/>
      <c r="F53" s="354"/>
      <c r="G53" s="353"/>
      <c r="H53" s="354"/>
      <c r="I53" s="353"/>
      <c r="J53" s="354"/>
      <c r="K53" s="353"/>
      <c r="L53" s="354"/>
      <c r="M53" s="349" t="str">
        <f t="shared" si="3"/>
        <v/>
      </c>
      <c r="N53" s="354"/>
      <c r="O53" s="355"/>
      <c r="Q53" s="356" t="str">
        <f>IF(T53&gt;0,T53,"")</f>
        <v/>
      </c>
      <c r="T53" s="349" t="str">
        <f>Scoring!U55</f>
        <v/>
      </c>
      <c r="V53" s="2376"/>
      <c r="W53" s="2377"/>
      <c r="X53" s="2377"/>
      <c r="Y53" s="2377"/>
      <c r="Z53" s="2378"/>
      <c r="AA53" s="348"/>
      <c r="AB53" s="348"/>
      <c r="AC53" s="348"/>
      <c r="AD53" s="348"/>
      <c r="AE53" s="349"/>
      <c r="AF53" s="349"/>
    </row>
    <row r="54" spans="2:32" ht="20" customHeight="1">
      <c r="B54" s="341" t="s">
        <v>436</v>
      </c>
      <c r="C54" s="342" t="str">
        <f>Dictionary!B1318</f>
        <v>Persönliche Kommunikation</v>
      </c>
      <c r="D54" s="343"/>
      <c r="E54" s="353"/>
      <c r="F54" s="315"/>
      <c r="G54" s="353"/>
      <c r="H54" s="360"/>
      <c r="I54" s="359"/>
      <c r="J54" s="360"/>
      <c r="K54" s="359"/>
      <c r="L54" s="315"/>
      <c r="M54" s="359"/>
      <c r="N54" s="360"/>
      <c r="O54" s="359"/>
      <c r="Q54" s="356"/>
      <c r="R54" s="346" t="str">
        <f>IF(AND(E54="",G54=""),"",IF((E54+G54)&gt;0,"Pass","Fail"))</f>
        <v/>
      </c>
      <c r="T54" s="428">
        <f>COUNTIF(T55:T59,"&gt;3")/AE54</f>
        <v>0</v>
      </c>
      <c r="V54" s="2376"/>
      <c r="W54" s="2377"/>
      <c r="X54" s="2377"/>
      <c r="Y54" s="2377"/>
      <c r="Z54" s="2378"/>
      <c r="AA54" s="348"/>
      <c r="AB54" s="348"/>
      <c r="AC54" s="348"/>
      <c r="AD54" s="369"/>
      <c r="AE54" s="349">
        <v>5</v>
      </c>
      <c r="AF54" s="349">
        <f>ROUNDUP(AE54/2,0)</f>
        <v>3</v>
      </c>
    </row>
    <row r="55" spans="2:32" ht="24" hidden="1" customHeight="1">
      <c r="B55" s="350" t="str">
        <f>".1"</f>
        <v>.1</v>
      </c>
      <c r="C55" s="351" t="s">
        <v>435</v>
      </c>
      <c r="D55" s="352"/>
      <c r="E55" s="436"/>
      <c r="F55" s="354"/>
      <c r="G55" s="353"/>
      <c r="H55" s="354"/>
      <c r="I55" s="353"/>
      <c r="J55" s="354"/>
      <c r="K55" s="353"/>
      <c r="L55" s="354"/>
      <c r="M55" s="349" t="str">
        <f t="shared" si="3"/>
        <v/>
      </c>
      <c r="N55" s="354"/>
      <c r="O55" s="355"/>
      <c r="Q55" s="356" t="str">
        <f>IF(T55&gt;0,T55,"")</f>
        <v/>
      </c>
      <c r="T55" s="349" t="str">
        <f>Scoring!U57</f>
        <v/>
      </c>
      <c r="V55" s="2376"/>
      <c r="W55" s="2377"/>
      <c r="X55" s="2377"/>
      <c r="Y55" s="2377"/>
      <c r="Z55" s="2378"/>
      <c r="AA55" s="348"/>
      <c r="AB55" s="348"/>
      <c r="AC55" s="348"/>
      <c r="AD55" s="348"/>
      <c r="AE55" s="349"/>
      <c r="AF55" s="349"/>
    </row>
    <row r="56" spans="2:32" ht="18" hidden="1" customHeight="1">
      <c r="B56" s="350" t="str">
        <f>".2"</f>
        <v>.2</v>
      </c>
      <c r="C56" s="351" t="s">
        <v>434</v>
      </c>
      <c r="D56" s="352"/>
      <c r="E56" s="436"/>
      <c r="F56" s="354"/>
      <c r="G56" s="353"/>
      <c r="H56" s="354"/>
      <c r="I56" s="353"/>
      <c r="J56" s="354"/>
      <c r="K56" s="353"/>
      <c r="L56" s="354"/>
      <c r="M56" s="349" t="str">
        <f t="shared" si="3"/>
        <v/>
      </c>
      <c r="N56" s="354"/>
      <c r="O56" s="355"/>
      <c r="Q56" s="356" t="str">
        <f>IF(T56&gt;0,T56,"")</f>
        <v/>
      </c>
      <c r="T56" s="349" t="str">
        <f>Scoring!U58</f>
        <v/>
      </c>
      <c r="V56" s="2376"/>
      <c r="W56" s="2377"/>
      <c r="X56" s="2377"/>
      <c r="Y56" s="2377"/>
      <c r="Z56" s="2378"/>
      <c r="AA56" s="348"/>
      <c r="AB56" s="348"/>
      <c r="AC56" s="348"/>
      <c r="AD56" s="348"/>
      <c r="AE56" s="349"/>
      <c r="AF56" s="349"/>
    </row>
    <row r="57" spans="2:32" ht="24" hidden="1" customHeight="1">
      <c r="B57" s="350" t="str">
        <f>".3"</f>
        <v>.3</v>
      </c>
      <c r="C57" s="351" t="s">
        <v>433</v>
      </c>
      <c r="D57" s="352"/>
      <c r="E57" s="436"/>
      <c r="F57" s="354"/>
      <c r="G57" s="353"/>
      <c r="H57" s="354"/>
      <c r="I57" s="353"/>
      <c r="J57" s="354"/>
      <c r="K57" s="353"/>
      <c r="L57" s="354"/>
      <c r="M57" s="349" t="str">
        <f t="shared" si="3"/>
        <v/>
      </c>
      <c r="N57" s="354"/>
      <c r="O57" s="355"/>
      <c r="Q57" s="356" t="str">
        <f>IF(T57&gt;0,T57,"")</f>
        <v/>
      </c>
      <c r="T57" s="349" t="str">
        <f>Scoring!U59</f>
        <v/>
      </c>
      <c r="V57" s="2376"/>
      <c r="W57" s="2377"/>
      <c r="X57" s="2377"/>
      <c r="Y57" s="2377"/>
      <c r="Z57" s="2378"/>
      <c r="AA57" s="348"/>
      <c r="AB57" s="348"/>
      <c r="AC57" s="348"/>
      <c r="AD57" s="348"/>
      <c r="AE57" s="349"/>
      <c r="AF57" s="349"/>
    </row>
    <row r="58" spans="2:32" ht="18" hidden="1" customHeight="1">
      <c r="B58" s="350" t="str">
        <f>".4"</f>
        <v>.4</v>
      </c>
      <c r="C58" s="351" t="s">
        <v>432</v>
      </c>
      <c r="D58" s="352"/>
      <c r="E58" s="436"/>
      <c r="F58" s="354"/>
      <c r="G58" s="353"/>
      <c r="H58" s="354"/>
      <c r="I58" s="353"/>
      <c r="J58" s="354"/>
      <c r="K58" s="353"/>
      <c r="L58" s="354"/>
      <c r="M58" s="349" t="str">
        <f t="shared" si="3"/>
        <v/>
      </c>
      <c r="N58" s="354"/>
      <c r="O58" s="355"/>
      <c r="Q58" s="356" t="str">
        <f>IF(T58&gt;0,T58,"")</f>
        <v/>
      </c>
      <c r="T58" s="349" t="str">
        <f>Scoring!U60</f>
        <v/>
      </c>
      <c r="V58" s="2376"/>
      <c r="W58" s="2377"/>
      <c r="X58" s="2377"/>
      <c r="Y58" s="2377"/>
      <c r="Z58" s="2378"/>
      <c r="AA58" s="348"/>
      <c r="AB58" s="348"/>
      <c r="AC58" s="348"/>
      <c r="AD58" s="348"/>
      <c r="AE58" s="349"/>
      <c r="AF58" s="349"/>
    </row>
    <row r="59" spans="2:32" ht="18" hidden="1" customHeight="1">
      <c r="B59" s="350" t="str">
        <f>".5"</f>
        <v>.5</v>
      </c>
      <c r="C59" s="351" t="s">
        <v>431</v>
      </c>
      <c r="D59" s="352"/>
      <c r="E59" s="436"/>
      <c r="F59" s="354"/>
      <c r="G59" s="353"/>
      <c r="H59" s="354"/>
      <c r="I59" s="353"/>
      <c r="J59" s="354"/>
      <c r="K59" s="353"/>
      <c r="L59" s="354"/>
      <c r="M59" s="349" t="str">
        <f t="shared" si="3"/>
        <v/>
      </c>
      <c r="N59" s="354"/>
      <c r="O59" s="355"/>
      <c r="Q59" s="356" t="str">
        <f>IF(T59&gt;0,T59,"")</f>
        <v/>
      </c>
      <c r="T59" s="349" t="str">
        <f>Scoring!U61</f>
        <v/>
      </c>
      <c r="V59" s="2376"/>
      <c r="W59" s="2377"/>
      <c r="X59" s="2377"/>
      <c r="Y59" s="2377"/>
      <c r="Z59" s="2378"/>
      <c r="AA59" s="348"/>
      <c r="AB59" s="348"/>
      <c r="AC59" s="348"/>
      <c r="AD59" s="348"/>
      <c r="AE59" s="349"/>
      <c r="AF59" s="349"/>
    </row>
    <row r="60" spans="2:32" ht="20" customHeight="1">
      <c r="B60" s="341" t="s">
        <v>430</v>
      </c>
      <c r="C60" s="342" t="str">
        <f>Dictionary!B1326</f>
        <v>Beziehungen und Engagement</v>
      </c>
      <c r="D60" s="343"/>
      <c r="E60" s="436"/>
      <c r="F60" s="315"/>
      <c r="G60" s="436"/>
      <c r="H60" s="360"/>
      <c r="I60" s="359"/>
      <c r="J60" s="360"/>
      <c r="K60" s="359"/>
      <c r="L60" s="315"/>
      <c r="M60" s="359"/>
      <c r="N60" s="360"/>
      <c r="O60" s="359"/>
      <c r="Q60" s="356"/>
      <c r="R60" s="346" t="str">
        <f>IF(AND(E60="",G60=""),"",IF((E60+G60)&gt;0,"Pass","Fail"))</f>
        <v/>
      </c>
      <c r="T60" s="428">
        <f>COUNTIF(T61:T65,"&gt;3")/AE60</f>
        <v>0</v>
      </c>
      <c r="V60" s="2376"/>
      <c r="W60" s="2377"/>
      <c r="X60" s="2377"/>
      <c r="Y60" s="2377"/>
      <c r="Z60" s="2378"/>
      <c r="AA60" s="348"/>
      <c r="AB60" s="348"/>
      <c r="AC60" s="348"/>
      <c r="AD60" s="369"/>
      <c r="AE60" s="349">
        <v>5</v>
      </c>
      <c r="AF60" s="349">
        <f>ROUNDUP(AE60/2,0)</f>
        <v>3</v>
      </c>
    </row>
    <row r="61" spans="2:32" ht="18" hidden="1" customHeight="1">
      <c r="B61" s="350" t="str">
        <f>".1"</f>
        <v>.1</v>
      </c>
      <c r="C61" s="351" t="s">
        <v>429</v>
      </c>
      <c r="D61" s="352"/>
      <c r="E61" s="436"/>
      <c r="F61" s="354"/>
      <c r="G61" s="353"/>
      <c r="H61" s="354"/>
      <c r="I61" s="353"/>
      <c r="J61" s="354"/>
      <c r="K61" s="353"/>
      <c r="L61" s="354"/>
      <c r="M61" s="349" t="str">
        <f t="shared" si="3"/>
        <v/>
      </c>
      <c r="N61" s="354"/>
      <c r="O61" s="355"/>
      <c r="Q61" s="356" t="str">
        <f>IF(T61&gt;0,T61,"")</f>
        <v/>
      </c>
      <c r="T61" s="349" t="str">
        <f>Scoring!U63</f>
        <v/>
      </c>
      <c r="V61" s="2376"/>
      <c r="W61" s="2377"/>
      <c r="X61" s="2377"/>
      <c r="Y61" s="2377"/>
      <c r="Z61" s="2378"/>
      <c r="AA61" s="348"/>
      <c r="AB61" s="348"/>
      <c r="AC61" s="348"/>
      <c r="AD61" s="348"/>
      <c r="AE61" s="349"/>
      <c r="AF61" s="349"/>
    </row>
    <row r="62" spans="2:32" ht="18" hidden="1" customHeight="1">
      <c r="B62" s="350" t="str">
        <f>".2"</f>
        <v>.2</v>
      </c>
      <c r="C62" s="351" t="s">
        <v>428</v>
      </c>
      <c r="D62" s="352"/>
      <c r="E62" s="436"/>
      <c r="F62" s="354"/>
      <c r="G62" s="353"/>
      <c r="H62" s="354"/>
      <c r="I62" s="353"/>
      <c r="J62" s="354"/>
      <c r="K62" s="353"/>
      <c r="L62" s="354"/>
      <c r="M62" s="349" t="str">
        <f t="shared" si="3"/>
        <v/>
      </c>
      <c r="N62" s="354"/>
      <c r="O62" s="355"/>
      <c r="Q62" s="356" t="str">
        <f>IF(T62&gt;0,T62,"")</f>
        <v/>
      </c>
      <c r="T62" s="349" t="str">
        <f>Scoring!U64</f>
        <v/>
      </c>
      <c r="V62" s="2376"/>
      <c r="W62" s="2377"/>
      <c r="X62" s="2377"/>
      <c r="Y62" s="2377"/>
      <c r="Z62" s="2378"/>
      <c r="AA62" s="348"/>
      <c r="AB62" s="348"/>
      <c r="AC62" s="348"/>
      <c r="AD62" s="348"/>
      <c r="AE62" s="349"/>
      <c r="AF62" s="349"/>
    </row>
    <row r="63" spans="2:32" ht="24" hidden="1" customHeight="1">
      <c r="B63" s="350" t="str">
        <f>".3"</f>
        <v>.3</v>
      </c>
      <c r="C63" s="351" t="s">
        <v>427</v>
      </c>
      <c r="D63" s="352"/>
      <c r="E63" s="436"/>
      <c r="F63" s="354"/>
      <c r="G63" s="353"/>
      <c r="H63" s="354"/>
      <c r="I63" s="353"/>
      <c r="J63" s="354"/>
      <c r="K63" s="353"/>
      <c r="L63" s="354"/>
      <c r="M63" s="349" t="str">
        <f t="shared" si="3"/>
        <v/>
      </c>
      <c r="N63" s="354"/>
      <c r="O63" s="355"/>
      <c r="Q63" s="356" t="str">
        <f>IF(T63&gt;0,T63,"")</f>
        <v/>
      </c>
      <c r="T63" s="349" t="str">
        <f>Scoring!U65</f>
        <v/>
      </c>
      <c r="V63" s="2376"/>
      <c r="W63" s="2377"/>
      <c r="X63" s="2377"/>
      <c r="Y63" s="2377"/>
      <c r="Z63" s="2378"/>
      <c r="AA63" s="348"/>
      <c r="AB63" s="348"/>
      <c r="AC63" s="348"/>
      <c r="AD63" s="348"/>
      <c r="AE63" s="349"/>
      <c r="AF63" s="349"/>
    </row>
    <row r="64" spans="2:32" ht="24" hidden="1" customHeight="1">
      <c r="B64" s="350" t="str">
        <f>".4"</f>
        <v>.4</v>
      </c>
      <c r="C64" s="351" t="s">
        <v>426</v>
      </c>
      <c r="D64" s="352"/>
      <c r="E64" s="436"/>
      <c r="F64" s="354"/>
      <c r="G64" s="353"/>
      <c r="H64" s="354"/>
      <c r="I64" s="353"/>
      <c r="J64" s="354"/>
      <c r="K64" s="353"/>
      <c r="L64" s="354"/>
      <c r="M64" s="349" t="str">
        <f t="shared" si="3"/>
        <v/>
      </c>
      <c r="N64" s="354"/>
      <c r="O64" s="355"/>
      <c r="Q64" s="356" t="str">
        <f>IF(T64&gt;0,T64,"")</f>
        <v/>
      </c>
      <c r="T64" s="349" t="str">
        <f>Scoring!U66</f>
        <v/>
      </c>
      <c r="V64" s="2376"/>
      <c r="W64" s="2377"/>
      <c r="X64" s="2377"/>
      <c r="Y64" s="2377"/>
      <c r="Z64" s="2378"/>
      <c r="AA64" s="348"/>
      <c r="AB64" s="348"/>
      <c r="AC64" s="348"/>
      <c r="AD64" s="348"/>
      <c r="AE64" s="349"/>
      <c r="AF64" s="349"/>
    </row>
    <row r="65" spans="2:32" ht="24" hidden="1" customHeight="1">
      <c r="B65" s="350" t="str">
        <f>".5"</f>
        <v>.5</v>
      </c>
      <c r="C65" s="351" t="s">
        <v>425</v>
      </c>
      <c r="D65" s="352"/>
      <c r="E65" s="436"/>
      <c r="F65" s="354"/>
      <c r="G65" s="353"/>
      <c r="H65" s="354"/>
      <c r="I65" s="353"/>
      <c r="J65" s="354"/>
      <c r="K65" s="353"/>
      <c r="L65" s="354"/>
      <c r="M65" s="349" t="str">
        <f t="shared" si="3"/>
        <v/>
      </c>
      <c r="N65" s="354"/>
      <c r="O65" s="355"/>
      <c r="Q65" s="356" t="str">
        <f>IF(T65&gt;0,T65,"")</f>
        <v/>
      </c>
      <c r="T65" s="349" t="str">
        <f>Scoring!U67</f>
        <v/>
      </c>
      <c r="V65" s="2376"/>
      <c r="W65" s="2377"/>
      <c r="X65" s="2377"/>
      <c r="Y65" s="2377"/>
      <c r="Z65" s="2378"/>
      <c r="AA65" s="348"/>
      <c r="AB65" s="348"/>
      <c r="AC65" s="348"/>
      <c r="AD65" s="348"/>
      <c r="AE65" s="349"/>
      <c r="AF65" s="349"/>
    </row>
    <row r="66" spans="2:32" ht="20" customHeight="1">
      <c r="B66" s="341" t="s">
        <v>424</v>
      </c>
      <c r="C66" s="342" t="str">
        <f>Dictionary!B1334</f>
        <v>Führung</v>
      </c>
      <c r="D66" s="343"/>
      <c r="E66" s="436"/>
      <c r="F66" s="315"/>
      <c r="G66" s="436"/>
      <c r="H66" s="360"/>
      <c r="I66" s="359"/>
      <c r="J66" s="360"/>
      <c r="K66" s="359"/>
      <c r="L66" s="315"/>
      <c r="M66" s="359"/>
      <c r="N66" s="360"/>
      <c r="O66" s="359"/>
      <c r="Q66" s="356"/>
      <c r="R66" s="346" t="str">
        <f>IF(AND(E66="",G66=""),"",IF((E66+G66)&gt;0,"Pass","Fail"))</f>
        <v/>
      </c>
      <c r="T66" s="428">
        <f>COUNTIF(T67:T71,"&gt;3")/AE66</f>
        <v>0</v>
      </c>
      <c r="V66" s="2376"/>
      <c r="W66" s="2377"/>
      <c r="X66" s="2377"/>
      <c r="Y66" s="2377"/>
      <c r="Z66" s="2378"/>
      <c r="AA66" s="348"/>
      <c r="AB66" s="348"/>
      <c r="AC66" s="348"/>
      <c r="AD66" s="348"/>
      <c r="AE66" s="349">
        <v>5</v>
      </c>
      <c r="AF66" s="349">
        <f>ROUNDUP(AE66/2,0)</f>
        <v>3</v>
      </c>
    </row>
    <row r="67" spans="2:32" ht="18" hidden="1" customHeight="1">
      <c r="B67" s="350" t="str">
        <f>".1"</f>
        <v>.1</v>
      </c>
      <c r="C67" s="351" t="s">
        <v>423</v>
      </c>
      <c r="D67" s="352"/>
      <c r="E67" s="436"/>
      <c r="F67" s="354"/>
      <c r="G67" s="353"/>
      <c r="H67" s="354"/>
      <c r="I67" s="353"/>
      <c r="J67" s="354"/>
      <c r="K67" s="353"/>
      <c r="L67" s="354"/>
      <c r="M67" s="349" t="str">
        <f t="shared" si="3"/>
        <v/>
      </c>
      <c r="N67" s="354"/>
      <c r="O67" s="355"/>
      <c r="Q67" s="356" t="str">
        <f>IF(T67&gt;0,T67,"")</f>
        <v/>
      </c>
      <c r="T67" s="349" t="str">
        <f>Scoring!U69</f>
        <v/>
      </c>
      <c r="V67" s="2376"/>
      <c r="W67" s="2377"/>
      <c r="X67" s="2377"/>
      <c r="Y67" s="2377"/>
      <c r="Z67" s="2378"/>
      <c r="AA67" s="348"/>
      <c r="AB67" s="348"/>
      <c r="AC67" s="348"/>
      <c r="AD67" s="348"/>
      <c r="AE67" s="349"/>
      <c r="AF67" s="349"/>
    </row>
    <row r="68" spans="2:32" ht="18" hidden="1" customHeight="1">
      <c r="B68" s="350" t="str">
        <f>".2"</f>
        <v>.2</v>
      </c>
      <c r="C68" s="351" t="s">
        <v>422</v>
      </c>
      <c r="D68" s="352"/>
      <c r="E68" s="436"/>
      <c r="F68" s="354"/>
      <c r="G68" s="353"/>
      <c r="H68" s="354"/>
      <c r="I68" s="353"/>
      <c r="J68" s="354"/>
      <c r="K68" s="353"/>
      <c r="L68" s="354"/>
      <c r="M68" s="349" t="str">
        <f t="shared" si="3"/>
        <v/>
      </c>
      <c r="N68" s="354"/>
      <c r="O68" s="355"/>
      <c r="Q68" s="356" t="str">
        <f>IF(T68&gt;0,T68,"")</f>
        <v/>
      </c>
      <c r="T68" s="349" t="str">
        <f>Scoring!U70</f>
        <v/>
      </c>
      <c r="V68" s="2376"/>
      <c r="W68" s="2377"/>
      <c r="X68" s="2377"/>
      <c r="Y68" s="2377"/>
      <c r="Z68" s="2378"/>
      <c r="AA68" s="348"/>
      <c r="AB68" s="348"/>
      <c r="AC68" s="348"/>
      <c r="AD68" s="348"/>
      <c r="AE68" s="349"/>
      <c r="AF68" s="349"/>
    </row>
    <row r="69" spans="2:32" ht="24" hidden="1" customHeight="1">
      <c r="B69" s="350" t="str">
        <f>".3"</f>
        <v>.3</v>
      </c>
      <c r="C69" s="351" t="s">
        <v>421</v>
      </c>
      <c r="D69" s="352"/>
      <c r="E69" s="436"/>
      <c r="F69" s="354"/>
      <c r="G69" s="353"/>
      <c r="H69" s="354"/>
      <c r="I69" s="353"/>
      <c r="J69" s="354"/>
      <c r="K69" s="353"/>
      <c r="L69" s="354"/>
      <c r="M69" s="349" t="str">
        <f t="shared" si="3"/>
        <v/>
      </c>
      <c r="N69" s="354"/>
      <c r="O69" s="355"/>
      <c r="Q69" s="356" t="str">
        <f>IF(T69&gt;0,T69,"")</f>
        <v/>
      </c>
      <c r="T69" s="349" t="str">
        <f>Scoring!U71</f>
        <v/>
      </c>
      <c r="V69" s="2376"/>
      <c r="W69" s="2377"/>
      <c r="X69" s="2377"/>
      <c r="Y69" s="2377"/>
      <c r="Z69" s="2378"/>
      <c r="AA69" s="348"/>
      <c r="AB69" s="348"/>
      <c r="AC69" s="348"/>
      <c r="AD69" s="348"/>
      <c r="AE69" s="349"/>
      <c r="AF69" s="349"/>
    </row>
    <row r="70" spans="2:32" ht="24" hidden="1" customHeight="1">
      <c r="B70" s="350" t="str">
        <f>".4"</f>
        <v>.4</v>
      </c>
      <c r="C70" s="351" t="s">
        <v>420</v>
      </c>
      <c r="D70" s="352"/>
      <c r="E70" s="436"/>
      <c r="F70" s="354"/>
      <c r="G70" s="353"/>
      <c r="H70" s="354"/>
      <c r="I70" s="353"/>
      <c r="J70" s="354"/>
      <c r="K70" s="353"/>
      <c r="L70" s="354"/>
      <c r="M70" s="349" t="str">
        <f t="shared" si="3"/>
        <v/>
      </c>
      <c r="N70" s="354"/>
      <c r="O70" s="355"/>
      <c r="Q70" s="356" t="str">
        <f>IF(T70&gt;0,T70,"")</f>
        <v/>
      </c>
      <c r="T70" s="349" t="str">
        <f>Scoring!U72</f>
        <v/>
      </c>
      <c r="V70" s="2376"/>
      <c r="W70" s="2377"/>
      <c r="X70" s="2377"/>
      <c r="Y70" s="2377"/>
      <c r="Z70" s="2378"/>
      <c r="AA70" s="348"/>
      <c r="AB70" s="348"/>
      <c r="AC70" s="348"/>
      <c r="AD70" s="348"/>
      <c r="AE70" s="349"/>
      <c r="AF70" s="349"/>
    </row>
    <row r="71" spans="2:32" ht="18" hidden="1" customHeight="1">
      <c r="B71" s="350" t="str">
        <f>".5"</f>
        <v>.5</v>
      </c>
      <c r="C71" s="351" t="s">
        <v>419</v>
      </c>
      <c r="D71" s="352"/>
      <c r="E71" s="436"/>
      <c r="F71" s="354"/>
      <c r="G71" s="353"/>
      <c r="H71" s="354"/>
      <c r="I71" s="353"/>
      <c r="J71" s="354"/>
      <c r="K71" s="353"/>
      <c r="L71" s="354"/>
      <c r="M71" s="349" t="str">
        <f t="shared" si="3"/>
        <v/>
      </c>
      <c r="N71" s="354"/>
      <c r="O71" s="355"/>
      <c r="Q71" s="356" t="str">
        <f>IF(T71&gt;0,T71,"")</f>
        <v/>
      </c>
      <c r="T71" s="349" t="str">
        <f>Scoring!U73</f>
        <v/>
      </c>
      <c r="V71" s="2376"/>
      <c r="W71" s="2377"/>
      <c r="X71" s="2377"/>
      <c r="Y71" s="2377"/>
      <c r="Z71" s="2378"/>
      <c r="AA71" s="348"/>
      <c r="AB71" s="348"/>
      <c r="AC71" s="348"/>
      <c r="AD71" s="348"/>
      <c r="AE71" s="349"/>
      <c r="AF71" s="349"/>
    </row>
    <row r="72" spans="2:32" ht="20" customHeight="1">
      <c r="B72" s="341" t="s">
        <v>418</v>
      </c>
      <c r="C72" s="342" t="str">
        <f>Dictionary!B1342</f>
        <v>Teamarbeit</v>
      </c>
      <c r="D72" s="343"/>
      <c r="E72" s="436"/>
      <c r="F72" s="315"/>
      <c r="G72" s="436"/>
      <c r="H72" s="360"/>
      <c r="I72" s="359"/>
      <c r="J72" s="360"/>
      <c r="K72" s="359"/>
      <c r="L72" s="315"/>
      <c r="M72" s="359"/>
      <c r="N72" s="360"/>
      <c r="O72" s="359"/>
      <c r="Q72" s="356"/>
      <c r="R72" s="346" t="str">
        <f>IF(AND(E72="",G72=""),"",IF((E72+G72)&gt;0,"Pass","Fail"))</f>
        <v/>
      </c>
      <c r="T72" s="428">
        <f>COUNTIF(T73:T77,"&gt;3")/AE72</f>
        <v>0</v>
      </c>
      <c r="V72" s="2376"/>
      <c r="W72" s="2377"/>
      <c r="X72" s="2377"/>
      <c r="Y72" s="2377"/>
      <c r="Z72" s="2378"/>
      <c r="AA72" s="348"/>
      <c r="AB72" s="348"/>
      <c r="AC72" s="348"/>
      <c r="AD72" s="348"/>
      <c r="AE72" s="349">
        <v>5</v>
      </c>
      <c r="AF72" s="349">
        <f>ROUNDUP(AE72/2,0)</f>
        <v>3</v>
      </c>
    </row>
    <row r="73" spans="2:32" ht="18" hidden="1" customHeight="1">
      <c r="B73" s="350" t="str">
        <f>".1"</f>
        <v>.1</v>
      </c>
      <c r="C73" s="351" t="s">
        <v>417</v>
      </c>
      <c r="D73" s="352"/>
      <c r="E73" s="436"/>
      <c r="F73" s="354"/>
      <c r="G73" s="353"/>
      <c r="H73" s="354"/>
      <c r="I73" s="353"/>
      <c r="J73" s="354"/>
      <c r="K73" s="353"/>
      <c r="L73" s="354"/>
      <c r="M73" s="349" t="str">
        <f t="shared" si="3"/>
        <v/>
      </c>
      <c r="N73" s="354"/>
      <c r="O73" s="355"/>
      <c r="Q73" s="356" t="str">
        <f>IF(T73&gt;0,T73,"")</f>
        <v/>
      </c>
      <c r="T73" s="349" t="str">
        <f>Scoring!U75</f>
        <v/>
      </c>
      <c r="V73" s="2376"/>
      <c r="W73" s="2377"/>
      <c r="X73" s="2377"/>
      <c r="Y73" s="2377"/>
      <c r="Z73" s="2378"/>
      <c r="AA73" s="348"/>
      <c r="AB73" s="348"/>
      <c r="AC73" s="348"/>
      <c r="AD73" s="348"/>
      <c r="AE73" s="349"/>
      <c r="AF73" s="349"/>
    </row>
    <row r="74" spans="2:32" ht="24" hidden="1" customHeight="1">
      <c r="B74" s="350" t="str">
        <f>".2"</f>
        <v>.2</v>
      </c>
      <c r="C74" s="351" t="s">
        <v>416</v>
      </c>
      <c r="D74" s="352"/>
      <c r="E74" s="436"/>
      <c r="F74" s="354"/>
      <c r="G74" s="353"/>
      <c r="H74" s="354"/>
      <c r="I74" s="353"/>
      <c r="J74" s="354"/>
      <c r="K74" s="353"/>
      <c r="L74" s="354"/>
      <c r="M74" s="349" t="str">
        <f t="shared" si="3"/>
        <v/>
      </c>
      <c r="N74" s="354"/>
      <c r="O74" s="355"/>
      <c r="Q74" s="356" t="str">
        <f>IF(T74&gt;0,T74,"")</f>
        <v/>
      </c>
      <c r="T74" s="349" t="str">
        <f>Scoring!U76</f>
        <v/>
      </c>
      <c r="V74" s="2376"/>
      <c r="W74" s="2377"/>
      <c r="X74" s="2377"/>
      <c r="Y74" s="2377"/>
      <c r="Z74" s="2378"/>
      <c r="AA74" s="348"/>
      <c r="AB74" s="348"/>
      <c r="AC74" s="348"/>
      <c r="AD74" s="348"/>
      <c r="AE74" s="349"/>
      <c r="AF74" s="349"/>
    </row>
    <row r="75" spans="2:32" ht="24" hidden="1" customHeight="1">
      <c r="B75" s="350" t="str">
        <f>".3"</f>
        <v>.3</v>
      </c>
      <c r="C75" s="351" t="s">
        <v>415</v>
      </c>
      <c r="D75" s="352"/>
      <c r="E75" s="436"/>
      <c r="F75" s="354"/>
      <c r="G75" s="353"/>
      <c r="H75" s="354"/>
      <c r="I75" s="353"/>
      <c r="J75" s="354"/>
      <c r="K75" s="353"/>
      <c r="L75" s="354"/>
      <c r="M75" s="349" t="str">
        <f t="shared" si="3"/>
        <v/>
      </c>
      <c r="N75" s="354"/>
      <c r="O75" s="355"/>
      <c r="Q75" s="356" t="str">
        <f>IF(T75&gt;0,T75,"")</f>
        <v/>
      </c>
      <c r="T75" s="349" t="str">
        <f>Scoring!U77</f>
        <v/>
      </c>
      <c r="V75" s="2376"/>
      <c r="W75" s="2377"/>
      <c r="X75" s="2377"/>
      <c r="Y75" s="2377"/>
      <c r="Z75" s="2378"/>
      <c r="AA75" s="348"/>
      <c r="AB75" s="348"/>
      <c r="AC75" s="348"/>
      <c r="AD75" s="348"/>
      <c r="AE75" s="349"/>
      <c r="AF75" s="349"/>
    </row>
    <row r="76" spans="2:32" ht="18" hidden="1" customHeight="1">
      <c r="B76" s="350" t="str">
        <f>".4"</f>
        <v>.4</v>
      </c>
      <c r="C76" s="351" t="s">
        <v>414</v>
      </c>
      <c r="D76" s="352"/>
      <c r="E76" s="436"/>
      <c r="F76" s="354"/>
      <c r="G76" s="353"/>
      <c r="H76" s="354"/>
      <c r="I76" s="353"/>
      <c r="J76" s="354"/>
      <c r="K76" s="353"/>
      <c r="L76" s="354"/>
      <c r="M76" s="349" t="str">
        <f t="shared" si="3"/>
        <v/>
      </c>
      <c r="N76" s="354"/>
      <c r="O76" s="355"/>
      <c r="Q76" s="356" t="str">
        <f>IF(T76&gt;0,T76,"")</f>
        <v/>
      </c>
      <c r="T76" s="349" t="str">
        <f>Scoring!U78</f>
        <v/>
      </c>
      <c r="V76" s="2376"/>
      <c r="W76" s="2377"/>
      <c r="X76" s="2377"/>
      <c r="Y76" s="2377"/>
      <c r="Z76" s="2378"/>
      <c r="AA76" s="348"/>
      <c r="AB76" s="348"/>
      <c r="AC76" s="348"/>
      <c r="AD76" s="348"/>
      <c r="AE76" s="349"/>
      <c r="AF76" s="349"/>
    </row>
    <row r="77" spans="2:32" ht="18" hidden="1" customHeight="1">
      <c r="B77" s="350" t="str">
        <f>".5"</f>
        <v>.5</v>
      </c>
      <c r="C77" s="351" t="s">
        <v>413</v>
      </c>
      <c r="D77" s="352"/>
      <c r="E77" s="436"/>
      <c r="F77" s="354"/>
      <c r="G77" s="353"/>
      <c r="H77" s="354"/>
      <c r="I77" s="353"/>
      <c r="J77" s="354"/>
      <c r="K77" s="353"/>
      <c r="L77" s="354"/>
      <c r="M77" s="349" t="str">
        <f t="shared" si="3"/>
        <v/>
      </c>
      <c r="N77" s="354"/>
      <c r="O77" s="355"/>
      <c r="Q77" s="356" t="str">
        <f>IF(T77&gt;0,T77,"")</f>
        <v/>
      </c>
      <c r="T77" s="349" t="str">
        <f>Scoring!U79</f>
        <v/>
      </c>
      <c r="V77" s="2376"/>
      <c r="W77" s="2377"/>
      <c r="X77" s="2377"/>
      <c r="Y77" s="2377"/>
      <c r="Z77" s="2378"/>
      <c r="AA77" s="348"/>
      <c r="AB77" s="348"/>
      <c r="AC77" s="348"/>
      <c r="AD77" s="348"/>
      <c r="AE77" s="349"/>
      <c r="AF77" s="349"/>
    </row>
    <row r="78" spans="2:32" ht="20" customHeight="1">
      <c r="B78" s="341" t="s">
        <v>412</v>
      </c>
      <c r="C78" s="342" t="str">
        <f>Dictionary!B1350</f>
        <v>Konflikte und Krisen</v>
      </c>
      <c r="D78" s="343"/>
      <c r="E78" s="436"/>
      <c r="F78" s="315"/>
      <c r="G78" s="436"/>
      <c r="H78" s="360"/>
      <c r="I78" s="359"/>
      <c r="J78" s="360"/>
      <c r="K78" s="359"/>
      <c r="L78" s="315"/>
      <c r="M78" s="359"/>
      <c r="N78" s="360"/>
      <c r="O78" s="359"/>
      <c r="Q78" s="356"/>
      <c r="R78" s="346" t="str">
        <f>IF(AND(E78="",G78=""),"",IF((E78+G78)&gt;0,"Pass","Fail"))</f>
        <v/>
      </c>
      <c r="T78" s="428">
        <f>COUNTIF(T79:T82,"&gt;3")/AE78</f>
        <v>0</v>
      </c>
      <c r="V78" s="2376"/>
      <c r="W78" s="2377"/>
      <c r="X78" s="2377"/>
      <c r="Y78" s="2377"/>
      <c r="Z78" s="2378"/>
      <c r="AA78" s="348"/>
      <c r="AB78" s="348"/>
      <c r="AC78" s="348"/>
      <c r="AD78" s="348"/>
      <c r="AE78" s="349">
        <v>4</v>
      </c>
      <c r="AF78" s="349">
        <f>ROUNDUP(AE78/2,0)</f>
        <v>2</v>
      </c>
    </row>
    <row r="79" spans="2:32" ht="18" hidden="1" customHeight="1">
      <c r="B79" s="350" t="str">
        <f>".1"</f>
        <v>.1</v>
      </c>
      <c r="C79" s="351" t="s">
        <v>411</v>
      </c>
      <c r="D79" s="352"/>
      <c r="E79" s="436"/>
      <c r="F79" s="354"/>
      <c r="G79" s="353"/>
      <c r="H79" s="354"/>
      <c r="I79" s="353"/>
      <c r="J79" s="354"/>
      <c r="K79" s="353"/>
      <c r="L79" s="354"/>
      <c r="M79" s="349" t="str">
        <f>IF(MAX(E79,G79,I79,K79)=0,"",MAX(E79,G79,I79,K79))</f>
        <v/>
      </c>
      <c r="N79" s="354"/>
      <c r="O79" s="355"/>
      <c r="Q79" s="356" t="str">
        <f>IF(T79&gt;0,T79,"")</f>
        <v/>
      </c>
      <c r="T79" s="349" t="str">
        <f>Scoring!U81</f>
        <v/>
      </c>
      <c r="V79" s="2376"/>
      <c r="W79" s="2377"/>
      <c r="X79" s="2377"/>
      <c r="Y79" s="2377"/>
      <c r="Z79" s="2378"/>
      <c r="AA79" s="348"/>
      <c r="AB79" s="348"/>
      <c r="AC79" s="348"/>
      <c r="AD79" s="348"/>
      <c r="AE79" s="349"/>
      <c r="AF79" s="349"/>
    </row>
    <row r="80" spans="2:32" ht="24" hidden="1" customHeight="1">
      <c r="B80" s="350" t="str">
        <f>".2"</f>
        <v>.2</v>
      </c>
      <c r="C80" s="351" t="s">
        <v>410</v>
      </c>
      <c r="D80" s="352"/>
      <c r="E80" s="436"/>
      <c r="F80" s="354"/>
      <c r="G80" s="353"/>
      <c r="H80" s="354"/>
      <c r="I80" s="353"/>
      <c r="J80" s="354"/>
      <c r="K80" s="353"/>
      <c r="L80" s="354"/>
      <c r="M80" s="349" t="str">
        <f>IF(MAX(E80,G80,I80,K80)=0,"",MAX(E80,G80,I80,K80))</f>
        <v/>
      </c>
      <c r="N80" s="354"/>
      <c r="O80" s="355"/>
      <c r="Q80" s="356" t="str">
        <f>IF(T80&gt;0,T80,"")</f>
        <v/>
      </c>
      <c r="T80" s="349" t="str">
        <f>Scoring!U82</f>
        <v/>
      </c>
      <c r="V80" s="2376"/>
      <c r="W80" s="2377"/>
      <c r="X80" s="2377"/>
      <c r="Y80" s="2377"/>
      <c r="Z80" s="2378"/>
      <c r="AA80" s="348"/>
      <c r="AB80" s="348"/>
      <c r="AC80" s="348"/>
      <c r="AD80" s="348"/>
      <c r="AE80" s="349"/>
      <c r="AF80" s="349"/>
    </row>
    <row r="81" spans="2:32" ht="24" hidden="1" customHeight="1">
      <c r="B81" s="350" t="str">
        <f>".3"</f>
        <v>.3</v>
      </c>
      <c r="C81" s="351" t="s">
        <v>409</v>
      </c>
      <c r="D81" s="352"/>
      <c r="E81" s="436"/>
      <c r="F81" s="354"/>
      <c r="G81" s="353"/>
      <c r="H81" s="354"/>
      <c r="I81" s="353"/>
      <c r="J81" s="354"/>
      <c r="K81" s="353"/>
      <c r="L81" s="354"/>
      <c r="M81" s="349" t="str">
        <f>IF(MAX(E81,G81,I81,K81)=0,"",MAX(E81,G81,I81,K81))</f>
        <v/>
      </c>
      <c r="N81" s="354"/>
      <c r="O81" s="355"/>
      <c r="Q81" s="356" t="str">
        <f>IF(T81&gt;0,T81,"")</f>
        <v/>
      </c>
      <c r="T81" s="349" t="str">
        <f>Scoring!U83</f>
        <v/>
      </c>
      <c r="V81" s="2376"/>
      <c r="W81" s="2377"/>
      <c r="X81" s="2377"/>
      <c r="Y81" s="2377"/>
      <c r="Z81" s="2378"/>
      <c r="AA81" s="348"/>
      <c r="AB81" s="348"/>
      <c r="AC81" s="348"/>
      <c r="AD81" s="348"/>
      <c r="AE81" s="349"/>
      <c r="AF81" s="349"/>
    </row>
    <row r="82" spans="2:32" ht="24" hidden="1" customHeight="1">
      <c r="B82" s="350" t="str">
        <f>".4"</f>
        <v>.4</v>
      </c>
      <c r="C82" s="351" t="s">
        <v>408</v>
      </c>
      <c r="D82" s="352"/>
      <c r="E82" s="436"/>
      <c r="F82" s="354"/>
      <c r="G82" s="353"/>
      <c r="H82" s="354"/>
      <c r="I82" s="353"/>
      <c r="J82" s="354"/>
      <c r="K82" s="353"/>
      <c r="L82" s="354"/>
      <c r="M82" s="349" t="str">
        <f>IF(MAX(E82,G82,I82,K82)=0,"",MAX(E82,G82,I82,K82))</f>
        <v/>
      </c>
      <c r="N82" s="354"/>
      <c r="O82" s="355"/>
      <c r="Q82" s="356" t="str">
        <f>IF(T82&gt;0,T82,"")</f>
        <v/>
      </c>
      <c r="T82" s="349" t="str">
        <f>Scoring!U84</f>
        <v/>
      </c>
      <c r="V82" s="2376"/>
      <c r="W82" s="2377"/>
      <c r="X82" s="2377"/>
      <c r="Y82" s="2377"/>
      <c r="Z82" s="2378"/>
      <c r="AA82" s="348"/>
      <c r="AB82" s="348"/>
      <c r="AC82" s="348"/>
      <c r="AD82" s="348"/>
      <c r="AE82" s="349"/>
      <c r="AF82" s="349"/>
    </row>
    <row r="83" spans="2:32" ht="20" customHeight="1">
      <c r="B83" s="341" t="s">
        <v>407</v>
      </c>
      <c r="C83" s="342" t="str">
        <f>Dictionary!B1357</f>
        <v>Vielseitigkeit</v>
      </c>
      <c r="D83" s="343"/>
      <c r="E83" s="436"/>
      <c r="F83" s="315"/>
      <c r="G83" s="353"/>
      <c r="H83" s="360"/>
      <c r="I83" s="359"/>
      <c r="J83" s="360"/>
      <c r="K83" s="359"/>
      <c r="L83" s="315"/>
      <c r="M83" s="359"/>
      <c r="N83" s="360"/>
      <c r="O83" s="359"/>
      <c r="Q83" s="356"/>
      <c r="R83" s="346" t="str">
        <f>IF(AND(E83="",G83=""),"",IF((E83+G83)&gt;0,"Pass","Fail"))</f>
        <v/>
      </c>
      <c r="T83" s="428">
        <f>COUNTIF(T84:T88,"&gt;3")/AE83</f>
        <v>0</v>
      </c>
      <c r="V83" s="2376"/>
      <c r="W83" s="2377"/>
      <c r="X83" s="2377"/>
      <c r="Y83" s="2377"/>
      <c r="Z83" s="2378"/>
      <c r="AA83" s="348"/>
      <c r="AB83" s="348"/>
      <c r="AC83" s="348"/>
      <c r="AD83" s="348"/>
      <c r="AE83" s="349">
        <v>5</v>
      </c>
      <c r="AF83" s="349">
        <f>ROUNDUP(AE83/2,0)</f>
        <v>3</v>
      </c>
    </row>
    <row r="84" spans="2:32" ht="18" hidden="1" customHeight="1">
      <c r="B84" s="350" t="str">
        <f>".1"</f>
        <v>.1</v>
      </c>
      <c r="C84" s="351" t="s">
        <v>406</v>
      </c>
      <c r="D84" s="352"/>
      <c r="E84" s="436"/>
      <c r="F84" s="354"/>
      <c r="G84" s="353"/>
      <c r="H84" s="354"/>
      <c r="I84" s="353"/>
      <c r="J84" s="354"/>
      <c r="K84" s="353"/>
      <c r="L84" s="354"/>
      <c r="M84" s="349" t="str">
        <f t="shared" ref="M84:M100" si="4">IF(MAX(E84,G84,I84,K84)=0,"",MAX(E84,G84,I84,K84))</f>
        <v/>
      </c>
      <c r="N84" s="354"/>
      <c r="O84" s="355"/>
      <c r="Q84" s="356" t="str">
        <f>IF(T84&gt;0,T84,"")</f>
        <v/>
      </c>
      <c r="T84" s="349" t="str">
        <f>Scoring!U86</f>
        <v/>
      </c>
      <c r="V84" s="2376"/>
      <c r="W84" s="2377"/>
      <c r="X84" s="2377"/>
      <c r="Y84" s="2377"/>
      <c r="Z84" s="2378"/>
      <c r="AA84" s="348"/>
      <c r="AB84" s="348"/>
      <c r="AC84" s="348"/>
      <c r="AD84" s="348"/>
      <c r="AE84" s="349"/>
      <c r="AF84" s="349"/>
    </row>
    <row r="85" spans="2:32" ht="24" hidden="1" customHeight="1">
      <c r="B85" s="350" t="str">
        <f>".2"</f>
        <v>.2</v>
      </c>
      <c r="C85" s="351" t="s">
        <v>405</v>
      </c>
      <c r="D85" s="352"/>
      <c r="E85" s="436"/>
      <c r="F85" s="354"/>
      <c r="G85" s="353"/>
      <c r="H85" s="354"/>
      <c r="I85" s="353"/>
      <c r="J85" s="354"/>
      <c r="K85" s="353"/>
      <c r="L85" s="354"/>
      <c r="M85" s="349" t="str">
        <f t="shared" si="4"/>
        <v/>
      </c>
      <c r="N85" s="354"/>
      <c r="O85" s="355"/>
      <c r="Q85" s="356" t="str">
        <f>IF(T85&gt;0,T85,"")</f>
        <v/>
      </c>
      <c r="T85" s="349" t="str">
        <f>Scoring!U87</f>
        <v/>
      </c>
      <c r="V85" s="2376"/>
      <c r="W85" s="2377"/>
      <c r="X85" s="2377"/>
      <c r="Y85" s="2377"/>
      <c r="Z85" s="2378"/>
      <c r="AA85" s="348"/>
      <c r="AB85" s="348"/>
      <c r="AC85" s="348"/>
      <c r="AD85" s="348"/>
      <c r="AE85" s="349"/>
      <c r="AF85" s="349"/>
    </row>
    <row r="86" spans="2:32" ht="24" hidden="1" customHeight="1">
      <c r="B86" s="350" t="str">
        <f>".3"</f>
        <v>.3</v>
      </c>
      <c r="C86" s="351" t="s">
        <v>404</v>
      </c>
      <c r="D86" s="352"/>
      <c r="E86" s="436"/>
      <c r="F86" s="354"/>
      <c r="G86" s="353"/>
      <c r="H86" s="354"/>
      <c r="I86" s="353"/>
      <c r="J86" s="354"/>
      <c r="K86" s="353"/>
      <c r="L86" s="354"/>
      <c r="M86" s="349" t="str">
        <f t="shared" si="4"/>
        <v/>
      </c>
      <c r="N86" s="354"/>
      <c r="O86" s="355"/>
      <c r="Q86" s="356" t="str">
        <f>IF(T86&gt;0,T86,"")</f>
        <v/>
      </c>
      <c r="T86" s="349" t="str">
        <f>Scoring!U88</f>
        <v/>
      </c>
      <c r="V86" s="2376"/>
      <c r="W86" s="2377"/>
      <c r="X86" s="2377"/>
      <c r="Y86" s="2377"/>
      <c r="Z86" s="2378"/>
      <c r="AA86" s="348"/>
      <c r="AB86" s="348"/>
      <c r="AC86" s="348"/>
      <c r="AD86" s="348"/>
      <c r="AE86" s="349"/>
      <c r="AF86" s="349"/>
    </row>
    <row r="87" spans="2:32" ht="24" hidden="1" customHeight="1">
      <c r="B87" s="350" t="str">
        <f>".4"</f>
        <v>.4</v>
      </c>
      <c r="C87" s="351" t="s">
        <v>403</v>
      </c>
      <c r="D87" s="352"/>
      <c r="E87" s="436"/>
      <c r="F87" s="354"/>
      <c r="G87" s="353"/>
      <c r="H87" s="354"/>
      <c r="I87" s="353"/>
      <c r="J87" s="354"/>
      <c r="K87" s="353"/>
      <c r="L87" s="354"/>
      <c r="M87" s="349" t="str">
        <f t="shared" si="4"/>
        <v/>
      </c>
      <c r="N87" s="354"/>
      <c r="O87" s="355"/>
      <c r="Q87" s="356" t="str">
        <f>IF(T87&gt;0,T87,"")</f>
        <v/>
      </c>
      <c r="T87" s="349" t="str">
        <f>Scoring!U89</f>
        <v/>
      </c>
      <c r="V87" s="2376"/>
      <c r="W87" s="2377"/>
      <c r="X87" s="2377"/>
      <c r="Y87" s="2377"/>
      <c r="Z87" s="2378"/>
      <c r="AA87" s="348"/>
      <c r="AB87" s="348"/>
      <c r="AC87" s="348"/>
      <c r="AD87" s="348"/>
      <c r="AE87" s="349"/>
      <c r="AF87" s="349"/>
    </row>
    <row r="88" spans="2:32" ht="24" hidden="1" customHeight="1">
      <c r="B88" s="350" t="str">
        <f>".5"</f>
        <v>.5</v>
      </c>
      <c r="C88" s="351" t="s">
        <v>402</v>
      </c>
      <c r="D88" s="352"/>
      <c r="E88" s="436"/>
      <c r="F88" s="354"/>
      <c r="G88" s="353"/>
      <c r="H88" s="354"/>
      <c r="I88" s="353"/>
      <c r="J88" s="354"/>
      <c r="K88" s="353"/>
      <c r="L88" s="354"/>
      <c r="M88" s="349" t="str">
        <f t="shared" si="4"/>
        <v/>
      </c>
      <c r="N88" s="354"/>
      <c r="O88" s="355"/>
      <c r="Q88" s="356" t="str">
        <f>IF(T88&gt;0,T88,"")</f>
        <v/>
      </c>
      <c r="T88" s="349" t="str">
        <f>Scoring!U90</f>
        <v/>
      </c>
      <c r="V88" s="2376"/>
      <c r="W88" s="2377"/>
      <c r="X88" s="2377"/>
      <c r="Y88" s="2377"/>
      <c r="Z88" s="2378"/>
      <c r="AA88" s="348"/>
      <c r="AB88" s="348"/>
      <c r="AC88" s="348"/>
      <c r="AD88" s="348"/>
      <c r="AE88" s="349"/>
      <c r="AF88" s="349"/>
    </row>
    <row r="89" spans="2:32" ht="20" customHeight="1">
      <c r="B89" s="341" t="s">
        <v>401</v>
      </c>
      <c r="C89" s="342" t="str">
        <f>Dictionary!B1365</f>
        <v>Verhandlungen</v>
      </c>
      <c r="D89" s="343"/>
      <c r="E89" s="436"/>
      <c r="F89" s="315"/>
      <c r="G89" s="436"/>
      <c r="H89" s="360"/>
      <c r="I89" s="359"/>
      <c r="J89" s="360"/>
      <c r="K89" s="359"/>
      <c r="L89" s="315"/>
      <c r="M89" s="359"/>
      <c r="N89" s="360"/>
      <c r="O89" s="359"/>
      <c r="Q89" s="356"/>
      <c r="R89" s="346" t="str">
        <f>IF(AND(E89="",G89=""),"",IF((E89+G89)&gt;0,"Pass","Fail"))</f>
        <v/>
      </c>
      <c r="T89" s="428">
        <f>COUNTIF(T90:T94,"&gt;3")/AE89</f>
        <v>0</v>
      </c>
      <c r="V89" s="2376"/>
      <c r="W89" s="2377"/>
      <c r="X89" s="2377"/>
      <c r="Y89" s="2377"/>
      <c r="Z89" s="2378"/>
      <c r="AA89" s="348"/>
      <c r="AB89" s="348"/>
      <c r="AC89" s="348"/>
      <c r="AD89" s="348"/>
      <c r="AE89" s="349">
        <v>5</v>
      </c>
      <c r="AF89" s="349">
        <f>ROUNDUP(AE89/2,0)</f>
        <v>3</v>
      </c>
    </row>
    <row r="90" spans="2:32" ht="24" hidden="1" customHeight="1">
      <c r="B90" s="350" t="str">
        <f>".1"</f>
        <v>.1</v>
      </c>
      <c r="C90" s="351" t="s">
        <v>400</v>
      </c>
      <c r="D90" s="352"/>
      <c r="E90" s="436"/>
      <c r="F90" s="354"/>
      <c r="G90" s="353"/>
      <c r="H90" s="354"/>
      <c r="I90" s="353"/>
      <c r="J90" s="354"/>
      <c r="K90" s="353"/>
      <c r="L90" s="354"/>
      <c r="M90" s="349" t="str">
        <f t="shared" si="4"/>
        <v/>
      </c>
      <c r="N90" s="354"/>
      <c r="O90" s="355"/>
      <c r="Q90" s="356" t="str">
        <f>IF(T90&gt;0,T90,"")</f>
        <v/>
      </c>
      <c r="T90" s="349" t="str">
        <f>Scoring!U92</f>
        <v/>
      </c>
      <c r="V90" s="2376"/>
      <c r="W90" s="2377"/>
      <c r="X90" s="2377"/>
      <c r="Y90" s="2377"/>
      <c r="Z90" s="2378"/>
      <c r="AA90" s="348"/>
      <c r="AB90" s="348"/>
      <c r="AC90" s="348"/>
      <c r="AD90" s="348"/>
      <c r="AE90" s="349"/>
      <c r="AF90" s="349"/>
    </row>
    <row r="91" spans="2:32" ht="24" hidden="1" customHeight="1">
      <c r="B91" s="350" t="str">
        <f>".2"</f>
        <v>.2</v>
      </c>
      <c r="C91" s="351" t="s">
        <v>399</v>
      </c>
      <c r="D91" s="352"/>
      <c r="E91" s="436"/>
      <c r="F91" s="354"/>
      <c r="G91" s="353"/>
      <c r="H91" s="354"/>
      <c r="I91" s="353"/>
      <c r="J91" s="354"/>
      <c r="K91" s="353"/>
      <c r="L91" s="354"/>
      <c r="M91" s="349" t="str">
        <f t="shared" si="4"/>
        <v/>
      </c>
      <c r="N91" s="354"/>
      <c r="O91" s="355"/>
      <c r="Q91" s="356" t="str">
        <f>IF(T91&gt;0,T91,"")</f>
        <v/>
      </c>
      <c r="T91" s="349" t="str">
        <f>Scoring!U93</f>
        <v/>
      </c>
      <c r="V91" s="2376"/>
      <c r="W91" s="2377"/>
      <c r="X91" s="2377"/>
      <c r="Y91" s="2377"/>
      <c r="Z91" s="2378"/>
      <c r="AA91" s="348"/>
      <c r="AB91" s="348"/>
      <c r="AC91" s="348"/>
      <c r="AD91" s="348"/>
      <c r="AE91" s="349"/>
      <c r="AF91" s="349"/>
    </row>
    <row r="92" spans="2:32" ht="24" hidden="1" customHeight="1">
      <c r="B92" s="350" t="str">
        <f>".3"</f>
        <v>.3</v>
      </c>
      <c r="C92" s="351" t="s">
        <v>398</v>
      </c>
      <c r="D92" s="352"/>
      <c r="E92" s="436"/>
      <c r="F92" s="354"/>
      <c r="G92" s="353"/>
      <c r="H92" s="354"/>
      <c r="I92" s="353"/>
      <c r="J92" s="354"/>
      <c r="K92" s="353"/>
      <c r="L92" s="354"/>
      <c r="M92" s="349" t="str">
        <f t="shared" si="4"/>
        <v/>
      </c>
      <c r="N92" s="354"/>
      <c r="O92" s="355"/>
      <c r="Q92" s="356" t="str">
        <f>IF(T92&gt;0,T92,"")</f>
        <v/>
      </c>
      <c r="T92" s="349" t="str">
        <f>Scoring!U94</f>
        <v/>
      </c>
      <c r="V92" s="2376"/>
      <c r="W92" s="2377"/>
      <c r="X92" s="2377"/>
      <c r="Y92" s="2377"/>
      <c r="Z92" s="2378"/>
      <c r="AA92" s="348"/>
      <c r="AB92" s="348"/>
      <c r="AC92" s="348"/>
      <c r="AD92" s="348"/>
      <c r="AE92" s="349"/>
      <c r="AF92" s="349"/>
    </row>
    <row r="93" spans="2:32" ht="24" hidden="1" customHeight="1">
      <c r="B93" s="350" t="str">
        <f>".4"</f>
        <v>.4</v>
      </c>
      <c r="C93" s="351" t="s">
        <v>397</v>
      </c>
      <c r="D93" s="352"/>
      <c r="E93" s="436"/>
      <c r="F93" s="354"/>
      <c r="G93" s="353"/>
      <c r="H93" s="354"/>
      <c r="I93" s="353"/>
      <c r="J93" s="354"/>
      <c r="K93" s="353"/>
      <c r="L93" s="354"/>
      <c r="M93" s="349" t="str">
        <f t="shared" si="4"/>
        <v/>
      </c>
      <c r="N93" s="354"/>
      <c r="O93" s="355"/>
      <c r="Q93" s="356" t="str">
        <f>IF(T93&gt;0,T93,"")</f>
        <v/>
      </c>
      <c r="T93" s="349" t="str">
        <f>Scoring!U95</f>
        <v/>
      </c>
      <c r="V93" s="2376"/>
      <c r="W93" s="2377"/>
      <c r="X93" s="2377"/>
      <c r="Y93" s="2377"/>
      <c r="Z93" s="2378"/>
      <c r="AA93" s="348"/>
      <c r="AB93" s="348"/>
      <c r="AC93" s="348"/>
      <c r="AD93" s="348"/>
      <c r="AE93" s="349"/>
      <c r="AF93" s="349"/>
    </row>
    <row r="94" spans="2:32" ht="24" hidden="1" customHeight="1">
      <c r="B94" s="350" t="str">
        <f>".5"</f>
        <v>.5</v>
      </c>
      <c r="C94" s="351" t="s">
        <v>396</v>
      </c>
      <c r="D94" s="352"/>
      <c r="E94" s="436"/>
      <c r="F94" s="354"/>
      <c r="G94" s="353"/>
      <c r="H94" s="354"/>
      <c r="I94" s="353"/>
      <c r="J94" s="354"/>
      <c r="K94" s="353"/>
      <c r="L94" s="354"/>
      <c r="M94" s="349" t="str">
        <f t="shared" si="4"/>
        <v/>
      </c>
      <c r="N94" s="354"/>
      <c r="O94" s="355"/>
      <c r="Q94" s="356" t="str">
        <f>IF(T94&gt;0,T94,"")</f>
        <v/>
      </c>
      <c r="T94" s="349" t="str">
        <f>Scoring!U96</f>
        <v/>
      </c>
      <c r="V94" s="2376"/>
      <c r="W94" s="2377"/>
      <c r="X94" s="2377"/>
      <c r="Y94" s="2377"/>
      <c r="Z94" s="2378"/>
      <c r="AA94" s="348"/>
      <c r="AB94" s="348"/>
      <c r="AC94" s="348"/>
      <c r="AD94" s="348"/>
      <c r="AE94" s="349"/>
      <c r="AF94" s="349"/>
    </row>
    <row r="95" spans="2:32" ht="20" customHeight="1">
      <c r="B95" s="341" t="s">
        <v>395</v>
      </c>
      <c r="C95" s="342" t="str">
        <f>Dictionary!B1373</f>
        <v>Ergebnisorientierung</v>
      </c>
      <c r="D95" s="343"/>
      <c r="E95" s="436"/>
      <c r="F95" s="315"/>
      <c r="G95" s="436"/>
      <c r="H95" s="360"/>
      <c r="I95" s="359"/>
      <c r="J95" s="360"/>
      <c r="K95" s="359"/>
      <c r="L95" s="315"/>
      <c r="M95" s="359"/>
      <c r="N95" s="360"/>
      <c r="O95" s="359"/>
      <c r="Q95" s="356"/>
      <c r="R95" s="346" t="str">
        <f>IF(AND(E95="",G95=""),"",IF((E95+G95)&gt;0,"Pass","Fail"))</f>
        <v/>
      </c>
      <c r="T95" s="428">
        <f>COUNTIF(T96:T100,"&gt;3")/AE95</f>
        <v>0</v>
      </c>
      <c r="V95" s="2376"/>
      <c r="W95" s="2377"/>
      <c r="X95" s="2377"/>
      <c r="Y95" s="2377"/>
      <c r="Z95" s="2378"/>
      <c r="AA95" s="348"/>
      <c r="AB95" s="348"/>
      <c r="AC95" s="348"/>
      <c r="AD95" s="348"/>
      <c r="AE95" s="349">
        <v>5</v>
      </c>
      <c r="AF95" s="349">
        <f>ROUNDUP(AE95/2,0)</f>
        <v>3</v>
      </c>
    </row>
    <row r="96" spans="2:32" ht="24" hidden="1" customHeight="1">
      <c r="B96" s="350" t="str">
        <f>".1"</f>
        <v>.1</v>
      </c>
      <c r="C96" s="351" t="s">
        <v>394</v>
      </c>
      <c r="D96" s="352"/>
      <c r="E96" s="404" t="str">
        <f>IF('(8) Exam Evaluation'!Y98="","",'(8) Exam Evaluation'!Y98)</f>
        <v/>
      </c>
      <c r="F96" s="354"/>
      <c r="G96" s="353"/>
      <c r="H96" s="354"/>
      <c r="I96" s="353"/>
      <c r="J96" s="354"/>
      <c r="K96" s="353"/>
      <c r="L96" s="354"/>
      <c r="M96" s="349" t="str">
        <f t="shared" si="4"/>
        <v/>
      </c>
      <c r="N96" s="354"/>
      <c r="O96" s="355"/>
      <c r="Q96" s="356" t="str">
        <f>IF(T96&gt;0,T96,"")</f>
        <v/>
      </c>
      <c r="T96" s="349" t="str">
        <f>Scoring!U98</f>
        <v/>
      </c>
      <c r="V96" s="2376"/>
      <c r="W96" s="2377"/>
      <c r="X96" s="2377"/>
      <c r="Y96" s="2377"/>
      <c r="Z96" s="2378"/>
      <c r="AA96" s="348"/>
      <c r="AB96" s="348"/>
      <c r="AC96" s="348"/>
      <c r="AD96" s="348"/>
      <c r="AE96" s="349"/>
      <c r="AF96" s="349"/>
    </row>
    <row r="97" spans="2:32" ht="24" hidden="1" customHeight="1">
      <c r="B97" s="350" t="str">
        <f>".2"</f>
        <v>.2</v>
      </c>
      <c r="C97" s="351" t="s">
        <v>393</v>
      </c>
      <c r="D97" s="352"/>
      <c r="E97" s="404" t="str">
        <f>IF('(8) Exam Evaluation'!Y99="","",'(8) Exam Evaluation'!Y99)</f>
        <v/>
      </c>
      <c r="F97" s="354"/>
      <c r="G97" s="353"/>
      <c r="H97" s="354"/>
      <c r="I97" s="353"/>
      <c r="J97" s="354"/>
      <c r="K97" s="353"/>
      <c r="L97" s="354"/>
      <c r="M97" s="349" t="str">
        <f t="shared" si="4"/>
        <v/>
      </c>
      <c r="N97" s="354"/>
      <c r="O97" s="355"/>
      <c r="Q97" s="356" t="str">
        <f>IF(T97&gt;0,T97,"")</f>
        <v/>
      </c>
      <c r="T97" s="349" t="str">
        <f>Scoring!U99</f>
        <v/>
      </c>
      <c r="V97" s="2376"/>
      <c r="W97" s="2377"/>
      <c r="X97" s="2377"/>
      <c r="Y97" s="2377"/>
      <c r="Z97" s="2378"/>
      <c r="AA97" s="348"/>
      <c r="AB97" s="348"/>
      <c r="AC97" s="348"/>
      <c r="AD97" s="348"/>
      <c r="AE97" s="349"/>
      <c r="AF97" s="349"/>
    </row>
    <row r="98" spans="2:32" ht="24" hidden="1" customHeight="1">
      <c r="B98" s="350" t="str">
        <f>".3"</f>
        <v>.3</v>
      </c>
      <c r="C98" s="351" t="s">
        <v>392</v>
      </c>
      <c r="D98" s="352"/>
      <c r="E98" s="404" t="str">
        <f>IF('(8) Exam Evaluation'!Y100="","",'(8) Exam Evaluation'!Y100)</f>
        <v/>
      </c>
      <c r="F98" s="354"/>
      <c r="G98" s="353"/>
      <c r="H98" s="354"/>
      <c r="I98" s="353"/>
      <c r="J98" s="354"/>
      <c r="K98" s="353"/>
      <c r="L98" s="354"/>
      <c r="M98" s="349" t="str">
        <f t="shared" si="4"/>
        <v/>
      </c>
      <c r="N98" s="354"/>
      <c r="O98" s="355"/>
      <c r="Q98" s="356" t="str">
        <f>IF(T98&gt;0,T98,"")</f>
        <v/>
      </c>
      <c r="T98" s="349" t="str">
        <f>Scoring!U100</f>
        <v/>
      </c>
      <c r="V98" s="2376"/>
      <c r="W98" s="2377"/>
      <c r="X98" s="2377"/>
      <c r="Y98" s="2377"/>
      <c r="Z98" s="2378"/>
      <c r="AA98" s="348"/>
      <c r="AB98" s="348"/>
      <c r="AC98" s="348"/>
      <c r="AD98" s="348"/>
      <c r="AE98" s="349"/>
      <c r="AF98" s="349"/>
    </row>
    <row r="99" spans="2:32" ht="24" hidden="1" customHeight="1">
      <c r="B99" s="350" t="str">
        <f>".4"</f>
        <v>.4</v>
      </c>
      <c r="C99" s="351" t="s">
        <v>391</v>
      </c>
      <c r="D99" s="352"/>
      <c r="E99" s="404" t="str">
        <f>IF('(8) Exam Evaluation'!Y101="","",'(8) Exam Evaluation'!Y101)</f>
        <v/>
      </c>
      <c r="F99" s="354"/>
      <c r="G99" s="353"/>
      <c r="H99" s="354"/>
      <c r="I99" s="353"/>
      <c r="J99" s="354"/>
      <c r="K99" s="353"/>
      <c r="L99" s="354"/>
      <c r="M99" s="349" t="str">
        <f t="shared" si="4"/>
        <v/>
      </c>
      <c r="N99" s="354"/>
      <c r="O99" s="355"/>
      <c r="Q99" s="356" t="str">
        <f>IF(T99&gt;0,T99,"")</f>
        <v/>
      </c>
      <c r="T99" s="349" t="str">
        <f>Scoring!U101</f>
        <v/>
      </c>
      <c r="V99" s="2376"/>
      <c r="W99" s="2377"/>
      <c r="X99" s="2377"/>
      <c r="Y99" s="2377"/>
      <c r="Z99" s="2378"/>
      <c r="AA99" s="348"/>
      <c r="AB99" s="348"/>
      <c r="AC99" s="348"/>
      <c r="AD99" s="348"/>
      <c r="AE99" s="349"/>
      <c r="AF99" s="349"/>
    </row>
    <row r="100" spans="2:32" ht="18" hidden="1" customHeight="1">
      <c r="B100" s="350" t="str">
        <f>".5"</f>
        <v>.5</v>
      </c>
      <c r="C100" s="351" t="s">
        <v>390</v>
      </c>
      <c r="D100" s="352"/>
      <c r="E100" s="404" t="str">
        <f>IF('(8) Exam Evaluation'!Y102="","",'(8) Exam Evaluation'!Y102)</f>
        <v/>
      </c>
      <c r="F100" s="354"/>
      <c r="G100" s="353"/>
      <c r="H100" s="354"/>
      <c r="I100" s="353"/>
      <c r="J100" s="354"/>
      <c r="K100" s="353"/>
      <c r="L100" s="354"/>
      <c r="M100" s="349" t="str">
        <f t="shared" si="4"/>
        <v/>
      </c>
      <c r="N100" s="354"/>
      <c r="O100" s="355"/>
      <c r="Q100" s="356" t="str">
        <f>IF(T100&gt;0,T100,"")</f>
        <v/>
      </c>
      <c r="T100" s="349" t="str">
        <f>Scoring!U102</f>
        <v/>
      </c>
      <c r="V100" s="2376"/>
      <c r="W100" s="2377"/>
      <c r="X100" s="2377"/>
      <c r="Y100" s="2377"/>
      <c r="Z100" s="2378"/>
      <c r="AA100" s="348"/>
      <c r="AB100" s="348"/>
      <c r="AC100" s="348"/>
      <c r="AD100" s="348"/>
      <c r="AE100" s="349"/>
      <c r="AF100" s="349"/>
    </row>
    <row r="101" spans="2:32" ht="30" customHeight="1">
      <c r="C101" s="363"/>
      <c r="D101" s="315"/>
      <c r="E101" s="406"/>
      <c r="F101" s="315"/>
      <c r="G101" s="315"/>
      <c r="H101" s="315"/>
      <c r="I101" s="315"/>
      <c r="J101" s="315"/>
      <c r="K101" s="315"/>
      <c r="L101" s="315"/>
      <c r="M101" s="315"/>
      <c r="N101" s="315"/>
      <c r="O101" s="315"/>
      <c r="Q101" s="356"/>
      <c r="R101" s="365"/>
      <c r="W101" s="313"/>
      <c r="X101" s="313"/>
      <c r="Y101" s="313"/>
      <c r="Z101" s="313"/>
      <c r="AA101" s="313"/>
      <c r="AB101" s="313"/>
      <c r="AC101" s="313"/>
      <c r="AD101" s="313"/>
      <c r="AE101" s="370"/>
      <c r="AF101" s="370"/>
    </row>
    <row r="102" spans="2:32" ht="30" customHeight="1">
      <c r="C102" s="366" t="str">
        <f>Dictionary!B1380</f>
        <v>Practice Kompetenz Elements</v>
      </c>
      <c r="D102" s="315"/>
      <c r="E102" s="406"/>
      <c r="F102" s="315"/>
      <c r="G102" s="315"/>
      <c r="H102" s="315"/>
      <c r="I102" s="315"/>
      <c r="J102" s="315"/>
      <c r="K102" s="315"/>
      <c r="L102" s="315"/>
      <c r="M102" s="315"/>
      <c r="N102" s="315"/>
      <c r="O102" s="315"/>
      <c r="Q102" s="356"/>
      <c r="R102" s="367"/>
      <c r="W102" s="313"/>
      <c r="X102" s="313"/>
      <c r="Y102" s="313"/>
      <c r="Z102" s="313"/>
      <c r="AA102" s="313"/>
      <c r="AB102" s="313"/>
      <c r="AC102" s="313"/>
      <c r="AD102" s="313"/>
      <c r="AE102" s="334"/>
      <c r="AF102" s="334"/>
    </row>
    <row r="103" spans="2:32" ht="20" customHeight="1">
      <c r="B103" s="341" t="s">
        <v>388</v>
      </c>
      <c r="C103" s="342" t="str">
        <f>Dictionary!B1381</f>
        <v>Projektdesign</v>
      </c>
      <c r="D103" s="343"/>
      <c r="E103" s="353"/>
      <c r="F103" s="315"/>
      <c r="G103" s="353"/>
      <c r="H103" s="360"/>
      <c r="I103" s="359"/>
      <c r="J103" s="360"/>
      <c r="K103" s="359"/>
      <c r="L103" s="315"/>
      <c r="M103" s="359"/>
      <c r="N103" s="360"/>
      <c r="O103" s="359"/>
      <c r="Q103" s="356"/>
      <c r="R103" s="346" t="str">
        <f>IF(AND(E103="",G103=""),"",IF((E103+G103)&gt;0,"Pass","Fail"))</f>
        <v/>
      </c>
      <c r="T103" s="428">
        <f>COUNTIF(T104:T108,"&gt;3")/AE103</f>
        <v>0</v>
      </c>
      <c r="V103" s="2376"/>
      <c r="W103" s="2377"/>
      <c r="X103" s="2377"/>
      <c r="Y103" s="2377"/>
      <c r="Z103" s="2378"/>
      <c r="AA103" s="348"/>
      <c r="AB103" s="348"/>
      <c r="AC103" s="348"/>
      <c r="AD103" s="348"/>
      <c r="AE103" s="349">
        <v>5</v>
      </c>
      <c r="AF103" s="349">
        <f>ROUNDUP(AE103/2,0)</f>
        <v>3</v>
      </c>
    </row>
    <row r="104" spans="2:32" ht="18" hidden="1" customHeight="1">
      <c r="B104" s="350" t="str">
        <f>".1"</f>
        <v>.1</v>
      </c>
      <c r="C104" s="351" t="s">
        <v>387</v>
      </c>
      <c r="D104" s="352"/>
      <c r="E104" s="353"/>
      <c r="F104" s="354"/>
      <c r="G104" s="353"/>
      <c r="H104" s="354"/>
      <c r="I104" s="353"/>
      <c r="J104" s="354"/>
      <c r="K104" s="353"/>
      <c r="L104" s="354"/>
      <c r="M104" s="349" t="str">
        <f t="shared" ref="M104:M167" si="5">IF(MAX(E104,G104,I104,K104)=0,"",MAX(E104,G104,I104,K104))</f>
        <v/>
      </c>
      <c r="N104" s="354"/>
      <c r="O104" s="355"/>
      <c r="Q104" s="356" t="str">
        <f>IF(T104&gt;0,T104,"")</f>
        <v/>
      </c>
      <c r="T104" s="349" t="str">
        <f>Scoring!U106</f>
        <v/>
      </c>
      <c r="V104" s="2376"/>
      <c r="W104" s="2377"/>
      <c r="X104" s="2377"/>
      <c r="Y104" s="2377"/>
      <c r="Z104" s="2378"/>
      <c r="AA104" s="348"/>
      <c r="AB104" s="348"/>
      <c r="AC104" s="348"/>
      <c r="AD104" s="348"/>
      <c r="AE104" s="349"/>
      <c r="AF104" s="349"/>
    </row>
    <row r="105" spans="2:32" ht="24" hidden="1" customHeight="1">
      <c r="B105" s="350" t="str">
        <f>".2"</f>
        <v>.2</v>
      </c>
      <c r="C105" s="351" t="s">
        <v>386</v>
      </c>
      <c r="D105" s="352"/>
      <c r="E105" s="353"/>
      <c r="F105" s="354"/>
      <c r="G105" s="353"/>
      <c r="H105" s="354"/>
      <c r="I105" s="353"/>
      <c r="J105" s="354"/>
      <c r="K105" s="353"/>
      <c r="L105" s="354"/>
      <c r="M105" s="349" t="str">
        <f t="shared" si="5"/>
        <v/>
      </c>
      <c r="N105" s="354"/>
      <c r="O105" s="355"/>
      <c r="Q105" s="356" t="str">
        <f>IF(T105&gt;0,T105,"")</f>
        <v/>
      </c>
      <c r="T105" s="349" t="str">
        <f>Scoring!U107</f>
        <v/>
      </c>
      <c r="V105" s="2376"/>
      <c r="W105" s="2377"/>
      <c r="X105" s="2377"/>
      <c r="Y105" s="2377"/>
      <c r="Z105" s="2378"/>
      <c r="AA105" s="348"/>
      <c r="AB105" s="348"/>
      <c r="AC105" s="348"/>
      <c r="AD105" s="348"/>
      <c r="AE105" s="349"/>
      <c r="AF105" s="349"/>
    </row>
    <row r="106" spans="2:32" ht="24" hidden="1" customHeight="1">
      <c r="B106" s="350" t="str">
        <f>".3"</f>
        <v>.3</v>
      </c>
      <c r="C106" s="351" t="s">
        <v>385</v>
      </c>
      <c r="D106" s="352"/>
      <c r="E106" s="353"/>
      <c r="F106" s="354"/>
      <c r="G106" s="353"/>
      <c r="H106" s="354"/>
      <c r="I106" s="353"/>
      <c r="J106" s="354"/>
      <c r="K106" s="353"/>
      <c r="L106" s="354"/>
      <c r="M106" s="349" t="str">
        <f t="shared" si="5"/>
        <v/>
      </c>
      <c r="N106" s="354"/>
      <c r="O106" s="355"/>
      <c r="Q106" s="356" t="str">
        <f>IF(T106&gt;0,T106,"")</f>
        <v/>
      </c>
      <c r="T106" s="349" t="str">
        <f>Scoring!U108</f>
        <v/>
      </c>
      <c r="V106" s="2376"/>
      <c r="W106" s="2377"/>
      <c r="X106" s="2377"/>
      <c r="Y106" s="2377"/>
      <c r="Z106" s="2378"/>
      <c r="AA106" s="348"/>
      <c r="AB106" s="348"/>
      <c r="AC106" s="348"/>
      <c r="AD106" s="348"/>
      <c r="AE106" s="349"/>
      <c r="AF106" s="349"/>
    </row>
    <row r="107" spans="2:32" ht="18" hidden="1" customHeight="1">
      <c r="B107" s="350" t="str">
        <f>".4"</f>
        <v>.4</v>
      </c>
      <c r="C107" s="351" t="s">
        <v>384</v>
      </c>
      <c r="D107" s="352"/>
      <c r="E107" s="353"/>
      <c r="F107" s="354"/>
      <c r="G107" s="353"/>
      <c r="H107" s="354"/>
      <c r="I107" s="353"/>
      <c r="J107" s="354"/>
      <c r="K107" s="353"/>
      <c r="L107" s="354"/>
      <c r="M107" s="349" t="str">
        <f t="shared" si="5"/>
        <v/>
      </c>
      <c r="N107" s="354"/>
      <c r="O107" s="355"/>
      <c r="Q107" s="356" t="str">
        <f>IF(T107&gt;0,T107,"")</f>
        <v/>
      </c>
      <c r="T107" s="349" t="str">
        <f>Scoring!U109</f>
        <v/>
      </c>
      <c r="V107" s="2376"/>
      <c r="W107" s="2377"/>
      <c r="X107" s="2377"/>
      <c r="Y107" s="2377"/>
      <c r="Z107" s="2378"/>
      <c r="AA107" s="348"/>
      <c r="AB107" s="348"/>
      <c r="AC107" s="348"/>
      <c r="AD107" s="348"/>
      <c r="AE107" s="349"/>
      <c r="AF107" s="349"/>
    </row>
    <row r="108" spans="2:32" ht="18" hidden="1" customHeight="1">
      <c r="B108" s="350" t="str">
        <f>".5"</f>
        <v>.5</v>
      </c>
      <c r="C108" s="351" t="s">
        <v>383</v>
      </c>
      <c r="D108" s="352"/>
      <c r="E108" s="353"/>
      <c r="F108" s="354"/>
      <c r="G108" s="353"/>
      <c r="H108" s="354"/>
      <c r="I108" s="353"/>
      <c r="J108" s="354"/>
      <c r="K108" s="353"/>
      <c r="L108" s="354"/>
      <c r="M108" s="349" t="str">
        <f t="shared" si="5"/>
        <v/>
      </c>
      <c r="N108" s="354"/>
      <c r="O108" s="355"/>
      <c r="Q108" s="356" t="str">
        <f>IF(T108&gt;0,T108,"")</f>
        <v/>
      </c>
      <c r="T108" s="349" t="str">
        <f>Scoring!U110</f>
        <v/>
      </c>
      <c r="V108" s="2376"/>
      <c r="W108" s="2377"/>
      <c r="X108" s="2377"/>
      <c r="Y108" s="2377"/>
      <c r="Z108" s="2378"/>
      <c r="AA108" s="348"/>
      <c r="AB108" s="348"/>
      <c r="AC108" s="348"/>
      <c r="AD108" s="348"/>
      <c r="AE108" s="349"/>
      <c r="AF108" s="349"/>
    </row>
    <row r="109" spans="2:32" ht="20" customHeight="1">
      <c r="B109" s="341" t="s">
        <v>382</v>
      </c>
      <c r="C109" s="342" t="str">
        <f>Dictionary!B1392</f>
        <v>Anforderungen und Ziele</v>
      </c>
      <c r="D109" s="343"/>
      <c r="E109" s="353"/>
      <c r="F109" s="315"/>
      <c r="G109" s="353"/>
      <c r="H109" s="360"/>
      <c r="I109" s="359"/>
      <c r="J109" s="360"/>
      <c r="K109" s="359"/>
      <c r="L109" s="315"/>
      <c r="M109" s="359"/>
      <c r="N109" s="360"/>
      <c r="O109" s="359"/>
      <c r="Q109" s="356"/>
      <c r="R109" s="346" t="str">
        <f>IF(AND(E109="",G109=""),"",IF((E109+G109)&gt;0,"Pass","Fail"))</f>
        <v/>
      </c>
      <c r="T109" s="428">
        <f>COUNTIF(T110:T112,"&gt;3")/AE109</f>
        <v>0</v>
      </c>
      <c r="V109" s="2376"/>
      <c r="W109" s="2377"/>
      <c r="X109" s="2377"/>
      <c r="Y109" s="2377"/>
      <c r="Z109" s="2378"/>
      <c r="AA109" s="348"/>
      <c r="AB109" s="348"/>
      <c r="AC109" s="348"/>
      <c r="AD109" s="348"/>
      <c r="AE109" s="349">
        <v>3</v>
      </c>
      <c r="AF109" s="349">
        <f>ROUNDUP(AE109/2,0)</f>
        <v>2</v>
      </c>
    </row>
    <row r="110" spans="2:32" ht="18" hidden="1" customHeight="1">
      <c r="B110" s="350" t="str">
        <f>".1"</f>
        <v>.1</v>
      </c>
      <c r="C110" s="351" t="s">
        <v>381</v>
      </c>
      <c r="D110" s="352"/>
      <c r="E110" s="353"/>
      <c r="F110" s="354"/>
      <c r="G110" s="353"/>
      <c r="H110" s="354"/>
      <c r="I110" s="353"/>
      <c r="J110" s="354"/>
      <c r="K110" s="353"/>
      <c r="L110" s="354"/>
      <c r="M110" s="349" t="str">
        <f t="shared" si="5"/>
        <v/>
      </c>
      <c r="N110" s="354"/>
      <c r="O110" s="355"/>
      <c r="Q110" s="356" t="str">
        <f>IF(T110&gt;0,T110,"")</f>
        <v/>
      </c>
      <c r="T110" s="349" t="str">
        <f>Scoring!U115</f>
        <v/>
      </c>
      <c r="V110" s="2376"/>
      <c r="W110" s="2377"/>
      <c r="X110" s="2377"/>
      <c r="Y110" s="2377"/>
      <c r="Z110" s="2378"/>
      <c r="AA110" s="348"/>
      <c r="AB110" s="348"/>
      <c r="AC110" s="348"/>
      <c r="AD110" s="348"/>
      <c r="AE110" s="349"/>
      <c r="AF110" s="349"/>
    </row>
    <row r="111" spans="2:32" ht="24" hidden="1" customHeight="1">
      <c r="B111" s="350" t="str">
        <f>".2"</f>
        <v>.2</v>
      </c>
      <c r="C111" s="351" t="s">
        <v>380</v>
      </c>
      <c r="D111" s="352"/>
      <c r="E111" s="353"/>
      <c r="F111" s="354"/>
      <c r="G111" s="353"/>
      <c r="H111" s="354"/>
      <c r="I111" s="353"/>
      <c r="J111" s="354"/>
      <c r="K111" s="353"/>
      <c r="L111" s="354"/>
      <c r="M111" s="349" t="str">
        <f t="shared" si="5"/>
        <v/>
      </c>
      <c r="N111" s="354"/>
      <c r="O111" s="355"/>
      <c r="Q111" s="356" t="str">
        <f>IF(T111&gt;0,T111,"")</f>
        <v/>
      </c>
      <c r="T111" s="349" t="str">
        <f>Scoring!U116</f>
        <v/>
      </c>
      <c r="V111" s="2376"/>
      <c r="W111" s="2377"/>
      <c r="X111" s="2377"/>
      <c r="Y111" s="2377"/>
      <c r="Z111" s="2378"/>
      <c r="AA111" s="348"/>
      <c r="AB111" s="348"/>
      <c r="AC111" s="348"/>
      <c r="AD111" s="348"/>
      <c r="AE111" s="349"/>
      <c r="AF111" s="349"/>
    </row>
    <row r="112" spans="2:32" ht="24" hidden="1" customHeight="1">
      <c r="B112" s="350" t="str">
        <f>".3"</f>
        <v>.3</v>
      </c>
      <c r="C112" s="351" t="s">
        <v>379</v>
      </c>
      <c r="D112" s="352"/>
      <c r="E112" s="353"/>
      <c r="F112" s="354"/>
      <c r="G112" s="353"/>
      <c r="H112" s="354"/>
      <c r="I112" s="353"/>
      <c r="J112" s="354"/>
      <c r="K112" s="353"/>
      <c r="L112" s="354"/>
      <c r="M112" s="349" t="str">
        <f t="shared" si="5"/>
        <v/>
      </c>
      <c r="N112" s="354"/>
      <c r="O112" s="355"/>
      <c r="Q112" s="356" t="str">
        <f>IF(T112&gt;0,T112,"")</f>
        <v/>
      </c>
      <c r="T112" s="349" t="str">
        <f>Scoring!U117</f>
        <v/>
      </c>
      <c r="V112" s="2376"/>
      <c r="W112" s="2377"/>
      <c r="X112" s="2377"/>
      <c r="Y112" s="2377"/>
      <c r="Z112" s="2378"/>
      <c r="AA112" s="348"/>
      <c r="AB112" s="348"/>
      <c r="AC112" s="348"/>
      <c r="AD112" s="348"/>
      <c r="AE112" s="349"/>
      <c r="AF112" s="349"/>
    </row>
    <row r="113" spans="2:32" ht="20" customHeight="1">
      <c r="B113" s="341" t="s">
        <v>378</v>
      </c>
      <c r="C113" s="342" t="str">
        <f>Dictionary!B1400</f>
        <v>Leistungsumfang</v>
      </c>
      <c r="D113" s="343"/>
      <c r="E113" s="353"/>
      <c r="F113" s="315"/>
      <c r="G113" s="353"/>
      <c r="H113" s="360"/>
      <c r="I113" s="359"/>
      <c r="J113" s="360"/>
      <c r="K113" s="359"/>
      <c r="L113" s="315"/>
      <c r="M113" s="359"/>
      <c r="N113" s="360"/>
      <c r="O113" s="359"/>
      <c r="Q113" s="356"/>
      <c r="R113" s="346" t="str">
        <f>IF(AND(E113="",G113=""),"",IF((E113+G113)&gt;0,"Pass","Fail"))</f>
        <v/>
      </c>
      <c r="T113" s="428">
        <f>COUNTIF(T114:T117,"&gt;3")/AE113</f>
        <v>0</v>
      </c>
      <c r="V113" s="2376"/>
      <c r="W113" s="2377"/>
      <c r="X113" s="2377"/>
      <c r="Y113" s="2377"/>
      <c r="Z113" s="2378"/>
      <c r="AA113" s="348"/>
      <c r="AB113" s="348"/>
      <c r="AC113" s="348"/>
      <c r="AD113" s="348"/>
      <c r="AE113" s="349">
        <v>4</v>
      </c>
      <c r="AF113" s="349">
        <f>ROUNDUP(AE113/2,0)</f>
        <v>2</v>
      </c>
    </row>
    <row r="114" spans="2:32" ht="18" hidden="1" customHeight="1">
      <c r="B114" s="350" t="str">
        <f>".1"</f>
        <v>.1</v>
      </c>
      <c r="C114" s="351" t="s">
        <v>377</v>
      </c>
      <c r="D114" s="352"/>
      <c r="E114" s="353"/>
      <c r="F114" s="354"/>
      <c r="G114" s="353"/>
      <c r="H114" s="354"/>
      <c r="I114" s="353"/>
      <c r="J114" s="354"/>
      <c r="K114" s="353"/>
      <c r="L114" s="354"/>
      <c r="M114" s="349" t="str">
        <f t="shared" si="5"/>
        <v/>
      </c>
      <c r="N114" s="354"/>
      <c r="O114" s="355"/>
      <c r="Q114" s="356" t="str">
        <f>IF(T114&gt;0,T114,"")</f>
        <v/>
      </c>
      <c r="T114" s="349" t="str">
        <f>Scoring!U121</f>
        <v/>
      </c>
      <c r="V114" s="2376"/>
      <c r="W114" s="2377"/>
      <c r="X114" s="2377"/>
      <c r="Y114" s="2377"/>
      <c r="Z114" s="2378"/>
      <c r="AA114" s="348"/>
      <c r="AB114" s="348"/>
      <c r="AC114" s="348"/>
      <c r="AD114" s="348"/>
      <c r="AE114" s="349"/>
      <c r="AF114" s="349"/>
    </row>
    <row r="115" spans="2:32" ht="18" hidden="1" customHeight="1">
      <c r="B115" s="350" t="str">
        <f>".2"</f>
        <v>.2</v>
      </c>
      <c r="C115" s="351" t="s">
        <v>376</v>
      </c>
      <c r="D115" s="352"/>
      <c r="E115" s="353"/>
      <c r="F115" s="354"/>
      <c r="G115" s="353"/>
      <c r="H115" s="354"/>
      <c r="I115" s="353"/>
      <c r="J115" s="354"/>
      <c r="K115" s="353"/>
      <c r="L115" s="354"/>
      <c r="M115" s="349" t="str">
        <f t="shared" si="5"/>
        <v/>
      </c>
      <c r="N115" s="354"/>
      <c r="O115" s="355"/>
      <c r="Q115" s="356" t="str">
        <f>IF(T115&gt;0,T115,"")</f>
        <v/>
      </c>
      <c r="T115" s="349" t="str">
        <f>Scoring!U122</f>
        <v/>
      </c>
      <c r="V115" s="2376"/>
      <c r="W115" s="2377"/>
      <c r="X115" s="2377"/>
      <c r="Y115" s="2377"/>
      <c r="Z115" s="2378"/>
      <c r="AA115" s="348"/>
      <c r="AB115" s="348"/>
      <c r="AC115" s="348"/>
      <c r="AD115" s="348"/>
      <c r="AE115" s="349"/>
      <c r="AF115" s="349"/>
    </row>
    <row r="116" spans="2:32" ht="18" hidden="1" customHeight="1">
      <c r="B116" s="350" t="str">
        <f>".3"</f>
        <v>.3</v>
      </c>
      <c r="C116" s="351" t="s">
        <v>375</v>
      </c>
      <c r="D116" s="352"/>
      <c r="E116" s="353"/>
      <c r="F116" s="354"/>
      <c r="G116" s="353"/>
      <c r="H116" s="354"/>
      <c r="I116" s="353"/>
      <c r="J116" s="354"/>
      <c r="K116" s="353"/>
      <c r="L116" s="354"/>
      <c r="M116" s="349" t="str">
        <f t="shared" si="5"/>
        <v/>
      </c>
      <c r="N116" s="354"/>
      <c r="O116" s="355"/>
      <c r="Q116" s="356" t="str">
        <f>IF(T116&gt;0,T116,"")</f>
        <v/>
      </c>
      <c r="T116" s="349" t="str">
        <f>Scoring!U123</f>
        <v/>
      </c>
      <c r="V116" s="2376"/>
      <c r="W116" s="2377"/>
      <c r="X116" s="2377"/>
      <c r="Y116" s="2377"/>
      <c r="Z116" s="2378"/>
      <c r="AA116" s="348"/>
      <c r="AB116" s="348"/>
      <c r="AC116" s="348"/>
      <c r="AD116" s="348"/>
      <c r="AE116" s="349"/>
      <c r="AF116" s="349"/>
    </row>
    <row r="117" spans="2:32" ht="18" hidden="1" customHeight="1">
      <c r="B117" s="350" t="str">
        <f>".4"</f>
        <v>.4</v>
      </c>
      <c r="C117" s="351" t="s">
        <v>374</v>
      </c>
      <c r="D117" s="352"/>
      <c r="E117" s="353"/>
      <c r="F117" s="354"/>
      <c r="G117" s="353"/>
      <c r="H117" s="354"/>
      <c r="I117" s="353"/>
      <c r="J117" s="354"/>
      <c r="K117" s="353"/>
      <c r="L117" s="354"/>
      <c r="M117" s="349" t="str">
        <f t="shared" si="5"/>
        <v/>
      </c>
      <c r="N117" s="354"/>
      <c r="O117" s="355"/>
      <c r="Q117" s="356" t="str">
        <f>IF(T117&gt;0,T117,"")</f>
        <v/>
      </c>
      <c r="T117" s="349" t="str">
        <f>Scoring!U124</f>
        <v/>
      </c>
      <c r="V117" s="2376"/>
      <c r="W117" s="2377"/>
      <c r="X117" s="2377"/>
      <c r="Y117" s="2377"/>
      <c r="Z117" s="2378"/>
      <c r="AA117" s="348"/>
      <c r="AB117" s="348"/>
      <c r="AC117" s="348"/>
      <c r="AD117" s="348"/>
      <c r="AE117" s="349"/>
      <c r="AF117" s="349"/>
    </row>
    <row r="118" spans="2:32" ht="20" customHeight="1">
      <c r="B118" s="341" t="s">
        <v>373</v>
      </c>
      <c r="C118" s="342" t="str">
        <f>Dictionary!B1407</f>
        <v>Ablauf und Termine</v>
      </c>
      <c r="D118" s="343"/>
      <c r="E118" s="353"/>
      <c r="F118" s="315"/>
      <c r="G118" s="353"/>
      <c r="H118" s="360"/>
      <c r="I118" s="359"/>
      <c r="J118" s="360"/>
      <c r="K118" s="359"/>
      <c r="L118" s="315"/>
      <c r="M118" s="359" t="str">
        <f>IF(MAX(E118,G118,K118)=0,"",MAX(E118,G118,K118))</f>
        <v/>
      </c>
      <c r="N118" s="360"/>
      <c r="O118" s="359"/>
      <c r="Q118" s="356"/>
      <c r="R118" s="346" t="str">
        <f>IF(AND(E118="",G118=""),"",IF((E118+G118)&gt;0,"Pass","Fail"))</f>
        <v/>
      </c>
      <c r="T118" s="428">
        <f>COUNTIF(T119:T123,"&gt;3")/AE118</f>
        <v>0</v>
      </c>
      <c r="V118" s="2376"/>
      <c r="W118" s="2377"/>
      <c r="X118" s="2377"/>
      <c r="Y118" s="2377"/>
      <c r="Z118" s="2378"/>
      <c r="AA118" s="348"/>
      <c r="AB118" s="348"/>
      <c r="AC118" s="348"/>
      <c r="AD118" s="348"/>
      <c r="AE118" s="349">
        <v>5</v>
      </c>
      <c r="AF118" s="349">
        <f>ROUNDUP(AE118/2,0)</f>
        <v>3</v>
      </c>
    </row>
    <row r="119" spans="2:32" ht="18" hidden="1" customHeight="1">
      <c r="B119" s="350" t="str">
        <f>".1"</f>
        <v>.1</v>
      </c>
      <c r="C119" s="351" t="s">
        <v>372</v>
      </c>
      <c r="D119" s="352"/>
      <c r="E119" s="353"/>
      <c r="F119" s="354"/>
      <c r="G119" s="353"/>
      <c r="H119" s="354"/>
      <c r="I119" s="353"/>
      <c r="J119" s="354"/>
      <c r="K119" s="353"/>
      <c r="L119" s="354"/>
      <c r="M119" s="349" t="str">
        <f t="shared" si="5"/>
        <v/>
      </c>
      <c r="N119" s="354"/>
      <c r="O119" s="355"/>
      <c r="Q119" s="356" t="str">
        <f>IF(T119&gt;0,T119,"")</f>
        <v/>
      </c>
      <c r="T119" s="349" t="str">
        <f>Scoring!U126</f>
        <v/>
      </c>
      <c r="V119" s="2376"/>
      <c r="W119" s="2377"/>
      <c r="X119" s="2377"/>
      <c r="Y119" s="2377"/>
      <c r="Z119" s="2378"/>
      <c r="AA119" s="348"/>
      <c r="AB119" s="348"/>
      <c r="AC119" s="348"/>
      <c r="AD119" s="348"/>
      <c r="AE119" s="349"/>
      <c r="AF119" s="349"/>
    </row>
    <row r="120" spans="2:32" ht="18" hidden="1" customHeight="1">
      <c r="B120" s="350" t="str">
        <f>".2"</f>
        <v>.2</v>
      </c>
      <c r="C120" s="351" t="s">
        <v>371</v>
      </c>
      <c r="D120" s="352"/>
      <c r="E120" s="353"/>
      <c r="F120" s="354"/>
      <c r="G120" s="353"/>
      <c r="H120" s="354"/>
      <c r="I120" s="353"/>
      <c r="J120" s="354"/>
      <c r="K120" s="353"/>
      <c r="L120" s="354"/>
      <c r="M120" s="349" t="str">
        <f t="shared" si="5"/>
        <v/>
      </c>
      <c r="N120" s="354"/>
      <c r="O120" s="355"/>
      <c r="Q120" s="356" t="str">
        <f>IF(T120&gt;0,T120,"")</f>
        <v/>
      </c>
      <c r="T120" s="349" t="str">
        <f>Scoring!U127</f>
        <v/>
      </c>
      <c r="V120" s="2376"/>
      <c r="W120" s="2377"/>
      <c r="X120" s="2377"/>
      <c r="Y120" s="2377"/>
      <c r="Z120" s="2378"/>
      <c r="AA120" s="348"/>
      <c r="AB120" s="348"/>
      <c r="AC120" s="348"/>
      <c r="AD120" s="348"/>
      <c r="AE120" s="349"/>
      <c r="AF120" s="349"/>
    </row>
    <row r="121" spans="2:32" ht="18" hidden="1" customHeight="1">
      <c r="B121" s="350" t="str">
        <f>".3"</f>
        <v>.3</v>
      </c>
      <c r="C121" s="351" t="s">
        <v>370</v>
      </c>
      <c r="D121" s="352"/>
      <c r="E121" s="353"/>
      <c r="F121" s="354"/>
      <c r="G121" s="353"/>
      <c r="H121" s="354"/>
      <c r="I121" s="353"/>
      <c r="J121" s="354"/>
      <c r="K121" s="353"/>
      <c r="L121" s="354"/>
      <c r="M121" s="349" t="str">
        <f t="shared" si="5"/>
        <v/>
      </c>
      <c r="N121" s="354"/>
      <c r="O121" s="355"/>
      <c r="Q121" s="356" t="str">
        <f>IF(T121&gt;0,T121,"")</f>
        <v/>
      </c>
      <c r="T121" s="349" t="str">
        <f>Scoring!U128</f>
        <v/>
      </c>
      <c r="V121" s="2376"/>
      <c r="W121" s="2377"/>
      <c r="X121" s="2377"/>
      <c r="Y121" s="2377"/>
      <c r="Z121" s="2378"/>
      <c r="AA121" s="348"/>
      <c r="AB121" s="348"/>
      <c r="AC121" s="348"/>
      <c r="AD121" s="348"/>
      <c r="AE121" s="349"/>
      <c r="AF121" s="349"/>
    </row>
    <row r="122" spans="2:32" ht="18" hidden="1" customHeight="1">
      <c r="B122" s="350" t="str">
        <f>".4"</f>
        <v>.4</v>
      </c>
      <c r="C122" s="351" t="s">
        <v>369</v>
      </c>
      <c r="D122" s="352"/>
      <c r="E122" s="353"/>
      <c r="F122" s="354"/>
      <c r="G122" s="353"/>
      <c r="H122" s="354"/>
      <c r="I122" s="353"/>
      <c r="J122" s="354"/>
      <c r="K122" s="353"/>
      <c r="L122" s="354"/>
      <c r="M122" s="349" t="str">
        <f t="shared" si="5"/>
        <v/>
      </c>
      <c r="N122" s="354"/>
      <c r="O122" s="355"/>
      <c r="Q122" s="356" t="str">
        <f>IF(T122&gt;0,T122,"")</f>
        <v/>
      </c>
      <c r="T122" s="349" t="str">
        <f>Scoring!U129</f>
        <v/>
      </c>
      <c r="V122" s="2376"/>
      <c r="W122" s="2377"/>
      <c r="X122" s="2377"/>
      <c r="Y122" s="2377"/>
      <c r="Z122" s="2378"/>
      <c r="AA122" s="348"/>
      <c r="AB122" s="348"/>
      <c r="AC122" s="348"/>
      <c r="AD122" s="348"/>
      <c r="AE122" s="349"/>
      <c r="AF122" s="349"/>
    </row>
    <row r="123" spans="2:32" ht="24" hidden="1" customHeight="1">
      <c r="B123" s="350" t="str">
        <f>".5"</f>
        <v>.5</v>
      </c>
      <c r="C123" s="351" t="s">
        <v>368</v>
      </c>
      <c r="D123" s="352"/>
      <c r="E123" s="353"/>
      <c r="F123" s="354"/>
      <c r="G123" s="353"/>
      <c r="H123" s="354"/>
      <c r="I123" s="353"/>
      <c r="J123" s="354"/>
      <c r="K123" s="353"/>
      <c r="L123" s="354"/>
      <c r="M123" s="349" t="str">
        <f t="shared" si="5"/>
        <v/>
      </c>
      <c r="N123" s="354"/>
      <c r="O123" s="355"/>
      <c r="Q123" s="356" t="str">
        <f>IF(T123&gt;0,T123,"")</f>
        <v/>
      </c>
      <c r="T123" s="349" t="str">
        <f>Scoring!U130</f>
        <v/>
      </c>
      <c r="V123" s="2376"/>
      <c r="W123" s="2377"/>
      <c r="X123" s="2377"/>
      <c r="Y123" s="2377"/>
      <c r="Z123" s="2378"/>
      <c r="AA123" s="348"/>
      <c r="AB123" s="348"/>
      <c r="AC123" s="348"/>
      <c r="AD123" s="348"/>
      <c r="AE123" s="349"/>
      <c r="AF123" s="349"/>
    </row>
    <row r="124" spans="2:32" ht="20" customHeight="1">
      <c r="B124" s="341" t="s">
        <v>367</v>
      </c>
      <c r="C124" s="342" t="str">
        <f>Dictionary!B1415</f>
        <v>Organisation und Information</v>
      </c>
      <c r="D124" s="343"/>
      <c r="E124" s="353"/>
      <c r="F124" s="315"/>
      <c r="G124" s="353"/>
      <c r="H124" s="360"/>
      <c r="I124" s="359"/>
      <c r="J124" s="360"/>
      <c r="K124" s="359"/>
      <c r="L124" s="315"/>
      <c r="M124" s="359"/>
      <c r="N124" s="360"/>
      <c r="O124" s="359"/>
      <c r="Q124" s="356"/>
      <c r="R124" s="346" t="str">
        <f>IF(AND(E124="",G124=""),"",IF((E124+G124)&gt;0,"Pass","Fail"))</f>
        <v/>
      </c>
      <c r="T124" s="428">
        <f>COUNTIF(T125:T128,"&gt;3")/AE124</f>
        <v>0</v>
      </c>
      <c r="V124" s="2376"/>
      <c r="W124" s="2377"/>
      <c r="X124" s="2377"/>
      <c r="Y124" s="2377"/>
      <c r="Z124" s="2378"/>
      <c r="AA124" s="348"/>
      <c r="AB124" s="348"/>
      <c r="AC124" s="348"/>
      <c r="AD124" s="348"/>
      <c r="AE124" s="349">
        <v>4</v>
      </c>
      <c r="AF124" s="349">
        <f>ROUNDUP(AE124/2,0)</f>
        <v>2</v>
      </c>
    </row>
    <row r="125" spans="2:32" ht="24" hidden="1" customHeight="1">
      <c r="B125" s="350" t="str">
        <f>".1"</f>
        <v>.1</v>
      </c>
      <c r="C125" s="351" t="s">
        <v>365</v>
      </c>
      <c r="D125" s="352"/>
      <c r="E125" s="353"/>
      <c r="F125" s="354"/>
      <c r="G125" s="353"/>
      <c r="H125" s="354"/>
      <c r="I125" s="353"/>
      <c r="J125" s="354"/>
      <c r="K125" s="353"/>
      <c r="L125" s="354"/>
      <c r="M125" s="349" t="str">
        <f t="shared" si="5"/>
        <v/>
      </c>
      <c r="N125" s="354"/>
      <c r="O125" s="355"/>
      <c r="Q125" s="356" t="str">
        <f>IF(T125&gt;0,T125,"")</f>
        <v/>
      </c>
      <c r="T125" s="349" t="str">
        <f>Scoring!U132</f>
        <v/>
      </c>
      <c r="V125" s="2376"/>
      <c r="W125" s="2377"/>
      <c r="X125" s="2377"/>
      <c r="Y125" s="2377"/>
      <c r="Z125" s="2378"/>
      <c r="AA125" s="348"/>
      <c r="AB125" s="348"/>
      <c r="AC125" s="348"/>
      <c r="AD125" s="348"/>
      <c r="AE125" s="349"/>
      <c r="AF125" s="349"/>
    </row>
    <row r="126" spans="2:32" ht="24" hidden="1" customHeight="1">
      <c r="B126" s="350" t="str">
        <f>".2"</f>
        <v>.2</v>
      </c>
      <c r="C126" s="351" t="s">
        <v>364</v>
      </c>
      <c r="D126" s="352"/>
      <c r="E126" s="353"/>
      <c r="F126" s="354"/>
      <c r="G126" s="353"/>
      <c r="H126" s="354"/>
      <c r="I126" s="353"/>
      <c r="J126" s="354"/>
      <c r="K126" s="353"/>
      <c r="L126" s="354"/>
      <c r="M126" s="349" t="str">
        <f t="shared" si="5"/>
        <v/>
      </c>
      <c r="N126" s="354"/>
      <c r="O126" s="355"/>
      <c r="Q126" s="356" t="str">
        <f>IF(T126&gt;0,T126,"")</f>
        <v/>
      </c>
      <c r="T126" s="349" t="str">
        <f>Scoring!U133</f>
        <v/>
      </c>
      <c r="V126" s="2376"/>
      <c r="W126" s="2377"/>
      <c r="X126" s="2377"/>
      <c r="Y126" s="2377"/>
      <c r="Z126" s="2378"/>
      <c r="AA126" s="348"/>
      <c r="AB126" s="348"/>
      <c r="AC126" s="348"/>
      <c r="AD126" s="348"/>
      <c r="AE126" s="349"/>
      <c r="AF126" s="349"/>
    </row>
    <row r="127" spans="2:32" ht="24" hidden="1" customHeight="1">
      <c r="B127" s="350" t="str">
        <f>".3"</f>
        <v>.3</v>
      </c>
      <c r="C127" s="351" t="s">
        <v>363</v>
      </c>
      <c r="D127" s="352"/>
      <c r="E127" s="353"/>
      <c r="F127" s="354"/>
      <c r="G127" s="353"/>
      <c r="H127" s="354"/>
      <c r="I127" s="353"/>
      <c r="J127" s="354"/>
      <c r="K127" s="353"/>
      <c r="L127" s="354"/>
      <c r="M127" s="349" t="str">
        <f t="shared" si="5"/>
        <v/>
      </c>
      <c r="N127" s="354"/>
      <c r="O127" s="355"/>
      <c r="Q127" s="356" t="str">
        <f>IF(T127&gt;0,T127,"")</f>
        <v/>
      </c>
      <c r="T127" s="349" t="str">
        <f>Scoring!U134</f>
        <v/>
      </c>
      <c r="V127" s="2376"/>
      <c r="W127" s="2377"/>
      <c r="X127" s="2377"/>
      <c r="Y127" s="2377"/>
      <c r="Z127" s="2378"/>
      <c r="AA127" s="348"/>
      <c r="AB127" s="348"/>
      <c r="AC127" s="348"/>
      <c r="AD127" s="348"/>
      <c r="AE127" s="349"/>
      <c r="AF127" s="349"/>
    </row>
    <row r="128" spans="2:32" ht="24" hidden="1" customHeight="1">
      <c r="B128" s="350" t="str">
        <f>".4"</f>
        <v>.4</v>
      </c>
      <c r="C128" s="351" t="s">
        <v>362</v>
      </c>
      <c r="D128" s="352"/>
      <c r="E128" s="353"/>
      <c r="F128" s="354"/>
      <c r="G128" s="353"/>
      <c r="H128" s="354"/>
      <c r="I128" s="353"/>
      <c r="J128" s="354"/>
      <c r="K128" s="353"/>
      <c r="L128" s="354"/>
      <c r="M128" s="349" t="str">
        <f t="shared" si="5"/>
        <v/>
      </c>
      <c r="N128" s="354"/>
      <c r="O128" s="355"/>
      <c r="Q128" s="356" t="str">
        <f>IF(T128&gt;0,T128,"")</f>
        <v/>
      </c>
      <c r="T128" s="349" t="str">
        <f>Scoring!U135</f>
        <v/>
      </c>
      <c r="V128" s="2376"/>
      <c r="W128" s="2377"/>
      <c r="X128" s="2377"/>
      <c r="Y128" s="2377"/>
      <c r="Z128" s="2378"/>
      <c r="AA128" s="348"/>
      <c r="AB128" s="348"/>
      <c r="AC128" s="348"/>
      <c r="AD128" s="348"/>
      <c r="AE128" s="349"/>
      <c r="AF128" s="349"/>
    </row>
    <row r="129" spans="2:32" ht="20" customHeight="1">
      <c r="B129" s="341" t="s">
        <v>361</v>
      </c>
      <c r="C129" s="342" t="str">
        <f>Dictionary!B1422</f>
        <v>Qualität</v>
      </c>
      <c r="D129" s="343"/>
      <c r="E129" s="436"/>
      <c r="F129" s="315"/>
      <c r="G129" s="353"/>
      <c r="H129" s="360"/>
      <c r="I129" s="359"/>
      <c r="J129" s="360"/>
      <c r="K129" s="359"/>
      <c r="L129" s="315"/>
      <c r="M129" s="359"/>
      <c r="N129" s="360"/>
      <c r="O129" s="359"/>
      <c r="Q129" s="356"/>
      <c r="R129" s="346" t="str">
        <f>IF(AND(E129="",G129=""),"",IF((E129+G129)&gt;0,"Pass","Fail"))</f>
        <v/>
      </c>
      <c r="T129" s="428">
        <f>COUNTIF(T130:T134,"&gt;3")/AE129</f>
        <v>0</v>
      </c>
      <c r="V129" s="2376"/>
      <c r="W129" s="2377"/>
      <c r="X129" s="2377"/>
      <c r="Y129" s="2377"/>
      <c r="Z129" s="2378"/>
      <c r="AA129" s="348"/>
      <c r="AB129" s="348"/>
      <c r="AC129" s="348"/>
      <c r="AD129" s="348"/>
      <c r="AE129" s="349">
        <v>5</v>
      </c>
      <c r="AF129" s="349">
        <f>ROUNDUP(AE129/2,0)</f>
        <v>3</v>
      </c>
    </row>
    <row r="130" spans="2:32" ht="24" hidden="1" customHeight="1">
      <c r="B130" s="350" t="str">
        <f>".1"</f>
        <v>.1</v>
      </c>
      <c r="C130" s="351" t="s">
        <v>360</v>
      </c>
      <c r="D130" s="352"/>
      <c r="E130" s="353"/>
      <c r="F130" s="354"/>
      <c r="G130" s="353"/>
      <c r="H130" s="354"/>
      <c r="I130" s="353"/>
      <c r="J130" s="354"/>
      <c r="K130" s="353"/>
      <c r="L130" s="354"/>
      <c r="M130" s="349" t="str">
        <f t="shared" si="5"/>
        <v/>
      </c>
      <c r="N130" s="354"/>
      <c r="O130" s="355"/>
      <c r="Q130" s="356" t="str">
        <f>IF(T130&gt;0,T130,"")</f>
        <v/>
      </c>
      <c r="T130" s="349" t="str">
        <f>Scoring!U137</f>
        <v/>
      </c>
      <c r="V130" s="2376"/>
      <c r="W130" s="2377"/>
      <c r="X130" s="2377"/>
      <c r="Y130" s="2377"/>
      <c r="Z130" s="2378"/>
      <c r="AA130" s="348"/>
      <c r="AB130" s="348"/>
      <c r="AC130" s="348"/>
      <c r="AD130" s="348"/>
      <c r="AE130" s="349"/>
      <c r="AF130" s="349"/>
    </row>
    <row r="131" spans="2:32" ht="36" hidden="1" customHeight="1">
      <c r="B131" s="350" t="str">
        <f>".2"</f>
        <v>.2</v>
      </c>
      <c r="C131" s="351" t="s">
        <v>359</v>
      </c>
      <c r="D131" s="352"/>
      <c r="E131" s="353"/>
      <c r="F131" s="354"/>
      <c r="G131" s="353"/>
      <c r="H131" s="354"/>
      <c r="I131" s="353"/>
      <c r="J131" s="354"/>
      <c r="K131" s="353"/>
      <c r="L131" s="354"/>
      <c r="M131" s="349" t="str">
        <f t="shared" si="5"/>
        <v/>
      </c>
      <c r="N131" s="354"/>
      <c r="O131" s="355"/>
      <c r="Q131" s="356" t="str">
        <f>IF(T131&gt;0,T131,"")</f>
        <v/>
      </c>
      <c r="T131" s="349" t="str">
        <f>Scoring!U138</f>
        <v/>
      </c>
      <c r="V131" s="2376"/>
      <c r="W131" s="2377"/>
      <c r="X131" s="2377"/>
      <c r="Y131" s="2377"/>
      <c r="Z131" s="2378"/>
      <c r="AA131" s="348"/>
      <c r="AB131" s="348"/>
      <c r="AC131" s="348"/>
      <c r="AD131" s="348"/>
      <c r="AE131" s="349"/>
      <c r="AF131" s="349"/>
    </row>
    <row r="132" spans="2:32" ht="36" hidden="1" customHeight="1">
      <c r="B132" s="350" t="str">
        <f>".3"</f>
        <v>.3</v>
      </c>
      <c r="C132" s="351" t="s">
        <v>358</v>
      </c>
      <c r="D132" s="352"/>
      <c r="E132" s="353"/>
      <c r="F132" s="354"/>
      <c r="G132" s="353"/>
      <c r="H132" s="354"/>
      <c r="I132" s="353"/>
      <c r="J132" s="354"/>
      <c r="K132" s="353"/>
      <c r="L132" s="354"/>
      <c r="M132" s="349" t="str">
        <f t="shared" si="5"/>
        <v/>
      </c>
      <c r="N132" s="354"/>
      <c r="O132" s="355"/>
      <c r="Q132" s="356" t="str">
        <f>IF(T132&gt;0,T132,"")</f>
        <v/>
      </c>
      <c r="T132" s="349" t="str">
        <f>Scoring!U139</f>
        <v/>
      </c>
      <c r="V132" s="2376"/>
      <c r="W132" s="2377"/>
      <c r="X132" s="2377"/>
      <c r="Y132" s="2377"/>
      <c r="Z132" s="2378"/>
      <c r="AA132" s="348"/>
      <c r="AB132" s="348"/>
      <c r="AC132" s="348"/>
      <c r="AD132" s="348"/>
      <c r="AE132" s="349"/>
      <c r="AF132" s="349"/>
    </row>
    <row r="133" spans="2:32" ht="18" hidden="1" customHeight="1">
      <c r="B133" s="350" t="str">
        <f>".4"</f>
        <v>.4</v>
      </c>
      <c r="C133" s="351" t="s">
        <v>357</v>
      </c>
      <c r="D133" s="352"/>
      <c r="E133" s="353"/>
      <c r="F133" s="354"/>
      <c r="G133" s="353"/>
      <c r="H133" s="354"/>
      <c r="I133" s="353"/>
      <c r="J133" s="354"/>
      <c r="K133" s="353"/>
      <c r="L133" s="354"/>
      <c r="M133" s="349" t="str">
        <f t="shared" si="5"/>
        <v/>
      </c>
      <c r="N133" s="354"/>
      <c r="O133" s="355"/>
      <c r="Q133" s="356" t="str">
        <f>IF(T133&gt;0,T133,"")</f>
        <v/>
      </c>
      <c r="T133" s="349" t="str">
        <f>Scoring!U140</f>
        <v/>
      </c>
      <c r="V133" s="2376"/>
      <c r="W133" s="2377"/>
      <c r="X133" s="2377"/>
      <c r="Y133" s="2377"/>
      <c r="Z133" s="2378"/>
      <c r="AA133" s="348"/>
      <c r="AB133" s="348"/>
      <c r="AC133" s="348"/>
      <c r="AD133" s="348"/>
      <c r="AE133" s="349"/>
      <c r="AF133" s="349"/>
    </row>
    <row r="134" spans="2:32" ht="18" hidden="1" customHeight="1">
      <c r="B134" s="350" t="str">
        <f>".5"</f>
        <v>.5</v>
      </c>
      <c r="C134" s="351" t="s">
        <v>356</v>
      </c>
      <c r="D134" s="352"/>
      <c r="E134" s="353"/>
      <c r="F134" s="354"/>
      <c r="G134" s="353"/>
      <c r="H134" s="354"/>
      <c r="I134" s="353"/>
      <c r="J134" s="354"/>
      <c r="K134" s="353"/>
      <c r="L134" s="354"/>
      <c r="M134" s="349" t="str">
        <f t="shared" si="5"/>
        <v/>
      </c>
      <c r="N134" s="354"/>
      <c r="O134" s="355"/>
      <c r="Q134" s="356" t="str">
        <f>IF(T134&gt;0,T134,"")</f>
        <v/>
      </c>
      <c r="T134" s="349" t="str">
        <f>Scoring!U141</f>
        <v/>
      </c>
      <c r="V134" s="2376"/>
      <c r="W134" s="2377"/>
      <c r="X134" s="2377"/>
      <c r="Y134" s="2377"/>
      <c r="Z134" s="2378"/>
      <c r="AA134" s="348"/>
      <c r="AB134" s="348"/>
      <c r="AC134" s="348"/>
      <c r="AD134" s="348"/>
      <c r="AE134" s="349"/>
      <c r="AF134" s="349"/>
    </row>
    <row r="135" spans="2:32" ht="20" customHeight="1">
      <c r="B135" s="341" t="s">
        <v>355</v>
      </c>
      <c r="C135" s="342" t="str">
        <f>Dictionary!B1430</f>
        <v>Kosten &amp; Finanzierung</v>
      </c>
      <c r="D135" s="343"/>
      <c r="E135" s="353"/>
      <c r="F135" s="315"/>
      <c r="G135" s="353"/>
      <c r="H135" s="360"/>
      <c r="I135" s="359"/>
      <c r="J135" s="360"/>
      <c r="K135" s="359"/>
      <c r="L135" s="315"/>
      <c r="M135" s="359"/>
      <c r="N135" s="360"/>
      <c r="O135" s="359"/>
      <c r="Q135" s="356"/>
      <c r="R135" s="346" t="str">
        <f>IF(AND(E135="",G135=""),"",IF((E135+G135)&gt;0,"Pass","Fail"))</f>
        <v/>
      </c>
      <c r="T135" s="428">
        <f>COUNTIF(T136:T140,"&gt;3")/AE135</f>
        <v>0</v>
      </c>
      <c r="V135" s="2376"/>
      <c r="W135" s="2377"/>
      <c r="X135" s="2377"/>
      <c r="Y135" s="2377"/>
      <c r="Z135" s="2378"/>
      <c r="AA135" s="348"/>
      <c r="AB135" s="348"/>
      <c r="AC135" s="348"/>
      <c r="AD135" s="348"/>
      <c r="AE135" s="349">
        <v>5</v>
      </c>
      <c r="AF135" s="349">
        <f>ROUNDUP(AE135/2,0)</f>
        <v>3</v>
      </c>
    </row>
    <row r="136" spans="2:32" ht="18" hidden="1" customHeight="1">
      <c r="B136" s="350" t="str">
        <f>".1"</f>
        <v>.1</v>
      </c>
      <c r="C136" s="351" t="s">
        <v>354</v>
      </c>
      <c r="D136" s="352"/>
      <c r="E136" s="353"/>
      <c r="F136" s="354"/>
      <c r="G136" s="353"/>
      <c r="H136" s="354"/>
      <c r="I136" s="353"/>
      <c r="J136" s="354"/>
      <c r="K136" s="353"/>
      <c r="L136" s="354"/>
      <c r="M136" s="349" t="str">
        <f t="shared" si="5"/>
        <v/>
      </c>
      <c r="N136" s="354"/>
      <c r="O136" s="355"/>
      <c r="Q136" s="356" t="str">
        <f>IF(T136&gt;0,T136,"")</f>
        <v/>
      </c>
      <c r="T136" s="349" t="str">
        <f>Scoring!U143</f>
        <v/>
      </c>
      <c r="V136" s="2376"/>
      <c r="W136" s="2377"/>
      <c r="X136" s="2377"/>
      <c r="Y136" s="2377"/>
      <c r="Z136" s="2378"/>
      <c r="AA136" s="348"/>
      <c r="AB136" s="348"/>
      <c r="AC136" s="348"/>
      <c r="AD136" s="348"/>
      <c r="AE136" s="349"/>
      <c r="AF136" s="349"/>
    </row>
    <row r="137" spans="2:32" ht="18" hidden="1" customHeight="1">
      <c r="B137" s="350" t="str">
        <f>".2"</f>
        <v>.2</v>
      </c>
      <c r="C137" s="351" t="s">
        <v>353</v>
      </c>
      <c r="D137" s="352"/>
      <c r="E137" s="353"/>
      <c r="F137" s="354"/>
      <c r="G137" s="353"/>
      <c r="H137" s="354"/>
      <c r="I137" s="353"/>
      <c r="J137" s="354"/>
      <c r="K137" s="353"/>
      <c r="L137" s="354"/>
      <c r="M137" s="349" t="str">
        <f t="shared" si="5"/>
        <v/>
      </c>
      <c r="N137" s="354"/>
      <c r="O137" s="355"/>
      <c r="Q137" s="356" t="str">
        <f>IF(T137&gt;0,T137,"")</f>
        <v/>
      </c>
      <c r="T137" s="349" t="str">
        <f>Scoring!U144</f>
        <v/>
      </c>
      <c r="V137" s="2376"/>
      <c r="W137" s="2377"/>
      <c r="X137" s="2377"/>
      <c r="Y137" s="2377"/>
      <c r="Z137" s="2378"/>
      <c r="AA137" s="348"/>
      <c r="AB137" s="348"/>
      <c r="AC137" s="348"/>
      <c r="AD137" s="348"/>
      <c r="AE137" s="349"/>
      <c r="AF137" s="349"/>
    </row>
    <row r="138" spans="2:32" ht="18" hidden="1" customHeight="1">
      <c r="B138" s="350" t="str">
        <f>".3"</f>
        <v>.3</v>
      </c>
      <c r="C138" s="351" t="s">
        <v>352</v>
      </c>
      <c r="D138" s="352"/>
      <c r="E138" s="353"/>
      <c r="F138" s="354"/>
      <c r="G138" s="353"/>
      <c r="H138" s="354"/>
      <c r="I138" s="353"/>
      <c r="J138" s="354"/>
      <c r="K138" s="353"/>
      <c r="L138" s="354"/>
      <c r="M138" s="349" t="str">
        <f t="shared" si="5"/>
        <v/>
      </c>
      <c r="N138" s="354"/>
      <c r="O138" s="355"/>
      <c r="Q138" s="356" t="str">
        <f>IF(T138&gt;0,T138,"")</f>
        <v/>
      </c>
      <c r="T138" s="349" t="str">
        <f>Scoring!U145</f>
        <v/>
      </c>
      <c r="V138" s="2376"/>
      <c r="W138" s="2377"/>
      <c r="X138" s="2377"/>
      <c r="Y138" s="2377"/>
      <c r="Z138" s="2378"/>
      <c r="AA138" s="348"/>
      <c r="AB138" s="348"/>
      <c r="AC138" s="348"/>
      <c r="AD138" s="348"/>
      <c r="AE138" s="349"/>
      <c r="AF138" s="349"/>
    </row>
    <row r="139" spans="2:32" ht="24" hidden="1" customHeight="1">
      <c r="B139" s="350" t="str">
        <f>".4"</f>
        <v>.4</v>
      </c>
      <c r="C139" s="351" t="s">
        <v>351</v>
      </c>
      <c r="D139" s="352"/>
      <c r="E139" s="353"/>
      <c r="F139" s="354"/>
      <c r="G139" s="353"/>
      <c r="H139" s="354"/>
      <c r="I139" s="353"/>
      <c r="J139" s="354"/>
      <c r="K139" s="353"/>
      <c r="L139" s="354"/>
      <c r="M139" s="349" t="str">
        <f t="shared" si="5"/>
        <v/>
      </c>
      <c r="N139" s="354"/>
      <c r="O139" s="355"/>
      <c r="Q139" s="356" t="str">
        <f>IF(T139&gt;0,T139,"")</f>
        <v/>
      </c>
      <c r="T139" s="349" t="str">
        <f>Scoring!U146</f>
        <v/>
      </c>
      <c r="V139" s="2376"/>
      <c r="W139" s="2377"/>
      <c r="X139" s="2377"/>
      <c r="Y139" s="2377"/>
      <c r="Z139" s="2378"/>
      <c r="AA139" s="348"/>
      <c r="AB139" s="348"/>
      <c r="AC139" s="348"/>
      <c r="AD139" s="348"/>
      <c r="AE139" s="349"/>
      <c r="AF139" s="349"/>
    </row>
    <row r="140" spans="2:32" ht="24" hidden="1" customHeight="1">
      <c r="B140" s="350" t="str">
        <f>".5"</f>
        <v>.5</v>
      </c>
      <c r="C140" s="351" t="s">
        <v>350</v>
      </c>
      <c r="D140" s="352"/>
      <c r="E140" s="353"/>
      <c r="F140" s="354"/>
      <c r="G140" s="353"/>
      <c r="H140" s="354"/>
      <c r="I140" s="353"/>
      <c r="J140" s="354"/>
      <c r="K140" s="353"/>
      <c r="L140" s="354"/>
      <c r="M140" s="349" t="str">
        <f t="shared" si="5"/>
        <v/>
      </c>
      <c r="N140" s="354"/>
      <c r="O140" s="355"/>
      <c r="Q140" s="356" t="str">
        <f>IF(T140&gt;0,T140,"")</f>
        <v/>
      </c>
      <c r="T140" s="349" t="str">
        <f>Scoring!U147</f>
        <v/>
      </c>
      <c r="V140" s="2376"/>
      <c r="W140" s="2377"/>
      <c r="X140" s="2377"/>
      <c r="Y140" s="2377"/>
      <c r="Z140" s="2378"/>
      <c r="AA140" s="348"/>
      <c r="AB140" s="348"/>
      <c r="AC140" s="348"/>
      <c r="AD140" s="348"/>
      <c r="AE140" s="349"/>
      <c r="AF140" s="349"/>
    </row>
    <row r="141" spans="2:32" ht="20" customHeight="1">
      <c r="B141" s="341" t="s">
        <v>349</v>
      </c>
      <c r="C141" s="342" t="str">
        <f>Dictionary!B1438</f>
        <v>Ressourcen</v>
      </c>
      <c r="D141" s="343"/>
      <c r="E141" s="353"/>
      <c r="F141" s="315"/>
      <c r="G141" s="353"/>
      <c r="H141" s="360"/>
      <c r="I141" s="359"/>
      <c r="J141" s="360"/>
      <c r="K141" s="359"/>
      <c r="L141" s="315"/>
      <c r="M141" s="359"/>
      <c r="N141" s="360"/>
      <c r="O141" s="359"/>
      <c r="Q141" s="356"/>
      <c r="R141" s="346" t="str">
        <f>IF(AND(E141="",G141=""),"",IF((E141+G141)&gt;0,"Pass","Fail"))</f>
        <v/>
      </c>
      <c r="T141" s="428">
        <f>COUNTIF(T142:T146,"&gt;3")/AE141</f>
        <v>0</v>
      </c>
      <c r="V141" s="2376"/>
      <c r="W141" s="2377"/>
      <c r="X141" s="2377"/>
      <c r="Y141" s="2377"/>
      <c r="Z141" s="2378"/>
      <c r="AA141" s="348"/>
      <c r="AB141" s="348"/>
      <c r="AC141" s="348"/>
      <c r="AD141" s="348"/>
      <c r="AE141" s="349">
        <v>5</v>
      </c>
      <c r="AF141" s="349">
        <f>ROUNDUP(AE141/2,0)</f>
        <v>3</v>
      </c>
    </row>
    <row r="142" spans="2:32" ht="18" hidden="1" customHeight="1">
      <c r="B142" s="350" t="str">
        <f>".1"</f>
        <v>.1</v>
      </c>
      <c r="C142" s="351" t="s">
        <v>348</v>
      </c>
      <c r="D142" s="352"/>
      <c r="E142" s="353"/>
      <c r="F142" s="354"/>
      <c r="G142" s="353"/>
      <c r="H142" s="354"/>
      <c r="I142" s="353"/>
      <c r="J142" s="354"/>
      <c r="K142" s="353"/>
      <c r="L142" s="354"/>
      <c r="M142" s="349" t="str">
        <f t="shared" si="5"/>
        <v/>
      </c>
      <c r="N142" s="354"/>
      <c r="O142" s="355"/>
      <c r="Q142" s="356" t="str">
        <f>IF(T142&gt;0,T142,"")</f>
        <v/>
      </c>
      <c r="T142" s="349" t="str">
        <f>Scoring!U149</f>
        <v/>
      </c>
      <c r="V142" s="2376"/>
      <c r="W142" s="2377"/>
      <c r="X142" s="2377"/>
      <c r="Y142" s="2377"/>
      <c r="Z142" s="2378"/>
      <c r="AA142" s="348"/>
      <c r="AB142" s="348"/>
      <c r="AC142" s="348"/>
      <c r="AD142" s="348"/>
      <c r="AE142" s="349"/>
      <c r="AF142" s="349"/>
    </row>
    <row r="143" spans="2:32" ht="18" hidden="1" customHeight="1">
      <c r="B143" s="350" t="str">
        <f>".2"</f>
        <v>.2</v>
      </c>
      <c r="C143" s="351" t="s">
        <v>347</v>
      </c>
      <c r="D143" s="352"/>
      <c r="E143" s="353"/>
      <c r="F143" s="354"/>
      <c r="G143" s="353"/>
      <c r="H143" s="354"/>
      <c r="I143" s="353"/>
      <c r="J143" s="354"/>
      <c r="K143" s="353"/>
      <c r="L143" s="354"/>
      <c r="M143" s="349" t="str">
        <f t="shared" si="5"/>
        <v/>
      </c>
      <c r="N143" s="354"/>
      <c r="O143" s="355"/>
      <c r="Q143" s="356" t="str">
        <f>IF(T143&gt;0,T143,"")</f>
        <v/>
      </c>
      <c r="T143" s="349" t="str">
        <f>Scoring!U150</f>
        <v/>
      </c>
      <c r="V143" s="2376"/>
      <c r="W143" s="2377"/>
      <c r="X143" s="2377"/>
      <c r="Y143" s="2377"/>
      <c r="Z143" s="2378"/>
      <c r="AA143" s="348"/>
      <c r="AB143" s="348"/>
      <c r="AC143" s="348"/>
      <c r="AD143" s="348"/>
      <c r="AE143" s="349"/>
      <c r="AF143" s="349"/>
    </row>
    <row r="144" spans="2:32" ht="24" hidden="1" customHeight="1">
      <c r="B144" s="350" t="str">
        <f>".3"</f>
        <v>.3</v>
      </c>
      <c r="C144" s="351" t="s">
        <v>346</v>
      </c>
      <c r="D144" s="352"/>
      <c r="E144" s="353"/>
      <c r="F144" s="354"/>
      <c r="G144" s="353"/>
      <c r="H144" s="354"/>
      <c r="I144" s="353"/>
      <c r="J144" s="354"/>
      <c r="K144" s="353"/>
      <c r="L144" s="354"/>
      <c r="M144" s="349" t="str">
        <f t="shared" si="5"/>
        <v/>
      </c>
      <c r="N144" s="354"/>
      <c r="O144" s="355"/>
      <c r="Q144" s="356" t="str">
        <f>IF(T144&gt;0,T144,"")</f>
        <v/>
      </c>
      <c r="T144" s="349" t="str">
        <f>Scoring!U151</f>
        <v/>
      </c>
      <c r="V144" s="2376"/>
      <c r="W144" s="2377"/>
      <c r="X144" s="2377"/>
      <c r="Y144" s="2377"/>
      <c r="Z144" s="2378"/>
      <c r="AA144" s="348"/>
      <c r="AB144" s="348"/>
      <c r="AC144" s="348"/>
      <c r="AD144" s="348"/>
      <c r="AE144" s="349"/>
      <c r="AF144" s="349"/>
    </row>
    <row r="145" spans="2:32" ht="18" hidden="1" customHeight="1">
      <c r="B145" s="350" t="str">
        <f>".4"</f>
        <v>.4</v>
      </c>
      <c r="C145" s="351" t="s">
        <v>345</v>
      </c>
      <c r="D145" s="352"/>
      <c r="E145" s="353"/>
      <c r="F145" s="354"/>
      <c r="G145" s="353"/>
      <c r="H145" s="354"/>
      <c r="I145" s="353"/>
      <c r="J145" s="354"/>
      <c r="K145" s="353"/>
      <c r="L145" s="354"/>
      <c r="M145" s="349" t="str">
        <f t="shared" si="5"/>
        <v/>
      </c>
      <c r="N145" s="354"/>
      <c r="O145" s="355"/>
      <c r="Q145" s="356" t="str">
        <f>IF(T145&gt;0,T145,"")</f>
        <v/>
      </c>
      <c r="T145" s="349" t="str">
        <f>Scoring!U152</f>
        <v/>
      </c>
      <c r="V145" s="2376"/>
      <c r="W145" s="2377"/>
      <c r="X145" s="2377"/>
      <c r="Y145" s="2377"/>
      <c r="Z145" s="2378"/>
      <c r="AA145" s="348"/>
      <c r="AB145" s="348"/>
      <c r="AC145" s="348"/>
      <c r="AD145" s="348"/>
      <c r="AE145" s="349"/>
      <c r="AF145" s="349"/>
    </row>
    <row r="146" spans="2:32" ht="24" hidden="1" customHeight="1">
      <c r="B146" s="350" t="str">
        <f>".5"</f>
        <v>.5</v>
      </c>
      <c r="C146" s="351" t="s">
        <v>344</v>
      </c>
      <c r="D146" s="352"/>
      <c r="E146" s="353"/>
      <c r="F146" s="354"/>
      <c r="G146" s="353"/>
      <c r="H146" s="354"/>
      <c r="I146" s="353"/>
      <c r="J146" s="354"/>
      <c r="K146" s="353"/>
      <c r="L146" s="354"/>
      <c r="M146" s="349" t="str">
        <f t="shared" si="5"/>
        <v/>
      </c>
      <c r="N146" s="354"/>
      <c r="O146" s="355"/>
      <c r="Q146" s="356" t="str">
        <f>IF(T146&gt;0,T146,"")</f>
        <v/>
      </c>
      <c r="T146" s="349" t="str">
        <f>Scoring!U153</f>
        <v/>
      </c>
      <c r="V146" s="2376"/>
      <c r="W146" s="2377"/>
      <c r="X146" s="2377"/>
      <c r="Y146" s="2377"/>
      <c r="Z146" s="2378"/>
      <c r="AA146" s="348"/>
      <c r="AB146" s="348"/>
      <c r="AC146" s="348"/>
      <c r="AD146" s="348"/>
      <c r="AE146" s="349"/>
      <c r="AF146" s="349"/>
    </row>
    <row r="147" spans="2:32" ht="20" customHeight="1">
      <c r="B147" s="341" t="s">
        <v>343</v>
      </c>
      <c r="C147" s="342" t="str">
        <f>Dictionary!B1446</f>
        <v>Beschaffung</v>
      </c>
      <c r="D147" s="343"/>
      <c r="E147" s="436"/>
      <c r="F147" s="315"/>
      <c r="G147" s="436"/>
      <c r="H147" s="360"/>
      <c r="I147" s="359"/>
      <c r="J147" s="360"/>
      <c r="K147" s="359"/>
      <c r="L147" s="315"/>
      <c r="M147" s="359"/>
      <c r="N147" s="360"/>
      <c r="O147" s="359"/>
      <c r="Q147" s="356"/>
      <c r="R147" s="346" t="str">
        <f>IF(AND(E147="",G147=""),"",IF((E147+G147)&gt;0,"Pass","Fail"))</f>
        <v/>
      </c>
      <c r="T147" s="428">
        <f>COUNTIF(T148:T151,"&gt;3")/AE147</f>
        <v>0</v>
      </c>
      <c r="V147" s="2376"/>
      <c r="W147" s="2377"/>
      <c r="X147" s="2377"/>
      <c r="Y147" s="2377"/>
      <c r="Z147" s="2378"/>
      <c r="AA147" s="348"/>
      <c r="AB147" s="348"/>
      <c r="AC147" s="348"/>
      <c r="AD147" s="348"/>
      <c r="AE147" s="349">
        <v>4</v>
      </c>
      <c r="AF147" s="349">
        <f>ROUNDUP(AE147/2,0)</f>
        <v>2</v>
      </c>
    </row>
    <row r="148" spans="2:32" ht="18" hidden="1" customHeight="1">
      <c r="B148" s="350" t="str">
        <f>".1"</f>
        <v>.1</v>
      </c>
      <c r="C148" s="351" t="s">
        <v>342</v>
      </c>
      <c r="D148" s="352"/>
      <c r="E148" s="436"/>
      <c r="F148" s="354"/>
      <c r="G148" s="353"/>
      <c r="H148" s="354"/>
      <c r="I148" s="353"/>
      <c r="J148" s="354"/>
      <c r="K148" s="353"/>
      <c r="L148" s="354"/>
      <c r="M148" s="349" t="str">
        <f t="shared" si="5"/>
        <v/>
      </c>
      <c r="N148" s="354"/>
      <c r="O148" s="355"/>
      <c r="Q148" s="356" t="str">
        <f>IF(T148&gt;0,T148,"")</f>
        <v/>
      </c>
      <c r="T148" s="349" t="str">
        <f>Scoring!U155</f>
        <v/>
      </c>
      <c r="V148" s="2376"/>
      <c r="W148" s="2377"/>
      <c r="X148" s="2377"/>
      <c r="Y148" s="2377"/>
      <c r="Z148" s="2378"/>
      <c r="AA148" s="348"/>
      <c r="AB148" s="348"/>
      <c r="AC148" s="348"/>
      <c r="AD148" s="348"/>
      <c r="AE148" s="349"/>
      <c r="AF148" s="349"/>
    </row>
    <row r="149" spans="2:32" ht="24" hidden="1" customHeight="1">
      <c r="B149" s="350" t="str">
        <f>".2"</f>
        <v>.2</v>
      </c>
      <c r="C149" s="351" t="s">
        <v>341</v>
      </c>
      <c r="D149" s="352"/>
      <c r="E149" s="436"/>
      <c r="F149" s="354"/>
      <c r="G149" s="353"/>
      <c r="H149" s="354"/>
      <c r="I149" s="353"/>
      <c r="J149" s="354"/>
      <c r="K149" s="353"/>
      <c r="L149" s="354"/>
      <c r="M149" s="349" t="str">
        <f t="shared" si="5"/>
        <v/>
      </c>
      <c r="N149" s="354"/>
      <c r="O149" s="355"/>
      <c r="Q149" s="356" t="str">
        <f>IF(T149&gt;0,T149,"")</f>
        <v/>
      </c>
      <c r="T149" s="349" t="str">
        <f>Scoring!U156</f>
        <v/>
      </c>
      <c r="V149" s="2376"/>
      <c r="W149" s="2377"/>
      <c r="X149" s="2377"/>
      <c r="Y149" s="2377"/>
      <c r="Z149" s="2378"/>
      <c r="AA149" s="348"/>
      <c r="AB149" s="348"/>
      <c r="AC149" s="348"/>
      <c r="AD149" s="348"/>
      <c r="AE149" s="349"/>
      <c r="AF149" s="349"/>
    </row>
    <row r="150" spans="2:32" ht="24" hidden="1" customHeight="1">
      <c r="B150" s="350" t="str">
        <f>".3"</f>
        <v>.3</v>
      </c>
      <c r="C150" s="351" t="s">
        <v>340</v>
      </c>
      <c r="D150" s="352"/>
      <c r="E150" s="436"/>
      <c r="F150" s="354"/>
      <c r="G150" s="353"/>
      <c r="H150" s="354"/>
      <c r="I150" s="353"/>
      <c r="J150" s="354"/>
      <c r="K150" s="353"/>
      <c r="L150" s="354"/>
      <c r="M150" s="349" t="str">
        <f t="shared" si="5"/>
        <v/>
      </c>
      <c r="N150" s="354"/>
      <c r="O150" s="355"/>
      <c r="Q150" s="356" t="str">
        <f>IF(T150&gt;0,T150,"")</f>
        <v/>
      </c>
      <c r="T150" s="349" t="str">
        <f>Scoring!U157</f>
        <v/>
      </c>
      <c r="V150" s="2376"/>
      <c r="W150" s="2377"/>
      <c r="X150" s="2377"/>
      <c r="Y150" s="2377"/>
      <c r="Z150" s="2378"/>
      <c r="AA150" s="348"/>
      <c r="AB150" s="348"/>
      <c r="AC150" s="348"/>
      <c r="AD150" s="348"/>
      <c r="AE150" s="349"/>
      <c r="AF150" s="349"/>
    </row>
    <row r="151" spans="2:32" ht="24" hidden="1" customHeight="1">
      <c r="B151" s="350" t="str">
        <f>".4"</f>
        <v>.4</v>
      </c>
      <c r="C151" s="351" t="s">
        <v>339</v>
      </c>
      <c r="D151" s="352"/>
      <c r="E151" s="436"/>
      <c r="F151" s="354"/>
      <c r="G151" s="353"/>
      <c r="H151" s="354"/>
      <c r="I151" s="353"/>
      <c r="J151" s="354"/>
      <c r="K151" s="353"/>
      <c r="L151" s="354"/>
      <c r="M151" s="349" t="str">
        <f t="shared" si="5"/>
        <v/>
      </c>
      <c r="N151" s="354"/>
      <c r="O151" s="355"/>
      <c r="Q151" s="356" t="str">
        <f>IF(T151&gt;0,T151,"")</f>
        <v/>
      </c>
      <c r="T151" s="349" t="str">
        <f>Scoring!U158</f>
        <v/>
      </c>
      <c r="V151" s="2376"/>
      <c r="W151" s="2377"/>
      <c r="X151" s="2377"/>
      <c r="Y151" s="2377"/>
      <c r="Z151" s="2378"/>
      <c r="AA151" s="348"/>
      <c r="AB151" s="348"/>
      <c r="AC151" s="348"/>
      <c r="AD151" s="348"/>
      <c r="AE151" s="349"/>
      <c r="AF151" s="349"/>
    </row>
    <row r="152" spans="2:32" ht="20" customHeight="1">
      <c r="B152" s="341" t="s">
        <v>338</v>
      </c>
      <c r="C152" s="342" t="str">
        <f>Dictionary!B1453</f>
        <v>Planung und Steuerung</v>
      </c>
      <c r="D152" s="343"/>
      <c r="E152" s="353"/>
      <c r="F152" s="315"/>
      <c r="G152" s="353"/>
      <c r="H152" s="360"/>
      <c r="I152" s="359"/>
      <c r="J152" s="360"/>
      <c r="K152" s="359"/>
      <c r="L152" s="315"/>
      <c r="M152" s="359"/>
      <c r="N152" s="360"/>
      <c r="O152" s="359"/>
      <c r="Q152" s="356"/>
      <c r="R152" s="346" t="str">
        <f>IF(AND(E152="",G152=""),"",IF((E152+G152)&gt;0,"Pass","Fail"))</f>
        <v/>
      </c>
      <c r="T152" s="428">
        <f>COUNTIF(T153:T158,"&gt;3")/AE152</f>
        <v>0</v>
      </c>
      <c r="V152" s="2376"/>
      <c r="W152" s="2377"/>
      <c r="X152" s="2377"/>
      <c r="Y152" s="2377"/>
      <c r="Z152" s="2378"/>
      <c r="AA152" s="348"/>
      <c r="AB152" s="348"/>
      <c r="AC152" s="348"/>
      <c r="AD152" s="369"/>
      <c r="AE152" s="349">
        <v>6</v>
      </c>
      <c r="AF152" s="349">
        <f>ROUNDUP(AE152/2,0)</f>
        <v>3</v>
      </c>
    </row>
    <row r="153" spans="2:32" ht="24" hidden="1" customHeight="1">
      <c r="B153" s="350" t="str">
        <f>".1"</f>
        <v>.1</v>
      </c>
      <c r="C153" s="351" t="s">
        <v>337</v>
      </c>
      <c r="D153" s="352"/>
      <c r="E153" s="436"/>
      <c r="F153" s="354"/>
      <c r="G153" s="353"/>
      <c r="H153" s="354"/>
      <c r="I153" s="353"/>
      <c r="J153" s="354"/>
      <c r="K153" s="353"/>
      <c r="L153" s="354"/>
      <c r="M153" s="349" t="str">
        <f t="shared" si="5"/>
        <v/>
      </c>
      <c r="N153" s="354"/>
      <c r="O153" s="355"/>
      <c r="Q153" s="356" t="str">
        <f t="shared" ref="Q153:Q158" si="6">IF(T153&gt;0,T153,"")</f>
        <v/>
      </c>
      <c r="T153" s="349" t="str">
        <f>Scoring!U160</f>
        <v/>
      </c>
      <c r="V153" s="2376"/>
      <c r="W153" s="2377"/>
      <c r="X153" s="2377"/>
      <c r="Y153" s="2377"/>
      <c r="Z153" s="2378"/>
      <c r="AA153" s="348"/>
      <c r="AB153" s="348"/>
      <c r="AC153" s="348"/>
      <c r="AD153" s="348"/>
      <c r="AE153" s="349"/>
      <c r="AF153" s="349"/>
    </row>
    <row r="154" spans="2:32" ht="18" hidden="1" customHeight="1">
      <c r="B154" s="350" t="str">
        <f>".2"</f>
        <v>.2</v>
      </c>
      <c r="C154" s="351" t="s">
        <v>336</v>
      </c>
      <c r="D154" s="352"/>
      <c r="E154" s="436"/>
      <c r="F154" s="354"/>
      <c r="G154" s="353"/>
      <c r="H154" s="354"/>
      <c r="I154" s="353"/>
      <c r="J154" s="354"/>
      <c r="K154" s="353"/>
      <c r="L154" s="354"/>
      <c r="M154" s="349" t="str">
        <f t="shared" si="5"/>
        <v/>
      </c>
      <c r="N154" s="354"/>
      <c r="O154" s="355"/>
      <c r="Q154" s="356" t="str">
        <f t="shared" si="6"/>
        <v/>
      </c>
      <c r="T154" s="349" t="str">
        <f>Scoring!U161</f>
        <v/>
      </c>
      <c r="V154" s="2376"/>
      <c r="W154" s="2377"/>
      <c r="X154" s="2377"/>
      <c r="Y154" s="2377"/>
      <c r="Z154" s="2378"/>
      <c r="AA154" s="348"/>
      <c r="AB154" s="348"/>
      <c r="AC154" s="348"/>
      <c r="AD154" s="348"/>
      <c r="AE154" s="349"/>
      <c r="AF154" s="349"/>
    </row>
    <row r="155" spans="2:32" ht="24" hidden="1" customHeight="1">
      <c r="B155" s="350" t="str">
        <f>".3"</f>
        <v>.3</v>
      </c>
      <c r="C155" s="351" t="s">
        <v>335</v>
      </c>
      <c r="D155" s="352"/>
      <c r="E155" s="436"/>
      <c r="F155" s="354"/>
      <c r="G155" s="353"/>
      <c r="H155" s="354"/>
      <c r="I155" s="353"/>
      <c r="J155" s="354"/>
      <c r="K155" s="353"/>
      <c r="L155" s="354"/>
      <c r="M155" s="349" t="str">
        <f t="shared" si="5"/>
        <v/>
      </c>
      <c r="N155" s="354"/>
      <c r="O155" s="355"/>
      <c r="Q155" s="356" t="str">
        <f t="shared" si="6"/>
        <v/>
      </c>
      <c r="T155" s="349" t="str">
        <f>Scoring!U162</f>
        <v/>
      </c>
      <c r="V155" s="2376"/>
      <c r="W155" s="2377"/>
      <c r="X155" s="2377"/>
      <c r="Y155" s="2377"/>
      <c r="Z155" s="2378"/>
      <c r="AA155" s="348"/>
      <c r="AB155" s="348"/>
      <c r="AC155" s="348"/>
      <c r="AD155" s="348"/>
      <c r="AE155" s="349"/>
      <c r="AF155" s="349"/>
    </row>
    <row r="156" spans="2:32" ht="18" hidden="1" customHeight="1">
      <c r="B156" s="350" t="str">
        <f>".4"</f>
        <v>.4</v>
      </c>
      <c r="C156" s="351" t="s">
        <v>334</v>
      </c>
      <c r="D156" s="352"/>
      <c r="E156" s="436"/>
      <c r="F156" s="354"/>
      <c r="G156" s="353"/>
      <c r="H156" s="354"/>
      <c r="I156" s="353"/>
      <c r="J156" s="354"/>
      <c r="K156" s="353"/>
      <c r="L156" s="354"/>
      <c r="M156" s="349" t="str">
        <f t="shared" si="5"/>
        <v/>
      </c>
      <c r="N156" s="354"/>
      <c r="O156" s="355"/>
      <c r="Q156" s="356" t="str">
        <f t="shared" si="6"/>
        <v/>
      </c>
      <c r="T156" s="349" t="str">
        <f>Scoring!U163</f>
        <v/>
      </c>
      <c r="V156" s="2376"/>
      <c r="W156" s="2377"/>
      <c r="X156" s="2377"/>
      <c r="Y156" s="2377"/>
      <c r="Z156" s="2378"/>
      <c r="AA156" s="348"/>
      <c r="AB156" s="348"/>
      <c r="AC156" s="348"/>
      <c r="AD156" s="348"/>
      <c r="AE156" s="349"/>
      <c r="AF156" s="349"/>
    </row>
    <row r="157" spans="2:32" ht="18" hidden="1" customHeight="1">
      <c r="B157" s="350" t="str">
        <f>".5"</f>
        <v>.5</v>
      </c>
      <c r="C157" s="351" t="s">
        <v>333</v>
      </c>
      <c r="D157" s="352"/>
      <c r="E157" s="436"/>
      <c r="F157" s="354"/>
      <c r="G157" s="353"/>
      <c r="H157" s="354"/>
      <c r="I157" s="353"/>
      <c r="J157" s="354"/>
      <c r="K157" s="353"/>
      <c r="L157" s="354"/>
      <c r="M157" s="349" t="str">
        <f t="shared" si="5"/>
        <v/>
      </c>
      <c r="N157" s="354"/>
      <c r="O157" s="355"/>
      <c r="Q157" s="356" t="str">
        <f t="shared" si="6"/>
        <v/>
      </c>
      <c r="T157" s="349" t="str">
        <f>Scoring!U164</f>
        <v/>
      </c>
      <c r="V157" s="2376"/>
      <c r="W157" s="2377"/>
      <c r="X157" s="2377"/>
      <c r="Y157" s="2377"/>
      <c r="Z157" s="2378"/>
      <c r="AA157" s="348"/>
      <c r="AB157" s="348"/>
      <c r="AC157" s="348"/>
      <c r="AD157" s="348"/>
      <c r="AE157" s="349"/>
      <c r="AF157" s="349"/>
    </row>
    <row r="158" spans="2:32" ht="18" hidden="1" customHeight="1">
      <c r="B158" s="350" t="str">
        <f>".6"</f>
        <v>.6</v>
      </c>
      <c r="C158" s="351" t="s">
        <v>332</v>
      </c>
      <c r="D158" s="352"/>
      <c r="E158" s="436"/>
      <c r="F158" s="354"/>
      <c r="G158" s="353"/>
      <c r="H158" s="354"/>
      <c r="I158" s="353"/>
      <c r="J158" s="354"/>
      <c r="K158" s="353"/>
      <c r="L158" s="354"/>
      <c r="M158" s="349" t="str">
        <f t="shared" si="5"/>
        <v/>
      </c>
      <c r="N158" s="354"/>
      <c r="O158" s="355"/>
      <c r="Q158" s="356" t="str">
        <f t="shared" si="6"/>
        <v/>
      </c>
      <c r="T158" s="349" t="str">
        <f>Scoring!U165</f>
        <v/>
      </c>
      <c r="V158" s="2376"/>
      <c r="W158" s="2377"/>
      <c r="X158" s="2377"/>
      <c r="Y158" s="2377"/>
      <c r="Z158" s="2378"/>
      <c r="AA158" s="348"/>
      <c r="AB158" s="348"/>
      <c r="AC158" s="348"/>
      <c r="AD158" s="348"/>
      <c r="AE158" s="349"/>
      <c r="AF158" s="349"/>
    </row>
    <row r="159" spans="2:32" ht="20" customHeight="1">
      <c r="B159" s="341" t="s">
        <v>331</v>
      </c>
      <c r="C159" s="342" t="str">
        <f>Dictionary!B1462</f>
        <v>Risiken und Chancen</v>
      </c>
      <c r="D159" s="343"/>
      <c r="E159" s="353"/>
      <c r="F159" s="315"/>
      <c r="G159" s="353"/>
      <c r="H159" s="360"/>
      <c r="I159" s="359"/>
      <c r="J159" s="360"/>
      <c r="K159" s="359"/>
      <c r="L159" s="315"/>
      <c r="M159" s="359"/>
      <c r="N159" s="360"/>
      <c r="O159" s="359"/>
      <c r="Q159" s="356"/>
      <c r="R159" s="346" t="str">
        <f>IF(AND(E159="",G159=""),"",IF((E159+G159)&gt;0,"Pass","Fail"))</f>
        <v/>
      </c>
      <c r="T159" s="428">
        <f>COUNTIF(T160:T164,"&gt;3")/AE159</f>
        <v>0</v>
      </c>
      <c r="V159" s="2376"/>
      <c r="W159" s="2377"/>
      <c r="X159" s="2377"/>
      <c r="Y159" s="2377"/>
      <c r="Z159" s="2378"/>
      <c r="AA159" s="348"/>
      <c r="AB159" s="348"/>
      <c r="AC159" s="348"/>
      <c r="AD159" s="369"/>
      <c r="AE159" s="349">
        <v>5</v>
      </c>
      <c r="AF159" s="349">
        <f>ROUNDUP(AE159/2,0)</f>
        <v>3</v>
      </c>
    </row>
    <row r="160" spans="2:32" ht="18" hidden="1" customHeight="1">
      <c r="B160" s="350" t="str">
        <f>".1"</f>
        <v>.1</v>
      </c>
      <c r="C160" s="351" t="s">
        <v>330</v>
      </c>
      <c r="D160" s="352"/>
      <c r="E160" s="436"/>
      <c r="F160" s="354"/>
      <c r="G160" s="353"/>
      <c r="H160" s="354"/>
      <c r="I160" s="353"/>
      <c r="J160" s="354"/>
      <c r="K160" s="353"/>
      <c r="L160" s="354"/>
      <c r="M160" s="349" t="str">
        <f t="shared" si="5"/>
        <v/>
      </c>
      <c r="N160" s="354"/>
      <c r="O160" s="355"/>
      <c r="Q160" s="356" t="str">
        <f>IF(T160&gt;0,T160,"")</f>
        <v/>
      </c>
      <c r="T160" s="349" t="str">
        <f>Scoring!U167</f>
        <v/>
      </c>
      <c r="V160" s="2376"/>
      <c r="W160" s="2377"/>
      <c r="X160" s="2377"/>
      <c r="Y160" s="2377"/>
      <c r="Z160" s="2378"/>
      <c r="AA160" s="348"/>
      <c r="AB160" s="348"/>
      <c r="AC160" s="348"/>
      <c r="AD160" s="348"/>
      <c r="AE160" s="349"/>
      <c r="AF160" s="349"/>
    </row>
    <row r="161" spans="2:32" ht="18" hidden="1" customHeight="1">
      <c r="B161" s="350" t="str">
        <f>".2"</f>
        <v>.2</v>
      </c>
      <c r="C161" s="351" t="s">
        <v>329</v>
      </c>
      <c r="D161" s="352"/>
      <c r="E161" s="436"/>
      <c r="F161" s="354"/>
      <c r="G161" s="353"/>
      <c r="H161" s="354"/>
      <c r="I161" s="353"/>
      <c r="J161" s="354"/>
      <c r="K161" s="353"/>
      <c r="L161" s="354"/>
      <c r="M161" s="349" t="str">
        <f t="shared" si="5"/>
        <v/>
      </c>
      <c r="N161" s="354"/>
      <c r="O161" s="355"/>
      <c r="Q161" s="356" t="str">
        <f>IF(T161&gt;0,T161,"")</f>
        <v/>
      </c>
      <c r="T161" s="349" t="str">
        <f>Scoring!U168</f>
        <v/>
      </c>
      <c r="V161" s="2376"/>
      <c r="W161" s="2377"/>
      <c r="X161" s="2377"/>
      <c r="Y161" s="2377"/>
      <c r="Z161" s="2378"/>
      <c r="AA161" s="348"/>
      <c r="AB161" s="348"/>
      <c r="AC161" s="348"/>
      <c r="AD161" s="348"/>
      <c r="AE161" s="349"/>
      <c r="AF161" s="349"/>
    </row>
    <row r="162" spans="2:32" ht="24" hidden="1" customHeight="1">
      <c r="B162" s="350" t="str">
        <f>".3"</f>
        <v>.3</v>
      </c>
      <c r="C162" s="351" t="s">
        <v>328</v>
      </c>
      <c r="D162" s="352"/>
      <c r="E162" s="436"/>
      <c r="F162" s="354"/>
      <c r="G162" s="353"/>
      <c r="H162" s="354"/>
      <c r="I162" s="353"/>
      <c r="J162" s="354"/>
      <c r="K162" s="353"/>
      <c r="L162" s="354"/>
      <c r="M162" s="349" t="str">
        <f t="shared" si="5"/>
        <v/>
      </c>
      <c r="N162" s="354"/>
      <c r="O162" s="355"/>
      <c r="Q162" s="356" t="str">
        <f>IF(T162&gt;0,T162,"")</f>
        <v/>
      </c>
      <c r="T162" s="349" t="str">
        <f>Scoring!U169</f>
        <v/>
      </c>
      <c r="V162" s="2376"/>
      <c r="W162" s="2377"/>
      <c r="X162" s="2377"/>
      <c r="Y162" s="2377"/>
      <c r="Z162" s="2378"/>
      <c r="AA162" s="348"/>
      <c r="AB162" s="348"/>
      <c r="AC162" s="348"/>
      <c r="AD162" s="348"/>
      <c r="AE162" s="349"/>
      <c r="AF162" s="349"/>
    </row>
    <row r="163" spans="2:32" ht="24" hidden="1" customHeight="1">
      <c r="B163" s="350" t="str">
        <f>".4"</f>
        <v>.4</v>
      </c>
      <c r="C163" s="351" t="s">
        <v>327</v>
      </c>
      <c r="D163" s="352"/>
      <c r="E163" s="436"/>
      <c r="F163" s="354"/>
      <c r="G163" s="353"/>
      <c r="H163" s="354"/>
      <c r="I163" s="353"/>
      <c r="J163" s="354"/>
      <c r="K163" s="353"/>
      <c r="L163" s="354"/>
      <c r="M163" s="349" t="str">
        <f t="shared" si="5"/>
        <v/>
      </c>
      <c r="N163" s="354"/>
      <c r="O163" s="355"/>
      <c r="Q163" s="356" t="str">
        <f>IF(T163&gt;0,T163,"")</f>
        <v/>
      </c>
      <c r="T163" s="349" t="str">
        <f>Scoring!U170</f>
        <v/>
      </c>
      <c r="V163" s="2376"/>
      <c r="W163" s="2377"/>
      <c r="X163" s="2377"/>
      <c r="Y163" s="2377"/>
      <c r="Z163" s="2378"/>
      <c r="AA163" s="348"/>
      <c r="AB163" s="348"/>
      <c r="AC163" s="348"/>
      <c r="AD163" s="348"/>
      <c r="AE163" s="349"/>
      <c r="AF163" s="349"/>
    </row>
    <row r="164" spans="2:32" ht="24" hidden="1" customHeight="1">
      <c r="B164" s="350" t="str">
        <f>".5"</f>
        <v>.5</v>
      </c>
      <c r="C164" s="351" t="s">
        <v>326</v>
      </c>
      <c r="D164" s="352"/>
      <c r="E164" s="436"/>
      <c r="F164" s="354"/>
      <c r="G164" s="353"/>
      <c r="H164" s="354"/>
      <c r="I164" s="353"/>
      <c r="J164" s="354"/>
      <c r="K164" s="353"/>
      <c r="L164" s="354"/>
      <c r="M164" s="349" t="str">
        <f t="shared" si="5"/>
        <v/>
      </c>
      <c r="N164" s="354"/>
      <c r="O164" s="355"/>
      <c r="Q164" s="356" t="str">
        <f>IF(T164&gt;0,T164,"")</f>
        <v/>
      </c>
      <c r="T164" s="349" t="str">
        <f>Scoring!U171</f>
        <v/>
      </c>
      <c r="V164" s="2376"/>
      <c r="W164" s="2377"/>
      <c r="X164" s="2377"/>
      <c r="Y164" s="2377"/>
      <c r="Z164" s="2378"/>
      <c r="AA164" s="348"/>
      <c r="AB164" s="348"/>
      <c r="AC164" s="348"/>
      <c r="AD164" s="348"/>
      <c r="AE164" s="349"/>
      <c r="AF164" s="349"/>
    </row>
    <row r="165" spans="2:32" ht="20" customHeight="1">
      <c r="B165" s="341" t="s">
        <v>325</v>
      </c>
      <c r="C165" s="342" t="str">
        <f>Dictionary!B1470</f>
        <v>Stakeholder</v>
      </c>
      <c r="D165" s="343"/>
      <c r="E165" s="353"/>
      <c r="F165" s="315"/>
      <c r="G165" s="353"/>
      <c r="H165" s="360"/>
      <c r="I165" s="359"/>
      <c r="J165" s="360"/>
      <c r="K165" s="359"/>
      <c r="L165" s="315"/>
      <c r="M165" s="359"/>
      <c r="N165" s="360"/>
      <c r="O165" s="359"/>
      <c r="Q165" s="356"/>
      <c r="R165" s="346" t="str">
        <f>IF(AND(E165="",G165=""),"",IF((E165+G165)&gt;0,"Pass","Fail"))</f>
        <v/>
      </c>
      <c r="T165" s="428">
        <f>COUNTIF(T166:T170,"&gt;3")/AE165</f>
        <v>0</v>
      </c>
      <c r="V165" s="2376"/>
      <c r="W165" s="2377"/>
      <c r="X165" s="2377"/>
      <c r="Y165" s="2377"/>
      <c r="Z165" s="2378"/>
      <c r="AA165" s="348"/>
      <c r="AB165" s="348"/>
      <c r="AC165" s="348"/>
      <c r="AD165" s="369"/>
      <c r="AE165" s="349">
        <v>5</v>
      </c>
      <c r="AF165" s="349">
        <f>ROUNDUP(AE165/2,0)</f>
        <v>3</v>
      </c>
    </row>
    <row r="166" spans="2:32" ht="24" hidden="1" customHeight="1">
      <c r="B166" s="350" t="str">
        <f>".1"</f>
        <v>.1</v>
      </c>
      <c r="C166" s="351" t="s">
        <v>324</v>
      </c>
      <c r="D166" s="352"/>
      <c r="E166" s="436"/>
      <c r="F166" s="354"/>
      <c r="G166" s="353"/>
      <c r="H166" s="354"/>
      <c r="I166" s="353"/>
      <c r="J166" s="354"/>
      <c r="K166" s="353"/>
      <c r="L166" s="354"/>
      <c r="M166" s="349" t="str">
        <f t="shared" si="5"/>
        <v/>
      </c>
      <c r="N166" s="354"/>
      <c r="O166" s="355"/>
      <c r="Q166" s="356" t="str">
        <f>IF(T166&gt;0,T166,"")</f>
        <v/>
      </c>
      <c r="T166" s="349" t="str">
        <f>Scoring!U173</f>
        <v/>
      </c>
      <c r="V166" s="2376"/>
      <c r="W166" s="2377"/>
      <c r="X166" s="2377"/>
      <c r="Y166" s="2377"/>
      <c r="Z166" s="2378"/>
      <c r="AA166" s="348"/>
      <c r="AB166" s="348"/>
      <c r="AC166" s="348"/>
      <c r="AD166" s="348"/>
      <c r="AE166" s="349"/>
      <c r="AF166" s="349"/>
    </row>
    <row r="167" spans="2:32" ht="24" hidden="1" customHeight="1">
      <c r="B167" s="350" t="str">
        <f>".2"</f>
        <v>.2</v>
      </c>
      <c r="C167" s="351" t="s">
        <v>323</v>
      </c>
      <c r="D167" s="352"/>
      <c r="E167" s="436"/>
      <c r="F167" s="354"/>
      <c r="G167" s="353"/>
      <c r="H167" s="354"/>
      <c r="I167" s="353"/>
      <c r="J167" s="354"/>
      <c r="K167" s="353"/>
      <c r="L167" s="354"/>
      <c r="M167" s="349" t="str">
        <f t="shared" si="5"/>
        <v/>
      </c>
      <c r="N167" s="354"/>
      <c r="O167" s="355"/>
      <c r="Q167" s="356" t="str">
        <f>IF(T167&gt;0,T167,"")</f>
        <v/>
      </c>
      <c r="T167" s="349" t="str">
        <f>Scoring!U174</f>
        <v/>
      </c>
      <c r="V167" s="2376"/>
      <c r="W167" s="2377"/>
      <c r="X167" s="2377"/>
      <c r="Y167" s="2377"/>
      <c r="Z167" s="2378"/>
      <c r="AA167" s="348"/>
      <c r="AB167" s="348"/>
      <c r="AC167" s="348"/>
      <c r="AD167" s="348"/>
      <c r="AE167" s="349"/>
      <c r="AF167" s="349"/>
    </row>
    <row r="168" spans="2:32" ht="36" hidden="1" customHeight="1">
      <c r="B168" s="350" t="str">
        <f>".3"</f>
        <v>.3</v>
      </c>
      <c r="C168" s="351" t="s">
        <v>322</v>
      </c>
      <c r="D168" s="352"/>
      <c r="E168" s="436"/>
      <c r="F168" s="354"/>
      <c r="G168" s="353"/>
      <c r="H168" s="354"/>
      <c r="I168" s="353"/>
      <c r="J168" s="354"/>
      <c r="K168" s="353"/>
      <c r="L168" s="354"/>
      <c r="M168" s="349" t="str">
        <f>IF(MAX(E168,G168,I168,K168)=0,"",MAX(E168,G168,I168,K168))</f>
        <v/>
      </c>
      <c r="N168" s="354"/>
      <c r="O168" s="355"/>
      <c r="Q168" s="356" t="str">
        <f>IF(T168&gt;0,T168,"")</f>
        <v/>
      </c>
      <c r="T168" s="349" t="str">
        <f>Scoring!U175</f>
        <v/>
      </c>
      <c r="V168" s="2376"/>
      <c r="W168" s="2377"/>
      <c r="X168" s="2377"/>
      <c r="Y168" s="2377"/>
      <c r="Z168" s="2378"/>
      <c r="AA168" s="348"/>
      <c r="AB168" s="348"/>
      <c r="AC168" s="348"/>
      <c r="AD168" s="348"/>
      <c r="AE168" s="349"/>
      <c r="AF168" s="349"/>
    </row>
    <row r="169" spans="2:32" ht="24" hidden="1" customHeight="1">
      <c r="B169" s="350" t="str">
        <f>".4"</f>
        <v>.4</v>
      </c>
      <c r="C169" s="351" t="s">
        <v>321</v>
      </c>
      <c r="D169" s="352"/>
      <c r="E169" s="436"/>
      <c r="F169" s="354"/>
      <c r="G169" s="353"/>
      <c r="H169" s="354"/>
      <c r="I169" s="353"/>
      <c r="J169" s="354"/>
      <c r="K169" s="353"/>
      <c r="L169" s="354"/>
      <c r="M169" s="349" t="str">
        <f>IF(MAX(E169,G169,I169,K169)=0,"",MAX(E169,G169,I169,K169))</f>
        <v/>
      </c>
      <c r="N169" s="354"/>
      <c r="O169" s="355"/>
      <c r="Q169" s="356" t="str">
        <f>IF(T169&gt;0,T169,"")</f>
        <v/>
      </c>
      <c r="T169" s="349" t="str">
        <f>Scoring!U176</f>
        <v/>
      </c>
      <c r="V169" s="2376"/>
      <c r="W169" s="2377"/>
      <c r="X169" s="2377"/>
      <c r="Y169" s="2377"/>
      <c r="Z169" s="2378"/>
      <c r="AA169" s="348"/>
      <c r="AB169" s="348"/>
      <c r="AC169" s="348"/>
      <c r="AD169" s="348"/>
      <c r="AE169" s="349"/>
      <c r="AF169" s="349"/>
    </row>
    <row r="170" spans="2:32" ht="18" hidden="1" customHeight="1">
      <c r="B170" s="350" t="str">
        <f>".5"</f>
        <v>.5</v>
      </c>
      <c r="C170" s="351" t="s">
        <v>320</v>
      </c>
      <c r="D170" s="352"/>
      <c r="E170" s="436"/>
      <c r="F170" s="354"/>
      <c r="G170" s="353"/>
      <c r="H170" s="354"/>
      <c r="I170" s="353"/>
      <c r="J170" s="354"/>
      <c r="K170" s="353"/>
      <c r="L170" s="354"/>
      <c r="M170" s="349" t="str">
        <f>IF(MAX(E170,G170,I170,K170)=0,"",MAX(E170,G170,I170,K170))</f>
        <v/>
      </c>
      <c r="N170" s="354"/>
      <c r="O170" s="355"/>
      <c r="Q170" s="356" t="str">
        <f>IF(T170&gt;0,T170,"")</f>
        <v/>
      </c>
      <c r="T170" s="349" t="str">
        <f>Scoring!U177</f>
        <v/>
      </c>
      <c r="V170" s="2376"/>
      <c r="W170" s="2377"/>
      <c r="X170" s="2377"/>
      <c r="Y170" s="2377"/>
      <c r="Z170" s="2378"/>
      <c r="AA170" s="348"/>
      <c r="AB170" s="348"/>
      <c r="AC170" s="348"/>
      <c r="AD170" s="348"/>
      <c r="AE170" s="349"/>
      <c r="AF170" s="349"/>
    </row>
    <row r="171" spans="2:32" ht="20" customHeight="1">
      <c r="B171" s="341" t="s">
        <v>319</v>
      </c>
      <c r="C171" s="342" t="str">
        <f>Dictionary!B1478</f>
        <v>Change und Transformation</v>
      </c>
      <c r="D171" s="343"/>
      <c r="E171" s="436"/>
      <c r="F171" s="315"/>
      <c r="G171" s="436"/>
      <c r="H171" s="360"/>
      <c r="I171" s="359"/>
      <c r="J171" s="360"/>
      <c r="K171" s="359"/>
      <c r="L171" s="315"/>
      <c r="M171" s="359"/>
      <c r="N171" s="360"/>
      <c r="O171" s="359"/>
      <c r="Q171" s="356"/>
      <c r="R171" s="346" t="str">
        <f>IF(AND(E171="",G171=""),"",IF((E171+G171)&gt;0,"Pass","Fail"))</f>
        <v/>
      </c>
      <c r="T171" s="428">
        <f>COUNTIF(T172:T175,"&gt;3")/AE171</f>
        <v>0</v>
      </c>
      <c r="V171" s="2376"/>
      <c r="W171" s="2377"/>
      <c r="X171" s="2377"/>
      <c r="Y171" s="2377"/>
      <c r="Z171" s="2378"/>
      <c r="AA171" s="348"/>
      <c r="AB171" s="348"/>
      <c r="AC171" s="348"/>
      <c r="AD171" s="369"/>
      <c r="AE171" s="349">
        <v>4</v>
      </c>
      <c r="AF171" s="349">
        <f>ROUNDUP(AE171/2,0)</f>
        <v>2</v>
      </c>
    </row>
    <row r="172" spans="2:32" ht="18" hidden="1" customHeight="1">
      <c r="B172" s="350" t="str">
        <f>".1"</f>
        <v>.1</v>
      </c>
      <c r="C172" s="351" t="s">
        <v>318</v>
      </c>
      <c r="D172" s="352"/>
      <c r="E172" s="404" t="str">
        <f>IF('(8) Exam Evaluation'!Y179="","",'(8) Exam Evaluation'!Y179)</f>
        <v/>
      </c>
      <c r="F172" s="354"/>
      <c r="G172" s="353"/>
      <c r="H172" s="354"/>
      <c r="I172" s="353"/>
      <c r="J172" s="354"/>
      <c r="K172" s="353"/>
      <c r="L172" s="354"/>
      <c r="M172" s="349" t="str">
        <f>IF(MAX(E172,G172,I172,K172)=0,"",MAX(E172,G172,I172,K172))</f>
        <v/>
      </c>
      <c r="N172" s="354"/>
      <c r="O172" s="355"/>
      <c r="Q172" s="356" t="str">
        <f>IF(T172&gt;0,T172,"")</f>
        <v/>
      </c>
      <c r="T172" s="349" t="str">
        <f>Scoring!U179</f>
        <v/>
      </c>
      <c r="V172" s="2376"/>
      <c r="W172" s="2377"/>
      <c r="X172" s="2377"/>
      <c r="Y172" s="2377"/>
      <c r="Z172" s="2378"/>
      <c r="AA172" s="348"/>
      <c r="AB172" s="348"/>
      <c r="AC172" s="348"/>
      <c r="AD172" s="348"/>
      <c r="AE172" s="349"/>
      <c r="AF172" s="349"/>
    </row>
    <row r="173" spans="2:32" ht="24" hidden="1" customHeight="1">
      <c r="B173" s="350" t="str">
        <f>".2"</f>
        <v>.2</v>
      </c>
      <c r="C173" s="351" t="s">
        <v>317</v>
      </c>
      <c r="D173" s="352"/>
      <c r="E173" s="404" t="str">
        <f>IF('(8) Exam Evaluation'!Y180="","",'(8) Exam Evaluation'!Y180)</f>
        <v/>
      </c>
      <c r="F173" s="354"/>
      <c r="G173" s="353"/>
      <c r="H173" s="354"/>
      <c r="I173" s="353"/>
      <c r="J173" s="354"/>
      <c r="K173" s="353"/>
      <c r="L173" s="354"/>
      <c r="M173" s="349" t="str">
        <f>IF(MAX(E173,G173,I173,K173)=0,"",MAX(E173,G173,I173,K173))</f>
        <v/>
      </c>
      <c r="N173" s="354"/>
      <c r="O173" s="355"/>
      <c r="Q173" s="356" t="str">
        <f>IF(T173&gt;0,T173,"")</f>
        <v/>
      </c>
      <c r="T173" s="349" t="str">
        <f>Scoring!U180</f>
        <v/>
      </c>
      <c r="V173" s="2376"/>
      <c r="W173" s="2377"/>
      <c r="X173" s="2377"/>
      <c r="Y173" s="2377"/>
      <c r="Z173" s="2378"/>
      <c r="AA173" s="348"/>
      <c r="AB173" s="348"/>
      <c r="AC173" s="348"/>
      <c r="AD173" s="348"/>
      <c r="AE173" s="349"/>
      <c r="AF173" s="349"/>
    </row>
    <row r="174" spans="2:32" ht="18" hidden="1" customHeight="1">
      <c r="B174" s="350" t="str">
        <f>".3"</f>
        <v>.3</v>
      </c>
      <c r="C174" s="351" t="s">
        <v>316</v>
      </c>
      <c r="D174" s="352"/>
      <c r="E174" s="404" t="str">
        <f>IF('(8) Exam Evaluation'!Y181="","",'(8) Exam Evaluation'!Y181)</f>
        <v/>
      </c>
      <c r="F174" s="354"/>
      <c r="G174" s="353"/>
      <c r="H174" s="354"/>
      <c r="I174" s="353"/>
      <c r="J174" s="354"/>
      <c r="K174" s="353"/>
      <c r="L174" s="354"/>
      <c r="M174" s="349" t="str">
        <f>IF(MAX(E174,G174,I174,K174)=0,"",MAX(E174,G174,I174,K174))</f>
        <v/>
      </c>
      <c r="N174" s="354"/>
      <c r="O174" s="355"/>
      <c r="Q174" s="356" t="str">
        <f>IF(T174&gt;0,T174,"")</f>
        <v/>
      </c>
      <c r="T174" s="349" t="str">
        <f>Scoring!U181</f>
        <v/>
      </c>
      <c r="V174" s="2376"/>
      <c r="W174" s="2377"/>
      <c r="X174" s="2377"/>
      <c r="Y174" s="2377"/>
      <c r="Z174" s="2378"/>
      <c r="AA174" s="348"/>
      <c r="AB174" s="348"/>
      <c r="AC174" s="348"/>
      <c r="AD174" s="348"/>
      <c r="AE174" s="349"/>
      <c r="AF174" s="349"/>
    </row>
    <row r="175" spans="2:32" ht="18" hidden="1" customHeight="1">
      <c r="B175" s="350" t="str">
        <f>".4"</f>
        <v>.4</v>
      </c>
      <c r="C175" s="351" t="s">
        <v>315</v>
      </c>
      <c r="D175" s="352"/>
      <c r="E175" s="404" t="str">
        <f>IF('(8) Exam Evaluation'!Y182="","",'(8) Exam Evaluation'!Y182)</f>
        <v/>
      </c>
      <c r="F175" s="354"/>
      <c r="G175" s="353"/>
      <c r="H175" s="354"/>
      <c r="I175" s="353"/>
      <c r="J175" s="354"/>
      <c r="K175" s="353"/>
      <c r="L175" s="354"/>
      <c r="M175" s="349" t="str">
        <f>IF(MAX(E175,G175,I175,K175)=0,"",MAX(E175,G175,I175,K175))</f>
        <v/>
      </c>
      <c r="N175" s="354"/>
      <c r="O175" s="355"/>
      <c r="Q175" s="356" t="str">
        <f>IF(T175&gt;0,T175,"")</f>
        <v/>
      </c>
      <c r="T175" s="349" t="str">
        <f>Scoring!U182</f>
        <v/>
      </c>
      <c r="V175" s="2376"/>
      <c r="W175" s="2377"/>
      <c r="X175" s="2377"/>
      <c r="Y175" s="2377"/>
      <c r="Z175" s="2378"/>
      <c r="AA175" s="348"/>
      <c r="AB175" s="348"/>
      <c r="AC175" s="348"/>
      <c r="AD175" s="348"/>
      <c r="AE175" s="349"/>
      <c r="AF175" s="349"/>
    </row>
    <row r="176" spans="2:32" s="321" customFormat="1" ht="16.25" customHeight="1">
      <c r="Q176" s="371"/>
      <c r="AE176" s="371"/>
      <c r="AF176" s="371"/>
    </row>
    <row r="177" spans="3:32" s="321" customFormat="1" ht="16.25" customHeight="1">
      <c r="C177" s="372" t="str">
        <f>Dictionary!B945</f>
        <v>Zusammenfassung</v>
      </c>
      <c r="Q177" s="371"/>
      <c r="AD177" s="321" t="s">
        <v>303</v>
      </c>
      <c r="AE177" s="373">
        <f>SUM(AE11:AE175)</f>
        <v>133</v>
      </c>
      <c r="AF177" s="373">
        <f>SUM(AF11:AF175)</f>
        <v>77</v>
      </c>
    </row>
    <row r="178" spans="3:32" s="321" customFormat="1" ht="9" customHeight="1">
      <c r="C178" s="372"/>
      <c r="Q178" s="371"/>
      <c r="AE178" s="374"/>
      <c r="AF178" s="374"/>
    </row>
    <row r="179" spans="3:32" s="321" customFormat="1" ht="18" customHeight="1">
      <c r="C179" s="375" t="str">
        <f>Dictionary!B923</f>
        <v>Perspective Kompetenz Elemente erfüllt</v>
      </c>
      <c r="E179" s="432">
        <f>SUM(E11:E36)</f>
        <v>0</v>
      </c>
      <c r="F179" s="376"/>
      <c r="G179" s="432">
        <f>SUM(G11:G36)</f>
        <v>0</v>
      </c>
      <c r="H179" s="377"/>
      <c r="I179" s="377"/>
      <c r="J179" s="376"/>
      <c r="K179" s="377"/>
      <c r="L179" s="376"/>
      <c r="M179" s="377"/>
      <c r="N179" s="376"/>
      <c r="O179" s="377"/>
      <c r="Q179" s="371"/>
      <c r="R179" s="432">
        <f>COUNTIF(R11:R39,"Pass")</f>
        <v>0</v>
      </c>
      <c r="V179" s="2376"/>
      <c r="W179" s="2377"/>
      <c r="X179" s="2377"/>
      <c r="Y179" s="2377"/>
      <c r="Z179" s="2378"/>
      <c r="AE179" s="371"/>
      <c r="AF179" s="371"/>
    </row>
    <row r="180" spans="3:32" s="321" customFormat="1" ht="18" customHeight="1">
      <c r="C180" s="375" t="str">
        <f>Dictionary!B924</f>
        <v>People Kompetenz Elemente erfüllt</v>
      </c>
      <c r="E180" s="432">
        <f>SUM(E42:E95)</f>
        <v>0</v>
      </c>
      <c r="F180" s="376"/>
      <c r="G180" s="432">
        <f>SUM(G42:G95)</f>
        <v>0</v>
      </c>
      <c r="H180" s="377"/>
      <c r="I180" s="377"/>
      <c r="J180" s="376"/>
      <c r="K180" s="377"/>
      <c r="L180" s="376"/>
      <c r="M180" s="377"/>
      <c r="N180" s="376"/>
      <c r="O180" s="377"/>
      <c r="Q180" s="371"/>
      <c r="R180" s="432">
        <f>COUNTIF(R42:R100,"Pass")</f>
        <v>0</v>
      </c>
      <c r="V180" s="2376"/>
      <c r="W180" s="2377"/>
      <c r="X180" s="2377"/>
      <c r="Y180" s="2377"/>
      <c r="Z180" s="2378"/>
      <c r="AE180" s="371"/>
      <c r="AF180" s="371"/>
    </row>
    <row r="181" spans="3:32" s="321" customFormat="1" ht="18" customHeight="1">
      <c r="C181" s="375" t="str">
        <f>Dictionary!B925</f>
        <v>Practice Kompetenz Elemente erfüllt</v>
      </c>
      <c r="E181" s="432">
        <f>SUM(E103:E171)</f>
        <v>0</v>
      </c>
      <c r="F181" s="376"/>
      <c r="G181" s="432">
        <f>SUM(G103:G171)</f>
        <v>0</v>
      </c>
      <c r="H181" s="377"/>
      <c r="I181" s="377"/>
      <c r="J181" s="376"/>
      <c r="K181" s="377"/>
      <c r="L181" s="376"/>
      <c r="M181" s="377"/>
      <c r="N181" s="376"/>
      <c r="O181" s="377"/>
      <c r="Q181" s="371"/>
      <c r="R181" s="432">
        <f>COUNTIF(R103:R175,"Pass")</f>
        <v>0</v>
      </c>
      <c r="V181" s="2376"/>
      <c r="W181" s="2377"/>
      <c r="X181" s="2377"/>
      <c r="Y181" s="2377"/>
      <c r="Z181" s="2378"/>
      <c r="AA181" s="378"/>
      <c r="AB181" s="378"/>
      <c r="AC181" s="378"/>
      <c r="AD181" s="378"/>
      <c r="AE181" s="371"/>
      <c r="AF181" s="371"/>
    </row>
    <row r="182" spans="3:32" s="321" customFormat="1" ht="18" customHeight="1">
      <c r="C182" s="379" t="str">
        <f>Dictionary!B946</f>
        <v>Gesamtergebnis</v>
      </c>
      <c r="E182" s="664" t="str">
        <f>IF(SUM(E179:E181)=0,"",IF(SUM(E179:E181)&gt;=E184,Dictionary!B9,Dictionary!B10))</f>
        <v/>
      </c>
      <c r="F182" s="376"/>
      <c r="G182" s="664" t="str">
        <f>IF(SUM(G179:G181)=0,"",IF(SUM(G179:G181)&gt;=G184,Dictionary!B9,Dictionary!B10))</f>
        <v/>
      </c>
      <c r="H182" s="665"/>
      <c r="I182" s="380"/>
      <c r="J182" s="376"/>
      <c r="K182" s="380"/>
      <c r="L182" s="376"/>
      <c r="M182" s="380"/>
      <c r="N182" s="376"/>
      <c r="O182" s="380"/>
      <c r="Q182" s="371"/>
      <c r="R182" s="664" t="str">
        <f>IF(SUM(R179:R181)=0,"",IF(SUM(R179:R181)&gt;=R184,Dictionary!B9,Dictionary!B10))</f>
        <v/>
      </c>
      <c r="V182" s="2376"/>
      <c r="W182" s="2377"/>
      <c r="X182" s="2377"/>
      <c r="Y182" s="2377"/>
      <c r="Z182" s="2378"/>
      <c r="AA182" s="378"/>
      <c r="AB182" s="378"/>
      <c r="AC182" s="378"/>
      <c r="AD182" s="378"/>
      <c r="AE182" s="371"/>
      <c r="AF182" s="371"/>
    </row>
    <row r="183" spans="3:32" s="321" customFormat="1" ht="11" customHeight="1">
      <c r="C183" s="371"/>
      <c r="F183" s="376"/>
      <c r="H183" s="371"/>
      <c r="I183" s="371"/>
      <c r="K183" s="371"/>
      <c r="M183" s="371"/>
      <c r="Q183" s="371"/>
    </row>
    <row r="184" spans="3:32" ht="18" customHeight="1">
      <c r="C184" s="375" t="str">
        <f>Dictionary!B947</f>
        <v>Individuelle Bestehensgrenze</v>
      </c>
      <c r="E184" s="381">
        <f>R184</f>
        <v>11</v>
      </c>
      <c r="F184" s="376"/>
      <c r="G184" s="381">
        <v>9</v>
      </c>
      <c r="R184" s="381">
        <f>ROUNDUP(13*0.8,0)</f>
        <v>11</v>
      </c>
    </row>
    <row r="185" spans="3:32" s="321" customFormat="1" ht="20" customHeight="1">
      <c r="Q185" s="371"/>
    </row>
    <row r="186" spans="3:32" s="321" customFormat="1" ht="14.5" customHeight="1">
      <c r="C186" s="312" t="s">
        <v>105</v>
      </c>
      <c r="Q186" s="371"/>
    </row>
    <row r="187" spans="3:32" s="321" customFormat="1" ht="14.5" customHeight="1">
      <c r="C187" s="382"/>
      <c r="Q187" s="371"/>
    </row>
    <row r="188" spans="3:32" s="321" customFormat="1" ht="14.5" customHeight="1">
      <c r="Q188" s="371"/>
    </row>
    <row r="189" spans="3:32" s="321" customFormat="1" ht="14.5" customHeight="1">
      <c r="Q189" s="371"/>
    </row>
    <row r="190" spans="3:32" s="321" customFormat="1" ht="14.5" customHeight="1">
      <c r="Q190" s="371"/>
    </row>
    <row r="191" spans="3:32" s="321" customFormat="1" ht="14.5" customHeight="1">
      <c r="Q191" s="371"/>
    </row>
    <row r="192" spans="3:32" s="321" customFormat="1" ht="14.5" customHeight="1">
      <c r="Q192" s="371"/>
    </row>
    <row r="193" spans="3:24" s="321" customFormat="1" ht="14.5" customHeight="1">
      <c r="Q193" s="371"/>
    </row>
    <row r="194" spans="3:24" s="321" customFormat="1" ht="14.5" customHeight="1">
      <c r="Q194" s="371"/>
    </row>
    <row r="195" spans="3:24" s="321" customFormat="1" ht="14.5" customHeight="1">
      <c r="C195" s="314"/>
      <c r="O195" s="314"/>
      <c r="Q195" s="315"/>
      <c r="R195" s="314"/>
      <c r="V195" s="313"/>
      <c r="W195" s="314"/>
      <c r="X195" s="314"/>
    </row>
  </sheetData>
  <sheetProtection algorithmName="SHA-512" hashValue="ycr14hxJ74+8ebUN5dTfInv0kmvyiE7fPD33YCch8rYRjal8rutigbTps0dL0FV5X+qWPgyuGQ693oG8SZqZaQ==" saltValue="jqjUDyOVWtzTG1l7qhtdww==" spinCount="100000" sheet="1" objects="1" scenarios="1" formatColumns="0" selectLockedCells="1"/>
  <mergeCells count="166">
    <mergeCell ref="V14:Z14"/>
    <mergeCell ref="V15:Z15"/>
    <mergeCell ref="V16:Z16"/>
    <mergeCell ref="V17:Z17"/>
    <mergeCell ref="V18:Z18"/>
    <mergeCell ref="V21:Z21"/>
    <mergeCell ref="Y5:Z5"/>
    <mergeCell ref="Y6:Z6"/>
    <mergeCell ref="V9:Z9"/>
    <mergeCell ref="V11:Z11"/>
    <mergeCell ref="V12:Z12"/>
    <mergeCell ref="V13:Z13"/>
    <mergeCell ref="V28:Z28"/>
    <mergeCell ref="V29:Z29"/>
    <mergeCell ref="V30:Z30"/>
    <mergeCell ref="V31:Z31"/>
    <mergeCell ref="V32:Z32"/>
    <mergeCell ref="V33:Z33"/>
    <mergeCell ref="V22:Z22"/>
    <mergeCell ref="V23:Z23"/>
    <mergeCell ref="V24:Z24"/>
    <mergeCell ref="V25:Z25"/>
    <mergeCell ref="V26:Z26"/>
    <mergeCell ref="V27:Z27"/>
    <mergeCell ref="V42:Z42"/>
    <mergeCell ref="V43:Z43"/>
    <mergeCell ref="V44:Z44"/>
    <mergeCell ref="V45:Z45"/>
    <mergeCell ref="V46:Z46"/>
    <mergeCell ref="V47:Z47"/>
    <mergeCell ref="V34:Z34"/>
    <mergeCell ref="V35:Z35"/>
    <mergeCell ref="V36:Z36"/>
    <mergeCell ref="V37:Z37"/>
    <mergeCell ref="V38:Z38"/>
    <mergeCell ref="V39:Z39"/>
    <mergeCell ref="V54:Z54"/>
    <mergeCell ref="V55:Z55"/>
    <mergeCell ref="V56:Z56"/>
    <mergeCell ref="V57:Z57"/>
    <mergeCell ref="V58:Z58"/>
    <mergeCell ref="V59:Z59"/>
    <mergeCell ref="V48:Z48"/>
    <mergeCell ref="V49:Z49"/>
    <mergeCell ref="V50:Z50"/>
    <mergeCell ref="V51:Z51"/>
    <mergeCell ref="V52:Z52"/>
    <mergeCell ref="V53:Z53"/>
    <mergeCell ref="V66:Z66"/>
    <mergeCell ref="V67:Z67"/>
    <mergeCell ref="V68:Z68"/>
    <mergeCell ref="V69:Z69"/>
    <mergeCell ref="V70:Z70"/>
    <mergeCell ref="V71:Z71"/>
    <mergeCell ref="V60:Z60"/>
    <mergeCell ref="V61:Z61"/>
    <mergeCell ref="V62:Z62"/>
    <mergeCell ref="V63:Z63"/>
    <mergeCell ref="V64:Z64"/>
    <mergeCell ref="V65:Z65"/>
    <mergeCell ref="V78:Z78"/>
    <mergeCell ref="V79:Z79"/>
    <mergeCell ref="V80:Z80"/>
    <mergeCell ref="V81:Z81"/>
    <mergeCell ref="V82:Z82"/>
    <mergeCell ref="V83:Z83"/>
    <mergeCell ref="V72:Z72"/>
    <mergeCell ref="V73:Z73"/>
    <mergeCell ref="V74:Z74"/>
    <mergeCell ref="V75:Z75"/>
    <mergeCell ref="V76:Z76"/>
    <mergeCell ref="V77:Z77"/>
    <mergeCell ref="V90:Z90"/>
    <mergeCell ref="V91:Z91"/>
    <mergeCell ref="V92:Z92"/>
    <mergeCell ref="V93:Z93"/>
    <mergeCell ref="V94:Z94"/>
    <mergeCell ref="V95:Z95"/>
    <mergeCell ref="V84:Z84"/>
    <mergeCell ref="V85:Z85"/>
    <mergeCell ref="V86:Z86"/>
    <mergeCell ref="V87:Z87"/>
    <mergeCell ref="V88:Z88"/>
    <mergeCell ref="V89:Z89"/>
    <mergeCell ref="V104:Z104"/>
    <mergeCell ref="V105:Z105"/>
    <mergeCell ref="V106:Z106"/>
    <mergeCell ref="V107:Z107"/>
    <mergeCell ref="V108:Z108"/>
    <mergeCell ref="V109:Z109"/>
    <mergeCell ref="V96:Z96"/>
    <mergeCell ref="V97:Z97"/>
    <mergeCell ref="V98:Z98"/>
    <mergeCell ref="V99:Z99"/>
    <mergeCell ref="V100:Z100"/>
    <mergeCell ref="V103:Z103"/>
    <mergeCell ref="V116:Z116"/>
    <mergeCell ref="V117:Z117"/>
    <mergeCell ref="V118:Z118"/>
    <mergeCell ref="V119:Z119"/>
    <mergeCell ref="V120:Z120"/>
    <mergeCell ref="V121:Z121"/>
    <mergeCell ref="V110:Z110"/>
    <mergeCell ref="V111:Z111"/>
    <mergeCell ref="V112:Z112"/>
    <mergeCell ref="V113:Z113"/>
    <mergeCell ref="V114:Z114"/>
    <mergeCell ref="V115:Z115"/>
    <mergeCell ref="V128:Z128"/>
    <mergeCell ref="V129:Z129"/>
    <mergeCell ref="V130:Z130"/>
    <mergeCell ref="V131:Z131"/>
    <mergeCell ref="V132:Z132"/>
    <mergeCell ref="V133:Z133"/>
    <mergeCell ref="V122:Z122"/>
    <mergeCell ref="V123:Z123"/>
    <mergeCell ref="V124:Z124"/>
    <mergeCell ref="V125:Z125"/>
    <mergeCell ref="V126:Z126"/>
    <mergeCell ref="V127:Z127"/>
    <mergeCell ref="V140:Z140"/>
    <mergeCell ref="V141:Z141"/>
    <mergeCell ref="V142:Z142"/>
    <mergeCell ref="V143:Z143"/>
    <mergeCell ref="V144:Z144"/>
    <mergeCell ref="V145:Z145"/>
    <mergeCell ref="V134:Z134"/>
    <mergeCell ref="V135:Z135"/>
    <mergeCell ref="V136:Z136"/>
    <mergeCell ref="V137:Z137"/>
    <mergeCell ref="V138:Z138"/>
    <mergeCell ref="V139:Z139"/>
    <mergeCell ref="V152:Z152"/>
    <mergeCell ref="V153:Z153"/>
    <mergeCell ref="V154:Z154"/>
    <mergeCell ref="V155:Z155"/>
    <mergeCell ref="V156:Z156"/>
    <mergeCell ref="V157:Z157"/>
    <mergeCell ref="V146:Z146"/>
    <mergeCell ref="V147:Z147"/>
    <mergeCell ref="V148:Z148"/>
    <mergeCell ref="V149:Z149"/>
    <mergeCell ref="V150:Z150"/>
    <mergeCell ref="V151:Z151"/>
    <mergeCell ref="V164:Z164"/>
    <mergeCell ref="V165:Z165"/>
    <mergeCell ref="V166:Z166"/>
    <mergeCell ref="V167:Z167"/>
    <mergeCell ref="V168:Z168"/>
    <mergeCell ref="V169:Z169"/>
    <mergeCell ref="V158:Z158"/>
    <mergeCell ref="V159:Z159"/>
    <mergeCell ref="V160:Z160"/>
    <mergeCell ref="V161:Z161"/>
    <mergeCell ref="V162:Z162"/>
    <mergeCell ref="V163:Z163"/>
    <mergeCell ref="V179:Z179"/>
    <mergeCell ref="V180:Z180"/>
    <mergeCell ref="V181:Z181"/>
    <mergeCell ref="V182:Z182"/>
    <mergeCell ref="V170:Z170"/>
    <mergeCell ref="V171:Z171"/>
    <mergeCell ref="V172:Z172"/>
    <mergeCell ref="V173:Z173"/>
    <mergeCell ref="V174:Z174"/>
    <mergeCell ref="V175:Z175"/>
  </mergeCells>
  <conditionalFormatting sqref="B7">
    <cfRule type="cellIs" dxfId="130" priority="48" operator="lessThan">
      <formula>$R$184</formula>
    </cfRule>
    <cfRule type="cellIs" dxfId="129" priority="47" operator="greaterThanOrEqual">
      <formula>$R$184</formula>
    </cfRule>
  </conditionalFormatting>
  <conditionalFormatting sqref="C7">
    <cfRule type="containsText" dxfId="128" priority="50" operator="containsText" text="Fail">
      <formula>NOT(ISERROR(SEARCH("Fail",C7)))</formula>
    </cfRule>
    <cfRule type="containsText" dxfId="127" priority="49" operator="containsText" text="Pass">
      <formula>NOT(ISERROR(SEARCH("Pass",C7)))</formula>
    </cfRule>
  </conditionalFormatting>
  <conditionalFormatting sqref="E182">
    <cfRule type="containsText" dxfId="126" priority="9" operator="containsText" text="noch nicht">
      <formula>NOT(ISERROR(SEARCH("noch nicht",E182)))</formula>
    </cfRule>
    <cfRule type="containsText" dxfId="125" priority="10" operator="containsText" text="not yet">
      <formula>NOT(ISERROR(SEARCH("not yet",E182)))</formula>
    </cfRule>
    <cfRule type="containsText" dxfId="124" priority="11" operator="containsText" text="bestanden">
      <formula>NOT(ISERROR(SEARCH("bestanden",E182)))</formula>
    </cfRule>
    <cfRule type="containsText" dxfId="123" priority="12" operator="containsText" text="Pass">
      <formula>NOT(ISERROR(SEARCH("Pass",E182)))</formula>
    </cfRule>
  </conditionalFormatting>
  <conditionalFormatting sqref="G182:H182">
    <cfRule type="containsText" dxfId="122" priority="5" operator="containsText" text="noch nicht">
      <formula>NOT(ISERROR(SEARCH("noch nicht",G182)))</formula>
    </cfRule>
    <cfRule type="containsText" dxfId="121" priority="6" operator="containsText" text="not yet">
      <formula>NOT(ISERROR(SEARCH("not yet",G182)))</formula>
    </cfRule>
    <cfRule type="containsText" dxfId="120" priority="7" operator="containsText" text="bestanden">
      <formula>NOT(ISERROR(SEARCH("bestanden",G182)))</formula>
    </cfRule>
    <cfRule type="containsText" dxfId="119" priority="8" operator="containsText" text="Pass">
      <formula>NOT(ISERROR(SEARCH("Pass",G182)))</formula>
    </cfRule>
  </conditionalFormatting>
  <conditionalFormatting sqref="R11">
    <cfRule type="cellIs" dxfId="118" priority="55" operator="equal">
      <formula>"Fail"</formula>
    </cfRule>
    <cfRule type="cellIs" dxfId="117" priority="54" operator="equal">
      <formula>"Pass"</formula>
    </cfRule>
  </conditionalFormatting>
  <conditionalFormatting sqref="R17 R25 R32 R36 R42 R48 R54 R60 R66 R72 R78 R83 R89 R95 R103 R109 R113 R118 R124 R129 R135 R141 R147 R152 R159 R165 R171">
    <cfRule type="cellIs" dxfId="116" priority="13" operator="equal">
      <formula>"Pass"</formula>
    </cfRule>
    <cfRule type="cellIs" dxfId="115" priority="14" operator="equal">
      <formula>"Fail"</formula>
    </cfRule>
  </conditionalFormatting>
  <conditionalFormatting sqref="R182">
    <cfRule type="containsText" dxfId="114" priority="1" operator="containsText" text="noch nicht">
      <formula>NOT(ISERROR(SEARCH("noch nicht",R182)))</formula>
    </cfRule>
    <cfRule type="containsText" dxfId="113" priority="2" operator="containsText" text="not yet">
      <formula>NOT(ISERROR(SEARCH("not yet",R182)))</formula>
    </cfRule>
    <cfRule type="containsText" dxfId="112" priority="3" operator="containsText" text="bestanden">
      <formula>NOT(ISERROR(SEARCH("bestanden",R182)))</formula>
    </cfRule>
    <cfRule type="containsText" dxfId="111" priority="4" operator="containsText" text="Pass">
      <formula>NOT(ISERROR(SEARCH("Pass",R182)))</formula>
    </cfRule>
  </conditionalFormatting>
  <conditionalFormatting sqref="T11">
    <cfRule type="dataBar" priority="46">
      <dataBar>
        <cfvo type="num" val="0"/>
        <cfvo type="num" val="1"/>
        <color theme="4" tint="0.59996337778862885"/>
      </dataBar>
      <extLst>
        <ext xmlns:x14="http://schemas.microsoft.com/office/spreadsheetml/2009/9/main" uri="{B025F937-C7B1-47D3-B67F-A62EFF666E3E}">
          <x14:id>{A9BF1937-82F4-46AC-8518-07A9E732B1C7}</x14:id>
        </ext>
      </extLst>
    </cfRule>
  </conditionalFormatting>
  <conditionalFormatting sqref="T17">
    <cfRule type="dataBar" priority="45">
      <dataBar>
        <cfvo type="num" val="0"/>
        <cfvo type="num" val="1"/>
        <color theme="4" tint="0.59996337778862885"/>
      </dataBar>
      <extLst>
        <ext xmlns:x14="http://schemas.microsoft.com/office/spreadsheetml/2009/9/main" uri="{B025F937-C7B1-47D3-B67F-A62EFF666E3E}">
          <x14:id>{EBBF0A2D-45CE-4E9E-BBA1-972191DF1E89}</x14:id>
        </ext>
      </extLst>
    </cfRule>
  </conditionalFormatting>
  <conditionalFormatting sqref="T25">
    <cfRule type="dataBar" priority="44">
      <dataBar>
        <cfvo type="num" val="0"/>
        <cfvo type="num" val="1"/>
        <color theme="4" tint="0.59996337778862885"/>
      </dataBar>
      <extLst>
        <ext xmlns:x14="http://schemas.microsoft.com/office/spreadsheetml/2009/9/main" uri="{B025F937-C7B1-47D3-B67F-A62EFF666E3E}">
          <x14:id>{92AD147A-4900-4E80-8D70-4066400698CD}</x14:id>
        </ext>
      </extLst>
    </cfRule>
  </conditionalFormatting>
  <conditionalFormatting sqref="T32">
    <cfRule type="dataBar" priority="43">
      <dataBar>
        <cfvo type="num" val="0"/>
        <cfvo type="num" val="1"/>
        <color theme="4" tint="0.59996337778862885"/>
      </dataBar>
      <extLst>
        <ext xmlns:x14="http://schemas.microsoft.com/office/spreadsheetml/2009/9/main" uri="{B025F937-C7B1-47D3-B67F-A62EFF666E3E}">
          <x14:id>{32D72149-6EF6-48C6-8B9A-F24A555D9EF6}</x14:id>
        </ext>
      </extLst>
    </cfRule>
  </conditionalFormatting>
  <conditionalFormatting sqref="T36">
    <cfRule type="dataBar" priority="42">
      <dataBar>
        <cfvo type="num" val="0"/>
        <cfvo type="num" val="1"/>
        <color theme="4" tint="0.59996337778862885"/>
      </dataBar>
      <extLst>
        <ext xmlns:x14="http://schemas.microsoft.com/office/spreadsheetml/2009/9/main" uri="{B025F937-C7B1-47D3-B67F-A62EFF666E3E}">
          <x14:id>{56BCF1C6-421C-45FD-BC14-6627286D56CB}</x14:id>
        </ext>
      </extLst>
    </cfRule>
  </conditionalFormatting>
  <conditionalFormatting sqref="T42">
    <cfRule type="dataBar" priority="41">
      <dataBar>
        <cfvo type="num" val="0"/>
        <cfvo type="num" val="1"/>
        <color theme="4" tint="0.59996337778862885"/>
      </dataBar>
      <extLst>
        <ext xmlns:x14="http://schemas.microsoft.com/office/spreadsheetml/2009/9/main" uri="{B025F937-C7B1-47D3-B67F-A62EFF666E3E}">
          <x14:id>{F82009D3-F141-4F3A-9765-E77A05E766FF}</x14:id>
        </ext>
      </extLst>
    </cfRule>
  </conditionalFormatting>
  <conditionalFormatting sqref="T48">
    <cfRule type="dataBar" priority="40">
      <dataBar>
        <cfvo type="num" val="0"/>
        <cfvo type="num" val="1"/>
        <color theme="4" tint="0.59996337778862885"/>
      </dataBar>
      <extLst>
        <ext xmlns:x14="http://schemas.microsoft.com/office/spreadsheetml/2009/9/main" uri="{B025F937-C7B1-47D3-B67F-A62EFF666E3E}">
          <x14:id>{74222005-6370-41C6-86AA-16AB4E28A11F}</x14:id>
        </ext>
      </extLst>
    </cfRule>
  </conditionalFormatting>
  <conditionalFormatting sqref="T54">
    <cfRule type="dataBar" priority="39">
      <dataBar>
        <cfvo type="num" val="0"/>
        <cfvo type="num" val="1"/>
        <color theme="4" tint="0.59996337778862885"/>
      </dataBar>
      <extLst>
        <ext xmlns:x14="http://schemas.microsoft.com/office/spreadsheetml/2009/9/main" uri="{B025F937-C7B1-47D3-B67F-A62EFF666E3E}">
          <x14:id>{2A157A10-4639-4361-B8D7-01E57C84AB34}</x14:id>
        </ext>
      </extLst>
    </cfRule>
  </conditionalFormatting>
  <conditionalFormatting sqref="T60">
    <cfRule type="dataBar" priority="38">
      <dataBar>
        <cfvo type="num" val="0"/>
        <cfvo type="num" val="1"/>
        <color theme="4" tint="0.59996337778862885"/>
      </dataBar>
      <extLst>
        <ext xmlns:x14="http://schemas.microsoft.com/office/spreadsheetml/2009/9/main" uri="{B025F937-C7B1-47D3-B67F-A62EFF666E3E}">
          <x14:id>{48B17359-A298-4500-AE74-7752C954914E}</x14:id>
        </ext>
      </extLst>
    </cfRule>
  </conditionalFormatting>
  <conditionalFormatting sqref="T66">
    <cfRule type="dataBar" priority="37">
      <dataBar>
        <cfvo type="num" val="0"/>
        <cfvo type="num" val="1"/>
        <color theme="4" tint="0.59996337778862885"/>
      </dataBar>
      <extLst>
        <ext xmlns:x14="http://schemas.microsoft.com/office/spreadsheetml/2009/9/main" uri="{B025F937-C7B1-47D3-B67F-A62EFF666E3E}">
          <x14:id>{7865735C-599C-43EF-9FD4-ECBE6EA30962}</x14:id>
        </ext>
      </extLst>
    </cfRule>
  </conditionalFormatting>
  <conditionalFormatting sqref="T72">
    <cfRule type="dataBar" priority="36">
      <dataBar>
        <cfvo type="num" val="0"/>
        <cfvo type="num" val="1"/>
        <color theme="4" tint="0.59996337778862885"/>
      </dataBar>
      <extLst>
        <ext xmlns:x14="http://schemas.microsoft.com/office/spreadsheetml/2009/9/main" uri="{B025F937-C7B1-47D3-B67F-A62EFF666E3E}">
          <x14:id>{9D121CDF-A3A2-4944-87D8-651309F1B56F}</x14:id>
        </ext>
      </extLst>
    </cfRule>
  </conditionalFormatting>
  <conditionalFormatting sqref="T78">
    <cfRule type="dataBar" priority="35">
      <dataBar>
        <cfvo type="num" val="0"/>
        <cfvo type="num" val="1"/>
        <color theme="4" tint="0.59996337778862885"/>
      </dataBar>
      <extLst>
        <ext xmlns:x14="http://schemas.microsoft.com/office/spreadsheetml/2009/9/main" uri="{B025F937-C7B1-47D3-B67F-A62EFF666E3E}">
          <x14:id>{4C87C0E3-44C2-4FAA-8068-B96E4C6AC600}</x14:id>
        </ext>
      </extLst>
    </cfRule>
  </conditionalFormatting>
  <conditionalFormatting sqref="T83">
    <cfRule type="dataBar" priority="34">
      <dataBar>
        <cfvo type="num" val="0"/>
        <cfvo type="num" val="1"/>
        <color theme="4" tint="0.59996337778862885"/>
      </dataBar>
      <extLst>
        <ext xmlns:x14="http://schemas.microsoft.com/office/spreadsheetml/2009/9/main" uri="{B025F937-C7B1-47D3-B67F-A62EFF666E3E}">
          <x14:id>{E67372F1-4ABA-4D8F-8F8D-78A161DF0D1C}</x14:id>
        </ext>
      </extLst>
    </cfRule>
  </conditionalFormatting>
  <conditionalFormatting sqref="T89">
    <cfRule type="dataBar" priority="33">
      <dataBar>
        <cfvo type="num" val="0"/>
        <cfvo type="num" val="1"/>
        <color theme="4" tint="0.59996337778862885"/>
      </dataBar>
      <extLst>
        <ext xmlns:x14="http://schemas.microsoft.com/office/spreadsheetml/2009/9/main" uri="{B025F937-C7B1-47D3-B67F-A62EFF666E3E}">
          <x14:id>{D873FCCB-3FC4-41CE-80A8-2DE13AA5700E}</x14:id>
        </ext>
      </extLst>
    </cfRule>
  </conditionalFormatting>
  <conditionalFormatting sqref="T95">
    <cfRule type="dataBar" priority="32">
      <dataBar>
        <cfvo type="num" val="0"/>
        <cfvo type="num" val="1"/>
        <color theme="4" tint="0.59996337778862885"/>
      </dataBar>
      <extLst>
        <ext xmlns:x14="http://schemas.microsoft.com/office/spreadsheetml/2009/9/main" uri="{B025F937-C7B1-47D3-B67F-A62EFF666E3E}">
          <x14:id>{5D6B324B-AB57-4007-BF51-1D17D151A1CC}</x14:id>
        </ext>
      </extLst>
    </cfRule>
  </conditionalFormatting>
  <conditionalFormatting sqref="T103">
    <cfRule type="dataBar" priority="31">
      <dataBar>
        <cfvo type="num" val="0"/>
        <cfvo type="num" val="1"/>
        <color theme="4" tint="0.59996337778862885"/>
      </dataBar>
      <extLst>
        <ext xmlns:x14="http://schemas.microsoft.com/office/spreadsheetml/2009/9/main" uri="{B025F937-C7B1-47D3-B67F-A62EFF666E3E}">
          <x14:id>{828E4AC4-C64C-4E49-8DB3-5252B72E2C25}</x14:id>
        </ext>
      </extLst>
    </cfRule>
  </conditionalFormatting>
  <conditionalFormatting sqref="T109">
    <cfRule type="dataBar" priority="28">
      <dataBar>
        <cfvo type="num" val="0"/>
        <cfvo type="num" val="1"/>
        <color theme="4" tint="0.59996337778862885"/>
      </dataBar>
      <extLst>
        <ext xmlns:x14="http://schemas.microsoft.com/office/spreadsheetml/2009/9/main" uri="{B025F937-C7B1-47D3-B67F-A62EFF666E3E}">
          <x14:id>{93F32EE8-B2C2-488C-A6F1-5E5020F43008}</x14:id>
        </ext>
      </extLst>
    </cfRule>
  </conditionalFormatting>
  <conditionalFormatting sqref="T113">
    <cfRule type="dataBar" priority="29">
      <dataBar>
        <cfvo type="num" val="0"/>
        <cfvo type="num" val="1"/>
        <color theme="4" tint="0.59996337778862885"/>
      </dataBar>
      <extLst>
        <ext xmlns:x14="http://schemas.microsoft.com/office/spreadsheetml/2009/9/main" uri="{B025F937-C7B1-47D3-B67F-A62EFF666E3E}">
          <x14:id>{18AD0275-CB6C-45B3-80C2-9A858C439AC5}</x14:id>
        </ext>
      </extLst>
    </cfRule>
  </conditionalFormatting>
  <conditionalFormatting sqref="T118">
    <cfRule type="dataBar" priority="30">
      <dataBar>
        <cfvo type="num" val="0"/>
        <cfvo type="num" val="1"/>
        <color theme="4" tint="0.59996337778862885"/>
      </dataBar>
      <extLst>
        <ext xmlns:x14="http://schemas.microsoft.com/office/spreadsheetml/2009/9/main" uri="{B025F937-C7B1-47D3-B67F-A62EFF666E3E}">
          <x14:id>{7AE83E3E-2E6E-4529-AD2B-D67B209027D2}</x14:id>
        </ext>
      </extLst>
    </cfRule>
  </conditionalFormatting>
  <conditionalFormatting sqref="T124">
    <cfRule type="dataBar" priority="27">
      <dataBar>
        <cfvo type="num" val="0"/>
        <cfvo type="num" val="1"/>
        <color theme="4" tint="0.59996337778862885"/>
      </dataBar>
      <extLst>
        <ext xmlns:x14="http://schemas.microsoft.com/office/spreadsheetml/2009/9/main" uri="{B025F937-C7B1-47D3-B67F-A62EFF666E3E}">
          <x14:id>{5BEEBE5B-6DD7-4F4C-ACAD-60709B4F5951}</x14:id>
        </ext>
      </extLst>
    </cfRule>
  </conditionalFormatting>
  <conditionalFormatting sqref="T129">
    <cfRule type="dataBar" priority="26">
      <dataBar>
        <cfvo type="num" val="0"/>
        <cfvo type="num" val="1"/>
        <color theme="4" tint="0.59996337778862885"/>
      </dataBar>
      <extLst>
        <ext xmlns:x14="http://schemas.microsoft.com/office/spreadsheetml/2009/9/main" uri="{B025F937-C7B1-47D3-B67F-A62EFF666E3E}">
          <x14:id>{8FB04E24-868E-4826-802D-4C5758556E03}</x14:id>
        </ext>
      </extLst>
    </cfRule>
  </conditionalFormatting>
  <conditionalFormatting sqref="T135">
    <cfRule type="dataBar" priority="25">
      <dataBar>
        <cfvo type="num" val="0"/>
        <cfvo type="num" val="1"/>
        <color theme="4" tint="0.59996337778862885"/>
      </dataBar>
      <extLst>
        <ext xmlns:x14="http://schemas.microsoft.com/office/spreadsheetml/2009/9/main" uri="{B025F937-C7B1-47D3-B67F-A62EFF666E3E}">
          <x14:id>{CAAF3C30-D35C-4248-B399-D6CCC519B581}</x14:id>
        </ext>
      </extLst>
    </cfRule>
  </conditionalFormatting>
  <conditionalFormatting sqref="T141">
    <cfRule type="dataBar" priority="24">
      <dataBar>
        <cfvo type="num" val="0"/>
        <cfvo type="num" val="1"/>
        <color theme="4" tint="0.59996337778862885"/>
      </dataBar>
      <extLst>
        <ext xmlns:x14="http://schemas.microsoft.com/office/spreadsheetml/2009/9/main" uri="{B025F937-C7B1-47D3-B67F-A62EFF666E3E}">
          <x14:id>{ED4D221A-CA9F-4659-810B-8A86C297FE89}</x14:id>
        </ext>
      </extLst>
    </cfRule>
  </conditionalFormatting>
  <conditionalFormatting sqref="T147">
    <cfRule type="dataBar" priority="23">
      <dataBar>
        <cfvo type="num" val="0"/>
        <cfvo type="num" val="1"/>
        <color theme="4" tint="0.59996337778862885"/>
      </dataBar>
      <extLst>
        <ext xmlns:x14="http://schemas.microsoft.com/office/spreadsheetml/2009/9/main" uri="{B025F937-C7B1-47D3-B67F-A62EFF666E3E}">
          <x14:id>{E77FFEF3-B40A-49C8-B4FE-A34175766CC2}</x14:id>
        </ext>
      </extLst>
    </cfRule>
  </conditionalFormatting>
  <conditionalFormatting sqref="T152">
    <cfRule type="dataBar" priority="22">
      <dataBar>
        <cfvo type="num" val="0"/>
        <cfvo type="num" val="1"/>
        <color theme="4" tint="0.59996337778862885"/>
      </dataBar>
      <extLst>
        <ext xmlns:x14="http://schemas.microsoft.com/office/spreadsheetml/2009/9/main" uri="{B025F937-C7B1-47D3-B67F-A62EFF666E3E}">
          <x14:id>{7CEF42E5-7FDF-4050-9B3B-7F122907FEEA}</x14:id>
        </ext>
      </extLst>
    </cfRule>
  </conditionalFormatting>
  <conditionalFormatting sqref="T159">
    <cfRule type="dataBar" priority="21">
      <dataBar>
        <cfvo type="num" val="0"/>
        <cfvo type="num" val="1"/>
        <color theme="4" tint="0.59996337778862885"/>
      </dataBar>
      <extLst>
        <ext xmlns:x14="http://schemas.microsoft.com/office/spreadsheetml/2009/9/main" uri="{B025F937-C7B1-47D3-B67F-A62EFF666E3E}">
          <x14:id>{D00754E7-2DB7-4F20-9008-1420DE748DB0}</x14:id>
        </ext>
      </extLst>
    </cfRule>
  </conditionalFormatting>
  <conditionalFormatting sqref="T165">
    <cfRule type="dataBar" priority="20">
      <dataBar>
        <cfvo type="num" val="0"/>
        <cfvo type="num" val="1"/>
        <color theme="4" tint="0.59996337778862885"/>
      </dataBar>
      <extLst>
        <ext xmlns:x14="http://schemas.microsoft.com/office/spreadsheetml/2009/9/main" uri="{B025F937-C7B1-47D3-B67F-A62EFF666E3E}">
          <x14:id>{873FB35C-72CB-4EE9-A248-6926C56012BB}</x14:id>
        </ext>
      </extLst>
    </cfRule>
  </conditionalFormatting>
  <conditionalFormatting sqref="T171">
    <cfRule type="dataBar" priority="19">
      <dataBar>
        <cfvo type="num" val="0"/>
        <cfvo type="num" val="1"/>
        <color theme="4" tint="0.59996337778862885"/>
      </dataBar>
      <extLst>
        <ext xmlns:x14="http://schemas.microsoft.com/office/spreadsheetml/2009/9/main" uri="{B025F937-C7B1-47D3-B67F-A62EFF666E3E}">
          <x14:id>{4D3B9C59-F5BE-451A-9932-B8C651EE58F6}</x14:id>
        </ext>
      </extLst>
    </cfRule>
  </conditionalFormatting>
  <dataValidations count="2">
    <dataValidation type="list" allowBlank="1" showInputMessage="1" showErrorMessage="1" sqref="E11 G11 E17:E36 G17:G36 E42:E95 G42:G95 E103:E171 G103:G171" xr:uid="{00000000-0002-0000-4E00-000000000000}">
      <formula1>$AC$5:$AC$6</formula1>
    </dataValidation>
    <dataValidation type="whole" allowBlank="1" showInputMessage="1" showErrorMessage="1" sqref="D12:D16 F12:O16 D18:D24 F18:F24 H18:O24 D26:D31 F26:F31 H26:O31 D33:D35 F33:F35 H33:O35 D37:D39 F37:H39 I37:I41 J37:J39 K37:K41 L37:L39 M37:M41 N37:N39 O37:O41 E40:E41 G40:G41 R40:R41 D43:D47 F43:F47 H43:O47 D49:D53 F49:F53 H49:O53 D55:D59 F55:F59 H55:O59 D61:D65 F61:F65 H61:O65 D67:D71 F67:F71 H67:O71 D73:D77 F73:F77 H73:O77 D79:D82 F79:F82 H79:O82 D84:D88 F84:F88 H84:O88 D90:D94 F90:F94 H90:O94 D96:D100 F96:H100 I96:I102 J96:J100 K96:K102 L96:L100 M96:M102 N96:N100 O96:O102 E101:E102 G101:G102 R101:R102 D104:D108 F104:F108 H104:O108 D110:D112 F110:F112 H110:O112 D114:D117 F114:F117 H114:O117 D119:D123 F119:F123 H119:O123 D125:D128 F125:F128 H125:O128 D130:D134 F130:F134 H130:O134 D136:D140 F136:F140 H136:O140 D142:D146 F142:F146 H142:O146 D148:D151 F148:F151 H148:O151 D153:D158 F153:F158 H153:O158 D160:D164 F160:F164 H160:O164 D166:D170 F166:F170 H166:O170 D172:D175 F172:O175" xr:uid="{00000000-0002-0000-4E00-000001000000}">
      <formula1>0</formula1>
      <formula2>5</formula2>
    </dataValidation>
  </dataValidations>
  <pageMargins left="0.7" right="0.7" top="0.78740157499999996" bottom="0.78740157499999996" header="0.3" footer="0.3"/>
  <pageSetup scale="46" orientation="landscape" r:id="rId1"/>
  <headerFooter>
    <oddFooter>&amp;LDok.-Nr./Rev./Datum
F01         /  03   / 04.12.2020
&amp;F&amp;C&amp;U&amp;A&amp;RSeite &amp;P / &amp;N</oddFooter>
  </headerFooter>
  <rowBreaks count="2" manualBreakCount="2">
    <brk id="40" max="16383" man="1"/>
    <brk id="101" max="16383" man="1"/>
  </rowBreaks>
  <extLst>
    <ext xmlns:x14="http://schemas.microsoft.com/office/spreadsheetml/2009/9/main" uri="{78C0D931-6437-407d-A8EE-F0AAD7539E65}">
      <x14:conditionalFormattings>
        <x14:conditionalFormatting xmlns:xm="http://schemas.microsoft.com/office/excel/2006/main">
          <x14:cfRule type="iconSet" priority="51" id="{1BF9D992-BE0B-41C2-B029-CB11033BEF6E}">
            <x14:iconSet iconSet="3Symbols" showValue="0" custom="1">
              <x14:cfvo type="percent">
                <xm:f>0</xm:f>
              </x14:cfvo>
              <x14:cfvo type="num" gte="0">
                <xm:f>2</xm:f>
              </x14:cfvo>
              <x14:cfvo type="num">
                <xm:f>4</xm:f>
              </x14:cfvo>
              <x14:cfIcon iconSet="3Symbols" iconId="0"/>
              <x14:cfIcon iconSet="3Symbols" iconId="1"/>
              <x14:cfIcon iconSet="3Symbols" iconId="2"/>
            </x14:iconSet>
          </x14:cfRule>
          <xm:sqref>Q12:Q175</xm:sqref>
        </x14:conditionalFormatting>
        <x14:conditionalFormatting xmlns:xm="http://schemas.microsoft.com/office/excel/2006/main">
          <x14:cfRule type="dataBar" id="{A9BF1937-82F4-46AC-8518-07A9E732B1C7}">
            <x14:dataBar minLength="0" maxLength="100" border="1" gradient="0">
              <x14:cfvo type="num">
                <xm:f>0</xm:f>
              </x14:cfvo>
              <x14:cfvo type="num">
                <xm:f>1</xm:f>
              </x14:cfvo>
              <x14:borderColor rgb="FF00B0F0"/>
              <x14:negativeFillColor rgb="FFFF0000"/>
              <x14:axisColor rgb="FF000000"/>
            </x14:dataBar>
          </x14:cfRule>
          <xm:sqref>T11</xm:sqref>
        </x14:conditionalFormatting>
        <x14:conditionalFormatting xmlns:xm="http://schemas.microsoft.com/office/excel/2006/main">
          <x14:cfRule type="dataBar" id="{EBBF0A2D-45CE-4E9E-BBA1-972191DF1E89}">
            <x14:dataBar minLength="0" maxLength="100" border="1" gradient="0">
              <x14:cfvo type="num">
                <xm:f>0</xm:f>
              </x14:cfvo>
              <x14:cfvo type="num">
                <xm:f>1</xm:f>
              </x14:cfvo>
              <x14:borderColor rgb="FF00B0F0"/>
              <x14:negativeFillColor rgb="FFFF0000"/>
              <x14:axisColor rgb="FF000000"/>
            </x14:dataBar>
          </x14:cfRule>
          <xm:sqref>T17</xm:sqref>
        </x14:conditionalFormatting>
        <x14:conditionalFormatting xmlns:xm="http://schemas.microsoft.com/office/excel/2006/main">
          <x14:cfRule type="dataBar" id="{92AD147A-4900-4E80-8D70-4066400698CD}">
            <x14:dataBar minLength="0" maxLength="100" border="1" gradient="0">
              <x14:cfvo type="num">
                <xm:f>0</xm:f>
              </x14:cfvo>
              <x14:cfvo type="num">
                <xm:f>1</xm:f>
              </x14:cfvo>
              <x14:borderColor rgb="FF00B0F0"/>
              <x14:negativeFillColor rgb="FFFF0000"/>
              <x14:axisColor rgb="FF000000"/>
            </x14:dataBar>
          </x14:cfRule>
          <xm:sqref>T25</xm:sqref>
        </x14:conditionalFormatting>
        <x14:conditionalFormatting xmlns:xm="http://schemas.microsoft.com/office/excel/2006/main">
          <x14:cfRule type="dataBar" id="{32D72149-6EF6-48C6-8B9A-F24A555D9EF6}">
            <x14:dataBar minLength="0" maxLength="100" border="1" gradient="0">
              <x14:cfvo type="num">
                <xm:f>0</xm:f>
              </x14:cfvo>
              <x14:cfvo type="num">
                <xm:f>1</xm:f>
              </x14:cfvo>
              <x14:borderColor rgb="FF00B0F0"/>
              <x14:negativeFillColor rgb="FFFF0000"/>
              <x14:axisColor rgb="FF000000"/>
            </x14:dataBar>
          </x14:cfRule>
          <xm:sqref>T32</xm:sqref>
        </x14:conditionalFormatting>
        <x14:conditionalFormatting xmlns:xm="http://schemas.microsoft.com/office/excel/2006/main">
          <x14:cfRule type="dataBar" id="{56BCF1C6-421C-45FD-BC14-6627286D56CB}">
            <x14:dataBar minLength="0" maxLength="100" border="1" gradient="0">
              <x14:cfvo type="num">
                <xm:f>0</xm:f>
              </x14:cfvo>
              <x14:cfvo type="num">
                <xm:f>1</xm:f>
              </x14:cfvo>
              <x14:borderColor rgb="FF00B0F0"/>
              <x14:negativeFillColor rgb="FFFF0000"/>
              <x14:axisColor rgb="FF000000"/>
            </x14:dataBar>
          </x14:cfRule>
          <xm:sqref>T36</xm:sqref>
        </x14:conditionalFormatting>
        <x14:conditionalFormatting xmlns:xm="http://schemas.microsoft.com/office/excel/2006/main">
          <x14:cfRule type="dataBar" id="{F82009D3-F141-4F3A-9765-E77A05E766FF}">
            <x14:dataBar minLength="0" maxLength="100" border="1" gradient="0">
              <x14:cfvo type="num">
                <xm:f>0</xm:f>
              </x14:cfvo>
              <x14:cfvo type="num">
                <xm:f>1</xm:f>
              </x14:cfvo>
              <x14:borderColor rgb="FF00B0F0"/>
              <x14:negativeFillColor rgb="FFFF0000"/>
              <x14:axisColor rgb="FF000000"/>
            </x14:dataBar>
          </x14:cfRule>
          <xm:sqref>T42</xm:sqref>
        </x14:conditionalFormatting>
        <x14:conditionalFormatting xmlns:xm="http://schemas.microsoft.com/office/excel/2006/main">
          <x14:cfRule type="dataBar" id="{74222005-6370-41C6-86AA-16AB4E28A11F}">
            <x14:dataBar minLength="0" maxLength="100" border="1" gradient="0">
              <x14:cfvo type="num">
                <xm:f>0</xm:f>
              </x14:cfvo>
              <x14:cfvo type="num">
                <xm:f>1</xm:f>
              </x14:cfvo>
              <x14:borderColor rgb="FF00B0F0"/>
              <x14:negativeFillColor rgb="FFFF0000"/>
              <x14:axisColor rgb="FF000000"/>
            </x14:dataBar>
          </x14:cfRule>
          <xm:sqref>T48</xm:sqref>
        </x14:conditionalFormatting>
        <x14:conditionalFormatting xmlns:xm="http://schemas.microsoft.com/office/excel/2006/main">
          <x14:cfRule type="dataBar" id="{2A157A10-4639-4361-B8D7-01E57C84AB34}">
            <x14:dataBar minLength="0" maxLength="100" border="1" gradient="0">
              <x14:cfvo type="num">
                <xm:f>0</xm:f>
              </x14:cfvo>
              <x14:cfvo type="num">
                <xm:f>1</xm:f>
              </x14:cfvo>
              <x14:borderColor rgb="FF00B0F0"/>
              <x14:negativeFillColor rgb="FFFF0000"/>
              <x14:axisColor rgb="FF000000"/>
            </x14:dataBar>
          </x14:cfRule>
          <xm:sqref>T54</xm:sqref>
        </x14:conditionalFormatting>
        <x14:conditionalFormatting xmlns:xm="http://schemas.microsoft.com/office/excel/2006/main">
          <x14:cfRule type="dataBar" id="{48B17359-A298-4500-AE74-7752C954914E}">
            <x14:dataBar minLength="0" maxLength="100" border="1" gradient="0">
              <x14:cfvo type="num">
                <xm:f>0</xm:f>
              </x14:cfvo>
              <x14:cfvo type="num">
                <xm:f>1</xm:f>
              </x14:cfvo>
              <x14:borderColor rgb="FF00B0F0"/>
              <x14:negativeFillColor rgb="FFFF0000"/>
              <x14:axisColor rgb="FF000000"/>
            </x14:dataBar>
          </x14:cfRule>
          <xm:sqref>T60</xm:sqref>
        </x14:conditionalFormatting>
        <x14:conditionalFormatting xmlns:xm="http://schemas.microsoft.com/office/excel/2006/main">
          <x14:cfRule type="dataBar" id="{7865735C-599C-43EF-9FD4-ECBE6EA30962}">
            <x14:dataBar minLength="0" maxLength="100" border="1" gradient="0">
              <x14:cfvo type="num">
                <xm:f>0</xm:f>
              </x14:cfvo>
              <x14:cfvo type="num">
                <xm:f>1</xm:f>
              </x14:cfvo>
              <x14:borderColor rgb="FF00B0F0"/>
              <x14:negativeFillColor rgb="FFFF0000"/>
              <x14:axisColor rgb="FF000000"/>
            </x14:dataBar>
          </x14:cfRule>
          <xm:sqref>T66</xm:sqref>
        </x14:conditionalFormatting>
        <x14:conditionalFormatting xmlns:xm="http://schemas.microsoft.com/office/excel/2006/main">
          <x14:cfRule type="dataBar" id="{9D121CDF-A3A2-4944-87D8-651309F1B56F}">
            <x14:dataBar minLength="0" maxLength="100" border="1" gradient="0">
              <x14:cfvo type="num">
                <xm:f>0</xm:f>
              </x14:cfvo>
              <x14:cfvo type="num">
                <xm:f>1</xm:f>
              </x14:cfvo>
              <x14:borderColor rgb="FF00B0F0"/>
              <x14:negativeFillColor rgb="FFFF0000"/>
              <x14:axisColor rgb="FF000000"/>
            </x14:dataBar>
          </x14:cfRule>
          <xm:sqref>T72</xm:sqref>
        </x14:conditionalFormatting>
        <x14:conditionalFormatting xmlns:xm="http://schemas.microsoft.com/office/excel/2006/main">
          <x14:cfRule type="dataBar" id="{4C87C0E3-44C2-4FAA-8068-B96E4C6AC600}">
            <x14:dataBar minLength="0" maxLength="100" border="1" gradient="0">
              <x14:cfvo type="num">
                <xm:f>0</xm:f>
              </x14:cfvo>
              <x14:cfvo type="num">
                <xm:f>1</xm:f>
              </x14:cfvo>
              <x14:borderColor rgb="FF00B0F0"/>
              <x14:negativeFillColor rgb="FFFF0000"/>
              <x14:axisColor rgb="FF000000"/>
            </x14:dataBar>
          </x14:cfRule>
          <xm:sqref>T78</xm:sqref>
        </x14:conditionalFormatting>
        <x14:conditionalFormatting xmlns:xm="http://schemas.microsoft.com/office/excel/2006/main">
          <x14:cfRule type="dataBar" id="{E67372F1-4ABA-4D8F-8F8D-78A161DF0D1C}">
            <x14:dataBar minLength="0" maxLength="100" border="1" gradient="0">
              <x14:cfvo type="num">
                <xm:f>0</xm:f>
              </x14:cfvo>
              <x14:cfvo type="num">
                <xm:f>1</xm:f>
              </x14:cfvo>
              <x14:borderColor rgb="FF00B0F0"/>
              <x14:negativeFillColor rgb="FFFF0000"/>
              <x14:axisColor rgb="FF000000"/>
            </x14:dataBar>
          </x14:cfRule>
          <xm:sqref>T83</xm:sqref>
        </x14:conditionalFormatting>
        <x14:conditionalFormatting xmlns:xm="http://schemas.microsoft.com/office/excel/2006/main">
          <x14:cfRule type="dataBar" id="{D873FCCB-3FC4-41CE-80A8-2DE13AA5700E}">
            <x14:dataBar minLength="0" maxLength="100" border="1" gradient="0">
              <x14:cfvo type="num">
                <xm:f>0</xm:f>
              </x14:cfvo>
              <x14:cfvo type="num">
                <xm:f>1</xm:f>
              </x14:cfvo>
              <x14:borderColor rgb="FF00B0F0"/>
              <x14:negativeFillColor rgb="FFFF0000"/>
              <x14:axisColor rgb="FF000000"/>
            </x14:dataBar>
          </x14:cfRule>
          <xm:sqref>T89</xm:sqref>
        </x14:conditionalFormatting>
        <x14:conditionalFormatting xmlns:xm="http://schemas.microsoft.com/office/excel/2006/main">
          <x14:cfRule type="dataBar" id="{5D6B324B-AB57-4007-BF51-1D17D151A1CC}">
            <x14:dataBar minLength="0" maxLength="100" border="1" gradient="0">
              <x14:cfvo type="num">
                <xm:f>0</xm:f>
              </x14:cfvo>
              <x14:cfvo type="num">
                <xm:f>1</xm:f>
              </x14:cfvo>
              <x14:borderColor rgb="FF00B0F0"/>
              <x14:negativeFillColor rgb="FFFF0000"/>
              <x14:axisColor rgb="FF000000"/>
            </x14:dataBar>
          </x14:cfRule>
          <xm:sqref>T95</xm:sqref>
        </x14:conditionalFormatting>
        <x14:conditionalFormatting xmlns:xm="http://schemas.microsoft.com/office/excel/2006/main">
          <x14:cfRule type="dataBar" id="{828E4AC4-C64C-4E49-8DB3-5252B72E2C25}">
            <x14:dataBar minLength="0" maxLength="100" border="1" gradient="0">
              <x14:cfvo type="num">
                <xm:f>0</xm:f>
              </x14:cfvo>
              <x14:cfvo type="num">
                <xm:f>1</xm:f>
              </x14:cfvo>
              <x14:borderColor rgb="FF00B0F0"/>
              <x14:negativeFillColor rgb="FFFF0000"/>
              <x14:axisColor rgb="FF000000"/>
            </x14:dataBar>
          </x14:cfRule>
          <xm:sqref>T103</xm:sqref>
        </x14:conditionalFormatting>
        <x14:conditionalFormatting xmlns:xm="http://schemas.microsoft.com/office/excel/2006/main">
          <x14:cfRule type="dataBar" id="{93F32EE8-B2C2-488C-A6F1-5E5020F43008}">
            <x14:dataBar minLength="0" maxLength="100" border="1" gradient="0">
              <x14:cfvo type="num">
                <xm:f>0</xm:f>
              </x14:cfvo>
              <x14:cfvo type="num">
                <xm:f>1</xm:f>
              </x14:cfvo>
              <x14:borderColor rgb="FF00B0F0"/>
              <x14:negativeFillColor rgb="FFFF0000"/>
              <x14:axisColor rgb="FF000000"/>
            </x14:dataBar>
          </x14:cfRule>
          <xm:sqref>T109</xm:sqref>
        </x14:conditionalFormatting>
        <x14:conditionalFormatting xmlns:xm="http://schemas.microsoft.com/office/excel/2006/main">
          <x14:cfRule type="dataBar" id="{18AD0275-CB6C-45B3-80C2-9A858C439AC5}">
            <x14:dataBar minLength="0" maxLength="100" border="1" gradient="0">
              <x14:cfvo type="num">
                <xm:f>0</xm:f>
              </x14:cfvo>
              <x14:cfvo type="num">
                <xm:f>1</xm:f>
              </x14:cfvo>
              <x14:borderColor rgb="FF00B0F0"/>
              <x14:negativeFillColor rgb="FFFF0000"/>
              <x14:axisColor rgb="FF000000"/>
            </x14:dataBar>
          </x14:cfRule>
          <xm:sqref>T113</xm:sqref>
        </x14:conditionalFormatting>
        <x14:conditionalFormatting xmlns:xm="http://schemas.microsoft.com/office/excel/2006/main">
          <x14:cfRule type="dataBar" id="{7AE83E3E-2E6E-4529-AD2B-D67B209027D2}">
            <x14:dataBar minLength="0" maxLength="100" border="1" gradient="0">
              <x14:cfvo type="num">
                <xm:f>0</xm:f>
              </x14:cfvo>
              <x14:cfvo type="num">
                <xm:f>1</xm:f>
              </x14:cfvo>
              <x14:borderColor rgb="FF00B0F0"/>
              <x14:negativeFillColor rgb="FFFF0000"/>
              <x14:axisColor rgb="FF000000"/>
            </x14:dataBar>
          </x14:cfRule>
          <xm:sqref>T118</xm:sqref>
        </x14:conditionalFormatting>
        <x14:conditionalFormatting xmlns:xm="http://schemas.microsoft.com/office/excel/2006/main">
          <x14:cfRule type="dataBar" id="{5BEEBE5B-6DD7-4F4C-ACAD-60709B4F5951}">
            <x14:dataBar minLength="0" maxLength="100" border="1" gradient="0">
              <x14:cfvo type="num">
                <xm:f>0</xm:f>
              </x14:cfvo>
              <x14:cfvo type="num">
                <xm:f>1</xm:f>
              </x14:cfvo>
              <x14:borderColor rgb="FF00B0F0"/>
              <x14:negativeFillColor rgb="FFFF0000"/>
              <x14:axisColor rgb="FF000000"/>
            </x14:dataBar>
          </x14:cfRule>
          <xm:sqref>T124</xm:sqref>
        </x14:conditionalFormatting>
        <x14:conditionalFormatting xmlns:xm="http://schemas.microsoft.com/office/excel/2006/main">
          <x14:cfRule type="dataBar" id="{8FB04E24-868E-4826-802D-4C5758556E03}">
            <x14:dataBar minLength="0" maxLength="100" border="1" gradient="0">
              <x14:cfvo type="num">
                <xm:f>0</xm:f>
              </x14:cfvo>
              <x14:cfvo type="num">
                <xm:f>1</xm:f>
              </x14:cfvo>
              <x14:borderColor rgb="FF00B0F0"/>
              <x14:negativeFillColor rgb="FFFF0000"/>
              <x14:axisColor rgb="FF000000"/>
            </x14:dataBar>
          </x14:cfRule>
          <xm:sqref>T129</xm:sqref>
        </x14:conditionalFormatting>
        <x14:conditionalFormatting xmlns:xm="http://schemas.microsoft.com/office/excel/2006/main">
          <x14:cfRule type="dataBar" id="{CAAF3C30-D35C-4248-B399-D6CCC519B581}">
            <x14:dataBar minLength="0" maxLength="100" border="1" gradient="0">
              <x14:cfvo type="num">
                <xm:f>0</xm:f>
              </x14:cfvo>
              <x14:cfvo type="num">
                <xm:f>1</xm:f>
              </x14:cfvo>
              <x14:borderColor rgb="FF00B0F0"/>
              <x14:negativeFillColor rgb="FFFF0000"/>
              <x14:axisColor rgb="FF000000"/>
            </x14:dataBar>
          </x14:cfRule>
          <xm:sqref>T135</xm:sqref>
        </x14:conditionalFormatting>
        <x14:conditionalFormatting xmlns:xm="http://schemas.microsoft.com/office/excel/2006/main">
          <x14:cfRule type="dataBar" id="{ED4D221A-CA9F-4659-810B-8A86C297FE89}">
            <x14:dataBar minLength="0" maxLength="100" border="1" gradient="0">
              <x14:cfvo type="num">
                <xm:f>0</xm:f>
              </x14:cfvo>
              <x14:cfvo type="num">
                <xm:f>1</xm:f>
              </x14:cfvo>
              <x14:borderColor rgb="FF00B0F0"/>
              <x14:negativeFillColor rgb="FFFF0000"/>
              <x14:axisColor rgb="FF000000"/>
            </x14:dataBar>
          </x14:cfRule>
          <xm:sqref>T141</xm:sqref>
        </x14:conditionalFormatting>
        <x14:conditionalFormatting xmlns:xm="http://schemas.microsoft.com/office/excel/2006/main">
          <x14:cfRule type="dataBar" id="{E77FFEF3-B40A-49C8-B4FE-A34175766CC2}">
            <x14:dataBar minLength="0" maxLength="100" border="1" gradient="0">
              <x14:cfvo type="num">
                <xm:f>0</xm:f>
              </x14:cfvo>
              <x14:cfvo type="num">
                <xm:f>1</xm:f>
              </x14:cfvo>
              <x14:borderColor rgb="FF00B0F0"/>
              <x14:negativeFillColor rgb="FFFF0000"/>
              <x14:axisColor rgb="FF000000"/>
            </x14:dataBar>
          </x14:cfRule>
          <xm:sqref>T147</xm:sqref>
        </x14:conditionalFormatting>
        <x14:conditionalFormatting xmlns:xm="http://schemas.microsoft.com/office/excel/2006/main">
          <x14:cfRule type="dataBar" id="{7CEF42E5-7FDF-4050-9B3B-7F122907FEEA}">
            <x14:dataBar minLength="0" maxLength="100" border="1" gradient="0">
              <x14:cfvo type="num">
                <xm:f>0</xm:f>
              </x14:cfvo>
              <x14:cfvo type="num">
                <xm:f>1</xm:f>
              </x14:cfvo>
              <x14:borderColor rgb="FF00B0F0"/>
              <x14:negativeFillColor rgb="FFFF0000"/>
              <x14:axisColor rgb="FF000000"/>
            </x14:dataBar>
          </x14:cfRule>
          <xm:sqref>T152</xm:sqref>
        </x14:conditionalFormatting>
        <x14:conditionalFormatting xmlns:xm="http://schemas.microsoft.com/office/excel/2006/main">
          <x14:cfRule type="dataBar" id="{D00754E7-2DB7-4F20-9008-1420DE748DB0}">
            <x14:dataBar minLength="0" maxLength="100" border="1" gradient="0">
              <x14:cfvo type="num">
                <xm:f>0</xm:f>
              </x14:cfvo>
              <x14:cfvo type="num">
                <xm:f>1</xm:f>
              </x14:cfvo>
              <x14:borderColor rgb="FF00B0F0"/>
              <x14:negativeFillColor rgb="FFFF0000"/>
              <x14:axisColor rgb="FF000000"/>
            </x14:dataBar>
          </x14:cfRule>
          <xm:sqref>T159</xm:sqref>
        </x14:conditionalFormatting>
        <x14:conditionalFormatting xmlns:xm="http://schemas.microsoft.com/office/excel/2006/main">
          <x14:cfRule type="dataBar" id="{873FB35C-72CB-4EE9-A248-6926C56012BB}">
            <x14:dataBar minLength="0" maxLength="100" border="1" gradient="0">
              <x14:cfvo type="num">
                <xm:f>0</xm:f>
              </x14:cfvo>
              <x14:cfvo type="num">
                <xm:f>1</xm:f>
              </x14:cfvo>
              <x14:borderColor rgb="FF00B0F0"/>
              <x14:negativeFillColor rgb="FFFF0000"/>
              <x14:axisColor rgb="FF000000"/>
            </x14:dataBar>
          </x14:cfRule>
          <xm:sqref>T165</xm:sqref>
        </x14:conditionalFormatting>
        <x14:conditionalFormatting xmlns:xm="http://schemas.microsoft.com/office/excel/2006/main">
          <x14:cfRule type="dataBar" id="{4D3B9C59-F5BE-451A-9932-B8C651EE58F6}">
            <x14:dataBar minLength="0" maxLength="100" border="1" gradient="0">
              <x14:cfvo type="num">
                <xm:f>0</xm:f>
              </x14:cfvo>
              <x14:cfvo type="num">
                <xm:f>1</xm:f>
              </x14:cfvo>
              <x14:borderColor rgb="FF00B0F0"/>
              <x14:negativeFillColor rgb="FFFF0000"/>
              <x14:axisColor rgb="FF000000"/>
            </x14:dataBar>
          </x14:cfRule>
          <xm:sqref>T171</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dmin_Self_Assessment">
    <tabColor theme="0"/>
  </sheetPr>
  <dimension ref="B1:F43"/>
  <sheetViews>
    <sheetView workbookViewId="0">
      <selection activeCell="D7" sqref="D7"/>
    </sheetView>
  </sheetViews>
  <sheetFormatPr baseColWidth="10" defaultColWidth="11.5" defaultRowHeight="20" customHeight="1"/>
  <cols>
    <col min="1" max="1" width="2" style="172" customWidth="1"/>
    <col min="2" max="2" width="3.6640625" style="172" bestFit="1" customWidth="1"/>
    <col min="3" max="3" width="50.5" style="172" customWidth="1"/>
    <col min="4" max="16384" width="11.5" style="172"/>
  </cols>
  <sheetData>
    <row r="1" spans="2:6" ht="16.5" customHeight="1" thickBot="1">
      <c r="B1" s="459"/>
      <c r="C1" s="459"/>
      <c r="D1" s="459"/>
      <c r="E1" s="459"/>
      <c r="F1" s="459"/>
    </row>
    <row r="2" spans="2:6" ht="5.25" customHeight="1" thickTop="1">
      <c r="B2" s="200"/>
      <c r="C2" s="201"/>
      <c r="E2" s="203"/>
      <c r="F2" s="202"/>
    </row>
    <row r="3" spans="2:6" ht="28.5" customHeight="1">
      <c r="B3" s="2046" t="str">
        <f>Dictionary!B539</f>
        <v>Selbsteinschätzung</v>
      </c>
      <c r="C3" s="2046"/>
      <c r="D3" s="2046"/>
      <c r="E3" s="2046"/>
      <c r="F3" s="2046"/>
    </row>
    <row r="4" spans="2:6" ht="34.5" customHeight="1">
      <c r="B4" s="2096" t="str">
        <f>Dictionary!B540</f>
        <v>Bitte bewerten Sie Ihre eigenen Fähigkeiten für jedes CE anhand der folgenden 3 Kategorien. Kreuzen Sie das am besten zutreffende Level mit einem "X" an (nur eine Stufe pro Kompetenzelement (CE)).</v>
      </c>
      <c r="C4" s="2097"/>
      <c r="D4" s="2097"/>
      <c r="E4" s="2097"/>
      <c r="F4" s="2097"/>
    </row>
    <row r="5" spans="2:6" ht="26.25" customHeight="1">
      <c r="B5" s="1339"/>
      <c r="C5" s="1340"/>
      <c r="D5" s="1357" t="str">
        <f>Dictionary!B551&amp;" 1"</f>
        <v>Stufe 1</v>
      </c>
      <c r="E5" s="1358" t="str">
        <f>Dictionary!B551&amp;" 2"</f>
        <v>Stufe 2</v>
      </c>
      <c r="F5" s="1359" t="str">
        <f>Dictionary!B551&amp;" 3"</f>
        <v>Stufe 3</v>
      </c>
    </row>
    <row r="6" spans="2:6" ht="71.25" customHeight="1">
      <c r="B6" s="2098" t="str">
        <f>Dictionary!B541</f>
        <v>Kompetenzelemente (CE)*</v>
      </c>
      <c r="C6" s="2099"/>
      <c r="D6" s="1338" t="str">
        <f>Dictionary!B542&amp;" / "&amp;Dictionary!B543</f>
        <v>Wissen vorhanden / verstehen</v>
      </c>
      <c r="E6" s="1338" t="str">
        <f>Dictionary!B544&amp;" / "&amp;Dictionary!B545</f>
        <v>Fertigkeiten vorhanden / handeln</v>
      </c>
      <c r="F6" s="1341" t="str">
        <f>Dictionary!B546&amp;" / "&amp;Dictionary!B547</f>
        <v>Fähigkeiten vorhanden / gestalten</v>
      </c>
    </row>
    <row r="7" spans="2:6" s="206" customFormat="1" ht="21" customHeight="1">
      <c r="B7" s="2100" t="s">
        <v>280</v>
      </c>
      <c r="C7" s="204" t="str">
        <f>Dictionary!B1229</f>
        <v>Strategie</v>
      </c>
      <c r="D7" s="205"/>
      <c r="E7" s="205"/>
      <c r="F7" s="1342"/>
    </row>
    <row r="8" spans="2:6" s="206" customFormat="1" ht="21" customHeight="1">
      <c r="B8" s="2101"/>
      <c r="C8" s="207" t="str">
        <f>Dictionary!B1230</f>
        <v>Governance, Strukturen und Prozesse</v>
      </c>
      <c r="D8" s="205"/>
      <c r="E8" s="205"/>
      <c r="F8" s="1342"/>
    </row>
    <row r="9" spans="2:6" s="206" customFormat="1" ht="21" customHeight="1">
      <c r="B9" s="2101"/>
      <c r="C9" s="207" t="str">
        <f>Dictionary!B1231</f>
        <v>Compliance, Standards und Regularien</v>
      </c>
      <c r="D9" s="205"/>
      <c r="E9" s="205"/>
      <c r="F9" s="1342"/>
    </row>
    <row r="10" spans="2:6" s="206" customFormat="1" ht="21" customHeight="1">
      <c r="B10" s="2101"/>
      <c r="C10" s="204" t="str">
        <f>Dictionary!B1232</f>
        <v>Macht und Interessen</v>
      </c>
      <c r="D10" s="205"/>
      <c r="E10" s="205"/>
      <c r="F10" s="1342"/>
    </row>
    <row r="11" spans="2:6" s="206" customFormat="1" ht="21" customHeight="1">
      <c r="B11" s="2101"/>
      <c r="C11" s="204" t="str">
        <f>Dictionary!B1233</f>
        <v>Kultur und Werte</v>
      </c>
      <c r="D11" s="205"/>
      <c r="E11" s="205"/>
      <c r="F11" s="1342"/>
    </row>
    <row r="12" spans="2:6" s="206" customFormat="1" ht="21" customHeight="1">
      <c r="B12" s="2102" t="s">
        <v>281</v>
      </c>
      <c r="C12" s="760" t="str">
        <f>Dictionary!B1235</f>
        <v>Selbstreflexion und Selbstmanagement</v>
      </c>
      <c r="D12" s="205"/>
      <c r="E12" s="205"/>
      <c r="F12" s="1342"/>
    </row>
    <row r="13" spans="2:6" s="206" customFormat="1" ht="21" customHeight="1">
      <c r="B13" s="2103"/>
      <c r="C13" s="760" t="str">
        <f>Dictionary!B1236</f>
        <v>Persönliche Integrität und Verlässlichkeit</v>
      </c>
      <c r="D13" s="205"/>
      <c r="E13" s="205"/>
      <c r="F13" s="1342"/>
    </row>
    <row r="14" spans="2:6" s="206" customFormat="1" ht="21" customHeight="1">
      <c r="B14" s="2103"/>
      <c r="C14" s="760" t="str">
        <f>Dictionary!B1237</f>
        <v>Persönliche Kommunikation</v>
      </c>
      <c r="D14" s="205"/>
      <c r="E14" s="205"/>
      <c r="F14" s="1342"/>
    </row>
    <row r="15" spans="2:6" s="206" customFormat="1" ht="21" customHeight="1">
      <c r="B15" s="2103"/>
      <c r="C15" s="760" t="str">
        <f>Dictionary!B1238</f>
        <v>Beziehungen und Engagement</v>
      </c>
      <c r="D15" s="205"/>
      <c r="E15" s="205"/>
      <c r="F15" s="1342"/>
    </row>
    <row r="16" spans="2:6" s="206" customFormat="1" ht="21" customHeight="1">
      <c r="B16" s="2103"/>
      <c r="C16" s="760" t="str">
        <f>Dictionary!B1239</f>
        <v>Führung</v>
      </c>
      <c r="D16" s="205"/>
      <c r="E16" s="205"/>
      <c r="F16" s="1342"/>
    </row>
    <row r="17" spans="2:6" s="206" customFormat="1" ht="21" customHeight="1">
      <c r="B17" s="2103"/>
      <c r="C17" s="760" t="str">
        <f>Dictionary!B1240</f>
        <v>Teamarbeit</v>
      </c>
      <c r="D17" s="205"/>
      <c r="E17" s="205"/>
      <c r="F17" s="1342"/>
    </row>
    <row r="18" spans="2:6" s="206" customFormat="1" ht="21" customHeight="1">
      <c r="B18" s="2103"/>
      <c r="C18" s="760" t="str">
        <f>Dictionary!B1241</f>
        <v>Konflikte und Krisen</v>
      </c>
      <c r="D18" s="205"/>
      <c r="E18" s="205"/>
      <c r="F18" s="1342"/>
    </row>
    <row r="19" spans="2:6" s="206" customFormat="1" ht="21" customHeight="1">
      <c r="B19" s="2103"/>
      <c r="C19" s="760" t="str">
        <f>Dictionary!B1242</f>
        <v>Vielseitigkeit</v>
      </c>
      <c r="D19" s="205"/>
      <c r="E19" s="205"/>
      <c r="F19" s="1342"/>
    </row>
    <row r="20" spans="2:6" s="206" customFormat="1" ht="21" customHeight="1">
      <c r="B20" s="2103"/>
      <c r="C20" s="760" t="str">
        <f>Dictionary!B1243</f>
        <v>Verhandlungen</v>
      </c>
      <c r="D20" s="205"/>
      <c r="E20" s="205"/>
      <c r="F20" s="1342"/>
    </row>
    <row r="21" spans="2:6" s="206" customFormat="1" ht="21" customHeight="1">
      <c r="B21" s="2103"/>
      <c r="C21" s="760" t="str">
        <f>Dictionary!B1244</f>
        <v>Ergebnisorientierung</v>
      </c>
      <c r="D21" s="205"/>
      <c r="E21" s="205"/>
      <c r="F21" s="1342"/>
    </row>
    <row r="22" spans="2:6" s="206" customFormat="1" ht="21" customHeight="1">
      <c r="B22" s="2104" t="s">
        <v>282</v>
      </c>
      <c r="C22" s="555" t="str">
        <f>Dictionary!B1246</f>
        <v>Projektdesign</v>
      </c>
      <c r="D22" s="205"/>
      <c r="E22" s="205"/>
      <c r="F22" s="1342"/>
    </row>
    <row r="23" spans="2:6" s="206" customFormat="1" ht="21" customHeight="1">
      <c r="B23" s="2104"/>
      <c r="C23" s="555" t="str">
        <f>Dictionary!B1247</f>
        <v>Anforderungen und Ziele</v>
      </c>
      <c r="D23" s="205"/>
      <c r="E23" s="205"/>
      <c r="F23" s="1342"/>
    </row>
    <row r="24" spans="2:6" s="206" customFormat="1" ht="21" customHeight="1">
      <c r="B24" s="2104"/>
      <c r="C24" s="555" t="str">
        <f>Dictionary!B1248</f>
        <v>Leistungsumfang</v>
      </c>
      <c r="D24" s="205"/>
      <c r="E24" s="205"/>
      <c r="F24" s="1342"/>
    </row>
    <row r="25" spans="2:6" s="206" customFormat="1" ht="21" customHeight="1">
      <c r="B25" s="2104"/>
      <c r="C25" s="555" t="str">
        <f>Dictionary!B1249</f>
        <v>Ablauf und Termine</v>
      </c>
      <c r="D25" s="205"/>
      <c r="E25" s="205"/>
      <c r="F25" s="1342"/>
    </row>
    <row r="26" spans="2:6" s="206" customFormat="1" ht="21" customHeight="1">
      <c r="B26" s="2104"/>
      <c r="C26" s="555" t="str">
        <f>Dictionary!B1250</f>
        <v>Organisation und Information</v>
      </c>
      <c r="D26" s="205"/>
      <c r="E26" s="205"/>
      <c r="F26" s="1342"/>
    </row>
    <row r="27" spans="2:6" s="206" customFormat="1" ht="21" customHeight="1">
      <c r="B27" s="2104"/>
      <c r="C27" s="555" t="str">
        <f>Dictionary!B1251</f>
        <v>Qualität</v>
      </c>
      <c r="D27" s="205"/>
      <c r="E27" s="205"/>
      <c r="F27" s="1342"/>
    </row>
    <row r="28" spans="2:6" s="206" customFormat="1" ht="21" customHeight="1">
      <c r="B28" s="2104"/>
      <c r="C28" s="555" t="str">
        <f>Dictionary!B1252</f>
        <v>Kosten &amp; Finanzierung</v>
      </c>
      <c r="D28" s="205"/>
      <c r="E28" s="205"/>
      <c r="F28" s="1342"/>
    </row>
    <row r="29" spans="2:6" s="206" customFormat="1" ht="21" customHeight="1">
      <c r="B29" s="2104"/>
      <c r="C29" s="555" t="str">
        <f>Dictionary!B1253</f>
        <v>Ressourcen</v>
      </c>
      <c r="D29" s="205"/>
      <c r="E29" s="205"/>
      <c r="F29" s="1342"/>
    </row>
    <row r="30" spans="2:6" s="206" customFormat="1" ht="21" customHeight="1">
      <c r="B30" s="2104"/>
      <c r="C30" s="555" t="str">
        <f>Dictionary!B1254</f>
        <v>Beschaffung</v>
      </c>
      <c r="D30" s="205"/>
      <c r="E30" s="205"/>
      <c r="F30" s="1342"/>
    </row>
    <row r="31" spans="2:6" s="206" customFormat="1" ht="21" customHeight="1">
      <c r="B31" s="2104"/>
      <c r="C31" s="555" t="str">
        <f>Dictionary!B1255</f>
        <v>Planung und Steuerung</v>
      </c>
      <c r="D31" s="205"/>
      <c r="E31" s="205"/>
      <c r="F31" s="1342"/>
    </row>
    <row r="32" spans="2:6" s="206" customFormat="1" ht="21" customHeight="1">
      <c r="B32" s="2104"/>
      <c r="C32" s="555" t="str">
        <f>Dictionary!B1256</f>
        <v>Risiken und Chancen</v>
      </c>
      <c r="D32" s="205"/>
      <c r="E32" s="205"/>
      <c r="F32" s="1342"/>
    </row>
    <row r="33" spans="2:6" s="206" customFormat="1" ht="21" customHeight="1">
      <c r="B33" s="2104"/>
      <c r="C33" s="555" t="str">
        <f>Dictionary!B1257</f>
        <v>Stakeholder</v>
      </c>
      <c r="D33" s="205"/>
      <c r="E33" s="205"/>
      <c r="F33" s="1342"/>
    </row>
    <row r="34" spans="2:6" s="206" customFormat="1" ht="21" customHeight="1">
      <c r="B34" s="2105"/>
      <c r="C34" s="1471" t="str">
        <f>Dictionary!B1258</f>
        <v>Change und Transformation</v>
      </c>
      <c r="D34" s="1472"/>
      <c r="E34" s="1472"/>
      <c r="F34" s="1473"/>
    </row>
    <row r="35" spans="2:6" s="206" customFormat="1" ht="21" customHeight="1">
      <c r="B35" s="2106"/>
      <c r="C35" s="1343" t="str">
        <f>Dictionary!B1259</f>
        <v/>
      </c>
      <c r="D35" s="1344"/>
      <c r="E35" s="1344"/>
      <c r="F35" s="1345"/>
    </row>
    <row r="37" spans="2:6" ht="20" customHeight="1">
      <c r="B37" s="2107" t="str">
        <f>Dictionary!B549</f>
        <v>*Weitere Einzelheiten finden Sie in der ICB 4 Individual Competence Baseline und ICR 4 Public, IPMA Certification Regulation Public Version. Beide Dateien können von der IPMA-Website heruntergeladen werden.</v>
      </c>
      <c r="C37" s="2108"/>
      <c r="D37" s="2108"/>
      <c r="E37" s="2108"/>
      <c r="F37" s="2109"/>
    </row>
    <row r="38" spans="2:6" ht="20" customHeight="1">
      <c r="B38" s="2110"/>
      <c r="C38" s="2111"/>
      <c r="D38" s="2111"/>
      <c r="E38" s="2111"/>
      <c r="F38" s="2112"/>
    </row>
    <row r="39" spans="2:6" ht="20" customHeight="1">
      <c r="B39" s="2113"/>
      <c r="C39" s="2114"/>
      <c r="D39" s="2114"/>
      <c r="E39" s="2114"/>
      <c r="F39" s="2115"/>
    </row>
    <row r="40" spans="2:6" ht="20" customHeight="1">
      <c r="B40" s="190"/>
      <c r="C40" s="190"/>
      <c r="D40" s="190"/>
      <c r="E40" s="190"/>
      <c r="F40" s="190"/>
    </row>
    <row r="41" spans="2:6" ht="20" customHeight="1">
      <c r="B41" s="2054"/>
      <c r="C41" s="2054"/>
      <c r="D41" s="2054"/>
      <c r="E41" s="190"/>
      <c r="F41" s="190"/>
    </row>
    <row r="42" spans="2:6" ht="20" customHeight="1" thickBot="1">
      <c r="B42" s="460"/>
      <c r="C42" s="460"/>
      <c r="D42" s="460"/>
      <c r="E42" s="460"/>
      <c r="F42" s="460"/>
    </row>
    <row r="43" spans="2:6" ht="20" customHeight="1">
      <c r="B43" s="190"/>
      <c r="C43" s="190"/>
      <c r="D43" s="190"/>
      <c r="E43" s="190"/>
      <c r="F43" s="465" t="s">
        <v>105</v>
      </c>
    </row>
  </sheetData>
  <sheetProtection algorithmName="SHA-512" hashValue="iLZ6/okM8wYjpMroKK2i4iGClo4dVORGFewMrdDNtHfue9OiykRGVuO2PM2gVue4j0hMCnIw28rlloBxznbkxg==" saltValue="USpanFGdSbG7DhK82mIDsw==" spinCount="100000" sheet="1" objects="1" scenarios="1" selectLockedCells="1"/>
  <mergeCells count="8">
    <mergeCell ref="B3:F3"/>
    <mergeCell ref="B41:D41"/>
    <mergeCell ref="B4:F4"/>
    <mergeCell ref="B6:C6"/>
    <mergeCell ref="B7:B11"/>
    <mergeCell ref="B12:B21"/>
    <mergeCell ref="B22:B35"/>
    <mergeCell ref="B37:F39"/>
  </mergeCells>
  <dataValidations count="1">
    <dataValidation type="textLength" operator="equal" allowBlank="1" showInputMessage="1" showErrorMessage="1" sqref="D7:F35" xr:uid="{00000000-0002-0000-0700-000000000000}">
      <formula1>1</formula1>
    </dataValidation>
  </dataValidations>
  <pageMargins left="0.7" right="0.7" top="0.78740157499999996" bottom="0.78740157499999996" header="0.3" footer="0.3"/>
  <pageSetup paperSize="9" scale="46" orientation="portrait" r:id="rId1"/>
  <headerFooter>
    <oddFooter>&amp;LDok.-Nr./Rev./Datum
F01         /  03   / 04.12.2020
&amp;F&amp;C&amp;U&amp;A&amp;RSeite &amp;P / &amp;N</oddFooter>
  </headerFooter>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22B3B-E583-4A03-AA47-BC9ABBCEDAAB}">
  <sheetPr codeName="Support_Sheet70"/>
  <dimension ref="A1:IY209"/>
  <sheetViews>
    <sheetView showGridLines="0" zoomScale="70" zoomScaleNormal="70" workbookViewId="0">
      <pane xSplit="4" ySplit="4" topLeftCell="E172" activePane="bottomRight" state="frozen"/>
      <selection activeCell="C53" sqref="C53"/>
      <selection pane="topRight" activeCell="C53" sqref="C53"/>
      <selection pane="bottomLeft" activeCell="C53" sqref="C53"/>
      <selection pane="bottomRight" activeCell="R114" sqref="R114"/>
    </sheetView>
  </sheetViews>
  <sheetFormatPr baseColWidth="10" defaultColWidth="15.5" defaultRowHeight="13"/>
  <cols>
    <col min="1" max="1" width="7.5" style="745" customWidth="1"/>
    <col min="2" max="2" width="10.33203125" style="716" customWidth="1"/>
    <col min="3" max="4" width="7.5" style="716" customWidth="1"/>
    <col min="5" max="5" width="38.83203125" style="716" customWidth="1"/>
    <col min="6" max="6" width="21.83203125" style="746" customWidth="1"/>
    <col min="7" max="7" width="22.83203125" style="716" customWidth="1"/>
    <col min="8" max="8" width="27.6640625" style="716" customWidth="1"/>
    <col min="9" max="9" width="49.5" style="716" customWidth="1"/>
    <col min="10" max="11" width="11.6640625" style="747" customWidth="1"/>
    <col min="12" max="12" width="12" style="716" customWidth="1"/>
    <col min="13" max="13" width="7.5" style="716" customWidth="1"/>
    <col min="14" max="14" width="5.1640625" style="716" hidden="1" customWidth="1"/>
    <col min="15" max="15" width="48" style="716" hidden="1" customWidth="1"/>
    <col min="16" max="16" width="2" style="716" hidden="1" customWidth="1"/>
    <col min="17" max="259" width="15.5" style="716" customWidth="1"/>
    <col min="260" max="16384" width="15.5" style="736"/>
  </cols>
  <sheetData>
    <row r="1" spans="1:17" ht="42">
      <c r="A1" s="716" t="s">
        <v>3709</v>
      </c>
    </row>
    <row r="2" spans="1:17" s="716" customFormat="1" ht="17">
      <c r="A2" s="2457" t="s">
        <v>2017</v>
      </c>
      <c r="B2" s="2458"/>
      <c r="C2" s="2458" t="str">
        <f>Scoring!R3</f>
        <v>Zert. Nummer:</v>
      </c>
      <c r="D2" s="2458"/>
      <c r="E2" s="1012" t="s">
        <v>288</v>
      </c>
      <c r="F2" s="2459" t="str">
        <f>Scoring!L2</f>
        <v>Lead Assessor:</v>
      </c>
      <c r="G2" s="2458"/>
      <c r="H2" s="1013"/>
      <c r="I2" s="2460"/>
      <c r="J2" s="2460"/>
      <c r="K2" s="2460"/>
      <c r="L2" s="2460"/>
      <c r="M2" s="2461"/>
    </row>
    <row r="3" spans="1:17" s="716" customFormat="1" ht="21" thickBot="1">
      <c r="A3" s="2462"/>
      <c r="B3" s="2463"/>
      <c r="C3" s="2463"/>
      <c r="D3" s="2463"/>
      <c r="E3" s="1014" t="s">
        <v>2018</v>
      </c>
      <c r="F3" s="1015" t="str">
        <f>Scoring!R2</f>
        <v>A, PJM</v>
      </c>
      <c r="G3" s="1015" t="str">
        <f>Scoring_Cand_Name</f>
        <v xml:space="preserve">, </v>
      </c>
      <c r="H3" s="2464" t="s">
        <v>2632</v>
      </c>
      <c r="I3" s="2464"/>
      <c r="J3" s="1016"/>
      <c r="K3" s="1016"/>
      <c r="L3" s="1017"/>
      <c r="M3" s="1018">
        <f>M183</f>
        <v>0</v>
      </c>
      <c r="P3" s="717"/>
    </row>
    <row r="4" spans="1:17" s="716" customFormat="1" ht="51">
      <c r="A4" s="1062" t="s">
        <v>742</v>
      </c>
      <c r="B4" s="1063" t="s">
        <v>2019</v>
      </c>
      <c r="C4" s="2465" t="s">
        <v>2020</v>
      </c>
      <c r="D4" s="2466"/>
      <c r="E4" s="1064" t="s">
        <v>2021</v>
      </c>
      <c r="F4" s="1064" t="s">
        <v>2022</v>
      </c>
      <c r="G4" s="1064" t="s">
        <v>2023</v>
      </c>
      <c r="H4" s="1064" t="s">
        <v>2024</v>
      </c>
      <c r="I4" s="1064" t="s">
        <v>2025</v>
      </c>
      <c r="J4" s="1065" t="s">
        <v>2026</v>
      </c>
      <c r="K4" s="1065" t="s">
        <v>2027</v>
      </c>
      <c r="L4" s="1064" t="s">
        <v>2028</v>
      </c>
      <c r="M4" s="1066"/>
      <c r="O4" s="718" t="s">
        <v>2029</v>
      </c>
      <c r="P4" s="719"/>
    </row>
    <row r="5" spans="1:17" s="716" customFormat="1" ht="114.75" customHeight="1">
      <c r="A5" s="2467" t="s">
        <v>1190</v>
      </c>
      <c r="B5" s="1071" t="s">
        <v>1293</v>
      </c>
      <c r="C5" s="1072" t="s">
        <v>2030</v>
      </c>
      <c r="D5" s="1072" t="s">
        <v>2031</v>
      </c>
      <c r="E5" s="1073" t="s">
        <v>1294</v>
      </c>
      <c r="F5" s="1060" t="str">
        <f>IF(Scoring!I14="","",Scoring!I14)</f>
        <v/>
      </c>
      <c r="G5" s="1074"/>
      <c r="H5" s="1074"/>
      <c r="I5" s="1075" t="s">
        <v>2032</v>
      </c>
      <c r="J5" s="1061"/>
      <c r="K5" s="1061"/>
      <c r="L5" s="1076"/>
      <c r="M5" s="1077"/>
      <c r="O5" s="720"/>
      <c r="P5" s="721"/>
    </row>
    <row r="6" spans="1:17" s="716" customFormat="1" ht="98">
      <c r="A6" s="2456"/>
      <c r="B6" s="1078" t="s">
        <v>1303</v>
      </c>
      <c r="C6" s="1079" t="s">
        <v>2033</v>
      </c>
      <c r="D6" s="1079" t="s">
        <v>2031</v>
      </c>
      <c r="E6" s="1080" t="s">
        <v>1304</v>
      </c>
      <c r="F6" s="1019" t="str">
        <f>IF(Scoring!I15="","",Scoring!I15)</f>
        <v/>
      </c>
      <c r="G6" s="1081"/>
      <c r="H6" s="1081"/>
      <c r="I6" s="1082" t="s">
        <v>2034</v>
      </c>
      <c r="J6" s="1020"/>
      <c r="K6" s="1020"/>
      <c r="L6" s="1083"/>
      <c r="M6" s="1084"/>
      <c r="O6" s="723"/>
      <c r="P6" s="724"/>
    </row>
    <row r="7" spans="1:17" s="716" customFormat="1" ht="241" customHeight="1">
      <c r="A7" s="2456"/>
      <c r="B7" s="1078" t="s">
        <v>1598</v>
      </c>
      <c r="C7" s="1079" t="s">
        <v>2033</v>
      </c>
      <c r="D7" s="1079" t="s">
        <v>2031</v>
      </c>
      <c r="E7" s="1080" t="s">
        <v>1334</v>
      </c>
      <c r="F7" s="1019" t="str">
        <f>IF(Scoring!I16="","",Scoring!I16)</f>
        <v/>
      </c>
      <c r="G7" s="1081"/>
      <c r="H7" s="1081"/>
      <c r="I7" s="1082" t="s">
        <v>2035</v>
      </c>
      <c r="J7" s="1020"/>
      <c r="K7" s="1020"/>
      <c r="L7" s="1083"/>
      <c r="M7" s="1084"/>
      <c r="O7" s="723"/>
      <c r="P7" s="724"/>
    </row>
    <row r="8" spans="1:17" s="716" customFormat="1" ht="179.25" customHeight="1">
      <c r="A8" s="2456"/>
      <c r="B8" s="1078" t="s">
        <v>1599</v>
      </c>
      <c r="C8" s="1079" t="s">
        <v>2033</v>
      </c>
      <c r="D8" s="1079" t="s">
        <v>2031</v>
      </c>
      <c r="E8" s="1080" t="s">
        <v>1337</v>
      </c>
      <c r="F8" s="1019" t="str">
        <f>IF(Scoring!I17="","",Scoring!I17)</f>
        <v/>
      </c>
      <c r="G8" s="1081"/>
      <c r="H8" s="1081"/>
      <c r="I8" s="1082" t="s">
        <v>2036</v>
      </c>
      <c r="J8" s="1020"/>
      <c r="K8" s="1020"/>
      <c r="L8" s="1083"/>
      <c r="M8" s="1084"/>
      <c r="O8" s="723"/>
      <c r="P8" s="724"/>
    </row>
    <row r="9" spans="1:17" s="716" customFormat="1" ht="165.75" customHeight="1" thickBot="1">
      <c r="A9" s="2456"/>
      <c r="B9" s="1078" t="s">
        <v>1600</v>
      </c>
      <c r="C9" s="1079" t="s">
        <v>2033</v>
      </c>
      <c r="D9" s="1079" t="s">
        <v>2031</v>
      </c>
      <c r="E9" s="1080" t="s">
        <v>1338</v>
      </c>
      <c r="F9" s="1019" t="str">
        <f>IF(Scoring!I18="","",Scoring!I18)</f>
        <v/>
      </c>
      <c r="G9" s="1081"/>
      <c r="H9" s="1081"/>
      <c r="I9" s="1082" t="s">
        <v>2037</v>
      </c>
      <c r="J9" s="1020">
        <f>COUNT(F5:F9)</f>
        <v>0</v>
      </c>
      <c r="K9" s="1020"/>
      <c r="L9" s="1085">
        <f>SUM(F5:F9)</f>
        <v>0</v>
      </c>
      <c r="M9" s="1022">
        <f>IF(L9&lt;3,0,1)</f>
        <v>0</v>
      </c>
      <c r="O9" s="725"/>
      <c r="P9" s="726">
        <f>COUNTA(F5:F9)</f>
        <v>5</v>
      </c>
    </row>
    <row r="10" spans="1:17" s="728" customFormat="1" ht="22.75" customHeight="1" thickTop="1" thickBot="1">
      <c r="A10" s="1023"/>
      <c r="B10" s="1024"/>
      <c r="C10" s="1024"/>
      <c r="D10" s="1024"/>
      <c r="E10" s="1024"/>
      <c r="F10" s="1024"/>
      <c r="G10" s="1024"/>
      <c r="H10" s="1024"/>
      <c r="I10" s="1024"/>
      <c r="J10" s="1024"/>
      <c r="K10" s="1024"/>
      <c r="L10" s="1024"/>
      <c r="M10" s="1025"/>
      <c r="N10" s="1007"/>
      <c r="O10" s="727"/>
      <c r="P10" s="727"/>
      <c r="Q10" s="727"/>
    </row>
    <row r="11" spans="1:17" s="716" customFormat="1" ht="127" thickTop="1">
      <c r="A11" s="2455" t="s">
        <v>1191</v>
      </c>
      <c r="B11" s="1086" t="s">
        <v>2038</v>
      </c>
      <c r="C11" s="1087">
        <v>3</v>
      </c>
      <c r="D11" s="1087">
        <v>4</v>
      </c>
      <c r="E11" s="1080" t="s">
        <v>2039</v>
      </c>
      <c r="F11" s="1019" t="str">
        <f>IF(Scoring!I20="","",Scoring!I20)</f>
        <v/>
      </c>
      <c r="G11" s="1081"/>
      <c r="H11" s="1081"/>
      <c r="I11" s="1082" t="s">
        <v>2040</v>
      </c>
      <c r="J11" s="1020"/>
      <c r="K11" s="1020"/>
      <c r="L11" s="1083"/>
      <c r="M11" s="1084"/>
      <c r="O11" s="729"/>
      <c r="P11" s="730"/>
    </row>
    <row r="12" spans="1:17" s="716" customFormat="1" ht="84">
      <c r="A12" s="2456"/>
      <c r="B12" s="1086" t="s">
        <v>2041</v>
      </c>
      <c r="C12" s="1087">
        <v>2</v>
      </c>
      <c r="D12" s="1087">
        <v>2</v>
      </c>
      <c r="E12" s="1080" t="s">
        <v>1941</v>
      </c>
      <c r="F12" s="1019" t="str">
        <f>IF(Scoring!I21="","",Scoring!I21)</f>
        <v/>
      </c>
      <c r="G12" s="1081"/>
      <c r="H12" s="1081"/>
      <c r="I12" s="1082" t="s">
        <v>2042</v>
      </c>
      <c r="J12" s="1020"/>
      <c r="K12" s="1020"/>
      <c r="L12" s="1083"/>
      <c r="M12" s="1084"/>
      <c r="O12" s="723"/>
      <c r="P12" s="724"/>
    </row>
    <row r="13" spans="1:17" s="716" customFormat="1" ht="84">
      <c r="A13" s="2456"/>
      <c r="B13" s="1086" t="s">
        <v>2043</v>
      </c>
      <c r="C13" s="1087">
        <v>2</v>
      </c>
      <c r="D13" s="1087">
        <v>2</v>
      </c>
      <c r="E13" s="1080" t="s">
        <v>1940</v>
      </c>
      <c r="F13" s="1019" t="str">
        <f>IF(Scoring!I22="","",Scoring!I22)</f>
        <v/>
      </c>
      <c r="G13" s="1081"/>
      <c r="H13" s="1081"/>
      <c r="I13" s="1082" t="s">
        <v>2044</v>
      </c>
      <c r="J13" s="1020"/>
      <c r="K13" s="1020"/>
      <c r="L13" s="1083"/>
      <c r="M13" s="1084"/>
      <c r="O13" s="723"/>
      <c r="P13" s="724"/>
    </row>
    <row r="14" spans="1:17" s="716" customFormat="1" ht="140">
      <c r="A14" s="2456"/>
      <c r="B14" s="1086" t="s">
        <v>2045</v>
      </c>
      <c r="C14" s="1087">
        <v>3</v>
      </c>
      <c r="D14" s="1087">
        <v>4</v>
      </c>
      <c r="E14" s="1080" t="s">
        <v>1339</v>
      </c>
      <c r="F14" s="1019" t="str">
        <f>IF(Scoring!I23="","",Scoring!I23)</f>
        <v/>
      </c>
      <c r="G14" s="1081"/>
      <c r="H14" s="1081"/>
      <c r="I14" s="1082" t="s">
        <v>2046</v>
      </c>
      <c r="J14" s="1020"/>
      <c r="K14" s="1020"/>
      <c r="L14" s="1083"/>
      <c r="M14" s="1084"/>
      <c r="O14" s="723"/>
      <c r="P14" s="724"/>
    </row>
    <row r="15" spans="1:17" s="716" customFormat="1" ht="140">
      <c r="A15" s="2456"/>
      <c r="B15" s="1086" t="s">
        <v>2047</v>
      </c>
      <c r="C15" s="1087">
        <v>3</v>
      </c>
      <c r="D15" s="1087">
        <v>4</v>
      </c>
      <c r="E15" s="1080" t="s">
        <v>1341</v>
      </c>
      <c r="F15" s="1019" t="str">
        <f>IF(Scoring!I24="","",Scoring!I24)</f>
        <v/>
      </c>
      <c r="G15" s="1081"/>
      <c r="H15" s="1081"/>
      <c r="I15" s="1082" t="s">
        <v>2048</v>
      </c>
      <c r="J15" s="1020"/>
      <c r="K15" s="1020"/>
      <c r="L15" s="1083"/>
      <c r="M15" s="1084"/>
      <c r="O15" s="723"/>
      <c r="P15" s="724"/>
    </row>
    <row r="16" spans="1:17" s="716" customFormat="1" ht="98">
      <c r="A16" s="2456"/>
      <c r="B16" s="1086" t="s">
        <v>2049</v>
      </c>
      <c r="C16" s="1087">
        <v>2</v>
      </c>
      <c r="D16" s="1087">
        <v>4</v>
      </c>
      <c r="E16" s="1080" t="s">
        <v>2050</v>
      </c>
      <c r="F16" s="1019" t="str">
        <f>IF(Scoring!I25="","",Scoring!I25)</f>
        <v/>
      </c>
      <c r="G16" s="1081"/>
      <c r="H16" s="1081"/>
      <c r="I16" s="1082" t="s">
        <v>2051</v>
      </c>
      <c r="J16" s="1020"/>
      <c r="K16" s="1020"/>
      <c r="L16" s="1083"/>
      <c r="M16" s="1084"/>
      <c r="O16" s="723"/>
      <c r="P16" s="724"/>
    </row>
    <row r="17" spans="1:16" s="716" customFormat="1" ht="113" thickBot="1">
      <c r="A17" s="2456"/>
      <c r="B17" s="1086" t="s">
        <v>2052</v>
      </c>
      <c r="C17" s="1087">
        <v>3</v>
      </c>
      <c r="D17" s="1087">
        <v>4</v>
      </c>
      <c r="E17" s="1080" t="s">
        <v>1346</v>
      </c>
      <c r="F17" s="1019" t="str">
        <f>IF(Scoring!I26="","",Scoring!I26)</f>
        <v/>
      </c>
      <c r="G17" s="1081"/>
      <c r="H17" s="1081"/>
      <c r="I17" s="1082" t="s">
        <v>2053</v>
      </c>
      <c r="J17" s="1020"/>
      <c r="K17" s="1020">
        <f>COUNT(F11:F17)</f>
        <v>0</v>
      </c>
      <c r="L17" s="1085">
        <f>SUM(F11:F17)</f>
        <v>0</v>
      </c>
      <c r="M17" s="1022">
        <f>IF(L17&lt;4,0,1)</f>
        <v>0</v>
      </c>
      <c r="O17" s="731"/>
      <c r="P17" s="726">
        <f>COUNTA(F11:F17)</f>
        <v>7</v>
      </c>
    </row>
    <row r="18" spans="1:16" s="728" customFormat="1" ht="22" thickTop="1" thickBot="1">
      <c r="A18" s="1023"/>
      <c r="B18" s="1088"/>
      <c r="C18" s="1089"/>
      <c r="D18" s="1089"/>
      <c r="E18" s="1090"/>
      <c r="F18" s="1026"/>
      <c r="G18" s="1091"/>
      <c r="H18" s="1091"/>
      <c r="I18" s="1090"/>
      <c r="J18" s="1027"/>
      <c r="K18" s="1027"/>
      <c r="L18" s="1089"/>
      <c r="M18" s="1028"/>
      <c r="O18" s="733"/>
      <c r="P18" s="732"/>
    </row>
    <row r="19" spans="1:16" s="716" customFormat="1" ht="102" customHeight="1" thickTop="1">
      <c r="A19" s="2455" t="s">
        <v>1192</v>
      </c>
      <c r="B19" s="1086" t="s">
        <v>2054</v>
      </c>
      <c r="C19" s="1087">
        <v>2</v>
      </c>
      <c r="D19" s="1087">
        <v>4</v>
      </c>
      <c r="E19" s="1080" t="s">
        <v>2055</v>
      </c>
      <c r="F19" s="1019" t="str">
        <f>IF(Scoring!I28="","",Scoring!I28)</f>
        <v/>
      </c>
      <c r="G19" s="1081"/>
      <c r="H19" s="1081"/>
      <c r="I19" s="1082" t="s">
        <v>2056</v>
      </c>
      <c r="J19" s="1020"/>
      <c r="K19" s="1020"/>
      <c r="L19" s="1083"/>
      <c r="M19" s="1084"/>
      <c r="O19" s="734" t="s">
        <v>2057</v>
      </c>
      <c r="P19" s="730"/>
    </row>
    <row r="20" spans="1:16" s="716" customFormat="1" ht="112">
      <c r="A20" s="2456"/>
      <c r="B20" s="1086" t="s">
        <v>2058</v>
      </c>
      <c r="C20" s="1087">
        <v>2</v>
      </c>
      <c r="D20" s="1087">
        <v>4</v>
      </c>
      <c r="E20" s="1080" t="s">
        <v>1350</v>
      </c>
      <c r="F20" s="1019" t="str">
        <f>IF(Scoring!I29="","",Scoring!I29)</f>
        <v/>
      </c>
      <c r="G20" s="1081"/>
      <c r="H20" s="1081"/>
      <c r="I20" s="1082" t="s">
        <v>2059</v>
      </c>
      <c r="J20" s="1020"/>
      <c r="K20" s="1020"/>
      <c r="L20" s="1083"/>
      <c r="M20" s="1084"/>
      <c r="O20" s="723"/>
      <c r="P20" s="724"/>
    </row>
    <row r="21" spans="1:16" s="716" customFormat="1" ht="126">
      <c r="A21" s="2456"/>
      <c r="B21" s="1086" t="s">
        <v>2060</v>
      </c>
      <c r="C21" s="1087">
        <v>2</v>
      </c>
      <c r="D21" s="1087">
        <v>4</v>
      </c>
      <c r="E21" s="1080" t="s">
        <v>1353</v>
      </c>
      <c r="F21" s="1019" t="str">
        <f>IF(Scoring!I30="","",Scoring!I30)</f>
        <v/>
      </c>
      <c r="G21" s="1081"/>
      <c r="H21" s="1081"/>
      <c r="I21" s="1082" t="s">
        <v>2061</v>
      </c>
      <c r="J21" s="1020"/>
      <c r="K21" s="1020"/>
      <c r="L21" s="1083"/>
      <c r="M21" s="1084"/>
      <c r="O21" s="723"/>
      <c r="P21" s="722"/>
    </row>
    <row r="22" spans="1:16" s="716" customFormat="1" ht="154">
      <c r="A22" s="2456"/>
      <c r="B22" s="1086" t="s">
        <v>2062</v>
      </c>
      <c r="C22" s="1087">
        <v>2</v>
      </c>
      <c r="D22" s="1087">
        <v>4</v>
      </c>
      <c r="E22" s="1080" t="s">
        <v>1356</v>
      </c>
      <c r="F22" s="1019" t="str">
        <f>IF(Scoring!I31="","",Scoring!I31)</f>
        <v/>
      </c>
      <c r="G22" s="1081"/>
      <c r="H22" s="1081"/>
      <c r="I22" s="1082" t="s">
        <v>2063</v>
      </c>
      <c r="J22" s="1020"/>
      <c r="K22" s="1020"/>
      <c r="L22" s="1083"/>
      <c r="M22" s="1084"/>
      <c r="O22" s="723"/>
      <c r="P22" s="724"/>
    </row>
    <row r="23" spans="1:16" s="716" customFormat="1" ht="126">
      <c r="A23" s="2456"/>
      <c r="B23" s="1086" t="s">
        <v>2064</v>
      </c>
      <c r="C23" s="1087">
        <v>2</v>
      </c>
      <c r="D23" s="1087">
        <v>2</v>
      </c>
      <c r="E23" s="1080" t="s">
        <v>1359</v>
      </c>
      <c r="F23" s="1019" t="str">
        <f>IF(Scoring!I32="","",Scoring!I32)</f>
        <v/>
      </c>
      <c r="G23" s="1081"/>
      <c r="H23" s="1081"/>
      <c r="I23" s="1082" t="s">
        <v>2065</v>
      </c>
      <c r="J23" s="1020"/>
      <c r="K23" s="1020"/>
      <c r="L23" s="1083"/>
      <c r="M23" s="1084"/>
      <c r="O23" s="723"/>
      <c r="P23" s="724"/>
    </row>
    <row r="24" spans="1:16" s="716" customFormat="1" ht="165" customHeight="1" thickBot="1">
      <c r="A24" s="2456"/>
      <c r="B24" s="1086" t="s">
        <v>2066</v>
      </c>
      <c r="C24" s="1087">
        <v>2</v>
      </c>
      <c r="D24" s="1087">
        <v>4</v>
      </c>
      <c r="E24" s="1080" t="s">
        <v>1362</v>
      </c>
      <c r="F24" s="1019" t="str">
        <f>IF(Scoring!I33="","",Scoring!I33)</f>
        <v/>
      </c>
      <c r="G24" s="1081"/>
      <c r="H24" s="1081"/>
      <c r="I24" s="1082" t="s">
        <v>2067</v>
      </c>
      <c r="J24" s="1020"/>
      <c r="K24" s="1020">
        <f>COUNT(F19:F24)</f>
        <v>0</v>
      </c>
      <c r="L24" s="1085">
        <f>SUM(F19:F24)</f>
        <v>0</v>
      </c>
      <c r="M24" s="1022">
        <f>IF(L24&lt;3,0,1)</f>
        <v>0</v>
      </c>
      <c r="O24" s="731"/>
      <c r="P24" s="726">
        <f>COUNTA(F19:F24)</f>
        <v>6</v>
      </c>
    </row>
    <row r="25" spans="1:16" s="728" customFormat="1" ht="21.25" customHeight="1" thickTop="1" thickBot="1">
      <c r="A25" s="1023"/>
      <c r="B25" s="1088"/>
      <c r="C25" s="1089"/>
      <c r="D25" s="1089"/>
      <c r="E25" s="1090"/>
      <c r="F25" s="1026"/>
      <c r="G25" s="1091"/>
      <c r="H25" s="1091"/>
      <c r="I25" s="1090"/>
      <c r="J25" s="1027"/>
      <c r="K25" s="1027"/>
      <c r="L25" s="1089"/>
      <c r="M25" s="1028"/>
      <c r="O25" s="733"/>
      <c r="P25" s="732"/>
    </row>
    <row r="26" spans="1:16" s="716" customFormat="1" ht="57" thickTop="1">
      <c r="A26" s="2455" t="s">
        <v>1193</v>
      </c>
      <c r="B26" s="1086" t="s">
        <v>2068</v>
      </c>
      <c r="C26" s="1087">
        <v>3</v>
      </c>
      <c r="D26" s="1087">
        <v>5</v>
      </c>
      <c r="E26" s="1080" t="s">
        <v>1365</v>
      </c>
      <c r="F26" s="1019" t="str">
        <f>IF(Scoring!I35="","",Scoring!I35)</f>
        <v/>
      </c>
      <c r="G26" s="1081"/>
      <c r="H26" s="1081"/>
      <c r="I26" s="1082" t="s">
        <v>2069</v>
      </c>
      <c r="J26" s="1020"/>
      <c r="K26" s="1020"/>
      <c r="L26" s="1083"/>
      <c r="M26" s="1084"/>
      <c r="O26" s="734"/>
      <c r="P26" s="730"/>
    </row>
    <row r="27" spans="1:16" s="716" customFormat="1" ht="70">
      <c r="A27" s="2456"/>
      <c r="B27" s="1086" t="s">
        <v>2070</v>
      </c>
      <c r="C27" s="1087">
        <v>3</v>
      </c>
      <c r="D27" s="1087">
        <v>5</v>
      </c>
      <c r="E27" s="1080" t="s">
        <v>1368</v>
      </c>
      <c r="F27" s="1019" t="str">
        <f>IF(Scoring!I36="","",Scoring!I36)</f>
        <v/>
      </c>
      <c r="G27" s="1081"/>
      <c r="H27" s="1081"/>
      <c r="I27" s="1082" t="s">
        <v>2071</v>
      </c>
      <c r="J27" s="1020"/>
      <c r="K27" s="1020"/>
      <c r="L27" s="1083"/>
      <c r="M27" s="1084"/>
      <c r="O27" s="723"/>
      <c r="P27" s="724"/>
    </row>
    <row r="28" spans="1:16" s="716" customFormat="1" ht="57" thickBot="1">
      <c r="A28" s="2456"/>
      <c r="B28" s="1086" t="s">
        <v>2072</v>
      </c>
      <c r="C28" s="1087">
        <v>3</v>
      </c>
      <c r="D28" s="1087">
        <v>4</v>
      </c>
      <c r="E28" s="1080" t="s">
        <v>1371</v>
      </c>
      <c r="F28" s="1019" t="str">
        <f>IF(Scoring!I37="","",Scoring!I37)</f>
        <v/>
      </c>
      <c r="G28" s="1081"/>
      <c r="H28" s="1081"/>
      <c r="I28" s="1082" t="s">
        <v>2073</v>
      </c>
      <c r="J28" s="1020"/>
      <c r="K28" s="1020">
        <f>COUNT(F26:F28)</f>
        <v>0</v>
      </c>
      <c r="L28" s="1085">
        <f>SUM(F26:F28)</f>
        <v>0</v>
      </c>
      <c r="M28" s="1022">
        <f>IF(L28&lt;2,0,1)</f>
        <v>0</v>
      </c>
      <c r="O28" s="731"/>
      <c r="P28" s="726">
        <f>COUNTA(F26:F28)</f>
        <v>3</v>
      </c>
    </row>
    <row r="29" spans="1:16" s="728" customFormat="1" ht="22" thickTop="1" thickBot="1">
      <c r="A29" s="1023"/>
      <c r="B29" s="1088"/>
      <c r="C29" s="1089"/>
      <c r="D29" s="1089"/>
      <c r="E29" s="1090"/>
      <c r="F29" s="1026"/>
      <c r="G29" s="1091"/>
      <c r="H29" s="1091"/>
      <c r="I29" s="1090"/>
      <c r="J29" s="1027"/>
      <c r="K29" s="1027"/>
      <c r="L29" s="1089"/>
      <c r="M29" s="1028"/>
      <c r="O29" s="733"/>
      <c r="P29" s="732"/>
    </row>
    <row r="30" spans="1:16" s="716" customFormat="1" ht="99" thickTop="1">
      <c r="A30" s="2455" t="s">
        <v>1194</v>
      </c>
      <c r="B30" s="1078" t="s">
        <v>1617</v>
      </c>
      <c r="C30" s="1079" t="s">
        <v>2033</v>
      </c>
      <c r="D30" s="1079" t="s">
        <v>2031</v>
      </c>
      <c r="E30" s="1080" t="s">
        <v>1374</v>
      </c>
      <c r="F30" s="1019" t="str">
        <f>IF(Scoring!I39="","",Scoring!I39)</f>
        <v/>
      </c>
      <c r="G30" s="1081"/>
      <c r="H30" s="1081"/>
      <c r="I30" s="1082" t="s">
        <v>2074</v>
      </c>
      <c r="J30" s="1020"/>
      <c r="K30" s="1020"/>
      <c r="L30" s="1083"/>
      <c r="M30" s="1084"/>
      <c r="O30" s="734"/>
      <c r="P30" s="730"/>
    </row>
    <row r="31" spans="1:16" s="716" customFormat="1" ht="154">
      <c r="A31" s="2456"/>
      <c r="B31" s="1078" t="s">
        <v>1618</v>
      </c>
      <c r="C31" s="1079" t="s">
        <v>2030</v>
      </c>
      <c r="D31" s="1079" t="s">
        <v>2033</v>
      </c>
      <c r="E31" s="1080" t="s">
        <v>1377</v>
      </c>
      <c r="F31" s="1019" t="str">
        <f>IF(Scoring!I40="","",Scoring!I40)</f>
        <v/>
      </c>
      <c r="G31" s="1081"/>
      <c r="H31" s="1081"/>
      <c r="I31" s="1082" t="s">
        <v>2075</v>
      </c>
      <c r="J31" s="1020"/>
      <c r="K31" s="1020"/>
      <c r="L31" s="1083"/>
      <c r="M31" s="1084"/>
      <c r="O31" s="723"/>
      <c r="P31" s="724"/>
    </row>
    <row r="32" spans="1:16" s="716" customFormat="1" ht="85" thickBot="1">
      <c r="A32" s="2456"/>
      <c r="B32" s="1078" t="s">
        <v>1619</v>
      </c>
      <c r="C32" s="1079" t="s">
        <v>2030</v>
      </c>
      <c r="D32" s="1079" t="s">
        <v>2031</v>
      </c>
      <c r="E32" s="1080" t="s">
        <v>1380</v>
      </c>
      <c r="F32" s="1019" t="str">
        <f>IF(Scoring!I41="","",Scoring!I41)</f>
        <v/>
      </c>
      <c r="G32" s="1081"/>
      <c r="H32" s="1081"/>
      <c r="I32" s="1082" t="s">
        <v>2076</v>
      </c>
      <c r="J32" s="1020">
        <f>COUNT(F30:F32)</f>
        <v>0</v>
      </c>
      <c r="K32" s="1020"/>
      <c r="L32" s="1085">
        <f>SUM(F30:F32)</f>
        <v>0</v>
      </c>
      <c r="M32" s="1022">
        <f>IF(L32&lt;2,0,1)</f>
        <v>0</v>
      </c>
      <c r="O32" s="725"/>
      <c r="P32" s="726">
        <f>COUNTA(F30:F32)</f>
        <v>3</v>
      </c>
    </row>
    <row r="33" spans="1:16" s="728" customFormat="1" ht="21" thickTop="1">
      <c r="A33" s="1023"/>
      <c r="B33" s="1088"/>
      <c r="C33" s="1092"/>
      <c r="D33" s="1092"/>
      <c r="E33" s="1090"/>
      <c r="F33" s="1026"/>
      <c r="G33" s="1091"/>
      <c r="H33" s="1091"/>
      <c r="I33" s="1090"/>
      <c r="J33" s="1027"/>
      <c r="K33" s="1027"/>
      <c r="L33" s="1089"/>
      <c r="M33" s="1028"/>
      <c r="O33" s="733"/>
      <c r="P33" s="732"/>
    </row>
    <row r="34" spans="1:16" s="728" customFormat="1" ht="20">
      <c r="A34" s="1023"/>
      <c r="B34" s="1088"/>
      <c r="C34" s="1092"/>
      <c r="D34" s="1092"/>
      <c r="E34" s="1090"/>
      <c r="F34" s="1026"/>
      <c r="G34" s="1091"/>
      <c r="H34" s="1091"/>
      <c r="I34" s="1090"/>
      <c r="J34" s="1027"/>
      <c r="K34" s="1027"/>
      <c r="L34" s="1089"/>
      <c r="M34" s="1028"/>
      <c r="O34" s="733"/>
      <c r="P34" s="732"/>
    </row>
    <row r="35" spans="1:16" s="728" customFormat="1" ht="21" thickBot="1">
      <c r="A35" s="1023"/>
      <c r="B35" s="1088"/>
      <c r="C35" s="1092"/>
      <c r="D35" s="1092"/>
      <c r="E35" s="1090"/>
      <c r="F35" s="1026"/>
      <c r="G35" s="1091"/>
      <c r="H35" s="1091"/>
      <c r="I35" s="1090"/>
      <c r="J35" s="1027"/>
      <c r="K35" s="1027"/>
      <c r="L35" s="1089"/>
      <c r="M35" s="1028"/>
      <c r="O35" s="733"/>
      <c r="P35" s="732"/>
    </row>
    <row r="36" spans="1:16" s="716" customFormat="1" ht="127" thickTop="1">
      <c r="A36" s="2455" t="s">
        <v>2077</v>
      </c>
      <c r="B36" s="1078" t="s">
        <v>1620</v>
      </c>
      <c r="C36" s="1079" t="s">
        <v>2033</v>
      </c>
      <c r="D36" s="1079" t="s">
        <v>2031</v>
      </c>
      <c r="E36" s="1093" t="s">
        <v>1383</v>
      </c>
      <c r="F36" s="1019" t="str">
        <f>IF(Scoring!I45="","",Scoring!I45)</f>
        <v/>
      </c>
      <c r="G36" s="1081"/>
      <c r="H36" s="1081"/>
      <c r="I36" s="1082" t="s">
        <v>2078</v>
      </c>
      <c r="J36" s="1020"/>
      <c r="K36" s="1020"/>
      <c r="L36" s="1083"/>
      <c r="M36" s="1084"/>
      <c r="O36" s="729"/>
      <c r="P36" s="730"/>
    </row>
    <row r="37" spans="1:16" s="716" customFormat="1" ht="126">
      <c r="A37" s="2456"/>
      <c r="B37" s="1078" t="s">
        <v>1621</v>
      </c>
      <c r="C37" s="1079" t="s">
        <v>2079</v>
      </c>
      <c r="D37" s="1079" t="s">
        <v>2033</v>
      </c>
      <c r="E37" s="1080" t="s">
        <v>1384</v>
      </c>
      <c r="F37" s="1019" t="str">
        <f>IF(Scoring!I46="","",Scoring!I46)</f>
        <v/>
      </c>
      <c r="G37" s="1081"/>
      <c r="H37" s="1081"/>
      <c r="I37" s="1082" t="s">
        <v>2080</v>
      </c>
      <c r="J37" s="1020"/>
      <c r="K37" s="1020"/>
      <c r="L37" s="1083"/>
      <c r="M37" s="1084"/>
      <c r="O37" s="723"/>
      <c r="P37" s="724"/>
    </row>
    <row r="38" spans="1:16" s="716" customFormat="1" ht="168">
      <c r="A38" s="2456"/>
      <c r="B38" s="1078" t="s">
        <v>1622</v>
      </c>
      <c r="C38" s="1079" t="s">
        <v>2033</v>
      </c>
      <c r="D38" s="1079" t="s">
        <v>2031</v>
      </c>
      <c r="E38" s="1080" t="s">
        <v>1385</v>
      </c>
      <c r="F38" s="1019" t="str">
        <f>IF(Scoring!I47="","",Scoring!I47)</f>
        <v/>
      </c>
      <c r="G38" s="1081"/>
      <c r="H38" s="1081"/>
      <c r="I38" s="1082" t="s">
        <v>2081</v>
      </c>
      <c r="J38" s="1020"/>
      <c r="K38" s="1020"/>
      <c r="L38" s="1083"/>
      <c r="M38" s="1084"/>
      <c r="O38" s="723"/>
      <c r="P38" s="724"/>
    </row>
    <row r="39" spans="1:16" s="716" customFormat="1" ht="98">
      <c r="A39" s="2456"/>
      <c r="B39" s="1078" t="s">
        <v>1623</v>
      </c>
      <c r="C39" s="1079" t="s">
        <v>2033</v>
      </c>
      <c r="D39" s="1079" t="s">
        <v>2031</v>
      </c>
      <c r="E39" s="1080" t="s">
        <v>1386</v>
      </c>
      <c r="F39" s="1019" t="str">
        <f>IF(Scoring!I48="","",Scoring!I48)</f>
        <v/>
      </c>
      <c r="G39" s="1081"/>
      <c r="H39" s="1081"/>
      <c r="I39" s="1082" t="s">
        <v>2082</v>
      </c>
      <c r="J39" s="1020"/>
      <c r="K39" s="1020"/>
      <c r="L39" s="1083"/>
      <c r="M39" s="1084"/>
      <c r="O39" s="723"/>
      <c r="P39" s="724"/>
    </row>
    <row r="40" spans="1:16" s="716" customFormat="1" ht="99" thickBot="1">
      <c r="A40" s="2456"/>
      <c r="B40" s="1078" t="s">
        <v>1624</v>
      </c>
      <c r="C40" s="1079" t="s">
        <v>2033</v>
      </c>
      <c r="D40" s="1079" t="s">
        <v>2031</v>
      </c>
      <c r="E40" s="1080" t="s">
        <v>1387</v>
      </c>
      <c r="F40" s="1019" t="str">
        <f>IF(Scoring!I49="","",Scoring!I49)</f>
        <v/>
      </c>
      <c r="G40" s="1081"/>
      <c r="H40" s="1081"/>
      <c r="I40" s="1082" t="s">
        <v>2083</v>
      </c>
      <c r="J40" s="1020">
        <f>COUNT(F36:F40)</f>
        <v>0</v>
      </c>
      <c r="K40" s="1020"/>
      <c r="L40" s="1085">
        <f>SUM(F36:F40)</f>
        <v>0</v>
      </c>
      <c r="M40" s="1022">
        <f>IF(L40&lt;3,0,1)</f>
        <v>0</v>
      </c>
      <c r="O40" s="725"/>
      <c r="P40" s="726">
        <f>COUNTA(F36:F40)</f>
        <v>5</v>
      </c>
    </row>
    <row r="41" spans="1:16" s="728" customFormat="1" ht="22" thickTop="1" thickBot="1">
      <c r="A41" s="1023"/>
      <c r="B41" s="1088"/>
      <c r="C41" s="1092"/>
      <c r="D41" s="1092"/>
      <c r="E41" s="1090"/>
      <c r="F41" s="1026"/>
      <c r="G41" s="1091"/>
      <c r="H41" s="1091"/>
      <c r="I41" s="1090"/>
      <c r="J41" s="1027"/>
      <c r="K41" s="1027"/>
      <c r="L41" s="1089"/>
      <c r="M41" s="1028"/>
      <c r="O41" s="733"/>
      <c r="P41" s="732"/>
    </row>
    <row r="42" spans="1:16" s="716" customFormat="1" ht="57" thickTop="1">
      <c r="A42" s="2455" t="s">
        <v>2084</v>
      </c>
      <c r="B42" s="1078" t="s">
        <v>1625</v>
      </c>
      <c r="C42" s="1079" t="s">
        <v>2030</v>
      </c>
      <c r="D42" s="1079" t="s">
        <v>2030</v>
      </c>
      <c r="E42" s="1080" t="s">
        <v>1388</v>
      </c>
      <c r="F42" s="1019" t="str">
        <f>IF(Scoring!I51="","",Scoring!I51)</f>
        <v/>
      </c>
      <c r="G42" s="1081"/>
      <c r="H42" s="1081"/>
      <c r="I42" s="1082" t="s">
        <v>2085</v>
      </c>
      <c r="J42" s="1020"/>
      <c r="K42" s="1020"/>
      <c r="L42" s="1083"/>
      <c r="M42" s="1084"/>
      <c r="O42" s="729"/>
      <c r="P42" s="730"/>
    </row>
    <row r="43" spans="1:16" s="716" customFormat="1" ht="42">
      <c r="A43" s="2456"/>
      <c r="B43" s="1078" t="s">
        <v>1626</v>
      </c>
      <c r="C43" s="1079" t="s">
        <v>2030</v>
      </c>
      <c r="D43" s="1079" t="s">
        <v>2030</v>
      </c>
      <c r="E43" s="1080" t="s">
        <v>1389</v>
      </c>
      <c r="F43" s="1019" t="str">
        <f>IF(Scoring!I52="","",Scoring!I52)</f>
        <v/>
      </c>
      <c r="G43" s="1081"/>
      <c r="H43" s="1081"/>
      <c r="I43" s="1082" t="s">
        <v>2086</v>
      </c>
      <c r="J43" s="1020"/>
      <c r="K43" s="1020"/>
      <c r="L43" s="1083"/>
      <c r="M43" s="1084"/>
      <c r="O43" s="723"/>
      <c r="P43" s="724"/>
    </row>
    <row r="44" spans="1:16" s="716" customFormat="1" ht="98">
      <c r="A44" s="2456"/>
      <c r="B44" s="1078" t="s">
        <v>1627</v>
      </c>
      <c r="C44" s="1079" t="s">
        <v>2033</v>
      </c>
      <c r="D44" s="1079" t="s">
        <v>2031</v>
      </c>
      <c r="E44" s="1080" t="s">
        <v>1390</v>
      </c>
      <c r="F44" s="1019" t="str">
        <f>IF(Scoring!I53="","",Scoring!I53)</f>
        <v/>
      </c>
      <c r="G44" s="1081"/>
      <c r="H44" s="1081"/>
      <c r="I44" s="1082" t="s">
        <v>2087</v>
      </c>
      <c r="J44" s="1020"/>
      <c r="K44" s="1020"/>
      <c r="L44" s="1083"/>
      <c r="M44" s="1084"/>
      <c r="O44" s="723"/>
      <c r="P44" s="724"/>
    </row>
    <row r="45" spans="1:16" s="716" customFormat="1" ht="56">
      <c r="A45" s="2456"/>
      <c r="B45" s="1078" t="s">
        <v>1628</v>
      </c>
      <c r="C45" s="1079" t="s">
        <v>2033</v>
      </c>
      <c r="D45" s="1079" t="s">
        <v>2031</v>
      </c>
      <c r="E45" s="1080" t="s">
        <v>1391</v>
      </c>
      <c r="F45" s="1019" t="str">
        <f>IF(Scoring!I54="","",Scoring!I54)</f>
        <v/>
      </c>
      <c r="G45" s="1081"/>
      <c r="H45" s="1081"/>
      <c r="I45" s="1082" t="s">
        <v>2088</v>
      </c>
      <c r="J45" s="1020"/>
      <c r="K45" s="1020"/>
      <c r="L45" s="1083"/>
      <c r="M45" s="1084"/>
      <c r="O45" s="723"/>
      <c r="P45" s="724"/>
    </row>
    <row r="46" spans="1:16" s="716" customFormat="1" ht="43" thickBot="1">
      <c r="A46" s="2456"/>
      <c r="B46" s="1078" t="s">
        <v>1629</v>
      </c>
      <c r="C46" s="1079" t="s">
        <v>2033</v>
      </c>
      <c r="D46" s="1079" t="s">
        <v>2031</v>
      </c>
      <c r="E46" s="1080" t="s">
        <v>1392</v>
      </c>
      <c r="F46" s="1019" t="str">
        <f>IF(Scoring!I55="","",Scoring!I55)</f>
        <v/>
      </c>
      <c r="G46" s="1081"/>
      <c r="H46" s="1081"/>
      <c r="I46" s="1082" t="s">
        <v>2089</v>
      </c>
      <c r="J46" s="1020">
        <f>COUNT(F42:F46)</f>
        <v>0</v>
      </c>
      <c r="K46" s="1020"/>
      <c r="L46" s="1085">
        <f>SUM(F42:F46)</f>
        <v>0</v>
      </c>
      <c r="M46" s="1022">
        <f>IF(L46&lt;3,0,1)</f>
        <v>0</v>
      </c>
      <c r="O46" s="725"/>
      <c r="P46" s="726">
        <f>COUNTA(F42:F46)</f>
        <v>5</v>
      </c>
    </row>
    <row r="47" spans="1:16" s="728" customFormat="1" ht="22" thickTop="1" thickBot="1">
      <c r="A47" s="1023"/>
      <c r="B47" s="1088"/>
      <c r="C47" s="1092"/>
      <c r="D47" s="1092"/>
      <c r="E47" s="1090"/>
      <c r="F47" s="1026"/>
      <c r="G47" s="1091"/>
      <c r="H47" s="1091"/>
      <c r="I47" s="1090"/>
      <c r="J47" s="1027"/>
      <c r="K47" s="1027"/>
      <c r="L47" s="1089"/>
      <c r="M47" s="1028"/>
      <c r="O47" s="733"/>
      <c r="P47" s="732"/>
    </row>
    <row r="48" spans="1:16" s="716" customFormat="1" ht="141" thickTop="1">
      <c r="A48" s="2455" t="s">
        <v>1197</v>
      </c>
      <c r="B48" s="1078" t="s">
        <v>1630</v>
      </c>
      <c r="C48" s="1079" t="s">
        <v>2031</v>
      </c>
      <c r="D48" s="1079" t="s">
        <v>2090</v>
      </c>
      <c r="E48" s="1080" t="s">
        <v>1393</v>
      </c>
      <c r="F48" s="1019" t="str">
        <f>IF(Scoring!I57="","",Scoring!I57)</f>
        <v/>
      </c>
      <c r="G48" s="1081"/>
      <c r="H48" s="1081"/>
      <c r="I48" s="1082" t="s">
        <v>2091</v>
      </c>
      <c r="J48" s="1020"/>
      <c r="K48" s="1020"/>
      <c r="L48" s="1083"/>
      <c r="M48" s="1084"/>
      <c r="O48" s="729"/>
      <c r="P48" s="730"/>
    </row>
    <row r="49" spans="1:16" s="716" customFormat="1" ht="182">
      <c r="A49" s="2456"/>
      <c r="B49" s="1078" t="s">
        <v>1631</v>
      </c>
      <c r="C49" s="1079" t="s">
        <v>2033</v>
      </c>
      <c r="D49" s="1079" t="s">
        <v>2090</v>
      </c>
      <c r="E49" s="1080" t="s">
        <v>1394</v>
      </c>
      <c r="F49" s="1019" t="str">
        <f>IF(Scoring!I58="","",Scoring!I58)</f>
        <v/>
      </c>
      <c r="G49" s="1081"/>
      <c r="H49" s="1081"/>
      <c r="I49" s="1082" t="s">
        <v>2092</v>
      </c>
      <c r="J49" s="1020"/>
      <c r="K49" s="1020"/>
      <c r="L49" s="1083"/>
      <c r="M49" s="1084"/>
      <c r="O49" s="723"/>
      <c r="P49" s="724"/>
    </row>
    <row r="50" spans="1:16" s="716" customFormat="1" ht="84">
      <c r="A50" s="2456"/>
      <c r="B50" s="1078" t="s">
        <v>1632</v>
      </c>
      <c r="C50" s="1079" t="s">
        <v>2031</v>
      </c>
      <c r="D50" s="1079" t="s">
        <v>2090</v>
      </c>
      <c r="E50" s="1080" t="s">
        <v>1395</v>
      </c>
      <c r="F50" s="1019" t="str">
        <f>IF(Scoring!I59="","",Scoring!I59)</f>
        <v/>
      </c>
      <c r="G50" s="1081"/>
      <c r="H50" s="1081"/>
      <c r="I50" s="1082" t="s">
        <v>2093</v>
      </c>
      <c r="J50" s="1020"/>
      <c r="K50" s="1020"/>
      <c r="L50" s="1083"/>
      <c r="M50" s="1084"/>
      <c r="O50" s="723"/>
      <c r="P50" s="724"/>
    </row>
    <row r="51" spans="1:16" s="716" customFormat="1" ht="84">
      <c r="A51" s="2456"/>
      <c r="B51" s="1078" t="s">
        <v>1633</v>
      </c>
      <c r="C51" s="1079" t="s">
        <v>2033</v>
      </c>
      <c r="D51" s="1079" t="s">
        <v>2094</v>
      </c>
      <c r="E51" s="1080" t="s">
        <v>1396</v>
      </c>
      <c r="F51" s="1019" t="str">
        <f>IF(Scoring!I60="","",Scoring!I60)</f>
        <v/>
      </c>
      <c r="G51" s="1081"/>
      <c r="H51" s="1081"/>
      <c r="I51" s="1082" t="s">
        <v>2095</v>
      </c>
      <c r="J51" s="1020"/>
      <c r="K51" s="1020"/>
      <c r="L51" s="1083"/>
      <c r="M51" s="1084"/>
      <c r="O51" s="723"/>
      <c r="P51" s="724"/>
    </row>
    <row r="52" spans="1:16" s="716" customFormat="1" ht="29" thickBot="1">
      <c r="A52" s="2456"/>
      <c r="B52" s="1078" t="s">
        <v>1634</v>
      </c>
      <c r="C52" s="1079" t="s">
        <v>2033</v>
      </c>
      <c r="D52" s="1079" t="s">
        <v>2031</v>
      </c>
      <c r="E52" s="1080" t="s">
        <v>1397</v>
      </c>
      <c r="F52" s="1019" t="str">
        <f>IF(Scoring!I61="","",Scoring!I61)</f>
        <v/>
      </c>
      <c r="G52" s="1081"/>
      <c r="H52" s="1081"/>
      <c r="I52" s="1082" t="s">
        <v>2096</v>
      </c>
      <c r="J52" s="1020">
        <f>COUNT(F48:F52)</f>
        <v>0</v>
      </c>
      <c r="K52" s="1020"/>
      <c r="L52" s="1085">
        <f>SUM(F48:F52)</f>
        <v>0</v>
      </c>
      <c r="M52" s="1022">
        <f>IF(L52&lt;3,0,1)</f>
        <v>0</v>
      </c>
      <c r="O52" s="725"/>
      <c r="P52" s="726">
        <f>COUNTA(F48:F52)</f>
        <v>5</v>
      </c>
    </row>
    <row r="53" spans="1:16" s="728" customFormat="1" ht="22" thickTop="1" thickBot="1">
      <c r="A53" s="1023"/>
      <c r="B53" s="1088"/>
      <c r="C53" s="1092"/>
      <c r="D53" s="1092"/>
      <c r="E53" s="1090"/>
      <c r="F53" s="1026"/>
      <c r="G53" s="1091"/>
      <c r="H53" s="1091"/>
      <c r="I53" s="1090"/>
      <c r="J53" s="1027"/>
      <c r="K53" s="1027"/>
      <c r="L53" s="1089"/>
      <c r="M53" s="1028"/>
      <c r="O53" s="733"/>
      <c r="P53" s="732"/>
    </row>
    <row r="54" spans="1:16" s="716" customFormat="1" ht="113" thickTop="1">
      <c r="A54" s="2455" t="s">
        <v>1198</v>
      </c>
      <c r="B54" s="1078" t="s">
        <v>1635</v>
      </c>
      <c r="C54" s="1079" t="s">
        <v>2033</v>
      </c>
      <c r="D54" s="1079" t="s">
        <v>2031</v>
      </c>
      <c r="E54" s="1080" t="s">
        <v>1398</v>
      </c>
      <c r="F54" s="1019" t="str">
        <f>IF(Scoring!I63="","",Scoring!I63)</f>
        <v/>
      </c>
      <c r="G54" s="1081"/>
      <c r="H54" s="1081"/>
      <c r="I54" s="1082" t="s">
        <v>2097</v>
      </c>
      <c r="J54" s="1020"/>
      <c r="K54" s="1020"/>
      <c r="L54" s="1083"/>
      <c r="M54" s="1084"/>
      <c r="O54" s="729"/>
      <c r="P54" s="730"/>
    </row>
    <row r="55" spans="1:16" s="716" customFormat="1" ht="70">
      <c r="A55" s="2456"/>
      <c r="B55" s="1078" t="s">
        <v>1636</v>
      </c>
      <c r="C55" s="1079" t="s">
        <v>2030</v>
      </c>
      <c r="D55" s="1079" t="s">
        <v>2030</v>
      </c>
      <c r="E55" s="1080" t="s">
        <v>1399</v>
      </c>
      <c r="F55" s="1019" t="str">
        <f>IF(Scoring!I64="","",Scoring!I64)</f>
        <v/>
      </c>
      <c r="G55" s="1081"/>
      <c r="H55" s="1081"/>
      <c r="I55" s="1082" t="s">
        <v>2098</v>
      </c>
      <c r="J55" s="1020"/>
      <c r="K55" s="1020"/>
      <c r="L55" s="1083"/>
      <c r="M55" s="1084"/>
      <c r="O55" s="723"/>
      <c r="P55" s="724"/>
    </row>
    <row r="56" spans="1:16" s="716" customFormat="1" ht="84">
      <c r="A56" s="2456"/>
      <c r="B56" s="1078" t="s">
        <v>1637</v>
      </c>
      <c r="C56" s="1079" t="s">
        <v>2033</v>
      </c>
      <c r="D56" s="1079" t="s">
        <v>2031</v>
      </c>
      <c r="E56" s="1080" t="s">
        <v>1400</v>
      </c>
      <c r="F56" s="1019" t="str">
        <f>IF(Scoring!I65="","",Scoring!I65)</f>
        <v/>
      </c>
      <c r="G56" s="1081"/>
      <c r="H56" s="1081"/>
      <c r="I56" s="1082" t="s">
        <v>2099</v>
      </c>
      <c r="J56" s="1020"/>
      <c r="K56" s="1020"/>
      <c r="L56" s="1083"/>
      <c r="M56" s="1084"/>
      <c r="O56" s="723"/>
      <c r="P56" s="724"/>
    </row>
    <row r="57" spans="1:16" s="716" customFormat="1" ht="154">
      <c r="A57" s="2456"/>
      <c r="B57" s="1078" t="s">
        <v>1638</v>
      </c>
      <c r="C57" s="1079" t="s">
        <v>2033</v>
      </c>
      <c r="D57" s="1079" t="s">
        <v>2031</v>
      </c>
      <c r="E57" s="1080" t="s">
        <v>1401</v>
      </c>
      <c r="F57" s="1019" t="str">
        <f>IF(Scoring!I66="","",Scoring!I66)</f>
        <v/>
      </c>
      <c r="G57" s="1081"/>
      <c r="H57" s="1081"/>
      <c r="I57" s="1082" t="s">
        <v>2100</v>
      </c>
      <c r="J57" s="1020"/>
      <c r="K57" s="1020"/>
      <c r="L57" s="1083"/>
      <c r="M57" s="1084"/>
      <c r="O57" s="735" t="s">
        <v>2101</v>
      </c>
      <c r="P57" s="724"/>
    </row>
    <row r="58" spans="1:16" s="716" customFormat="1" ht="169" thickBot="1">
      <c r="A58" s="2456"/>
      <c r="B58" s="1078" t="s">
        <v>1639</v>
      </c>
      <c r="C58" s="1079" t="s">
        <v>2033</v>
      </c>
      <c r="D58" s="1079" t="s">
        <v>2031</v>
      </c>
      <c r="E58" s="1080" t="s">
        <v>1402</v>
      </c>
      <c r="F58" s="1019" t="str">
        <f>IF(Scoring!I67="","",Scoring!I67)</f>
        <v/>
      </c>
      <c r="G58" s="1081"/>
      <c r="H58" s="1081"/>
      <c r="I58" s="1082" t="s">
        <v>2102</v>
      </c>
      <c r="J58" s="1020">
        <f>COUNT(F54:F58)</f>
        <v>0</v>
      </c>
      <c r="K58" s="1020"/>
      <c r="L58" s="1085">
        <f>SUM(F54:F58)</f>
        <v>0</v>
      </c>
      <c r="M58" s="1022">
        <f>IF(L58&lt;3,0,1)</f>
        <v>0</v>
      </c>
      <c r="O58" s="725"/>
      <c r="P58" s="726">
        <f>COUNTA(F54:F58)</f>
        <v>5</v>
      </c>
    </row>
    <row r="59" spans="1:16" s="728" customFormat="1" ht="22" thickTop="1" thickBot="1">
      <c r="A59" s="1023"/>
      <c r="B59" s="1088"/>
      <c r="C59" s="1092"/>
      <c r="D59" s="1092"/>
      <c r="E59" s="1090"/>
      <c r="F59" s="1026"/>
      <c r="G59" s="1091"/>
      <c r="H59" s="1091"/>
      <c r="I59" s="1090"/>
      <c r="J59" s="1027"/>
      <c r="K59" s="1027"/>
      <c r="L59" s="1089"/>
      <c r="M59" s="1028"/>
      <c r="O59" s="733"/>
      <c r="P59" s="732"/>
    </row>
    <row r="60" spans="1:16" s="716" customFormat="1" ht="71" thickTop="1">
      <c r="A60" s="2455" t="s">
        <v>1199</v>
      </c>
      <c r="B60" s="1086" t="s">
        <v>1640</v>
      </c>
      <c r="C60" s="1087">
        <v>3</v>
      </c>
      <c r="D60" s="1087">
        <v>3</v>
      </c>
      <c r="E60" s="1080" t="s">
        <v>1403</v>
      </c>
      <c r="F60" s="1019" t="str">
        <f>IF(Scoring!I69="","",Scoring!I69)</f>
        <v/>
      </c>
      <c r="G60" s="1081"/>
      <c r="H60" s="1081"/>
      <c r="I60" s="1082" t="s">
        <v>2103</v>
      </c>
      <c r="J60" s="1020"/>
      <c r="K60" s="1020"/>
      <c r="L60" s="1083"/>
      <c r="M60" s="1084"/>
      <c r="O60" s="729"/>
      <c r="P60" s="730"/>
    </row>
    <row r="61" spans="1:16" s="716" customFormat="1" ht="112">
      <c r="A61" s="2456"/>
      <c r="B61" s="1086" t="s">
        <v>1641</v>
      </c>
      <c r="C61" s="1087">
        <v>3</v>
      </c>
      <c r="D61" s="1087">
        <v>5</v>
      </c>
      <c r="E61" s="1080" t="s">
        <v>1404</v>
      </c>
      <c r="F61" s="1019" t="str">
        <f>IF(Scoring!I70="","",Scoring!I70)</f>
        <v/>
      </c>
      <c r="G61" s="1081"/>
      <c r="H61" s="1081"/>
      <c r="I61" s="1082" t="s">
        <v>2104</v>
      </c>
      <c r="J61" s="1020"/>
      <c r="K61" s="1020"/>
      <c r="L61" s="1083"/>
      <c r="M61" s="1084"/>
      <c r="O61" s="723"/>
      <c r="P61" s="724"/>
    </row>
    <row r="62" spans="1:16" s="716" customFormat="1" ht="98">
      <c r="A62" s="2456"/>
      <c r="B62" s="1086" t="s">
        <v>1642</v>
      </c>
      <c r="C62" s="1087">
        <v>3</v>
      </c>
      <c r="D62" s="1087">
        <v>5</v>
      </c>
      <c r="E62" s="1080" t="s">
        <v>1405</v>
      </c>
      <c r="F62" s="1019" t="str">
        <f>IF(Scoring!I71="","",Scoring!I71)</f>
        <v/>
      </c>
      <c r="G62" s="1081"/>
      <c r="H62" s="1081"/>
      <c r="I62" s="1082" t="s">
        <v>2105</v>
      </c>
      <c r="J62" s="1020"/>
      <c r="K62" s="1020"/>
      <c r="L62" s="1083"/>
      <c r="M62" s="1084"/>
      <c r="O62" s="723"/>
      <c r="P62" s="724"/>
    </row>
    <row r="63" spans="1:16" s="716" customFormat="1" ht="56">
      <c r="A63" s="2456"/>
      <c r="B63" s="1086" t="s">
        <v>1643</v>
      </c>
      <c r="C63" s="1087">
        <v>3</v>
      </c>
      <c r="D63" s="1087">
        <v>5</v>
      </c>
      <c r="E63" s="1080" t="s">
        <v>1406</v>
      </c>
      <c r="F63" s="1019" t="str">
        <f>IF(Scoring!I72="","",Scoring!I72)</f>
        <v/>
      </c>
      <c r="G63" s="1081"/>
      <c r="H63" s="1081"/>
      <c r="I63" s="1082" t="s">
        <v>2106</v>
      </c>
      <c r="J63" s="1020"/>
      <c r="K63" s="1020"/>
      <c r="L63" s="1083"/>
      <c r="M63" s="1084"/>
      <c r="O63" s="723"/>
      <c r="P63" s="724"/>
    </row>
    <row r="64" spans="1:16" s="716" customFormat="1" ht="169" thickBot="1">
      <c r="A64" s="2456"/>
      <c r="B64" s="1086" t="s">
        <v>1644</v>
      </c>
      <c r="C64" s="1087">
        <v>3</v>
      </c>
      <c r="D64" s="1087">
        <v>5</v>
      </c>
      <c r="E64" s="1080" t="s">
        <v>1407</v>
      </c>
      <c r="F64" s="1019" t="str">
        <f>IF(Scoring!I73="","",Scoring!I73)</f>
        <v/>
      </c>
      <c r="G64" s="1081"/>
      <c r="H64" s="1081"/>
      <c r="I64" s="1082" t="s">
        <v>2107</v>
      </c>
      <c r="J64" s="1020"/>
      <c r="K64" s="1020">
        <f>COUNT(F60:F64)</f>
        <v>0</v>
      </c>
      <c r="L64" s="1085">
        <f>SUM(F60:F64)</f>
        <v>0</v>
      </c>
      <c r="M64" s="1022">
        <f>IF(L64&lt;3,0,1)</f>
        <v>0</v>
      </c>
      <c r="O64" s="725"/>
      <c r="P64" s="726">
        <f>COUNTA(F60:F64)</f>
        <v>5</v>
      </c>
    </row>
    <row r="65" spans="1:16" s="728" customFormat="1" ht="22" thickTop="1" thickBot="1">
      <c r="A65" s="1023"/>
      <c r="B65" s="1088"/>
      <c r="C65" s="1089"/>
      <c r="D65" s="1089"/>
      <c r="E65" s="1090"/>
      <c r="F65" s="1026"/>
      <c r="G65" s="1091"/>
      <c r="H65" s="1091"/>
      <c r="I65" s="1090"/>
      <c r="J65" s="1027"/>
      <c r="K65" s="1027"/>
      <c r="L65" s="1089"/>
      <c r="M65" s="1028"/>
      <c r="O65" s="733"/>
      <c r="P65" s="732"/>
    </row>
    <row r="66" spans="1:16" s="716" customFormat="1" ht="99" thickTop="1">
      <c r="A66" s="2455" t="s">
        <v>251</v>
      </c>
      <c r="B66" s="1078" t="s">
        <v>1645</v>
      </c>
      <c r="C66" s="1079" t="s">
        <v>2033</v>
      </c>
      <c r="D66" s="1079" t="s">
        <v>2031</v>
      </c>
      <c r="E66" s="1080" t="s">
        <v>1408</v>
      </c>
      <c r="F66" s="1019" t="str">
        <f>IF(Scoring!I75="","",Scoring!I75)</f>
        <v/>
      </c>
      <c r="G66" s="1081"/>
      <c r="H66" s="1081"/>
      <c r="I66" s="1082" t="s">
        <v>2108</v>
      </c>
      <c r="J66" s="1020"/>
      <c r="K66" s="1020"/>
      <c r="L66" s="1083"/>
      <c r="M66" s="1084"/>
      <c r="O66" s="729"/>
      <c r="P66" s="730"/>
    </row>
    <row r="67" spans="1:16" s="716" customFormat="1" ht="140">
      <c r="A67" s="2456"/>
      <c r="B67" s="1078" t="s">
        <v>1646</v>
      </c>
      <c r="C67" s="1079" t="s">
        <v>2033</v>
      </c>
      <c r="D67" s="1079" t="s">
        <v>2031</v>
      </c>
      <c r="E67" s="1080" t="s">
        <v>1409</v>
      </c>
      <c r="F67" s="1019" t="str">
        <f>IF(Scoring!I76="","",Scoring!I76)</f>
        <v/>
      </c>
      <c r="G67" s="1081"/>
      <c r="H67" s="1081"/>
      <c r="I67" s="1082" t="s">
        <v>2109</v>
      </c>
      <c r="J67" s="1020"/>
      <c r="K67" s="1020"/>
      <c r="L67" s="1083"/>
      <c r="M67" s="1084"/>
      <c r="O67" s="723"/>
      <c r="P67" s="724"/>
    </row>
    <row r="68" spans="1:16" s="716" customFormat="1" ht="224">
      <c r="A68" s="2456"/>
      <c r="B68" s="1078" t="s">
        <v>1647</v>
      </c>
      <c r="C68" s="1079" t="s">
        <v>2033</v>
      </c>
      <c r="D68" s="1079" t="s">
        <v>2031</v>
      </c>
      <c r="E68" s="1080" t="s">
        <v>1410</v>
      </c>
      <c r="F68" s="1019" t="str">
        <f>IF(Scoring!I77="","",Scoring!I77)</f>
        <v/>
      </c>
      <c r="G68" s="1081"/>
      <c r="H68" s="1081"/>
      <c r="I68" s="1082" t="s">
        <v>2110</v>
      </c>
      <c r="J68" s="1020"/>
      <c r="K68" s="1020"/>
      <c r="L68" s="1083"/>
      <c r="M68" s="1084"/>
      <c r="O68" s="723" t="s">
        <v>2111</v>
      </c>
      <c r="P68" s="724"/>
    </row>
    <row r="69" spans="1:16" s="716" customFormat="1" ht="98">
      <c r="A69" s="2456"/>
      <c r="B69" s="1078" t="s">
        <v>1648</v>
      </c>
      <c r="C69" s="1079" t="s">
        <v>2033</v>
      </c>
      <c r="D69" s="1079" t="s">
        <v>2090</v>
      </c>
      <c r="E69" s="1080" t="s">
        <v>1411</v>
      </c>
      <c r="F69" s="1019" t="str">
        <f>IF(Scoring!I78="","",Scoring!I78)</f>
        <v/>
      </c>
      <c r="G69" s="1081"/>
      <c r="H69" s="1081"/>
      <c r="I69" s="1082" t="s">
        <v>2112</v>
      </c>
      <c r="J69" s="1020"/>
      <c r="K69" s="1020"/>
      <c r="L69" s="1083"/>
      <c r="M69" s="1084"/>
      <c r="O69" s="723"/>
      <c r="P69" s="724"/>
    </row>
    <row r="70" spans="1:16" s="716" customFormat="1" ht="127" thickBot="1">
      <c r="A70" s="2456"/>
      <c r="B70" s="1078" t="s">
        <v>1649</v>
      </c>
      <c r="C70" s="1079" t="s">
        <v>2033</v>
      </c>
      <c r="D70" s="1079" t="s">
        <v>2031</v>
      </c>
      <c r="E70" s="1080" t="s">
        <v>1412</v>
      </c>
      <c r="F70" s="1019" t="str">
        <f>IF(Scoring!I79="","",Scoring!I79)</f>
        <v/>
      </c>
      <c r="G70" s="1081"/>
      <c r="H70" s="1081"/>
      <c r="I70" s="1082" t="s">
        <v>2113</v>
      </c>
      <c r="J70" s="1020">
        <f>COUNT(F66:F70)</f>
        <v>0</v>
      </c>
      <c r="K70" s="1020"/>
      <c r="L70" s="1085">
        <f>SUM(F66:F70)</f>
        <v>0</v>
      </c>
      <c r="M70" s="1022">
        <f>IF(L70&lt;3,0,1)</f>
        <v>0</v>
      </c>
      <c r="O70" s="725"/>
      <c r="P70" s="726">
        <f>COUNTA(F66:F70)</f>
        <v>5</v>
      </c>
    </row>
    <row r="71" spans="1:16" s="728" customFormat="1" ht="22" thickTop="1" thickBot="1">
      <c r="A71" s="1023"/>
      <c r="B71" s="1088"/>
      <c r="C71" s="1092"/>
      <c r="D71" s="1092"/>
      <c r="E71" s="1090"/>
      <c r="F71" s="1026"/>
      <c r="G71" s="1091"/>
      <c r="H71" s="1091"/>
      <c r="I71" s="1090"/>
      <c r="J71" s="1027"/>
      <c r="K71" s="1027"/>
      <c r="L71" s="1089"/>
      <c r="M71" s="1028"/>
      <c r="O71" s="733"/>
      <c r="P71" s="732"/>
    </row>
    <row r="72" spans="1:16" s="716" customFormat="1" ht="104.25" customHeight="1" thickTop="1">
      <c r="A72" s="2455" t="s">
        <v>1201</v>
      </c>
      <c r="B72" s="1078" t="s">
        <v>1650</v>
      </c>
      <c r="C72" s="1079" t="s">
        <v>2033</v>
      </c>
      <c r="D72" s="1079" t="s">
        <v>2090</v>
      </c>
      <c r="E72" s="1080" t="s">
        <v>1413</v>
      </c>
      <c r="F72" s="1019" t="str">
        <f>IF(Scoring!I81="","",Scoring!I81)</f>
        <v/>
      </c>
      <c r="G72" s="1081"/>
      <c r="H72" s="1081"/>
      <c r="I72" s="1082" t="s">
        <v>2114</v>
      </c>
      <c r="J72" s="1020"/>
      <c r="K72" s="1020"/>
      <c r="L72" s="1083"/>
      <c r="M72" s="1084"/>
      <c r="O72" s="729"/>
      <c r="P72" s="730"/>
    </row>
    <row r="73" spans="1:16" s="716" customFormat="1" ht="84">
      <c r="A73" s="2456"/>
      <c r="B73" s="1078" t="s">
        <v>1651</v>
      </c>
      <c r="C73" s="1079" t="s">
        <v>2033</v>
      </c>
      <c r="D73" s="1079" t="s">
        <v>2090</v>
      </c>
      <c r="E73" s="1080" t="s">
        <v>1414</v>
      </c>
      <c r="F73" s="1019" t="str">
        <f>IF(Scoring!I82="","",Scoring!I82)</f>
        <v/>
      </c>
      <c r="G73" s="1081"/>
      <c r="H73" s="1081"/>
      <c r="I73" s="1082" t="s">
        <v>2115</v>
      </c>
      <c r="J73" s="1020"/>
      <c r="K73" s="1020"/>
      <c r="L73" s="1083"/>
      <c r="M73" s="1084"/>
      <c r="O73" s="723"/>
      <c r="P73" s="724"/>
    </row>
    <row r="74" spans="1:16" s="716" customFormat="1" ht="98">
      <c r="A74" s="2456"/>
      <c r="B74" s="1078" t="s">
        <v>1652</v>
      </c>
      <c r="C74" s="1079" t="s">
        <v>2033</v>
      </c>
      <c r="D74" s="1079" t="s">
        <v>2090</v>
      </c>
      <c r="E74" s="1080" t="s">
        <v>1415</v>
      </c>
      <c r="F74" s="1019" t="str">
        <f>IF(Scoring!I83="","",Scoring!I83)</f>
        <v/>
      </c>
      <c r="G74" s="1081"/>
      <c r="H74" s="1081"/>
      <c r="I74" s="1082" t="s">
        <v>2116</v>
      </c>
      <c r="J74" s="1020"/>
      <c r="K74" s="1020"/>
      <c r="L74" s="1083"/>
      <c r="M74" s="1084"/>
      <c r="O74" s="723"/>
      <c r="P74" s="724"/>
    </row>
    <row r="75" spans="1:16" s="716" customFormat="1" ht="127" thickBot="1">
      <c r="A75" s="2456"/>
      <c r="B75" s="1078" t="s">
        <v>1653</v>
      </c>
      <c r="C75" s="1079" t="s">
        <v>2033</v>
      </c>
      <c r="D75" s="1079" t="s">
        <v>2031</v>
      </c>
      <c r="E75" s="1080" t="s">
        <v>1416</v>
      </c>
      <c r="F75" s="1019" t="str">
        <f>IF(Scoring!I84="","",Scoring!I84)</f>
        <v/>
      </c>
      <c r="G75" s="1081"/>
      <c r="H75" s="1081"/>
      <c r="I75" s="1082" t="s">
        <v>2117</v>
      </c>
      <c r="J75" s="1020">
        <f>COUNT(F72:F75)</f>
        <v>0</v>
      </c>
      <c r="K75" s="1020"/>
      <c r="L75" s="1085">
        <f>SUM(F72:F75)</f>
        <v>0</v>
      </c>
      <c r="M75" s="1022">
        <f>IF(L75&lt;2,0,1)</f>
        <v>0</v>
      </c>
      <c r="O75" s="725"/>
      <c r="P75" s="726">
        <f>COUNTA(F72:F75)</f>
        <v>4</v>
      </c>
    </row>
    <row r="76" spans="1:16" s="728" customFormat="1" ht="22" thickTop="1" thickBot="1">
      <c r="A76" s="1023"/>
      <c r="B76" s="1088"/>
      <c r="C76" s="1092"/>
      <c r="D76" s="1092"/>
      <c r="E76" s="1090"/>
      <c r="F76" s="1026"/>
      <c r="G76" s="1091"/>
      <c r="H76" s="1091"/>
      <c r="I76" s="1090"/>
      <c r="J76" s="1027"/>
      <c r="K76" s="1027"/>
      <c r="L76" s="1089"/>
      <c r="M76" s="1028"/>
      <c r="O76" s="733"/>
      <c r="P76" s="732"/>
    </row>
    <row r="77" spans="1:16" s="716" customFormat="1" ht="113" thickTop="1">
      <c r="A77" s="2455" t="s">
        <v>1202</v>
      </c>
      <c r="B77" s="1078" t="s">
        <v>1654</v>
      </c>
      <c r="C77" s="1079" t="s">
        <v>2033</v>
      </c>
      <c r="D77" s="1079" t="s">
        <v>2031</v>
      </c>
      <c r="E77" s="1080" t="s">
        <v>1417</v>
      </c>
      <c r="F77" s="1019" t="str">
        <f>IF(Scoring!I86="","",Scoring!I86)</f>
        <v/>
      </c>
      <c r="G77" s="1081"/>
      <c r="H77" s="1081"/>
      <c r="I77" s="1082" t="s">
        <v>2118</v>
      </c>
      <c r="J77" s="1020"/>
      <c r="K77" s="1020"/>
      <c r="L77" s="1083"/>
      <c r="M77" s="1084"/>
      <c r="O77" s="729"/>
      <c r="P77" s="730"/>
    </row>
    <row r="78" spans="1:16" s="716" customFormat="1" ht="56">
      <c r="A78" s="2456"/>
      <c r="B78" s="1078" t="s">
        <v>1655</v>
      </c>
      <c r="C78" s="1079" t="s">
        <v>2033</v>
      </c>
      <c r="D78" s="1079" t="s">
        <v>2090</v>
      </c>
      <c r="E78" s="1080" t="s">
        <v>1418</v>
      </c>
      <c r="F78" s="1019" t="str">
        <f>IF(Scoring!I87="","",Scoring!I87)</f>
        <v/>
      </c>
      <c r="G78" s="1081"/>
      <c r="H78" s="1081"/>
      <c r="I78" s="1082" t="s">
        <v>2119</v>
      </c>
      <c r="J78" s="1020"/>
      <c r="K78" s="1020"/>
      <c r="L78" s="1083"/>
      <c r="M78" s="1084"/>
      <c r="O78" s="723"/>
      <c r="P78" s="724"/>
    </row>
    <row r="79" spans="1:16" s="716" customFormat="1" ht="112">
      <c r="A79" s="2456"/>
      <c r="B79" s="1078" t="s">
        <v>1656</v>
      </c>
      <c r="C79" s="1079" t="s">
        <v>2033</v>
      </c>
      <c r="D79" s="1079" t="s">
        <v>2090</v>
      </c>
      <c r="E79" s="1080" t="s">
        <v>1419</v>
      </c>
      <c r="F79" s="1019" t="str">
        <f>IF(Scoring!I88="","",Scoring!I88)</f>
        <v/>
      </c>
      <c r="G79" s="1081"/>
      <c r="H79" s="1081"/>
      <c r="I79" s="1082" t="s">
        <v>2120</v>
      </c>
      <c r="J79" s="1020"/>
      <c r="K79" s="1020"/>
      <c r="L79" s="1083"/>
      <c r="M79" s="1084"/>
      <c r="O79" s="723" t="s">
        <v>2121</v>
      </c>
      <c r="P79" s="724"/>
    </row>
    <row r="80" spans="1:16" s="716" customFormat="1" ht="84">
      <c r="A80" s="2456"/>
      <c r="B80" s="1078" t="s">
        <v>1657</v>
      </c>
      <c r="C80" s="1079" t="s">
        <v>2033</v>
      </c>
      <c r="D80" s="1079" t="s">
        <v>2033</v>
      </c>
      <c r="E80" s="1080" t="s">
        <v>1420</v>
      </c>
      <c r="F80" s="1019" t="str">
        <f>IF(Scoring!I89="","",Scoring!I89)</f>
        <v/>
      </c>
      <c r="G80" s="1081"/>
      <c r="H80" s="1081"/>
      <c r="I80" s="1082" t="s">
        <v>2122</v>
      </c>
      <c r="J80" s="1020"/>
      <c r="K80" s="1020"/>
      <c r="L80" s="1083"/>
      <c r="M80" s="1084"/>
      <c r="O80" s="723"/>
      <c r="P80" s="724"/>
    </row>
    <row r="81" spans="1:16" s="716" customFormat="1" ht="85" thickBot="1">
      <c r="A81" s="2456"/>
      <c r="B81" s="1078" t="s">
        <v>1658</v>
      </c>
      <c r="C81" s="1079" t="s">
        <v>2033</v>
      </c>
      <c r="D81" s="1079" t="s">
        <v>2033</v>
      </c>
      <c r="E81" s="1080" t="s">
        <v>1421</v>
      </c>
      <c r="F81" s="1019" t="str">
        <f>IF(Scoring!I90="","",Scoring!I90)</f>
        <v/>
      </c>
      <c r="G81" s="1081"/>
      <c r="H81" s="1081"/>
      <c r="I81" s="1082" t="s">
        <v>2123</v>
      </c>
      <c r="J81" s="1020">
        <f>COUNT(F77:F81)</f>
        <v>0</v>
      </c>
      <c r="K81" s="1020"/>
      <c r="L81" s="1085">
        <f>SUM(F77:F81)</f>
        <v>0</v>
      </c>
      <c r="M81" s="1022">
        <f>IF(L81&lt;3,0,1)</f>
        <v>0</v>
      </c>
      <c r="O81" s="725"/>
      <c r="P81" s="726">
        <f>COUNTA(F77:F81)</f>
        <v>5</v>
      </c>
    </row>
    <row r="82" spans="1:16" s="728" customFormat="1" ht="22" thickTop="1" thickBot="1">
      <c r="A82" s="1023"/>
      <c r="B82" s="1088"/>
      <c r="C82" s="1092"/>
      <c r="D82" s="1092"/>
      <c r="E82" s="1090"/>
      <c r="F82" s="1026"/>
      <c r="G82" s="1091"/>
      <c r="H82" s="1091"/>
      <c r="I82" s="1090"/>
      <c r="J82" s="1027"/>
      <c r="K82" s="1027"/>
      <c r="L82" s="1089"/>
      <c r="M82" s="1028"/>
      <c r="O82" s="733"/>
      <c r="P82" s="732"/>
    </row>
    <row r="83" spans="1:16" s="716" customFormat="1" ht="113" thickTop="1">
      <c r="A83" s="2455" t="s">
        <v>1203</v>
      </c>
      <c r="B83" s="1078" t="s">
        <v>1659</v>
      </c>
      <c r="C83" s="1079" t="s">
        <v>2033</v>
      </c>
      <c r="D83" s="1079" t="s">
        <v>2031</v>
      </c>
      <c r="E83" s="1080" t="s">
        <v>1424</v>
      </c>
      <c r="F83" s="1019" t="str">
        <f>IF(Scoring!I92="","",Scoring!I92)</f>
        <v/>
      </c>
      <c r="G83" s="1081"/>
      <c r="H83" s="1081"/>
      <c r="I83" s="1082" t="s">
        <v>2124</v>
      </c>
      <c r="J83" s="1020"/>
      <c r="K83" s="1020"/>
      <c r="L83" s="1083"/>
      <c r="M83" s="1084"/>
      <c r="O83" s="729"/>
      <c r="P83" s="730"/>
    </row>
    <row r="84" spans="1:16" s="716" customFormat="1" ht="70">
      <c r="A84" s="2456"/>
      <c r="B84" s="1078" t="s">
        <v>1660</v>
      </c>
      <c r="C84" s="1079" t="s">
        <v>2030</v>
      </c>
      <c r="D84" s="1079" t="s">
        <v>2033</v>
      </c>
      <c r="E84" s="1080" t="s">
        <v>1425</v>
      </c>
      <c r="F84" s="1019" t="str">
        <f>IF(Scoring!I93="","",Scoring!I93)</f>
        <v/>
      </c>
      <c r="G84" s="1081"/>
      <c r="H84" s="1081"/>
      <c r="I84" s="1082" t="s">
        <v>2125</v>
      </c>
      <c r="J84" s="1020"/>
      <c r="K84" s="1020"/>
      <c r="L84" s="1083"/>
      <c r="M84" s="1084"/>
      <c r="O84" s="723"/>
      <c r="P84" s="724"/>
    </row>
    <row r="85" spans="1:16" s="716" customFormat="1" ht="154">
      <c r="A85" s="2456"/>
      <c r="B85" s="1078" t="s">
        <v>1661</v>
      </c>
      <c r="C85" s="1079" t="s">
        <v>2030</v>
      </c>
      <c r="D85" s="1079" t="s">
        <v>2033</v>
      </c>
      <c r="E85" s="1080" t="s">
        <v>1426</v>
      </c>
      <c r="F85" s="1019" t="str">
        <f>IF(Scoring!I94="","",Scoring!I94)</f>
        <v/>
      </c>
      <c r="G85" s="1081"/>
      <c r="H85" s="1081"/>
      <c r="I85" s="1082" t="s">
        <v>2126</v>
      </c>
      <c r="J85" s="1020"/>
      <c r="K85" s="1020"/>
      <c r="L85" s="1083"/>
      <c r="M85" s="1084"/>
      <c r="O85" s="723"/>
      <c r="P85" s="724"/>
    </row>
    <row r="86" spans="1:16" s="716" customFormat="1" ht="140">
      <c r="A86" s="2456"/>
      <c r="B86" s="1078" t="s">
        <v>1662</v>
      </c>
      <c r="C86" s="1079" t="s">
        <v>2030</v>
      </c>
      <c r="D86" s="1079" t="s">
        <v>2033</v>
      </c>
      <c r="E86" s="1080" t="s">
        <v>1427</v>
      </c>
      <c r="F86" s="1019" t="str">
        <f>IF(Scoring!I95="","",Scoring!I95)</f>
        <v/>
      </c>
      <c r="G86" s="1081"/>
      <c r="H86" s="1081"/>
      <c r="I86" s="1082" t="s">
        <v>2127</v>
      </c>
      <c r="J86" s="1020"/>
      <c r="K86" s="1020"/>
      <c r="L86" s="1083"/>
      <c r="M86" s="1084"/>
      <c r="O86" s="723"/>
      <c r="P86" s="724"/>
    </row>
    <row r="87" spans="1:16" s="716" customFormat="1" ht="99" thickBot="1">
      <c r="A87" s="2456"/>
      <c r="B87" s="1078" t="s">
        <v>1663</v>
      </c>
      <c r="C87" s="1079" t="s">
        <v>2033</v>
      </c>
      <c r="D87" s="1079" t="s">
        <v>2031</v>
      </c>
      <c r="E87" s="1080" t="s">
        <v>1428</v>
      </c>
      <c r="F87" s="1019" t="str">
        <f>IF(Scoring!I96="","",Scoring!I96)</f>
        <v/>
      </c>
      <c r="G87" s="1081"/>
      <c r="H87" s="1081"/>
      <c r="I87" s="1082" t="s">
        <v>2128</v>
      </c>
      <c r="J87" s="1020">
        <f>COUNT(F83:F87)</f>
        <v>0</v>
      </c>
      <c r="K87" s="1020"/>
      <c r="L87" s="1085">
        <f>SUM(F83:F87)</f>
        <v>0</v>
      </c>
      <c r="M87" s="1022">
        <f>IF(L87&lt;3,0,1)</f>
        <v>0</v>
      </c>
      <c r="O87" s="725"/>
      <c r="P87" s="726">
        <f>COUNTA(F83:F87)</f>
        <v>5</v>
      </c>
    </row>
    <row r="88" spans="1:16" s="728" customFormat="1" ht="22" thickTop="1" thickBot="1">
      <c r="A88" s="1023"/>
      <c r="B88" s="1088"/>
      <c r="C88" s="1092"/>
      <c r="D88" s="1092"/>
      <c r="E88" s="1090"/>
      <c r="F88" s="1026"/>
      <c r="G88" s="1091"/>
      <c r="H88" s="1091"/>
      <c r="I88" s="1090"/>
      <c r="J88" s="1027"/>
      <c r="K88" s="1027"/>
      <c r="L88" s="1089"/>
      <c r="M88" s="1028"/>
      <c r="O88" s="733"/>
      <c r="P88" s="732"/>
    </row>
    <row r="89" spans="1:16" s="716" customFormat="1" ht="99" thickTop="1">
      <c r="A89" s="2455" t="s">
        <v>1204</v>
      </c>
      <c r="B89" s="1078" t="s">
        <v>1664</v>
      </c>
      <c r="C89" s="1079" t="s">
        <v>2033</v>
      </c>
      <c r="D89" s="1079" t="s">
        <v>2031</v>
      </c>
      <c r="E89" s="1080" t="s">
        <v>1429</v>
      </c>
      <c r="F89" s="1019" t="str">
        <f>IF(Scoring!I98="","",Scoring!I98)</f>
        <v/>
      </c>
      <c r="G89" s="1081"/>
      <c r="H89" s="1081"/>
      <c r="I89" s="1082" t="s">
        <v>2129</v>
      </c>
      <c r="J89" s="1020"/>
      <c r="K89" s="1020"/>
      <c r="L89" s="1083"/>
      <c r="M89" s="1084"/>
      <c r="O89" s="729"/>
      <c r="P89" s="730"/>
    </row>
    <row r="90" spans="1:16" s="716" customFormat="1" ht="56">
      <c r="A90" s="2456"/>
      <c r="B90" s="1078" t="s">
        <v>1665</v>
      </c>
      <c r="C90" s="1079" t="s">
        <v>2033</v>
      </c>
      <c r="D90" s="1079" t="s">
        <v>2094</v>
      </c>
      <c r="E90" s="1080" t="s">
        <v>2130</v>
      </c>
      <c r="F90" s="1019" t="str">
        <f>IF(Scoring!I99="","",Scoring!I99)</f>
        <v/>
      </c>
      <c r="G90" s="1081"/>
      <c r="H90" s="1081"/>
      <c r="I90" s="1082" t="s">
        <v>2131</v>
      </c>
      <c r="J90" s="1020"/>
      <c r="K90" s="1020"/>
      <c r="L90" s="1083"/>
      <c r="M90" s="1084"/>
      <c r="O90" s="723"/>
      <c r="P90" s="724"/>
    </row>
    <row r="91" spans="1:16" s="716" customFormat="1" ht="70">
      <c r="A91" s="2456"/>
      <c r="B91" s="1078" t="s">
        <v>1666</v>
      </c>
      <c r="C91" s="1079" t="s">
        <v>2033</v>
      </c>
      <c r="D91" s="1079" t="s">
        <v>2031</v>
      </c>
      <c r="E91" s="1080" t="s">
        <v>1433</v>
      </c>
      <c r="F91" s="1019" t="str">
        <f>IF(Scoring!I100="","",Scoring!I100)</f>
        <v/>
      </c>
      <c r="G91" s="1081"/>
      <c r="H91" s="1081"/>
      <c r="I91" s="1082" t="s">
        <v>2132</v>
      </c>
      <c r="J91" s="1020"/>
      <c r="K91" s="1020"/>
      <c r="L91" s="1083"/>
      <c r="M91" s="1084"/>
      <c r="O91" s="723"/>
      <c r="P91" s="724"/>
    </row>
    <row r="92" spans="1:16" s="716" customFormat="1" ht="84">
      <c r="A92" s="2456"/>
      <c r="B92" s="1078" t="s">
        <v>1667</v>
      </c>
      <c r="C92" s="1079" t="s">
        <v>2033</v>
      </c>
      <c r="D92" s="1079" t="s">
        <v>2094</v>
      </c>
      <c r="E92" s="1080" t="s">
        <v>2133</v>
      </c>
      <c r="F92" s="1019" t="str">
        <f>IF(Scoring!I101="","",Scoring!I101)</f>
        <v/>
      </c>
      <c r="G92" s="1081"/>
      <c r="H92" s="1081"/>
      <c r="I92" s="1082" t="s">
        <v>2134</v>
      </c>
      <c r="J92" s="1020"/>
      <c r="K92" s="1020"/>
      <c r="L92" s="1083"/>
      <c r="M92" s="1084"/>
      <c r="O92" s="723"/>
      <c r="P92" s="724"/>
    </row>
    <row r="93" spans="1:16" s="716" customFormat="1" ht="169" thickBot="1">
      <c r="A93" s="2456"/>
      <c r="B93" s="1078" t="s">
        <v>1668</v>
      </c>
      <c r="C93" s="1079" t="s">
        <v>2033</v>
      </c>
      <c r="D93" s="1079" t="s">
        <v>2031</v>
      </c>
      <c r="E93" s="1080" t="s">
        <v>1437</v>
      </c>
      <c r="F93" s="1019" t="str">
        <f>IF(Scoring!I102="","",Scoring!I102)</f>
        <v/>
      </c>
      <c r="G93" s="1081"/>
      <c r="H93" s="1081"/>
      <c r="I93" s="1082" t="s">
        <v>2135</v>
      </c>
      <c r="J93" s="1020">
        <f>COUNT(F89:F93)</f>
        <v>0</v>
      </c>
      <c r="K93" s="1020"/>
      <c r="L93" s="1085">
        <f>SUM(F89:F93)</f>
        <v>0</v>
      </c>
      <c r="M93" s="1022">
        <f>IF(L93&lt;3,0,1)</f>
        <v>0</v>
      </c>
      <c r="O93" s="725"/>
      <c r="P93" s="726">
        <f>COUNTA(F89:F93)</f>
        <v>5</v>
      </c>
    </row>
    <row r="94" spans="1:16" s="728" customFormat="1" ht="21" thickTop="1">
      <c r="A94" s="1023"/>
      <c r="B94" s="1088"/>
      <c r="C94" s="1092"/>
      <c r="D94" s="1092"/>
      <c r="E94" s="1090"/>
      <c r="F94" s="1026"/>
      <c r="G94" s="1091"/>
      <c r="H94" s="1091"/>
      <c r="I94" s="1090"/>
      <c r="J94" s="1027"/>
      <c r="K94" s="1027"/>
      <c r="L94" s="1089"/>
      <c r="M94" s="1028"/>
      <c r="O94" s="733"/>
      <c r="P94" s="732"/>
    </row>
    <row r="95" spans="1:16" s="728" customFormat="1" ht="20">
      <c r="A95" s="1023"/>
      <c r="B95" s="1088"/>
      <c r="C95" s="1092"/>
      <c r="D95" s="1092"/>
      <c r="E95" s="1090"/>
      <c r="F95" s="1026"/>
      <c r="G95" s="1091"/>
      <c r="H95" s="1091"/>
      <c r="I95" s="1090"/>
      <c r="J95" s="1027"/>
      <c r="K95" s="1027"/>
      <c r="L95" s="1089"/>
      <c r="M95" s="1028"/>
      <c r="O95" s="733"/>
      <c r="P95" s="732"/>
    </row>
    <row r="96" spans="1:16" s="728" customFormat="1" ht="21" thickBot="1">
      <c r="A96" s="1023"/>
      <c r="B96" s="1088"/>
      <c r="C96" s="1092"/>
      <c r="D96" s="1092"/>
      <c r="E96" s="1090"/>
      <c r="F96" s="1026"/>
      <c r="G96" s="1091"/>
      <c r="H96" s="1091"/>
      <c r="I96" s="1090"/>
      <c r="J96" s="1027"/>
      <c r="K96" s="1027"/>
      <c r="L96" s="1089"/>
      <c r="M96" s="1028"/>
      <c r="O96" s="733"/>
      <c r="P96" s="732"/>
    </row>
    <row r="97" spans="1:16" s="716" customFormat="1" ht="155" thickTop="1">
      <c r="A97" s="2455" t="s">
        <v>1178</v>
      </c>
      <c r="B97" s="1086" t="s">
        <v>2136</v>
      </c>
      <c r="C97" s="1087">
        <v>3</v>
      </c>
      <c r="D97" s="1087">
        <v>4</v>
      </c>
      <c r="E97" s="1080" t="s">
        <v>1438</v>
      </c>
      <c r="F97" s="1019" t="str">
        <f>IF(Scoring!I106="","",Scoring!I106)</f>
        <v/>
      </c>
      <c r="G97" s="1081"/>
      <c r="H97" s="1081"/>
      <c r="I97" s="1082" t="s">
        <v>2137</v>
      </c>
      <c r="J97" s="1020"/>
      <c r="K97" s="1020"/>
      <c r="L97" s="1083"/>
      <c r="M97" s="1084"/>
      <c r="O97" s="729"/>
      <c r="P97" s="730"/>
    </row>
    <row r="98" spans="1:16" s="716" customFormat="1" ht="98">
      <c r="A98" s="2456"/>
      <c r="B98" s="1086" t="s">
        <v>2138</v>
      </c>
      <c r="C98" s="1087">
        <v>3</v>
      </c>
      <c r="D98" s="1087">
        <v>4</v>
      </c>
      <c r="E98" s="1080" t="s">
        <v>1439</v>
      </c>
      <c r="F98" s="1019" t="str">
        <f>IF(Scoring!I107="","",Scoring!I107)</f>
        <v/>
      </c>
      <c r="G98" s="1081"/>
      <c r="H98" s="1081"/>
      <c r="I98" s="1082" t="s">
        <v>2139</v>
      </c>
      <c r="J98" s="1020"/>
      <c r="K98" s="1020"/>
      <c r="L98" s="1083"/>
      <c r="M98" s="1084"/>
      <c r="O98" s="723"/>
      <c r="P98" s="724"/>
    </row>
    <row r="99" spans="1:16" s="716" customFormat="1" ht="112">
      <c r="A99" s="2456"/>
      <c r="B99" s="1086" t="s">
        <v>2140</v>
      </c>
      <c r="C99" s="1087">
        <v>3</v>
      </c>
      <c r="D99" s="1087">
        <v>5</v>
      </c>
      <c r="E99" s="1080" t="s">
        <v>1442</v>
      </c>
      <c r="F99" s="1019" t="str">
        <f>IF(Scoring!I108="","",Scoring!I108)</f>
        <v/>
      </c>
      <c r="G99" s="1081"/>
      <c r="H99" s="1081"/>
      <c r="I99" s="1082" t="s">
        <v>2141</v>
      </c>
      <c r="J99" s="1020"/>
      <c r="K99" s="1020"/>
      <c r="L99" s="1083"/>
      <c r="M99" s="1084"/>
      <c r="O99" s="723"/>
      <c r="P99" s="724"/>
    </row>
    <row r="100" spans="1:16" s="716" customFormat="1" ht="182">
      <c r="A100" s="2456"/>
      <c r="B100" s="1086" t="s">
        <v>2142</v>
      </c>
      <c r="C100" s="1087">
        <v>3</v>
      </c>
      <c r="D100" s="1087">
        <v>4</v>
      </c>
      <c r="E100" s="1080" t="s">
        <v>1444</v>
      </c>
      <c r="F100" s="1019" t="str">
        <f>IF(Scoring!I109="","",Scoring!I109)</f>
        <v/>
      </c>
      <c r="G100" s="1081"/>
      <c r="H100" s="1081"/>
      <c r="I100" s="1082" t="s">
        <v>2143</v>
      </c>
      <c r="J100" s="1020"/>
      <c r="K100" s="1020"/>
      <c r="L100" s="1083"/>
      <c r="M100" s="1084"/>
      <c r="O100" s="723"/>
      <c r="P100" s="724"/>
    </row>
    <row r="101" spans="1:16" s="716" customFormat="1" ht="71" thickBot="1">
      <c r="A101" s="2456"/>
      <c r="B101" s="1086" t="s">
        <v>2144</v>
      </c>
      <c r="C101" s="1087">
        <v>3</v>
      </c>
      <c r="D101" s="1087">
        <v>3</v>
      </c>
      <c r="E101" s="1080" t="s">
        <v>1446</v>
      </c>
      <c r="F101" s="1019" t="str">
        <f>IF(Scoring!I110="","",Scoring!I110)</f>
        <v/>
      </c>
      <c r="G101" s="1081"/>
      <c r="H101" s="1081"/>
      <c r="I101" s="1082" t="s">
        <v>2145</v>
      </c>
      <c r="J101" s="1020"/>
      <c r="K101" s="1020">
        <f>COUNT(F97:F101)</f>
        <v>0</v>
      </c>
      <c r="L101" s="1085">
        <f>SUM(F97:F101)</f>
        <v>0</v>
      </c>
      <c r="M101" s="1022">
        <f>IF(L101&lt;3,0,1)</f>
        <v>0</v>
      </c>
      <c r="O101" s="725"/>
      <c r="P101" s="726">
        <f>COUNTA(F97:F101)</f>
        <v>5</v>
      </c>
    </row>
    <row r="102" spans="1:16" s="716" customFormat="1" ht="21" thickTop="1">
      <c r="A102" s="1021"/>
      <c r="B102" s="1086"/>
      <c r="C102" s="1087"/>
      <c r="D102" s="1087"/>
      <c r="E102" s="1080"/>
      <c r="F102" s="1019"/>
      <c r="G102" s="1081"/>
      <c r="H102" s="1081"/>
      <c r="I102" s="1082"/>
      <c r="J102" s="1020"/>
      <c r="K102" s="1020"/>
      <c r="L102" s="1085"/>
      <c r="M102" s="1022"/>
      <c r="O102" s="1103"/>
      <c r="P102" s="1104"/>
    </row>
    <row r="103" spans="1:16" s="716" customFormat="1" ht="20">
      <c r="A103" s="1021"/>
      <c r="B103" s="1086"/>
      <c r="C103" s="1087"/>
      <c r="D103" s="1087"/>
      <c r="E103" s="1080"/>
      <c r="F103" s="1019"/>
      <c r="G103" s="1081"/>
      <c r="H103" s="1081"/>
      <c r="I103" s="1082"/>
      <c r="J103" s="1020"/>
      <c r="K103" s="1020"/>
      <c r="L103" s="1085"/>
      <c r="M103" s="1022"/>
      <c r="O103" s="1103"/>
      <c r="P103" s="1104"/>
    </row>
    <row r="104" spans="1:16" s="716" customFormat="1" ht="20">
      <c r="A104" s="1021"/>
      <c r="B104" s="1086"/>
      <c r="C104" s="1087"/>
      <c r="D104" s="1087"/>
      <c r="E104" s="1080"/>
      <c r="F104" s="1019"/>
      <c r="G104" s="1081"/>
      <c r="H104" s="1081"/>
      <c r="I104" s="1082"/>
      <c r="J104" s="1020"/>
      <c r="K104" s="1020"/>
      <c r="L104" s="1085"/>
      <c r="M104" s="1022"/>
      <c r="O104" s="1103"/>
      <c r="P104" s="1104"/>
    </row>
    <row r="105" spans="1:16" s="728" customFormat="1" ht="21" thickBot="1">
      <c r="A105" s="1023"/>
      <c r="B105" s="1088"/>
      <c r="C105" s="1089"/>
      <c r="D105" s="1089"/>
      <c r="E105" s="1090"/>
      <c r="F105" s="1026"/>
      <c r="G105" s="1091"/>
      <c r="H105" s="1091"/>
      <c r="I105" s="1090"/>
      <c r="J105" s="1027"/>
      <c r="K105" s="1027"/>
      <c r="L105" s="1089"/>
      <c r="M105" s="1028"/>
      <c r="O105" s="733"/>
      <c r="P105" s="732"/>
    </row>
    <row r="106" spans="1:16" s="716" customFormat="1" ht="85" thickTop="1">
      <c r="A106" s="2455" t="s">
        <v>1179</v>
      </c>
      <c r="B106" s="1086" t="s">
        <v>2146</v>
      </c>
      <c r="C106" s="1087">
        <v>3</v>
      </c>
      <c r="D106" s="1087">
        <v>5</v>
      </c>
      <c r="E106" s="1080" t="s">
        <v>1448</v>
      </c>
      <c r="F106" s="1019" t="str">
        <f>IF(Scoring!I115="","",Scoring!I115)</f>
        <v/>
      </c>
      <c r="G106" s="1081"/>
      <c r="H106" s="1081"/>
      <c r="I106" s="1082" t="s">
        <v>2147</v>
      </c>
      <c r="J106" s="1020"/>
      <c r="K106" s="1020"/>
      <c r="L106" s="1083"/>
      <c r="M106" s="1084"/>
      <c r="O106" s="729"/>
      <c r="P106" s="730"/>
    </row>
    <row r="107" spans="1:16" s="716" customFormat="1" ht="112">
      <c r="A107" s="2456"/>
      <c r="B107" s="1086" t="s">
        <v>2148</v>
      </c>
      <c r="C107" s="1087">
        <v>4</v>
      </c>
      <c r="D107" s="1087">
        <v>4</v>
      </c>
      <c r="E107" s="1080" t="s">
        <v>1451</v>
      </c>
      <c r="F107" s="1019" t="str">
        <f>IF(Scoring!I116="","",Scoring!I116)</f>
        <v/>
      </c>
      <c r="G107" s="1081"/>
      <c r="H107" s="1081"/>
      <c r="I107" s="1082" t="s">
        <v>2149</v>
      </c>
      <c r="J107" s="1020"/>
      <c r="K107" s="1020"/>
      <c r="L107" s="1083"/>
      <c r="M107" s="1084"/>
      <c r="O107" s="723"/>
      <c r="P107" s="724"/>
    </row>
    <row r="108" spans="1:16" s="716" customFormat="1" ht="85" thickBot="1">
      <c r="A108" s="2456"/>
      <c r="B108" s="1086" t="s">
        <v>2150</v>
      </c>
      <c r="C108" s="1087">
        <v>4</v>
      </c>
      <c r="D108" s="1087">
        <v>5</v>
      </c>
      <c r="E108" s="1080" t="s">
        <v>1453</v>
      </c>
      <c r="F108" s="1019" t="str">
        <f>IF(Scoring!I117="","",Scoring!I117)</f>
        <v/>
      </c>
      <c r="G108" s="1081"/>
      <c r="H108" s="1081"/>
      <c r="I108" s="1082" t="s">
        <v>2151</v>
      </c>
      <c r="J108" s="1020"/>
      <c r="K108" s="1020">
        <f>COUNT(F106:F108)</f>
        <v>0</v>
      </c>
      <c r="L108" s="1085">
        <f>SUM(F106:F108)</f>
        <v>0</v>
      </c>
      <c r="M108" s="1022">
        <f>IF(L108&lt;2,0,1)</f>
        <v>0</v>
      </c>
      <c r="O108" s="725"/>
      <c r="P108" s="726">
        <f>COUNTA(F106:F108)</f>
        <v>3</v>
      </c>
    </row>
    <row r="109" spans="1:16" s="716" customFormat="1" ht="21" thickTop="1">
      <c r="A109" s="1021"/>
      <c r="B109" s="1086"/>
      <c r="C109" s="1087"/>
      <c r="D109" s="1087"/>
      <c r="E109" s="1080"/>
      <c r="F109" s="1019"/>
      <c r="G109" s="1081"/>
      <c r="H109" s="1081"/>
      <c r="I109" s="1082"/>
      <c r="J109" s="1020"/>
      <c r="K109" s="1020"/>
      <c r="L109" s="1085"/>
      <c r="M109" s="1022"/>
      <c r="O109" s="1103"/>
      <c r="P109" s="1104"/>
    </row>
    <row r="110" spans="1:16" s="716" customFormat="1" ht="20">
      <c r="A110" s="1021"/>
      <c r="B110" s="1086"/>
      <c r="C110" s="1087"/>
      <c r="D110" s="1087"/>
      <c r="E110" s="1080"/>
      <c r="F110" s="1019"/>
      <c r="G110" s="1081"/>
      <c r="H110" s="1081"/>
      <c r="I110" s="1082"/>
      <c r="J110" s="1020"/>
      <c r="K110" s="1020"/>
      <c r="L110" s="1085"/>
      <c r="M110" s="1022"/>
      <c r="O110" s="1103"/>
      <c r="P110" s="1104"/>
    </row>
    <row r="111" spans="1:16" s="728" customFormat="1" ht="21" thickBot="1">
      <c r="A111" s="1023"/>
      <c r="B111" s="1088"/>
      <c r="C111" s="1089"/>
      <c r="D111" s="1089"/>
      <c r="E111" s="1090"/>
      <c r="F111" s="1026"/>
      <c r="G111" s="1091"/>
      <c r="H111" s="1091"/>
      <c r="I111" s="1090"/>
      <c r="J111" s="1027"/>
      <c r="K111" s="1027"/>
      <c r="L111" s="1089"/>
      <c r="M111" s="1028"/>
      <c r="O111" s="733"/>
      <c r="P111" s="732"/>
    </row>
    <row r="112" spans="1:16" s="716" customFormat="1" ht="71" thickTop="1">
      <c r="A112" s="2455" t="s">
        <v>2152</v>
      </c>
      <c r="B112" s="1086" t="s">
        <v>2153</v>
      </c>
      <c r="C112" s="1087">
        <v>3</v>
      </c>
      <c r="D112" s="1087">
        <v>5</v>
      </c>
      <c r="E112" s="1080" t="s">
        <v>1455</v>
      </c>
      <c r="F112" s="1019" t="str">
        <f>IF(Scoring!I121="","",Scoring!I121)</f>
        <v/>
      </c>
      <c r="G112" s="1081"/>
      <c r="H112" s="1081"/>
      <c r="I112" s="1082" t="s">
        <v>2154</v>
      </c>
      <c r="J112" s="1020"/>
      <c r="K112" s="1020"/>
      <c r="L112" s="1083"/>
      <c r="M112" s="1084"/>
      <c r="O112" s="729"/>
      <c r="P112" s="730"/>
    </row>
    <row r="113" spans="1:16" s="716" customFormat="1" ht="140">
      <c r="A113" s="2456"/>
      <c r="B113" s="1086" t="s">
        <v>2155</v>
      </c>
      <c r="C113" s="1087">
        <v>3</v>
      </c>
      <c r="D113" s="1087">
        <v>5</v>
      </c>
      <c r="E113" s="1080" t="s">
        <v>1458</v>
      </c>
      <c r="F113" s="1019" t="str">
        <f>IF(Scoring!I122="","",Scoring!I122)</f>
        <v/>
      </c>
      <c r="G113" s="1081"/>
      <c r="H113" s="1081"/>
      <c r="I113" s="1082" t="s">
        <v>2156</v>
      </c>
      <c r="J113" s="1020"/>
      <c r="K113" s="1020"/>
      <c r="L113" s="1083"/>
      <c r="M113" s="1084"/>
      <c r="O113" s="723"/>
      <c r="P113" s="724"/>
    </row>
    <row r="114" spans="1:16" s="716" customFormat="1" ht="70">
      <c r="A114" s="2456"/>
      <c r="B114" s="1086" t="s">
        <v>2157</v>
      </c>
      <c r="C114" s="1087">
        <v>3</v>
      </c>
      <c r="D114" s="1087">
        <v>4</v>
      </c>
      <c r="E114" s="1080" t="s">
        <v>1461</v>
      </c>
      <c r="F114" s="1019" t="str">
        <f>IF(Scoring!I123="","",Scoring!I123)</f>
        <v/>
      </c>
      <c r="G114" s="1081"/>
      <c r="H114" s="1081"/>
      <c r="I114" s="1082" t="s">
        <v>2158</v>
      </c>
      <c r="J114" s="1020"/>
      <c r="K114" s="1020"/>
      <c r="L114" s="1083"/>
      <c r="M114" s="1084"/>
      <c r="O114" s="723"/>
      <c r="P114" s="724"/>
    </row>
    <row r="115" spans="1:16" s="716" customFormat="1" ht="113" thickBot="1">
      <c r="A115" s="2456"/>
      <c r="B115" s="1086" t="s">
        <v>2159</v>
      </c>
      <c r="C115" s="1087">
        <v>3</v>
      </c>
      <c r="D115" s="1087">
        <v>4</v>
      </c>
      <c r="E115" s="1080" t="s">
        <v>1463</v>
      </c>
      <c r="F115" s="1019" t="str">
        <f>IF(Scoring!I124="","",Scoring!I124)</f>
        <v/>
      </c>
      <c r="G115" s="1081"/>
      <c r="H115" s="1081"/>
      <c r="I115" s="1082" t="s">
        <v>2160</v>
      </c>
      <c r="J115" s="1020"/>
      <c r="K115" s="1020">
        <f>COUNT(F112:F115)</f>
        <v>0</v>
      </c>
      <c r="L115" s="1085">
        <f>SUM(F112:F115)</f>
        <v>0</v>
      </c>
      <c r="M115" s="1022">
        <f>IF(L115&lt;2,0,1)</f>
        <v>0</v>
      </c>
      <c r="O115" s="725"/>
      <c r="P115" s="726">
        <f>COUNTA(F112:F115)</f>
        <v>4</v>
      </c>
    </row>
    <row r="116" spans="1:16" s="728" customFormat="1" ht="22" thickTop="1" thickBot="1">
      <c r="A116" s="1023"/>
      <c r="B116" s="1088"/>
      <c r="C116" s="1089"/>
      <c r="D116" s="1089"/>
      <c r="E116" s="1090"/>
      <c r="F116" s="1026"/>
      <c r="G116" s="1091"/>
      <c r="H116" s="1091"/>
      <c r="I116" s="1090"/>
      <c r="J116" s="1027"/>
      <c r="K116" s="1027"/>
      <c r="L116" s="1089"/>
      <c r="M116" s="1028"/>
      <c r="O116" s="733"/>
      <c r="P116" s="732"/>
    </row>
    <row r="117" spans="1:16" s="716" customFormat="1" ht="43" thickTop="1">
      <c r="A117" s="2455" t="s">
        <v>2161</v>
      </c>
      <c r="B117" s="1086" t="s">
        <v>2162</v>
      </c>
      <c r="C117" s="1087">
        <v>4</v>
      </c>
      <c r="D117" s="1087">
        <v>4</v>
      </c>
      <c r="E117" s="1080" t="s">
        <v>1464</v>
      </c>
      <c r="F117" s="1019" t="str">
        <f>IF(Scoring!I126="","",Scoring!I126)</f>
        <v/>
      </c>
      <c r="G117" s="1081"/>
      <c r="H117" s="1081"/>
      <c r="I117" s="1082" t="s">
        <v>2163</v>
      </c>
      <c r="J117" s="1020"/>
      <c r="K117" s="1020"/>
      <c r="L117" s="1083"/>
      <c r="M117" s="1084"/>
      <c r="O117" s="729"/>
      <c r="P117" s="730"/>
    </row>
    <row r="118" spans="1:16" s="716" customFormat="1" ht="70">
      <c r="A118" s="2456"/>
      <c r="B118" s="1086" t="s">
        <v>2164</v>
      </c>
      <c r="C118" s="1087">
        <v>3</v>
      </c>
      <c r="D118" s="1087">
        <v>4</v>
      </c>
      <c r="E118" s="1080" t="s">
        <v>1467</v>
      </c>
      <c r="F118" s="1019" t="str">
        <f>IF(Scoring!I127="","",Scoring!I127)</f>
        <v/>
      </c>
      <c r="G118" s="1081"/>
      <c r="H118" s="1081"/>
      <c r="I118" s="1082" t="s">
        <v>2165</v>
      </c>
      <c r="J118" s="1020"/>
      <c r="K118" s="1020"/>
      <c r="L118" s="1083"/>
      <c r="M118" s="1084"/>
      <c r="O118" s="723"/>
      <c r="P118" s="724"/>
    </row>
    <row r="119" spans="1:16" s="716" customFormat="1" ht="84">
      <c r="A119" s="2456"/>
      <c r="B119" s="1086" t="s">
        <v>2166</v>
      </c>
      <c r="C119" s="1087">
        <v>3</v>
      </c>
      <c r="D119" s="1087">
        <v>5</v>
      </c>
      <c r="E119" s="1080" t="s">
        <v>1469</v>
      </c>
      <c r="F119" s="1019" t="str">
        <f>IF(Scoring!I128="","",Scoring!I128)</f>
        <v/>
      </c>
      <c r="G119" s="1081"/>
      <c r="H119" s="1081"/>
      <c r="I119" s="1082" t="s">
        <v>2167</v>
      </c>
      <c r="J119" s="1020"/>
      <c r="K119" s="1020"/>
      <c r="L119" s="1083"/>
      <c r="M119" s="1084"/>
      <c r="O119" s="723"/>
      <c r="P119" s="724"/>
    </row>
    <row r="120" spans="1:16" s="716" customFormat="1" ht="84">
      <c r="A120" s="2456"/>
      <c r="B120" s="1086" t="s">
        <v>2168</v>
      </c>
      <c r="C120" s="1087">
        <v>4</v>
      </c>
      <c r="D120" s="1087">
        <v>4</v>
      </c>
      <c r="E120" s="1080" t="s">
        <v>1471</v>
      </c>
      <c r="F120" s="1019" t="str">
        <f>IF(Scoring!I129="","",Scoring!I129)</f>
        <v/>
      </c>
      <c r="G120" s="1081"/>
      <c r="H120" s="1081"/>
      <c r="I120" s="1082" t="s">
        <v>2169</v>
      </c>
      <c r="J120" s="1020"/>
      <c r="K120" s="1020"/>
      <c r="L120" s="1083"/>
      <c r="M120" s="1084"/>
      <c r="O120" s="723"/>
      <c r="P120" s="724"/>
    </row>
    <row r="121" spans="1:16" s="716" customFormat="1" ht="85" thickBot="1">
      <c r="A121" s="2456"/>
      <c r="B121" s="1086" t="s">
        <v>2170</v>
      </c>
      <c r="C121" s="1087">
        <v>4</v>
      </c>
      <c r="D121" s="1087">
        <v>4</v>
      </c>
      <c r="E121" s="1080" t="s">
        <v>1472</v>
      </c>
      <c r="F121" s="1019" t="str">
        <f>IF(Scoring!I130="","",Scoring!I130)</f>
        <v/>
      </c>
      <c r="G121" s="1081"/>
      <c r="H121" s="1081"/>
      <c r="I121" s="1082" t="s">
        <v>2171</v>
      </c>
      <c r="J121" s="1020"/>
      <c r="K121" s="1020">
        <f>COUNT(F117:F121)</f>
        <v>0</v>
      </c>
      <c r="L121" s="1085">
        <f>SUM(F117:F121)</f>
        <v>0</v>
      </c>
      <c r="M121" s="1022">
        <f>IF(L121&lt;3,0,1)</f>
        <v>0</v>
      </c>
      <c r="O121" s="725"/>
      <c r="P121" s="726">
        <f>COUNTA(F117:F121)</f>
        <v>5</v>
      </c>
    </row>
    <row r="122" spans="1:16" s="728" customFormat="1" ht="22" thickTop="1" thickBot="1">
      <c r="A122" s="1023"/>
      <c r="B122" s="1088"/>
      <c r="C122" s="1089"/>
      <c r="D122" s="1089"/>
      <c r="E122" s="1090"/>
      <c r="F122" s="1026"/>
      <c r="G122" s="1091"/>
      <c r="H122" s="1091"/>
      <c r="I122" s="1090"/>
      <c r="J122" s="1027"/>
      <c r="K122" s="1027"/>
      <c r="L122" s="1089"/>
      <c r="M122" s="1028"/>
      <c r="O122" s="733"/>
      <c r="P122" s="732"/>
    </row>
    <row r="123" spans="1:16" s="716" customFormat="1" ht="85" thickTop="1">
      <c r="A123" s="2455" t="s">
        <v>2172</v>
      </c>
      <c r="B123" s="1086" t="s">
        <v>2173</v>
      </c>
      <c r="C123" s="1087">
        <v>3</v>
      </c>
      <c r="D123" s="1087">
        <v>6</v>
      </c>
      <c r="E123" s="1080" t="s">
        <v>1473</v>
      </c>
      <c r="F123" s="1019" t="str">
        <f>IF(Scoring!I132="","",Scoring!I132)</f>
        <v/>
      </c>
      <c r="G123" s="1081"/>
      <c r="H123" s="1081"/>
      <c r="I123" s="1082" t="s">
        <v>2174</v>
      </c>
      <c r="J123" s="1020"/>
      <c r="K123" s="1020"/>
      <c r="L123" s="1083"/>
      <c r="M123" s="1084"/>
      <c r="O123" s="729"/>
      <c r="P123" s="730"/>
    </row>
    <row r="124" spans="1:16" s="716" customFormat="1" ht="126">
      <c r="A124" s="2456"/>
      <c r="B124" s="1086" t="s">
        <v>2175</v>
      </c>
      <c r="C124" s="1087">
        <v>3</v>
      </c>
      <c r="D124" s="1087">
        <v>4</v>
      </c>
      <c r="E124" s="1080" t="s">
        <v>1475</v>
      </c>
      <c r="F124" s="1019" t="str">
        <f>IF(Scoring!I133="","",Scoring!I133)</f>
        <v/>
      </c>
      <c r="G124" s="1081"/>
      <c r="H124" s="1081"/>
      <c r="I124" s="1082" t="s">
        <v>2176</v>
      </c>
      <c r="J124" s="1020"/>
      <c r="K124" s="1020"/>
      <c r="L124" s="1083"/>
      <c r="M124" s="1084"/>
      <c r="O124" s="723"/>
      <c r="P124" s="724"/>
    </row>
    <row r="125" spans="1:16" s="716" customFormat="1" ht="126">
      <c r="A125" s="2456"/>
      <c r="B125" s="1086" t="s">
        <v>2177</v>
      </c>
      <c r="C125" s="1087">
        <v>3</v>
      </c>
      <c r="D125" s="1087">
        <v>4</v>
      </c>
      <c r="E125" s="1080" t="s">
        <v>1478</v>
      </c>
      <c r="F125" s="1019" t="str">
        <f>IF(Scoring!I134="","",Scoring!I134)</f>
        <v/>
      </c>
      <c r="G125" s="1081"/>
      <c r="H125" s="1081"/>
      <c r="I125" s="1082" t="s">
        <v>2178</v>
      </c>
      <c r="J125" s="1020"/>
      <c r="K125" s="1020"/>
      <c r="L125" s="1083"/>
      <c r="M125" s="1084"/>
      <c r="O125" s="723"/>
      <c r="P125" s="724"/>
    </row>
    <row r="126" spans="1:16" s="716" customFormat="1" ht="71" thickBot="1">
      <c r="A126" s="2456"/>
      <c r="B126" s="1086" t="s">
        <v>2179</v>
      </c>
      <c r="C126" s="1087">
        <v>3</v>
      </c>
      <c r="D126" s="1087">
        <v>6</v>
      </c>
      <c r="E126" s="1080" t="s">
        <v>1479</v>
      </c>
      <c r="F126" s="1019" t="str">
        <f>IF(Scoring!I135="","",Scoring!I135)</f>
        <v/>
      </c>
      <c r="G126" s="1081"/>
      <c r="H126" s="1081"/>
      <c r="I126" s="1082" t="s">
        <v>2180</v>
      </c>
      <c r="J126" s="1020"/>
      <c r="K126" s="1020">
        <f>COUNT(F123:F126)</f>
        <v>0</v>
      </c>
      <c r="L126" s="1085">
        <f>SUM(F123:F126)</f>
        <v>0</v>
      </c>
      <c r="M126" s="1022">
        <f>IF(L126&lt;2,0,1)</f>
        <v>0</v>
      </c>
      <c r="O126" s="725"/>
      <c r="P126" s="726">
        <f>COUNTA(F123:F126)</f>
        <v>4</v>
      </c>
    </row>
    <row r="127" spans="1:16" s="728" customFormat="1" ht="22" thickTop="1" thickBot="1">
      <c r="A127" s="1023"/>
      <c r="B127" s="1088"/>
      <c r="C127" s="1089"/>
      <c r="D127" s="1089"/>
      <c r="E127" s="1090"/>
      <c r="F127" s="1026"/>
      <c r="G127" s="1091"/>
      <c r="H127" s="1091"/>
      <c r="I127" s="1090"/>
      <c r="J127" s="1027"/>
      <c r="K127" s="1027"/>
      <c r="L127" s="1089"/>
      <c r="M127" s="1028"/>
      <c r="O127" s="733"/>
      <c r="P127" s="732"/>
    </row>
    <row r="128" spans="1:16" s="716" customFormat="1" ht="155" thickTop="1">
      <c r="A128" s="2455" t="s">
        <v>1185</v>
      </c>
      <c r="B128" s="1086" t="s">
        <v>2181</v>
      </c>
      <c r="C128" s="1087">
        <v>3</v>
      </c>
      <c r="D128" s="1087">
        <v>5</v>
      </c>
      <c r="E128" s="1080" t="s">
        <v>1496</v>
      </c>
      <c r="F128" s="1019" t="str">
        <f>IF(Scoring!I137="","",Scoring!I137)</f>
        <v/>
      </c>
      <c r="G128" s="1081"/>
      <c r="H128" s="1081"/>
      <c r="I128" s="1082" t="s">
        <v>2182</v>
      </c>
      <c r="J128" s="1020"/>
      <c r="K128" s="1020"/>
      <c r="L128" s="1083"/>
      <c r="M128" s="1084"/>
      <c r="O128" s="729"/>
      <c r="P128" s="730"/>
    </row>
    <row r="129" spans="1:16" s="716" customFormat="1" ht="182">
      <c r="A129" s="2456"/>
      <c r="B129" s="1086" t="s">
        <v>2183</v>
      </c>
      <c r="C129" s="1087">
        <v>3</v>
      </c>
      <c r="D129" s="1087">
        <v>4</v>
      </c>
      <c r="E129" s="1080" t="s">
        <v>1499</v>
      </c>
      <c r="F129" s="1019" t="str">
        <f>IF(Scoring!I138="","",Scoring!I138)</f>
        <v/>
      </c>
      <c r="G129" s="1081"/>
      <c r="H129" s="1081"/>
      <c r="I129" s="1082" t="s">
        <v>2184</v>
      </c>
      <c r="J129" s="1020"/>
      <c r="K129" s="1020"/>
      <c r="L129" s="1083"/>
      <c r="M129" s="1084"/>
      <c r="O129" s="723"/>
      <c r="P129" s="724"/>
    </row>
    <row r="130" spans="1:16" s="716" customFormat="1" ht="140">
      <c r="A130" s="2456"/>
      <c r="B130" s="1086" t="s">
        <v>2185</v>
      </c>
      <c r="C130" s="1087">
        <v>3</v>
      </c>
      <c r="D130" s="1087">
        <v>5</v>
      </c>
      <c r="E130" s="1080" t="s">
        <v>2186</v>
      </c>
      <c r="F130" s="1019" t="str">
        <f>IF(Scoring!I139="","",Scoring!I139)</f>
        <v/>
      </c>
      <c r="G130" s="1081"/>
      <c r="H130" s="1081"/>
      <c r="I130" s="1082" t="s">
        <v>2187</v>
      </c>
      <c r="J130" s="1020"/>
      <c r="K130" s="1020"/>
      <c r="L130" s="1083"/>
      <c r="M130" s="1084"/>
      <c r="O130" s="723"/>
      <c r="P130" s="724"/>
    </row>
    <row r="131" spans="1:16" s="716" customFormat="1" ht="84">
      <c r="A131" s="2456"/>
      <c r="B131" s="1086" t="s">
        <v>2188</v>
      </c>
      <c r="C131" s="1087">
        <v>3</v>
      </c>
      <c r="D131" s="1087">
        <v>5</v>
      </c>
      <c r="E131" s="1080" t="s">
        <v>1502</v>
      </c>
      <c r="F131" s="1019" t="str">
        <f>IF(Scoring!I140="","",Scoring!I140)</f>
        <v/>
      </c>
      <c r="G131" s="1081"/>
      <c r="H131" s="1081"/>
      <c r="I131" s="1082" t="s">
        <v>2189</v>
      </c>
      <c r="J131" s="1020"/>
      <c r="K131" s="1020"/>
      <c r="L131" s="1083"/>
      <c r="M131" s="1084"/>
      <c r="O131" s="723"/>
      <c r="P131" s="724"/>
    </row>
    <row r="132" spans="1:16" s="716" customFormat="1" ht="127" thickBot="1">
      <c r="A132" s="2456"/>
      <c r="B132" s="1086" t="s">
        <v>2190</v>
      </c>
      <c r="C132" s="1087">
        <v>2</v>
      </c>
      <c r="D132" s="1087">
        <v>3</v>
      </c>
      <c r="E132" s="1080" t="s">
        <v>1503</v>
      </c>
      <c r="F132" s="1019" t="str">
        <f>IF(Scoring!I141="","",Scoring!I141)</f>
        <v/>
      </c>
      <c r="G132" s="1081"/>
      <c r="H132" s="1081"/>
      <c r="I132" s="1082" t="s">
        <v>2191</v>
      </c>
      <c r="J132" s="1020"/>
      <c r="K132" s="1020">
        <f>COUNT(F128:F132)</f>
        <v>0</v>
      </c>
      <c r="L132" s="1085">
        <f>SUM(F128:F132)</f>
        <v>0</v>
      </c>
      <c r="M132" s="1022">
        <f>IF(L132&lt;3,0,1)</f>
        <v>0</v>
      </c>
      <c r="O132" s="725"/>
      <c r="P132" s="726">
        <f>COUNTA(F128:F132)</f>
        <v>5</v>
      </c>
    </row>
    <row r="133" spans="1:16" s="728" customFormat="1" ht="22" thickTop="1" thickBot="1">
      <c r="A133" s="1023"/>
      <c r="B133" s="1088"/>
      <c r="C133" s="1089"/>
      <c r="D133" s="1089"/>
      <c r="E133" s="1090"/>
      <c r="F133" s="1026"/>
      <c r="G133" s="1091"/>
      <c r="H133" s="1091"/>
      <c r="I133" s="1090"/>
      <c r="J133" s="1027"/>
      <c r="K133" s="1027"/>
      <c r="L133" s="1089"/>
      <c r="M133" s="1028"/>
      <c r="O133" s="733"/>
      <c r="P133" s="732"/>
    </row>
    <row r="134" spans="1:16" s="716" customFormat="1" ht="57" thickTop="1">
      <c r="A134" s="2455" t="s">
        <v>2192</v>
      </c>
      <c r="B134" s="1086" t="s">
        <v>2193</v>
      </c>
      <c r="C134" s="1087">
        <v>3</v>
      </c>
      <c r="D134" s="1087">
        <v>5</v>
      </c>
      <c r="E134" s="1080" t="s">
        <v>1504</v>
      </c>
      <c r="F134" s="1019" t="str">
        <f>IF(Scoring!I143="","",Scoring!I143)</f>
        <v/>
      </c>
      <c r="G134" s="1081"/>
      <c r="H134" s="1081"/>
      <c r="I134" s="1082" t="s">
        <v>2194</v>
      </c>
      <c r="J134" s="1020"/>
      <c r="K134" s="1020"/>
      <c r="L134" s="1083"/>
      <c r="M134" s="1084"/>
      <c r="O134" s="729"/>
      <c r="P134" s="730"/>
    </row>
    <row r="135" spans="1:16" s="716" customFormat="1" ht="98">
      <c r="A135" s="2456"/>
      <c r="B135" s="1086" t="s">
        <v>2195</v>
      </c>
      <c r="C135" s="1087">
        <v>2</v>
      </c>
      <c r="D135" s="1087">
        <v>5</v>
      </c>
      <c r="E135" s="1080" t="s">
        <v>1507</v>
      </c>
      <c r="F135" s="1019" t="str">
        <f>IF(Scoring!I144="","",Scoring!I144)</f>
        <v/>
      </c>
      <c r="G135" s="1081"/>
      <c r="H135" s="1081"/>
      <c r="I135" s="1082" t="s">
        <v>2196</v>
      </c>
      <c r="J135" s="1020"/>
      <c r="K135" s="1020"/>
      <c r="L135" s="1083"/>
      <c r="M135" s="1084"/>
      <c r="O135" s="723"/>
      <c r="P135" s="724"/>
    </row>
    <row r="136" spans="1:16" s="716" customFormat="1" ht="84">
      <c r="A136" s="2456"/>
      <c r="B136" s="1086" t="s">
        <v>2197</v>
      </c>
      <c r="C136" s="1087">
        <v>1</v>
      </c>
      <c r="D136" s="1087">
        <v>3</v>
      </c>
      <c r="E136" s="1080" t="s">
        <v>1510</v>
      </c>
      <c r="F136" s="1019" t="str">
        <f>IF(Scoring!I145="","",Scoring!I145)</f>
        <v/>
      </c>
      <c r="G136" s="1081"/>
      <c r="H136" s="1081"/>
      <c r="I136" s="1082" t="s">
        <v>2198</v>
      </c>
      <c r="J136" s="1020"/>
      <c r="K136" s="1020"/>
      <c r="L136" s="1083"/>
      <c r="M136" s="1084"/>
      <c r="O136" s="723"/>
      <c r="P136" s="724"/>
    </row>
    <row r="137" spans="1:16" s="716" customFormat="1" ht="98">
      <c r="A137" s="2456"/>
      <c r="B137" s="1086" t="s">
        <v>2199</v>
      </c>
      <c r="C137" s="1087">
        <v>3</v>
      </c>
      <c r="D137" s="1087">
        <v>4</v>
      </c>
      <c r="E137" s="1080" t="s">
        <v>1512</v>
      </c>
      <c r="F137" s="1019" t="str">
        <f>IF(Scoring!I146="","",Scoring!I146)</f>
        <v/>
      </c>
      <c r="G137" s="1081"/>
      <c r="H137" s="1081"/>
      <c r="I137" s="1082" t="s">
        <v>2200</v>
      </c>
      <c r="J137" s="1020"/>
      <c r="K137" s="1020"/>
      <c r="L137" s="1083"/>
      <c r="M137" s="1084"/>
      <c r="O137" s="723"/>
      <c r="P137" s="724"/>
    </row>
    <row r="138" spans="1:16" s="716" customFormat="1" ht="155" thickBot="1">
      <c r="A138" s="2456"/>
      <c r="B138" s="1086" t="s">
        <v>2201</v>
      </c>
      <c r="C138" s="1087">
        <v>3</v>
      </c>
      <c r="D138" s="1087">
        <v>4</v>
      </c>
      <c r="E138" s="1080" t="s">
        <v>1514</v>
      </c>
      <c r="F138" s="1019" t="str">
        <f>IF(Scoring!I147="","",Scoring!I147)</f>
        <v/>
      </c>
      <c r="G138" s="1081"/>
      <c r="H138" s="1081"/>
      <c r="I138" s="1082" t="s">
        <v>2202</v>
      </c>
      <c r="J138" s="1020"/>
      <c r="K138" s="1020">
        <f>COUNT(F134:F138)</f>
        <v>0</v>
      </c>
      <c r="L138" s="1085">
        <f>SUM(F134:F138)</f>
        <v>0</v>
      </c>
      <c r="M138" s="1022">
        <f>IF(L138&lt;3,0,1)</f>
        <v>0</v>
      </c>
      <c r="O138" s="725"/>
      <c r="P138" s="726">
        <f>COUNTA(F134:F138)</f>
        <v>5</v>
      </c>
    </row>
    <row r="139" spans="1:16" s="728" customFormat="1" ht="22" thickTop="1" thickBot="1">
      <c r="A139" s="1023"/>
      <c r="B139" s="1088"/>
      <c r="C139" s="1089"/>
      <c r="D139" s="1089"/>
      <c r="E139" s="1090"/>
      <c r="F139" s="1026"/>
      <c r="G139" s="1091"/>
      <c r="H139" s="1091"/>
      <c r="I139" s="1090"/>
      <c r="J139" s="1027"/>
      <c r="K139" s="1027"/>
      <c r="L139" s="1089"/>
      <c r="M139" s="1028"/>
      <c r="O139" s="733"/>
      <c r="P139" s="732"/>
    </row>
    <row r="140" spans="1:16" s="716" customFormat="1" ht="113" thickTop="1">
      <c r="A140" s="2455" t="s">
        <v>1183</v>
      </c>
      <c r="B140" s="1086" t="s">
        <v>2203</v>
      </c>
      <c r="C140" s="1087">
        <v>3</v>
      </c>
      <c r="D140" s="1087">
        <v>4</v>
      </c>
      <c r="E140" s="1080" t="s">
        <v>1516</v>
      </c>
      <c r="F140" s="1019" t="str">
        <f>IF(Scoring!I149="","",Scoring!I149)</f>
        <v/>
      </c>
      <c r="G140" s="1081"/>
      <c r="H140" s="1081"/>
      <c r="I140" s="1082" t="s">
        <v>2204</v>
      </c>
      <c r="J140" s="1020"/>
      <c r="K140" s="1020"/>
      <c r="L140" s="1083"/>
      <c r="M140" s="1084"/>
      <c r="O140" s="729"/>
      <c r="P140" s="730"/>
    </row>
    <row r="141" spans="1:16" s="716" customFormat="1" ht="56">
      <c r="A141" s="2456"/>
      <c r="B141" s="1086" t="s">
        <v>2205</v>
      </c>
      <c r="C141" s="1087">
        <v>3</v>
      </c>
      <c r="D141" s="1087">
        <v>5</v>
      </c>
      <c r="E141" s="1080" t="s">
        <v>1519</v>
      </c>
      <c r="F141" s="1019" t="str">
        <f>IF(Scoring!I150="","",Scoring!I150)</f>
        <v/>
      </c>
      <c r="G141" s="1081"/>
      <c r="H141" s="1081"/>
      <c r="I141" s="1082" t="s">
        <v>2206</v>
      </c>
      <c r="J141" s="1020"/>
      <c r="K141" s="1020"/>
      <c r="L141" s="1083"/>
      <c r="M141" s="1084"/>
      <c r="O141" s="723"/>
      <c r="P141" s="724"/>
    </row>
    <row r="142" spans="1:16" s="716" customFormat="1" ht="70">
      <c r="A142" s="2456"/>
      <c r="B142" s="1086" t="s">
        <v>2207</v>
      </c>
      <c r="C142" s="1087">
        <v>3</v>
      </c>
      <c r="D142" s="1087">
        <v>5</v>
      </c>
      <c r="E142" s="1080" t="s">
        <v>1521</v>
      </c>
      <c r="F142" s="1019" t="str">
        <f>IF(Scoring!I151="","",Scoring!I151)</f>
        <v/>
      </c>
      <c r="G142" s="1081"/>
      <c r="H142" s="1081"/>
      <c r="I142" s="1082" t="s">
        <v>2208</v>
      </c>
      <c r="J142" s="1020"/>
      <c r="K142" s="1020"/>
      <c r="L142" s="1083"/>
      <c r="M142" s="1084"/>
      <c r="O142" s="723"/>
      <c r="P142" s="724"/>
    </row>
    <row r="143" spans="1:16" s="716" customFormat="1" ht="56">
      <c r="A143" s="2456"/>
      <c r="B143" s="1086" t="s">
        <v>2209</v>
      </c>
      <c r="C143" s="1087">
        <v>4</v>
      </c>
      <c r="D143" s="1087">
        <v>5</v>
      </c>
      <c r="E143" s="1080" t="s">
        <v>1523</v>
      </c>
      <c r="F143" s="1019" t="str">
        <f>IF(Scoring!I152="","",Scoring!I152)</f>
        <v/>
      </c>
      <c r="G143" s="1081"/>
      <c r="H143" s="1081"/>
      <c r="I143" s="1082" t="s">
        <v>2210</v>
      </c>
      <c r="J143" s="1020"/>
      <c r="K143" s="1020"/>
      <c r="L143" s="1083"/>
      <c r="M143" s="1084"/>
      <c r="O143" s="723"/>
      <c r="P143" s="724"/>
    </row>
    <row r="144" spans="1:16" s="716" customFormat="1" ht="71" thickBot="1">
      <c r="A144" s="2456"/>
      <c r="B144" s="1086" t="s">
        <v>2211</v>
      </c>
      <c r="C144" s="1087">
        <v>3</v>
      </c>
      <c r="D144" s="1087">
        <v>5</v>
      </c>
      <c r="E144" s="1080" t="s">
        <v>1524</v>
      </c>
      <c r="F144" s="1019" t="str">
        <f>IF(Scoring!I153="","",Scoring!I153)</f>
        <v/>
      </c>
      <c r="G144" s="1081"/>
      <c r="H144" s="1081"/>
      <c r="I144" s="1082" t="s">
        <v>2212</v>
      </c>
      <c r="J144" s="1020"/>
      <c r="K144" s="1020">
        <f>COUNT(F140:F144)</f>
        <v>0</v>
      </c>
      <c r="L144" s="1085">
        <f>SUM(F140:F144)</f>
        <v>0</v>
      </c>
      <c r="M144" s="1022">
        <f>IF(L144&lt;3,0,1)</f>
        <v>0</v>
      </c>
      <c r="O144" s="725"/>
      <c r="P144" s="726">
        <f>COUNTA(F140:F144)</f>
        <v>5</v>
      </c>
    </row>
    <row r="145" spans="1:16" s="728" customFormat="1" ht="22" thickTop="1" thickBot="1">
      <c r="A145" s="1023"/>
      <c r="B145" s="1088"/>
      <c r="C145" s="1089"/>
      <c r="D145" s="1089"/>
      <c r="E145" s="1090"/>
      <c r="F145" s="1026"/>
      <c r="G145" s="1091"/>
      <c r="H145" s="1091"/>
      <c r="I145" s="1090"/>
      <c r="J145" s="1027"/>
      <c r="K145" s="1027"/>
      <c r="L145" s="1089"/>
      <c r="M145" s="1028"/>
      <c r="O145" s="733"/>
      <c r="P145" s="732"/>
    </row>
    <row r="146" spans="1:16" s="716" customFormat="1" ht="113" thickTop="1">
      <c r="A146" s="2455" t="s">
        <v>1205</v>
      </c>
      <c r="B146" s="1086" t="s">
        <v>2213</v>
      </c>
      <c r="C146" s="1087">
        <v>3</v>
      </c>
      <c r="D146" s="1087">
        <v>4</v>
      </c>
      <c r="E146" s="1080" t="s">
        <v>1525</v>
      </c>
      <c r="F146" s="1019" t="str">
        <f>IF(Scoring!I155="","",Scoring!I155)</f>
        <v/>
      </c>
      <c r="G146" s="1081"/>
      <c r="H146" s="1081"/>
      <c r="I146" s="1082" t="s">
        <v>2214</v>
      </c>
      <c r="J146" s="1020"/>
      <c r="K146" s="1020"/>
      <c r="L146" s="1083"/>
      <c r="M146" s="1084"/>
      <c r="O146" s="729" t="s">
        <v>2215</v>
      </c>
      <c r="P146" s="730"/>
    </row>
    <row r="147" spans="1:16" s="716" customFormat="1" ht="182">
      <c r="A147" s="2456"/>
      <c r="B147" s="1086" t="s">
        <v>2216</v>
      </c>
      <c r="C147" s="1087">
        <v>3</v>
      </c>
      <c r="D147" s="1087">
        <v>3</v>
      </c>
      <c r="E147" s="1080" t="s">
        <v>1528</v>
      </c>
      <c r="F147" s="1019" t="str">
        <f>IF(Scoring!I156="","",Scoring!I156)</f>
        <v/>
      </c>
      <c r="G147" s="1081"/>
      <c r="H147" s="1081"/>
      <c r="I147" s="1082" t="s">
        <v>2217</v>
      </c>
      <c r="J147" s="1020"/>
      <c r="K147" s="1020"/>
      <c r="L147" s="1083"/>
      <c r="M147" s="1084"/>
      <c r="O147" s="723"/>
      <c r="P147" s="724"/>
    </row>
    <row r="148" spans="1:16" s="716" customFormat="1" ht="126">
      <c r="A148" s="2456"/>
      <c r="B148" s="1086" t="s">
        <v>2218</v>
      </c>
      <c r="C148" s="1087">
        <v>3</v>
      </c>
      <c r="D148" s="1087">
        <v>6</v>
      </c>
      <c r="E148" s="1080" t="s">
        <v>1530</v>
      </c>
      <c r="F148" s="1019" t="str">
        <f>IF(Scoring!I157="","",Scoring!I157)</f>
        <v/>
      </c>
      <c r="G148" s="1081"/>
      <c r="H148" s="1081"/>
      <c r="I148" s="1082" t="s">
        <v>2219</v>
      </c>
      <c r="J148" s="1020"/>
      <c r="K148" s="1020"/>
      <c r="L148" s="1083"/>
      <c r="M148" s="1084"/>
      <c r="O148" s="723"/>
      <c r="P148" s="724"/>
    </row>
    <row r="149" spans="1:16" s="716" customFormat="1" ht="169" thickBot="1">
      <c r="A149" s="2456"/>
      <c r="B149" s="1086" t="s">
        <v>2220</v>
      </c>
      <c r="C149" s="1087">
        <v>3</v>
      </c>
      <c r="D149" s="1087">
        <v>4</v>
      </c>
      <c r="E149" s="1080" t="s">
        <v>1532</v>
      </c>
      <c r="F149" s="1019" t="str">
        <f>IF(Scoring!I158="","",Scoring!I158)</f>
        <v/>
      </c>
      <c r="G149" s="1081"/>
      <c r="H149" s="1081"/>
      <c r="I149" s="1082" t="s">
        <v>2221</v>
      </c>
      <c r="J149" s="1020"/>
      <c r="K149" s="1020">
        <f>COUNT(F146:F149)</f>
        <v>0</v>
      </c>
      <c r="L149" s="1085">
        <f>SUM(F146:F149)</f>
        <v>0</v>
      </c>
      <c r="M149" s="1022">
        <f>IF(L149&lt;2,0,1)</f>
        <v>0</v>
      </c>
      <c r="O149" s="725" t="s">
        <v>2222</v>
      </c>
      <c r="P149" s="726">
        <f>COUNTA(F146:F149)</f>
        <v>4</v>
      </c>
    </row>
    <row r="150" spans="1:16" s="728" customFormat="1" ht="22" thickTop="1" thickBot="1">
      <c r="A150" s="1023"/>
      <c r="B150" s="1088"/>
      <c r="C150" s="1089"/>
      <c r="D150" s="1089"/>
      <c r="E150" s="1090"/>
      <c r="F150" s="1026"/>
      <c r="G150" s="1091"/>
      <c r="H150" s="1091"/>
      <c r="I150" s="1090"/>
      <c r="J150" s="1027"/>
      <c r="K150" s="1027"/>
      <c r="L150" s="1089"/>
      <c r="M150" s="1028"/>
      <c r="O150" s="733"/>
      <c r="P150" s="732"/>
    </row>
    <row r="151" spans="1:16" s="716" customFormat="1" ht="127" thickTop="1">
      <c r="A151" s="2455" t="s">
        <v>1184</v>
      </c>
      <c r="B151" s="1086" t="s">
        <v>2223</v>
      </c>
      <c r="C151" s="1087">
        <v>3</v>
      </c>
      <c r="D151" s="1087">
        <v>5</v>
      </c>
      <c r="E151" s="1080" t="s">
        <v>1533</v>
      </c>
      <c r="F151" s="1019" t="str">
        <f>IF(Scoring!I160="","",Scoring!I160)</f>
        <v/>
      </c>
      <c r="G151" s="1081"/>
      <c r="H151" s="1081"/>
      <c r="I151" s="1082" t="s">
        <v>2224</v>
      </c>
      <c r="J151" s="1020"/>
      <c r="K151" s="1020"/>
      <c r="L151" s="1083"/>
      <c r="M151" s="1084"/>
      <c r="O151" s="729"/>
      <c r="P151" s="730"/>
    </row>
    <row r="152" spans="1:16" s="716" customFormat="1" ht="84">
      <c r="A152" s="2456"/>
      <c r="B152" s="1086" t="s">
        <v>2225</v>
      </c>
      <c r="C152" s="1087">
        <v>3</v>
      </c>
      <c r="D152" s="1087">
        <v>5</v>
      </c>
      <c r="E152" s="1080" t="s">
        <v>1536</v>
      </c>
      <c r="F152" s="1019" t="str">
        <f>IF(Scoring!I161="","",Scoring!I161)</f>
        <v/>
      </c>
      <c r="G152" s="1081"/>
      <c r="H152" s="1081"/>
      <c r="I152" s="1082" t="s">
        <v>2226</v>
      </c>
      <c r="J152" s="1020"/>
      <c r="K152" s="1020"/>
      <c r="L152" s="1083"/>
      <c r="M152" s="1084"/>
      <c r="O152" s="723"/>
      <c r="P152" s="724"/>
    </row>
    <row r="153" spans="1:16" s="716" customFormat="1" ht="56">
      <c r="A153" s="2456"/>
      <c r="B153" s="1086" t="s">
        <v>2227</v>
      </c>
      <c r="C153" s="1087">
        <v>4</v>
      </c>
      <c r="D153" s="1087">
        <v>5</v>
      </c>
      <c r="E153" s="1080" t="s">
        <v>2228</v>
      </c>
      <c r="F153" s="1019" t="str">
        <f>IF(Scoring!I162="","",Scoring!I162)</f>
        <v/>
      </c>
      <c r="G153" s="1081"/>
      <c r="H153" s="1081"/>
      <c r="I153" s="1082" t="s">
        <v>2229</v>
      </c>
      <c r="J153" s="1020"/>
      <c r="K153" s="1020"/>
      <c r="L153" s="1083"/>
      <c r="M153" s="1084"/>
      <c r="O153" s="723"/>
      <c r="P153" s="724"/>
    </row>
    <row r="154" spans="1:16" s="716" customFormat="1" ht="56">
      <c r="A154" s="2456"/>
      <c r="B154" s="1086" t="s">
        <v>2230</v>
      </c>
      <c r="C154" s="1087">
        <v>3</v>
      </c>
      <c r="D154" s="1087">
        <v>4</v>
      </c>
      <c r="E154" s="1080" t="s">
        <v>1542</v>
      </c>
      <c r="F154" s="1019" t="str">
        <f>IF(Scoring!I163="","",Scoring!I163)</f>
        <v/>
      </c>
      <c r="G154" s="1081"/>
      <c r="H154" s="1081"/>
      <c r="I154" s="1082" t="s">
        <v>2231</v>
      </c>
      <c r="J154" s="1020"/>
      <c r="K154" s="1020"/>
      <c r="L154" s="1083"/>
      <c r="M154" s="1084"/>
      <c r="O154" s="723"/>
      <c r="P154" s="724"/>
    </row>
    <row r="155" spans="1:16" s="716" customFormat="1" ht="70">
      <c r="A155" s="2456"/>
      <c r="B155" s="1086" t="s">
        <v>2232</v>
      </c>
      <c r="C155" s="1087">
        <v>3</v>
      </c>
      <c r="D155" s="1087">
        <v>4</v>
      </c>
      <c r="E155" s="1080" t="s">
        <v>1544</v>
      </c>
      <c r="F155" s="1019" t="str">
        <f>IF(Scoring!I164="","",Scoring!I164)</f>
        <v/>
      </c>
      <c r="G155" s="1081"/>
      <c r="H155" s="1081"/>
      <c r="I155" s="1082" t="s">
        <v>2233</v>
      </c>
      <c r="J155" s="1020"/>
      <c r="K155" s="1020"/>
      <c r="L155" s="1083"/>
      <c r="M155" s="1084"/>
      <c r="O155" s="723"/>
      <c r="P155" s="724"/>
    </row>
    <row r="156" spans="1:16" s="716" customFormat="1" ht="99" thickBot="1">
      <c r="A156" s="2456"/>
      <c r="B156" s="1086" t="s">
        <v>2234</v>
      </c>
      <c r="C156" s="1087">
        <v>3</v>
      </c>
      <c r="D156" s="1087">
        <v>6</v>
      </c>
      <c r="E156" s="1080" t="s">
        <v>1546</v>
      </c>
      <c r="F156" s="1019" t="str">
        <f>IF(Scoring!I165="","",Scoring!I165)</f>
        <v/>
      </c>
      <c r="G156" s="1081"/>
      <c r="H156" s="1081"/>
      <c r="I156" s="1082" t="s">
        <v>2235</v>
      </c>
      <c r="J156" s="1020"/>
      <c r="K156" s="1020">
        <f>COUNT(F151:F156)</f>
        <v>0</v>
      </c>
      <c r="L156" s="1085">
        <f>SUM(F151:F156)</f>
        <v>0</v>
      </c>
      <c r="M156" s="1022">
        <f>IF(L156&lt;3,0,1)</f>
        <v>0</v>
      </c>
      <c r="O156" s="725"/>
      <c r="P156" s="726">
        <f>COUNTA(F151:F156)</f>
        <v>6</v>
      </c>
    </row>
    <row r="157" spans="1:16" s="728" customFormat="1" ht="22" thickTop="1" thickBot="1">
      <c r="A157" s="1023"/>
      <c r="B157" s="1088"/>
      <c r="C157" s="1089"/>
      <c r="D157" s="1089"/>
      <c r="E157" s="1090"/>
      <c r="F157" s="1026"/>
      <c r="G157" s="1091"/>
      <c r="H157" s="1091"/>
      <c r="I157" s="1090"/>
      <c r="J157" s="1027"/>
      <c r="K157" s="1027"/>
      <c r="L157" s="1089"/>
      <c r="M157" s="1028"/>
      <c r="O157" s="733"/>
      <c r="P157" s="732"/>
    </row>
    <row r="158" spans="1:16" s="716" customFormat="1" ht="99" thickTop="1">
      <c r="A158" s="2455" t="s">
        <v>2236</v>
      </c>
      <c r="B158" s="1086" t="s">
        <v>2237</v>
      </c>
      <c r="C158" s="1087">
        <v>3</v>
      </c>
      <c r="D158" s="1087">
        <v>4</v>
      </c>
      <c r="E158" s="1080" t="s">
        <v>1547</v>
      </c>
      <c r="F158" s="1019" t="str">
        <f>IF(Scoring!I167="","",Scoring!I167)</f>
        <v/>
      </c>
      <c r="G158" s="1081"/>
      <c r="H158" s="1081"/>
      <c r="I158" s="1082" t="s">
        <v>2238</v>
      </c>
      <c r="J158" s="1020"/>
      <c r="K158" s="1020"/>
      <c r="L158" s="1083"/>
      <c r="M158" s="1084"/>
      <c r="O158" s="729"/>
      <c r="P158" s="730"/>
    </row>
    <row r="159" spans="1:16" s="716" customFormat="1" ht="56">
      <c r="A159" s="2456"/>
      <c r="B159" s="1086" t="s">
        <v>2239</v>
      </c>
      <c r="C159" s="1087">
        <v>3</v>
      </c>
      <c r="D159" s="1087">
        <v>4</v>
      </c>
      <c r="E159" s="1080" t="s">
        <v>1549</v>
      </c>
      <c r="F159" s="1019" t="str">
        <f>IF(Scoring!I168="","",Scoring!I168)</f>
        <v/>
      </c>
      <c r="G159" s="1081"/>
      <c r="H159" s="1081"/>
      <c r="I159" s="1082" t="s">
        <v>2240</v>
      </c>
      <c r="J159" s="1020"/>
      <c r="K159" s="1020"/>
      <c r="L159" s="1083"/>
      <c r="M159" s="1084"/>
      <c r="O159" s="723"/>
      <c r="P159" s="724"/>
    </row>
    <row r="160" spans="1:16" s="716" customFormat="1" ht="56">
      <c r="A160" s="2456"/>
      <c r="B160" s="1086" t="s">
        <v>2241</v>
      </c>
      <c r="C160" s="1087">
        <v>3</v>
      </c>
      <c r="D160" s="1087">
        <v>4</v>
      </c>
      <c r="E160" s="1080" t="s">
        <v>2242</v>
      </c>
      <c r="F160" s="1019" t="str">
        <f>IF(Scoring!I169="","",Scoring!I169)</f>
        <v/>
      </c>
      <c r="G160" s="1081"/>
      <c r="H160" s="1081"/>
      <c r="I160" s="1082" t="s">
        <v>2243</v>
      </c>
      <c r="J160" s="1020"/>
      <c r="K160" s="1020"/>
      <c r="L160" s="1083"/>
      <c r="M160" s="1084"/>
      <c r="O160" s="723"/>
      <c r="P160" s="724"/>
    </row>
    <row r="161" spans="1:259" s="716" customFormat="1" ht="140">
      <c r="A161" s="2456"/>
      <c r="B161" s="1086" t="s">
        <v>2244</v>
      </c>
      <c r="C161" s="1087">
        <v>3</v>
      </c>
      <c r="D161" s="1087">
        <v>4</v>
      </c>
      <c r="E161" s="1080" t="s">
        <v>1551</v>
      </c>
      <c r="F161" s="1019" t="str">
        <f>IF(Scoring!I170="","",Scoring!I170)</f>
        <v/>
      </c>
      <c r="G161" s="1081"/>
      <c r="H161" s="1081"/>
      <c r="I161" s="1082" t="s">
        <v>2245</v>
      </c>
      <c r="J161" s="1020"/>
      <c r="K161" s="1020"/>
      <c r="L161" s="1083"/>
      <c r="M161" s="1084"/>
      <c r="O161" s="723" t="s">
        <v>2246</v>
      </c>
      <c r="P161" s="724"/>
    </row>
    <row r="162" spans="1:259" s="716" customFormat="1" ht="57" thickBot="1">
      <c r="A162" s="2456"/>
      <c r="B162" s="1086" t="s">
        <v>2247</v>
      </c>
      <c r="C162" s="1087">
        <v>3</v>
      </c>
      <c r="D162" s="1087">
        <v>4</v>
      </c>
      <c r="E162" s="1080" t="s">
        <v>1552</v>
      </c>
      <c r="F162" s="1019" t="str">
        <f>IF(Scoring!I171="","",Scoring!I171)</f>
        <v/>
      </c>
      <c r="G162" s="1081"/>
      <c r="H162" s="1081"/>
      <c r="I162" s="1082" t="s">
        <v>2248</v>
      </c>
      <c r="J162" s="1020"/>
      <c r="K162" s="1020">
        <f>COUNT(F158:F162)</f>
        <v>0</v>
      </c>
      <c r="L162" s="1085">
        <f>SUM(F158:F162)</f>
        <v>0</v>
      </c>
      <c r="M162" s="1022">
        <f>IF(L162&lt;3,0,1)</f>
        <v>0</v>
      </c>
      <c r="O162" s="725"/>
      <c r="P162" s="726">
        <f>COUNTA(F158:F162)</f>
        <v>5</v>
      </c>
    </row>
    <row r="163" spans="1:259" s="728" customFormat="1" ht="22" thickTop="1" thickBot="1">
      <c r="A163" s="1023"/>
      <c r="B163" s="1088"/>
      <c r="C163" s="1089"/>
      <c r="D163" s="1089"/>
      <c r="E163" s="1090"/>
      <c r="F163" s="1026"/>
      <c r="G163" s="1091"/>
      <c r="H163" s="1091"/>
      <c r="I163" s="1090"/>
      <c r="J163" s="1027"/>
      <c r="K163" s="1027"/>
      <c r="L163" s="1089"/>
      <c r="M163" s="1028"/>
      <c r="O163" s="733"/>
      <c r="P163" s="732"/>
    </row>
    <row r="164" spans="1:259" s="716" customFormat="1" ht="127" thickTop="1">
      <c r="A164" s="2455" t="s">
        <v>1181</v>
      </c>
      <c r="B164" s="1086" t="s">
        <v>2249</v>
      </c>
      <c r="C164" s="1087">
        <v>3</v>
      </c>
      <c r="D164" s="1087">
        <v>4</v>
      </c>
      <c r="E164" s="1080" t="s">
        <v>1553</v>
      </c>
      <c r="F164" s="1019" t="str">
        <f>IF(Scoring!I173="","",Scoring!I173)</f>
        <v/>
      </c>
      <c r="G164" s="1081"/>
      <c r="H164" s="1081"/>
      <c r="I164" s="1082" t="s">
        <v>2250</v>
      </c>
      <c r="J164" s="1020"/>
      <c r="K164" s="1020"/>
      <c r="L164" s="1083"/>
      <c r="M164" s="1084"/>
      <c r="O164" s="729"/>
      <c r="P164" s="730"/>
    </row>
    <row r="165" spans="1:259" ht="126" customHeight="1">
      <c r="A165" s="2456"/>
      <c r="B165" s="1086" t="s">
        <v>2251</v>
      </c>
      <c r="C165" s="1087">
        <v>3</v>
      </c>
      <c r="D165" s="1087">
        <v>4</v>
      </c>
      <c r="E165" s="1080" t="s">
        <v>1554</v>
      </c>
      <c r="F165" s="1019" t="str">
        <f>IF(Scoring!I174="","",Scoring!I174)</f>
        <v/>
      </c>
      <c r="G165" s="1081"/>
      <c r="H165" s="1081"/>
      <c r="I165" s="1082" t="s">
        <v>2252</v>
      </c>
      <c r="J165" s="1020"/>
      <c r="K165" s="1020"/>
      <c r="L165" s="1083"/>
      <c r="M165" s="1084"/>
      <c r="O165" s="723"/>
      <c r="P165" s="724"/>
    </row>
    <row r="166" spans="1:259" ht="70">
      <c r="A166" s="2456"/>
      <c r="B166" s="1086" t="s">
        <v>2253</v>
      </c>
      <c r="C166" s="1087">
        <v>3</v>
      </c>
      <c r="D166" s="1087">
        <v>4</v>
      </c>
      <c r="E166" s="1080" t="s">
        <v>1555</v>
      </c>
      <c r="F166" s="1019" t="str">
        <f>IF(Scoring!I175="","",Scoring!I175)</f>
        <v/>
      </c>
      <c r="G166" s="1081"/>
      <c r="H166" s="1081"/>
      <c r="I166" s="1082" t="s">
        <v>2254</v>
      </c>
      <c r="J166" s="1020"/>
      <c r="K166" s="1020"/>
      <c r="L166" s="1083"/>
      <c r="M166" s="1084"/>
      <c r="O166" s="723"/>
      <c r="P166" s="724"/>
    </row>
    <row r="167" spans="1:259" ht="84">
      <c r="A167" s="2456"/>
      <c r="B167" s="1086" t="s">
        <v>2255</v>
      </c>
      <c r="C167" s="1087">
        <v>3</v>
      </c>
      <c r="D167" s="1087">
        <v>4</v>
      </c>
      <c r="E167" s="1080" t="s">
        <v>1558</v>
      </c>
      <c r="F167" s="1019" t="str">
        <f>IF(Scoring!I176="","",Scoring!I176)</f>
        <v/>
      </c>
      <c r="G167" s="1081"/>
      <c r="H167" s="1081"/>
      <c r="I167" s="1082" t="s">
        <v>2256</v>
      </c>
      <c r="J167" s="1020"/>
      <c r="K167" s="1020"/>
      <c r="L167" s="1083"/>
      <c r="M167" s="1084"/>
      <c r="O167" s="723"/>
      <c r="P167" s="724"/>
    </row>
    <row r="168" spans="1:259" ht="85" customHeight="1" thickBot="1">
      <c r="A168" s="2456"/>
      <c r="B168" s="1086" t="s">
        <v>2257</v>
      </c>
      <c r="C168" s="1087">
        <v>2</v>
      </c>
      <c r="D168" s="1087">
        <v>3</v>
      </c>
      <c r="E168" s="1080" t="s">
        <v>2258</v>
      </c>
      <c r="F168" s="1019" t="str">
        <f>IF(Scoring!I177="","",Scoring!I177)</f>
        <v/>
      </c>
      <c r="G168" s="1081"/>
      <c r="H168" s="1081"/>
      <c r="I168" s="1082" t="s">
        <v>2259</v>
      </c>
      <c r="J168" s="1020"/>
      <c r="K168" s="1020">
        <f>COUNT(F164:F168)</f>
        <v>0</v>
      </c>
      <c r="L168" s="1085">
        <f>SUM(F164:F168)</f>
        <v>0</v>
      </c>
      <c r="M168" s="1022">
        <f>IF(L168&lt;3,0,1)</f>
        <v>0</v>
      </c>
      <c r="O168" s="725"/>
      <c r="P168" s="726">
        <f>COUNTA(F164:F168)</f>
        <v>5</v>
      </c>
    </row>
    <row r="169" spans="1:259" s="737" customFormat="1" ht="25.25" customHeight="1" thickTop="1" thickBot="1">
      <c r="A169" s="1023"/>
      <c r="B169" s="1088"/>
      <c r="C169" s="1089"/>
      <c r="D169" s="1089"/>
      <c r="E169" s="1090"/>
      <c r="F169" s="1026"/>
      <c r="G169" s="1091"/>
      <c r="H169" s="1091"/>
      <c r="I169" s="1090"/>
      <c r="J169" s="1027"/>
      <c r="K169" s="1027"/>
      <c r="L169" s="1089"/>
      <c r="M169" s="1028"/>
      <c r="N169" s="728"/>
      <c r="O169" s="733"/>
      <c r="P169" s="732"/>
      <c r="Q169" s="728"/>
      <c r="R169" s="728"/>
      <c r="S169" s="728"/>
      <c r="T169" s="728"/>
      <c r="U169" s="728"/>
      <c r="V169" s="728"/>
      <c r="W169" s="728"/>
      <c r="X169" s="728"/>
      <c r="Y169" s="728"/>
      <c r="Z169" s="728"/>
      <c r="AA169" s="728"/>
      <c r="AB169" s="728"/>
      <c r="AC169" s="728"/>
      <c r="AD169" s="728"/>
      <c r="AE169" s="728"/>
      <c r="AF169" s="728"/>
      <c r="AG169" s="728"/>
      <c r="AH169" s="728"/>
      <c r="AI169" s="728"/>
      <c r="AJ169" s="728"/>
      <c r="AK169" s="728"/>
      <c r="AL169" s="728"/>
      <c r="AM169" s="728"/>
      <c r="AN169" s="728"/>
      <c r="AO169" s="728"/>
      <c r="AP169" s="728"/>
      <c r="AQ169" s="728"/>
      <c r="AR169" s="728"/>
      <c r="AS169" s="728"/>
      <c r="AT169" s="728"/>
      <c r="AU169" s="728"/>
      <c r="AV169" s="728"/>
      <c r="AW169" s="728"/>
      <c r="AX169" s="728"/>
      <c r="AY169" s="728"/>
      <c r="AZ169" s="728"/>
      <c r="BA169" s="728"/>
      <c r="BB169" s="728"/>
      <c r="BC169" s="728"/>
      <c r="BD169" s="728"/>
      <c r="BE169" s="728"/>
      <c r="BF169" s="728"/>
      <c r="BG169" s="728"/>
      <c r="BH169" s="728"/>
      <c r="BI169" s="728"/>
      <c r="BJ169" s="728"/>
      <c r="BK169" s="728"/>
      <c r="BL169" s="728"/>
      <c r="BM169" s="728"/>
      <c r="BN169" s="728"/>
      <c r="BO169" s="728"/>
      <c r="BP169" s="728"/>
      <c r="BQ169" s="728"/>
      <c r="BR169" s="728"/>
      <c r="BS169" s="728"/>
      <c r="BT169" s="728"/>
      <c r="BU169" s="728"/>
      <c r="BV169" s="728"/>
      <c r="BW169" s="728"/>
      <c r="BX169" s="728"/>
      <c r="BY169" s="728"/>
      <c r="BZ169" s="728"/>
      <c r="CA169" s="728"/>
      <c r="CB169" s="728"/>
      <c r="CC169" s="728"/>
      <c r="CD169" s="728"/>
      <c r="CE169" s="728"/>
      <c r="CF169" s="728"/>
      <c r="CG169" s="728"/>
      <c r="CH169" s="728"/>
      <c r="CI169" s="728"/>
      <c r="CJ169" s="728"/>
      <c r="CK169" s="728"/>
      <c r="CL169" s="728"/>
      <c r="CM169" s="728"/>
      <c r="CN169" s="728"/>
      <c r="CO169" s="728"/>
      <c r="CP169" s="728"/>
      <c r="CQ169" s="728"/>
      <c r="CR169" s="728"/>
      <c r="CS169" s="728"/>
      <c r="CT169" s="728"/>
      <c r="CU169" s="728"/>
      <c r="CV169" s="728"/>
      <c r="CW169" s="728"/>
      <c r="CX169" s="728"/>
      <c r="CY169" s="728"/>
      <c r="CZ169" s="728"/>
      <c r="DA169" s="728"/>
      <c r="DB169" s="728"/>
      <c r="DC169" s="728"/>
      <c r="DD169" s="728"/>
      <c r="DE169" s="728"/>
      <c r="DF169" s="728"/>
      <c r="DG169" s="728"/>
      <c r="DH169" s="728"/>
      <c r="DI169" s="728"/>
      <c r="DJ169" s="728"/>
      <c r="DK169" s="728"/>
      <c r="DL169" s="728"/>
      <c r="DM169" s="728"/>
      <c r="DN169" s="728"/>
      <c r="DO169" s="728"/>
      <c r="DP169" s="728"/>
      <c r="DQ169" s="728"/>
      <c r="DR169" s="728"/>
      <c r="DS169" s="728"/>
      <c r="DT169" s="728"/>
      <c r="DU169" s="728"/>
      <c r="DV169" s="728"/>
      <c r="DW169" s="728"/>
      <c r="DX169" s="728"/>
      <c r="DY169" s="728"/>
      <c r="DZ169" s="728"/>
      <c r="EA169" s="728"/>
      <c r="EB169" s="728"/>
      <c r="EC169" s="728"/>
      <c r="ED169" s="728"/>
      <c r="EE169" s="728"/>
      <c r="EF169" s="728"/>
      <c r="EG169" s="728"/>
      <c r="EH169" s="728"/>
      <c r="EI169" s="728"/>
      <c r="EJ169" s="728"/>
      <c r="EK169" s="728"/>
      <c r="EL169" s="728"/>
      <c r="EM169" s="728"/>
      <c r="EN169" s="728"/>
      <c r="EO169" s="728"/>
      <c r="EP169" s="728"/>
      <c r="EQ169" s="728"/>
      <c r="ER169" s="728"/>
      <c r="ES169" s="728"/>
      <c r="ET169" s="728"/>
      <c r="EU169" s="728"/>
      <c r="EV169" s="728"/>
      <c r="EW169" s="728"/>
      <c r="EX169" s="728"/>
      <c r="EY169" s="728"/>
      <c r="EZ169" s="728"/>
      <c r="FA169" s="728"/>
      <c r="FB169" s="728"/>
      <c r="FC169" s="728"/>
      <c r="FD169" s="728"/>
      <c r="FE169" s="728"/>
      <c r="FF169" s="728"/>
      <c r="FG169" s="728"/>
      <c r="FH169" s="728"/>
      <c r="FI169" s="728"/>
      <c r="FJ169" s="728"/>
      <c r="FK169" s="728"/>
      <c r="FL169" s="728"/>
      <c r="FM169" s="728"/>
      <c r="FN169" s="728"/>
      <c r="FO169" s="728"/>
      <c r="FP169" s="728"/>
      <c r="FQ169" s="728"/>
      <c r="FR169" s="728"/>
      <c r="FS169" s="728"/>
      <c r="FT169" s="728"/>
      <c r="FU169" s="728"/>
      <c r="FV169" s="728"/>
      <c r="FW169" s="728"/>
      <c r="FX169" s="728"/>
      <c r="FY169" s="728"/>
      <c r="FZ169" s="728"/>
      <c r="GA169" s="728"/>
      <c r="GB169" s="728"/>
      <c r="GC169" s="728"/>
      <c r="GD169" s="728"/>
      <c r="GE169" s="728"/>
      <c r="GF169" s="728"/>
      <c r="GG169" s="728"/>
      <c r="GH169" s="728"/>
      <c r="GI169" s="728"/>
      <c r="GJ169" s="728"/>
      <c r="GK169" s="728"/>
      <c r="GL169" s="728"/>
      <c r="GM169" s="728"/>
      <c r="GN169" s="728"/>
      <c r="GO169" s="728"/>
      <c r="GP169" s="728"/>
      <c r="GQ169" s="728"/>
      <c r="GR169" s="728"/>
      <c r="GS169" s="728"/>
      <c r="GT169" s="728"/>
      <c r="GU169" s="728"/>
      <c r="GV169" s="728"/>
      <c r="GW169" s="728"/>
      <c r="GX169" s="728"/>
      <c r="GY169" s="728"/>
      <c r="GZ169" s="728"/>
      <c r="HA169" s="728"/>
      <c r="HB169" s="728"/>
      <c r="HC169" s="728"/>
      <c r="HD169" s="728"/>
      <c r="HE169" s="728"/>
      <c r="HF169" s="728"/>
      <c r="HG169" s="728"/>
      <c r="HH169" s="728"/>
      <c r="HI169" s="728"/>
      <c r="HJ169" s="728"/>
      <c r="HK169" s="728"/>
      <c r="HL169" s="728"/>
      <c r="HM169" s="728"/>
      <c r="HN169" s="728"/>
      <c r="HO169" s="728"/>
      <c r="HP169" s="728"/>
      <c r="HQ169" s="728"/>
      <c r="HR169" s="728"/>
      <c r="HS169" s="728"/>
      <c r="HT169" s="728"/>
      <c r="HU169" s="728"/>
      <c r="HV169" s="728"/>
      <c r="HW169" s="728"/>
      <c r="HX169" s="728"/>
      <c r="HY169" s="728"/>
      <c r="HZ169" s="728"/>
      <c r="IA169" s="728"/>
      <c r="IB169" s="728"/>
      <c r="IC169" s="728"/>
      <c r="ID169" s="728"/>
      <c r="IE169" s="728"/>
      <c r="IF169" s="728"/>
      <c r="IG169" s="728"/>
      <c r="IH169" s="728"/>
      <c r="II169" s="728"/>
      <c r="IJ169" s="728"/>
      <c r="IK169" s="728"/>
      <c r="IL169" s="728"/>
      <c r="IM169" s="728"/>
      <c r="IN169" s="728"/>
      <c r="IO169" s="728"/>
      <c r="IP169" s="728"/>
      <c r="IQ169" s="728"/>
      <c r="IR169" s="728"/>
      <c r="IS169" s="728"/>
      <c r="IT169" s="728"/>
      <c r="IU169" s="728"/>
      <c r="IV169" s="728"/>
      <c r="IW169" s="728"/>
      <c r="IX169" s="728"/>
      <c r="IY169" s="728"/>
    </row>
    <row r="170" spans="1:259" ht="141" thickTop="1">
      <c r="A170" s="2455" t="s">
        <v>1206</v>
      </c>
      <c r="B170" s="1078" t="s">
        <v>1893</v>
      </c>
      <c r="C170" s="1079" t="s">
        <v>2033</v>
      </c>
      <c r="D170" s="1079" t="s">
        <v>2031</v>
      </c>
      <c r="E170" s="1080" t="s">
        <v>1562</v>
      </c>
      <c r="F170" s="1019" t="str">
        <f>IF(Scoring!I179="","",Scoring!I179)</f>
        <v/>
      </c>
      <c r="G170" s="1081"/>
      <c r="H170" s="1081"/>
      <c r="I170" s="1082" t="s">
        <v>2260</v>
      </c>
      <c r="J170" s="1020"/>
      <c r="K170" s="1020"/>
      <c r="L170" s="1094"/>
      <c r="M170" s="1095"/>
      <c r="O170" s="729"/>
      <c r="P170" s="738"/>
    </row>
    <row r="171" spans="1:259" ht="98">
      <c r="A171" s="2456"/>
      <c r="B171" s="1078" t="s">
        <v>1895</v>
      </c>
      <c r="C171" s="1079" t="s">
        <v>2030</v>
      </c>
      <c r="D171" s="1079" t="s">
        <v>2031</v>
      </c>
      <c r="E171" s="1080" t="s">
        <v>1565</v>
      </c>
      <c r="F171" s="1019" t="str">
        <f>IF(Scoring!I180="","",Scoring!I180)</f>
        <v/>
      </c>
      <c r="G171" s="1081"/>
      <c r="H171" s="1081"/>
      <c r="I171" s="1082" t="s">
        <v>2261</v>
      </c>
      <c r="J171" s="1020"/>
      <c r="K171" s="1020"/>
      <c r="L171" s="1094"/>
      <c r="M171" s="1095"/>
      <c r="O171" s="723"/>
      <c r="P171" s="739"/>
    </row>
    <row r="172" spans="1:259" ht="210" customHeight="1">
      <c r="A172" s="2456"/>
      <c r="B172" s="1078" t="s">
        <v>1896</v>
      </c>
      <c r="C172" s="1079" t="s">
        <v>2030</v>
      </c>
      <c r="D172" s="1079" t="s">
        <v>2031</v>
      </c>
      <c r="E172" s="1080" t="s">
        <v>1567</v>
      </c>
      <c r="F172" s="1019" t="str">
        <f>IF(Scoring!I181="","",Scoring!I181)</f>
        <v/>
      </c>
      <c r="G172" s="1081"/>
      <c r="H172" s="1081"/>
      <c r="I172" s="1082" t="s">
        <v>2262</v>
      </c>
      <c r="J172" s="1020"/>
      <c r="K172" s="1020"/>
      <c r="L172" s="1094"/>
      <c r="M172" s="1095"/>
      <c r="O172" s="723"/>
      <c r="P172" s="739"/>
    </row>
    <row r="173" spans="1:259" ht="113" thickBot="1">
      <c r="A173" s="2470"/>
      <c r="B173" s="1096" t="s">
        <v>1897</v>
      </c>
      <c r="C173" s="1097" t="s">
        <v>2033</v>
      </c>
      <c r="D173" s="1097" t="s">
        <v>2031</v>
      </c>
      <c r="E173" s="1098" t="s">
        <v>1570</v>
      </c>
      <c r="F173" s="1029" t="str">
        <f>IF(Scoring!I182="","",Scoring!I182)</f>
        <v/>
      </c>
      <c r="G173" s="1099"/>
      <c r="H173" s="1099"/>
      <c r="I173" s="1100" t="s">
        <v>2263</v>
      </c>
      <c r="J173" s="1030">
        <f>COUNT(F170:F173)</f>
        <v>0</v>
      </c>
      <c r="K173" s="1030"/>
      <c r="L173" s="1101">
        <f>SUM(F170:F173)</f>
        <v>0</v>
      </c>
      <c r="M173" s="1031">
        <f>IF(L173&lt;2,0,1)</f>
        <v>0</v>
      </c>
      <c r="O173" s="725"/>
      <c r="P173" s="726">
        <f>COUNTA(F170:F173)</f>
        <v>4</v>
      </c>
    </row>
    <row r="174" spans="1:259" ht="21" hidden="1" thickTop="1">
      <c r="A174" s="742"/>
      <c r="B174" s="1240"/>
      <c r="C174" s="1241"/>
      <c r="D174" s="1241"/>
      <c r="E174" s="1242"/>
      <c r="F174" s="1243"/>
      <c r="G174" s="1244"/>
      <c r="H174" s="1245"/>
      <c r="I174" s="1246"/>
      <c r="J174" s="1247"/>
      <c r="K174" s="1247"/>
      <c r="L174" s="1248"/>
      <c r="M174" s="1249"/>
      <c r="O174" s="1250"/>
      <c r="P174" s="1251"/>
    </row>
    <row r="175" spans="1:259" ht="20" hidden="1">
      <c r="A175" s="742"/>
      <c r="B175" s="1240"/>
      <c r="C175" s="1241"/>
      <c r="D175" s="1241"/>
      <c r="E175" s="1242"/>
      <c r="F175" s="1243"/>
      <c r="G175" s="1244"/>
      <c r="H175" s="1245"/>
      <c r="I175" s="1246"/>
      <c r="J175" s="1247"/>
      <c r="K175" s="1247"/>
      <c r="L175" s="1248"/>
      <c r="M175" s="1249"/>
      <c r="O175" s="1250"/>
      <c r="P175" s="1251"/>
    </row>
    <row r="176" spans="1:259" ht="20" hidden="1">
      <c r="A176" s="742"/>
      <c r="B176" s="1240"/>
      <c r="C176" s="1241"/>
      <c r="D176" s="1241"/>
      <c r="E176" s="1242"/>
      <c r="F176" s="1243"/>
      <c r="G176" s="1244"/>
      <c r="H176" s="1245"/>
      <c r="I176" s="1246"/>
      <c r="J176" s="1247"/>
      <c r="K176" s="1247"/>
      <c r="L176" s="1248"/>
      <c r="M176" s="1249"/>
      <c r="O176" s="1250"/>
      <c r="P176" s="1251"/>
    </row>
    <row r="177" spans="1:259" ht="20" hidden="1">
      <c r="A177" s="742"/>
      <c r="B177" s="1240"/>
      <c r="C177" s="1241"/>
      <c r="D177" s="1241"/>
      <c r="E177" s="1242"/>
      <c r="F177" s="1243"/>
      <c r="G177" s="1244"/>
      <c r="H177" s="1245"/>
      <c r="I177" s="1246"/>
      <c r="J177" s="1247"/>
      <c r="K177" s="1247"/>
      <c r="L177" s="1248"/>
      <c r="M177" s="1249"/>
      <c r="O177" s="1250"/>
      <c r="P177" s="1251"/>
    </row>
    <row r="178" spans="1:259" ht="20" hidden="1">
      <c r="A178" s="742"/>
      <c r="B178" s="1240"/>
      <c r="C178" s="1241"/>
      <c r="D178" s="1241"/>
      <c r="E178" s="1242"/>
      <c r="F178" s="1243"/>
      <c r="G178" s="1244"/>
      <c r="H178" s="1245"/>
      <c r="I178" s="1246"/>
      <c r="J178" s="1247"/>
      <c r="K178" s="1247"/>
      <c r="L178" s="1248"/>
      <c r="M178" s="1249"/>
      <c r="O178" s="1250"/>
      <c r="P178" s="1251"/>
    </row>
    <row r="179" spans="1:259" ht="20" hidden="1">
      <c r="A179" s="742"/>
      <c r="B179" s="1240"/>
      <c r="C179" s="1241"/>
      <c r="D179" s="1241"/>
      <c r="E179" s="1242"/>
      <c r="F179" s="1243"/>
      <c r="G179" s="1244"/>
      <c r="H179" s="1245"/>
      <c r="I179" s="1246"/>
      <c r="J179" s="1247"/>
      <c r="K179" s="1247"/>
      <c r="L179" s="1248"/>
      <c r="M179" s="1249"/>
      <c r="O179" s="1250"/>
      <c r="P179" s="1251"/>
    </row>
    <row r="180" spans="1:259" ht="20" hidden="1">
      <c r="A180" s="742"/>
      <c r="B180" s="1240"/>
      <c r="C180" s="1241"/>
      <c r="D180" s="1241"/>
      <c r="E180" s="1242"/>
      <c r="F180" s="1243"/>
      <c r="G180" s="1244"/>
      <c r="H180" s="1245"/>
      <c r="I180" s="1246"/>
      <c r="J180" s="1247"/>
      <c r="K180" s="1247"/>
      <c r="L180" s="1248"/>
      <c r="M180" s="1249"/>
      <c r="O180" s="1250"/>
      <c r="P180" s="1251"/>
    </row>
    <row r="181" spans="1:259" ht="20" hidden="1">
      <c r="A181" s="742"/>
      <c r="B181" s="1240"/>
      <c r="C181" s="1241"/>
      <c r="D181" s="1241"/>
      <c r="E181" s="1242"/>
      <c r="F181" s="1243"/>
      <c r="G181" s="1244"/>
      <c r="H181" s="1245"/>
      <c r="I181" s="1246"/>
      <c r="J181" s="1247"/>
      <c r="K181" s="1247"/>
      <c r="L181" s="1248"/>
      <c r="M181" s="1249"/>
      <c r="O181" s="1250"/>
      <c r="P181" s="1251"/>
    </row>
    <row r="182" spans="1:259" ht="20" hidden="1">
      <c r="A182" s="742"/>
      <c r="B182" s="1240"/>
      <c r="C182" s="1241"/>
      <c r="D182" s="1241"/>
      <c r="E182" s="1242"/>
      <c r="F182" s="1243"/>
      <c r="G182" s="1244"/>
      <c r="H182" s="1245"/>
      <c r="I182" s="1246"/>
      <c r="J182" s="1247"/>
      <c r="K182" s="1247"/>
      <c r="L182" s="1248"/>
      <c r="M182" s="1249"/>
      <c r="O182" s="1250"/>
      <c r="P182" s="1251"/>
    </row>
    <row r="183" spans="1:259" s="741" customFormat="1" ht="21" thickTop="1">
      <c r="A183" s="742"/>
      <c r="B183" s="743"/>
      <c r="C183" s="1009"/>
      <c r="D183" s="1009"/>
      <c r="E183" s="1010"/>
      <c r="F183" s="1032">
        <f>SUM(F5:F173)</f>
        <v>0</v>
      </c>
      <c r="G183" s="1033" t="s">
        <v>2264</v>
      </c>
      <c r="H183" s="1011"/>
      <c r="I183" s="1036" t="s">
        <v>2265</v>
      </c>
      <c r="J183" s="1037"/>
      <c r="K183" s="1037"/>
      <c r="L183" s="1038"/>
      <c r="M183" s="1039">
        <f>SUM(M5:M173)</f>
        <v>0</v>
      </c>
      <c r="N183" s="740"/>
      <c r="O183" s="740"/>
      <c r="P183" s="740"/>
      <c r="Q183" s="740"/>
      <c r="R183" s="740"/>
      <c r="S183" s="740"/>
      <c r="T183" s="740"/>
      <c r="U183" s="740"/>
      <c r="V183" s="740"/>
      <c r="W183" s="740"/>
      <c r="X183" s="740"/>
      <c r="Y183" s="740"/>
      <c r="Z183" s="740"/>
      <c r="AA183" s="740"/>
      <c r="AB183" s="740"/>
      <c r="AC183" s="740"/>
      <c r="AD183" s="740"/>
      <c r="AE183" s="740"/>
      <c r="AF183" s="740"/>
      <c r="AG183" s="740"/>
      <c r="AH183" s="740"/>
      <c r="AI183" s="740"/>
      <c r="AJ183" s="740"/>
      <c r="AK183" s="740"/>
      <c r="AL183" s="740"/>
      <c r="AM183" s="740"/>
      <c r="AN183" s="740"/>
      <c r="AO183" s="740"/>
      <c r="AP183" s="740"/>
      <c r="AQ183" s="740"/>
      <c r="AR183" s="740"/>
      <c r="AS183" s="740"/>
      <c r="AT183" s="740"/>
      <c r="AU183" s="740"/>
      <c r="AV183" s="740"/>
      <c r="AW183" s="740"/>
      <c r="AX183" s="740"/>
      <c r="AY183" s="740"/>
      <c r="AZ183" s="740"/>
      <c r="BA183" s="740"/>
      <c r="BB183" s="740"/>
      <c r="BC183" s="740"/>
      <c r="BD183" s="740"/>
      <c r="BE183" s="740"/>
      <c r="BF183" s="740"/>
      <c r="BG183" s="740"/>
      <c r="BH183" s="740"/>
      <c r="BI183" s="740"/>
      <c r="BJ183" s="740"/>
      <c r="BK183" s="740"/>
      <c r="BL183" s="740"/>
      <c r="BM183" s="740"/>
      <c r="BN183" s="740"/>
      <c r="BO183" s="740"/>
      <c r="BP183" s="740"/>
      <c r="BQ183" s="740"/>
      <c r="BR183" s="740"/>
      <c r="BS183" s="740"/>
      <c r="BT183" s="740"/>
      <c r="BU183" s="740"/>
      <c r="BV183" s="740"/>
      <c r="BW183" s="740"/>
      <c r="BX183" s="740"/>
      <c r="BY183" s="740"/>
      <c r="BZ183" s="740"/>
      <c r="CA183" s="740"/>
      <c r="CB183" s="740"/>
      <c r="CC183" s="740"/>
      <c r="CD183" s="740"/>
      <c r="CE183" s="740"/>
      <c r="CF183" s="740"/>
      <c r="CG183" s="740"/>
      <c r="CH183" s="740"/>
      <c r="CI183" s="740"/>
      <c r="CJ183" s="740"/>
      <c r="CK183" s="740"/>
      <c r="CL183" s="740"/>
      <c r="CM183" s="740"/>
      <c r="CN183" s="740"/>
      <c r="CO183" s="740"/>
      <c r="CP183" s="740"/>
      <c r="CQ183" s="740"/>
      <c r="CR183" s="740"/>
      <c r="CS183" s="740"/>
      <c r="CT183" s="740"/>
      <c r="CU183" s="740"/>
      <c r="CV183" s="740"/>
      <c r="CW183" s="740"/>
      <c r="CX183" s="740"/>
      <c r="CY183" s="740"/>
      <c r="CZ183" s="740"/>
      <c r="DA183" s="740"/>
      <c r="DB183" s="740"/>
      <c r="DC183" s="740"/>
      <c r="DD183" s="740"/>
      <c r="DE183" s="740"/>
      <c r="DF183" s="740"/>
      <c r="DG183" s="740"/>
      <c r="DH183" s="740"/>
      <c r="DI183" s="740"/>
      <c r="DJ183" s="740"/>
      <c r="DK183" s="740"/>
      <c r="DL183" s="740"/>
      <c r="DM183" s="740"/>
      <c r="DN183" s="740"/>
      <c r="DO183" s="740"/>
      <c r="DP183" s="740"/>
      <c r="DQ183" s="740"/>
      <c r="DR183" s="740"/>
      <c r="DS183" s="740"/>
      <c r="DT183" s="740"/>
      <c r="DU183" s="740"/>
      <c r="DV183" s="740"/>
      <c r="DW183" s="740"/>
      <c r="DX183" s="740"/>
      <c r="DY183" s="740"/>
      <c r="DZ183" s="740"/>
      <c r="EA183" s="740"/>
      <c r="EB183" s="740"/>
      <c r="EC183" s="740"/>
      <c r="ED183" s="740"/>
      <c r="EE183" s="740"/>
      <c r="EF183" s="740"/>
      <c r="EG183" s="740"/>
      <c r="EH183" s="740"/>
      <c r="EI183" s="740"/>
      <c r="EJ183" s="740"/>
      <c r="EK183" s="740"/>
      <c r="EL183" s="740"/>
      <c r="EM183" s="740"/>
      <c r="EN183" s="740"/>
      <c r="EO183" s="740"/>
      <c r="EP183" s="740"/>
      <c r="EQ183" s="740"/>
      <c r="ER183" s="740"/>
      <c r="ES183" s="740"/>
      <c r="ET183" s="740"/>
      <c r="EU183" s="740"/>
      <c r="EV183" s="740"/>
      <c r="EW183" s="740"/>
      <c r="EX183" s="740"/>
      <c r="EY183" s="740"/>
      <c r="EZ183" s="740"/>
      <c r="FA183" s="740"/>
      <c r="FB183" s="740"/>
      <c r="FC183" s="740"/>
      <c r="FD183" s="740"/>
      <c r="FE183" s="740"/>
      <c r="FF183" s="740"/>
      <c r="FG183" s="740"/>
      <c r="FH183" s="740"/>
      <c r="FI183" s="740"/>
      <c r="FJ183" s="740"/>
      <c r="FK183" s="740"/>
      <c r="FL183" s="740"/>
      <c r="FM183" s="740"/>
      <c r="FN183" s="740"/>
      <c r="FO183" s="740"/>
      <c r="FP183" s="740"/>
      <c r="FQ183" s="740"/>
      <c r="FR183" s="740"/>
      <c r="FS183" s="740"/>
      <c r="FT183" s="740"/>
      <c r="FU183" s="740"/>
      <c r="FV183" s="740"/>
      <c r="FW183" s="740"/>
      <c r="FX183" s="740"/>
      <c r="FY183" s="740"/>
      <c r="FZ183" s="740"/>
      <c r="GA183" s="740"/>
      <c r="GB183" s="740"/>
      <c r="GC183" s="740"/>
      <c r="GD183" s="740"/>
      <c r="GE183" s="740"/>
      <c r="GF183" s="740"/>
      <c r="GG183" s="740"/>
      <c r="GH183" s="740"/>
      <c r="GI183" s="740"/>
      <c r="GJ183" s="740"/>
      <c r="GK183" s="740"/>
      <c r="GL183" s="740"/>
      <c r="GM183" s="740"/>
      <c r="GN183" s="740"/>
      <c r="GO183" s="740"/>
      <c r="GP183" s="740"/>
      <c r="GQ183" s="740"/>
      <c r="GR183" s="740"/>
      <c r="GS183" s="740"/>
      <c r="GT183" s="740"/>
      <c r="GU183" s="740"/>
      <c r="GV183" s="740"/>
      <c r="GW183" s="740"/>
      <c r="GX183" s="740"/>
      <c r="GY183" s="740"/>
      <c r="GZ183" s="740"/>
      <c r="HA183" s="740"/>
      <c r="HB183" s="740"/>
      <c r="HC183" s="740"/>
      <c r="HD183" s="740"/>
      <c r="HE183" s="740"/>
      <c r="HF183" s="740"/>
      <c r="HG183" s="740"/>
      <c r="HH183" s="740"/>
      <c r="HI183" s="740"/>
      <c r="HJ183" s="740"/>
      <c r="HK183" s="740"/>
      <c r="HL183" s="740"/>
      <c r="HM183" s="740"/>
      <c r="HN183" s="740"/>
      <c r="HO183" s="740"/>
      <c r="HP183" s="740"/>
      <c r="HQ183" s="740"/>
      <c r="HR183" s="740"/>
      <c r="HS183" s="740"/>
      <c r="HT183" s="740"/>
      <c r="HU183" s="740"/>
      <c r="HV183" s="740"/>
      <c r="HW183" s="740"/>
      <c r="HX183" s="740"/>
      <c r="HY183" s="740"/>
      <c r="HZ183" s="740"/>
      <c r="IA183" s="740"/>
      <c r="IB183" s="740"/>
      <c r="IC183" s="740"/>
      <c r="ID183" s="740"/>
      <c r="IE183" s="740"/>
      <c r="IF183" s="740"/>
      <c r="IG183" s="740"/>
      <c r="IH183" s="740"/>
      <c r="II183" s="740"/>
      <c r="IJ183" s="740"/>
      <c r="IK183" s="740"/>
      <c r="IL183" s="740"/>
      <c r="IM183" s="740"/>
      <c r="IN183" s="740"/>
      <c r="IO183" s="740"/>
      <c r="IP183" s="740"/>
      <c r="IQ183" s="740"/>
      <c r="IR183" s="740"/>
      <c r="IS183" s="740"/>
      <c r="IT183" s="740"/>
      <c r="IU183" s="740"/>
      <c r="IV183" s="740"/>
      <c r="IW183" s="740"/>
      <c r="IX183" s="740"/>
      <c r="IY183" s="740"/>
    </row>
    <row r="184" spans="1:259" s="741" customFormat="1" ht="20">
      <c r="A184" s="742"/>
      <c r="B184" s="743"/>
      <c r="C184" s="744" t="s">
        <v>119</v>
      </c>
      <c r="D184" s="744" t="s">
        <v>2780</v>
      </c>
      <c r="E184" s="744"/>
      <c r="F184" s="1034">
        <f>COUNT(F5:F173)</f>
        <v>0</v>
      </c>
      <c r="G184" s="1035" t="s">
        <v>2266</v>
      </c>
      <c r="H184" s="1008"/>
      <c r="I184" s="1040" t="s">
        <v>2267</v>
      </c>
      <c r="J184" s="1041"/>
      <c r="K184" s="1041"/>
      <c r="L184" s="1042"/>
      <c r="M184" s="1043">
        <f>COUNTIF(P5:P173,"&gt;0")</f>
        <v>28</v>
      </c>
      <c r="N184" s="740"/>
      <c r="O184" s="740"/>
      <c r="P184" s="740"/>
      <c r="Q184" s="740"/>
      <c r="R184" s="740"/>
      <c r="S184" s="740"/>
      <c r="T184" s="740"/>
      <c r="U184" s="740"/>
      <c r="V184" s="740"/>
      <c r="W184" s="740"/>
      <c r="X184" s="740"/>
      <c r="Y184" s="740"/>
      <c r="Z184" s="740"/>
      <c r="AA184" s="740"/>
      <c r="AB184" s="740"/>
      <c r="AC184" s="740"/>
      <c r="AD184" s="740"/>
      <c r="AE184" s="740"/>
      <c r="AF184" s="740"/>
      <c r="AG184" s="740"/>
      <c r="AH184" s="740"/>
      <c r="AI184" s="740"/>
      <c r="AJ184" s="740"/>
      <c r="AK184" s="740"/>
      <c r="AL184" s="740"/>
      <c r="AM184" s="740"/>
      <c r="AN184" s="740"/>
      <c r="AO184" s="740"/>
      <c r="AP184" s="740"/>
      <c r="AQ184" s="740"/>
      <c r="AR184" s="740"/>
      <c r="AS184" s="740"/>
      <c r="AT184" s="740"/>
      <c r="AU184" s="740"/>
      <c r="AV184" s="740"/>
      <c r="AW184" s="740"/>
      <c r="AX184" s="740"/>
      <c r="AY184" s="740"/>
      <c r="AZ184" s="740"/>
      <c r="BA184" s="740"/>
      <c r="BB184" s="740"/>
      <c r="BC184" s="740"/>
      <c r="BD184" s="740"/>
      <c r="BE184" s="740"/>
      <c r="BF184" s="740"/>
      <c r="BG184" s="740"/>
      <c r="BH184" s="740"/>
      <c r="BI184" s="740"/>
      <c r="BJ184" s="740"/>
      <c r="BK184" s="740"/>
      <c r="BL184" s="740"/>
      <c r="BM184" s="740"/>
      <c r="BN184" s="740"/>
      <c r="BO184" s="740"/>
      <c r="BP184" s="740"/>
      <c r="BQ184" s="740"/>
      <c r="BR184" s="740"/>
      <c r="BS184" s="740"/>
      <c r="BT184" s="740"/>
      <c r="BU184" s="740"/>
      <c r="BV184" s="740"/>
      <c r="BW184" s="740"/>
      <c r="BX184" s="740"/>
      <c r="BY184" s="740"/>
      <c r="BZ184" s="740"/>
      <c r="CA184" s="740"/>
      <c r="CB184" s="740"/>
      <c r="CC184" s="740"/>
      <c r="CD184" s="740"/>
      <c r="CE184" s="740"/>
      <c r="CF184" s="740"/>
      <c r="CG184" s="740"/>
      <c r="CH184" s="740"/>
      <c r="CI184" s="740"/>
      <c r="CJ184" s="740"/>
      <c r="CK184" s="740"/>
      <c r="CL184" s="740"/>
      <c r="CM184" s="740"/>
      <c r="CN184" s="740"/>
      <c r="CO184" s="740"/>
      <c r="CP184" s="740"/>
      <c r="CQ184" s="740"/>
      <c r="CR184" s="740"/>
      <c r="CS184" s="740"/>
      <c r="CT184" s="740"/>
      <c r="CU184" s="740"/>
      <c r="CV184" s="740"/>
      <c r="CW184" s="740"/>
      <c r="CX184" s="740"/>
      <c r="CY184" s="740"/>
      <c r="CZ184" s="740"/>
      <c r="DA184" s="740"/>
      <c r="DB184" s="740"/>
      <c r="DC184" s="740"/>
      <c r="DD184" s="740"/>
      <c r="DE184" s="740"/>
      <c r="DF184" s="740"/>
      <c r="DG184" s="740"/>
      <c r="DH184" s="740"/>
      <c r="DI184" s="740"/>
      <c r="DJ184" s="740"/>
      <c r="DK184" s="740"/>
      <c r="DL184" s="740"/>
      <c r="DM184" s="740"/>
      <c r="DN184" s="740"/>
      <c r="DO184" s="740"/>
      <c r="DP184" s="740"/>
      <c r="DQ184" s="740"/>
      <c r="DR184" s="740"/>
      <c r="DS184" s="740"/>
      <c r="DT184" s="740"/>
      <c r="DU184" s="740"/>
      <c r="DV184" s="740"/>
      <c r="DW184" s="740"/>
      <c r="DX184" s="740"/>
      <c r="DY184" s="740"/>
      <c r="DZ184" s="740"/>
      <c r="EA184" s="740"/>
      <c r="EB184" s="740"/>
      <c r="EC184" s="740"/>
      <c r="ED184" s="740"/>
      <c r="EE184" s="740"/>
      <c r="EF184" s="740"/>
      <c r="EG184" s="740"/>
      <c r="EH184" s="740"/>
      <c r="EI184" s="740"/>
      <c r="EJ184" s="740"/>
      <c r="EK184" s="740"/>
      <c r="EL184" s="740"/>
      <c r="EM184" s="740"/>
      <c r="EN184" s="740"/>
      <c r="EO184" s="740"/>
      <c r="EP184" s="740"/>
      <c r="EQ184" s="740"/>
      <c r="ER184" s="740"/>
      <c r="ES184" s="740"/>
      <c r="ET184" s="740"/>
      <c r="EU184" s="740"/>
      <c r="EV184" s="740"/>
      <c r="EW184" s="740"/>
      <c r="EX184" s="740"/>
      <c r="EY184" s="740"/>
      <c r="EZ184" s="740"/>
      <c r="FA184" s="740"/>
      <c r="FB184" s="740"/>
      <c r="FC184" s="740"/>
      <c r="FD184" s="740"/>
      <c r="FE184" s="740"/>
      <c r="FF184" s="740"/>
      <c r="FG184" s="740"/>
      <c r="FH184" s="740"/>
      <c r="FI184" s="740"/>
      <c r="FJ184" s="740"/>
      <c r="FK184" s="740"/>
      <c r="FL184" s="740"/>
      <c r="FM184" s="740"/>
      <c r="FN184" s="740"/>
      <c r="FO184" s="740"/>
      <c r="FP184" s="740"/>
      <c r="FQ184" s="740"/>
      <c r="FR184" s="740"/>
      <c r="FS184" s="740"/>
      <c r="FT184" s="740"/>
      <c r="FU184" s="740"/>
      <c r="FV184" s="740"/>
      <c r="FW184" s="740"/>
      <c r="FX184" s="740"/>
      <c r="FY184" s="740"/>
      <c r="FZ184" s="740"/>
      <c r="GA184" s="740"/>
      <c r="GB184" s="740"/>
      <c r="GC184" s="740"/>
      <c r="GD184" s="740"/>
      <c r="GE184" s="740"/>
      <c r="GF184" s="740"/>
      <c r="GG184" s="740"/>
      <c r="GH184" s="740"/>
      <c r="GI184" s="740"/>
      <c r="GJ184" s="740"/>
      <c r="GK184" s="740"/>
      <c r="GL184" s="740"/>
      <c r="GM184" s="740"/>
      <c r="GN184" s="740"/>
      <c r="GO184" s="740"/>
      <c r="GP184" s="740"/>
      <c r="GQ184" s="740"/>
      <c r="GR184" s="740"/>
      <c r="GS184" s="740"/>
      <c r="GT184" s="740"/>
      <c r="GU184" s="740"/>
      <c r="GV184" s="740"/>
      <c r="GW184" s="740"/>
      <c r="GX184" s="740"/>
      <c r="GY184" s="740"/>
      <c r="GZ184" s="740"/>
      <c r="HA184" s="740"/>
      <c r="HB184" s="740"/>
      <c r="HC184" s="740"/>
      <c r="HD184" s="740"/>
      <c r="HE184" s="740"/>
      <c r="HF184" s="740"/>
      <c r="HG184" s="740"/>
      <c r="HH184" s="740"/>
      <c r="HI184" s="740"/>
      <c r="HJ184" s="740"/>
      <c r="HK184" s="740"/>
      <c r="HL184" s="740"/>
      <c r="HM184" s="740"/>
      <c r="HN184" s="740"/>
      <c r="HO184" s="740"/>
      <c r="HP184" s="740"/>
      <c r="HQ184" s="740"/>
      <c r="HR184" s="740"/>
      <c r="HS184" s="740"/>
      <c r="HT184" s="740"/>
      <c r="HU184" s="740"/>
      <c r="HV184" s="740"/>
      <c r="HW184" s="740"/>
      <c r="HX184" s="740"/>
      <c r="HY184" s="740"/>
      <c r="HZ184" s="740"/>
      <c r="IA184" s="740"/>
      <c r="IB184" s="740"/>
      <c r="IC184" s="740"/>
      <c r="ID184" s="740"/>
      <c r="IE184" s="740"/>
      <c r="IF184" s="740"/>
      <c r="IG184" s="740"/>
      <c r="IH184" s="740"/>
      <c r="II184" s="740"/>
      <c r="IJ184" s="740"/>
      <c r="IK184" s="740"/>
      <c r="IL184" s="740"/>
      <c r="IM184" s="740"/>
      <c r="IN184" s="740"/>
      <c r="IO184" s="740"/>
      <c r="IP184" s="740"/>
      <c r="IQ184" s="740"/>
      <c r="IR184" s="740"/>
      <c r="IS184" s="740"/>
      <c r="IT184" s="740"/>
      <c r="IU184" s="740"/>
      <c r="IV184" s="740"/>
      <c r="IW184" s="740"/>
      <c r="IX184" s="740"/>
      <c r="IY184" s="740"/>
    </row>
    <row r="185" spans="1:259" ht="16">
      <c r="C185" s="2468" t="s">
        <v>2268</v>
      </c>
      <c r="D185" s="2469"/>
      <c r="E185" s="2469"/>
      <c r="F185" s="1052"/>
      <c r="G185" s="1053"/>
    </row>
    <row r="186" spans="1:259" ht="27" customHeight="1">
      <c r="C186" s="1268">
        <v>16</v>
      </c>
      <c r="D186" s="1269">
        <v>16</v>
      </c>
      <c r="E186" s="1054" t="s">
        <v>2269</v>
      </c>
      <c r="F186" s="1055">
        <f>COUNTIF(K5:K173,"&gt;0")</f>
        <v>0</v>
      </c>
      <c r="G186" s="1056" t="s">
        <v>2270</v>
      </c>
      <c r="I186" s="1044" t="s">
        <v>2271</v>
      </c>
      <c r="J186" s="1045"/>
      <c r="K186" s="1045"/>
      <c r="L186" s="1046"/>
      <c r="M186" s="1047">
        <v>10</v>
      </c>
    </row>
    <row r="187" spans="1:259" ht="24" customHeight="1">
      <c r="C187" s="1270">
        <v>4</v>
      </c>
      <c r="D187" s="1271">
        <v>6</v>
      </c>
      <c r="E187" s="1057" t="s">
        <v>2272</v>
      </c>
      <c r="F187" s="1058">
        <f>COUNTIF(J5:J173,"&gt;0")</f>
        <v>0</v>
      </c>
      <c r="G187" s="1059" t="s">
        <v>2273</v>
      </c>
      <c r="I187" s="1048" t="s">
        <v>2781</v>
      </c>
      <c r="J187" s="1049"/>
      <c r="K187" s="1049"/>
      <c r="L187" s="1050"/>
      <c r="M187" s="1051">
        <v>11</v>
      </c>
    </row>
    <row r="188" spans="1:259" ht="20">
      <c r="C188" s="748"/>
      <c r="D188" s="748"/>
      <c r="E188" s="749"/>
      <c r="F188" s="750"/>
      <c r="J188" s="716"/>
      <c r="K188" s="716"/>
    </row>
    <row r="189" spans="1:259" ht="30">
      <c r="G189" s="751" t="s">
        <v>2275</v>
      </c>
      <c r="H189" s="751"/>
    </row>
    <row r="190" spans="1:259" ht="15">
      <c r="E190" s="751" t="s">
        <v>2276</v>
      </c>
    </row>
    <row r="191" spans="1:259" s="741" customFormat="1" ht="28">
      <c r="A191" s="752"/>
      <c r="B191" s="716"/>
      <c r="C191" s="740"/>
      <c r="D191" s="740"/>
      <c r="E191" s="753" t="s">
        <v>2277</v>
      </c>
      <c r="F191" s="746"/>
      <c r="G191" s="754" t="s">
        <v>2278</v>
      </c>
      <c r="H191" s="755"/>
      <c r="I191" s="740"/>
      <c r="J191" s="747"/>
      <c r="K191" s="747"/>
      <c r="L191" s="740"/>
      <c r="M191" s="740"/>
      <c r="N191" s="740"/>
      <c r="O191" s="740"/>
      <c r="P191" s="740"/>
      <c r="Q191" s="740"/>
      <c r="R191" s="740"/>
      <c r="S191" s="740"/>
      <c r="T191" s="740"/>
      <c r="U191" s="740"/>
      <c r="V191" s="740"/>
      <c r="W191" s="740"/>
      <c r="X191" s="740"/>
      <c r="Y191" s="740"/>
      <c r="Z191" s="740"/>
      <c r="AA191" s="740"/>
      <c r="AB191" s="740"/>
      <c r="AC191" s="740"/>
      <c r="AD191" s="740"/>
      <c r="AE191" s="740"/>
      <c r="AF191" s="740"/>
      <c r="AG191" s="740"/>
      <c r="AH191" s="740"/>
      <c r="AI191" s="740"/>
      <c r="AJ191" s="740"/>
      <c r="AK191" s="740"/>
      <c r="AL191" s="740"/>
      <c r="AM191" s="740"/>
      <c r="AN191" s="740"/>
      <c r="AO191" s="740"/>
      <c r="AP191" s="740"/>
      <c r="AQ191" s="740"/>
      <c r="AR191" s="740"/>
      <c r="AS191" s="740"/>
      <c r="AT191" s="740"/>
      <c r="AU191" s="740"/>
      <c r="AV191" s="740"/>
      <c r="AW191" s="740"/>
      <c r="AX191" s="740"/>
      <c r="AY191" s="740"/>
      <c r="AZ191" s="740"/>
      <c r="BA191" s="740"/>
      <c r="BB191" s="740"/>
      <c r="BC191" s="740"/>
      <c r="BD191" s="740"/>
      <c r="BE191" s="740"/>
      <c r="BF191" s="740"/>
      <c r="BG191" s="740"/>
      <c r="BH191" s="740"/>
      <c r="BI191" s="740"/>
      <c r="BJ191" s="740"/>
      <c r="BK191" s="740"/>
      <c r="BL191" s="740"/>
      <c r="BM191" s="740"/>
      <c r="BN191" s="740"/>
      <c r="BO191" s="740"/>
      <c r="BP191" s="740"/>
      <c r="BQ191" s="740"/>
      <c r="BR191" s="740"/>
      <c r="BS191" s="740"/>
      <c r="BT191" s="740"/>
      <c r="BU191" s="740"/>
      <c r="BV191" s="740"/>
      <c r="BW191" s="740"/>
      <c r="BX191" s="740"/>
      <c r="BY191" s="740"/>
      <c r="BZ191" s="740"/>
      <c r="CA191" s="740"/>
      <c r="CB191" s="740"/>
      <c r="CC191" s="740"/>
      <c r="CD191" s="740"/>
      <c r="CE191" s="740"/>
      <c r="CF191" s="740"/>
      <c r="CG191" s="740"/>
      <c r="CH191" s="740"/>
      <c r="CI191" s="740"/>
      <c r="CJ191" s="740"/>
      <c r="CK191" s="740"/>
      <c r="CL191" s="740"/>
      <c r="CM191" s="740"/>
      <c r="CN191" s="740"/>
      <c r="CO191" s="740"/>
      <c r="CP191" s="740"/>
      <c r="CQ191" s="740"/>
      <c r="CR191" s="740"/>
      <c r="CS191" s="740"/>
      <c r="CT191" s="740"/>
      <c r="CU191" s="740"/>
      <c r="CV191" s="740"/>
      <c r="CW191" s="740"/>
      <c r="CX191" s="740"/>
      <c r="CY191" s="740"/>
      <c r="CZ191" s="740"/>
      <c r="DA191" s="740"/>
      <c r="DB191" s="740"/>
      <c r="DC191" s="740"/>
      <c r="DD191" s="740"/>
      <c r="DE191" s="740"/>
      <c r="DF191" s="740"/>
      <c r="DG191" s="740"/>
      <c r="DH191" s="740"/>
      <c r="DI191" s="740"/>
      <c r="DJ191" s="740"/>
      <c r="DK191" s="740"/>
      <c r="DL191" s="740"/>
      <c r="DM191" s="740"/>
      <c r="DN191" s="740"/>
      <c r="DO191" s="740"/>
      <c r="DP191" s="740"/>
      <c r="DQ191" s="740"/>
      <c r="DR191" s="740"/>
      <c r="DS191" s="740"/>
      <c r="DT191" s="740"/>
      <c r="DU191" s="740"/>
      <c r="DV191" s="740"/>
      <c r="DW191" s="740"/>
      <c r="DX191" s="740"/>
      <c r="DY191" s="740"/>
      <c r="DZ191" s="740"/>
      <c r="EA191" s="740"/>
      <c r="EB191" s="740"/>
      <c r="EC191" s="740"/>
      <c r="ED191" s="740"/>
      <c r="EE191" s="740"/>
      <c r="EF191" s="740"/>
      <c r="EG191" s="740"/>
      <c r="EH191" s="740"/>
      <c r="EI191" s="740"/>
      <c r="EJ191" s="740"/>
      <c r="EK191" s="740"/>
      <c r="EL191" s="740"/>
      <c r="EM191" s="740"/>
      <c r="EN191" s="740"/>
      <c r="EO191" s="740"/>
      <c r="EP191" s="740"/>
      <c r="EQ191" s="740"/>
      <c r="ER191" s="740"/>
      <c r="ES191" s="740"/>
      <c r="ET191" s="740"/>
      <c r="EU191" s="740"/>
      <c r="EV191" s="740"/>
      <c r="EW191" s="740"/>
      <c r="EX191" s="740"/>
      <c r="EY191" s="740"/>
      <c r="EZ191" s="740"/>
      <c r="FA191" s="740"/>
      <c r="FB191" s="740"/>
      <c r="FC191" s="740"/>
      <c r="FD191" s="740"/>
      <c r="FE191" s="740"/>
      <c r="FF191" s="740"/>
      <c r="FG191" s="740"/>
      <c r="FH191" s="740"/>
      <c r="FI191" s="740"/>
      <c r="FJ191" s="740"/>
      <c r="FK191" s="740"/>
      <c r="FL191" s="740"/>
      <c r="FM191" s="740"/>
      <c r="FN191" s="740"/>
      <c r="FO191" s="740"/>
      <c r="FP191" s="740"/>
      <c r="FQ191" s="740"/>
      <c r="FR191" s="740"/>
      <c r="FS191" s="740"/>
      <c r="FT191" s="740"/>
      <c r="FU191" s="740"/>
      <c r="FV191" s="740"/>
      <c r="FW191" s="740"/>
      <c r="FX191" s="740"/>
      <c r="FY191" s="740"/>
      <c r="FZ191" s="740"/>
      <c r="GA191" s="740"/>
      <c r="GB191" s="740"/>
      <c r="GC191" s="740"/>
      <c r="GD191" s="740"/>
      <c r="GE191" s="740"/>
      <c r="GF191" s="740"/>
      <c r="GG191" s="740"/>
      <c r="GH191" s="740"/>
      <c r="GI191" s="740"/>
      <c r="GJ191" s="740"/>
      <c r="GK191" s="740"/>
      <c r="GL191" s="740"/>
      <c r="GM191" s="740"/>
      <c r="GN191" s="740"/>
      <c r="GO191" s="740"/>
      <c r="GP191" s="740"/>
      <c r="GQ191" s="740"/>
      <c r="GR191" s="740"/>
      <c r="GS191" s="740"/>
      <c r="GT191" s="740"/>
      <c r="GU191" s="740"/>
      <c r="GV191" s="740"/>
      <c r="GW191" s="740"/>
      <c r="GX191" s="740"/>
      <c r="GY191" s="740"/>
      <c r="GZ191" s="740"/>
      <c r="HA191" s="740"/>
      <c r="HB191" s="740"/>
      <c r="HC191" s="740"/>
      <c r="HD191" s="740"/>
      <c r="HE191" s="740"/>
      <c r="HF191" s="740"/>
      <c r="HG191" s="740"/>
      <c r="HH191" s="740"/>
      <c r="HI191" s="740"/>
      <c r="HJ191" s="740"/>
      <c r="HK191" s="740"/>
      <c r="HL191" s="740"/>
      <c r="HM191" s="740"/>
      <c r="HN191" s="740"/>
      <c r="HO191" s="740"/>
      <c r="HP191" s="740"/>
      <c r="HQ191" s="740"/>
      <c r="HR191" s="740"/>
      <c r="HS191" s="740"/>
      <c r="HT191" s="740"/>
      <c r="HU191" s="740"/>
      <c r="HV191" s="740"/>
      <c r="HW191" s="740"/>
      <c r="HX191" s="740"/>
      <c r="HY191" s="740"/>
      <c r="HZ191" s="740"/>
      <c r="IA191" s="740"/>
      <c r="IB191" s="740"/>
      <c r="IC191" s="740"/>
      <c r="ID191" s="740"/>
      <c r="IE191" s="740"/>
      <c r="IF191" s="740"/>
      <c r="IG191" s="740"/>
      <c r="IH191" s="740"/>
      <c r="II191" s="740"/>
      <c r="IJ191" s="740"/>
      <c r="IK191" s="740"/>
      <c r="IL191" s="740"/>
      <c r="IM191" s="740"/>
      <c r="IN191" s="740"/>
      <c r="IO191" s="740"/>
      <c r="IP191" s="740"/>
      <c r="IQ191" s="740"/>
      <c r="IR191" s="740"/>
      <c r="IS191" s="740"/>
      <c r="IT191" s="740"/>
      <c r="IU191" s="740"/>
      <c r="IV191" s="740"/>
      <c r="IW191" s="740"/>
      <c r="IX191" s="740"/>
      <c r="IY191" s="740"/>
    </row>
    <row r="192" spans="1:259" s="741" customFormat="1" ht="56">
      <c r="A192" s="752"/>
      <c r="B192" s="716"/>
      <c r="C192" s="740"/>
      <c r="D192" s="740"/>
      <c r="E192" s="753" t="s">
        <v>2279</v>
      </c>
      <c r="F192" s="746"/>
      <c r="G192" s="754" t="s">
        <v>2280</v>
      </c>
      <c r="H192" s="755"/>
      <c r="I192" s="740"/>
      <c r="J192" s="747"/>
      <c r="K192" s="747"/>
      <c r="L192" s="740"/>
      <c r="M192" s="740"/>
      <c r="N192" s="740"/>
      <c r="O192" s="740"/>
      <c r="P192" s="740"/>
      <c r="Q192" s="740"/>
      <c r="R192" s="740"/>
      <c r="S192" s="740"/>
      <c r="T192" s="740"/>
      <c r="U192" s="740"/>
      <c r="V192" s="740"/>
      <c r="W192" s="740"/>
      <c r="X192" s="740"/>
      <c r="Y192" s="740"/>
      <c r="Z192" s="740"/>
      <c r="AA192" s="740"/>
      <c r="AB192" s="740"/>
      <c r="AC192" s="740"/>
      <c r="AD192" s="740"/>
      <c r="AE192" s="740"/>
      <c r="AF192" s="740"/>
      <c r="AG192" s="740"/>
      <c r="AH192" s="740"/>
      <c r="AI192" s="740"/>
      <c r="AJ192" s="740"/>
      <c r="AK192" s="740"/>
      <c r="AL192" s="740"/>
      <c r="AM192" s="740"/>
      <c r="AN192" s="740"/>
      <c r="AO192" s="740"/>
      <c r="AP192" s="740"/>
      <c r="AQ192" s="740"/>
      <c r="AR192" s="740"/>
      <c r="AS192" s="740"/>
      <c r="AT192" s="740"/>
      <c r="AU192" s="740"/>
      <c r="AV192" s="740"/>
      <c r="AW192" s="740"/>
      <c r="AX192" s="740"/>
      <c r="AY192" s="740"/>
      <c r="AZ192" s="740"/>
      <c r="BA192" s="740"/>
      <c r="BB192" s="740"/>
      <c r="BC192" s="740"/>
      <c r="BD192" s="740"/>
      <c r="BE192" s="740"/>
      <c r="BF192" s="740"/>
      <c r="BG192" s="740"/>
      <c r="BH192" s="740"/>
      <c r="BI192" s="740"/>
      <c r="BJ192" s="740"/>
      <c r="BK192" s="740"/>
      <c r="BL192" s="740"/>
      <c r="BM192" s="740"/>
      <c r="BN192" s="740"/>
      <c r="BO192" s="740"/>
      <c r="BP192" s="740"/>
      <c r="BQ192" s="740"/>
      <c r="BR192" s="740"/>
      <c r="BS192" s="740"/>
      <c r="BT192" s="740"/>
      <c r="BU192" s="740"/>
      <c r="BV192" s="740"/>
      <c r="BW192" s="740"/>
      <c r="BX192" s="740"/>
      <c r="BY192" s="740"/>
      <c r="BZ192" s="740"/>
      <c r="CA192" s="740"/>
      <c r="CB192" s="740"/>
      <c r="CC192" s="740"/>
      <c r="CD192" s="740"/>
      <c r="CE192" s="740"/>
      <c r="CF192" s="740"/>
      <c r="CG192" s="740"/>
      <c r="CH192" s="740"/>
      <c r="CI192" s="740"/>
      <c r="CJ192" s="740"/>
      <c r="CK192" s="740"/>
      <c r="CL192" s="740"/>
      <c r="CM192" s="740"/>
      <c r="CN192" s="740"/>
      <c r="CO192" s="740"/>
      <c r="CP192" s="740"/>
      <c r="CQ192" s="740"/>
      <c r="CR192" s="740"/>
      <c r="CS192" s="740"/>
      <c r="CT192" s="740"/>
      <c r="CU192" s="740"/>
      <c r="CV192" s="740"/>
      <c r="CW192" s="740"/>
      <c r="CX192" s="740"/>
      <c r="CY192" s="740"/>
      <c r="CZ192" s="740"/>
      <c r="DA192" s="740"/>
      <c r="DB192" s="740"/>
      <c r="DC192" s="740"/>
      <c r="DD192" s="740"/>
      <c r="DE192" s="740"/>
      <c r="DF192" s="740"/>
      <c r="DG192" s="740"/>
      <c r="DH192" s="740"/>
      <c r="DI192" s="740"/>
      <c r="DJ192" s="740"/>
      <c r="DK192" s="740"/>
      <c r="DL192" s="740"/>
      <c r="DM192" s="740"/>
      <c r="DN192" s="740"/>
      <c r="DO192" s="740"/>
      <c r="DP192" s="740"/>
      <c r="DQ192" s="740"/>
      <c r="DR192" s="740"/>
      <c r="DS192" s="740"/>
      <c r="DT192" s="740"/>
      <c r="DU192" s="740"/>
      <c r="DV192" s="740"/>
      <c r="DW192" s="740"/>
      <c r="DX192" s="740"/>
      <c r="DY192" s="740"/>
      <c r="DZ192" s="740"/>
      <c r="EA192" s="740"/>
      <c r="EB192" s="740"/>
      <c r="EC192" s="740"/>
      <c r="ED192" s="740"/>
      <c r="EE192" s="740"/>
      <c r="EF192" s="740"/>
      <c r="EG192" s="740"/>
      <c r="EH192" s="740"/>
      <c r="EI192" s="740"/>
      <c r="EJ192" s="740"/>
      <c r="EK192" s="740"/>
      <c r="EL192" s="740"/>
      <c r="EM192" s="740"/>
      <c r="EN192" s="740"/>
      <c r="EO192" s="740"/>
      <c r="EP192" s="740"/>
      <c r="EQ192" s="740"/>
      <c r="ER192" s="740"/>
      <c r="ES192" s="740"/>
      <c r="ET192" s="740"/>
      <c r="EU192" s="740"/>
      <c r="EV192" s="740"/>
      <c r="EW192" s="740"/>
      <c r="EX192" s="740"/>
      <c r="EY192" s="740"/>
      <c r="EZ192" s="740"/>
      <c r="FA192" s="740"/>
      <c r="FB192" s="740"/>
      <c r="FC192" s="740"/>
      <c r="FD192" s="740"/>
      <c r="FE192" s="740"/>
      <c r="FF192" s="740"/>
      <c r="FG192" s="740"/>
      <c r="FH192" s="740"/>
      <c r="FI192" s="740"/>
      <c r="FJ192" s="740"/>
      <c r="FK192" s="740"/>
      <c r="FL192" s="740"/>
      <c r="FM192" s="740"/>
      <c r="FN192" s="740"/>
      <c r="FO192" s="740"/>
      <c r="FP192" s="740"/>
      <c r="FQ192" s="740"/>
      <c r="FR192" s="740"/>
      <c r="FS192" s="740"/>
      <c r="FT192" s="740"/>
      <c r="FU192" s="740"/>
      <c r="FV192" s="740"/>
      <c r="FW192" s="740"/>
      <c r="FX192" s="740"/>
      <c r="FY192" s="740"/>
      <c r="FZ192" s="740"/>
      <c r="GA192" s="740"/>
      <c r="GB192" s="740"/>
      <c r="GC192" s="740"/>
      <c r="GD192" s="740"/>
      <c r="GE192" s="740"/>
      <c r="GF192" s="740"/>
      <c r="GG192" s="740"/>
      <c r="GH192" s="740"/>
      <c r="GI192" s="740"/>
      <c r="GJ192" s="740"/>
      <c r="GK192" s="740"/>
      <c r="GL192" s="740"/>
      <c r="GM192" s="740"/>
      <c r="GN192" s="740"/>
      <c r="GO192" s="740"/>
      <c r="GP192" s="740"/>
      <c r="GQ192" s="740"/>
      <c r="GR192" s="740"/>
      <c r="GS192" s="740"/>
      <c r="GT192" s="740"/>
      <c r="GU192" s="740"/>
      <c r="GV192" s="740"/>
      <c r="GW192" s="740"/>
      <c r="GX192" s="740"/>
      <c r="GY192" s="740"/>
      <c r="GZ192" s="740"/>
      <c r="HA192" s="740"/>
      <c r="HB192" s="740"/>
      <c r="HC192" s="740"/>
      <c r="HD192" s="740"/>
      <c r="HE192" s="740"/>
      <c r="HF192" s="740"/>
      <c r="HG192" s="740"/>
      <c r="HH192" s="740"/>
      <c r="HI192" s="740"/>
      <c r="HJ192" s="740"/>
      <c r="HK192" s="740"/>
      <c r="HL192" s="740"/>
      <c r="HM192" s="740"/>
      <c r="HN192" s="740"/>
      <c r="HO192" s="740"/>
      <c r="HP192" s="740"/>
      <c r="HQ192" s="740"/>
      <c r="HR192" s="740"/>
      <c r="HS192" s="740"/>
      <c r="HT192" s="740"/>
      <c r="HU192" s="740"/>
      <c r="HV192" s="740"/>
      <c r="HW192" s="740"/>
      <c r="HX192" s="740"/>
      <c r="HY192" s="740"/>
      <c r="HZ192" s="740"/>
      <c r="IA192" s="740"/>
      <c r="IB192" s="740"/>
      <c r="IC192" s="740"/>
      <c r="ID192" s="740"/>
      <c r="IE192" s="740"/>
      <c r="IF192" s="740"/>
      <c r="IG192" s="740"/>
      <c r="IH192" s="740"/>
      <c r="II192" s="740"/>
      <c r="IJ192" s="740"/>
      <c r="IK192" s="740"/>
      <c r="IL192" s="740"/>
      <c r="IM192" s="740"/>
      <c r="IN192" s="740"/>
      <c r="IO192" s="740"/>
      <c r="IP192" s="740"/>
      <c r="IQ192" s="740"/>
      <c r="IR192" s="740"/>
      <c r="IS192" s="740"/>
      <c r="IT192" s="740"/>
      <c r="IU192" s="740"/>
      <c r="IV192" s="740"/>
      <c r="IW192" s="740"/>
      <c r="IX192" s="740"/>
      <c r="IY192" s="740"/>
    </row>
    <row r="193" spans="1:259" s="741" customFormat="1" ht="42">
      <c r="A193" s="752"/>
      <c r="B193" s="716"/>
      <c r="C193" s="740"/>
      <c r="D193" s="740"/>
      <c r="E193" s="753" t="s">
        <v>2281</v>
      </c>
      <c r="F193" s="746"/>
      <c r="G193" s="754" t="s">
        <v>2282</v>
      </c>
      <c r="H193" s="755"/>
      <c r="I193" s="740"/>
      <c r="J193" s="747"/>
      <c r="K193" s="747"/>
      <c r="L193" s="740"/>
      <c r="M193" s="740"/>
      <c r="N193" s="740"/>
      <c r="O193" s="740"/>
      <c r="P193" s="740"/>
      <c r="Q193" s="740"/>
      <c r="R193" s="740"/>
      <c r="S193" s="740"/>
      <c r="T193" s="740"/>
      <c r="U193" s="740"/>
      <c r="V193" s="740"/>
      <c r="W193" s="740"/>
      <c r="X193" s="740"/>
      <c r="Y193" s="740"/>
      <c r="Z193" s="740"/>
      <c r="AA193" s="740"/>
      <c r="AB193" s="740"/>
      <c r="AC193" s="740"/>
      <c r="AD193" s="740"/>
      <c r="AE193" s="740"/>
      <c r="AF193" s="740"/>
      <c r="AG193" s="740"/>
      <c r="AH193" s="740"/>
      <c r="AI193" s="740"/>
      <c r="AJ193" s="740"/>
      <c r="AK193" s="740"/>
      <c r="AL193" s="740"/>
      <c r="AM193" s="740"/>
      <c r="AN193" s="740"/>
      <c r="AO193" s="740"/>
      <c r="AP193" s="740"/>
      <c r="AQ193" s="740"/>
      <c r="AR193" s="740"/>
      <c r="AS193" s="740"/>
      <c r="AT193" s="740"/>
      <c r="AU193" s="740"/>
      <c r="AV193" s="740"/>
      <c r="AW193" s="740"/>
      <c r="AX193" s="740"/>
      <c r="AY193" s="740"/>
      <c r="AZ193" s="740"/>
      <c r="BA193" s="740"/>
      <c r="BB193" s="740"/>
      <c r="BC193" s="740"/>
      <c r="BD193" s="740"/>
      <c r="BE193" s="740"/>
      <c r="BF193" s="740"/>
      <c r="BG193" s="740"/>
      <c r="BH193" s="740"/>
      <c r="BI193" s="740"/>
      <c r="BJ193" s="740"/>
      <c r="BK193" s="740"/>
      <c r="BL193" s="740"/>
      <c r="BM193" s="740"/>
      <c r="BN193" s="740"/>
      <c r="BO193" s="740"/>
      <c r="BP193" s="740"/>
      <c r="BQ193" s="740"/>
      <c r="BR193" s="740"/>
      <c r="BS193" s="740"/>
      <c r="BT193" s="740"/>
      <c r="BU193" s="740"/>
      <c r="BV193" s="740"/>
      <c r="BW193" s="740"/>
      <c r="BX193" s="740"/>
      <c r="BY193" s="740"/>
      <c r="BZ193" s="740"/>
      <c r="CA193" s="740"/>
      <c r="CB193" s="740"/>
      <c r="CC193" s="740"/>
      <c r="CD193" s="740"/>
      <c r="CE193" s="740"/>
      <c r="CF193" s="740"/>
      <c r="CG193" s="740"/>
      <c r="CH193" s="740"/>
      <c r="CI193" s="740"/>
      <c r="CJ193" s="740"/>
      <c r="CK193" s="740"/>
      <c r="CL193" s="740"/>
      <c r="CM193" s="740"/>
      <c r="CN193" s="740"/>
      <c r="CO193" s="740"/>
      <c r="CP193" s="740"/>
      <c r="CQ193" s="740"/>
      <c r="CR193" s="740"/>
      <c r="CS193" s="740"/>
      <c r="CT193" s="740"/>
      <c r="CU193" s="740"/>
      <c r="CV193" s="740"/>
      <c r="CW193" s="740"/>
      <c r="CX193" s="740"/>
      <c r="CY193" s="740"/>
      <c r="CZ193" s="740"/>
      <c r="DA193" s="740"/>
      <c r="DB193" s="740"/>
      <c r="DC193" s="740"/>
      <c r="DD193" s="740"/>
      <c r="DE193" s="740"/>
      <c r="DF193" s="740"/>
      <c r="DG193" s="740"/>
      <c r="DH193" s="740"/>
      <c r="DI193" s="740"/>
      <c r="DJ193" s="740"/>
      <c r="DK193" s="740"/>
      <c r="DL193" s="740"/>
      <c r="DM193" s="740"/>
      <c r="DN193" s="740"/>
      <c r="DO193" s="740"/>
      <c r="DP193" s="740"/>
      <c r="DQ193" s="740"/>
      <c r="DR193" s="740"/>
      <c r="DS193" s="740"/>
      <c r="DT193" s="740"/>
      <c r="DU193" s="740"/>
      <c r="DV193" s="740"/>
      <c r="DW193" s="740"/>
      <c r="DX193" s="740"/>
      <c r="DY193" s="740"/>
      <c r="DZ193" s="740"/>
      <c r="EA193" s="740"/>
      <c r="EB193" s="740"/>
      <c r="EC193" s="740"/>
      <c r="ED193" s="740"/>
      <c r="EE193" s="740"/>
      <c r="EF193" s="740"/>
      <c r="EG193" s="740"/>
      <c r="EH193" s="740"/>
      <c r="EI193" s="740"/>
      <c r="EJ193" s="740"/>
      <c r="EK193" s="740"/>
      <c r="EL193" s="740"/>
      <c r="EM193" s="740"/>
      <c r="EN193" s="740"/>
      <c r="EO193" s="740"/>
      <c r="EP193" s="740"/>
      <c r="EQ193" s="740"/>
      <c r="ER193" s="740"/>
      <c r="ES193" s="740"/>
      <c r="ET193" s="740"/>
      <c r="EU193" s="740"/>
      <c r="EV193" s="740"/>
      <c r="EW193" s="740"/>
      <c r="EX193" s="740"/>
      <c r="EY193" s="740"/>
      <c r="EZ193" s="740"/>
      <c r="FA193" s="740"/>
      <c r="FB193" s="740"/>
      <c r="FC193" s="740"/>
      <c r="FD193" s="740"/>
      <c r="FE193" s="740"/>
      <c r="FF193" s="740"/>
      <c r="FG193" s="740"/>
      <c r="FH193" s="740"/>
      <c r="FI193" s="740"/>
      <c r="FJ193" s="740"/>
      <c r="FK193" s="740"/>
      <c r="FL193" s="740"/>
      <c r="FM193" s="740"/>
      <c r="FN193" s="740"/>
      <c r="FO193" s="740"/>
      <c r="FP193" s="740"/>
      <c r="FQ193" s="740"/>
      <c r="FR193" s="740"/>
      <c r="FS193" s="740"/>
      <c r="FT193" s="740"/>
      <c r="FU193" s="740"/>
      <c r="FV193" s="740"/>
      <c r="FW193" s="740"/>
      <c r="FX193" s="740"/>
      <c r="FY193" s="740"/>
      <c r="FZ193" s="740"/>
      <c r="GA193" s="740"/>
      <c r="GB193" s="740"/>
      <c r="GC193" s="740"/>
      <c r="GD193" s="740"/>
      <c r="GE193" s="740"/>
      <c r="GF193" s="740"/>
      <c r="GG193" s="740"/>
      <c r="GH193" s="740"/>
      <c r="GI193" s="740"/>
      <c r="GJ193" s="740"/>
      <c r="GK193" s="740"/>
      <c r="GL193" s="740"/>
      <c r="GM193" s="740"/>
      <c r="GN193" s="740"/>
      <c r="GO193" s="740"/>
      <c r="GP193" s="740"/>
      <c r="GQ193" s="740"/>
      <c r="GR193" s="740"/>
      <c r="GS193" s="740"/>
      <c r="GT193" s="740"/>
      <c r="GU193" s="740"/>
      <c r="GV193" s="740"/>
      <c r="GW193" s="740"/>
      <c r="GX193" s="740"/>
      <c r="GY193" s="740"/>
      <c r="GZ193" s="740"/>
      <c r="HA193" s="740"/>
      <c r="HB193" s="740"/>
      <c r="HC193" s="740"/>
      <c r="HD193" s="740"/>
      <c r="HE193" s="740"/>
      <c r="HF193" s="740"/>
      <c r="HG193" s="740"/>
      <c r="HH193" s="740"/>
      <c r="HI193" s="740"/>
      <c r="HJ193" s="740"/>
      <c r="HK193" s="740"/>
      <c r="HL193" s="740"/>
      <c r="HM193" s="740"/>
      <c r="HN193" s="740"/>
      <c r="HO193" s="740"/>
      <c r="HP193" s="740"/>
      <c r="HQ193" s="740"/>
      <c r="HR193" s="740"/>
      <c r="HS193" s="740"/>
      <c r="HT193" s="740"/>
      <c r="HU193" s="740"/>
      <c r="HV193" s="740"/>
      <c r="HW193" s="740"/>
      <c r="HX193" s="740"/>
      <c r="HY193" s="740"/>
      <c r="HZ193" s="740"/>
      <c r="IA193" s="740"/>
      <c r="IB193" s="740"/>
      <c r="IC193" s="740"/>
      <c r="ID193" s="740"/>
      <c r="IE193" s="740"/>
      <c r="IF193" s="740"/>
      <c r="IG193" s="740"/>
      <c r="IH193" s="740"/>
      <c r="II193" s="740"/>
      <c r="IJ193" s="740"/>
      <c r="IK193" s="740"/>
      <c r="IL193" s="740"/>
      <c r="IM193" s="740"/>
      <c r="IN193" s="740"/>
      <c r="IO193" s="740"/>
      <c r="IP193" s="740"/>
      <c r="IQ193" s="740"/>
      <c r="IR193" s="740"/>
      <c r="IS193" s="740"/>
      <c r="IT193" s="740"/>
      <c r="IU193" s="740"/>
      <c r="IV193" s="740"/>
      <c r="IW193" s="740"/>
      <c r="IX193" s="740"/>
      <c r="IY193" s="740"/>
    </row>
    <row r="194" spans="1:259" s="741" customFormat="1" ht="70">
      <c r="A194" s="752"/>
      <c r="B194" s="716"/>
      <c r="C194" s="740"/>
      <c r="D194" s="740"/>
      <c r="E194" s="753" t="s">
        <v>2283</v>
      </c>
      <c r="F194" s="746"/>
      <c r="G194" s="754" t="s">
        <v>2284</v>
      </c>
      <c r="H194" s="755"/>
      <c r="I194" s="740"/>
      <c r="J194" s="747"/>
      <c r="K194" s="747"/>
      <c r="L194" s="740"/>
      <c r="M194" s="740"/>
      <c r="N194" s="740"/>
      <c r="O194" s="740"/>
      <c r="P194" s="740"/>
      <c r="Q194" s="740"/>
      <c r="R194" s="740"/>
      <c r="S194" s="740"/>
      <c r="T194" s="740"/>
      <c r="U194" s="740"/>
      <c r="V194" s="740"/>
      <c r="W194" s="740"/>
      <c r="X194" s="740"/>
      <c r="Y194" s="740"/>
      <c r="Z194" s="740"/>
      <c r="AA194" s="740"/>
      <c r="AB194" s="740"/>
      <c r="AC194" s="740"/>
      <c r="AD194" s="740"/>
      <c r="AE194" s="740"/>
      <c r="AF194" s="740"/>
      <c r="AG194" s="740"/>
      <c r="AH194" s="740"/>
      <c r="AI194" s="740"/>
      <c r="AJ194" s="740"/>
      <c r="AK194" s="740"/>
      <c r="AL194" s="740"/>
      <c r="AM194" s="740"/>
      <c r="AN194" s="740"/>
      <c r="AO194" s="740"/>
      <c r="AP194" s="740"/>
      <c r="AQ194" s="740"/>
      <c r="AR194" s="740"/>
      <c r="AS194" s="740"/>
      <c r="AT194" s="740"/>
      <c r="AU194" s="740"/>
      <c r="AV194" s="740"/>
      <c r="AW194" s="740"/>
      <c r="AX194" s="740"/>
      <c r="AY194" s="740"/>
      <c r="AZ194" s="740"/>
      <c r="BA194" s="740"/>
      <c r="BB194" s="740"/>
      <c r="BC194" s="740"/>
      <c r="BD194" s="740"/>
      <c r="BE194" s="740"/>
      <c r="BF194" s="740"/>
      <c r="BG194" s="740"/>
      <c r="BH194" s="740"/>
      <c r="BI194" s="740"/>
      <c r="BJ194" s="740"/>
      <c r="BK194" s="740"/>
      <c r="BL194" s="740"/>
      <c r="BM194" s="740"/>
      <c r="BN194" s="740"/>
      <c r="BO194" s="740"/>
      <c r="BP194" s="740"/>
      <c r="BQ194" s="740"/>
      <c r="BR194" s="740"/>
      <c r="BS194" s="740"/>
      <c r="BT194" s="740"/>
      <c r="BU194" s="740"/>
      <c r="BV194" s="740"/>
      <c r="BW194" s="740"/>
      <c r="BX194" s="740"/>
      <c r="BY194" s="740"/>
      <c r="BZ194" s="740"/>
      <c r="CA194" s="740"/>
      <c r="CB194" s="740"/>
      <c r="CC194" s="740"/>
      <c r="CD194" s="740"/>
      <c r="CE194" s="740"/>
      <c r="CF194" s="740"/>
      <c r="CG194" s="740"/>
      <c r="CH194" s="740"/>
      <c r="CI194" s="740"/>
      <c r="CJ194" s="740"/>
      <c r="CK194" s="740"/>
      <c r="CL194" s="740"/>
      <c r="CM194" s="740"/>
      <c r="CN194" s="740"/>
      <c r="CO194" s="740"/>
      <c r="CP194" s="740"/>
      <c r="CQ194" s="740"/>
      <c r="CR194" s="740"/>
      <c r="CS194" s="740"/>
      <c r="CT194" s="740"/>
      <c r="CU194" s="740"/>
      <c r="CV194" s="740"/>
      <c r="CW194" s="740"/>
      <c r="CX194" s="740"/>
      <c r="CY194" s="740"/>
      <c r="CZ194" s="740"/>
      <c r="DA194" s="740"/>
      <c r="DB194" s="740"/>
      <c r="DC194" s="740"/>
      <c r="DD194" s="740"/>
      <c r="DE194" s="740"/>
      <c r="DF194" s="740"/>
      <c r="DG194" s="740"/>
      <c r="DH194" s="740"/>
      <c r="DI194" s="740"/>
      <c r="DJ194" s="740"/>
      <c r="DK194" s="740"/>
      <c r="DL194" s="740"/>
      <c r="DM194" s="740"/>
      <c r="DN194" s="740"/>
      <c r="DO194" s="740"/>
      <c r="DP194" s="740"/>
      <c r="DQ194" s="740"/>
      <c r="DR194" s="740"/>
      <c r="DS194" s="740"/>
      <c r="DT194" s="740"/>
      <c r="DU194" s="740"/>
      <c r="DV194" s="740"/>
      <c r="DW194" s="740"/>
      <c r="DX194" s="740"/>
      <c r="DY194" s="740"/>
      <c r="DZ194" s="740"/>
      <c r="EA194" s="740"/>
      <c r="EB194" s="740"/>
      <c r="EC194" s="740"/>
      <c r="ED194" s="740"/>
      <c r="EE194" s="740"/>
      <c r="EF194" s="740"/>
      <c r="EG194" s="740"/>
      <c r="EH194" s="740"/>
      <c r="EI194" s="740"/>
      <c r="EJ194" s="740"/>
      <c r="EK194" s="740"/>
      <c r="EL194" s="740"/>
      <c r="EM194" s="740"/>
      <c r="EN194" s="740"/>
      <c r="EO194" s="740"/>
      <c r="EP194" s="740"/>
      <c r="EQ194" s="740"/>
      <c r="ER194" s="740"/>
      <c r="ES194" s="740"/>
      <c r="ET194" s="740"/>
      <c r="EU194" s="740"/>
      <c r="EV194" s="740"/>
      <c r="EW194" s="740"/>
      <c r="EX194" s="740"/>
      <c r="EY194" s="740"/>
      <c r="EZ194" s="740"/>
      <c r="FA194" s="740"/>
      <c r="FB194" s="740"/>
      <c r="FC194" s="740"/>
      <c r="FD194" s="740"/>
      <c r="FE194" s="740"/>
      <c r="FF194" s="740"/>
      <c r="FG194" s="740"/>
      <c r="FH194" s="740"/>
      <c r="FI194" s="740"/>
      <c r="FJ194" s="740"/>
      <c r="FK194" s="740"/>
      <c r="FL194" s="740"/>
      <c r="FM194" s="740"/>
      <c r="FN194" s="740"/>
      <c r="FO194" s="740"/>
      <c r="FP194" s="740"/>
      <c r="FQ194" s="740"/>
      <c r="FR194" s="740"/>
      <c r="FS194" s="740"/>
      <c r="FT194" s="740"/>
      <c r="FU194" s="740"/>
      <c r="FV194" s="740"/>
      <c r="FW194" s="740"/>
      <c r="FX194" s="740"/>
      <c r="FY194" s="740"/>
      <c r="FZ194" s="740"/>
      <c r="GA194" s="740"/>
      <c r="GB194" s="740"/>
      <c r="GC194" s="740"/>
      <c r="GD194" s="740"/>
      <c r="GE194" s="740"/>
      <c r="GF194" s="740"/>
      <c r="GG194" s="740"/>
      <c r="GH194" s="740"/>
      <c r="GI194" s="740"/>
      <c r="GJ194" s="740"/>
      <c r="GK194" s="740"/>
      <c r="GL194" s="740"/>
      <c r="GM194" s="740"/>
      <c r="GN194" s="740"/>
      <c r="GO194" s="740"/>
      <c r="GP194" s="740"/>
      <c r="GQ194" s="740"/>
      <c r="GR194" s="740"/>
      <c r="GS194" s="740"/>
      <c r="GT194" s="740"/>
      <c r="GU194" s="740"/>
      <c r="GV194" s="740"/>
      <c r="GW194" s="740"/>
      <c r="GX194" s="740"/>
      <c r="GY194" s="740"/>
      <c r="GZ194" s="740"/>
      <c r="HA194" s="740"/>
      <c r="HB194" s="740"/>
      <c r="HC194" s="740"/>
      <c r="HD194" s="740"/>
      <c r="HE194" s="740"/>
      <c r="HF194" s="740"/>
      <c r="HG194" s="740"/>
      <c r="HH194" s="740"/>
      <c r="HI194" s="740"/>
      <c r="HJ194" s="740"/>
      <c r="HK194" s="740"/>
      <c r="HL194" s="740"/>
      <c r="HM194" s="740"/>
      <c r="HN194" s="740"/>
      <c r="HO194" s="740"/>
      <c r="HP194" s="740"/>
      <c r="HQ194" s="740"/>
      <c r="HR194" s="740"/>
      <c r="HS194" s="740"/>
      <c r="HT194" s="740"/>
      <c r="HU194" s="740"/>
      <c r="HV194" s="740"/>
      <c r="HW194" s="740"/>
      <c r="HX194" s="740"/>
      <c r="HY194" s="740"/>
      <c r="HZ194" s="740"/>
      <c r="IA194" s="740"/>
      <c r="IB194" s="740"/>
      <c r="IC194" s="740"/>
      <c r="ID194" s="740"/>
      <c r="IE194" s="740"/>
      <c r="IF194" s="740"/>
      <c r="IG194" s="740"/>
      <c r="IH194" s="740"/>
      <c r="II194" s="740"/>
      <c r="IJ194" s="740"/>
      <c r="IK194" s="740"/>
      <c r="IL194" s="740"/>
      <c r="IM194" s="740"/>
      <c r="IN194" s="740"/>
      <c r="IO194" s="740"/>
      <c r="IP194" s="740"/>
      <c r="IQ194" s="740"/>
      <c r="IR194" s="740"/>
      <c r="IS194" s="740"/>
      <c r="IT194" s="740"/>
      <c r="IU194" s="740"/>
      <c r="IV194" s="740"/>
      <c r="IW194" s="740"/>
      <c r="IX194" s="740"/>
      <c r="IY194" s="740"/>
    </row>
    <row r="195" spans="1:259" s="741" customFormat="1" ht="56">
      <c r="A195" s="752"/>
      <c r="B195" s="716"/>
      <c r="C195" s="740"/>
      <c r="D195" s="740"/>
      <c r="E195" s="753" t="s">
        <v>2285</v>
      </c>
      <c r="F195" s="746"/>
      <c r="G195" s="754" t="s">
        <v>2286</v>
      </c>
      <c r="H195" s="755"/>
      <c r="I195" s="740"/>
      <c r="J195" s="747"/>
      <c r="K195" s="747"/>
      <c r="L195" s="740"/>
      <c r="M195" s="740"/>
      <c r="N195" s="740"/>
      <c r="O195" s="740"/>
      <c r="P195" s="740"/>
      <c r="Q195" s="740"/>
      <c r="R195" s="740"/>
      <c r="S195" s="740"/>
      <c r="T195" s="740"/>
      <c r="U195" s="740"/>
      <c r="V195" s="740"/>
      <c r="W195" s="740"/>
      <c r="X195" s="740"/>
      <c r="Y195" s="740"/>
      <c r="Z195" s="740"/>
      <c r="AA195" s="740"/>
      <c r="AB195" s="740"/>
      <c r="AC195" s="740"/>
      <c r="AD195" s="740"/>
      <c r="AE195" s="740"/>
      <c r="AF195" s="740"/>
      <c r="AG195" s="740"/>
      <c r="AH195" s="740"/>
      <c r="AI195" s="740"/>
      <c r="AJ195" s="740"/>
      <c r="AK195" s="740"/>
      <c r="AL195" s="740"/>
      <c r="AM195" s="740"/>
      <c r="AN195" s="740"/>
      <c r="AO195" s="740"/>
      <c r="AP195" s="740"/>
      <c r="AQ195" s="740"/>
      <c r="AR195" s="740"/>
      <c r="AS195" s="740"/>
      <c r="AT195" s="740"/>
      <c r="AU195" s="740"/>
      <c r="AV195" s="740"/>
      <c r="AW195" s="740"/>
      <c r="AX195" s="740"/>
      <c r="AY195" s="740"/>
      <c r="AZ195" s="740"/>
      <c r="BA195" s="740"/>
      <c r="BB195" s="740"/>
      <c r="BC195" s="740"/>
      <c r="BD195" s="740"/>
      <c r="BE195" s="740"/>
      <c r="BF195" s="740"/>
      <c r="BG195" s="740"/>
      <c r="BH195" s="740"/>
      <c r="BI195" s="740"/>
      <c r="BJ195" s="740"/>
      <c r="BK195" s="740"/>
      <c r="BL195" s="740"/>
      <c r="BM195" s="740"/>
      <c r="BN195" s="740"/>
      <c r="BO195" s="740"/>
      <c r="BP195" s="740"/>
      <c r="BQ195" s="740"/>
      <c r="BR195" s="740"/>
      <c r="BS195" s="740"/>
      <c r="BT195" s="740"/>
      <c r="BU195" s="740"/>
      <c r="BV195" s="740"/>
      <c r="BW195" s="740"/>
      <c r="BX195" s="740"/>
      <c r="BY195" s="740"/>
      <c r="BZ195" s="740"/>
      <c r="CA195" s="740"/>
      <c r="CB195" s="740"/>
      <c r="CC195" s="740"/>
      <c r="CD195" s="740"/>
      <c r="CE195" s="740"/>
      <c r="CF195" s="740"/>
      <c r="CG195" s="740"/>
      <c r="CH195" s="740"/>
      <c r="CI195" s="740"/>
      <c r="CJ195" s="740"/>
      <c r="CK195" s="740"/>
      <c r="CL195" s="740"/>
      <c r="CM195" s="740"/>
      <c r="CN195" s="740"/>
      <c r="CO195" s="740"/>
      <c r="CP195" s="740"/>
      <c r="CQ195" s="740"/>
      <c r="CR195" s="740"/>
      <c r="CS195" s="740"/>
      <c r="CT195" s="740"/>
      <c r="CU195" s="740"/>
      <c r="CV195" s="740"/>
      <c r="CW195" s="740"/>
      <c r="CX195" s="740"/>
      <c r="CY195" s="740"/>
      <c r="CZ195" s="740"/>
      <c r="DA195" s="740"/>
      <c r="DB195" s="740"/>
      <c r="DC195" s="740"/>
      <c r="DD195" s="740"/>
      <c r="DE195" s="740"/>
      <c r="DF195" s="740"/>
      <c r="DG195" s="740"/>
      <c r="DH195" s="740"/>
      <c r="DI195" s="740"/>
      <c r="DJ195" s="740"/>
      <c r="DK195" s="740"/>
      <c r="DL195" s="740"/>
      <c r="DM195" s="740"/>
      <c r="DN195" s="740"/>
      <c r="DO195" s="740"/>
      <c r="DP195" s="740"/>
      <c r="DQ195" s="740"/>
      <c r="DR195" s="740"/>
      <c r="DS195" s="740"/>
      <c r="DT195" s="740"/>
      <c r="DU195" s="740"/>
      <c r="DV195" s="740"/>
      <c r="DW195" s="740"/>
      <c r="DX195" s="740"/>
      <c r="DY195" s="740"/>
      <c r="DZ195" s="740"/>
      <c r="EA195" s="740"/>
      <c r="EB195" s="740"/>
      <c r="EC195" s="740"/>
      <c r="ED195" s="740"/>
      <c r="EE195" s="740"/>
      <c r="EF195" s="740"/>
      <c r="EG195" s="740"/>
      <c r="EH195" s="740"/>
      <c r="EI195" s="740"/>
      <c r="EJ195" s="740"/>
      <c r="EK195" s="740"/>
      <c r="EL195" s="740"/>
      <c r="EM195" s="740"/>
      <c r="EN195" s="740"/>
      <c r="EO195" s="740"/>
      <c r="EP195" s="740"/>
      <c r="EQ195" s="740"/>
      <c r="ER195" s="740"/>
      <c r="ES195" s="740"/>
      <c r="ET195" s="740"/>
      <c r="EU195" s="740"/>
      <c r="EV195" s="740"/>
      <c r="EW195" s="740"/>
      <c r="EX195" s="740"/>
      <c r="EY195" s="740"/>
      <c r="EZ195" s="740"/>
      <c r="FA195" s="740"/>
      <c r="FB195" s="740"/>
      <c r="FC195" s="740"/>
      <c r="FD195" s="740"/>
      <c r="FE195" s="740"/>
      <c r="FF195" s="740"/>
      <c r="FG195" s="740"/>
      <c r="FH195" s="740"/>
      <c r="FI195" s="740"/>
      <c r="FJ195" s="740"/>
      <c r="FK195" s="740"/>
      <c r="FL195" s="740"/>
      <c r="FM195" s="740"/>
      <c r="FN195" s="740"/>
      <c r="FO195" s="740"/>
      <c r="FP195" s="740"/>
      <c r="FQ195" s="740"/>
      <c r="FR195" s="740"/>
      <c r="FS195" s="740"/>
      <c r="FT195" s="740"/>
      <c r="FU195" s="740"/>
      <c r="FV195" s="740"/>
      <c r="FW195" s="740"/>
      <c r="FX195" s="740"/>
      <c r="FY195" s="740"/>
      <c r="FZ195" s="740"/>
      <c r="GA195" s="740"/>
      <c r="GB195" s="740"/>
      <c r="GC195" s="740"/>
      <c r="GD195" s="740"/>
      <c r="GE195" s="740"/>
      <c r="GF195" s="740"/>
      <c r="GG195" s="740"/>
      <c r="GH195" s="740"/>
      <c r="GI195" s="740"/>
      <c r="GJ195" s="740"/>
      <c r="GK195" s="740"/>
      <c r="GL195" s="740"/>
      <c r="GM195" s="740"/>
      <c r="GN195" s="740"/>
      <c r="GO195" s="740"/>
      <c r="GP195" s="740"/>
      <c r="GQ195" s="740"/>
      <c r="GR195" s="740"/>
      <c r="GS195" s="740"/>
      <c r="GT195" s="740"/>
      <c r="GU195" s="740"/>
      <c r="GV195" s="740"/>
      <c r="GW195" s="740"/>
      <c r="GX195" s="740"/>
      <c r="GY195" s="740"/>
      <c r="GZ195" s="740"/>
      <c r="HA195" s="740"/>
      <c r="HB195" s="740"/>
      <c r="HC195" s="740"/>
      <c r="HD195" s="740"/>
      <c r="HE195" s="740"/>
      <c r="HF195" s="740"/>
      <c r="HG195" s="740"/>
      <c r="HH195" s="740"/>
      <c r="HI195" s="740"/>
      <c r="HJ195" s="740"/>
      <c r="HK195" s="740"/>
      <c r="HL195" s="740"/>
      <c r="HM195" s="740"/>
      <c r="HN195" s="740"/>
      <c r="HO195" s="740"/>
      <c r="HP195" s="740"/>
      <c r="HQ195" s="740"/>
      <c r="HR195" s="740"/>
      <c r="HS195" s="740"/>
      <c r="HT195" s="740"/>
      <c r="HU195" s="740"/>
      <c r="HV195" s="740"/>
      <c r="HW195" s="740"/>
      <c r="HX195" s="740"/>
      <c r="HY195" s="740"/>
      <c r="HZ195" s="740"/>
      <c r="IA195" s="740"/>
      <c r="IB195" s="740"/>
      <c r="IC195" s="740"/>
      <c r="ID195" s="740"/>
      <c r="IE195" s="740"/>
      <c r="IF195" s="740"/>
      <c r="IG195" s="740"/>
      <c r="IH195" s="740"/>
      <c r="II195" s="740"/>
      <c r="IJ195" s="740"/>
      <c r="IK195" s="740"/>
      <c r="IL195" s="740"/>
      <c r="IM195" s="740"/>
      <c r="IN195" s="740"/>
      <c r="IO195" s="740"/>
      <c r="IP195" s="740"/>
      <c r="IQ195" s="740"/>
      <c r="IR195" s="740"/>
      <c r="IS195" s="740"/>
      <c r="IT195" s="740"/>
      <c r="IU195" s="740"/>
      <c r="IV195" s="740"/>
      <c r="IW195" s="740"/>
      <c r="IX195" s="740"/>
      <c r="IY195" s="740"/>
    </row>
    <row r="196" spans="1:259" s="741" customFormat="1" ht="70">
      <c r="A196" s="752"/>
      <c r="B196" s="716"/>
      <c r="C196" s="740"/>
      <c r="D196" s="740"/>
      <c r="E196" s="753" t="s">
        <v>2287</v>
      </c>
      <c r="F196" s="746"/>
      <c r="G196" s="754" t="s">
        <v>2288</v>
      </c>
      <c r="H196" s="755"/>
      <c r="I196" s="740"/>
      <c r="J196" s="747"/>
      <c r="K196" s="747"/>
      <c r="L196" s="740"/>
      <c r="M196" s="740"/>
      <c r="N196" s="740"/>
      <c r="O196" s="740"/>
      <c r="P196" s="740"/>
      <c r="Q196" s="740"/>
      <c r="R196" s="740"/>
      <c r="S196" s="740"/>
      <c r="T196" s="740"/>
      <c r="U196" s="740"/>
      <c r="V196" s="740"/>
      <c r="W196" s="740"/>
      <c r="X196" s="740"/>
      <c r="Y196" s="740"/>
      <c r="Z196" s="740"/>
      <c r="AA196" s="740"/>
      <c r="AB196" s="740"/>
      <c r="AC196" s="740"/>
      <c r="AD196" s="740"/>
      <c r="AE196" s="740"/>
      <c r="AF196" s="740"/>
      <c r="AG196" s="740"/>
      <c r="AH196" s="740"/>
      <c r="AI196" s="740"/>
      <c r="AJ196" s="740"/>
      <c r="AK196" s="740"/>
      <c r="AL196" s="740"/>
      <c r="AM196" s="740"/>
      <c r="AN196" s="740"/>
      <c r="AO196" s="740"/>
      <c r="AP196" s="740"/>
      <c r="AQ196" s="740"/>
      <c r="AR196" s="740"/>
      <c r="AS196" s="740"/>
      <c r="AT196" s="740"/>
      <c r="AU196" s="740"/>
      <c r="AV196" s="740"/>
      <c r="AW196" s="740"/>
      <c r="AX196" s="740"/>
      <c r="AY196" s="740"/>
      <c r="AZ196" s="740"/>
      <c r="BA196" s="740"/>
      <c r="BB196" s="740"/>
      <c r="BC196" s="740"/>
      <c r="BD196" s="740"/>
      <c r="BE196" s="740"/>
      <c r="BF196" s="740"/>
      <c r="BG196" s="740"/>
      <c r="BH196" s="740"/>
      <c r="BI196" s="740"/>
      <c r="BJ196" s="740"/>
      <c r="BK196" s="740"/>
      <c r="BL196" s="740"/>
      <c r="BM196" s="740"/>
      <c r="BN196" s="740"/>
      <c r="BO196" s="740"/>
      <c r="BP196" s="740"/>
      <c r="BQ196" s="740"/>
      <c r="BR196" s="740"/>
      <c r="BS196" s="740"/>
      <c r="BT196" s="740"/>
      <c r="BU196" s="740"/>
      <c r="BV196" s="740"/>
      <c r="BW196" s="740"/>
      <c r="BX196" s="740"/>
      <c r="BY196" s="740"/>
      <c r="BZ196" s="740"/>
      <c r="CA196" s="740"/>
      <c r="CB196" s="740"/>
      <c r="CC196" s="740"/>
      <c r="CD196" s="740"/>
      <c r="CE196" s="740"/>
      <c r="CF196" s="740"/>
      <c r="CG196" s="740"/>
      <c r="CH196" s="740"/>
      <c r="CI196" s="740"/>
      <c r="CJ196" s="740"/>
      <c r="CK196" s="740"/>
      <c r="CL196" s="740"/>
      <c r="CM196" s="740"/>
      <c r="CN196" s="740"/>
      <c r="CO196" s="740"/>
      <c r="CP196" s="740"/>
      <c r="CQ196" s="740"/>
      <c r="CR196" s="740"/>
      <c r="CS196" s="740"/>
      <c r="CT196" s="740"/>
      <c r="CU196" s="740"/>
      <c r="CV196" s="740"/>
      <c r="CW196" s="740"/>
      <c r="CX196" s="740"/>
      <c r="CY196" s="740"/>
      <c r="CZ196" s="740"/>
      <c r="DA196" s="740"/>
      <c r="DB196" s="740"/>
      <c r="DC196" s="740"/>
      <c r="DD196" s="740"/>
      <c r="DE196" s="740"/>
      <c r="DF196" s="740"/>
      <c r="DG196" s="740"/>
      <c r="DH196" s="740"/>
      <c r="DI196" s="740"/>
      <c r="DJ196" s="740"/>
      <c r="DK196" s="740"/>
      <c r="DL196" s="740"/>
      <c r="DM196" s="740"/>
      <c r="DN196" s="740"/>
      <c r="DO196" s="740"/>
      <c r="DP196" s="740"/>
      <c r="DQ196" s="740"/>
      <c r="DR196" s="740"/>
      <c r="DS196" s="740"/>
      <c r="DT196" s="740"/>
      <c r="DU196" s="740"/>
      <c r="DV196" s="740"/>
      <c r="DW196" s="740"/>
      <c r="DX196" s="740"/>
      <c r="DY196" s="740"/>
      <c r="DZ196" s="740"/>
      <c r="EA196" s="740"/>
      <c r="EB196" s="740"/>
      <c r="EC196" s="740"/>
      <c r="ED196" s="740"/>
      <c r="EE196" s="740"/>
      <c r="EF196" s="740"/>
      <c r="EG196" s="740"/>
      <c r="EH196" s="740"/>
      <c r="EI196" s="740"/>
      <c r="EJ196" s="740"/>
      <c r="EK196" s="740"/>
      <c r="EL196" s="740"/>
      <c r="EM196" s="740"/>
      <c r="EN196" s="740"/>
      <c r="EO196" s="740"/>
      <c r="EP196" s="740"/>
      <c r="EQ196" s="740"/>
      <c r="ER196" s="740"/>
      <c r="ES196" s="740"/>
      <c r="ET196" s="740"/>
      <c r="EU196" s="740"/>
      <c r="EV196" s="740"/>
      <c r="EW196" s="740"/>
      <c r="EX196" s="740"/>
      <c r="EY196" s="740"/>
      <c r="EZ196" s="740"/>
      <c r="FA196" s="740"/>
      <c r="FB196" s="740"/>
      <c r="FC196" s="740"/>
      <c r="FD196" s="740"/>
      <c r="FE196" s="740"/>
      <c r="FF196" s="740"/>
      <c r="FG196" s="740"/>
      <c r="FH196" s="740"/>
      <c r="FI196" s="740"/>
      <c r="FJ196" s="740"/>
      <c r="FK196" s="740"/>
      <c r="FL196" s="740"/>
      <c r="FM196" s="740"/>
      <c r="FN196" s="740"/>
      <c r="FO196" s="740"/>
      <c r="FP196" s="740"/>
      <c r="FQ196" s="740"/>
      <c r="FR196" s="740"/>
      <c r="FS196" s="740"/>
      <c r="FT196" s="740"/>
      <c r="FU196" s="740"/>
      <c r="FV196" s="740"/>
      <c r="FW196" s="740"/>
      <c r="FX196" s="740"/>
      <c r="FY196" s="740"/>
      <c r="FZ196" s="740"/>
      <c r="GA196" s="740"/>
      <c r="GB196" s="740"/>
      <c r="GC196" s="740"/>
      <c r="GD196" s="740"/>
      <c r="GE196" s="740"/>
      <c r="GF196" s="740"/>
      <c r="GG196" s="740"/>
      <c r="GH196" s="740"/>
      <c r="GI196" s="740"/>
      <c r="GJ196" s="740"/>
      <c r="GK196" s="740"/>
      <c r="GL196" s="740"/>
      <c r="GM196" s="740"/>
      <c r="GN196" s="740"/>
      <c r="GO196" s="740"/>
      <c r="GP196" s="740"/>
      <c r="GQ196" s="740"/>
      <c r="GR196" s="740"/>
      <c r="GS196" s="740"/>
      <c r="GT196" s="740"/>
      <c r="GU196" s="740"/>
      <c r="GV196" s="740"/>
      <c r="GW196" s="740"/>
      <c r="GX196" s="740"/>
      <c r="GY196" s="740"/>
      <c r="GZ196" s="740"/>
      <c r="HA196" s="740"/>
      <c r="HB196" s="740"/>
      <c r="HC196" s="740"/>
      <c r="HD196" s="740"/>
      <c r="HE196" s="740"/>
      <c r="HF196" s="740"/>
      <c r="HG196" s="740"/>
      <c r="HH196" s="740"/>
      <c r="HI196" s="740"/>
      <c r="HJ196" s="740"/>
      <c r="HK196" s="740"/>
      <c r="HL196" s="740"/>
      <c r="HM196" s="740"/>
      <c r="HN196" s="740"/>
      <c r="HO196" s="740"/>
      <c r="HP196" s="740"/>
      <c r="HQ196" s="740"/>
      <c r="HR196" s="740"/>
      <c r="HS196" s="740"/>
      <c r="HT196" s="740"/>
      <c r="HU196" s="740"/>
      <c r="HV196" s="740"/>
      <c r="HW196" s="740"/>
      <c r="HX196" s="740"/>
      <c r="HY196" s="740"/>
      <c r="HZ196" s="740"/>
      <c r="IA196" s="740"/>
      <c r="IB196" s="740"/>
      <c r="IC196" s="740"/>
      <c r="ID196" s="740"/>
      <c r="IE196" s="740"/>
      <c r="IF196" s="740"/>
      <c r="IG196" s="740"/>
      <c r="IH196" s="740"/>
      <c r="II196" s="740"/>
      <c r="IJ196" s="740"/>
      <c r="IK196" s="740"/>
      <c r="IL196" s="740"/>
      <c r="IM196" s="740"/>
      <c r="IN196" s="740"/>
      <c r="IO196" s="740"/>
      <c r="IP196" s="740"/>
      <c r="IQ196" s="740"/>
      <c r="IR196" s="740"/>
      <c r="IS196" s="740"/>
      <c r="IT196" s="740"/>
      <c r="IU196" s="740"/>
      <c r="IV196" s="740"/>
      <c r="IW196" s="740"/>
      <c r="IX196" s="740"/>
      <c r="IY196" s="740"/>
    </row>
    <row r="197" spans="1:259" s="741" customFormat="1" ht="28">
      <c r="A197" s="752"/>
      <c r="B197" s="716"/>
      <c r="C197" s="740"/>
      <c r="D197" s="740"/>
      <c r="E197" s="753" t="s">
        <v>2289</v>
      </c>
      <c r="F197" s="746"/>
      <c r="G197" s="754" t="s">
        <v>2290</v>
      </c>
      <c r="H197" s="755"/>
      <c r="I197" s="740"/>
      <c r="J197" s="747"/>
      <c r="K197" s="747"/>
      <c r="L197" s="740"/>
      <c r="M197" s="740"/>
      <c r="N197" s="740"/>
      <c r="O197" s="740"/>
      <c r="P197" s="740"/>
      <c r="Q197" s="740"/>
      <c r="R197" s="740"/>
      <c r="S197" s="740"/>
      <c r="T197" s="740"/>
      <c r="U197" s="740"/>
      <c r="V197" s="740"/>
      <c r="W197" s="740"/>
      <c r="X197" s="740"/>
      <c r="Y197" s="740"/>
      <c r="Z197" s="740"/>
      <c r="AA197" s="740"/>
      <c r="AB197" s="740"/>
      <c r="AC197" s="740"/>
      <c r="AD197" s="740"/>
      <c r="AE197" s="740"/>
      <c r="AF197" s="740"/>
      <c r="AG197" s="740"/>
      <c r="AH197" s="740"/>
      <c r="AI197" s="740"/>
      <c r="AJ197" s="740"/>
      <c r="AK197" s="740"/>
      <c r="AL197" s="740"/>
      <c r="AM197" s="740"/>
      <c r="AN197" s="740"/>
      <c r="AO197" s="740"/>
      <c r="AP197" s="740"/>
      <c r="AQ197" s="740"/>
      <c r="AR197" s="740"/>
      <c r="AS197" s="740"/>
      <c r="AT197" s="740"/>
      <c r="AU197" s="740"/>
      <c r="AV197" s="740"/>
      <c r="AW197" s="740"/>
      <c r="AX197" s="740"/>
      <c r="AY197" s="740"/>
      <c r="AZ197" s="740"/>
      <c r="BA197" s="740"/>
      <c r="BB197" s="740"/>
      <c r="BC197" s="740"/>
      <c r="BD197" s="740"/>
      <c r="BE197" s="740"/>
      <c r="BF197" s="740"/>
      <c r="BG197" s="740"/>
      <c r="BH197" s="740"/>
      <c r="BI197" s="740"/>
      <c r="BJ197" s="740"/>
      <c r="BK197" s="740"/>
      <c r="BL197" s="740"/>
      <c r="BM197" s="740"/>
      <c r="BN197" s="740"/>
      <c r="BO197" s="740"/>
      <c r="BP197" s="740"/>
      <c r="BQ197" s="740"/>
      <c r="BR197" s="740"/>
      <c r="BS197" s="740"/>
      <c r="BT197" s="740"/>
      <c r="BU197" s="740"/>
      <c r="BV197" s="740"/>
      <c r="BW197" s="740"/>
      <c r="BX197" s="740"/>
      <c r="BY197" s="740"/>
      <c r="BZ197" s="740"/>
      <c r="CA197" s="740"/>
      <c r="CB197" s="740"/>
      <c r="CC197" s="740"/>
      <c r="CD197" s="740"/>
      <c r="CE197" s="740"/>
      <c r="CF197" s="740"/>
      <c r="CG197" s="740"/>
      <c r="CH197" s="740"/>
      <c r="CI197" s="740"/>
      <c r="CJ197" s="740"/>
      <c r="CK197" s="740"/>
      <c r="CL197" s="740"/>
      <c r="CM197" s="740"/>
      <c r="CN197" s="740"/>
      <c r="CO197" s="740"/>
      <c r="CP197" s="740"/>
      <c r="CQ197" s="740"/>
      <c r="CR197" s="740"/>
      <c r="CS197" s="740"/>
      <c r="CT197" s="740"/>
      <c r="CU197" s="740"/>
      <c r="CV197" s="740"/>
      <c r="CW197" s="740"/>
      <c r="CX197" s="740"/>
      <c r="CY197" s="740"/>
      <c r="CZ197" s="740"/>
      <c r="DA197" s="740"/>
      <c r="DB197" s="740"/>
      <c r="DC197" s="740"/>
      <c r="DD197" s="740"/>
      <c r="DE197" s="740"/>
      <c r="DF197" s="740"/>
      <c r="DG197" s="740"/>
      <c r="DH197" s="740"/>
      <c r="DI197" s="740"/>
      <c r="DJ197" s="740"/>
      <c r="DK197" s="740"/>
      <c r="DL197" s="740"/>
      <c r="DM197" s="740"/>
      <c r="DN197" s="740"/>
      <c r="DO197" s="740"/>
      <c r="DP197" s="740"/>
      <c r="DQ197" s="740"/>
      <c r="DR197" s="740"/>
      <c r="DS197" s="740"/>
      <c r="DT197" s="740"/>
      <c r="DU197" s="740"/>
      <c r="DV197" s="740"/>
      <c r="DW197" s="740"/>
      <c r="DX197" s="740"/>
      <c r="DY197" s="740"/>
      <c r="DZ197" s="740"/>
      <c r="EA197" s="740"/>
      <c r="EB197" s="740"/>
      <c r="EC197" s="740"/>
      <c r="ED197" s="740"/>
      <c r="EE197" s="740"/>
      <c r="EF197" s="740"/>
      <c r="EG197" s="740"/>
      <c r="EH197" s="740"/>
      <c r="EI197" s="740"/>
      <c r="EJ197" s="740"/>
      <c r="EK197" s="740"/>
      <c r="EL197" s="740"/>
      <c r="EM197" s="740"/>
      <c r="EN197" s="740"/>
      <c r="EO197" s="740"/>
      <c r="EP197" s="740"/>
      <c r="EQ197" s="740"/>
      <c r="ER197" s="740"/>
      <c r="ES197" s="740"/>
      <c r="ET197" s="740"/>
      <c r="EU197" s="740"/>
      <c r="EV197" s="740"/>
      <c r="EW197" s="740"/>
      <c r="EX197" s="740"/>
      <c r="EY197" s="740"/>
      <c r="EZ197" s="740"/>
      <c r="FA197" s="740"/>
      <c r="FB197" s="740"/>
      <c r="FC197" s="740"/>
      <c r="FD197" s="740"/>
      <c r="FE197" s="740"/>
      <c r="FF197" s="740"/>
      <c r="FG197" s="740"/>
      <c r="FH197" s="740"/>
      <c r="FI197" s="740"/>
      <c r="FJ197" s="740"/>
      <c r="FK197" s="740"/>
      <c r="FL197" s="740"/>
      <c r="FM197" s="740"/>
      <c r="FN197" s="740"/>
      <c r="FO197" s="740"/>
      <c r="FP197" s="740"/>
      <c r="FQ197" s="740"/>
      <c r="FR197" s="740"/>
      <c r="FS197" s="740"/>
      <c r="FT197" s="740"/>
      <c r="FU197" s="740"/>
      <c r="FV197" s="740"/>
      <c r="FW197" s="740"/>
      <c r="FX197" s="740"/>
      <c r="FY197" s="740"/>
      <c r="FZ197" s="740"/>
      <c r="GA197" s="740"/>
      <c r="GB197" s="740"/>
      <c r="GC197" s="740"/>
      <c r="GD197" s="740"/>
      <c r="GE197" s="740"/>
      <c r="GF197" s="740"/>
      <c r="GG197" s="740"/>
      <c r="GH197" s="740"/>
      <c r="GI197" s="740"/>
      <c r="GJ197" s="740"/>
      <c r="GK197" s="740"/>
      <c r="GL197" s="740"/>
      <c r="GM197" s="740"/>
      <c r="GN197" s="740"/>
      <c r="GO197" s="740"/>
      <c r="GP197" s="740"/>
      <c r="GQ197" s="740"/>
      <c r="GR197" s="740"/>
      <c r="GS197" s="740"/>
      <c r="GT197" s="740"/>
      <c r="GU197" s="740"/>
      <c r="GV197" s="740"/>
      <c r="GW197" s="740"/>
      <c r="GX197" s="740"/>
      <c r="GY197" s="740"/>
      <c r="GZ197" s="740"/>
      <c r="HA197" s="740"/>
      <c r="HB197" s="740"/>
      <c r="HC197" s="740"/>
      <c r="HD197" s="740"/>
      <c r="HE197" s="740"/>
      <c r="HF197" s="740"/>
      <c r="HG197" s="740"/>
      <c r="HH197" s="740"/>
      <c r="HI197" s="740"/>
      <c r="HJ197" s="740"/>
      <c r="HK197" s="740"/>
      <c r="HL197" s="740"/>
      <c r="HM197" s="740"/>
      <c r="HN197" s="740"/>
      <c r="HO197" s="740"/>
      <c r="HP197" s="740"/>
      <c r="HQ197" s="740"/>
      <c r="HR197" s="740"/>
      <c r="HS197" s="740"/>
      <c r="HT197" s="740"/>
      <c r="HU197" s="740"/>
      <c r="HV197" s="740"/>
      <c r="HW197" s="740"/>
      <c r="HX197" s="740"/>
      <c r="HY197" s="740"/>
      <c r="HZ197" s="740"/>
      <c r="IA197" s="740"/>
      <c r="IB197" s="740"/>
      <c r="IC197" s="740"/>
      <c r="ID197" s="740"/>
      <c r="IE197" s="740"/>
      <c r="IF197" s="740"/>
      <c r="IG197" s="740"/>
      <c r="IH197" s="740"/>
      <c r="II197" s="740"/>
      <c r="IJ197" s="740"/>
      <c r="IK197" s="740"/>
      <c r="IL197" s="740"/>
      <c r="IM197" s="740"/>
      <c r="IN197" s="740"/>
      <c r="IO197" s="740"/>
      <c r="IP197" s="740"/>
      <c r="IQ197" s="740"/>
      <c r="IR197" s="740"/>
      <c r="IS197" s="740"/>
      <c r="IT197" s="740"/>
      <c r="IU197" s="740"/>
      <c r="IV197" s="740"/>
      <c r="IW197" s="740"/>
      <c r="IX197" s="740"/>
      <c r="IY197" s="740"/>
    </row>
    <row r="198" spans="1:259" s="741" customFormat="1" ht="42">
      <c r="A198" s="752"/>
      <c r="B198" s="716"/>
      <c r="C198" s="740"/>
      <c r="D198" s="740"/>
      <c r="E198" s="753" t="s">
        <v>2291</v>
      </c>
      <c r="F198" s="746"/>
      <c r="G198" s="754" t="s">
        <v>2292</v>
      </c>
      <c r="H198" s="755"/>
      <c r="I198" s="740"/>
      <c r="J198" s="747"/>
      <c r="K198" s="747"/>
      <c r="L198" s="740"/>
      <c r="M198" s="740"/>
      <c r="N198" s="740"/>
      <c r="O198" s="740"/>
      <c r="P198" s="740"/>
      <c r="Q198" s="740"/>
      <c r="R198" s="740"/>
      <c r="S198" s="740"/>
      <c r="T198" s="740"/>
      <c r="U198" s="740"/>
      <c r="V198" s="740"/>
      <c r="W198" s="740"/>
      <c r="X198" s="740"/>
      <c r="Y198" s="740"/>
      <c r="Z198" s="740"/>
      <c r="AA198" s="740"/>
      <c r="AB198" s="740"/>
      <c r="AC198" s="740"/>
      <c r="AD198" s="740"/>
      <c r="AE198" s="740"/>
      <c r="AF198" s="740"/>
      <c r="AG198" s="740"/>
      <c r="AH198" s="740"/>
      <c r="AI198" s="740"/>
      <c r="AJ198" s="740"/>
      <c r="AK198" s="740"/>
      <c r="AL198" s="740"/>
      <c r="AM198" s="740"/>
      <c r="AN198" s="740"/>
      <c r="AO198" s="740"/>
      <c r="AP198" s="740"/>
      <c r="AQ198" s="740"/>
      <c r="AR198" s="740"/>
      <c r="AS198" s="740"/>
      <c r="AT198" s="740"/>
      <c r="AU198" s="740"/>
      <c r="AV198" s="740"/>
      <c r="AW198" s="740"/>
      <c r="AX198" s="740"/>
      <c r="AY198" s="740"/>
      <c r="AZ198" s="740"/>
      <c r="BA198" s="740"/>
      <c r="BB198" s="740"/>
      <c r="BC198" s="740"/>
      <c r="BD198" s="740"/>
      <c r="BE198" s="740"/>
      <c r="BF198" s="740"/>
      <c r="BG198" s="740"/>
      <c r="BH198" s="740"/>
      <c r="BI198" s="740"/>
      <c r="BJ198" s="740"/>
      <c r="BK198" s="740"/>
      <c r="BL198" s="740"/>
      <c r="BM198" s="740"/>
      <c r="BN198" s="740"/>
      <c r="BO198" s="740"/>
      <c r="BP198" s="740"/>
      <c r="BQ198" s="740"/>
      <c r="BR198" s="740"/>
      <c r="BS198" s="740"/>
      <c r="BT198" s="740"/>
      <c r="BU198" s="740"/>
      <c r="BV198" s="740"/>
      <c r="BW198" s="740"/>
      <c r="BX198" s="740"/>
      <c r="BY198" s="740"/>
      <c r="BZ198" s="740"/>
      <c r="CA198" s="740"/>
      <c r="CB198" s="740"/>
      <c r="CC198" s="740"/>
      <c r="CD198" s="740"/>
      <c r="CE198" s="740"/>
      <c r="CF198" s="740"/>
      <c r="CG198" s="740"/>
      <c r="CH198" s="740"/>
      <c r="CI198" s="740"/>
      <c r="CJ198" s="740"/>
      <c r="CK198" s="740"/>
      <c r="CL198" s="740"/>
      <c r="CM198" s="740"/>
      <c r="CN198" s="740"/>
      <c r="CO198" s="740"/>
      <c r="CP198" s="740"/>
      <c r="CQ198" s="740"/>
      <c r="CR198" s="740"/>
      <c r="CS198" s="740"/>
      <c r="CT198" s="740"/>
      <c r="CU198" s="740"/>
      <c r="CV198" s="740"/>
      <c r="CW198" s="740"/>
      <c r="CX198" s="740"/>
      <c r="CY198" s="740"/>
      <c r="CZ198" s="740"/>
      <c r="DA198" s="740"/>
      <c r="DB198" s="740"/>
      <c r="DC198" s="740"/>
      <c r="DD198" s="740"/>
      <c r="DE198" s="740"/>
      <c r="DF198" s="740"/>
      <c r="DG198" s="740"/>
      <c r="DH198" s="740"/>
      <c r="DI198" s="740"/>
      <c r="DJ198" s="740"/>
      <c r="DK198" s="740"/>
      <c r="DL198" s="740"/>
      <c r="DM198" s="740"/>
      <c r="DN198" s="740"/>
      <c r="DO198" s="740"/>
      <c r="DP198" s="740"/>
      <c r="DQ198" s="740"/>
      <c r="DR198" s="740"/>
      <c r="DS198" s="740"/>
      <c r="DT198" s="740"/>
      <c r="DU198" s="740"/>
      <c r="DV198" s="740"/>
      <c r="DW198" s="740"/>
      <c r="DX198" s="740"/>
      <c r="DY198" s="740"/>
      <c r="DZ198" s="740"/>
      <c r="EA198" s="740"/>
      <c r="EB198" s="740"/>
      <c r="EC198" s="740"/>
      <c r="ED198" s="740"/>
      <c r="EE198" s="740"/>
      <c r="EF198" s="740"/>
      <c r="EG198" s="740"/>
      <c r="EH198" s="740"/>
      <c r="EI198" s="740"/>
      <c r="EJ198" s="740"/>
      <c r="EK198" s="740"/>
      <c r="EL198" s="740"/>
      <c r="EM198" s="740"/>
      <c r="EN198" s="740"/>
      <c r="EO198" s="740"/>
      <c r="EP198" s="740"/>
      <c r="EQ198" s="740"/>
      <c r="ER198" s="740"/>
      <c r="ES198" s="740"/>
      <c r="ET198" s="740"/>
      <c r="EU198" s="740"/>
      <c r="EV198" s="740"/>
      <c r="EW198" s="740"/>
      <c r="EX198" s="740"/>
      <c r="EY198" s="740"/>
      <c r="EZ198" s="740"/>
      <c r="FA198" s="740"/>
      <c r="FB198" s="740"/>
      <c r="FC198" s="740"/>
      <c r="FD198" s="740"/>
      <c r="FE198" s="740"/>
      <c r="FF198" s="740"/>
      <c r="FG198" s="740"/>
      <c r="FH198" s="740"/>
      <c r="FI198" s="740"/>
      <c r="FJ198" s="740"/>
      <c r="FK198" s="740"/>
      <c r="FL198" s="740"/>
      <c r="FM198" s="740"/>
      <c r="FN198" s="740"/>
      <c r="FO198" s="740"/>
      <c r="FP198" s="740"/>
      <c r="FQ198" s="740"/>
      <c r="FR198" s="740"/>
      <c r="FS198" s="740"/>
      <c r="FT198" s="740"/>
      <c r="FU198" s="740"/>
      <c r="FV198" s="740"/>
      <c r="FW198" s="740"/>
      <c r="FX198" s="740"/>
      <c r="FY198" s="740"/>
      <c r="FZ198" s="740"/>
      <c r="GA198" s="740"/>
      <c r="GB198" s="740"/>
      <c r="GC198" s="740"/>
      <c r="GD198" s="740"/>
      <c r="GE198" s="740"/>
      <c r="GF198" s="740"/>
      <c r="GG198" s="740"/>
      <c r="GH198" s="740"/>
      <c r="GI198" s="740"/>
      <c r="GJ198" s="740"/>
      <c r="GK198" s="740"/>
      <c r="GL198" s="740"/>
      <c r="GM198" s="740"/>
      <c r="GN198" s="740"/>
      <c r="GO198" s="740"/>
      <c r="GP198" s="740"/>
      <c r="GQ198" s="740"/>
      <c r="GR198" s="740"/>
      <c r="GS198" s="740"/>
      <c r="GT198" s="740"/>
      <c r="GU198" s="740"/>
      <c r="GV198" s="740"/>
      <c r="GW198" s="740"/>
      <c r="GX198" s="740"/>
      <c r="GY198" s="740"/>
      <c r="GZ198" s="740"/>
      <c r="HA198" s="740"/>
      <c r="HB198" s="740"/>
      <c r="HC198" s="740"/>
      <c r="HD198" s="740"/>
      <c r="HE198" s="740"/>
      <c r="HF198" s="740"/>
      <c r="HG198" s="740"/>
      <c r="HH198" s="740"/>
      <c r="HI198" s="740"/>
      <c r="HJ198" s="740"/>
      <c r="HK198" s="740"/>
      <c r="HL198" s="740"/>
      <c r="HM198" s="740"/>
      <c r="HN198" s="740"/>
      <c r="HO198" s="740"/>
      <c r="HP198" s="740"/>
      <c r="HQ198" s="740"/>
      <c r="HR198" s="740"/>
      <c r="HS198" s="740"/>
      <c r="HT198" s="740"/>
      <c r="HU198" s="740"/>
      <c r="HV198" s="740"/>
      <c r="HW198" s="740"/>
      <c r="HX198" s="740"/>
      <c r="HY198" s="740"/>
      <c r="HZ198" s="740"/>
      <c r="IA198" s="740"/>
      <c r="IB198" s="740"/>
      <c r="IC198" s="740"/>
      <c r="ID198" s="740"/>
      <c r="IE198" s="740"/>
      <c r="IF198" s="740"/>
      <c r="IG198" s="740"/>
      <c r="IH198" s="740"/>
      <c r="II198" s="740"/>
      <c r="IJ198" s="740"/>
      <c r="IK198" s="740"/>
      <c r="IL198" s="740"/>
      <c r="IM198" s="740"/>
      <c r="IN198" s="740"/>
      <c r="IO198" s="740"/>
      <c r="IP198" s="740"/>
      <c r="IQ198" s="740"/>
      <c r="IR198" s="740"/>
      <c r="IS198" s="740"/>
      <c r="IT198" s="740"/>
      <c r="IU198" s="740"/>
      <c r="IV198" s="740"/>
      <c r="IW198" s="740"/>
      <c r="IX198" s="740"/>
      <c r="IY198" s="740"/>
    </row>
    <row r="199" spans="1:259" ht="70">
      <c r="E199" s="753" t="s">
        <v>2293</v>
      </c>
      <c r="G199" s="756" t="s">
        <v>2294</v>
      </c>
      <c r="H199" s="755"/>
    </row>
    <row r="200" spans="1:259" ht="70">
      <c r="E200" s="754" t="s">
        <v>2295</v>
      </c>
      <c r="G200" s="756" t="s">
        <v>2296</v>
      </c>
    </row>
    <row r="201" spans="1:259" ht="28">
      <c r="E201" s="753" t="s">
        <v>2297</v>
      </c>
      <c r="G201" s="756"/>
    </row>
    <row r="202" spans="1:259">
      <c r="G202" s="756"/>
    </row>
    <row r="206" spans="1:259" ht="28">
      <c r="B206" s="716" t="s">
        <v>2298</v>
      </c>
    </row>
    <row r="207" spans="1:259" s="716" customFormat="1" ht="14">
      <c r="A207" s="745"/>
      <c r="C207" s="716" t="s">
        <v>119</v>
      </c>
      <c r="F207" s="746"/>
      <c r="J207" s="747"/>
      <c r="K207" s="747"/>
    </row>
    <row r="208" spans="1:259" s="716" customFormat="1" ht="14">
      <c r="A208" s="745"/>
      <c r="B208" s="716">
        <v>0</v>
      </c>
      <c r="C208" s="716" t="s">
        <v>7</v>
      </c>
      <c r="F208" s="746"/>
      <c r="J208" s="747"/>
      <c r="K208" s="747"/>
    </row>
    <row r="209" spans="1:11" s="716" customFormat="1">
      <c r="A209" s="745"/>
      <c r="B209" s="716">
        <v>1</v>
      </c>
      <c r="F209" s="746"/>
      <c r="J209" s="747"/>
      <c r="K209" s="747"/>
    </row>
  </sheetData>
  <sheetProtection algorithmName="SHA-512" hashValue="i5E4q0X4jmfQiscE56/a2hmMCrwY2XFbvnVyN6K+jpIH7xfEnN9NZPx4Cz4knXgMZlYSjQBbZWreMpvMt/LzzQ==" saltValue="2v98IfFCREb7bO/AL07qzg==" spinCount="100000" sheet="1" objects="1" scenarios="1" selectLockedCells="1" selectUnlockedCells="1"/>
  <mergeCells count="36">
    <mergeCell ref="C185:E185"/>
    <mergeCell ref="A112:A115"/>
    <mergeCell ref="A117:A121"/>
    <mergeCell ref="A123:A126"/>
    <mergeCell ref="A128:A132"/>
    <mergeCell ref="A134:A138"/>
    <mergeCell ref="A140:A144"/>
    <mergeCell ref="A146:A149"/>
    <mergeCell ref="A151:A156"/>
    <mergeCell ref="A158:A162"/>
    <mergeCell ref="A164:A168"/>
    <mergeCell ref="A170:A173"/>
    <mergeCell ref="A106:A108"/>
    <mergeCell ref="A36:A40"/>
    <mergeCell ref="A42:A46"/>
    <mergeCell ref="A48:A52"/>
    <mergeCell ref="A54:A58"/>
    <mergeCell ref="A60:A64"/>
    <mergeCell ref="A66:A70"/>
    <mergeCell ref="A72:A75"/>
    <mergeCell ref="A77:A81"/>
    <mergeCell ref="A83:A87"/>
    <mergeCell ref="A89:A93"/>
    <mergeCell ref="A97:A101"/>
    <mergeCell ref="A30:A32"/>
    <mergeCell ref="A2:B2"/>
    <mergeCell ref="C2:D2"/>
    <mergeCell ref="F2:G2"/>
    <mergeCell ref="I2:M2"/>
    <mergeCell ref="A3:D3"/>
    <mergeCell ref="H3:I3"/>
    <mergeCell ref="C4:D4"/>
    <mergeCell ref="A5:A9"/>
    <mergeCell ref="A11:A17"/>
    <mergeCell ref="A19:A24"/>
    <mergeCell ref="A26:A28"/>
  </mergeCells>
  <dataValidations count="3">
    <dataValidation type="list" allowBlank="1" showInputMessage="1" showErrorMessage="1" sqref="G5:G9 G11:G182" xr:uid="{00000000-0002-0000-4F00-000000000000}">
      <formula1>$G$191:$G$202</formula1>
    </dataValidation>
    <dataValidation type="list" allowBlank="1" showInputMessage="1" showErrorMessage="1" promptTitle="Standardbegründungen" sqref="G191:G202" xr:uid="{00000000-0002-0000-4F00-000001000000}">
      <formula1>$G$190:$G$202</formula1>
    </dataValidation>
    <dataValidation type="list" allowBlank="1" showInputMessage="1" showErrorMessage="1" promptTitle="Standardbegründungen" sqref="G190 H190:H199" xr:uid="{00000000-0002-0000-4F00-000002000000}">
      <formula1>$G$190:$G$199</formula1>
    </dataValidation>
  </dataValidations>
  <pageMargins left="0.7" right="0.7" top="0.78740157499999996" bottom="0.78740157499999996" header="0.3" footer="0.3"/>
  <pageSetup fitToHeight="0" orientation="portrait" r:id="rId1"/>
  <headerFooter>
    <oddFooter>&amp;LDok.-Nr /Rev./Datum
AH06 / 01 / 02.12.2019
&amp;F&amp;CReportbewertung Level C, B, A&amp;RSeite &amp;P</oddFooter>
  </headerFooter>
  <legacyDrawing r:id="rId2"/>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0E9B8-2281-47F6-98C0-3B219401FC75}">
  <sheetPr codeName="Support_Sheet73"/>
  <dimension ref="A1:IW210"/>
  <sheetViews>
    <sheetView showGridLines="0" zoomScale="77" zoomScaleNormal="77" workbookViewId="0">
      <pane xSplit="4" ySplit="4" topLeftCell="E175" activePane="bottomRight" state="frozen"/>
      <selection pane="topRight" activeCell="C53" sqref="C53"/>
      <selection pane="bottomLeft" activeCell="C53" sqref="C53"/>
      <selection pane="bottomRight" activeCell="M187" sqref="M187"/>
    </sheetView>
  </sheetViews>
  <sheetFormatPr baseColWidth="10" defaultColWidth="16.33203125" defaultRowHeight="13"/>
  <cols>
    <col min="1" max="1" width="8" style="918" customWidth="1"/>
    <col min="2" max="2" width="10.83203125" style="915" customWidth="1"/>
    <col min="3" max="3" width="11.1640625" style="915" customWidth="1"/>
    <col min="4" max="4" width="12.6640625" style="915" customWidth="1"/>
    <col min="5" max="5" width="37.6640625" style="915" customWidth="1"/>
    <col min="6" max="6" width="15.5" style="917" customWidth="1"/>
    <col min="7" max="7" width="26" style="915" customWidth="1"/>
    <col min="8" max="8" width="21.6640625" style="915" customWidth="1"/>
    <col min="9" max="9" width="99.1640625" style="915" bestFit="1" customWidth="1"/>
    <col min="10" max="10" width="16.6640625" style="916" bestFit="1" customWidth="1"/>
    <col min="11" max="11" width="17.5" style="916" bestFit="1" customWidth="1"/>
    <col min="12" max="12" width="12.5" style="915" bestFit="1" customWidth="1"/>
    <col min="13" max="13" width="5" style="915" bestFit="1" customWidth="1"/>
    <col min="14" max="14" width="5.33203125" style="915" customWidth="1"/>
    <col min="15" max="15" width="50.6640625" style="915" hidden="1" customWidth="1"/>
    <col min="16" max="16" width="2.1640625" style="915" hidden="1" customWidth="1"/>
    <col min="17" max="257" width="16.33203125" style="915" customWidth="1"/>
    <col min="258" max="16384" width="16.33203125" style="914"/>
  </cols>
  <sheetData>
    <row r="1" spans="1:16" ht="42">
      <c r="A1" s="915" t="s">
        <v>3709</v>
      </c>
    </row>
    <row r="2" spans="1:16" ht="37.5" customHeight="1">
      <c r="A2" s="2457" t="s">
        <v>2017</v>
      </c>
      <c r="B2" s="2458"/>
      <c r="C2" s="2458" t="str">
        <f>Scoring!R3</f>
        <v>Zert. Nummer:</v>
      </c>
      <c r="D2" s="2458"/>
      <c r="E2" s="1012" t="s">
        <v>288</v>
      </c>
      <c r="F2" s="2459" t="str">
        <f>Scoring!L2</f>
        <v>Lead Assessor:</v>
      </c>
      <c r="G2" s="2458"/>
      <c r="H2" s="1111"/>
      <c r="I2" s="2489"/>
      <c r="J2" s="2489"/>
      <c r="K2" s="2489"/>
      <c r="L2" s="2489"/>
      <c r="M2" s="2490"/>
    </row>
    <row r="3" spans="1:16" ht="37.5" customHeight="1" thickBot="1">
      <c r="A3" s="2487"/>
      <c r="B3" s="2488"/>
      <c r="C3" s="2488"/>
      <c r="D3" s="2488"/>
      <c r="E3" s="1193" t="s">
        <v>2018</v>
      </c>
      <c r="F3" s="1194" t="str">
        <f>Scoring!R2</f>
        <v>A, PJM</v>
      </c>
      <c r="G3" s="1194" t="str">
        <f>Scoring_Cand_Name</f>
        <v xml:space="preserve">, </v>
      </c>
      <c r="H3" s="2491" t="s">
        <v>2633</v>
      </c>
      <c r="I3" s="2491"/>
      <c r="J3" s="1195"/>
      <c r="K3" s="1195"/>
      <c r="L3" s="1196"/>
      <c r="M3" s="1197">
        <f>M182</f>
        <v>0</v>
      </c>
      <c r="P3" s="967"/>
    </row>
    <row r="4" spans="1:16" ht="34">
      <c r="A4" s="1226" t="s">
        <v>742</v>
      </c>
      <c r="B4" s="1227" t="s">
        <v>2019</v>
      </c>
      <c r="C4" s="2484" t="s">
        <v>2516</v>
      </c>
      <c r="D4" s="2485"/>
      <c r="E4" s="1228" t="s">
        <v>2021</v>
      </c>
      <c r="F4" s="1228" t="s">
        <v>2022</v>
      </c>
      <c r="G4" s="1228" t="s">
        <v>2023</v>
      </c>
      <c r="H4" s="1228" t="s">
        <v>2024</v>
      </c>
      <c r="I4" s="1228" t="s">
        <v>2025</v>
      </c>
      <c r="J4" s="1229" t="s">
        <v>2026</v>
      </c>
      <c r="K4" s="1229" t="s">
        <v>2027</v>
      </c>
      <c r="L4" s="1228" t="s">
        <v>2028</v>
      </c>
      <c r="M4" s="1230"/>
      <c r="O4" s="966" t="s">
        <v>2029</v>
      </c>
      <c r="P4" s="965"/>
    </row>
    <row r="5" spans="1:16" ht="98">
      <c r="A5" s="2478" t="s">
        <v>1190</v>
      </c>
      <c r="B5" s="984" t="s">
        <v>1293</v>
      </c>
      <c r="C5" s="985">
        <v>4</v>
      </c>
      <c r="D5" s="985">
        <v>6</v>
      </c>
      <c r="E5" s="986" t="s">
        <v>1301</v>
      </c>
      <c r="F5" s="968" t="str">
        <f>IF(Scoring!I14="","",Scoring!I14)</f>
        <v/>
      </c>
      <c r="G5" s="987"/>
      <c r="H5" s="987"/>
      <c r="I5" s="988" t="s">
        <v>2517</v>
      </c>
      <c r="J5" s="969"/>
      <c r="K5" s="969"/>
      <c r="L5" s="989"/>
      <c r="M5" s="990"/>
      <c r="O5" s="964"/>
      <c r="P5" s="963"/>
    </row>
    <row r="6" spans="1:16" ht="84">
      <c r="A6" s="2479"/>
      <c r="B6" s="984" t="s">
        <v>1303</v>
      </c>
      <c r="C6" s="985">
        <v>4</v>
      </c>
      <c r="D6" s="985">
        <v>6</v>
      </c>
      <c r="E6" s="986" t="s">
        <v>2518</v>
      </c>
      <c r="F6" s="968" t="str">
        <f>IF(Scoring!I15="","",Scoring!I15)</f>
        <v/>
      </c>
      <c r="G6" s="987"/>
      <c r="H6" s="987"/>
      <c r="I6" s="988" t="s">
        <v>2519</v>
      </c>
      <c r="J6" s="969"/>
      <c r="K6" s="969"/>
      <c r="L6" s="989"/>
      <c r="M6" s="990"/>
      <c r="O6" s="947"/>
      <c r="P6" s="954"/>
    </row>
    <row r="7" spans="1:16" ht="154">
      <c r="A7" s="2479"/>
      <c r="B7" s="984" t="s">
        <v>1598</v>
      </c>
      <c r="C7" s="985">
        <v>4</v>
      </c>
      <c r="D7" s="985">
        <v>5</v>
      </c>
      <c r="E7" s="986" t="s">
        <v>2520</v>
      </c>
      <c r="F7" s="968" t="str">
        <f>IF(Scoring!I16="","",Scoring!I16)</f>
        <v/>
      </c>
      <c r="G7" s="987"/>
      <c r="H7" s="987"/>
      <c r="I7" s="988" t="s">
        <v>2521</v>
      </c>
      <c r="J7" s="969"/>
      <c r="K7" s="969"/>
      <c r="L7" s="989"/>
      <c r="M7" s="990"/>
      <c r="O7" s="947"/>
      <c r="P7" s="954"/>
    </row>
    <row r="8" spans="1:16" ht="126">
      <c r="A8" s="2479"/>
      <c r="B8" s="984" t="s">
        <v>1599</v>
      </c>
      <c r="C8" s="985">
        <v>4</v>
      </c>
      <c r="D8" s="985">
        <v>5</v>
      </c>
      <c r="E8" s="986" t="s">
        <v>1337</v>
      </c>
      <c r="F8" s="968" t="str">
        <f>IF(Scoring!I17="","",Scoring!I17)</f>
        <v/>
      </c>
      <c r="G8" s="987"/>
      <c r="H8" s="987"/>
      <c r="I8" s="988" t="s">
        <v>2522</v>
      </c>
      <c r="J8" s="969"/>
      <c r="K8" s="969"/>
      <c r="L8" s="989"/>
      <c r="M8" s="990"/>
      <c r="O8" s="947"/>
      <c r="P8" s="954"/>
    </row>
    <row r="9" spans="1:16" ht="113" thickBot="1">
      <c r="A9" s="2480"/>
      <c r="B9" s="1206" t="s">
        <v>1600</v>
      </c>
      <c r="C9" s="997">
        <v>4</v>
      </c>
      <c r="D9" s="997">
        <v>6</v>
      </c>
      <c r="E9" s="998" t="s">
        <v>2523</v>
      </c>
      <c r="F9" s="973" t="str">
        <f>IF(Scoring!I18="","",Scoring!I18)</f>
        <v/>
      </c>
      <c r="G9" s="999"/>
      <c r="H9" s="999"/>
      <c r="I9" s="1000" t="s">
        <v>2524</v>
      </c>
      <c r="J9" s="974"/>
      <c r="K9" s="974">
        <f>COUNT(F5:F9)</f>
        <v>0</v>
      </c>
      <c r="L9" s="1207">
        <f>SUM(F5:F9)</f>
        <v>0</v>
      </c>
      <c r="M9" s="976">
        <f>IF(L9&lt;3,0,1)</f>
        <v>0</v>
      </c>
      <c r="O9" s="942"/>
      <c r="P9" s="956">
        <f>COUNTA(F5:F9)</f>
        <v>5</v>
      </c>
    </row>
    <row r="10" spans="1:16" ht="15" thickTop="1" thickBot="1">
      <c r="A10" s="915"/>
      <c r="F10" s="915"/>
      <c r="J10" s="915"/>
      <c r="K10" s="915"/>
    </row>
    <row r="11" spans="1:16" ht="155" thickTop="1">
      <c r="A11" s="2477" t="s">
        <v>1191</v>
      </c>
      <c r="B11" s="1198" t="s">
        <v>2038</v>
      </c>
      <c r="C11" s="1199">
        <v>3</v>
      </c>
      <c r="D11" s="1199">
        <v>4</v>
      </c>
      <c r="E11" s="1200" t="s">
        <v>1941</v>
      </c>
      <c r="F11" s="1201" t="str">
        <f>IF(Scoring!I20="","",Scoring!I20)</f>
        <v/>
      </c>
      <c r="G11" s="1202"/>
      <c r="H11" s="1202"/>
      <c r="I11" s="1203" t="s">
        <v>2695</v>
      </c>
      <c r="J11" s="1208"/>
      <c r="K11" s="1208"/>
      <c r="L11" s="1204"/>
      <c r="M11" s="1205"/>
      <c r="O11" s="949"/>
      <c r="P11" s="948"/>
    </row>
    <row r="12" spans="1:16" ht="70">
      <c r="A12" s="2479"/>
      <c r="B12" s="984" t="s">
        <v>2041</v>
      </c>
      <c r="C12" s="985">
        <v>3</v>
      </c>
      <c r="D12" s="985">
        <v>4</v>
      </c>
      <c r="E12" s="986" t="s">
        <v>2039</v>
      </c>
      <c r="F12" s="968" t="str">
        <f>IF(Scoring!I21="","",Scoring!I21)</f>
        <v/>
      </c>
      <c r="G12" s="987"/>
      <c r="H12" s="987"/>
      <c r="I12" s="988" t="s">
        <v>2694</v>
      </c>
      <c r="J12" s="969"/>
      <c r="K12" s="969"/>
      <c r="L12" s="989"/>
      <c r="M12" s="990"/>
      <c r="O12" s="947"/>
      <c r="P12" s="954"/>
    </row>
    <row r="13" spans="1:16" ht="159" customHeight="1">
      <c r="A13" s="2479"/>
      <c r="B13" s="984" t="s">
        <v>2043</v>
      </c>
      <c r="C13" s="985">
        <v>2</v>
      </c>
      <c r="D13" s="985">
        <v>3</v>
      </c>
      <c r="E13" s="986" t="s">
        <v>2693</v>
      </c>
      <c r="F13" s="968" t="str">
        <f>IF(Scoring!I22="","",Scoring!I22)</f>
        <v/>
      </c>
      <c r="G13" s="987"/>
      <c r="H13" s="987"/>
      <c r="I13" s="988" t="s">
        <v>2692</v>
      </c>
      <c r="J13" s="969"/>
      <c r="K13" s="969"/>
      <c r="L13" s="989"/>
      <c r="M13" s="990"/>
      <c r="O13" s="947"/>
      <c r="P13" s="954"/>
    </row>
    <row r="14" spans="1:16" ht="153.75" customHeight="1">
      <c r="A14" s="2479"/>
      <c r="B14" s="984" t="s">
        <v>2045</v>
      </c>
      <c r="C14" s="985">
        <v>3</v>
      </c>
      <c r="D14" s="985">
        <v>4</v>
      </c>
      <c r="E14" s="986" t="s">
        <v>2691</v>
      </c>
      <c r="F14" s="968" t="str">
        <f>IF(Scoring!I23="","",Scoring!I23)</f>
        <v/>
      </c>
      <c r="G14" s="987"/>
      <c r="H14" s="987"/>
      <c r="I14" s="988" t="s">
        <v>2690</v>
      </c>
      <c r="J14" s="969"/>
      <c r="K14" s="969"/>
      <c r="L14" s="989"/>
      <c r="M14" s="990"/>
      <c r="O14" s="947"/>
      <c r="P14" s="954"/>
    </row>
    <row r="15" spans="1:16" ht="138.75" customHeight="1">
      <c r="A15" s="2479"/>
      <c r="B15" s="984" t="s">
        <v>2047</v>
      </c>
      <c r="C15" s="985">
        <v>4</v>
      </c>
      <c r="D15" s="985">
        <v>5</v>
      </c>
      <c r="E15" s="986" t="s">
        <v>2689</v>
      </c>
      <c r="F15" s="968" t="str">
        <f>IF(Scoring!I24="","",Scoring!I24)</f>
        <v/>
      </c>
      <c r="G15" s="987"/>
      <c r="H15" s="987"/>
      <c r="I15" s="988" t="s">
        <v>2688</v>
      </c>
      <c r="J15" s="969"/>
      <c r="K15" s="969"/>
      <c r="L15" s="989"/>
      <c r="M15" s="990"/>
      <c r="O15" s="962"/>
      <c r="P15" s="961"/>
    </row>
    <row r="16" spans="1:16" ht="114" customHeight="1">
      <c r="A16" s="2479"/>
      <c r="B16" s="984" t="s">
        <v>2049</v>
      </c>
      <c r="C16" s="985">
        <v>4</v>
      </c>
      <c r="D16" s="985">
        <v>4</v>
      </c>
      <c r="E16" s="986" t="s">
        <v>2687</v>
      </c>
      <c r="F16" s="968" t="str">
        <f>IF(Scoring!I25="","",Scoring!I25)</f>
        <v/>
      </c>
      <c r="G16" s="987"/>
      <c r="H16" s="987"/>
      <c r="I16" s="988" t="s">
        <v>2051</v>
      </c>
      <c r="J16" s="969"/>
      <c r="K16" s="969"/>
      <c r="L16" s="989"/>
      <c r="M16" s="990"/>
      <c r="O16" s="962"/>
      <c r="P16" s="961"/>
    </row>
    <row r="17" spans="1:257" s="951" customFormat="1" ht="123" customHeight="1" thickBot="1">
      <c r="A17" s="2480"/>
      <c r="B17" s="1206" t="s">
        <v>2052</v>
      </c>
      <c r="C17" s="997">
        <v>4</v>
      </c>
      <c r="D17" s="997">
        <v>5</v>
      </c>
      <c r="E17" s="998" t="s">
        <v>1347</v>
      </c>
      <c r="F17" s="973" t="str">
        <f>IF(Scoring!I26="","",Scoring!I26)</f>
        <v/>
      </c>
      <c r="G17" s="999"/>
      <c r="H17" s="999"/>
      <c r="I17" s="1000" t="s">
        <v>2686</v>
      </c>
      <c r="J17" s="974"/>
      <c r="K17" s="974">
        <f>COUNT(F11:F17)</f>
        <v>0</v>
      </c>
      <c r="L17" s="1207">
        <f>SUM(F11:F17)</f>
        <v>0</v>
      </c>
      <c r="M17" s="976">
        <f>IF(L17&lt;4,0,1)</f>
        <v>0</v>
      </c>
      <c r="N17" s="928"/>
      <c r="O17" s="942"/>
      <c r="P17" s="956">
        <f>COUNTA(F11:F17)</f>
        <v>7</v>
      </c>
      <c r="Q17" s="928"/>
      <c r="R17" s="928"/>
      <c r="S17" s="928"/>
      <c r="T17" s="928"/>
      <c r="U17" s="928"/>
      <c r="V17" s="928"/>
      <c r="W17" s="928"/>
      <c r="X17" s="928"/>
      <c r="Y17" s="928"/>
      <c r="Z17" s="928"/>
      <c r="AA17" s="928"/>
      <c r="AB17" s="928"/>
      <c r="AC17" s="928"/>
      <c r="AD17" s="928"/>
      <c r="AE17" s="928"/>
      <c r="AF17" s="928"/>
      <c r="AG17" s="928"/>
      <c r="AH17" s="928"/>
      <c r="AI17" s="928"/>
      <c r="AJ17" s="928"/>
      <c r="AK17" s="928"/>
      <c r="AL17" s="928"/>
      <c r="AM17" s="928"/>
      <c r="AN17" s="928"/>
      <c r="AO17" s="928"/>
      <c r="AP17" s="928"/>
      <c r="AQ17" s="928"/>
      <c r="AR17" s="928"/>
      <c r="AS17" s="928"/>
      <c r="AT17" s="928"/>
      <c r="AU17" s="928"/>
      <c r="AV17" s="928"/>
      <c r="AW17" s="928"/>
      <c r="AX17" s="928"/>
      <c r="AY17" s="928"/>
      <c r="AZ17" s="928"/>
      <c r="BA17" s="928"/>
      <c r="BB17" s="928"/>
      <c r="BC17" s="928"/>
      <c r="BD17" s="928"/>
      <c r="BE17" s="928"/>
      <c r="BF17" s="928"/>
      <c r="BG17" s="928"/>
      <c r="BH17" s="928"/>
      <c r="BI17" s="928"/>
      <c r="BJ17" s="928"/>
      <c r="BK17" s="928"/>
      <c r="BL17" s="928"/>
      <c r="BM17" s="928"/>
      <c r="BN17" s="928"/>
      <c r="BO17" s="928"/>
      <c r="BP17" s="928"/>
      <c r="BQ17" s="928"/>
      <c r="BR17" s="928"/>
      <c r="BS17" s="928"/>
      <c r="BT17" s="928"/>
      <c r="BU17" s="928"/>
      <c r="BV17" s="928"/>
      <c r="BW17" s="928"/>
      <c r="BX17" s="928"/>
      <c r="BY17" s="928"/>
      <c r="BZ17" s="928"/>
      <c r="CA17" s="928"/>
      <c r="CB17" s="928"/>
      <c r="CC17" s="928"/>
      <c r="CD17" s="928"/>
      <c r="CE17" s="928"/>
      <c r="CF17" s="928"/>
      <c r="CG17" s="928"/>
      <c r="CH17" s="928"/>
      <c r="CI17" s="928"/>
      <c r="CJ17" s="928"/>
      <c r="CK17" s="928"/>
      <c r="CL17" s="928"/>
      <c r="CM17" s="928"/>
      <c r="CN17" s="928"/>
      <c r="CO17" s="928"/>
      <c r="CP17" s="928"/>
      <c r="CQ17" s="928"/>
      <c r="CR17" s="928"/>
      <c r="CS17" s="928"/>
      <c r="CT17" s="928"/>
      <c r="CU17" s="928"/>
      <c r="CV17" s="928"/>
      <c r="CW17" s="928"/>
      <c r="CX17" s="928"/>
      <c r="CY17" s="928"/>
      <c r="CZ17" s="928"/>
      <c r="DA17" s="928"/>
      <c r="DB17" s="928"/>
      <c r="DC17" s="928"/>
      <c r="DD17" s="928"/>
      <c r="DE17" s="928"/>
      <c r="DF17" s="928"/>
      <c r="DG17" s="928"/>
      <c r="DH17" s="928"/>
      <c r="DI17" s="928"/>
      <c r="DJ17" s="928"/>
      <c r="DK17" s="928"/>
      <c r="DL17" s="928"/>
      <c r="DM17" s="928"/>
      <c r="DN17" s="928"/>
      <c r="DO17" s="928"/>
      <c r="DP17" s="928"/>
      <c r="DQ17" s="928"/>
      <c r="DR17" s="928"/>
      <c r="DS17" s="928"/>
      <c r="DT17" s="928"/>
      <c r="DU17" s="928"/>
      <c r="DV17" s="928"/>
      <c r="DW17" s="928"/>
      <c r="DX17" s="928"/>
      <c r="DY17" s="928"/>
      <c r="DZ17" s="928"/>
      <c r="EA17" s="928"/>
      <c r="EB17" s="928"/>
      <c r="EC17" s="928"/>
      <c r="ED17" s="928"/>
      <c r="EE17" s="928"/>
      <c r="EF17" s="928"/>
      <c r="EG17" s="928"/>
      <c r="EH17" s="928"/>
      <c r="EI17" s="928"/>
      <c r="EJ17" s="928"/>
      <c r="EK17" s="928"/>
      <c r="EL17" s="928"/>
      <c r="EM17" s="928"/>
      <c r="EN17" s="928"/>
      <c r="EO17" s="928"/>
      <c r="EP17" s="928"/>
      <c r="EQ17" s="928"/>
      <c r="ER17" s="928"/>
      <c r="ES17" s="928"/>
      <c r="ET17" s="928"/>
      <c r="EU17" s="928"/>
      <c r="EV17" s="928"/>
      <c r="EW17" s="928"/>
      <c r="EX17" s="928"/>
      <c r="EY17" s="928"/>
      <c r="EZ17" s="928"/>
      <c r="FA17" s="928"/>
      <c r="FB17" s="928"/>
      <c r="FC17" s="928"/>
      <c r="FD17" s="928"/>
      <c r="FE17" s="928"/>
      <c r="FF17" s="928"/>
      <c r="FG17" s="928"/>
      <c r="FH17" s="928"/>
      <c r="FI17" s="928"/>
      <c r="FJ17" s="928"/>
      <c r="FK17" s="928"/>
      <c r="FL17" s="928"/>
      <c r="FM17" s="928"/>
      <c r="FN17" s="928"/>
      <c r="FO17" s="928"/>
      <c r="FP17" s="928"/>
      <c r="FQ17" s="928"/>
      <c r="FR17" s="928"/>
      <c r="FS17" s="928"/>
      <c r="FT17" s="928"/>
      <c r="FU17" s="928"/>
      <c r="FV17" s="928"/>
      <c r="FW17" s="928"/>
      <c r="FX17" s="928"/>
      <c r="FY17" s="928"/>
      <c r="FZ17" s="928"/>
      <c r="GA17" s="928"/>
      <c r="GB17" s="928"/>
      <c r="GC17" s="928"/>
      <c r="GD17" s="928"/>
      <c r="GE17" s="928"/>
      <c r="GF17" s="928"/>
      <c r="GG17" s="928"/>
      <c r="GH17" s="928"/>
      <c r="GI17" s="928"/>
      <c r="GJ17" s="928"/>
      <c r="GK17" s="928"/>
      <c r="GL17" s="928"/>
      <c r="GM17" s="928"/>
      <c r="GN17" s="928"/>
      <c r="GO17" s="928"/>
      <c r="GP17" s="928"/>
      <c r="GQ17" s="928"/>
      <c r="GR17" s="928"/>
      <c r="GS17" s="928"/>
      <c r="GT17" s="928"/>
      <c r="GU17" s="928"/>
      <c r="GV17" s="928"/>
      <c r="GW17" s="928"/>
      <c r="GX17" s="928"/>
      <c r="GY17" s="928"/>
      <c r="GZ17" s="928"/>
      <c r="HA17" s="928"/>
      <c r="HB17" s="928"/>
      <c r="HC17" s="928"/>
      <c r="HD17" s="928"/>
      <c r="HE17" s="928"/>
      <c r="HF17" s="928"/>
      <c r="HG17" s="928"/>
      <c r="HH17" s="928"/>
      <c r="HI17" s="928"/>
      <c r="HJ17" s="928"/>
      <c r="HK17" s="928"/>
      <c r="HL17" s="928"/>
      <c r="HM17" s="928"/>
      <c r="HN17" s="928"/>
      <c r="HO17" s="928"/>
      <c r="HP17" s="928"/>
      <c r="HQ17" s="928"/>
      <c r="HR17" s="928"/>
      <c r="HS17" s="928"/>
      <c r="HT17" s="928"/>
      <c r="HU17" s="928"/>
      <c r="HV17" s="928"/>
      <c r="HW17" s="928"/>
      <c r="HX17" s="928"/>
      <c r="HY17" s="928"/>
      <c r="HZ17" s="928"/>
      <c r="IA17" s="928"/>
      <c r="IB17" s="928"/>
      <c r="IC17" s="928"/>
      <c r="ID17" s="928"/>
      <c r="IE17" s="928"/>
      <c r="IF17" s="928"/>
      <c r="IG17" s="928"/>
      <c r="IH17" s="928"/>
      <c r="II17" s="928"/>
      <c r="IJ17" s="928"/>
      <c r="IK17" s="928"/>
      <c r="IL17" s="928"/>
      <c r="IM17" s="928"/>
      <c r="IN17" s="928"/>
      <c r="IO17" s="928"/>
      <c r="IP17" s="928"/>
      <c r="IQ17" s="928"/>
      <c r="IR17" s="928"/>
      <c r="IS17" s="928"/>
      <c r="IT17" s="928"/>
      <c r="IU17" s="928"/>
      <c r="IV17" s="928"/>
      <c r="IW17" s="928"/>
    </row>
    <row r="18" spans="1:257" s="951" customFormat="1" ht="15" thickTop="1" thickBot="1">
      <c r="A18" s="928"/>
      <c r="B18" s="928"/>
      <c r="C18" s="928"/>
      <c r="D18" s="928"/>
      <c r="E18" s="928"/>
      <c r="F18" s="928"/>
      <c r="G18" s="928"/>
      <c r="H18" s="928"/>
      <c r="I18" s="928"/>
      <c r="J18" s="928"/>
      <c r="K18" s="928"/>
      <c r="L18" s="928"/>
      <c r="M18" s="928"/>
      <c r="N18" s="928"/>
      <c r="O18" s="928"/>
      <c r="P18" s="928"/>
      <c r="Q18" s="928"/>
      <c r="R18" s="928"/>
      <c r="S18" s="928"/>
      <c r="T18" s="928"/>
      <c r="U18" s="928"/>
      <c r="V18" s="928"/>
      <c r="W18" s="928"/>
      <c r="X18" s="928"/>
      <c r="Y18" s="928"/>
      <c r="Z18" s="928"/>
      <c r="AA18" s="928"/>
      <c r="AB18" s="928"/>
      <c r="AC18" s="928"/>
      <c r="AD18" s="928"/>
      <c r="AE18" s="928"/>
      <c r="AF18" s="928"/>
      <c r="AG18" s="928"/>
      <c r="AH18" s="928"/>
      <c r="AI18" s="928"/>
      <c r="AJ18" s="928"/>
      <c r="AK18" s="928"/>
      <c r="AL18" s="928"/>
      <c r="AM18" s="928"/>
      <c r="AN18" s="928"/>
      <c r="AO18" s="928"/>
      <c r="AP18" s="928"/>
      <c r="AQ18" s="928"/>
      <c r="AR18" s="928"/>
      <c r="AS18" s="928"/>
      <c r="AT18" s="928"/>
      <c r="AU18" s="928"/>
      <c r="AV18" s="928"/>
      <c r="AW18" s="928"/>
      <c r="AX18" s="928"/>
      <c r="AY18" s="928"/>
      <c r="AZ18" s="928"/>
      <c r="BA18" s="928"/>
      <c r="BB18" s="928"/>
      <c r="BC18" s="928"/>
      <c r="BD18" s="928"/>
      <c r="BE18" s="928"/>
      <c r="BF18" s="928"/>
      <c r="BG18" s="928"/>
      <c r="BH18" s="928"/>
      <c r="BI18" s="928"/>
      <c r="BJ18" s="928"/>
      <c r="BK18" s="928"/>
      <c r="BL18" s="928"/>
      <c r="BM18" s="928"/>
      <c r="BN18" s="928"/>
      <c r="BO18" s="928"/>
      <c r="BP18" s="928"/>
      <c r="BQ18" s="928"/>
      <c r="BR18" s="928"/>
      <c r="BS18" s="928"/>
      <c r="BT18" s="928"/>
      <c r="BU18" s="928"/>
      <c r="BV18" s="928"/>
      <c r="BW18" s="928"/>
      <c r="BX18" s="928"/>
      <c r="BY18" s="928"/>
      <c r="BZ18" s="928"/>
      <c r="CA18" s="928"/>
      <c r="CB18" s="928"/>
      <c r="CC18" s="928"/>
      <c r="CD18" s="928"/>
      <c r="CE18" s="928"/>
      <c r="CF18" s="928"/>
      <c r="CG18" s="928"/>
      <c r="CH18" s="928"/>
      <c r="CI18" s="928"/>
      <c r="CJ18" s="928"/>
      <c r="CK18" s="928"/>
      <c r="CL18" s="928"/>
      <c r="CM18" s="928"/>
      <c r="CN18" s="928"/>
      <c r="CO18" s="928"/>
      <c r="CP18" s="928"/>
      <c r="CQ18" s="928"/>
      <c r="CR18" s="928"/>
      <c r="CS18" s="928"/>
      <c r="CT18" s="928"/>
      <c r="CU18" s="928"/>
      <c r="CV18" s="928"/>
      <c r="CW18" s="928"/>
      <c r="CX18" s="928"/>
      <c r="CY18" s="928"/>
      <c r="CZ18" s="928"/>
      <c r="DA18" s="928"/>
      <c r="DB18" s="928"/>
      <c r="DC18" s="928"/>
      <c r="DD18" s="928"/>
      <c r="DE18" s="928"/>
      <c r="DF18" s="928"/>
      <c r="DG18" s="928"/>
      <c r="DH18" s="928"/>
      <c r="DI18" s="928"/>
      <c r="DJ18" s="928"/>
      <c r="DK18" s="928"/>
      <c r="DL18" s="928"/>
      <c r="DM18" s="928"/>
      <c r="DN18" s="928"/>
      <c r="DO18" s="928"/>
      <c r="DP18" s="928"/>
      <c r="DQ18" s="928"/>
      <c r="DR18" s="928"/>
      <c r="DS18" s="928"/>
      <c r="DT18" s="928"/>
      <c r="DU18" s="928"/>
      <c r="DV18" s="928"/>
      <c r="DW18" s="928"/>
      <c r="DX18" s="928"/>
      <c r="DY18" s="928"/>
      <c r="DZ18" s="928"/>
      <c r="EA18" s="928"/>
      <c r="EB18" s="928"/>
      <c r="EC18" s="928"/>
      <c r="ED18" s="928"/>
      <c r="EE18" s="928"/>
      <c r="EF18" s="928"/>
      <c r="EG18" s="928"/>
      <c r="EH18" s="928"/>
      <c r="EI18" s="928"/>
      <c r="EJ18" s="928"/>
      <c r="EK18" s="928"/>
      <c r="EL18" s="928"/>
      <c r="EM18" s="928"/>
      <c r="EN18" s="928"/>
      <c r="EO18" s="928"/>
      <c r="EP18" s="928"/>
      <c r="EQ18" s="928"/>
      <c r="ER18" s="928"/>
      <c r="ES18" s="928"/>
      <c r="ET18" s="928"/>
      <c r="EU18" s="928"/>
      <c r="EV18" s="928"/>
      <c r="EW18" s="928"/>
      <c r="EX18" s="928"/>
      <c r="EY18" s="928"/>
      <c r="EZ18" s="928"/>
      <c r="FA18" s="928"/>
      <c r="FB18" s="928"/>
      <c r="FC18" s="928"/>
      <c r="FD18" s="928"/>
      <c r="FE18" s="928"/>
      <c r="FF18" s="928"/>
      <c r="FG18" s="928"/>
      <c r="FH18" s="928"/>
      <c r="FI18" s="928"/>
      <c r="FJ18" s="928"/>
      <c r="FK18" s="928"/>
      <c r="FL18" s="928"/>
      <c r="FM18" s="928"/>
      <c r="FN18" s="928"/>
      <c r="FO18" s="928"/>
      <c r="FP18" s="928"/>
      <c r="FQ18" s="928"/>
      <c r="FR18" s="928"/>
      <c r="FS18" s="928"/>
      <c r="FT18" s="928"/>
      <c r="FU18" s="928"/>
      <c r="FV18" s="928"/>
      <c r="FW18" s="928"/>
      <c r="FX18" s="928"/>
      <c r="FY18" s="928"/>
      <c r="FZ18" s="928"/>
      <c r="GA18" s="928"/>
      <c r="GB18" s="928"/>
      <c r="GC18" s="928"/>
      <c r="GD18" s="928"/>
      <c r="GE18" s="928"/>
      <c r="GF18" s="928"/>
      <c r="GG18" s="928"/>
      <c r="GH18" s="928"/>
      <c r="GI18" s="928"/>
      <c r="GJ18" s="928"/>
      <c r="GK18" s="928"/>
      <c r="GL18" s="928"/>
      <c r="GM18" s="928"/>
      <c r="GN18" s="928"/>
      <c r="GO18" s="928"/>
      <c r="GP18" s="928"/>
      <c r="GQ18" s="928"/>
      <c r="GR18" s="928"/>
      <c r="GS18" s="928"/>
      <c r="GT18" s="928"/>
      <c r="GU18" s="928"/>
      <c r="GV18" s="928"/>
      <c r="GW18" s="928"/>
      <c r="GX18" s="928"/>
      <c r="GY18" s="928"/>
      <c r="GZ18" s="928"/>
      <c r="HA18" s="928"/>
      <c r="HB18" s="928"/>
      <c r="HC18" s="928"/>
      <c r="HD18" s="928"/>
      <c r="HE18" s="928"/>
      <c r="HF18" s="928"/>
      <c r="HG18" s="928"/>
      <c r="HH18" s="928"/>
      <c r="HI18" s="928"/>
      <c r="HJ18" s="928"/>
      <c r="HK18" s="928"/>
      <c r="HL18" s="928"/>
      <c r="HM18" s="928"/>
      <c r="HN18" s="928"/>
      <c r="HO18" s="928"/>
      <c r="HP18" s="928"/>
      <c r="HQ18" s="928"/>
      <c r="HR18" s="928"/>
      <c r="HS18" s="928"/>
      <c r="HT18" s="928"/>
      <c r="HU18" s="928"/>
      <c r="HV18" s="928"/>
      <c r="HW18" s="928"/>
      <c r="HX18" s="928"/>
      <c r="HY18" s="928"/>
      <c r="HZ18" s="928"/>
      <c r="IA18" s="928"/>
      <c r="IB18" s="928"/>
      <c r="IC18" s="928"/>
      <c r="ID18" s="928"/>
      <c r="IE18" s="928"/>
      <c r="IF18" s="928"/>
      <c r="IG18" s="928"/>
      <c r="IH18" s="928"/>
      <c r="II18" s="928"/>
      <c r="IJ18" s="928"/>
      <c r="IK18" s="928"/>
      <c r="IL18" s="928"/>
      <c r="IM18" s="928"/>
      <c r="IN18" s="928"/>
      <c r="IO18" s="928"/>
      <c r="IP18" s="928"/>
      <c r="IQ18" s="928"/>
      <c r="IR18" s="928"/>
      <c r="IS18" s="928"/>
      <c r="IT18" s="928"/>
      <c r="IU18" s="928"/>
      <c r="IV18" s="928"/>
      <c r="IW18" s="928"/>
    </row>
    <row r="19" spans="1:257" s="951" customFormat="1" ht="99" thickTop="1">
      <c r="A19" s="2477" t="s">
        <v>1192</v>
      </c>
      <c r="B19" s="1198" t="s">
        <v>2054</v>
      </c>
      <c r="C19" s="1199">
        <v>3</v>
      </c>
      <c r="D19" s="1199">
        <v>3</v>
      </c>
      <c r="E19" s="1200" t="s">
        <v>2525</v>
      </c>
      <c r="F19" s="1201" t="str">
        <f>IF(Scoring!I28="","",Scoring!I28)</f>
        <v/>
      </c>
      <c r="G19" s="1202"/>
      <c r="H19" s="1202"/>
      <c r="I19" s="1203" t="s">
        <v>2526</v>
      </c>
      <c r="J19" s="1208"/>
      <c r="K19" s="1208"/>
      <c r="L19" s="1204"/>
      <c r="M19" s="1205"/>
      <c r="N19" s="928"/>
      <c r="O19" s="949"/>
      <c r="P19" s="948"/>
      <c r="Q19" s="928"/>
      <c r="R19" s="928"/>
      <c r="S19" s="928"/>
      <c r="T19" s="928"/>
      <c r="U19" s="928"/>
      <c r="V19" s="928"/>
      <c r="W19" s="928"/>
      <c r="X19" s="928"/>
      <c r="Y19" s="928"/>
      <c r="Z19" s="928"/>
      <c r="AA19" s="928"/>
      <c r="AB19" s="928"/>
      <c r="AC19" s="928"/>
      <c r="AD19" s="928"/>
      <c r="AE19" s="928"/>
      <c r="AF19" s="928"/>
      <c r="AG19" s="928"/>
      <c r="AH19" s="928"/>
      <c r="AI19" s="928"/>
      <c r="AJ19" s="928"/>
      <c r="AK19" s="928"/>
      <c r="AL19" s="928"/>
      <c r="AM19" s="928"/>
      <c r="AN19" s="928"/>
      <c r="AO19" s="928"/>
      <c r="AP19" s="928"/>
      <c r="AQ19" s="928"/>
      <c r="AR19" s="928"/>
      <c r="AS19" s="928"/>
      <c r="AT19" s="928"/>
      <c r="AU19" s="928"/>
      <c r="AV19" s="928"/>
      <c r="AW19" s="928"/>
      <c r="AX19" s="928"/>
      <c r="AY19" s="928"/>
      <c r="AZ19" s="928"/>
      <c r="BA19" s="928"/>
      <c r="BB19" s="928"/>
      <c r="BC19" s="928"/>
      <c r="BD19" s="928"/>
      <c r="BE19" s="928"/>
      <c r="BF19" s="928"/>
      <c r="BG19" s="928"/>
      <c r="BH19" s="928"/>
      <c r="BI19" s="928"/>
      <c r="BJ19" s="928"/>
      <c r="BK19" s="928"/>
      <c r="BL19" s="928"/>
      <c r="BM19" s="928"/>
      <c r="BN19" s="928"/>
      <c r="BO19" s="928"/>
      <c r="BP19" s="928"/>
      <c r="BQ19" s="928"/>
      <c r="BR19" s="928"/>
      <c r="BS19" s="928"/>
      <c r="BT19" s="928"/>
      <c r="BU19" s="928"/>
      <c r="BV19" s="928"/>
      <c r="BW19" s="928"/>
      <c r="BX19" s="928"/>
      <c r="BY19" s="928"/>
      <c r="BZ19" s="928"/>
      <c r="CA19" s="928"/>
      <c r="CB19" s="928"/>
      <c r="CC19" s="928"/>
      <c r="CD19" s="928"/>
      <c r="CE19" s="928"/>
      <c r="CF19" s="928"/>
      <c r="CG19" s="928"/>
      <c r="CH19" s="928"/>
      <c r="CI19" s="928"/>
      <c r="CJ19" s="928"/>
      <c r="CK19" s="928"/>
      <c r="CL19" s="928"/>
      <c r="CM19" s="928"/>
      <c r="CN19" s="928"/>
      <c r="CO19" s="928"/>
      <c r="CP19" s="928"/>
      <c r="CQ19" s="928"/>
      <c r="CR19" s="928"/>
      <c r="CS19" s="928"/>
      <c r="CT19" s="928"/>
      <c r="CU19" s="928"/>
      <c r="CV19" s="928"/>
      <c r="CW19" s="928"/>
      <c r="CX19" s="928"/>
      <c r="CY19" s="928"/>
      <c r="CZ19" s="928"/>
      <c r="DA19" s="928"/>
      <c r="DB19" s="928"/>
      <c r="DC19" s="928"/>
      <c r="DD19" s="928"/>
      <c r="DE19" s="928"/>
      <c r="DF19" s="928"/>
      <c r="DG19" s="928"/>
      <c r="DH19" s="928"/>
      <c r="DI19" s="928"/>
      <c r="DJ19" s="928"/>
      <c r="DK19" s="928"/>
      <c r="DL19" s="928"/>
      <c r="DM19" s="928"/>
      <c r="DN19" s="928"/>
      <c r="DO19" s="928"/>
      <c r="DP19" s="928"/>
      <c r="DQ19" s="928"/>
      <c r="DR19" s="928"/>
      <c r="DS19" s="928"/>
      <c r="DT19" s="928"/>
      <c r="DU19" s="928"/>
      <c r="DV19" s="928"/>
      <c r="DW19" s="928"/>
      <c r="DX19" s="928"/>
      <c r="DY19" s="928"/>
      <c r="DZ19" s="928"/>
      <c r="EA19" s="928"/>
      <c r="EB19" s="928"/>
      <c r="EC19" s="928"/>
      <c r="ED19" s="928"/>
      <c r="EE19" s="928"/>
      <c r="EF19" s="928"/>
      <c r="EG19" s="928"/>
      <c r="EH19" s="928"/>
      <c r="EI19" s="928"/>
      <c r="EJ19" s="928"/>
      <c r="EK19" s="928"/>
      <c r="EL19" s="928"/>
      <c r="EM19" s="928"/>
      <c r="EN19" s="928"/>
      <c r="EO19" s="928"/>
      <c r="EP19" s="928"/>
      <c r="EQ19" s="928"/>
      <c r="ER19" s="928"/>
      <c r="ES19" s="928"/>
      <c r="ET19" s="928"/>
      <c r="EU19" s="928"/>
      <c r="EV19" s="928"/>
      <c r="EW19" s="928"/>
      <c r="EX19" s="928"/>
      <c r="EY19" s="928"/>
      <c r="EZ19" s="928"/>
      <c r="FA19" s="928"/>
      <c r="FB19" s="928"/>
      <c r="FC19" s="928"/>
      <c r="FD19" s="928"/>
      <c r="FE19" s="928"/>
      <c r="FF19" s="928"/>
      <c r="FG19" s="928"/>
      <c r="FH19" s="928"/>
      <c r="FI19" s="928"/>
      <c r="FJ19" s="928"/>
      <c r="FK19" s="928"/>
      <c r="FL19" s="928"/>
      <c r="FM19" s="928"/>
      <c r="FN19" s="928"/>
      <c r="FO19" s="928"/>
      <c r="FP19" s="928"/>
      <c r="FQ19" s="928"/>
      <c r="FR19" s="928"/>
      <c r="FS19" s="928"/>
      <c r="FT19" s="928"/>
      <c r="FU19" s="928"/>
      <c r="FV19" s="928"/>
      <c r="FW19" s="928"/>
      <c r="FX19" s="928"/>
      <c r="FY19" s="928"/>
      <c r="FZ19" s="928"/>
      <c r="GA19" s="928"/>
      <c r="GB19" s="928"/>
      <c r="GC19" s="928"/>
      <c r="GD19" s="928"/>
      <c r="GE19" s="928"/>
      <c r="GF19" s="928"/>
      <c r="GG19" s="928"/>
      <c r="GH19" s="928"/>
      <c r="GI19" s="928"/>
      <c r="GJ19" s="928"/>
      <c r="GK19" s="928"/>
      <c r="GL19" s="928"/>
      <c r="GM19" s="928"/>
      <c r="GN19" s="928"/>
      <c r="GO19" s="928"/>
      <c r="GP19" s="928"/>
      <c r="GQ19" s="928"/>
      <c r="GR19" s="928"/>
      <c r="GS19" s="928"/>
      <c r="GT19" s="928"/>
      <c r="GU19" s="928"/>
      <c r="GV19" s="928"/>
      <c r="GW19" s="928"/>
      <c r="GX19" s="928"/>
      <c r="GY19" s="928"/>
      <c r="GZ19" s="928"/>
      <c r="HA19" s="928"/>
      <c r="HB19" s="928"/>
      <c r="HC19" s="928"/>
      <c r="HD19" s="928"/>
      <c r="HE19" s="928"/>
      <c r="HF19" s="928"/>
      <c r="HG19" s="928"/>
      <c r="HH19" s="928"/>
      <c r="HI19" s="928"/>
      <c r="HJ19" s="928"/>
      <c r="HK19" s="928"/>
      <c r="HL19" s="928"/>
      <c r="HM19" s="928"/>
      <c r="HN19" s="928"/>
      <c r="HO19" s="928"/>
      <c r="HP19" s="928"/>
      <c r="HQ19" s="928"/>
      <c r="HR19" s="928"/>
      <c r="HS19" s="928"/>
      <c r="HT19" s="928"/>
      <c r="HU19" s="928"/>
      <c r="HV19" s="928"/>
      <c r="HW19" s="928"/>
      <c r="HX19" s="928"/>
      <c r="HY19" s="928"/>
      <c r="HZ19" s="928"/>
      <c r="IA19" s="928"/>
      <c r="IB19" s="928"/>
      <c r="IC19" s="928"/>
      <c r="ID19" s="928"/>
      <c r="IE19" s="928"/>
      <c r="IF19" s="928"/>
      <c r="IG19" s="928"/>
      <c r="IH19" s="928"/>
      <c r="II19" s="928"/>
      <c r="IJ19" s="928"/>
      <c r="IK19" s="928"/>
      <c r="IL19" s="928"/>
      <c r="IM19" s="928"/>
      <c r="IN19" s="928"/>
      <c r="IO19" s="928"/>
      <c r="IP19" s="928"/>
      <c r="IQ19" s="928"/>
      <c r="IR19" s="928"/>
      <c r="IS19" s="928"/>
      <c r="IT19" s="928"/>
      <c r="IU19" s="928"/>
      <c r="IV19" s="928"/>
      <c r="IW19" s="928"/>
    </row>
    <row r="20" spans="1:257" ht="84">
      <c r="A20" s="2478"/>
      <c r="B20" s="984" t="s">
        <v>2058</v>
      </c>
      <c r="C20" s="985">
        <v>3</v>
      </c>
      <c r="D20" s="985">
        <v>3</v>
      </c>
      <c r="E20" s="986" t="s">
        <v>2527</v>
      </c>
      <c r="F20" s="968" t="str">
        <f>IF(Scoring!I29="","",Scoring!I29)</f>
        <v/>
      </c>
      <c r="G20" s="987"/>
      <c r="H20" s="987"/>
      <c r="I20" s="988" t="s">
        <v>2528</v>
      </c>
      <c r="J20" s="969"/>
      <c r="K20" s="969"/>
      <c r="L20" s="989"/>
      <c r="M20" s="990"/>
      <c r="O20" s="947"/>
      <c r="P20" s="954"/>
    </row>
    <row r="21" spans="1:257" ht="98">
      <c r="A21" s="2478"/>
      <c r="B21" s="984" t="s">
        <v>2060</v>
      </c>
      <c r="C21" s="985">
        <v>3</v>
      </c>
      <c r="D21" s="985">
        <v>3</v>
      </c>
      <c r="E21" s="986" t="s">
        <v>2529</v>
      </c>
      <c r="F21" s="968" t="str">
        <f>IF(Scoring!I30="","",Scoring!I30)</f>
        <v/>
      </c>
      <c r="G21" s="987"/>
      <c r="H21" s="987"/>
      <c r="I21" s="988" t="s">
        <v>2530</v>
      </c>
      <c r="J21" s="971"/>
      <c r="K21" s="971"/>
      <c r="L21" s="989"/>
      <c r="M21" s="990"/>
      <c r="O21" s="947"/>
      <c r="P21" s="960"/>
    </row>
    <row r="22" spans="1:257" ht="84">
      <c r="A22" s="2478"/>
      <c r="B22" s="984" t="s">
        <v>2062</v>
      </c>
      <c r="C22" s="985">
        <v>4</v>
      </c>
      <c r="D22" s="985">
        <v>5</v>
      </c>
      <c r="E22" s="986" t="s">
        <v>1357</v>
      </c>
      <c r="F22" s="968" t="str">
        <f>IF(Scoring!I31="","",Scoring!I31)</f>
        <v/>
      </c>
      <c r="G22" s="987"/>
      <c r="H22" s="987"/>
      <c r="I22" s="988" t="s">
        <v>2531</v>
      </c>
      <c r="J22" s="969"/>
      <c r="K22" s="969"/>
      <c r="L22" s="989"/>
      <c r="M22" s="990"/>
      <c r="O22" s="947"/>
      <c r="P22" s="954"/>
    </row>
    <row r="23" spans="1:257" ht="126">
      <c r="A23" s="2478"/>
      <c r="B23" s="984" t="s">
        <v>2064</v>
      </c>
      <c r="C23" s="985">
        <v>4</v>
      </c>
      <c r="D23" s="985">
        <v>5</v>
      </c>
      <c r="E23" s="986" t="s">
        <v>2532</v>
      </c>
      <c r="F23" s="968" t="str">
        <f>IF(Scoring!I32="","",Scoring!I32)</f>
        <v/>
      </c>
      <c r="G23" s="987"/>
      <c r="H23" s="987"/>
      <c r="I23" s="988" t="s">
        <v>2533</v>
      </c>
      <c r="J23" s="969"/>
      <c r="K23" s="969"/>
      <c r="L23" s="989"/>
      <c r="M23" s="990"/>
      <c r="O23" s="947"/>
      <c r="P23" s="954"/>
    </row>
    <row r="24" spans="1:257" ht="113" thickBot="1">
      <c r="A24" s="2486"/>
      <c r="B24" s="1206" t="s">
        <v>2066</v>
      </c>
      <c r="C24" s="1209">
        <v>5</v>
      </c>
      <c r="D24" s="1209">
        <v>6</v>
      </c>
      <c r="E24" s="998" t="s">
        <v>1363</v>
      </c>
      <c r="F24" s="973" t="str">
        <f>IF(Scoring!I33="","",Scoring!I33)</f>
        <v/>
      </c>
      <c r="G24" s="999"/>
      <c r="H24" s="999"/>
      <c r="I24" s="1000" t="s">
        <v>2534</v>
      </c>
      <c r="J24" s="974"/>
      <c r="K24" s="974">
        <f>COUNT(F19:F24)</f>
        <v>0</v>
      </c>
      <c r="L24" s="1207">
        <f>SUM(F19:F24)</f>
        <v>0</v>
      </c>
      <c r="M24" s="976">
        <f>IF(L24&lt;3,0,1)</f>
        <v>0</v>
      </c>
      <c r="O24" s="942"/>
      <c r="P24" s="956">
        <f>COUNTA(F19:F24)</f>
        <v>6</v>
      </c>
    </row>
    <row r="25" spans="1:257" ht="15" thickTop="1" thickBot="1">
      <c r="A25" s="915"/>
      <c r="F25" s="915"/>
      <c r="J25" s="915"/>
      <c r="K25" s="915"/>
    </row>
    <row r="26" spans="1:257" ht="71" thickTop="1">
      <c r="A26" s="2477" t="s">
        <v>1193</v>
      </c>
      <c r="B26" s="1198" t="s">
        <v>2068</v>
      </c>
      <c r="C26" s="1199">
        <v>4</v>
      </c>
      <c r="D26" s="1199">
        <v>5</v>
      </c>
      <c r="E26" s="1200" t="s">
        <v>1366</v>
      </c>
      <c r="F26" s="1201" t="str">
        <f>IF(Scoring!I35="","",Scoring!I35)</f>
        <v/>
      </c>
      <c r="G26" s="1202"/>
      <c r="H26" s="1202"/>
      <c r="I26" s="1203" t="s">
        <v>2069</v>
      </c>
      <c r="J26" s="1208"/>
      <c r="K26" s="1208"/>
      <c r="L26" s="1204"/>
      <c r="M26" s="1205"/>
      <c r="O26" s="949"/>
      <c r="P26" s="948"/>
    </row>
    <row r="27" spans="1:257" ht="84">
      <c r="A27" s="2478"/>
      <c r="B27" s="984" t="s">
        <v>2070</v>
      </c>
      <c r="C27" s="985">
        <v>5</v>
      </c>
      <c r="D27" s="985">
        <v>5</v>
      </c>
      <c r="E27" s="986" t="s">
        <v>2535</v>
      </c>
      <c r="F27" s="968" t="str">
        <f>IF(Scoring!I36="","",Scoring!I36)</f>
        <v/>
      </c>
      <c r="G27" s="987"/>
      <c r="H27" s="987"/>
      <c r="I27" s="988" t="s">
        <v>2071</v>
      </c>
      <c r="J27" s="969"/>
      <c r="K27" s="969"/>
      <c r="L27" s="989"/>
      <c r="M27" s="990"/>
      <c r="O27" s="947"/>
      <c r="P27" s="954"/>
    </row>
    <row r="28" spans="1:257" ht="43" thickBot="1">
      <c r="A28" s="2486"/>
      <c r="B28" s="1206" t="s">
        <v>2072</v>
      </c>
      <c r="C28" s="997">
        <v>4</v>
      </c>
      <c r="D28" s="997">
        <v>4</v>
      </c>
      <c r="E28" s="998" t="s">
        <v>1372</v>
      </c>
      <c r="F28" s="973" t="str">
        <f>IF(Scoring!I37="","",Scoring!I37)</f>
        <v/>
      </c>
      <c r="G28" s="999"/>
      <c r="H28" s="999"/>
      <c r="I28" s="1000" t="s">
        <v>2073</v>
      </c>
      <c r="J28" s="974"/>
      <c r="K28" s="974">
        <f>COUNT(F26:F28)</f>
        <v>0</v>
      </c>
      <c r="L28" s="1207">
        <f>SUM(F26:F28)</f>
        <v>0</v>
      </c>
      <c r="M28" s="976">
        <f>IF(L28&lt;2,0,1)</f>
        <v>0</v>
      </c>
      <c r="O28" s="942"/>
      <c r="P28" s="956">
        <f>COUNTA(F26:F28)</f>
        <v>3</v>
      </c>
    </row>
    <row r="29" spans="1:257" ht="15" thickTop="1" thickBot="1">
      <c r="A29" s="915"/>
      <c r="F29" s="915"/>
      <c r="J29" s="915"/>
      <c r="K29" s="915"/>
    </row>
    <row r="30" spans="1:257" ht="57" thickTop="1">
      <c r="A30" s="2477" t="s">
        <v>1194</v>
      </c>
      <c r="B30" s="1210" t="s">
        <v>1617</v>
      </c>
      <c r="C30" s="1199">
        <v>4</v>
      </c>
      <c r="D30" s="1199">
        <v>5</v>
      </c>
      <c r="E30" s="1200" t="s">
        <v>2536</v>
      </c>
      <c r="F30" s="1201" t="str">
        <f>IF(Scoring!I39="","",Scoring!I39)</f>
        <v/>
      </c>
      <c r="G30" s="1202"/>
      <c r="H30" s="1202"/>
      <c r="I30" s="1203" t="s">
        <v>2537</v>
      </c>
      <c r="J30" s="1208"/>
      <c r="K30" s="1208"/>
      <c r="L30" s="1204"/>
      <c r="M30" s="1205"/>
      <c r="O30" s="949"/>
      <c r="P30" s="948"/>
    </row>
    <row r="31" spans="1:257" ht="70">
      <c r="A31" s="2479"/>
      <c r="B31" s="1102" t="s">
        <v>1618</v>
      </c>
      <c r="C31" s="985">
        <v>3</v>
      </c>
      <c r="D31" s="985">
        <v>4</v>
      </c>
      <c r="E31" s="986" t="s">
        <v>2538</v>
      </c>
      <c r="F31" s="968" t="str">
        <f>IF(Scoring!I40="","",Scoring!I40)</f>
        <v/>
      </c>
      <c r="G31" s="987"/>
      <c r="H31" s="987"/>
      <c r="I31" s="988" t="s">
        <v>2539</v>
      </c>
      <c r="J31" s="969"/>
      <c r="K31" s="969"/>
      <c r="L31" s="989"/>
      <c r="M31" s="990"/>
      <c r="O31" s="947"/>
      <c r="P31" s="954"/>
    </row>
    <row r="32" spans="1:257" s="951" customFormat="1" ht="57" thickBot="1">
      <c r="A32" s="2480"/>
      <c r="B32" s="1211" t="s">
        <v>1619</v>
      </c>
      <c r="C32" s="997">
        <v>4</v>
      </c>
      <c r="D32" s="997">
        <v>4</v>
      </c>
      <c r="E32" s="998" t="s">
        <v>2540</v>
      </c>
      <c r="F32" s="973" t="str">
        <f>IF(Scoring!I41="","",Scoring!I41)</f>
        <v/>
      </c>
      <c r="G32" s="999"/>
      <c r="H32" s="999"/>
      <c r="I32" s="1000" t="s">
        <v>2541</v>
      </c>
      <c r="J32" s="974">
        <f>COUNT(F30:F32)</f>
        <v>0</v>
      </c>
      <c r="K32" s="974"/>
      <c r="L32" s="1207">
        <f>SUM(F30:F32)</f>
        <v>0</v>
      </c>
      <c r="M32" s="976">
        <f>IF(L32&lt;2,0,1)</f>
        <v>0</v>
      </c>
      <c r="N32" s="928"/>
      <c r="O32" s="942"/>
      <c r="P32" s="956">
        <f>COUNTA(F30:F32)</f>
        <v>3</v>
      </c>
      <c r="Q32" s="928"/>
      <c r="R32" s="928"/>
      <c r="S32" s="928"/>
      <c r="T32" s="928"/>
      <c r="U32" s="928"/>
      <c r="V32" s="928"/>
      <c r="W32" s="928"/>
      <c r="X32" s="928"/>
      <c r="Y32" s="928"/>
      <c r="Z32" s="928"/>
      <c r="AA32" s="928"/>
      <c r="AB32" s="928"/>
      <c r="AC32" s="928"/>
      <c r="AD32" s="928"/>
      <c r="AE32" s="928"/>
      <c r="AF32" s="928"/>
      <c r="AG32" s="928"/>
      <c r="AH32" s="928"/>
      <c r="AI32" s="928"/>
      <c r="AJ32" s="928"/>
      <c r="AK32" s="928"/>
      <c r="AL32" s="928"/>
      <c r="AM32" s="928"/>
      <c r="AN32" s="928"/>
      <c r="AO32" s="928"/>
      <c r="AP32" s="928"/>
      <c r="AQ32" s="928"/>
      <c r="AR32" s="928"/>
      <c r="AS32" s="928"/>
      <c r="AT32" s="928"/>
      <c r="AU32" s="928"/>
      <c r="AV32" s="928"/>
      <c r="AW32" s="928"/>
      <c r="AX32" s="928"/>
      <c r="AY32" s="928"/>
      <c r="AZ32" s="928"/>
      <c r="BA32" s="928"/>
      <c r="BB32" s="928"/>
      <c r="BC32" s="928"/>
      <c r="BD32" s="928"/>
      <c r="BE32" s="928"/>
      <c r="BF32" s="928"/>
      <c r="BG32" s="928"/>
      <c r="BH32" s="928"/>
      <c r="BI32" s="928"/>
      <c r="BJ32" s="928"/>
      <c r="BK32" s="928"/>
      <c r="BL32" s="928"/>
      <c r="BM32" s="928"/>
      <c r="BN32" s="928"/>
      <c r="BO32" s="928"/>
      <c r="BP32" s="928"/>
      <c r="BQ32" s="928"/>
      <c r="BR32" s="928"/>
      <c r="BS32" s="928"/>
      <c r="BT32" s="928"/>
      <c r="BU32" s="928"/>
      <c r="BV32" s="928"/>
      <c r="BW32" s="928"/>
      <c r="BX32" s="928"/>
      <c r="BY32" s="928"/>
      <c r="BZ32" s="928"/>
      <c r="CA32" s="928"/>
      <c r="CB32" s="928"/>
      <c r="CC32" s="928"/>
      <c r="CD32" s="928"/>
      <c r="CE32" s="928"/>
      <c r="CF32" s="928"/>
      <c r="CG32" s="928"/>
      <c r="CH32" s="928"/>
      <c r="CI32" s="928"/>
      <c r="CJ32" s="928"/>
      <c r="CK32" s="928"/>
      <c r="CL32" s="928"/>
      <c r="CM32" s="928"/>
      <c r="CN32" s="928"/>
      <c r="CO32" s="928"/>
      <c r="CP32" s="928"/>
      <c r="CQ32" s="928"/>
      <c r="CR32" s="928"/>
      <c r="CS32" s="928"/>
      <c r="CT32" s="928"/>
      <c r="CU32" s="928"/>
      <c r="CV32" s="928"/>
      <c r="CW32" s="928"/>
      <c r="CX32" s="928"/>
      <c r="CY32" s="928"/>
      <c r="CZ32" s="928"/>
      <c r="DA32" s="928"/>
      <c r="DB32" s="928"/>
      <c r="DC32" s="928"/>
      <c r="DD32" s="928"/>
      <c r="DE32" s="928"/>
      <c r="DF32" s="928"/>
      <c r="DG32" s="928"/>
      <c r="DH32" s="928"/>
      <c r="DI32" s="928"/>
      <c r="DJ32" s="928"/>
      <c r="DK32" s="928"/>
      <c r="DL32" s="928"/>
      <c r="DM32" s="928"/>
      <c r="DN32" s="928"/>
      <c r="DO32" s="928"/>
      <c r="DP32" s="928"/>
      <c r="DQ32" s="928"/>
      <c r="DR32" s="928"/>
      <c r="DS32" s="928"/>
      <c r="DT32" s="928"/>
      <c r="DU32" s="928"/>
      <c r="DV32" s="928"/>
      <c r="DW32" s="928"/>
      <c r="DX32" s="928"/>
      <c r="DY32" s="928"/>
      <c r="DZ32" s="928"/>
      <c r="EA32" s="928"/>
      <c r="EB32" s="928"/>
      <c r="EC32" s="928"/>
      <c r="ED32" s="928"/>
      <c r="EE32" s="928"/>
      <c r="EF32" s="928"/>
      <c r="EG32" s="928"/>
      <c r="EH32" s="928"/>
      <c r="EI32" s="928"/>
      <c r="EJ32" s="928"/>
      <c r="EK32" s="928"/>
      <c r="EL32" s="928"/>
      <c r="EM32" s="928"/>
      <c r="EN32" s="928"/>
      <c r="EO32" s="928"/>
      <c r="EP32" s="928"/>
      <c r="EQ32" s="928"/>
      <c r="ER32" s="928"/>
      <c r="ES32" s="928"/>
      <c r="ET32" s="928"/>
      <c r="EU32" s="928"/>
      <c r="EV32" s="928"/>
      <c r="EW32" s="928"/>
      <c r="EX32" s="928"/>
      <c r="EY32" s="928"/>
      <c r="EZ32" s="928"/>
      <c r="FA32" s="928"/>
      <c r="FB32" s="928"/>
      <c r="FC32" s="928"/>
      <c r="FD32" s="928"/>
      <c r="FE32" s="928"/>
      <c r="FF32" s="928"/>
      <c r="FG32" s="928"/>
      <c r="FH32" s="928"/>
      <c r="FI32" s="928"/>
      <c r="FJ32" s="928"/>
      <c r="FK32" s="928"/>
      <c r="FL32" s="928"/>
      <c r="FM32" s="928"/>
      <c r="FN32" s="928"/>
      <c r="FO32" s="928"/>
      <c r="FP32" s="928"/>
      <c r="FQ32" s="928"/>
      <c r="FR32" s="928"/>
      <c r="FS32" s="928"/>
      <c r="FT32" s="928"/>
      <c r="FU32" s="928"/>
      <c r="FV32" s="928"/>
      <c r="FW32" s="928"/>
      <c r="FX32" s="928"/>
      <c r="FY32" s="928"/>
      <c r="FZ32" s="928"/>
      <c r="GA32" s="928"/>
      <c r="GB32" s="928"/>
      <c r="GC32" s="928"/>
      <c r="GD32" s="928"/>
      <c r="GE32" s="928"/>
      <c r="GF32" s="928"/>
      <c r="GG32" s="928"/>
      <c r="GH32" s="928"/>
      <c r="GI32" s="928"/>
      <c r="GJ32" s="928"/>
      <c r="GK32" s="928"/>
      <c r="GL32" s="928"/>
      <c r="GM32" s="928"/>
      <c r="GN32" s="928"/>
      <c r="GO32" s="928"/>
      <c r="GP32" s="928"/>
      <c r="GQ32" s="928"/>
      <c r="GR32" s="928"/>
      <c r="GS32" s="928"/>
      <c r="GT32" s="928"/>
      <c r="GU32" s="928"/>
      <c r="GV32" s="928"/>
      <c r="GW32" s="928"/>
      <c r="GX32" s="928"/>
      <c r="GY32" s="928"/>
      <c r="GZ32" s="928"/>
      <c r="HA32" s="928"/>
      <c r="HB32" s="928"/>
      <c r="HC32" s="928"/>
      <c r="HD32" s="928"/>
      <c r="HE32" s="928"/>
      <c r="HF32" s="928"/>
      <c r="HG32" s="928"/>
      <c r="HH32" s="928"/>
      <c r="HI32" s="928"/>
      <c r="HJ32" s="928"/>
      <c r="HK32" s="928"/>
      <c r="HL32" s="928"/>
      <c r="HM32" s="928"/>
      <c r="HN32" s="928"/>
      <c r="HO32" s="928"/>
      <c r="HP32" s="928"/>
      <c r="HQ32" s="928"/>
      <c r="HR32" s="928"/>
      <c r="HS32" s="928"/>
      <c r="HT32" s="928"/>
      <c r="HU32" s="928"/>
      <c r="HV32" s="928"/>
      <c r="HW32" s="928"/>
      <c r="HX32" s="928"/>
      <c r="HY32" s="928"/>
      <c r="HZ32" s="928"/>
      <c r="IA32" s="928"/>
      <c r="IB32" s="928"/>
      <c r="IC32" s="928"/>
      <c r="ID32" s="928"/>
      <c r="IE32" s="928"/>
      <c r="IF32" s="928"/>
      <c r="IG32" s="928"/>
      <c r="IH32" s="928"/>
      <c r="II32" s="928"/>
      <c r="IJ32" s="928"/>
      <c r="IK32" s="928"/>
      <c r="IL32" s="928"/>
      <c r="IM32" s="928"/>
      <c r="IN32" s="928"/>
      <c r="IO32" s="928"/>
      <c r="IP32" s="928"/>
      <c r="IQ32" s="928"/>
      <c r="IR32" s="928"/>
      <c r="IS32" s="928"/>
      <c r="IT32" s="928"/>
      <c r="IU32" s="928"/>
      <c r="IV32" s="928"/>
      <c r="IW32" s="928"/>
    </row>
    <row r="33" spans="1:257" s="951" customFormat="1" ht="14" thickTop="1">
      <c r="A33" s="928"/>
      <c r="B33" s="928"/>
      <c r="C33" s="928"/>
      <c r="D33" s="928"/>
      <c r="E33" s="928"/>
      <c r="F33" s="928"/>
      <c r="G33" s="928"/>
      <c r="H33" s="928"/>
      <c r="I33" s="928"/>
      <c r="J33" s="928"/>
      <c r="K33" s="928"/>
      <c r="L33" s="928"/>
      <c r="M33" s="928"/>
      <c r="N33" s="928"/>
      <c r="O33" s="928"/>
      <c r="P33" s="928"/>
      <c r="Q33" s="928"/>
      <c r="R33" s="928"/>
      <c r="S33" s="928"/>
      <c r="T33" s="928"/>
      <c r="U33" s="928"/>
      <c r="V33" s="928"/>
      <c r="W33" s="928"/>
      <c r="X33" s="928"/>
      <c r="Y33" s="928"/>
      <c r="Z33" s="928"/>
      <c r="AA33" s="928"/>
      <c r="AB33" s="928"/>
      <c r="AC33" s="928"/>
      <c r="AD33" s="928"/>
      <c r="AE33" s="928"/>
      <c r="AF33" s="928"/>
      <c r="AG33" s="928"/>
      <c r="AH33" s="928"/>
      <c r="AI33" s="928"/>
      <c r="AJ33" s="928"/>
      <c r="AK33" s="928"/>
      <c r="AL33" s="928"/>
      <c r="AM33" s="928"/>
      <c r="AN33" s="928"/>
      <c r="AO33" s="928"/>
      <c r="AP33" s="928"/>
      <c r="AQ33" s="928"/>
      <c r="AR33" s="928"/>
      <c r="AS33" s="928"/>
      <c r="AT33" s="928"/>
      <c r="AU33" s="928"/>
      <c r="AV33" s="928"/>
      <c r="AW33" s="928"/>
      <c r="AX33" s="928"/>
      <c r="AY33" s="928"/>
      <c r="AZ33" s="928"/>
      <c r="BA33" s="928"/>
      <c r="BB33" s="928"/>
      <c r="BC33" s="928"/>
      <c r="BD33" s="928"/>
      <c r="BE33" s="928"/>
      <c r="BF33" s="928"/>
      <c r="BG33" s="928"/>
      <c r="BH33" s="928"/>
      <c r="BI33" s="928"/>
      <c r="BJ33" s="928"/>
      <c r="BK33" s="928"/>
      <c r="BL33" s="928"/>
      <c r="BM33" s="928"/>
      <c r="BN33" s="928"/>
      <c r="BO33" s="928"/>
      <c r="BP33" s="928"/>
      <c r="BQ33" s="928"/>
      <c r="BR33" s="928"/>
      <c r="BS33" s="928"/>
      <c r="BT33" s="928"/>
      <c r="BU33" s="928"/>
      <c r="BV33" s="928"/>
      <c r="BW33" s="928"/>
      <c r="BX33" s="928"/>
      <c r="BY33" s="928"/>
      <c r="BZ33" s="928"/>
      <c r="CA33" s="928"/>
      <c r="CB33" s="928"/>
      <c r="CC33" s="928"/>
      <c r="CD33" s="928"/>
      <c r="CE33" s="928"/>
      <c r="CF33" s="928"/>
      <c r="CG33" s="928"/>
      <c r="CH33" s="928"/>
      <c r="CI33" s="928"/>
      <c r="CJ33" s="928"/>
      <c r="CK33" s="928"/>
      <c r="CL33" s="928"/>
      <c r="CM33" s="928"/>
      <c r="CN33" s="928"/>
      <c r="CO33" s="928"/>
      <c r="CP33" s="928"/>
      <c r="CQ33" s="928"/>
      <c r="CR33" s="928"/>
      <c r="CS33" s="928"/>
      <c r="CT33" s="928"/>
      <c r="CU33" s="928"/>
      <c r="CV33" s="928"/>
      <c r="CW33" s="928"/>
      <c r="CX33" s="928"/>
      <c r="CY33" s="928"/>
      <c r="CZ33" s="928"/>
      <c r="DA33" s="928"/>
      <c r="DB33" s="928"/>
      <c r="DC33" s="928"/>
      <c r="DD33" s="928"/>
      <c r="DE33" s="928"/>
      <c r="DF33" s="928"/>
      <c r="DG33" s="928"/>
      <c r="DH33" s="928"/>
      <c r="DI33" s="928"/>
      <c r="DJ33" s="928"/>
      <c r="DK33" s="928"/>
      <c r="DL33" s="928"/>
      <c r="DM33" s="928"/>
      <c r="DN33" s="928"/>
      <c r="DO33" s="928"/>
      <c r="DP33" s="928"/>
      <c r="DQ33" s="928"/>
      <c r="DR33" s="928"/>
      <c r="DS33" s="928"/>
      <c r="DT33" s="928"/>
      <c r="DU33" s="928"/>
      <c r="DV33" s="928"/>
      <c r="DW33" s="928"/>
      <c r="DX33" s="928"/>
      <c r="DY33" s="928"/>
      <c r="DZ33" s="928"/>
      <c r="EA33" s="928"/>
      <c r="EB33" s="928"/>
      <c r="EC33" s="928"/>
      <c r="ED33" s="928"/>
      <c r="EE33" s="928"/>
      <c r="EF33" s="928"/>
      <c r="EG33" s="928"/>
      <c r="EH33" s="928"/>
      <c r="EI33" s="928"/>
      <c r="EJ33" s="928"/>
      <c r="EK33" s="928"/>
      <c r="EL33" s="928"/>
      <c r="EM33" s="928"/>
      <c r="EN33" s="928"/>
      <c r="EO33" s="928"/>
      <c r="EP33" s="928"/>
      <c r="EQ33" s="928"/>
      <c r="ER33" s="928"/>
      <c r="ES33" s="928"/>
      <c r="ET33" s="928"/>
      <c r="EU33" s="928"/>
      <c r="EV33" s="928"/>
      <c r="EW33" s="928"/>
      <c r="EX33" s="928"/>
      <c r="EY33" s="928"/>
      <c r="EZ33" s="928"/>
      <c r="FA33" s="928"/>
      <c r="FB33" s="928"/>
      <c r="FC33" s="928"/>
      <c r="FD33" s="928"/>
      <c r="FE33" s="928"/>
      <c r="FF33" s="928"/>
      <c r="FG33" s="928"/>
      <c r="FH33" s="928"/>
      <c r="FI33" s="928"/>
      <c r="FJ33" s="928"/>
      <c r="FK33" s="928"/>
      <c r="FL33" s="928"/>
      <c r="FM33" s="928"/>
      <c r="FN33" s="928"/>
      <c r="FO33" s="928"/>
      <c r="FP33" s="928"/>
      <c r="FQ33" s="928"/>
      <c r="FR33" s="928"/>
      <c r="FS33" s="928"/>
      <c r="FT33" s="928"/>
      <c r="FU33" s="928"/>
      <c r="FV33" s="928"/>
      <c r="FW33" s="928"/>
      <c r="FX33" s="928"/>
      <c r="FY33" s="928"/>
      <c r="FZ33" s="928"/>
      <c r="GA33" s="928"/>
      <c r="GB33" s="928"/>
      <c r="GC33" s="928"/>
      <c r="GD33" s="928"/>
      <c r="GE33" s="928"/>
      <c r="GF33" s="928"/>
      <c r="GG33" s="928"/>
      <c r="GH33" s="928"/>
      <c r="GI33" s="928"/>
      <c r="GJ33" s="928"/>
      <c r="GK33" s="928"/>
      <c r="GL33" s="928"/>
      <c r="GM33" s="928"/>
      <c r="GN33" s="928"/>
      <c r="GO33" s="928"/>
      <c r="GP33" s="928"/>
      <c r="GQ33" s="928"/>
      <c r="GR33" s="928"/>
      <c r="GS33" s="928"/>
      <c r="GT33" s="928"/>
      <c r="GU33" s="928"/>
      <c r="GV33" s="928"/>
      <c r="GW33" s="928"/>
      <c r="GX33" s="928"/>
      <c r="GY33" s="928"/>
      <c r="GZ33" s="928"/>
      <c r="HA33" s="928"/>
      <c r="HB33" s="928"/>
      <c r="HC33" s="928"/>
      <c r="HD33" s="928"/>
      <c r="HE33" s="928"/>
      <c r="HF33" s="928"/>
      <c r="HG33" s="928"/>
      <c r="HH33" s="928"/>
      <c r="HI33" s="928"/>
      <c r="HJ33" s="928"/>
      <c r="HK33" s="928"/>
      <c r="HL33" s="928"/>
      <c r="HM33" s="928"/>
      <c r="HN33" s="928"/>
      <c r="HO33" s="928"/>
      <c r="HP33" s="928"/>
      <c r="HQ33" s="928"/>
      <c r="HR33" s="928"/>
      <c r="HS33" s="928"/>
      <c r="HT33" s="928"/>
      <c r="HU33" s="928"/>
      <c r="HV33" s="928"/>
      <c r="HW33" s="928"/>
      <c r="HX33" s="928"/>
      <c r="HY33" s="928"/>
      <c r="HZ33" s="928"/>
      <c r="IA33" s="928"/>
      <c r="IB33" s="928"/>
      <c r="IC33" s="928"/>
      <c r="ID33" s="928"/>
      <c r="IE33" s="928"/>
      <c r="IF33" s="928"/>
      <c r="IG33" s="928"/>
      <c r="IH33" s="928"/>
      <c r="II33" s="928"/>
      <c r="IJ33" s="928"/>
      <c r="IK33" s="928"/>
      <c r="IL33" s="928"/>
      <c r="IM33" s="928"/>
      <c r="IN33" s="928"/>
      <c r="IO33" s="928"/>
      <c r="IP33" s="928"/>
      <c r="IQ33" s="928"/>
      <c r="IR33" s="928"/>
      <c r="IS33" s="928"/>
      <c r="IT33" s="928"/>
      <c r="IU33" s="928"/>
      <c r="IV33" s="928"/>
      <c r="IW33" s="928"/>
    </row>
    <row r="34" spans="1:257" s="951" customFormat="1">
      <c r="A34" s="928"/>
      <c r="B34" s="928"/>
      <c r="C34" s="928"/>
      <c r="D34" s="928"/>
      <c r="E34" s="928"/>
      <c r="F34" s="928"/>
      <c r="G34" s="928"/>
      <c r="H34" s="928"/>
      <c r="I34" s="928"/>
      <c r="J34" s="928"/>
      <c r="K34" s="928"/>
      <c r="L34" s="928"/>
      <c r="M34" s="928"/>
      <c r="N34" s="928"/>
      <c r="O34" s="928"/>
      <c r="P34" s="928"/>
      <c r="Q34" s="928"/>
      <c r="R34" s="928"/>
      <c r="S34" s="928"/>
      <c r="T34" s="928"/>
      <c r="U34" s="928"/>
      <c r="V34" s="928"/>
      <c r="W34" s="928"/>
      <c r="X34" s="928"/>
      <c r="Y34" s="928"/>
      <c r="Z34" s="928"/>
      <c r="AA34" s="928"/>
      <c r="AB34" s="928"/>
      <c r="AC34" s="928"/>
      <c r="AD34" s="928"/>
      <c r="AE34" s="928"/>
      <c r="AF34" s="928"/>
      <c r="AG34" s="928"/>
      <c r="AH34" s="928"/>
      <c r="AI34" s="928"/>
      <c r="AJ34" s="928"/>
      <c r="AK34" s="928"/>
      <c r="AL34" s="928"/>
      <c r="AM34" s="928"/>
      <c r="AN34" s="928"/>
      <c r="AO34" s="928"/>
      <c r="AP34" s="928"/>
      <c r="AQ34" s="928"/>
      <c r="AR34" s="928"/>
      <c r="AS34" s="928"/>
      <c r="AT34" s="928"/>
      <c r="AU34" s="928"/>
      <c r="AV34" s="928"/>
      <c r="AW34" s="928"/>
      <c r="AX34" s="928"/>
      <c r="AY34" s="928"/>
      <c r="AZ34" s="928"/>
      <c r="BA34" s="928"/>
      <c r="BB34" s="928"/>
      <c r="BC34" s="928"/>
      <c r="BD34" s="928"/>
      <c r="BE34" s="928"/>
      <c r="BF34" s="928"/>
      <c r="BG34" s="928"/>
      <c r="BH34" s="928"/>
      <c r="BI34" s="928"/>
      <c r="BJ34" s="928"/>
      <c r="BK34" s="928"/>
      <c r="BL34" s="928"/>
      <c r="BM34" s="928"/>
      <c r="BN34" s="928"/>
      <c r="BO34" s="928"/>
      <c r="BP34" s="928"/>
      <c r="BQ34" s="928"/>
      <c r="BR34" s="928"/>
      <c r="BS34" s="928"/>
      <c r="BT34" s="928"/>
      <c r="BU34" s="928"/>
      <c r="BV34" s="928"/>
      <c r="BW34" s="928"/>
      <c r="BX34" s="928"/>
      <c r="BY34" s="928"/>
      <c r="BZ34" s="928"/>
      <c r="CA34" s="928"/>
      <c r="CB34" s="928"/>
      <c r="CC34" s="928"/>
      <c r="CD34" s="928"/>
      <c r="CE34" s="928"/>
      <c r="CF34" s="928"/>
      <c r="CG34" s="928"/>
      <c r="CH34" s="928"/>
      <c r="CI34" s="928"/>
      <c r="CJ34" s="928"/>
      <c r="CK34" s="928"/>
      <c r="CL34" s="928"/>
      <c r="CM34" s="928"/>
      <c r="CN34" s="928"/>
      <c r="CO34" s="928"/>
      <c r="CP34" s="928"/>
      <c r="CQ34" s="928"/>
      <c r="CR34" s="928"/>
      <c r="CS34" s="928"/>
      <c r="CT34" s="928"/>
      <c r="CU34" s="928"/>
      <c r="CV34" s="928"/>
      <c r="CW34" s="928"/>
      <c r="CX34" s="928"/>
      <c r="CY34" s="928"/>
      <c r="CZ34" s="928"/>
      <c r="DA34" s="928"/>
      <c r="DB34" s="928"/>
      <c r="DC34" s="928"/>
      <c r="DD34" s="928"/>
      <c r="DE34" s="928"/>
      <c r="DF34" s="928"/>
      <c r="DG34" s="928"/>
      <c r="DH34" s="928"/>
      <c r="DI34" s="928"/>
      <c r="DJ34" s="928"/>
      <c r="DK34" s="928"/>
      <c r="DL34" s="928"/>
      <c r="DM34" s="928"/>
      <c r="DN34" s="928"/>
      <c r="DO34" s="928"/>
      <c r="DP34" s="928"/>
      <c r="DQ34" s="928"/>
      <c r="DR34" s="928"/>
      <c r="DS34" s="928"/>
      <c r="DT34" s="928"/>
      <c r="DU34" s="928"/>
      <c r="DV34" s="928"/>
      <c r="DW34" s="928"/>
      <c r="DX34" s="928"/>
      <c r="DY34" s="928"/>
      <c r="DZ34" s="928"/>
      <c r="EA34" s="928"/>
      <c r="EB34" s="928"/>
      <c r="EC34" s="928"/>
      <c r="ED34" s="928"/>
      <c r="EE34" s="928"/>
      <c r="EF34" s="928"/>
      <c r="EG34" s="928"/>
      <c r="EH34" s="928"/>
      <c r="EI34" s="928"/>
      <c r="EJ34" s="928"/>
      <c r="EK34" s="928"/>
      <c r="EL34" s="928"/>
      <c r="EM34" s="928"/>
      <c r="EN34" s="928"/>
      <c r="EO34" s="928"/>
      <c r="EP34" s="928"/>
      <c r="EQ34" s="928"/>
      <c r="ER34" s="928"/>
      <c r="ES34" s="928"/>
      <c r="ET34" s="928"/>
      <c r="EU34" s="928"/>
      <c r="EV34" s="928"/>
      <c r="EW34" s="928"/>
      <c r="EX34" s="928"/>
      <c r="EY34" s="928"/>
      <c r="EZ34" s="928"/>
      <c r="FA34" s="928"/>
      <c r="FB34" s="928"/>
      <c r="FC34" s="928"/>
      <c r="FD34" s="928"/>
      <c r="FE34" s="928"/>
      <c r="FF34" s="928"/>
      <c r="FG34" s="928"/>
      <c r="FH34" s="928"/>
      <c r="FI34" s="928"/>
      <c r="FJ34" s="928"/>
      <c r="FK34" s="928"/>
      <c r="FL34" s="928"/>
      <c r="FM34" s="928"/>
      <c r="FN34" s="928"/>
      <c r="FO34" s="928"/>
      <c r="FP34" s="928"/>
      <c r="FQ34" s="928"/>
      <c r="FR34" s="928"/>
      <c r="FS34" s="928"/>
      <c r="FT34" s="928"/>
      <c r="FU34" s="928"/>
      <c r="FV34" s="928"/>
      <c r="FW34" s="928"/>
      <c r="FX34" s="928"/>
      <c r="FY34" s="928"/>
      <c r="FZ34" s="928"/>
      <c r="GA34" s="928"/>
      <c r="GB34" s="928"/>
      <c r="GC34" s="928"/>
      <c r="GD34" s="928"/>
      <c r="GE34" s="928"/>
      <c r="GF34" s="928"/>
      <c r="GG34" s="928"/>
      <c r="GH34" s="928"/>
      <c r="GI34" s="928"/>
      <c r="GJ34" s="928"/>
      <c r="GK34" s="928"/>
      <c r="GL34" s="928"/>
      <c r="GM34" s="928"/>
      <c r="GN34" s="928"/>
      <c r="GO34" s="928"/>
      <c r="GP34" s="928"/>
      <c r="GQ34" s="928"/>
      <c r="GR34" s="928"/>
      <c r="GS34" s="928"/>
      <c r="GT34" s="928"/>
      <c r="GU34" s="928"/>
      <c r="GV34" s="928"/>
      <c r="GW34" s="928"/>
      <c r="GX34" s="928"/>
      <c r="GY34" s="928"/>
      <c r="GZ34" s="928"/>
      <c r="HA34" s="928"/>
      <c r="HB34" s="928"/>
      <c r="HC34" s="928"/>
      <c r="HD34" s="928"/>
      <c r="HE34" s="928"/>
      <c r="HF34" s="928"/>
      <c r="HG34" s="928"/>
      <c r="HH34" s="928"/>
      <c r="HI34" s="928"/>
      <c r="HJ34" s="928"/>
      <c r="HK34" s="928"/>
      <c r="HL34" s="928"/>
      <c r="HM34" s="928"/>
      <c r="HN34" s="928"/>
      <c r="HO34" s="928"/>
      <c r="HP34" s="928"/>
      <c r="HQ34" s="928"/>
      <c r="HR34" s="928"/>
      <c r="HS34" s="928"/>
      <c r="HT34" s="928"/>
      <c r="HU34" s="928"/>
      <c r="HV34" s="928"/>
      <c r="HW34" s="928"/>
      <c r="HX34" s="928"/>
      <c r="HY34" s="928"/>
      <c r="HZ34" s="928"/>
      <c r="IA34" s="928"/>
      <c r="IB34" s="928"/>
      <c r="IC34" s="928"/>
      <c r="ID34" s="928"/>
      <c r="IE34" s="928"/>
      <c r="IF34" s="928"/>
      <c r="IG34" s="928"/>
      <c r="IH34" s="928"/>
      <c r="II34" s="928"/>
      <c r="IJ34" s="928"/>
      <c r="IK34" s="928"/>
      <c r="IL34" s="928"/>
      <c r="IM34" s="928"/>
      <c r="IN34" s="928"/>
      <c r="IO34" s="928"/>
      <c r="IP34" s="928"/>
      <c r="IQ34" s="928"/>
      <c r="IR34" s="928"/>
      <c r="IS34" s="928"/>
      <c r="IT34" s="928"/>
      <c r="IU34" s="928"/>
      <c r="IV34" s="928"/>
      <c r="IW34" s="928"/>
    </row>
    <row r="35" spans="1:257" s="951" customFormat="1" ht="14" thickBot="1">
      <c r="A35" s="928"/>
      <c r="B35" s="928"/>
      <c r="C35" s="928"/>
      <c r="D35" s="928"/>
      <c r="E35" s="928"/>
      <c r="F35" s="928"/>
      <c r="G35" s="928"/>
      <c r="H35" s="928"/>
      <c r="I35" s="928"/>
      <c r="J35" s="928"/>
      <c r="K35" s="928"/>
      <c r="L35" s="928"/>
      <c r="M35" s="928"/>
      <c r="N35" s="928"/>
      <c r="O35" s="928"/>
      <c r="P35" s="928"/>
      <c r="Q35" s="928"/>
      <c r="R35" s="928"/>
      <c r="S35" s="928"/>
      <c r="T35" s="928"/>
      <c r="U35" s="928"/>
      <c r="V35" s="928"/>
      <c r="W35" s="928"/>
      <c r="X35" s="928"/>
      <c r="Y35" s="928"/>
      <c r="Z35" s="928"/>
      <c r="AA35" s="928"/>
      <c r="AB35" s="928"/>
      <c r="AC35" s="928"/>
      <c r="AD35" s="928"/>
      <c r="AE35" s="928"/>
      <c r="AF35" s="928"/>
      <c r="AG35" s="928"/>
      <c r="AH35" s="928"/>
      <c r="AI35" s="928"/>
      <c r="AJ35" s="928"/>
      <c r="AK35" s="928"/>
      <c r="AL35" s="928"/>
      <c r="AM35" s="928"/>
      <c r="AN35" s="928"/>
      <c r="AO35" s="928"/>
      <c r="AP35" s="928"/>
      <c r="AQ35" s="928"/>
      <c r="AR35" s="928"/>
      <c r="AS35" s="928"/>
      <c r="AT35" s="928"/>
      <c r="AU35" s="928"/>
      <c r="AV35" s="928"/>
      <c r="AW35" s="928"/>
      <c r="AX35" s="928"/>
      <c r="AY35" s="928"/>
      <c r="AZ35" s="928"/>
      <c r="BA35" s="928"/>
      <c r="BB35" s="928"/>
      <c r="BC35" s="928"/>
      <c r="BD35" s="928"/>
      <c r="BE35" s="928"/>
      <c r="BF35" s="928"/>
      <c r="BG35" s="928"/>
      <c r="BH35" s="928"/>
      <c r="BI35" s="928"/>
      <c r="BJ35" s="928"/>
      <c r="BK35" s="928"/>
      <c r="BL35" s="928"/>
      <c r="BM35" s="928"/>
      <c r="BN35" s="928"/>
      <c r="BO35" s="928"/>
      <c r="BP35" s="928"/>
      <c r="BQ35" s="928"/>
      <c r="BR35" s="928"/>
      <c r="BS35" s="928"/>
      <c r="BT35" s="928"/>
      <c r="BU35" s="928"/>
      <c r="BV35" s="928"/>
      <c r="BW35" s="928"/>
      <c r="BX35" s="928"/>
      <c r="BY35" s="928"/>
      <c r="BZ35" s="928"/>
      <c r="CA35" s="928"/>
      <c r="CB35" s="928"/>
      <c r="CC35" s="928"/>
      <c r="CD35" s="928"/>
      <c r="CE35" s="928"/>
      <c r="CF35" s="928"/>
      <c r="CG35" s="928"/>
      <c r="CH35" s="928"/>
      <c r="CI35" s="928"/>
      <c r="CJ35" s="928"/>
      <c r="CK35" s="928"/>
      <c r="CL35" s="928"/>
      <c r="CM35" s="928"/>
      <c r="CN35" s="928"/>
      <c r="CO35" s="928"/>
      <c r="CP35" s="928"/>
      <c r="CQ35" s="928"/>
      <c r="CR35" s="928"/>
      <c r="CS35" s="928"/>
      <c r="CT35" s="928"/>
      <c r="CU35" s="928"/>
      <c r="CV35" s="928"/>
      <c r="CW35" s="928"/>
      <c r="CX35" s="928"/>
      <c r="CY35" s="928"/>
      <c r="CZ35" s="928"/>
      <c r="DA35" s="928"/>
      <c r="DB35" s="928"/>
      <c r="DC35" s="928"/>
      <c r="DD35" s="928"/>
      <c r="DE35" s="928"/>
      <c r="DF35" s="928"/>
      <c r="DG35" s="928"/>
      <c r="DH35" s="928"/>
      <c r="DI35" s="928"/>
      <c r="DJ35" s="928"/>
      <c r="DK35" s="928"/>
      <c r="DL35" s="928"/>
      <c r="DM35" s="928"/>
      <c r="DN35" s="928"/>
      <c r="DO35" s="928"/>
      <c r="DP35" s="928"/>
      <c r="DQ35" s="928"/>
      <c r="DR35" s="928"/>
      <c r="DS35" s="928"/>
      <c r="DT35" s="928"/>
      <c r="DU35" s="928"/>
      <c r="DV35" s="928"/>
      <c r="DW35" s="928"/>
      <c r="DX35" s="928"/>
      <c r="DY35" s="928"/>
      <c r="DZ35" s="928"/>
      <c r="EA35" s="928"/>
      <c r="EB35" s="928"/>
      <c r="EC35" s="928"/>
      <c r="ED35" s="928"/>
      <c r="EE35" s="928"/>
      <c r="EF35" s="928"/>
      <c r="EG35" s="928"/>
      <c r="EH35" s="928"/>
      <c r="EI35" s="928"/>
      <c r="EJ35" s="928"/>
      <c r="EK35" s="928"/>
      <c r="EL35" s="928"/>
      <c r="EM35" s="928"/>
      <c r="EN35" s="928"/>
      <c r="EO35" s="928"/>
      <c r="EP35" s="928"/>
      <c r="EQ35" s="928"/>
      <c r="ER35" s="928"/>
      <c r="ES35" s="928"/>
      <c r="ET35" s="928"/>
      <c r="EU35" s="928"/>
      <c r="EV35" s="928"/>
      <c r="EW35" s="928"/>
      <c r="EX35" s="928"/>
      <c r="EY35" s="928"/>
      <c r="EZ35" s="928"/>
      <c r="FA35" s="928"/>
      <c r="FB35" s="928"/>
      <c r="FC35" s="928"/>
      <c r="FD35" s="928"/>
      <c r="FE35" s="928"/>
      <c r="FF35" s="928"/>
      <c r="FG35" s="928"/>
      <c r="FH35" s="928"/>
      <c r="FI35" s="928"/>
      <c r="FJ35" s="928"/>
      <c r="FK35" s="928"/>
      <c r="FL35" s="928"/>
      <c r="FM35" s="928"/>
      <c r="FN35" s="928"/>
      <c r="FO35" s="928"/>
      <c r="FP35" s="928"/>
      <c r="FQ35" s="928"/>
      <c r="FR35" s="928"/>
      <c r="FS35" s="928"/>
      <c r="FT35" s="928"/>
      <c r="FU35" s="928"/>
      <c r="FV35" s="928"/>
      <c r="FW35" s="928"/>
      <c r="FX35" s="928"/>
      <c r="FY35" s="928"/>
      <c r="FZ35" s="928"/>
      <c r="GA35" s="928"/>
      <c r="GB35" s="928"/>
      <c r="GC35" s="928"/>
      <c r="GD35" s="928"/>
      <c r="GE35" s="928"/>
      <c r="GF35" s="928"/>
      <c r="GG35" s="928"/>
      <c r="GH35" s="928"/>
      <c r="GI35" s="928"/>
      <c r="GJ35" s="928"/>
      <c r="GK35" s="928"/>
      <c r="GL35" s="928"/>
      <c r="GM35" s="928"/>
      <c r="GN35" s="928"/>
      <c r="GO35" s="928"/>
      <c r="GP35" s="928"/>
      <c r="GQ35" s="928"/>
      <c r="GR35" s="928"/>
      <c r="GS35" s="928"/>
      <c r="GT35" s="928"/>
      <c r="GU35" s="928"/>
      <c r="GV35" s="928"/>
      <c r="GW35" s="928"/>
      <c r="GX35" s="928"/>
      <c r="GY35" s="928"/>
      <c r="GZ35" s="928"/>
      <c r="HA35" s="928"/>
      <c r="HB35" s="928"/>
      <c r="HC35" s="928"/>
      <c r="HD35" s="928"/>
      <c r="HE35" s="928"/>
      <c r="HF35" s="928"/>
      <c r="HG35" s="928"/>
      <c r="HH35" s="928"/>
      <c r="HI35" s="928"/>
      <c r="HJ35" s="928"/>
      <c r="HK35" s="928"/>
      <c r="HL35" s="928"/>
      <c r="HM35" s="928"/>
      <c r="HN35" s="928"/>
      <c r="HO35" s="928"/>
      <c r="HP35" s="928"/>
      <c r="HQ35" s="928"/>
      <c r="HR35" s="928"/>
      <c r="HS35" s="928"/>
      <c r="HT35" s="928"/>
      <c r="HU35" s="928"/>
      <c r="HV35" s="928"/>
      <c r="HW35" s="928"/>
      <c r="HX35" s="928"/>
      <c r="HY35" s="928"/>
      <c r="HZ35" s="928"/>
      <c r="IA35" s="928"/>
      <c r="IB35" s="928"/>
      <c r="IC35" s="928"/>
      <c r="ID35" s="928"/>
      <c r="IE35" s="928"/>
      <c r="IF35" s="928"/>
      <c r="IG35" s="928"/>
      <c r="IH35" s="928"/>
      <c r="II35" s="928"/>
      <c r="IJ35" s="928"/>
      <c r="IK35" s="928"/>
      <c r="IL35" s="928"/>
      <c r="IM35" s="928"/>
      <c r="IN35" s="928"/>
      <c r="IO35" s="928"/>
      <c r="IP35" s="928"/>
      <c r="IQ35" s="928"/>
      <c r="IR35" s="928"/>
      <c r="IS35" s="928"/>
      <c r="IT35" s="928"/>
      <c r="IU35" s="928"/>
      <c r="IV35" s="928"/>
      <c r="IW35" s="928"/>
    </row>
    <row r="36" spans="1:257" s="951" customFormat="1" ht="85" thickTop="1">
      <c r="A36" s="2477" t="s">
        <v>2077</v>
      </c>
      <c r="B36" s="1210" t="s">
        <v>1620</v>
      </c>
      <c r="C36" s="1199">
        <v>4</v>
      </c>
      <c r="D36" s="1199">
        <v>6</v>
      </c>
      <c r="E36" s="1200" t="s">
        <v>1383</v>
      </c>
      <c r="F36" s="1201" t="str">
        <f>IF(Scoring!I45="","",Scoring!I45)</f>
        <v/>
      </c>
      <c r="G36" s="1202"/>
      <c r="H36" s="1202"/>
      <c r="I36" s="1203" t="s">
        <v>2078</v>
      </c>
      <c r="J36" s="1208"/>
      <c r="K36" s="1208"/>
      <c r="L36" s="1204"/>
      <c r="M36" s="1205"/>
      <c r="N36" s="928"/>
      <c r="O36" s="949"/>
      <c r="P36" s="948"/>
      <c r="Q36" s="928"/>
      <c r="R36" s="928"/>
      <c r="S36" s="928"/>
      <c r="T36" s="928"/>
      <c r="U36" s="928"/>
      <c r="V36" s="928"/>
      <c r="W36" s="928"/>
      <c r="X36" s="928"/>
      <c r="Y36" s="928"/>
      <c r="Z36" s="928"/>
      <c r="AA36" s="928"/>
      <c r="AB36" s="928"/>
      <c r="AC36" s="928"/>
      <c r="AD36" s="928"/>
      <c r="AE36" s="928"/>
      <c r="AF36" s="928"/>
      <c r="AG36" s="928"/>
      <c r="AH36" s="928"/>
      <c r="AI36" s="928"/>
      <c r="AJ36" s="928"/>
      <c r="AK36" s="928"/>
      <c r="AL36" s="928"/>
      <c r="AM36" s="928"/>
      <c r="AN36" s="928"/>
      <c r="AO36" s="928"/>
      <c r="AP36" s="928"/>
      <c r="AQ36" s="928"/>
      <c r="AR36" s="928"/>
      <c r="AS36" s="928"/>
      <c r="AT36" s="928"/>
      <c r="AU36" s="928"/>
      <c r="AV36" s="928"/>
      <c r="AW36" s="928"/>
      <c r="AX36" s="928"/>
      <c r="AY36" s="928"/>
      <c r="AZ36" s="928"/>
      <c r="BA36" s="928"/>
      <c r="BB36" s="928"/>
      <c r="BC36" s="928"/>
      <c r="BD36" s="928"/>
      <c r="BE36" s="928"/>
      <c r="BF36" s="928"/>
      <c r="BG36" s="928"/>
      <c r="BH36" s="928"/>
      <c r="BI36" s="928"/>
      <c r="BJ36" s="928"/>
      <c r="BK36" s="928"/>
      <c r="BL36" s="928"/>
      <c r="BM36" s="928"/>
      <c r="BN36" s="928"/>
      <c r="BO36" s="928"/>
      <c r="BP36" s="928"/>
      <c r="BQ36" s="928"/>
      <c r="BR36" s="928"/>
      <c r="BS36" s="928"/>
      <c r="BT36" s="928"/>
      <c r="BU36" s="928"/>
      <c r="BV36" s="928"/>
      <c r="BW36" s="928"/>
      <c r="BX36" s="928"/>
      <c r="BY36" s="928"/>
      <c r="BZ36" s="928"/>
      <c r="CA36" s="928"/>
      <c r="CB36" s="928"/>
      <c r="CC36" s="928"/>
      <c r="CD36" s="928"/>
      <c r="CE36" s="928"/>
      <c r="CF36" s="928"/>
      <c r="CG36" s="928"/>
      <c r="CH36" s="928"/>
      <c r="CI36" s="928"/>
      <c r="CJ36" s="928"/>
      <c r="CK36" s="928"/>
      <c r="CL36" s="928"/>
      <c r="CM36" s="928"/>
      <c r="CN36" s="928"/>
      <c r="CO36" s="928"/>
      <c r="CP36" s="928"/>
      <c r="CQ36" s="928"/>
      <c r="CR36" s="928"/>
      <c r="CS36" s="928"/>
      <c r="CT36" s="928"/>
      <c r="CU36" s="928"/>
      <c r="CV36" s="928"/>
      <c r="CW36" s="928"/>
      <c r="CX36" s="928"/>
      <c r="CY36" s="928"/>
      <c r="CZ36" s="928"/>
      <c r="DA36" s="928"/>
      <c r="DB36" s="928"/>
      <c r="DC36" s="928"/>
      <c r="DD36" s="928"/>
      <c r="DE36" s="928"/>
      <c r="DF36" s="928"/>
      <c r="DG36" s="928"/>
      <c r="DH36" s="928"/>
      <c r="DI36" s="928"/>
      <c r="DJ36" s="928"/>
      <c r="DK36" s="928"/>
      <c r="DL36" s="928"/>
      <c r="DM36" s="928"/>
      <c r="DN36" s="928"/>
      <c r="DO36" s="928"/>
      <c r="DP36" s="928"/>
      <c r="DQ36" s="928"/>
      <c r="DR36" s="928"/>
      <c r="DS36" s="928"/>
      <c r="DT36" s="928"/>
      <c r="DU36" s="928"/>
      <c r="DV36" s="928"/>
      <c r="DW36" s="928"/>
      <c r="DX36" s="928"/>
      <c r="DY36" s="928"/>
      <c r="DZ36" s="928"/>
      <c r="EA36" s="928"/>
      <c r="EB36" s="928"/>
      <c r="EC36" s="928"/>
      <c r="ED36" s="928"/>
      <c r="EE36" s="928"/>
      <c r="EF36" s="928"/>
      <c r="EG36" s="928"/>
      <c r="EH36" s="928"/>
      <c r="EI36" s="928"/>
      <c r="EJ36" s="928"/>
      <c r="EK36" s="928"/>
      <c r="EL36" s="928"/>
      <c r="EM36" s="928"/>
      <c r="EN36" s="928"/>
      <c r="EO36" s="928"/>
      <c r="EP36" s="928"/>
      <c r="EQ36" s="928"/>
      <c r="ER36" s="928"/>
      <c r="ES36" s="928"/>
      <c r="ET36" s="928"/>
      <c r="EU36" s="928"/>
      <c r="EV36" s="928"/>
      <c r="EW36" s="928"/>
      <c r="EX36" s="928"/>
      <c r="EY36" s="928"/>
      <c r="EZ36" s="928"/>
      <c r="FA36" s="928"/>
      <c r="FB36" s="928"/>
      <c r="FC36" s="928"/>
      <c r="FD36" s="928"/>
      <c r="FE36" s="928"/>
      <c r="FF36" s="928"/>
      <c r="FG36" s="928"/>
      <c r="FH36" s="928"/>
      <c r="FI36" s="928"/>
      <c r="FJ36" s="928"/>
      <c r="FK36" s="928"/>
      <c r="FL36" s="928"/>
      <c r="FM36" s="928"/>
      <c r="FN36" s="928"/>
      <c r="FO36" s="928"/>
      <c r="FP36" s="928"/>
      <c r="FQ36" s="928"/>
      <c r="FR36" s="928"/>
      <c r="FS36" s="928"/>
      <c r="FT36" s="928"/>
      <c r="FU36" s="928"/>
      <c r="FV36" s="928"/>
      <c r="FW36" s="928"/>
      <c r="FX36" s="928"/>
      <c r="FY36" s="928"/>
      <c r="FZ36" s="928"/>
      <c r="GA36" s="928"/>
      <c r="GB36" s="928"/>
      <c r="GC36" s="928"/>
      <c r="GD36" s="928"/>
      <c r="GE36" s="928"/>
      <c r="GF36" s="928"/>
      <c r="GG36" s="928"/>
      <c r="GH36" s="928"/>
      <c r="GI36" s="928"/>
      <c r="GJ36" s="928"/>
      <c r="GK36" s="928"/>
      <c r="GL36" s="928"/>
      <c r="GM36" s="928"/>
      <c r="GN36" s="928"/>
      <c r="GO36" s="928"/>
      <c r="GP36" s="928"/>
      <c r="GQ36" s="928"/>
      <c r="GR36" s="928"/>
      <c r="GS36" s="928"/>
      <c r="GT36" s="928"/>
      <c r="GU36" s="928"/>
      <c r="GV36" s="928"/>
      <c r="GW36" s="928"/>
      <c r="GX36" s="928"/>
      <c r="GY36" s="928"/>
      <c r="GZ36" s="928"/>
      <c r="HA36" s="928"/>
      <c r="HB36" s="928"/>
      <c r="HC36" s="928"/>
      <c r="HD36" s="928"/>
      <c r="HE36" s="928"/>
      <c r="HF36" s="928"/>
      <c r="HG36" s="928"/>
      <c r="HH36" s="928"/>
      <c r="HI36" s="928"/>
      <c r="HJ36" s="928"/>
      <c r="HK36" s="928"/>
      <c r="HL36" s="928"/>
      <c r="HM36" s="928"/>
      <c r="HN36" s="928"/>
      <c r="HO36" s="928"/>
      <c r="HP36" s="928"/>
      <c r="HQ36" s="928"/>
      <c r="HR36" s="928"/>
      <c r="HS36" s="928"/>
      <c r="HT36" s="928"/>
      <c r="HU36" s="928"/>
      <c r="HV36" s="928"/>
      <c r="HW36" s="928"/>
      <c r="HX36" s="928"/>
      <c r="HY36" s="928"/>
      <c r="HZ36" s="928"/>
      <c r="IA36" s="928"/>
      <c r="IB36" s="928"/>
      <c r="IC36" s="928"/>
      <c r="ID36" s="928"/>
      <c r="IE36" s="928"/>
      <c r="IF36" s="928"/>
      <c r="IG36" s="928"/>
      <c r="IH36" s="928"/>
      <c r="II36" s="928"/>
      <c r="IJ36" s="928"/>
      <c r="IK36" s="928"/>
      <c r="IL36" s="928"/>
      <c r="IM36" s="928"/>
      <c r="IN36" s="928"/>
      <c r="IO36" s="928"/>
      <c r="IP36" s="928"/>
      <c r="IQ36" s="928"/>
      <c r="IR36" s="928"/>
      <c r="IS36" s="928"/>
      <c r="IT36" s="928"/>
      <c r="IU36" s="928"/>
      <c r="IV36" s="928"/>
      <c r="IW36" s="928"/>
    </row>
    <row r="37" spans="1:257" ht="70">
      <c r="A37" s="2479"/>
      <c r="B37" s="1102" t="s">
        <v>1621</v>
      </c>
      <c r="C37" s="985">
        <v>3</v>
      </c>
      <c r="D37" s="985">
        <v>3</v>
      </c>
      <c r="E37" s="986" t="s">
        <v>1384</v>
      </c>
      <c r="F37" s="968" t="str">
        <f>IF(Scoring!I46="","",Scoring!I46)</f>
        <v/>
      </c>
      <c r="G37" s="987"/>
      <c r="H37" s="987"/>
      <c r="I37" s="988" t="s">
        <v>2080</v>
      </c>
      <c r="J37" s="969"/>
      <c r="K37" s="969"/>
      <c r="L37" s="989"/>
      <c r="M37" s="990"/>
      <c r="O37" s="947"/>
      <c r="P37" s="954"/>
    </row>
    <row r="38" spans="1:257" ht="112">
      <c r="A38" s="2479"/>
      <c r="B38" s="1102" t="s">
        <v>1622</v>
      </c>
      <c r="C38" s="985">
        <v>4</v>
      </c>
      <c r="D38" s="985">
        <v>4</v>
      </c>
      <c r="E38" s="986" t="s">
        <v>1385</v>
      </c>
      <c r="F38" s="968" t="str">
        <f>IF(Scoring!I47="","",Scoring!I47)</f>
        <v/>
      </c>
      <c r="G38" s="987"/>
      <c r="H38" s="987"/>
      <c r="I38" s="988" t="s">
        <v>2081</v>
      </c>
      <c r="J38" s="969"/>
      <c r="K38" s="969"/>
      <c r="L38" s="989"/>
      <c r="M38" s="990"/>
      <c r="O38" s="947"/>
      <c r="P38" s="954"/>
    </row>
    <row r="39" spans="1:257" ht="84">
      <c r="A39" s="2479"/>
      <c r="B39" s="1102" t="s">
        <v>1623</v>
      </c>
      <c r="C39" s="985">
        <v>4</v>
      </c>
      <c r="D39" s="985">
        <v>4</v>
      </c>
      <c r="E39" s="986" t="s">
        <v>1386</v>
      </c>
      <c r="F39" s="968" t="str">
        <f>IF(Scoring!I48="","",Scoring!I48)</f>
        <v/>
      </c>
      <c r="G39" s="987"/>
      <c r="H39" s="987"/>
      <c r="I39" s="988" t="s">
        <v>2082</v>
      </c>
      <c r="J39" s="969"/>
      <c r="K39" s="969"/>
      <c r="L39" s="989"/>
      <c r="M39" s="990"/>
      <c r="O39" s="947"/>
      <c r="P39" s="954"/>
    </row>
    <row r="40" spans="1:257" s="951" customFormat="1" ht="71" thickBot="1">
      <c r="A40" s="2480"/>
      <c r="B40" s="1211" t="s">
        <v>1624</v>
      </c>
      <c r="C40" s="997">
        <v>4</v>
      </c>
      <c r="D40" s="997">
        <v>6</v>
      </c>
      <c r="E40" s="998" t="s">
        <v>1387</v>
      </c>
      <c r="F40" s="973" t="str">
        <f>IF(Scoring!I49="","",Scoring!I49)</f>
        <v/>
      </c>
      <c r="G40" s="999"/>
      <c r="H40" s="999"/>
      <c r="I40" s="1000" t="s">
        <v>2083</v>
      </c>
      <c r="J40" s="974">
        <f>COUNT(F36:F40)</f>
        <v>0</v>
      </c>
      <c r="K40" s="974"/>
      <c r="L40" s="1207">
        <f>SUM(F36:F40)</f>
        <v>0</v>
      </c>
      <c r="M40" s="976">
        <f>IF(L40&lt;3,0,1)</f>
        <v>0</v>
      </c>
      <c r="N40" s="928"/>
      <c r="O40" s="942"/>
      <c r="P40" s="956">
        <f>COUNTA(F36:F40)</f>
        <v>5</v>
      </c>
      <c r="Q40" s="928"/>
      <c r="R40" s="928"/>
      <c r="S40" s="928"/>
      <c r="T40" s="928"/>
      <c r="U40" s="928"/>
      <c r="V40" s="928"/>
      <c r="W40" s="928"/>
      <c r="X40" s="928"/>
      <c r="Y40" s="928"/>
      <c r="Z40" s="928"/>
      <c r="AA40" s="928"/>
      <c r="AB40" s="928"/>
      <c r="AC40" s="928"/>
      <c r="AD40" s="928"/>
      <c r="AE40" s="928"/>
      <c r="AF40" s="928"/>
      <c r="AG40" s="928"/>
      <c r="AH40" s="928"/>
      <c r="AI40" s="928"/>
      <c r="AJ40" s="928"/>
      <c r="AK40" s="928"/>
      <c r="AL40" s="928"/>
      <c r="AM40" s="928"/>
      <c r="AN40" s="928"/>
      <c r="AO40" s="928"/>
      <c r="AP40" s="928"/>
      <c r="AQ40" s="928"/>
      <c r="AR40" s="928"/>
      <c r="AS40" s="928"/>
      <c r="AT40" s="928"/>
      <c r="AU40" s="928"/>
      <c r="AV40" s="928"/>
      <c r="AW40" s="928"/>
      <c r="AX40" s="928"/>
      <c r="AY40" s="928"/>
      <c r="AZ40" s="928"/>
      <c r="BA40" s="928"/>
      <c r="BB40" s="928"/>
      <c r="BC40" s="928"/>
      <c r="BD40" s="928"/>
      <c r="BE40" s="928"/>
      <c r="BF40" s="928"/>
      <c r="BG40" s="928"/>
      <c r="BH40" s="928"/>
      <c r="BI40" s="928"/>
      <c r="BJ40" s="928"/>
      <c r="BK40" s="928"/>
      <c r="BL40" s="928"/>
      <c r="BM40" s="928"/>
      <c r="BN40" s="928"/>
      <c r="BO40" s="928"/>
      <c r="BP40" s="928"/>
      <c r="BQ40" s="928"/>
      <c r="BR40" s="928"/>
      <c r="BS40" s="928"/>
      <c r="BT40" s="928"/>
      <c r="BU40" s="928"/>
      <c r="BV40" s="928"/>
      <c r="BW40" s="928"/>
      <c r="BX40" s="928"/>
      <c r="BY40" s="928"/>
      <c r="BZ40" s="928"/>
      <c r="CA40" s="928"/>
      <c r="CB40" s="928"/>
      <c r="CC40" s="928"/>
      <c r="CD40" s="928"/>
      <c r="CE40" s="928"/>
      <c r="CF40" s="928"/>
      <c r="CG40" s="928"/>
      <c r="CH40" s="928"/>
      <c r="CI40" s="928"/>
      <c r="CJ40" s="928"/>
      <c r="CK40" s="928"/>
      <c r="CL40" s="928"/>
      <c r="CM40" s="928"/>
      <c r="CN40" s="928"/>
      <c r="CO40" s="928"/>
      <c r="CP40" s="928"/>
      <c r="CQ40" s="928"/>
      <c r="CR40" s="928"/>
      <c r="CS40" s="928"/>
      <c r="CT40" s="928"/>
      <c r="CU40" s="928"/>
      <c r="CV40" s="928"/>
      <c r="CW40" s="928"/>
      <c r="CX40" s="928"/>
      <c r="CY40" s="928"/>
      <c r="CZ40" s="928"/>
      <c r="DA40" s="928"/>
      <c r="DB40" s="928"/>
      <c r="DC40" s="928"/>
      <c r="DD40" s="928"/>
      <c r="DE40" s="928"/>
      <c r="DF40" s="928"/>
      <c r="DG40" s="928"/>
      <c r="DH40" s="928"/>
      <c r="DI40" s="928"/>
      <c r="DJ40" s="928"/>
      <c r="DK40" s="928"/>
      <c r="DL40" s="928"/>
      <c r="DM40" s="928"/>
      <c r="DN40" s="928"/>
      <c r="DO40" s="928"/>
      <c r="DP40" s="928"/>
      <c r="DQ40" s="928"/>
      <c r="DR40" s="928"/>
      <c r="DS40" s="928"/>
      <c r="DT40" s="928"/>
      <c r="DU40" s="928"/>
      <c r="DV40" s="928"/>
      <c r="DW40" s="928"/>
      <c r="DX40" s="928"/>
      <c r="DY40" s="928"/>
      <c r="DZ40" s="928"/>
      <c r="EA40" s="928"/>
      <c r="EB40" s="928"/>
      <c r="EC40" s="928"/>
      <c r="ED40" s="928"/>
      <c r="EE40" s="928"/>
      <c r="EF40" s="928"/>
      <c r="EG40" s="928"/>
      <c r="EH40" s="928"/>
      <c r="EI40" s="928"/>
      <c r="EJ40" s="928"/>
      <c r="EK40" s="928"/>
      <c r="EL40" s="928"/>
      <c r="EM40" s="928"/>
      <c r="EN40" s="928"/>
      <c r="EO40" s="928"/>
      <c r="EP40" s="928"/>
      <c r="EQ40" s="928"/>
      <c r="ER40" s="928"/>
      <c r="ES40" s="928"/>
      <c r="ET40" s="928"/>
      <c r="EU40" s="928"/>
      <c r="EV40" s="928"/>
      <c r="EW40" s="928"/>
      <c r="EX40" s="928"/>
      <c r="EY40" s="928"/>
      <c r="EZ40" s="928"/>
      <c r="FA40" s="928"/>
      <c r="FB40" s="928"/>
      <c r="FC40" s="928"/>
      <c r="FD40" s="928"/>
      <c r="FE40" s="928"/>
      <c r="FF40" s="928"/>
      <c r="FG40" s="928"/>
      <c r="FH40" s="928"/>
      <c r="FI40" s="928"/>
      <c r="FJ40" s="928"/>
      <c r="FK40" s="928"/>
      <c r="FL40" s="928"/>
      <c r="FM40" s="928"/>
      <c r="FN40" s="928"/>
      <c r="FO40" s="928"/>
      <c r="FP40" s="928"/>
      <c r="FQ40" s="928"/>
      <c r="FR40" s="928"/>
      <c r="FS40" s="928"/>
      <c r="FT40" s="928"/>
      <c r="FU40" s="928"/>
      <c r="FV40" s="928"/>
      <c r="FW40" s="928"/>
      <c r="FX40" s="928"/>
      <c r="FY40" s="928"/>
      <c r="FZ40" s="928"/>
      <c r="GA40" s="928"/>
      <c r="GB40" s="928"/>
      <c r="GC40" s="928"/>
      <c r="GD40" s="928"/>
      <c r="GE40" s="928"/>
      <c r="GF40" s="928"/>
      <c r="GG40" s="928"/>
      <c r="GH40" s="928"/>
      <c r="GI40" s="928"/>
      <c r="GJ40" s="928"/>
      <c r="GK40" s="928"/>
      <c r="GL40" s="928"/>
      <c r="GM40" s="928"/>
      <c r="GN40" s="928"/>
      <c r="GO40" s="928"/>
      <c r="GP40" s="928"/>
      <c r="GQ40" s="928"/>
      <c r="GR40" s="928"/>
      <c r="GS40" s="928"/>
      <c r="GT40" s="928"/>
      <c r="GU40" s="928"/>
      <c r="GV40" s="928"/>
      <c r="GW40" s="928"/>
      <c r="GX40" s="928"/>
      <c r="GY40" s="928"/>
      <c r="GZ40" s="928"/>
      <c r="HA40" s="928"/>
      <c r="HB40" s="928"/>
      <c r="HC40" s="928"/>
      <c r="HD40" s="928"/>
      <c r="HE40" s="928"/>
      <c r="HF40" s="928"/>
      <c r="HG40" s="928"/>
      <c r="HH40" s="928"/>
      <c r="HI40" s="928"/>
      <c r="HJ40" s="928"/>
      <c r="HK40" s="928"/>
      <c r="HL40" s="928"/>
      <c r="HM40" s="928"/>
      <c r="HN40" s="928"/>
      <c r="HO40" s="928"/>
      <c r="HP40" s="928"/>
      <c r="HQ40" s="928"/>
      <c r="HR40" s="928"/>
      <c r="HS40" s="928"/>
      <c r="HT40" s="928"/>
      <c r="HU40" s="928"/>
      <c r="HV40" s="928"/>
      <c r="HW40" s="928"/>
      <c r="HX40" s="928"/>
      <c r="HY40" s="928"/>
      <c r="HZ40" s="928"/>
      <c r="IA40" s="928"/>
      <c r="IB40" s="928"/>
      <c r="IC40" s="928"/>
      <c r="ID40" s="928"/>
      <c r="IE40" s="928"/>
      <c r="IF40" s="928"/>
      <c r="IG40" s="928"/>
      <c r="IH40" s="928"/>
      <c r="II40" s="928"/>
      <c r="IJ40" s="928"/>
      <c r="IK40" s="928"/>
      <c r="IL40" s="928"/>
      <c r="IM40" s="928"/>
      <c r="IN40" s="928"/>
      <c r="IO40" s="928"/>
      <c r="IP40" s="928"/>
      <c r="IQ40" s="928"/>
      <c r="IR40" s="928"/>
      <c r="IS40" s="928"/>
      <c r="IT40" s="928"/>
      <c r="IU40" s="928"/>
      <c r="IV40" s="928"/>
      <c r="IW40" s="928"/>
    </row>
    <row r="41" spans="1:257" s="951" customFormat="1" ht="15" thickTop="1" thickBot="1">
      <c r="A41" s="928"/>
      <c r="B41" s="928"/>
      <c r="C41" s="928"/>
      <c r="D41" s="928"/>
      <c r="E41" s="928"/>
      <c r="F41" s="928"/>
      <c r="G41" s="928"/>
      <c r="H41" s="928"/>
      <c r="I41" s="928"/>
      <c r="J41" s="928"/>
      <c r="K41" s="928"/>
      <c r="L41" s="928"/>
      <c r="M41" s="928"/>
      <c r="N41" s="928"/>
      <c r="O41" s="928"/>
      <c r="P41" s="928"/>
      <c r="Q41" s="928"/>
      <c r="R41" s="928"/>
      <c r="S41" s="928"/>
      <c r="T41" s="928"/>
      <c r="U41" s="928"/>
      <c r="V41" s="928"/>
      <c r="W41" s="928"/>
      <c r="X41" s="928"/>
      <c r="Y41" s="928"/>
      <c r="Z41" s="928"/>
      <c r="AA41" s="928"/>
      <c r="AB41" s="928"/>
      <c r="AC41" s="928"/>
      <c r="AD41" s="928"/>
      <c r="AE41" s="928"/>
      <c r="AF41" s="928"/>
      <c r="AG41" s="928"/>
      <c r="AH41" s="928"/>
      <c r="AI41" s="928"/>
      <c r="AJ41" s="928"/>
      <c r="AK41" s="928"/>
      <c r="AL41" s="928"/>
      <c r="AM41" s="928"/>
      <c r="AN41" s="928"/>
      <c r="AO41" s="928"/>
      <c r="AP41" s="928"/>
      <c r="AQ41" s="928"/>
      <c r="AR41" s="928"/>
      <c r="AS41" s="928"/>
      <c r="AT41" s="928"/>
      <c r="AU41" s="928"/>
      <c r="AV41" s="928"/>
      <c r="AW41" s="928"/>
      <c r="AX41" s="928"/>
      <c r="AY41" s="928"/>
      <c r="AZ41" s="928"/>
      <c r="BA41" s="928"/>
      <c r="BB41" s="928"/>
      <c r="BC41" s="928"/>
      <c r="BD41" s="928"/>
      <c r="BE41" s="928"/>
      <c r="BF41" s="928"/>
      <c r="BG41" s="928"/>
      <c r="BH41" s="928"/>
      <c r="BI41" s="928"/>
      <c r="BJ41" s="928"/>
      <c r="BK41" s="928"/>
      <c r="BL41" s="928"/>
      <c r="BM41" s="928"/>
      <c r="BN41" s="928"/>
      <c r="BO41" s="928"/>
      <c r="BP41" s="928"/>
      <c r="BQ41" s="928"/>
      <c r="BR41" s="928"/>
      <c r="BS41" s="928"/>
      <c r="BT41" s="928"/>
      <c r="BU41" s="928"/>
      <c r="BV41" s="928"/>
      <c r="BW41" s="928"/>
      <c r="BX41" s="928"/>
      <c r="BY41" s="928"/>
      <c r="BZ41" s="928"/>
      <c r="CA41" s="928"/>
      <c r="CB41" s="928"/>
      <c r="CC41" s="928"/>
      <c r="CD41" s="928"/>
      <c r="CE41" s="928"/>
      <c r="CF41" s="928"/>
      <c r="CG41" s="928"/>
      <c r="CH41" s="928"/>
      <c r="CI41" s="928"/>
      <c r="CJ41" s="928"/>
      <c r="CK41" s="928"/>
      <c r="CL41" s="928"/>
      <c r="CM41" s="928"/>
      <c r="CN41" s="928"/>
      <c r="CO41" s="928"/>
      <c r="CP41" s="928"/>
      <c r="CQ41" s="928"/>
      <c r="CR41" s="928"/>
      <c r="CS41" s="928"/>
      <c r="CT41" s="928"/>
      <c r="CU41" s="928"/>
      <c r="CV41" s="928"/>
      <c r="CW41" s="928"/>
      <c r="CX41" s="928"/>
      <c r="CY41" s="928"/>
      <c r="CZ41" s="928"/>
      <c r="DA41" s="928"/>
      <c r="DB41" s="928"/>
      <c r="DC41" s="928"/>
      <c r="DD41" s="928"/>
      <c r="DE41" s="928"/>
      <c r="DF41" s="928"/>
      <c r="DG41" s="928"/>
      <c r="DH41" s="928"/>
      <c r="DI41" s="928"/>
      <c r="DJ41" s="928"/>
      <c r="DK41" s="928"/>
      <c r="DL41" s="928"/>
      <c r="DM41" s="928"/>
      <c r="DN41" s="928"/>
      <c r="DO41" s="928"/>
      <c r="DP41" s="928"/>
      <c r="DQ41" s="928"/>
      <c r="DR41" s="928"/>
      <c r="DS41" s="928"/>
      <c r="DT41" s="928"/>
      <c r="DU41" s="928"/>
      <c r="DV41" s="928"/>
      <c r="DW41" s="928"/>
      <c r="DX41" s="928"/>
      <c r="DY41" s="928"/>
      <c r="DZ41" s="928"/>
      <c r="EA41" s="928"/>
      <c r="EB41" s="928"/>
      <c r="EC41" s="928"/>
      <c r="ED41" s="928"/>
      <c r="EE41" s="928"/>
      <c r="EF41" s="928"/>
      <c r="EG41" s="928"/>
      <c r="EH41" s="928"/>
      <c r="EI41" s="928"/>
      <c r="EJ41" s="928"/>
      <c r="EK41" s="928"/>
      <c r="EL41" s="928"/>
      <c r="EM41" s="928"/>
      <c r="EN41" s="928"/>
      <c r="EO41" s="928"/>
      <c r="EP41" s="928"/>
      <c r="EQ41" s="928"/>
      <c r="ER41" s="928"/>
      <c r="ES41" s="928"/>
      <c r="ET41" s="928"/>
      <c r="EU41" s="928"/>
      <c r="EV41" s="928"/>
      <c r="EW41" s="928"/>
      <c r="EX41" s="928"/>
      <c r="EY41" s="928"/>
      <c r="EZ41" s="928"/>
      <c r="FA41" s="928"/>
      <c r="FB41" s="928"/>
      <c r="FC41" s="928"/>
      <c r="FD41" s="928"/>
      <c r="FE41" s="928"/>
      <c r="FF41" s="928"/>
      <c r="FG41" s="928"/>
      <c r="FH41" s="928"/>
      <c r="FI41" s="928"/>
      <c r="FJ41" s="928"/>
      <c r="FK41" s="928"/>
      <c r="FL41" s="928"/>
      <c r="FM41" s="928"/>
      <c r="FN41" s="928"/>
      <c r="FO41" s="928"/>
      <c r="FP41" s="928"/>
      <c r="FQ41" s="928"/>
      <c r="FR41" s="928"/>
      <c r="FS41" s="928"/>
      <c r="FT41" s="928"/>
      <c r="FU41" s="928"/>
      <c r="FV41" s="928"/>
      <c r="FW41" s="928"/>
      <c r="FX41" s="928"/>
      <c r="FY41" s="928"/>
      <c r="FZ41" s="928"/>
      <c r="GA41" s="928"/>
      <c r="GB41" s="928"/>
      <c r="GC41" s="928"/>
      <c r="GD41" s="928"/>
      <c r="GE41" s="928"/>
      <c r="GF41" s="928"/>
      <c r="GG41" s="928"/>
      <c r="GH41" s="928"/>
      <c r="GI41" s="928"/>
      <c r="GJ41" s="928"/>
      <c r="GK41" s="928"/>
      <c r="GL41" s="928"/>
      <c r="GM41" s="928"/>
      <c r="GN41" s="928"/>
      <c r="GO41" s="928"/>
      <c r="GP41" s="928"/>
      <c r="GQ41" s="928"/>
      <c r="GR41" s="928"/>
      <c r="GS41" s="928"/>
      <c r="GT41" s="928"/>
      <c r="GU41" s="928"/>
      <c r="GV41" s="928"/>
      <c r="GW41" s="928"/>
      <c r="GX41" s="928"/>
      <c r="GY41" s="928"/>
      <c r="GZ41" s="928"/>
      <c r="HA41" s="928"/>
      <c r="HB41" s="928"/>
      <c r="HC41" s="928"/>
      <c r="HD41" s="928"/>
      <c r="HE41" s="928"/>
      <c r="HF41" s="928"/>
      <c r="HG41" s="928"/>
      <c r="HH41" s="928"/>
      <c r="HI41" s="928"/>
      <c r="HJ41" s="928"/>
      <c r="HK41" s="928"/>
      <c r="HL41" s="928"/>
      <c r="HM41" s="928"/>
      <c r="HN41" s="928"/>
      <c r="HO41" s="928"/>
      <c r="HP41" s="928"/>
      <c r="HQ41" s="928"/>
      <c r="HR41" s="928"/>
      <c r="HS41" s="928"/>
      <c r="HT41" s="928"/>
      <c r="HU41" s="928"/>
      <c r="HV41" s="928"/>
      <c r="HW41" s="928"/>
      <c r="HX41" s="928"/>
      <c r="HY41" s="928"/>
      <c r="HZ41" s="928"/>
      <c r="IA41" s="928"/>
      <c r="IB41" s="928"/>
      <c r="IC41" s="928"/>
      <c r="ID41" s="928"/>
      <c r="IE41" s="928"/>
      <c r="IF41" s="928"/>
      <c r="IG41" s="928"/>
      <c r="IH41" s="928"/>
      <c r="II41" s="928"/>
      <c r="IJ41" s="928"/>
      <c r="IK41" s="928"/>
      <c r="IL41" s="928"/>
      <c r="IM41" s="928"/>
      <c r="IN41" s="928"/>
      <c r="IO41" s="928"/>
      <c r="IP41" s="928"/>
      <c r="IQ41" s="928"/>
      <c r="IR41" s="928"/>
      <c r="IS41" s="928"/>
      <c r="IT41" s="928"/>
      <c r="IU41" s="928"/>
      <c r="IV41" s="928"/>
      <c r="IW41" s="928"/>
    </row>
    <row r="42" spans="1:257" s="951" customFormat="1" ht="53.25" customHeight="1" thickTop="1">
      <c r="A42" s="2477" t="s">
        <v>2084</v>
      </c>
      <c r="B42" s="1210" t="s">
        <v>1625</v>
      </c>
      <c r="C42" s="1199">
        <v>2</v>
      </c>
      <c r="D42" s="1199">
        <v>2</v>
      </c>
      <c r="E42" s="1200" t="s">
        <v>1388</v>
      </c>
      <c r="F42" s="1201" t="str">
        <f>IF(Scoring!I51="","",Scoring!I51)</f>
        <v/>
      </c>
      <c r="G42" s="1202"/>
      <c r="H42" s="1202"/>
      <c r="I42" s="1203" t="s">
        <v>2085</v>
      </c>
      <c r="J42" s="1208"/>
      <c r="K42" s="1208"/>
      <c r="L42" s="1204"/>
      <c r="M42" s="1205"/>
      <c r="N42" s="928"/>
      <c r="O42" s="949"/>
      <c r="P42" s="948"/>
      <c r="Q42" s="928"/>
      <c r="R42" s="928"/>
      <c r="S42" s="928"/>
      <c r="T42" s="928"/>
      <c r="U42" s="928"/>
      <c r="V42" s="928"/>
      <c r="W42" s="928"/>
      <c r="X42" s="928"/>
      <c r="Y42" s="928"/>
      <c r="Z42" s="928"/>
      <c r="AA42" s="928"/>
      <c r="AB42" s="928"/>
      <c r="AC42" s="928"/>
      <c r="AD42" s="928"/>
      <c r="AE42" s="928"/>
      <c r="AF42" s="928"/>
      <c r="AG42" s="928"/>
      <c r="AH42" s="928"/>
      <c r="AI42" s="928"/>
      <c r="AJ42" s="928"/>
      <c r="AK42" s="928"/>
      <c r="AL42" s="928"/>
      <c r="AM42" s="928"/>
      <c r="AN42" s="928"/>
      <c r="AO42" s="928"/>
      <c r="AP42" s="928"/>
      <c r="AQ42" s="928"/>
      <c r="AR42" s="928"/>
      <c r="AS42" s="928"/>
      <c r="AT42" s="928"/>
      <c r="AU42" s="928"/>
      <c r="AV42" s="928"/>
      <c r="AW42" s="928"/>
      <c r="AX42" s="928"/>
      <c r="AY42" s="928"/>
      <c r="AZ42" s="928"/>
      <c r="BA42" s="928"/>
      <c r="BB42" s="928"/>
      <c r="BC42" s="928"/>
      <c r="BD42" s="928"/>
      <c r="BE42" s="928"/>
      <c r="BF42" s="928"/>
      <c r="BG42" s="928"/>
      <c r="BH42" s="928"/>
      <c r="BI42" s="928"/>
      <c r="BJ42" s="928"/>
      <c r="BK42" s="928"/>
      <c r="BL42" s="928"/>
      <c r="BM42" s="928"/>
      <c r="BN42" s="928"/>
      <c r="BO42" s="928"/>
      <c r="BP42" s="928"/>
      <c r="BQ42" s="928"/>
      <c r="BR42" s="928"/>
      <c r="BS42" s="928"/>
      <c r="BT42" s="928"/>
      <c r="BU42" s="928"/>
      <c r="BV42" s="928"/>
      <c r="BW42" s="928"/>
      <c r="BX42" s="928"/>
      <c r="BY42" s="928"/>
      <c r="BZ42" s="928"/>
      <c r="CA42" s="928"/>
      <c r="CB42" s="928"/>
      <c r="CC42" s="928"/>
      <c r="CD42" s="928"/>
      <c r="CE42" s="928"/>
      <c r="CF42" s="928"/>
      <c r="CG42" s="928"/>
      <c r="CH42" s="928"/>
      <c r="CI42" s="928"/>
      <c r="CJ42" s="928"/>
      <c r="CK42" s="928"/>
      <c r="CL42" s="928"/>
      <c r="CM42" s="928"/>
      <c r="CN42" s="928"/>
      <c r="CO42" s="928"/>
      <c r="CP42" s="928"/>
      <c r="CQ42" s="928"/>
      <c r="CR42" s="928"/>
      <c r="CS42" s="928"/>
      <c r="CT42" s="928"/>
      <c r="CU42" s="928"/>
      <c r="CV42" s="928"/>
      <c r="CW42" s="928"/>
      <c r="CX42" s="928"/>
      <c r="CY42" s="928"/>
      <c r="CZ42" s="928"/>
      <c r="DA42" s="928"/>
      <c r="DB42" s="928"/>
      <c r="DC42" s="928"/>
      <c r="DD42" s="928"/>
      <c r="DE42" s="928"/>
      <c r="DF42" s="928"/>
      <c r="DG42" s="928"/>
      <c r="DH42" s="928"/>
      <c r="DI42" s="928"/>
      <c r="DJ42" s="928"/>
      <c r="DK42" s="928"/>
      <c r="DL42" s="928"/>
      <c r="DM42" s="928"/>
      <c r="DN42" s="928"/>
      <c r="DO42" s="928"/>
      <c r="DP42" s="928"/>
      <c r="DQ42" s="928"/>
      <c r="DR42" s="928"/>
      <c r="DS42" s="928"/>
      <c r="DT42" s="928"/>
      <c r="DU42" s="928"/>
      <c r="DV42" s="928"/>
      <c r="DW42" s="928"/>
      <c r="DX42" s="928"/>
      <c r="DY42" s="928"/>
      <c r="DZ42" s="928"/>
      <c r="EA42" s="928"/>
      <c r="EB42" s="928"/>
      <c r="EC42" s="928"/>
      <c r="ED42" s="928"/>
      <c r="EE42" s="928"/>
      <c r="EF42" s="928"/>
      <c r="EG42" s="928"/>
      <c r="EH42" s="928"/>
      <c r="EI42" s="928"/>
      <c r="EJ42" s="928"/>
      <c r="EK42" s="928"/>
      <c r="EL42" s="928"/>
      <c r="EM42" s="928"/>
      <c r="EN42" s="928"/>
      <c r="EO42" s="928"/>
      <c r="EP42" s="928"/>
      <c r="EQ42" s="928"/>
      <c r="ER42" s="928"/>
      <c r="ES42" s="928"/>
      <c r="ET42" s="928"/>
      <c r="EU42" s="928"/>
      <c r="EV42" s="928"/>
      <c r="EW42" s="928"/>
      <c r="EX42" s="928"/>
      <c r="EY42" s="928"/>
      <c r="EZ42" s="928"/>
      <c r="FA42" s="928"/>
      <c r="FB42" s="928"/>
      <c r="FC42" s="928"/>
      <c r="FD42" s="928"/>
      <c r="FE42" s="928"/>
      <c r="FF42" s="928"/>
      <c r="FG42" s="928"/>
      <c r="FH42" s="928"/>
      <c r="FI42" s="928"/>
      <c r="FJ42" s="928"/>
      <c r="FK42" s="928"/>
      <c r="FL42" s="928"/>
      <c r="FM42" s="928"/>
      <c r="FN42" s="928"/>
      <c r="FO42" s="928"/>
      <c r="FP42" s="928"/>
      <c r="FQ42" s="928"/>
      <c r="FR42" s="928"/>
      <c r="FS42" s="928"/>
      <c r="FT42" s="928"/>
      <c r="FU42" s="928"/>
      <c r="FV42" s="928"/>
      <c r="FW42" s="928"/>
      <c r="FX42" s="928"/>
      <c r="FY42" s="928"/>
      <c r="FZ42" s="928"/>
      <c r="GA42" s="928"/>
      <c r="GB42" s="928"/>
      <c r="GC42" s="928"/>
      <c r="GD42" s="928"/>
      <c r="GE42" s="928"/>
      <c r="GF42" s="928"/>
      <c r="GG42" s="928"/>
      <c r="GH42" s="928"/>
      <c r="GI42" s="928"/>
      <c r="GJ42" s="928"/>
      <c r="GK42" s="928"/>
      <c r="GL42" s="928"/>
      <c r="GM42" s="928"/>
      <c r="GN42" s="928"/>
      <c r="GO42" s="928"/>
      <c r="GP42" s="928"/>
      <c r="GQ42" s="928"/>
      <c r="GR42" s="928"/>
      <c r="GS42" s="928"/>
      <c r="GT42" s="928"/>
      <c r="GU42" s="928"/>
      <c r="GV42" s="928"/>
      <c r="GW42" s="928"/>
      <c r="GX42" s="928"/>
      <c r="GY42" s="928"/>
      <c r="GZ42" s="928"/>
      <c r="HA42" s="928"/>
      <c r="HB42" s="928"/>
      <c r="HC42" s="928"/>
      <c r="HD42" s="928"/>
      <c r="HE42" s="928"/>
      <c r="HF42" s="928"/>
      <c r="HG42" s="928"/>
      <c r="HH42" s="928"/>
      <c r="HI42" s="928"/>
      <c r="HJ42" s="928"/>
      <c r="HK42" s="928"/>
      <c r="HL42" s="928"/>
      <c r="HM42" s="928"/>
      <c r="HN42" s="928"/>
      <c r="HO42" s="928"/>
      <c r="HP42" s="928"/>
      <c r="HQ42" s="928"/>
      <c r="HR42" s="928"/>
      <c r="HS42" s="928"/>
      <c r="HT42" s="928"/>
      <c r="HU42" s="928"/>
      <c r="HV42" s="928"/>
      <c r="HW42" s="928"/>
      <c r="HX42" s="928"/>
      <c r="HY42" s="928"/>
      <c r="HZ42" s="928"/>
      <c r="IA42" s="928"/>
      <c r="IB42" s="928"/>
      <c r="IC42" s="928"/>
      <c r="ID42" s="928"/>
      <c r="IE42" s="928"/>
      <c r="IF42" s="928"/>
      <c r="IG42" s="928"/>
      <c r="IH42" s="928"/>
      <c r="II42" s="928"/>
      <c r="IJ42" s="928"/>
      <c r="IK42" s="928"/>
      <c r="IL42" s="928"/>
      <c r="IM42" s="928"/>
      <c r="IN42" s="928"/>
      <c r="IO42" s="928"/>
      <c r="IP42" s="928"/>
      <c r="IQ42" s="928"/>
      <c r="IR42" s="928"/>
      <c r="IS42" s="928"/>
      <c r="IT42" s="928"/>
      <c r="IU42" s="928"/>
      <c r="IV42" s="928"/>
      <c r="IW42" s="928"/>
    </row>
    <row r="43" spans="1:257" ht="28">
      <c r="A43" s="2479"/>
      <c r="B43" s="1102" t="s">
        <v>1626</v>
      </c>
      <c r="C43" s="985">
        <v>2</v>
      </c>
      <c r="D43" s="985">
        <v>2</v>
      </c>
      <c r="E43" s="986" t="s">
        <v>1389</v>
      </c>
      <c r="F43" s="968" t="str">
        <f>IF(Scoring!I52="","",Scoring!I52)</f>
        <v/>
      </c>
      <c r="G43" s="987"/>
      <c r="H43" s="987"/>
      <c r="I43" s="988" t="s">
        <v>2086</v>
      </c>
      <c r="J43" s="969"/>
      <c r="K43" s="969"/>
      <c r="L43" s="989"/>
      <c r="M43" s="990"/>
      <c r="O43" s="947"/>
      <c r="P43" s="954"/>
    </row>
    <row r="44" spans="1:257" ht="69.75" customHeight="1">
      <c r="A44" s="2479"/>
      <c r="B44" s="1102" t="s">
        <v>1627</v>
      </c>
      <c r="C44" s="985">
        <v>4</v>
      </c>
      <c r="D44" s="985">
        <v>4</v>
      </c>
      <c r="E44" s="986" t="s">
        <v>1390</v>
      </c>
      <c r="F44" s="968" t="str">
        <f>IF(Scoring!I53="","",Scoring!I53)</f>
        <v/>
      </c>
      <c r="G44" s="987"/>
      <c r="H44" s="987"/>
      <c r="I44" s="988" t="s">
        <v>2087</v>
      </c>
      <c r="J44" s="969"/>
      <c r="K44" s="969"/>
      <c r="L44" s="989"/>
      <c r="M44" s="990"/>
      <c r="O44" s="947"/>
      <c r="P44" s="954"/>
    </row>
    <row r="45" spans="1:257" ht="42">
      <c r="A45" s="2479"/>
      <c r="B45" s="1102" t="s">
        <v>1628</v>
      </c>
      <c r="C45" s="985">
        <v>4</v>
      </c>
      <c r="D45" s="985">
        <v>4</v>
      </c>
      <c r="E45" s="986" t="s">
        <v>1391</v>
      </c>
      <c r="F45" s="968" t="str">
        <f>IF(Scoring!I54="","",Scoring!I54)</f>
        <v/>
      </c>
      <c r="G45" s="987"/>
      <c r="H45" s="987"/>
      <c r="I45" s="988" t="s">
        <v>2088</v>
      </c>
      <c r="J45" s="969"/>
      <c r="K45" s="969"/>
      <c r="L45" s="989"/>
      <c r="M45" s="990"/>
      <c r="O45" s="947"/>
      <c r="P45" s="954"/>
    </row>
    <row r="46" spans="1:257" s="951" customFormat="1" ht="29" thickBot="1">
      <c r="A46" s="2480"/>
      <c r="B46" s="1211" t="s">
        <v>1629</v>
      </c>
      <c r="C46" s="997">
        <v>4</v>
      </c>
      <c r="D46" s="997">
        <v>6</v>
      </c>
      <c r="E46" s="998" t="s">
        <v>1392</v>
      </c>
      <c r="F46" s="973" t="str">
        <f>IF(Scoring!I55="","",Scoring!I55)</f>
        <v/>
      </c>
      <c r="G46" s="999"/>
      <c r="H46" s="999"/>
      <c r="I46" s="1000" t="s">
        <v>2089</v>
      </c>
      <c r="J46" s="974">
        <f>COUNT(F42:F46)</f>
        <v>0</v>
      </c>
      <c r="K46" s="974"/>
      <c r="L46" s="1207">
        <f>SUM(F42:F46)</f>
        <v>0</v>
      </c>
      <c r="M46" s="976">
        <f>IF(L46&lt;3,0,1)</f>
        <v>0</v>
      </c>
      <c r="N46" s="928"/>
      <c r="O46" s="942"/>
      <c r="P46" s="956">
        <f>COUNTA(F42:F46)</f>
        <v>5</v>
      </c>
      <c r="Q46" s="928"/>
      <c r="R46" s="928"/>
      <c r="S46" s="928"/>
      <c r="T46" s="928"/>
      <c r="U46" s="928"/>
      <c r="V46" s="928"/>
      <c r="W46" s="928"/>
      <c r="X46" s="928"/>
      <c r="Y46" s="928"/>
      <c r="Z46" s="928"/>
      <c r="AA46" s="928"/>
      <c r="AB46" s="928"/>
      <c r="AC46" s="928"/>
      <c r="AD46" s="928"/>
      <c r="AE46" s="928"/>
      <c r="AF46" s="928"/>
      <c r="AG46" s="928"/>
      <c r="AH46" s="928"/>
      <c r="AI46" s="928"/>
      <c r="AJ46" s="928"/>
      <c r="AK46" s="928"/>
      <c r="AL46" s="928"/>
      <c r="AM46" s="928"/>
      <c r="AN46" s="928"/>
      <c r="AO46" s="928"/>
      <c r="AP46" s="928"/>
      <c r="AQ46" s="928"/>
      <c r="AR46" s="928"/>
      <c r="AS46" s="928"/>
      <c r="AT46" s="928"/>
      <c r="AU46" s="928"/>
      <c r="AV46" s="928"/>
      <c r="AW46" s="928"/>
      <c r="AX46" s="928"/>
      <c r="AY46" s="928"/>
      <c r="AZ46" s="928"/>
      <c r="BA46" s="928"/>
      <c r="BB46" s="928"/>
      <c r="BC46" s="928"/>
      <c r="BD46" s="928"/>
      <c r="BE46" s="928"/>
      <c r="BF46" s="928"/>
      <c r="BG46" s="928"/>
      <c r="BH46" s="928"/>
      <c r="BI46" s="928"/>
      <c r="BJ46" s="928"/>
      <c r="BK46" s="928"/>
      <c r="BL46" s="928"/>
      <c r="BM46" s="928"/>
      <c r="BN46" s="928"/>
      <c r="BO46" s="928"/>
      <c r="BP46" s="928"/>
      <c r="BQ46" s="928"/>
      <c r="BR46" s="928"/>
      <c r="BS46" s="928"/>
      <c r="BT46" s="928"/>
      <c r="BU46" s="928"/>
      <c r="BV46" s="928"/>
      <c r="BW46" s="928"/>
      <c r="BX46" s="928"/>
      <c r="BY46" s="928"/>
      <c r="BZ46" s="928"/>
      <c r="CA46" s="928"/>
      <c r="CB46" s="928"/>
      <c r="CC46" s="928"/>
      <c r="CD46" s="928"/>
      <c r="CE46" s="928"/>
      <c r="CF46" s="928"/>
      <c r="CG46" s="928"/>
      <c r="CH46" s="928"/>
      <c r="CI46" s="928"/>
      <c r="CJ46" s="928"/>
      <c r="CK46" s="928"/>
      <c r="CL46" s="928"/>
      <c r="CM46" s="928"/>
      <c r="CN46" s="928"/>
      <c r="CO46" s="928"/>
      <c r="CP46" s="928"/>
      <c r="CQ46" s="928"/>
      <c r="CR46" s="928"/>
      <c r="CS46" s="928"/>
      <c r="CT46" s="928"/>
      <c r="CU46" s="928"/>
      <c r="CV46" s="928"/>
      <c r="CW46" s="928"/>
      <c r="CX46" s="928"/>
      <c r="CY46" s="928"/>
      <c r="CZ46" s="928"/>
      <c r="DA46" s="928"/>
      <c r="DB46" s="928"/>
      <c r="DC46" s="928"/>
      <c r="DD46" s="928"/>
      <c r="DE46" s="928"/>
      <c r="DF46" s="928"/>
      <c r="DG46" s="928"/>
      <c r="DH46" s="928"/>
      <c r="DI46" s="928"/>
      <c r="DJ46" s="928"/>
      <c r="DK46" s="928"/>
      <c r="DL46" s="928"/>
      <c r="DM46" s="928"/>
      <c r="DN46" s="928"/>
      <c r="DO46" s="928"/>
      <c r="DP46" s="928"/>
      <c r="DQ46" s="928"/>
      <c r="DR46" s="928"/>
      <c r="DS46" s="928"/>
      <c r="DT46" s="928"/>
      <c r="DU46" s="928"/>
      <c r="DV46" s="928"/>
      <c r="DW46" s="928"/>
      <c r="DX46" s="928"/>
      <c r="DY46" s="928"/>
      <c r="DZ46" s="928"/>
      <c r="EA46" s="928"/>
      <c r="EB46" s="928"/>
      <c r="EC46" s="928"/>
      <c r="ED46" s="928"/>
      <c r="EE46" s="928"/>
      <c r="EF46" s="928"/>
      <c r="EG46" s="928"/>
      <c r="EH46" s="928"/>
      <c r="EI46" s="928"/>
      <c r="EJ46" s="928"/>
      <c r="EK46" s="928"/>
      <c r="EL46" s="928"/>
      <c r="EM46" s="928"/>
      <c r="EN46" s="928"/>
      <c r="EO46" s="928"/>
      <c r="EP46" s="928"/>
      <c r="EQ46" s="928"/>
      <c r="ER46" s="928"/>
      <c r="ES46" s="928"/>
      <c r="ET46" s="928"/>
      <c r="EU46" s="928"/>
      <c r="EV46" s="928"/>
      <c r="EW46" s="928"/>
      <c r="EX46" s="928"/>
      <c r="EY46" s="928"/>
      <c r="EZ46" s="928"/>
      <c r="FA46" s="928"/>
      <c r="FB46" s="928"/>
      <c r="FC46" s="928"/>
      <c r="FD46" s="928"/>
      <c r="FE46" s="928"/>
      <c r="FF46" s="928"/>
      <c r="FG46" s="928"/>
      <c r="FH46" s="928"/>
      <c r="FI46" s="928"/>
      <c r="FJ46" s="928"/>
      <c r="FK46" s="928"/>
      <c r="FL46" s="928"/>
      <c r="FM46" s="928"/>
      <c r="FN46" s="928"/>
      <c r="FO46" s="928"/>
      <c r="FP46" s="928"/>
      <c r="FQ46" s="928"/>
      <c r="FR46" s="928"/>
      <c r="FS46" s="928"/>
      <c r="FT46" s="928"/>
      <c r="FU46" s="928"/>
      <c r="FV46" s="928"/>
      <c r="FW46" s="928"/>
      <c r="FX46" s="928"/>
      <c r="FY46" s="928"/>
      <c r="FZ46" s="928"/>
      <c r="GA46" s="928"/>
      <c r="GB46" s="928"/>
      <c r="GC46" s="928"/>
      <c r="GD46" s="928"/>
      <c r="GE46" s="928"/>
      <c r="GF46" s="928"/>
      <c r="GG46" s="928"/>
      <c r="GH46" s="928"/>
      <c r="GI46" s="928"/>
      <c r="GJ46" s="928"/>
      <c r="GK46" s="928"/>
      <c r="GL46" s="928"/>
      <c r="GM46" s="928"/>
      <c r="GN46" s="928"/>
      <c r="GO46" s="928"/>
      <c r="GP46" s="928"/>
      <c r="GQ46" s="928"/>
      <c r="GR46" s="928"/>
      <c r="GS46" s="928"/>
      <c r="GT46" s="928"/>
      <c r="GU46" s="928"/>
      <c r="GV46" s="928"/>
      <c r="GW46" s="928"/>
      <c r="GX46" s="928"/>
      <c r="GY46" s="928"/>
      <c r="GZ46" s="928"/>
      <c r="HA46" s="928"/>
      <c r="HB46" s="928"/>
      <c r="HC46" s="928"/>
      <c r="HD46" s="928"/>
      <c r="HE46" s="928"/>
      <c r="HF46" s="928"/>
      <c r="HG46" s="928"/>
      <c r="HH46" s="928"/>
      <c r="HI46" s="928"/>
      <c r="HJ46" s="928"/>
      <c r="HK46" s="928"/>
      <c r="HL46" s="928"/>
      <c r="HM46" s="928"/>
      <c r="HN46" s="928"/>
      <c r="HO46" s="928"/>
      <c r="HP46" s="928"/>
      <c r="HQ46" s="928"/>
      <c r="HR46" s="928"/>
      <c r="HS46" s="928"/>
      <c r="HT46" s="928"/>
      <c r="HU46" s="928"/>
      <c r="HV46" s="928"/>
      <c r="HW46" s="928"/>
      <c r="HX46" s="928"/>
      <c r="HY46" s="928"/>
      <c r="HZ46" s="928"/>
      <c r="IA46" s="928"/>
      <c r="IB46" s="928"/>
      <c r="IC46" s="928"/>
      <c r="ID46" s="928"/>
      <c r="IE46" s="928"/>
      <c r="IF46" s="928"/>
      <c r="IG46" s="928"/>
      <c r="IH46" s="928"/>
      <c r="II46" s="928"/>
      <c r="IJ46" s="928"/>
      <c r="IK46" s="928"/>
      <c r="IL46" s="928"/>
      <c r="IM46" s="928"/>
      <c r="IN46" s="928"/>
      <c r="IO46" s="928"/>
      <c r="IP46" s="928"/>
      <c r="IQ46" s="928"/>
      <c r="IR46" s="928"/>
      <c r="IS46" s="928"/>
      <c r="IT46" s="928"/>
      <c r="IU46" s="928"/>
      <c r="IV46" s="928"/>
      <c r="IW46" s="928"/>
    </row>
    <row r="47" spans="1:257" s="951" customFormat="1" ht="15" thickTop="1" thickBot="1">
      <c r="A47" s="928"/>
      <c r="B47" s="928"/>
      <c r="C47" s="928"/>
      <c r="D47" s="928"/>
      <c r="E47" s="928"/>
      <c r="F47" s="928"/>
      <c r="G47" s="928"/>
      <c r="H47" s="928"/>
      <c r="I47" s="928"/>
      <c r="J47" s="928"/>
      <c r="K47" s="928"/>
      <c r="L47" s="928"/>
      <c r="M47" s="928"/>
      <c r="N47" s="928"/>
      <c r="O47" s="928"/>
      <c r="P47" s="928"/>
      <c r="Q47" s="928"/>
      <c r="R47" s="928"/>
      <c r="S47" s="928"/>
      <c r="T47" s="928"/>
      <c r="U47" s="928"/>
      <c r="V47" s="928"/>
      <c r="W47" s="928"/>
      <c r="X47" s="928"/>
      <c r="Y47" s="928"/>
      <c r="Z47" s="928"/>
      <c r="AA47" s="928"/>
      <c r="AB47" s="928"/>
      <c r="AC47" s="928"/>
      <c r="AD47" s="928"/>
      <c r="AE47" s="928"/>
      <c r="AF47" s="928"/>
      <c r="AG47" s="928"/>
      <c r="AH47" s="928"/>
      <c r="AI47" s="928"/>
      <c r="AJ47" s="928"/>
      <c r="AK47" s="928"/>
      <c r="AL47" s="928"/>
      <c r="AM47" s="928"/>
      <c r="AN47" s="928"/>
      <c r="AO47" s="928"/>
      <c r="AP47" s="928"/>
      <c r="AQ47" s="928"/>
      <c r="AR47" s="928"/>
      <c r="AS47" s="928"/>
      <c r="AT47" s="928"/>
      <c r="AU47" s="928"/>
      <c r="AV47" s="928"/>
      <c r="AW47" s="928"/>
      <c r="AX47" s="928"/>
      <c r="AY47" s="928"/>
      <c r="AZ47" s="928"/>
      <c r="BA47" s="928"/>
      <c r="BB47" s="928"/>
      <c r="BC47" s="928"/>
      <c r="BD47" s="928"/>
      <c r="BE47" s="928"/>
      <c r="BF47" s="928"/>
      <c r="BG47" s="928"/>
      <c r="BH47" s="928"/>
      <c r="BI47" s="928"/>
      <c r="BJ47" s="928"/>
      <c r="BK47" s="928"/>
      <c r="BL47" s="928"/>
      <c r="BM47" s="928"/>
      <c r="BN47" s="928"/>
      <c r="BO47" s="928"/>
      <c r="BP47" s="928"/>
      <c r="BQ47" s="928"/>
      <c r="BR47" s="928"/>
      <c r="BS47" s="928"/>
      <c r="BT47" s="928"/>
      <c r="BU47" s="928"/>
      <c r="BV47" s="928"/>
      <c r="BW47" s="928"/>
      <c r="BX47" s="928"/>
      <c r="BY47" s="928"/>
      <c r="BZ47" s="928"/>
      <c r="CA47" s="928"/>
      <c r="CB47" s="928"/>
      <c r="CC47" s="928"/>
      <c r="CD47" s="928"/>
      <c r="CE47" s="928"/>
      <c r="CF47" s="928"/>
      <c r="CG47" s="928"/>
      <c r="CH47" s="928"/>
      <c r="CI47" s="928"/>
      <c r="CJ47" s="928"/>
      <c r="CK47" s="928"/>
      <c r="CL47" s="928"/>
      <c r="CM47" s="928"/>
      <c r="CN47" s="928"/>
      <c r="CO47" s="928"/>
      <c r="CP47" s="928"/>
      <c r="CQ47" s="928"/>
      <c r="CR47" s="928"/>
      <c r="CS47" s="928"/>
      <c r="CT47" s="928"/>
      <c r="CU47" s="928"/>
      <c r="CV47" s="928"/>
      <c r="CW47" s="928"/>
      <c r="CX47" s="928"/>
      <c r="CY47" s="928"/>
      <c r="CZ47" s="928"/>
      <c r="DA47" s="928"/>
      <c r="DB47" s="928"/>
      <c r="DC47" s="928"/>
      <c r="DD47" s="928"/>
      <c r="DE47" s="928"/>
      <c r="DF47" s="928"/>
      <c r="DG47" s="928"/>
      <c r="DH47" s="928"/>
      <c r="DI47" s="928"/>
      <c r="DJ47" s="928"/>
      <c r="DK47" s="928"/>
      <c r="DL47" s="928"/>
      <c r="DM47" s="928"/>
      <c r="DN47" s="928"/>
      <c r="DO47" s="928"/>
      <c r="DP47" s="928"/>
      <c r="DQ47" s="928"/>
      <c r="DR47" s="928"/>
      <c r="DS47" s="928"/>
      <c r="DT47" s="928"/>
      <c r="DU47" s="928"/>
      <c r="DV47" s="928"/>
      <c r="DW47" s="928"/>
      <c r="DX47" s="928"/>
      <c r="DY47" s="928"/>
      <c r="DZ47" s="928"/>
      <c r="EA47" s="928"/>
      <c r="EB47" s="928"/>
      <c r="EC47" s="928"/>
      <c r="ED47" s="928"/>
      <c r="EE47" s="928"/>
      <c r="EF47" s="928"/>
      <c r="EG47" s="928"/>
      <c r="EH47" s="928"/>
      <c r="EI47" s="928"/>
      <c r="EJ47" s="928"/>
      <c r="EK47" s="928"/>
      <c r="EL47" s="928"/>
      <c r="EM47" s="928"/>
      <c r="EN47" s="928"/>
      <c r="EO47" s="928"/>
      <c r="EP47" s="928"/>
      <c r="EQ47" s="928"/>
      <c r="ER47" s="928"/>
      <c r="ES47" s="928"/>
      <c r="ET47" s="928"/>
      <c r="EU47" s="928"/>
      <c r="EV47" s="928"/>
      <c r="EW47" s="928"/>
      <c r="EX47" s="928"/>
      <c r="EY47" s="928"/>
      <c r="EZ47" s="928"/>
      <c r="FA47" s="928"/>
      <c r="FB47" s="928"/>
      <c r="FC47" s="928"/>
      <c r="FD47" s="928"/>
      <c r="FE47" s="928"/>
      <c r="FF47" s="928"/>
      <c r="FG47" s="928"/>
      <c r="FH47" s="928"/>
      <c r="FI47" s="928"/>
      <c r="FJ47" s="928"/>
      <c r="FK47" s="928"/>
      <c r="FL47" s="928"/>
      <c r="FM47" s="928"/>
      <c r="FN47" s="928"/>
      <c r="FO47" s="928"/>
      <c r="FP47" s="928"/>
      <c r="FQ47" s="928"/>
      <c r="FR47" s="928"/>
      <c r="FS47" s="928"/>
      <c r="FT47" s="928"/>
      <c r="FU47" s="928"/>
      <c r="FV47" s="928"/>
      <c r="FW47" s="928"/>
      <c r="FX47" s="928"/>
      <c r="FY47" s="928"/>
      <c r="FZ47" s="928"/>
      <c r="GA47" s="928"/>
      <c r="GB47" s="928"/>
      <c r="GC47" s="928"/>
      <c r="GD47" s="928"/>
      <c r="GE47" s="928"/>
      <c r="GF47" s="928"/>
      <c r="GG47" s="928"/>
      <c r="GH47" s="928"/>
      <c r="GI47" s="928"/>
      <c r="GJ47" s="928"/>
      <c r="GK47" s="928"/>
      <c r="GL47" s="928"/>
      <c r="GM47" s="928"/>
      <c r="GN47" s="928"/>
      <c r="GO47" s="928"/>
      <c r="GP47" s="928"/>
      <c r="GQ47" s="928"/>
      <c r="GR47" s="928"/>
      <c r="GS47" s="928"/>
      <c r="GT47" s="928"/>
      <c r="GU47" s="928"/>
      <c r="GV47" s="928"/>
      <c r="GW47" s="928"/>
      <c r="GX47" s="928"/>
      <c r="GY47" s="928"/>
      <c r="GZ47" s="928"/>
      <c r="HA47" s="928"/>
      <c r="HB47" s="928"/>
      <c r="HC47" s="928"/>
      <c r="HD47" s="928"/>
      <c r="HE47" s="928"/>
      <c r="HF47" s="928"/>
      <c r="HG47" s="928"/>
      <c r="HH47" s="928"/>
      <c r="HI47" s="928"/>
      <c r="HJ47" s="928"/>
      <c r="HK47" s="928"/>
      <c r="HL47" s="928"/>
      <c r="HM47" s="928"/>
      <c r="HN47" s="928"/>
      <c r="HO47" s="928"/>
      <c r="HP47" s="928"/>
      <c r="HQ47" s="928"/>
      <c r="HR47" s="928"/>
      <c r="HS47" s="928"/>
      <c r="HT47" s="928"/>
      <c r="HU47" s="928"/>
      <c r="HV47" s="928"/>
      <c r="HW47" s="928"/>
      <c r="HX47" s="928"/>
      <c r="HY47" s="928"/>
      <c r="HZ47" s="928"/>
      <c r="IA47" s="928"/>
      <c r="IB47" s="928"/>
      <c r="IC47" s="928"/>
      <c r="ID47" s="928"/>
      <c r="IE47" s="928"/>
      <c r="IF47" s="928"/>
      <c r="IG47" s="928"/>
      <c r="IH47" s="928"/>
      <c r="II47" s="928"/>
      <c r="IJ47" s="928"/>
      <c r="IK47" s="928"/>
      <c r="IL47" s="928"/>
      <c r="IM47" s="928"/>
      <c r="IN47" s="928"/>
      <c r="IO47" s="928"/>
      <c r="IP47" s="928"/>
      <c r="IQ47" s="928"/>
      <c r="IR47" s="928"/>
      <c r="IS47" s="928"/>
      <c r="IT47" s="928"/>
      <c r="IU47" s="928"/>
      <c r="IV47" s="928"/>
      <c r="IW47" s="928"/>
    </row>
    <row r="48" spans="1:257" s="951" customFormat="1" ht="99" thickTop="1">
      <c r="A48" s="2477" t="s">
        <v>1197</v>
      </c>
      <c r="B48" s="1210" t="s">
        <v>1630</v>
      </c>
      <c r="C48" s="1199">
        <v>5</v>
      </c>
      <c r="D48" s="1199">
        <v>6</v>
      </c>
      <c r="E48" s="1200" t="s">
        <v>1393</v>
      </c>
      <c r="F48" s="1201" t="str">
        <f>IF(Scoring!I57="","",Scoring!I57)</f>
        <v/>
      </c>
      <c r="G48" s="1202"/>
      <c r="H48" s="1202"/>
      <c r="I48" s="1203" t="s">
        <v>2091</v>
      </c>
      <c r="J48" s="1208"/>
      <c r="K48" s="1208"/>
      <c r="L48" s="1204"/>
      <c r="M48" s="1205"/>
      <c r="N48" s="928"/>
      <c r="O48" s="949"/>
      <c r="P48" s="948"/>
      <c r="Q48" s="928"/>
      <c r="R48" s="928"/>
      <c r="S48" s="928"/>
      <c r="T48" s="928"/>
      <c r="U48" s="928"/>
      <c r="V48" s="928"/>
      <c r="W48" s="928"/>
      <c r="X48" s="928"/>
      <c r="Y48" s="928"/>
      <c r="Z48" s="928"/>
      <c r="AA48" s="928"/>
      <c r="AB48" s="928"/>
      <c r="AC48" s="928"/>
      <c r="AD48" s="928"/>
      <c r="AE48" s="928"/>
      <c r="AF48" s="928"/>
      <c r="AG48" s="928"/>
      <c r="AH48" s="928"/>
      <c r="AI48" s="928"/>
      <c r="AJ48" s="928"/>
      <c r="AK48" s="928"/>
      <c r="AL48" s="928"/>
      <c r="AM48" s="928"/>
      <c r="AN48" s="928"/>
      <c r="AO48" s="928"/>
      <c r="AP48" s="928"/>
      <c r="AQ48" s="928"/>
      <c r="AR48" s="928"/>
      <c r="AS48" s="928"/>
      <c r="AT48" s="928"/>
      <c r="AU48" s="928"/>
      <c r="AV48" s="928"/>
      <c r="AW48" s="928"/>
      <c r="AX48" s="928"/>
      <c r="AY48" s="928"/>
      <c r="AZ48" s="928"/>
      <c r="BA48" s="928"/>
      <c r="BB48" s="928"/>
      <c r="BC48" s="928"/>
      <c r="BD48" s="928"/>
      <c r="BE48" s="928"/>
      <c r="BF48" s="928"/>
      <c r="BG48" s="928"/>
      <c r="BH48" s="928"/>
      <c r="BI48" s="928"/>
      <c r="BJ48" s="928"/>
      <c r="BK48" s="928"/>
      <c r="BL48" s="928"/>
      <c r="BM48" s="928"/>
      <c r="BN48" s="928"/>
      <c r="BO48" s="928"/>
      <c r="BP48" s="928"/>
      <c r="BQ48" s="928"/>
      <c r="BR48" s="928"/>
      <c r="BS48" s="928"/>
      <c r="BT48" s="928"/>
      <c r="BU48" s="928"/>
      <c r="BV48" s="928"/>
      <c r="BW48" s="928"/>
      <c r="BX48" s="928"/>
      <c r="BY48" s="928"/>
      <c r="BZ48" s="928"/>
      <c r="CA48" s="928"/>
      <c r="CB48" s="928"/>
      <c r="CC48" s="928"/>
      <c r="CD48" s="928"/>
      <c r="CE48" s="928"/>
      <c r="CF48" s="928"/>
      <c r="CG48" s="928"/>
      <c r="CH48" s="928"/>
      <c r="CI48" s="928"/>
      <c r="CJ48" s="928"/>
      <c r="CK48" s="928"/>
      <c r="CL48" s="928"/>
      <c r="CM48" s="928"/>
      <c r="CN48" s="928"/>
      <c r="CO48" s="928"/>
      <c r="CP48" s="928"/>
      <c r="CQ48" s="928"/>
      <c r="CR48" s="928"/>
      <c r="CS48" s="928"/>
      <c r="CT48" s="928"/>
      <c r="CU48" s="928"/>
      <c r="CV48" s="928"/>
      <c r="CW48" s="928"/>
      <c r="CX48" s="928"/>
      <c r="CY48" s="928"/>
      <c r="CZ48" s="928"/>
      <c r="DA48" s="928"/>
      <c r="DB48" s="928"/>
      <c r="DC48" s="928"/>
      <c r="DD48" s="928"/>
      <c r="DE48" s="928"/>
      <c r="DF48" s="928"/>
      <c r="DG48" s="928"/>
      <c r="DH48" s="928"/>
      <c r="DI48" s="928"/>
      <c r="DJ48" s="928"/>
      <c r="DK48" s="928"/>
      <c r="DL48" s="928"/>
      <c r="DM48" s="928"/>
      <c r="DN48" s="928"/>
      <c r="DO48" s="928"/>
      <c r="DP48" s="928"/>
      <c r="DQ48" s="928"/>
      <c r="DR48" s="928"/>
      <c r="DS48" s="928"/>
      <c r="DT48" s="928"/>
      <c r="DU48" s="928"/>
      <c r="DV48" s="928"/>
      <c r="DW48" s="928"/>
      <c r="DX48" s="928"/>
      <c r="DY48" s="928"/>
      <c r="DZ48" s="928"/>
      <c r="EA48" s="928"/>
      <c r="EB48" s="928"/>
      <c r="EC48" s="928"/>
      <c r="ED48" s="928"/>
      <c r="EE48" s="928"/>
      <c r="EF48" s="928"/>
      <c r="EG48" s="928"/>
      <c r="EH48" s="928"/>
      <c r="EI48" s="928"/>
      <c r="EJ48" s="928"/>
      <c r="EK48" s="928"/>
      <c r="EL48" s="928"/>
      <c r="EM48" s="928"/>
      <c r="EN48" s="928"/>
      <c r="EO48" s="928"/>
      <c r="EP48" s="928"/>
      <c r="EQ48" s="928"/>
      <c r="ER48" s="928"/>
      <c r="ES48" s="928"/>
      <c r="ET48" s="928"/>
      <c r="EU48" s="928"/>
      <c r="EV48" s="928"/>
      <c r="EW48" s="928"/>
      <c r="EX48" s="928"/>
      <c r="EY48" s="928"/>
      <c r="EZ48" s="928"/>
      <c r="FA48" s="928"/>
      <c r="FB48" s="928"/>
      <c r="FC48" s="928"/>
      <c r="FD48" s="928"/>
      <c r="FE48" s="928"/>
      <c r="FF48" s="928"/>
      <c r="FG48" s="928"/>
      <c r="FH48" s="928"/>
      <c r="FI48" s="928"/>
      <c r="FJ48" s="928"/>
      <c r="FK48" s="928"/>
      <c r="FL48" s="928"/>
      <c r="FM48" s="928"/>
      <c r="FN48" s="928"/>
      <c r="FO48" s="928"/>
      <c r="FP48" s="928"/>
      <c r="FQ48" s="928"/>
      <c r="FR48" s="928"/>
      <c r="FS48" s="928"/>
      <c r="FT48" s="928"/>
      <c r="FU48" s="928"/>
      <c r="FV48" s="928"/>
      <c r="FW48" s="928"/>
      <c r="FX48" s="928"/>
      <c r="FY48" s="928"/>
      <c r="FZ48" s="928"/>
      <c r="GA48" s="928"/>
      <c r="GB48" s="928"/>
      <c r="GC48" s="928"/>
      <c r="GD48" s="928"/>
      <c r="GE48" s="928"/>
      <c r="GF48" s="928"/>
      <c r="GG48" s="928"/>
      <c r="GH48" s="928"/>
      <c r="GI48" s="928"/>
      <c r="GJ48" s="928"/>
      <c r="GK48" s="928"/>
      <c r="GL48" s="928"/>
      <c r="GM48" s="928"/>
      <c r="GN48" s="928"/>
      <c r="GO48" s="928"/>
      <c r="GP48" s="928"/>
      <c r="GQ48" s="928"/>
      <c r="GR48" s="928"/>
      <c r="GS48" s="928"/>
      <c r="GT48" s="928"/>
      <c r="GU48" s="928"/>
      <c r="GV48" s="928"/>
      <c r="GW48" s="928"/>
      <c r="GX48" s="928"/>
      <c r="GY48" s="928"/>
      <c r="GZ48" s="928"/>
      <c r="HA48" s="928"/>
      <c r="HB48" s="928"/>
      <c r="HC48" s="928"/>
      <c r="HD48" s="928"/>
      <c r="HE48" s="928"/>
      <c r="HF48" s="928"/>
      <c r="HG48" s="928"/>
      <c r="HH48" s="928"/>
      <c r="HI48" s="928"/>
      <c r="HJ48" s="928"/>
      <c r="HK48" s="928"/>
      <c r="HL48" s="928"/>
      <c r="HM48" s="928"/>
      <c r="HN48" s="928"/>
      <c r="HO48" s="928"/>
      <c r="HP48" s="928"/>
      <c r="HQ48" s="928"/>
      <c r="HR48" s="928"/>
      <c r="HS48" s="928"/>
      <c r="HT48" s="928"/>
      <c r="HU48" s="928"/>
      <c r="HV48" s="928"/>
      <c r="HW48" s="928"/>
      <c r="HX48" s="928"/>
      <c r="HY48" s="928"/>
      <c r="HZ48" s="928"/>
      <c r="IA48" s="928"/>
      <c r="IB48" s="928"/>
      <c r="IC48" s="928"/>
      <c r="ID48" s="928"/>
      <c r="IE48" s="928"/>
      <c r="IF48" s="928"/>
      <c r="IG48" s="928"/>
      <c r="IH48" s="928"/>
      <c r="II48" s="928"/>
      <c r="IJ48" s="928"/>
      <c r="IK48" s="928"/>
      <c r="IL48" s="928"/>
      <c r="IM48" s="928"/>
      <c r="IN48" s="928"/>
      <c r="IO48" s="928"/>
      <c r="IP48" s="928"/>
      <c r="IQ48" s="928"/>
      <c r="IR48" s="928"/>
      <c r="IS48" s="928"/>
      <c r="IT48" s="928"/>
      <c r="IU48" s="928"/>
      <c r="IV48" s="928"/>
      <c r="IW48" s="928"/>
    </row>
    <row r="49" spans="1:257" ht="126">
      <c r="A49" s="2479"/>
      <c r="B49" s="1102" t="s">
        <v>1631</v>
      </c>
      <c r="C49" s="985">
        <v>5</v>
      </c>
      <c r="D49" s="985">
        <v>6</v>
      </c>
      <c r="E49" s="986" t="s">
        <v>1394</v>
      </c>
      <c r="F49" s="968" t="str">
        <f>IF(Scoring!I58="","",Scoring!I58)</f>
        <v/>
      </c>
      <c r="G49" s="987"/>
      <c r="H49" s="987"/>
      <c r="I49" s="988" t="s">
        <v>2092</v>
      </c>
      <c r="J49" s="969"/>
      <c r="K49" s="969"/>
      <c r="L49" s="989"/>
      <c r="M49" s="990"/>
      <c r="O49" s="947"/>
      <c r="P49" s="954"/>
    </row>
    <row r="50" spans="1:257" ht="56">
      <c r="A50" s="2479"/>
      <c r="B50" s="1102" t="s">
        <v>1632</v>
      </c>
      <c r="C50" s="985">
        <v>5</v>
      </c>
      <c r="D50" s="985">
        <v>6</v>
      </c>
      <c r="E50" s="986" t="s">
        <v>1395</v>
      </c>
      <c r="F50" s="968" t="str">
        <f>IF(Scoring!I59="","",Scoring!I59)</f>
        <v/>
      </c>
      <c r="G50" s="987"/>
      <c r="H50" s="987"/>
      <c r="I50" s="988" t="s">
        <v>2093</v>
      </c>
      <c r="J50" s="969"/>
      <c r="K50" s="969"/>
      <c r="L50" s="989"/>
      <c r="M50" s="990"/>
      <c r="O50" s="947"/>
      <c r="P50" s="954"/>
    </row>
    <row r="51" spans="1:257" ht="42">
      <c r="A51" s="2479"/>
      <c r="B51" s="1102" t="s">
        <v>1633</v>
      </c>
      <c r="C51" s="985">
        <v>6</v>
      </c>
      <c r="D51" s="985">
        <v>6</v>
      </c>
      <c r="E51" s="986" t="s">
        <v>1396</v>
      </c>
      <c r="F51" s="968" t="str">
        <f>IF(Scoring!I60="","",Scoring!I60)</f>
        <v/>
      </c>
      <c r="G51" s="987"/>
      <c r="H51" s="987"/>
      <c r="I51" s="988" t="s">
        <v>2095</v>
      </c>
      <c r="J51" s="969"/>
      <c r="K51" s="969"/>
      <c r="L51" s="989"/>
      <c r="M51" s="990"/>
      <c r="O51" s="947"/>
      <c r="P51" s="954"/>
    </row>
    <row r="52" spans="1:257" s="951" customFormat="1" ht="29" thickBot="1">
      <c r="A52" s="2480"/>
      <c r="B52" s="1211" t="s">
        <v>1634</v>
      </c>
      <c r="C52" s="997">
        <v>4</v>
      </c>
      <c r="D52" s="997">
        <v>4</v>
      </c>
      <c r="E52" s="998" t="s">
        <v>1397</v>
      </c>
      <c r="F52" s="973" t="str">
        <f>IF(Scoring!I61="","",Scoring!I61)</f>
        <v/>
      </c>
      <c r="G52" s="999"/>
      <c r="H52" s="999"/>
      <c r="I52" s="1000" t="s">
        <v>2096</v>
      </c>
      <c r="J52" s="974">
        <f>COUNT(F48:F52)</f>
        <v>0</v>
      </c>
      <c r="K52" s="974"/>
      <c r="L52" s="1207">
        <f>SUM(F48:F52)</f>
        <v>0</v>
      </c>
      <c r="M52" s="976">
        <f>IF(L52&lt;3,0,1)</f>
        <v>0</v>
      </c>
      <c r="N52" s="928"/>
      <c r="O52" s="942"/>
      <c r="P52" s="956">
        <f>COUNTA(F48:F52)</f>
        <v>5</v>
      </c>
      <c r="Q52" s="928"/>
      <c r="R52" s="928"/>
      <c r="S52" s="928"/>
      <c r="T52" s="928"/>
      <c r="U52" s="928"/>
      <c r="V52" s="928"/>
      <c r="W52" s="928"/>
      <c r="X52" s="928"/>
      <c r="Y52" s="928"/>
      <c r="Z52" s="928"/>
      <c r="AA52" s="928"/>
      <c r="AB52" s="928"/>
      <c r="AC52" s="928"/>
      <c r="AD52" s="928"/>
      <c r="AE52" s="928"/>
      <c r="AF52" s="928"/>
      <c r="AG52" s="928"/>
      <c r="AH52" s="928"/>
      <c r="AI52" s="928"/>
      <c r="AJ52" s="928"/>
      <c r="AK52" s="928"/>
      <c r="AL52" s="928"/>
      <c r="AM52" s="928"/>
      <c r="AN52" s="928"/>
      <c r="AO52" s="928"/>
      <c r="AP52" s="928"/>
      <c r="AQ52" s="928"/>
      <c r="AR52" s="928"/>
      <c r="AS52" s="928"/>
      <c r="AT52" s="928"/>
      <c r="AU52" s="928"/>
      <c r="AV52" s="928"/>
      <c r="AW52" s="928"/>
      <c r="AX52" s="928"/>
      <c r="AY52" s="928"/>
      <c r="AZ52" s="928"/>
      <c r="BA52" s="928"/>
      <c r="BB52" s="928"/>
      <c r="BC52" s="928"/>
      <c r="BD52" s="928"/>
      <c r="BE52" s="928"/>
      <c r="BF52" s="928"/>
      <c r="BG52" s="928"/>
      <c r="BH52" s="928"/>
      <c r="BI52" s="928"/>
      <c r="BJ52" s="928"/>
      <c r="BK52" s="928"/>
      <c r="BL52" s="928"/>
      <c r="BM52" s="928"/>
      <c r="BN52" s="928"/>
      <c r="BO52" s="928"/>
      <c r="BP52" s="928"/>
      <c r="BQ52" s="928"/>
      <c r="BR52" s="928"/>
      <c r="BS52" s="928"/>
      <c r="BT52" s="928"/>
      <c r="BU52" s="928"/>
      <c r="BV52" s="928"/>
      <c r="BW52" s="928"/>
      <c r="BX52" s="928"/>
      <c r="BY52" s="928"/>
      <c r="BZ52" s="928"/>
      <c r="CA52" s="928"/>
      <c r="CB52" s="928"/>
      <c r="CC52" s="928"/>
      <c r="CD52" s="928"/>
      <c r="CE52" s="928"/>
      <c r="CF52" s="928"/>
      <c r="CG52" s="928"/>
      <c r="CH52" s="928"/>
      <c r="CI52" s="928"/>
      <c r="CJ52" s="928"/>
      <c r="CK52" s="928"/>
      <c r="CL52" s="928"/>
      <c r="CM52" s="928"/>
      <c r="CN52" s="928"/>
      <c r="CO52" s="928"/>
      <c r="CP52" s="928"/>
      <c r="CQ52" s="928"/>
      <c r="CR52" s="928"/>
      <c r="CS52" s="928"/>
      <c r="CT52" s="928"/>
      <c r="CU52" s="928"/>
      <c r="CV52" s="928"/>
      <c r="CW52" s="928"/>
      <c r="CX52" s="928"/>
      <c r="CY52" s="928"/>
      <c r="CZ52" s="928"/>
      <c r="DA52" s="928"/>
      <c r="DB52" s="928"/>
      <c r="DC52" s="928"/>
      <c r="DD52" s="928"/>
      <c r="DE52" s="928"/>
      <c r="DF52" s="928"/>
      <c r="DG52" s="928"/>
      <c r="DH52" s="928"/>
      <c r="DI52" s="928"/>
      <c r="DJ52" s="928"/>
      <c r="DK52" s="928"/>
      <c r="DL52" s="928"/>
      <c r="DM52" s="928"/>
      <c r="DN52" s="928"/>
      <c r="DO52" s="928"/>
      <c r="DP52" s="928"/>
      <c r="DQ52" s="928"/>
      <c r="DR52" s="928"/>
      <c r="DS52" s="928"/>
      <c r="DT52" s="928"/>
      <c r="DU52" s="928"/>
      <c r="DV52" s="928"/>
      <c r="DW52" s="928"/>
      <c r="DX52" s="928"/>
      <c r="DY52" s="928"/>
      <c r="DZ52" s="928"/>
      <c r="EA52" s="928"/>
      <c r="EB52" s="928"/>
      <c r="EC52" s="928"/>
      <c r="ED52" s="928"/>
      <c r="EE52" s="928"/>
      <c r="EF52" s="928"/>
      <c r="EG52" s="928"/>
      <c r="EH52" s="928"/>
      <c r="EI52" s="928"/>
      <c r="EJ52" s="928"/>
      <c r="EK52" s="928"/>
      <c r="EL52" s="928"/>
      <c r="EM52" s="928"/>
      <c r="EN52" s="928"/>
      <c r="EO52" s="928"/>
      <c r="EP52" s="928"/>
      <c r="EQ52" s="928"/>
      <c r="ER52" s="928"/>
      <c r="ES52" s="928"/>
      <c r="ET52" s="928"/>
      <c r="EU52" s="928"/>
      <c r="EV52" s="928"/>
      <c r="EW52" s="928"/>
      <c r="EX52" s="928"/>
      <c r="EY52" s="928"/>
      <c r="EZ52" s="928"/>
      <c r="FA52" s="928"/>
      <c r="FB52" s="928"/>
      <c r="FC52" s="928"/>
      <c r="FD52" s="928"/>
      <c r="FE52" s="928"/>
      <c r="FF52" s="928"/>
      <c r="FG52" s="928"/>
      <c r="FH52" s="928"/>
      <c r="FI52" s="928"/>
      <c r="FJ52" s="928"/>
      <c r="FK52" s="928"/>
      <c r="FL52" s="928"/>
      <c r="FM52" s="928"/>
      <c r="FN52" s="928"/>
      <c r="FO52" s="928"/>
      <c r="FP52" s="928"/>
      <c r="FQ52" s="928"/>
      <c r="FR52" s="928"/>
      <c r="FS52" s="928"/>
      <c r="FT52" s="928"/>
      <c r="FU52" s="928"/>
      <c r="FV52" s="928"/>
      <c r="FW52" s="928"/>
      <c r="FX52" s="928"/>
      <c r="FY52" s="928"/>
      <c r="FZ52" s="928"/>
      <c r="GA52" s="928"/>
      <c r="GB52" s="928"/>
      <c r="GC52" s="928"/>
      <c r="GD52" s="928"/>
      <c r="GE52" s="928"/>
      <c r="GF52" s="928"/>
      <c r="GG52" s="928"/>
      <c r="GH52" s="928"/>
      <c r="GI52" s="928"/>
      <c r="GJ52" s="928"/>
      <c r="GK52" s="928"/>
      <c r="GL52" s="928"/>
      <c r="GM52" s="928"/>
      <c r="GN52" s="928"/>
      <c r="GO52" s="928"/>
      <c r="GP52" s="928"/>
      <c r="GQ52" s="928"/>
      <c r="GR52" s="928"/>
      <c r="GS52" s="928"/>
      <c r="GT52" s="928"/>
      <c r="GU52" s="928"/>
      <c r="GV52" s="928"/>
      <c r="GW52" s="928"/>
      <c r="GX52" s="928"/>
      <c r="GY52" s="928"/>
      <c r="GZ52" s="928"/>
      <c r="HA52" s="928"/>
      <c r="HB52" s="928"/>
      <c r="HC52" s="928"/>
      <c r="HD52" s="928"/>
      <c r="HE52" s="928"/>
      <c r="HF52" s="928"/>
      <c r="HG52" s="928"/>
      <c r="HH52" s="928"/>
      <c r="HI52" s="928"/>
      <c r="HJ52" s="928"/>
      <c r="HK52" s="928"/>
      <c r="HL52" s="928"/>
      <c r="HM52" s="928"/>
      <c r="HN52" s="928"/>
      <c r="HO52" s="928"/>
      <c r="HP52" s="928"/>
      <c r="HQ52" s="928"/>
      <c r="HR52" s="928"/>
      <c r="HS52" s="928"/>
      <c r="HT52" s="928"/>
      <c r="HU52" s="928"/>
      <c r="HV52" s="928"/>
      <c r="HW52" s="928"/>
      <c r="HX52" s="928"/>
      <c r="HY52" s="928"/>
      <c r="HZ52" s="928"/>
      <c r="IA52" s="928"/>
      <c r="IB52" s="928"/>
      <c r="IC52" s="928"/>
      <c r="ID52" s="928"/>
      <c r="IE52" s="928"/>
      <c r="IF52" s="928"/>
      <c r="IG52" s="928"/>
      <c r="IH52" s="928"/>
      <c r="II52" s="928"/>
      <c r="IJ52" s="928"/>
      <c r="IK52" s="928"/>
      <c r="IL52" s="928"/>
      <c r="IM52" s="928"/>
      <c r="IN52" s="928"/>
      <c r="IO52" s="928"/>
      <c r="IP52" s="928"/>
      <c r="IQ52" s="928"/>
      <c r="IR52" s="928"/>
      <c r="IS52" s="928"/>
      <c r="IT52" s="928"/>
      <c r="IU52" s="928"/>
      <c r="IV52" s="928"/>
      <c r="IW52" s="928"/>
    </row>
    <row r="53" spans="1:257" s="951" customFormat="1" ht="15" thickTop="1" thickBot="1">
      <c r="A53" s="928"/>
      <c r="B53" s="928"/>
      <c r="C53" s="928"/>
      <c r="D53" s="928"/>
      <c r="E53" s="928"/>
      <c r="F53" s="928"/>
      <c r="G53" s="928"/>
      <c r="H53" s="928"/>
      <c r="I53" s="928"/>
      <c r="J53" s="928"/>
      <c r="K53" s="928"/>
      <c r="L53" s="928"/>
      <c r="M53" s="928"/>
      <c r="N53" s="928"/>
      <c r="O53" s="928"/>
      <c r="P53" s="928"/>
      <c r="Q53" s="928"/>
      <c r="R53" s="928"/>
      <c r="S53" s="928"/>
      <c r="T53" s="928"/>
      <c r="U53" s="928"/>
      <c r="V53" s="928"/>
      <c r="W53" s="928"/>
      <c r="X53" s="928"/>
      <c r="Y53" s="928"/>
      <c r="Z53" s="928"/>
      <c r="AA53" s="928"/>
      <c r="AB53" s="928"/>
      <c r="AC53" s="928"/>
      <c r="AD53" s="928"/>
      <c r="AE53" s="928"/>
      <c r="AF53" s="928"/>
      <c r="AG53" s="928"/>
      <c r="AH53" s="928"/>
      <c r="AI53" s="928"/>
      <c r="AJ53" s="928"/>
      <c r="AK53" s="928"/>
      <c r="AL53" s="928"/>
      <c r="AM53" s="928"/>
      <c r="AN53" s="928"/>
      <c r="AO53" s="928"/>
      <c r="AP53" s="928"/>
      <c r="AQ53" s="928"/>
      <c r="AR53" s="928"/>
      <c r="AS53" s="928"/>
      <c r="AT53" s="928"/>
      <c r="AU53" s="928"/>
      <c r="AV53" s="928"/>
      <c r="AW53" s="928"/>
      <c r="AX53" s="928"/>
      <c r="AY53" s="928"/>
      <c r="AZ53" s="928"/>
      <c r="BA53" s="928"/>
      <c r="BB53" s="928"/>
      <c r="BC53" s="928"/>
      <c r="BD53" s="928"/>
      <c r="BE53" s="928"/>
      <c r="BF53" s="928"/>
      <c r="BG53" s="928"/>
      <c r="BH53" s="928"/>
      <c r="BI53" s="928"/>
      <c r="BJ53" s="928"/>
      <c r="BK53" s="928"/>
      <c r="BL53" s="928"/>
      <c r="BM53" s="928"/>
      <c r="BN53" s="928"/>
      <c r="BO53" s="928"/>
      <c r="BP53" s="928"/>
      <c r="BQ53" s="928"/>
      <c r="BR53" s="928"/>
      <c r="BS53" s="928"/>
      <c r="BT53" s="928"/>
      <c r="BU53" s="928"/>
      <c r="BV53" s="928"/>
      <c r="BW53" s="928"/>
      <c r="BX53" s="928"/>
      <c r="BY53" s="928"/>
      <c r="BZ53" s="928"/>
      <c r="CA53" s="928"/>
      <c r="CB53" s="928"/>
      <c r="CC53" s="928"/>
      <c r="CD53" s="928"/>
      <c r="CE53" s="928"/>
      <c r="CF53" s="928"/>
      <c r="CG53" s="928"/>
      <c r="CH53" s="928"/>
      <c r="CI53" s="928"/>
      <c r="CJ53" s="928"/>
      <c r="CK53" s="928"/>
      <c r="CL53" s="928"/>
      <c r="CM53" s="928"/>
      <c r="CN53" s="928"/>
      <c r="CO53" s="928"/>
      <c r="CP53" s="928"/>
      <c r="CQ53" s="928"/>
      <c r="CR53" s="928"/>
      <c r="CS53" s="928"/>
      <c r="CT53" s="928"/>
      <c r="CU53" s="928"/>
      <c r="CV53" s="928"/>
      <c r="CW53" s="928"/>
      <c r="CX53" s="928"/>
      <c r="CY53" s="928"/>
      <c r="CZ53" s="928"/>
      <c r="DA53" s="928"/>
      <c r="DB53" s="928"/>
      <c r="DC53" s="928"/>
      <c r="DD53" s="928"/>
      <c r="DE53" s="928"/>
      <c r="DF53" s="928"/>
      <c r="DG53" s="928"/>
      <c r="DH53" s="928"/>
      <c r="DI53" s="928"/>
      <c r="DJ53" s="928"/>
      <c r="DK53" s="928"/>
      <c r="DL53" s="928"/>
      <c r="DM53" s="928"/>
      <c r="DN53" s="928"/>
      <c r="DO53" s="928"/>
      <c r="DP53" s="928"/>
      <c r="DQ53" s="928"/>
      <c r="DR53" s="928"/>
      <c r="DS53" s="928"/>
      <c r="DT53" s="928"/>
      <c r="DU53" s="928"/>
      <c r="DV53" s="928"/>
      <c r="DW53" s="928"/>
      <c r="DX53" s="928"/>
      <c r="DY53" s="928"/>
      <c r="DZ53" s="928"/>
      <c r="EA53" s="928"/>
      <c r="EB53" s="928"/>
      <c r="EC53" s="928"/>
      <c r="ED53" s="928"/>
      <c r="EE53" s="928"/>
      <c r="EF53" s="928"/>
      <c r="EG53" s="928"/>
      <c r="EH53" s="928"/>
      <c r="EI53" s="928"/>
      <c r="EJ53" s="928"/>
      <c r="EK53" s="928"/>
      <c r="EL53" s="928"/>
      <c r="EM53" s="928"/>
      <c r="EN53" s="928"/>
      <c r="EO53" s="928"/>
      <c r="EP53" s="928"/>
      <c r="EQ53" s="928"/>
      <c r="ER53" s="928"/>
      <c r="ES53" s="928"/>
      <c r="ET53" s="928"/>
      <c r="EU53" s="928"/>
      <c r="EV53" s="928"/>
      <c r="EW53" s="928"/>
      <c r="EX53" s="928"/>
      <c r="EY53" s="928"/>
      <c r="EZ53" s="928"/>
      <c r="FA53" s="928"/>
      <c r="FB53" s="928"/>
      <c r="FC53" s="928"/>
      <c r="FD53" s="928"/>
      <c r="FE53" s="928"/>
      <c r="FF53" s="928"/>
      <c r="FG53" s="928"/>
      <c r="FH53" s="928"/>
      <c r="FI53" s="928"/>
      <c r="FJ53" s="928"/>
      <c r="FK53" s="928"/>
      <c r="FL53" s="928"/>
      <c r="FM53" s="928"/>
      <c r="FN53" s="928"/>
      <c r="FO53" s="928"/>
      <c r="FP53" s="928"/>
      <c r="FQ53" s="928"/>
      <c r="FR53" s="928"/>
      <c r="FS53" s="928"/>
      <c r="FT53" s="928"/>
      <c r="FU53" s="928"/>
      <c r="FV53" s="928"/>
      <c r="FW53" s="928"/>
      <c r="FX53" s="928"/>
      <c r="FY53" s="928"/>
      <c r="FZ53" s="928"/>
      <c r="GA53" s="928"/>
      <c r="GB53" s="928"/>
      <c r="GC53" s="928"/>
      <c r="GD53" s="928"/>
      <c r="GE53" s="928"/>
      <c r="GF53" s="928"/>
      <c r="GG53" s="928"/>
      <c r="GH53" s="928"/>
      <c r="GI53" s="928"/>
      <c r="GJ53" s="928"/>
      <c r="GK53" s="928"/>
      <c r="GL53" s="928"/>
      <c r="GM53" s="928"/>
      <c r="GN53" s="928"/>
      <c r="GO53" s="928"/>
      <c r="GP53" s="928"/>
      <c r="GQ53" s="928"/>
      <c r="GR53" s="928"/>
      <c r="GS53" s="928"/>
      <c r="GT53" s="928"/>
      <c r="GU53" s="928"/>
      <c r="GV53" s="928"/>
      <c r="GW53" s="928"/>
      <c r="GX53" s="928"/>
      <c r="GY53" s="928"/>
      <c r="GZ53" s="928"/>
      <c r="HA53" s="928"/>
      <c r="HB53" s="928"/>
      <c r="HC53" s="928"/>
      <c r="HD53" s="928"/>
      <c r="HE53" s="928"/>
      <c r="HF53" s="928"/>
      <c r="HG53" s="928"/>
      <c r="HH53" s="928"/>
      <c r="HI53" s="928"/>
      <c r="HJ53" s="928"/>
      <c r="HK53" s="928"/>
      <c r="HL53" s="928"/>
      <c r="HM53" s="928"/>
      <c r="HN53" s="928"/>
      <c r="HO53" s="928"/>
      <c r="HP53" s="928"/>
      <c r="HQ53" s="928"/>
      <c r="HR53" s="928"/>
      <c r="HS53" s="928"/>
      <c r="HT53" s="928"/>
      <c r="HU53" s="928"/>
      <c r="HV53" s="928"/>
      <c r="HW53" s="928"/>
      <c r="HX53" s="928"/>
      <c r="HY53" s="928"/>
      <c r="HZ53" s="928"/>
      <c r="IA53" s="928"/>
      <c r="IB53" s="928"/>
      <c r="IC53" s="928"/>
      <c r="ID53" s="928"/>
      <c r="IE53" s="928"/>
      <c r="IF53" s="928"/>
      <c r="IG53" s="928"/>
      <c r="IH53" s="928"/>
      <c r="II53" s="928"/>
      <c r="IJ53" s="928"/>
      <c r="IK53" s="928"/>
      <c r="IL53" s="928"/>
      <c r="IM53" s="928"/>
      <c r="IN53" s="928"/>
      <c r="IO53" s="928"/>
      <c r="IP53" s="928"/>
      <c r="IQ53" s="928"/>
      <c r="IR53" s="928"/>
      <c r="IS53" s="928"/>
      <c r="IT53" s="928"/>
      <c r="IU53" s="928"/>
      <c r="IV53" s="928"/>
      <c r="IW53" s="928"/>
    </row>
    <row r="54" spans="1:257" s="951" customFormat="1" ht="85" thickTop="1">
      <c r="A54" s="2477" t="s">
        <v>1198</v>
      </c>
      <c r="B54" s="1210" t="s">
        <v>1635</v>
      </c>
      <c r="C54" s="1199">
        <v>4</v>
      </c>
      <c r="D54" s="1199">
        <v>4</v>
      </c>
      <c r="E54" s="1200" t="s">
        <v>1398</v>
      </c>
      <c r="F54" s="1201" t="str">
        <f>IF(Scoring!I63="","",Scoring!I63)</f>
        <v/>
      </c>
      <c r="G54" s="1202"/>
      <c r="H54" s="1202"/>
      <c r="I54" s="1203" t="s">
        <v>2097</v>
      </c>
      <c r="J54" s="1208"/>
      <c r="K54" s="1208"/>
      <c r="L54" s="1204"/>
      <c r="M54" s="1205"/>
      <c r="N54" s="928"/>
      <c r="O54" s="949"/>
      <c r="P54" s="948"/>
      <c r="Q54" s="928"/>
      <c r="R54" s="928"/>
      <c r="S54" s="928"/>
      <c r="T54" s="928"/>
      <c r="U54" s="928"/>
      <c r="V54" s="928"/>
      <c r="W54" s="928"/>
      <c r="X54" s="928"/>
      <c r="Y54" s="928"/>
      <c r="Z54" s="928"/>
      <c r="AA54" s="928"/>
      <c r="AB54" s="928"/>
      <c r="AC54" s="928"/>
      <c r="AD54" s="928"/>
      <c r="AE54" s="928"/>
      <c r="AF54" s="928"/>
      <c r="AG54" s="928"/>
      <c r="AH54" s="928"/>
      <c r="AI54" s="928"/>
      <c r="AJ54" s="928"/>
      <c r="AK54" s="928"/>
      <c r="AL54" s="928"/>
      <c r="AM54" s="928"/>
      <c r="AN54" s="928"/>
      <c r="AO54" s="928"/>
      <c r="AP54" s="928"/>
      <c r="AQ54" s="928"/>
      <c r="AR54" s="928"/>
      <c r="AS54" s="928"/>
      <c r="AT54" s="928"/>
      <c r="AU54" s="928"/>
      <c r="AV54" s="928"/>
      <c r="AW54" s="928"/>
      <c r="AX54" s="928"/>
      <c r="AY54" s="928"/>
      <c r="AZ54" s="928"/>
      <c r="BA54" s="928"/>
      <c r="BB54" s="928"/>
      <c r="BC54" s="928"/>
      <c r="BD54" s="928"/>
      <c r="BE54" s="928"/>
      <c r="BF54" s="928"/>
      <c r="BG54" s="928"/>
      <c r="BH54" s="928"/>
      <c r="BI54" s="928"/>
      <c r="BJ54" s="928"/>
      <c r="BK54" s="928"/>
      <c r="BL54" s="928"/>
      <c r="BM54" s="928"/>
      <c r="BN54" s="928"/>
      <c r="BO54" s="928"/>
      <c r="BP54" s="928"/>
      <c r="BQ54" s="928"/>
      <c r="BR54" s="928"/>
      <c r="BS54" s="928"/>
      <c r="BT54" s="928"/>
      <c r="BU54" s="928"/>
      <c r="BV54" s="928"/>
      <c r="BW54" s="928"/>
      <c r="BX54" s="928"/>
      <c r="BY54" s="928"/>
      <c r="BZ54" s="928"/>
      <c r="CA54" s="928"/>
      <c r="CB54" s="928"/>
      <c r="CC54" s="928"/>
      <c r="CD54" s="928"/>
      <c r="CE54" s="928"/>
      <c r="CF54" s="928"/>
      <c r="CG54" s="928"/>
      <c r="CH54" s="928"/>
      <c r="CI54" s="928"/>
      <c r="CJ54" s="928"/>
      <c r="CK54" s="928"/>
      <c r="CL54" s="928"/>
      <c r="CM54" s="928"/>
      <c r="CN54" s="928"/>
      <c r="CO54" s="928"/>
      <c r="CP54" s="928"/>
      <c r="CQ54" s="928"/>
      <c r="CR54" s="928"/>
      <c r="CS54" s="928"/>
      <c r="CT54" s="928"/>
      <c r="CU54" s="928"/>
      <c r="CV54" s="928"/>
      <c r="CW54" s="928"/>
      <c r="CX54" s="928"/>
      <c r="CY54" s="928"/>
      <c r="CZ54" s="928"/>
      <c r="DA54" s="928"/>
      <c r="DB54" s="928"/>
      <c r="DC54" s="928"/>
      <c r="DD54" s="928"/>
      <c r="DE54" s="928"/>
      <c r="DF54" s="928"/>
      <c r="DG54" s="928"/>
      <c r="DH54" s="928"/>
      <c r="DI54" s="928"/>
      <c r="DJ54" s="928"/>
      <c r="DK54" s="928"/>
      <c r="DL54" s="928"/>
      <c r="DM54" s="928"/>
      <c r="DN54" s="928"/>
      <c r="DO54" s="928"/>
      <c r="DP54" s="928"/>
      <c r="DQ54" s="928"/>
      <c r="DR54" s="928"/>
      <c r="DS54" s="928"/>
      <c r="DT54" s="928"/>
      <c r="DU54" s="928"/>
      <c r="DV54" s="928"/>
      <c r="DW54" s="928"/>
      <c r="DX54" s="928"/>
      <c r="DY54" s="928"/>
      <c r="DZ54" s="928"/>
      <c r="EA54" s="928"/>
      <c r="EB54" s="928"/>
      <c r="EC54" s="928"/>
      <c r="ED54" s="928"/>
      <c r="EE54" s="928"/>
      <c r="EF54" s="928"/>
      <c r="EG54" s="928"/>
      <c r="EH54" s="928"/>
      <c r="EI54" s="928"/>
      <c r="EJ54" s="928"/>
      <c r="EK54" s="928"/>
      <c r="EL54" s="928"/>
      <c r="EM54" s="928"/>
      <c r="EN54" s="928"/>
      <c r="EO54" s="928"/>
      <c r="EP54" s="928"/>
      <c r="EQ54" s="928"/>
      <c r="ER54" s="928"/>
      <c r="ES54" s="928"/>
      <c r="ET54" s="928"/>
      <c r="EU54" s="928"/>
      <c r="EV54" s="928"/>
      <c r="EW54" s="928"/>
      <c r="EX54" s="928"/>
      <c r="EY54" s="928"/>
      <c r="EZ54" s="928"/>
      <c r="FA54" s="928"/>
      <c r="FB54" s="928"/>
      <c r="FC54" s="928"/>
      <c r="FD54" s="928"/>
      <c r="FE54" s="928"/>
      <c r="FF54" s="928"/>
      <c r="FG54" s="928"/>
      <c r="FH54" s="928"/>
      <c r="FI54" s="928"/>
      <c r="FJ54" s="928"/>
      <c r="FK54" s="928"/>
      <c r="FL54" s="928"/>
      <c r="FM54" s="928"/>
      <c r="FN54" s="928"/>
      <c r="FO54" s="928"/>
      <c r="FP54" s="928"/>
      <c r="FQ54" s="928"/>
      <c r="FR54" s="928"/>
      <c r="FS54" s="928"/>
      <c r="FT54" s="928"/>
      <c r="FU54" s="928"/>
      <c r="FV54" s="928"/>
      <c r="FW54" s="928"/>
      <c r="FX54" s="928"/>
      <c r="FY54" s="928"/>
      <c r="FZ54" s="928"/>
      <c r="GA54" s="928"/>
      <c r="GB54" s="928"/>
      <c r="GC54" s="928"/>
      <c r="GD54" s="928"/>
      <c r="GE54" s="928"/>
      <c r="GF54" s="928"/>
      <c r="GG54" s="928"/>
      <c r="GH54" s="928"/>
      <c r="GI54" s="928"/>
      <c r="GJ54" s="928"/>
      <c r="GK54" s="928"/>
      <c r="GL54" s="928"/>
      <c r="GM54" s="928"/>
      <c r="GN54" s="928"/>
      <c r="GO54" s="928"/>
      <c r="GP54" s="928"/>
      <c r="GQ54" s="928"/>
      <c r="GR54" s="928"/>
      <c r="GS54" s="928"/>
      <c r="GT54" s="928"/>
      <c r="GU54" s="928"/>
      <c r="GV54" s="928"/>
      <c r="GW54" s="928"/>
      <c r="GX54" s="928"/>
      <c r="GY54" s="928"/>
      <c r="GZ54" s="928"/>
      <c r="HA54" s="928"/>
      <c r="HB54" s="928"/>
      <c r="HC54" s="928"/>
      <c r="HD54" s="928"/>
      <c r="HE54" s="928"/>
      <c r="HF54" s="928"/>
      <c r="HG54" s="928"/>
      <c r="HH54" s="928"/>
      <c r="HI54" s="928"/>
      <c r="HJ54" s="928"/>
      <c r="HK54" s="928"/>
      <c r="HL54" s="928"/>
      <c r="HM54" s="928"/>
      <c r="HN54" s="928"/>
      <c r="HO54" s="928"/>
      <c r="HP54" s="928"/>
      <c r="HQ54" s="928"/>
      <c r="HR54" s="928"/>
      <c r="HS54" s="928"/>
      <c r="HT54" s="928"/>
      <c r="HU54" s="928"/>
      <c r="HV54" s="928"/>
      <c r="HW54" s="928"/>
      <c r="HX54" s="928"/>
      <c r="HY54" s="928"/>
      <c r="HZ54" s="928"/>
      <c r="IA54" s="928"/>
      <c r="IB54" s="928"/>
      <c r="IC54" s="928"/>
      <c r="ID54" s="928"/>
      <c r="IE54" s="928"/>
      <c r="IF54" s="928"/>
      <c r="IG54" s="928"/>
      <c r="IH54" s="928"/>
      <c r="II54" s="928"/>
      <c r="IJ54" s="928"/>
      <c r="IK54" s="928"/>
      <c r="IL54" s="928"/>
      <c r="IM54" s="928"/>
      <c r="IN54" s="928"/>
      <c r="IO54" s="928"/>
      <c r="IP54" s="928"/>
      <c r="IQ54" s="928"/>
      <c r="IR54" s="928"/>
      <c r="IS54" s="928"/>
      <c r="IT54" s="928"/>
      <c r="IU54" s="928"/>
      <c r="IV54" s="928"/>
      <c r="IW54" s="928"/>
    </row>
    <row r="55" spans="1:257" ht="56">
      <c r="A55" s="2479"/>
      <c r="B55" s="1102" t="s">
        <v>1636</v>
      </c>
      <c r="C55" s="985">
        <v>2</v>
      </c>
      <c r="D55" s="985">
        <v>2</v>
      </c>
      <c r="E55" s="986" t="s">
        <v>1399</v>
      </c>
      <c r="F55" s="968" t="str">
        <f>IF(Scoring!I64="","",Scoring!I64)</f>
        <v/>
      </c>
      <c r="G55" s="987"/>
      <c r="H55" s="987"/>
      <c r="I55" s="988" t="s">
        <v>2098</v>
      </c>
      <c r="J55" s="969"/>
      <c r="K55" s="969"/>
      <c r="L55" s="989"/>
      <c r="M55" s="990"/>
      <c r="O55" s="947"/>
      <c r="P55" s="954"/>
    </row>
    <row r="56" spans="1:257" ht="84">
      <c r="A56" s="2479"/>
      <c r="B56" s="1102" t="s">
        <v>1637</v>
      </c>
      <c r="C56" s="985">
        <v>4</v>
      </c>
      <c r="D56" s="985">
        <v>4</v>
      </c>
      <c r="E56" s="986" t="s">
        <v>1400</v>
      </c>
      <c r="F56" s="968" t="str">
        <f>IF(Scoring!I65="","",Scoring!I65)</f>
        <v/>
      </c>
      <c r="G56" s="987"/>
      <c r="H56" s="987"/>
      <c r="I56" s="988" t="s">
        <v>2099</v>
      </c>
      <c r="J56" s="969"/>
      <c r="K56" s="969"/>
      <c r="L56" s="989"/>
      <c r="M56" s="990"/>
      <c r="O56" s="947"/>
      <c r="P56" s="954"/>
    </row>
    <row r="57" spans="1:257" ht="112">
      <c r="A57" s="2479"/>
      <c r="B57" s="1102" t="s">
        <v>1638</v>
      </c>
      <c r="C57" s="985">
        <v>4</v>
      </c>
      <c r="D57" s="985">
        <v>4</v>
      </c>
      <c r="E57" s="986" t="s">
        <v>1401</v>
      </c>
      <c r="F57" s="968" t="str">
        <f>IF(Scoring!I66="","",Scoring!I66)</f>
        <v/>
      </c>
      <c r="G57" s="987"/>
      <c r="H57" s="987"/>
      <c r="I57" s="988" t="s">
        <v>2100</v>
      </c>
      <c r="J57" s="969"/>
      <c r="K57" s="969"/>
      <c r="L57" s="989"/>
      <c r="M57" s="990"/>
      <c r="O57" s="959"/>
      <c r="P57" s="954"/>
    </row>
    <row r="58" spans="1:257" s="951" customFormat="1" ht="113" thickBot="1">
      <c r="A58" s="2480"/>
      <c r="B58" s="1211" t="s">
        <v>1639</v>
      </c>
      <c r="C58" s="997">
        <v>4</v>
      </c>
      <c r="D58" s="997">
        <v>4</v>
      </c>
      <c r="E58" s="998" t="s">
        <v>1402</v>
      </c>
      <c r="F58" s="973" t="str">
        <f>IF(Scoring!I67="","",Scoring!I67)</f>
        <v/>
      </c>
      <c r="G58" s="999"/>
      <c r="H58" s="999"/>
      <c r="I58" s="1000" t="s">
        <v>2102</v>
      </c>
      <c r="J58" s="974">
        <f>COUNT(F54:F58)</f>
        <v>0</v>
      </c>
      <c r="K58" s="974"/>
      <c r="L58" s="1207">
        <f>SUM(F54:F58)</f>
        <v>0</v>
      </c>
      <c r="M58" s="976">
        <f>IF(L58&lt;3,0,1)</f>
        <v>0</v>
      </c>
      <c r="N58" s="928"/>
      <c r="O58" s="942"/>
      <c r="P58" s="956">
        <f>COUNTA(F54:F58)</f>
        <v>5</v>
      </c>
      <c r="Q58" s="928"/>
      <c r="R58" s="928"/>
      <c r="S58" s="928"/>
      <c r="T58" s="928"/>
      <c r="U58" s="928"/>
      <c r="V58" s="928"/>
      <c r="W58" s="928"/>
      <c r="X58" s="928"/>
      <c r="Y58" s="928"/>
      <c r="Z58" s="928"/>
      <c r="AA58" s="928"/>
      <c r="AB58" s="928"/>
      <c r="AC58" s="928"/>
      <c r="AD58" s="928"/>
      <c r="AE58" s="928"/>
      <c r="AF58" s="928"/>
      <c r="AG58" s="928"/>
      <c r="AH58" s="928"/>
      <c r="AI58" s="928"/>
      <c r="AJ58" s="928"/>
      <c r="AK58" s="928"/>
      <c r="AL58" s="928"/>
      <c r="AM58" s="928"/>
      <c r="AN58" s="928"/>
      <c r="AO58" s="928"/>
      <c r="AP58" s="928"/>
      <c r="AQ58" s="928"/>
      <c r="AR58" s="928"/>
      <c r="AS58" s="928"/>
      <c r="AT58" s="928"/>
      <c r="AU58" s="928"/>
      <c r="AV58" s="928"/>
      <c r="AW58" s="928"/>
      <c r="AX58" s="928"/>
      <c r="AY58" s="928"/>
      <c r="AZ58" s="928"/>
      <c r="BA58" s="928"/>
      <c r="BB58" s="928"/>
      <c r="BC58" s="928"/>
      <c r="BD58" s="928"/>
      <c r="BE58" s="928"/>
      <c r="BF58" s="928"/>
      <c r="BG58" s="928"/>
      <c r="BH58" s="928"/>
      <c r="BI58" s="928"/>
      <c r="BJ58" s="928"/>
      <c r="BK58" s="928"/>
      <c r="BL58" s="928"/>
      <c r="BM58" s="928"/>
      <c r="BN58" s="928"/>
      <c r="BO58" s="928"/>
      <c r="BP58" s="928"/>
      <c r="BQ58" s="928"/>
      <c r="BR58" s="928"/>
      <c r="BS58" s="928"/>
      <c r="BT58" s="928"/>
      <c r="BU58" s="928"/>
      <c r="BV58" s="928"/>
      <c r="BW58" s="928"/>
      <c r="BX58" s="928"/>
      <c r="BY58" s="928"/>
      <c r="BZ58" s="928"/>
      <c r="CA58" s="928"/>
      <c r="CB58" s="928"/>
      <c r="CC58" s="928"/>
      <c r="CD58" s="928"/>
      <c r="CE58" s="928"/>
      <c r="CF58" s="928"/>
      <c r="CG58" s="928"/>
      <c r="CH58" s="928"/>
      <c r="CI58" s="928"/>
      <c r="CJ58" s="928"/>
      <c r="CK58" s="928"/>
      <c r="CL58" s="928"/>
      <c r="CM58" s="928"/>
      <c r="CN58" s="928"/>
      <c r="CO58" s="928"/>
      <c r="CP58" s="928"/>
      <c r="CQ58" s="928"/>
      <c r="CR58" s="928"/>
      <c r="CS58" s="928"/>
      <c r="CT58" s="928"/>
      <c r="CU58" s="928"/>
      <c r="CV58" s="928"/>
      <c r="CW58" s="928"/>
      <c r="CX58" s="928"/>
      <c r="CY58" s="928"/>
      <c r="CZ58" s="928"/>
      <c r="DA58" s="928"/>
      <c r="DB58" s="928"/>
      <c r="DC58" s="928"/>
      <c r="DD58" s="928"/>
      <c r="DE58" s="928"/>
      <c r="DF58" s="928"/>
      <c r="DG58" s="928"/>
      <c r="DH58" s="928"/>
      <c r="DI58" s="928"/>
      <c r="DJ58" s="928"/>
      <c r="DK58" s="928"/>
      <c r="DL58" s="928"/>
      <c r="DM58" s="928"/>
      <c r="DN58" s="928"/>
      <c r="DO58" s="928"/>
      <c r="DP58" s="928"/>
      <c r="DQ58" s="928"/>
      <c r="DR58" s="928"/>
      <c r="DS58" s="928"/>
      <c r="DT58" s="928"/>
      <c r="DU58" s="928"/>
      <c r="DV58" s="928"/>
      <c r="DW58" s="928"/>
      <c r="DX58" s="928"/>
      <c r="DY58" s="928"/>
      <c r="DZ58" s="928"/>
      <c r="EA58" s="928"/>
      <c r="EB58" s="928"/>
      <c r="EC58" s="928"/>
      <c r="ED58" s="928"/>
      <c r="EE58" s="928"/>
      <c r="EF58" s="928"/>
      <c r="EG58" s="928"/>
      <c r="EH58" s="928"/>
      <c r="EI58" s="928"/>
      <c r="EJ58" s="928"/>
      <c r="EK58" s="928"/>
      <c r="EL58" s="928"/>
      <c r="EM58" s="928"/>
      <c r="EN58" s="928"/>
      <c r="EO58" s="928"/>
      <c r="EP58" s="928"/>
      <c r="EQ58" s="928"/>
      <c r="ER58" s="928"/>
      <c r="ES58" s="928"/>
      <c r="ET58" s="928"/>
      <c r="EU58" s="928"/>
      <c r="EV58" s="928"/>
      <c r="EW58" s="928"/>
      <c r="EX58" s="928"/>
      <c r="EY58" s="928"/>
      <c r="EZ58" s="928"/>
      <c r="FA58" s="928"/>
      <c r="FB58" s="928"/>
      <c r="FC58" s="928"/>
      <c r="FD58" s="928"/>
      <c r="FE58" s="928"/>
      <c r="FF58" s="928"/>
      <c r="FG58" s="928"/>
      <c r="FH58" s="928"/>
      <c r="FI58" s="928"/>
      <c r="FJ58" s="928"/>
      <c r="FK58" s="928"/>
      <c r="FL58" s="928"/>
      <c r="FM58" s="928"/>
      <c r="FN58" s="928"/>
      <c r="FO58" s="928"/>
      <c r="FP58" s="928"/>
      <c r="FQ58" s="928"/>
      <c r="FR58" s="928"/>
      <c r="FS58" s="928"/>
      <c r="FT58" s="928"/>
      <c r="FU58" s="928"/>
      <c r="FV58" s="928"/>
      <c r="FW58" s="928"/>
      <c r="FX58" s="928"/>
      <c r="FY58" s="928"/>
      <c r="FZ58" s="928"/>
      <c r="GA58" s="928"/>
      <c r="GB58" s="928"/>
      <c r="GC58" s="928"/>
      <c r="GD58" s="928"/>
      <c r="GE58" s="928"/>
      <c r="GF58" s="928"/>
      <c r="GG58" s="928"/>
      <c r="GH58" s="928"/>
      <c r="GI58" s="928"/>
      <c r="GJ58" s="928"/>
      <c r="GK58" s="928"/>
      <c r="GL58" s="928"/>
      <c r="GM58" s="928"/>
      <c r="GN58" s="928"/>
      <c r="GO58" s="928"/>
      <c r="GP58" s="928"/>
      <c r="GQ58" s="928"/>
      <c r="GR58" s="928"/>
      <c r="GS58" s="928"/>
      <c r="GT58" s="928"/>
      <c r="GU58" s="928"/>
      <c r="GV58" s="928"/>
      <c r="GW58" s="928"/>
      <c r="GX58" s="928"/>
      <c r="GY58" s="928"/>
      <c r="GZ58" s="928"/>
      <c r="HA58" s="928"/>
      <c r="HB58" s="928"/>
      <c r="HC58" s="928"/>
      <c r="HD58" s="928"/>
      <c r="HE58" s="928"/>
      <c r="HF58" s="928"/>
      <c r="HG58" s="928"/>
      <c r="HH58" s="928"/>
      <c r="HI58" s="928"/>
      <c r="HJ58" s="928"/>
      <c r="HK58" s="928"/>
      <c r="HL58" s="928"/>
      <c r="HM58" s="928"/>
      <c r="HN58" s="928"/>
      <c r="HO58" s="928"/>
      <c r="HP58" s="928"/>
      <c r="HQ58" s="928"/>
      <c r="HR58" s="928"/>
      <c r="HS58" s="928"/>
      <c r="HT58" s="928"/>
      <c r="HU58" s="928"/>
      <c r="HV58" s="928"/>
      <c r="HW58" s="928"/>
      <c r="HX58" s="928"/>
      <c r="HY58" s="928"/>
      <c r="HZ58" s="928"/>
      <c r="IA58" s="928"/>
      <c r="IB58" s="928"/>
      <c r="IC58" s="928"/>
      <c r="ID58" s="928"/>
      <c r="IE58" s="928"/>
      <c r="IF58" s="928"/>
      <c r="IG58" s="928"/>
      <c r="IH58" s="928"/>
      <c r="II58" s="928"/>
      <c r="IJ58" s="928"/>
      <c r="IK58" s="928"/>
      <c r="IL58" s="928"/>
      <c r="IM58" s="928"/>
      <c r="IN58" s="928"/>
      <c r="IO58" s="928"/>
      <c r="IP58" s="928"/>
      <c r="IQ58" s="928"/>
      <c r="IR58" s="928"/>
      <c r="IS58" s="928"/>
      <c r="IT58" s="928"/>
      <c r="IU58" s="928"/>
      <c r="IV58" s="928"/>
      <c r="IW58" s="928"/>
    </row>
    <row r="59" spans="1:257" s="951" customFormat="1" ht="15" thickTop="1" thickBot="1">
      <c r="A59" s="928"/>
      <c r="B59" s="928"/>
      <c r="C59" s="928"/>
      <c r="D59" s="928"/>
      <c r="E59" s="928"/>
      <c r="F59" s="928"/>
      <c r="G59" s="928"/>
      <c r="H59" s="928"/>
      <c r="I59" s="928"/>
      <c r="J59" s="928"/>
      <c r="K59" s="928"/>
      <c r="L59" s="928"/>
      <c r="M59" s="928"/>
      <c r="N59" s="928"/>
      <c r="O59" s="928"/>
      <c r="P59" s="928"/>
      <c r="Q59" s="928"/>
      <c r="R59" s="928"/>
      <c r="S59" s="928"/>
      <c r="T59" s="928"/>
      <c r="U59" s="928"/>
      <c r="V59" s="928"/>
      <c r="W59" s="928"/>
      <c r="X59" s="928"/>
      <c r="Y59" s="928"/>
      <c r="Z59" s="928"/>
      <c r="AA59" s="928"/>
      <c r="AB59" s="928"/>
      <c r="AC59" s="928"/>
      <c r="AD59" s="928"/>
      <c r="AE59" s="928"/>
      <c r="AF59" s="928"/>
      <c r="AG59" s="928"/>
      <c r="AH59" s="928"/>
      <c r="AI59" s="928"/>
      <c r="AJ59" s="928"/>
      <c r="AK59" s="928"/>
      <c r="AL59" s="928"/>
      <c r="AM59" s="928"/>
      <c r="AN59" s="928"/>
      <c r="AO59" s="928"/>
      <c r="AP59" s="928"/>
      <c r="AQ59" s="928"/>
      <c r="AR59" s="928"/>
      <c r="AS59" s="928"/>
      <c r="AT59" s="928"/>
      <c r="AU59" s="928"/>
      <c r="AV59" s="928"/>
      <c r="AW59" s="928"/>
      <c r="AX59" s="928"/>
      <c r="AY59" s="928"/>
      <c r="AZ59" s="928"/>
      <c r="BA59" s="928"/>
      <c r="BB59" s="928"/>
      <c r="BC59" s="928"/>
      <c r="BD59" s="928"/>
      <c r="BE59" s="928"/>
      <c r="BF59" s="928"/>
      <c r="BG59" s="928"/>
      <c r="BH59" s="928"/>
      <c r="BI59" s="928"/>
      <c r="BJ59" s="928"/>
      <c r="BK59" s="928"/>
      <c r="BL59" s="928"/>
      <c r="BM59" s="928"/>
      <c r="BN59" s="928"/>
      <c r="BO59" s="928"/>
      <c r="BP59" s="928"/>
      <c r="BQ59" s="928"/>
      <c r="BR59" s="928"/>
      <c r="BS59" s="928"/>
      <c r="BT59" s="928"/>
      <c r="BU59" s="928"/>
      <c r="BV59" s="928"/>
      <c r="BW59" s="928"/>
      <c r="BX59" s="928"/>
      <c r="BY59" s="928"/>
      <c r="BZ59" s="928"/>
      <c r="CA59" s="928"/>
      <c r="CB59" s="928"/>
      <c r="CC59" s="928"/>
      <c r="CD59" s="928"/>
      <c r="CE59" s="928"/>
      <c r="CF59" s="928"/>
      <c r="CG59" s="928"/>
      <c r="CH59" s="928"/>
      <c r="CI59" s="928"/>
      <c r="CJ59" s="928"/>
      <c r="CK59" s="928"/>
      <c r="CL59" s="928"/>
      <c r="CM59" s="928"/>
      <c r="CN59" s="928"/>
      <c r="CO59" s="928"/>
      <c r="CP59" s="928"/>
      <c r="CQ59" s="928"/>
      <c r="CR59" s="928"/>
      <c r="CS59" s="928"/>
      <c r="CT59" s="928"/>
      <c r="CU59" s="928"/>
      <c r="CV59" s="928"/>
      <c r="CW59" s="928"/>
      <c r="CX59" s="928"/>
      <c r="CY59" s="928"/>
      <c r="CZ59" s="928"/>
      <c r="DA59" s="928"/>
      <c r="DB59" s="928"/>
      <c r="DC59" s="928"/>
      <c r="DD59" s="928"/>
      <c r="DE59" s="928"/>
      <c r="DF59" s="928"/>
      <c r="DG59" s="928"/>
      <c r="DH59" s="928"/>
      <c r="DI59" s="928"/>
      <c r="DJ59" s="928"/>
      <c r="DK59" s="928"/>
      <c r="DL59" s="928"/>
      <c r="DM59" s="928"/>
      <c r="DN59" s="928"/>
      <c r="DO59" s="928"/>
      <c r="DP59" s="928"/>
      <c r="DQ59" s="928"/>
      <c r="DR59" s="928"/>
      <c r="DS59" s="928"/>
      <c r="DT59" s="928"/>
      <c r="DU59" s="928"/>
      <c r="DV59" s="928"/>
      <c r="DW59" s="928"/>
      <c r="DX59" s="928"/>
      <c r="DY59" s="928"/>
      <c r="DZ59" s="928"/>
      <c r="EA59" s="928"/>
      <c r="EB59" s="928"/>
      <c r="EC59" s="928"/>
      <c r="ED59" s="928"/>
      <c r="EE59" s="928"/>
      <c r="EF59" s="928"/>
      <c r="EG59" s="928"/>
      <c r="EH59" s="928"/>
      <c r="EI59" s="928"/>
      <c r="EJ59" s="928"/>
      <c r="EK59" s="928"/>
      <c r="EL59" s="928"/>
      <c r="EM59" s="928"/>
      <c r="EN59" s="928"/>
      <c r="EO59" s="928"/>
      <c r="EP59" s="928"/>
      <c r="EQ59" s="928"/>
      <c r="ER59" s="928"/>
      <c r="ES59" s="928"/>
      <c r="ET59" s="928"/>
      <c r="EU59" s="928"/>
      <c r="EV59" s="928"/>
      <c r="EW59" s="928"/>
      <c r="EX59" s="928"/>
      <c r="EY59" s="928"/>
      <c r="EZ59" s="928"/>
      <c r="FA59" s="928"/>
      <c r="FB59" s="928"/>
      <c r="FC59" s="928"/>
      <c r="FD59" s="928"/>
      <c r="FE59" s="928"/>
      <c r="FF59" s="928"/>
      <c r="FG59" s="928"/>
      <c r="FH59" s="928"/>
      <c r="FI59" s="928"/>
      <c r="FJ59" s="928"/>
      <c r="FK59" s="928"/>
      <c r="FL59" s="928"/>
      <c r="FM59" s="928"/>
      <c r="FN59" s="928"/>
      <c r="FO59" s="928"/>
      <c r="FP59" s="928"/>
      <c r="FQ59" s="928"/>
      <c r="FR59" s="928"/>
      <c r="FS59" s="928"/>
      <c r="FT59" s="928"/>
      <c r="FU59" s="928"/>
      <c r="FV59" s="928"/>
      <c r="FW59" s="928"/>
      <c r="FX59" s="928"/>
      <c r="FY59" s="928"/>
      <c r="FZ59" s="928"/>
      <c r="GA59" s="928"/>
      <c r="GB59" s="928"/>
      <c r="GC59" s="928"/>
      <c r="GD59" s="928"/>
      <c r="GE59" s="928"/>
      <c r="GF59" s="928"/>
      <c r="GG59" s="928"/>
      <c r="GH59" s="928"/>
      <c r="GI59" s="928"/>
      <c r="GJ59" s="928"/>
      <c r="GK59" s="928"/>
      <c r="GL59" s="928"/>
      <c r="GM59" s="928"/>
      <c r="GN59" s="928"/>
      <c r="GO59" s="928"/>
      <c r="GP59" s="928"/>
      <c r="GQ59" s="928"/>
      <c r="GR59" s="928"/>
      <c r="GS59" s="928"/>
      <c r="GT59" s="928"/>
      <c r="GU59" s="928"/>
      <c r="GV59" s="928"/>
      <c r="GW59" s="928"/>
      <c r="GX59" s="928"/>
      <c r="GY59" s="928"/>
      <c r="GZ59" s="928"/>
      <c r="HA59" s="928"/>
      <c r="HB59" s="928"/>
      <c r="HC59" s="928"/>
      <c r="HD59" s="928"/>
      <c r="HE59" s="928"/>
      <c r="HF59" s="928"/>
      <c r="HG59" s="928"/>
      <c r="HH59" s="928"/>
      <c r="HI59" s="928"/>
      <c r="HJ59" s="928"/>
      <c r="HK59" s="928"/>
      <c r="HL59" s="928"/>
      <c r="HM59" s="928"/>
      <c r="HN59" s="928"/>
      <c r="HO59" s="928"/>
      <c r="HP59" s="928"/>
      <c r="HQ59" s="928"/>
      <c r="HR59" s="928"/>
      <c r="HS59" s="928"/>
      <c r="HT59" s="928"/>
      <c r="HU59" s="928"/>
      <c r="HV59" s="928"/>
      <c r="HW59" s="928"/>
      <c r="HX59" s="928"/>
      <c r="HY59" s="928"/>
      <c r="HZ59" s="928"/>
      <c r="IA59" s="928"/>
      <c r="IB59" s="928"/>
      <c r="IC59" s="928"/>
      <c r="ID59" s="928"/>
      <c r="IE59" s="928"/>
      <c r="IF59" s="928"/>
      <c r="IG59" s="928"/>
      <c r="IH59" s="928"/>
      <c r="II59" s="928"/>
      <c r="IJ59" s="928"/>
      <c r="IK59" s="928"/>
      <c r="IL59" s="928"/>
      <c r="IM59" s="928"/>
      <c r="IN59" s="928"/>
      <c r="IO59" s="928"/>
      <c r="IP59" s="928"/>
      <c r="IQ59" s="928"/>
      <c r="IR59" s="928"/>
      <c r="IS59" s="928"/>
      <c r="IT59" s="928"/>
      <c r="IU59" s="928"/>
      <c r="IV59" s="928"/>
      <c r="IW59" s="928"/>
    </row>
    <row r="60" spans="1:257" s="951" customFormat="1" ht="57" thickTop="1">
      <c r="A60" s="2477" t="s">
        <v>1199</v>
      </c>
      <c r="B60" s="1198" t="s">
        <v>1640</v>
      </c>
      <c r="C60" s="1199">
        <v>3</v>
      </c>
      <c r="D60" s="1199">
        <v>3</v>
      </c>
      <c r="E60" s="1200" t="s">
        <v>1403</v>
      </c>
      <c r="F60" s="1201" t="str">
        <f>IF(Scoring!I69="","",Scoring!I69)</f>
        <v/>
      </c>
      <c r="G60" s="1202"/>
      <c r="H60" s="1202"/>
      <c r="I60" s="1203" t="s">
        <v>2103</v>
      </c>
      <c r="J60" s="1208"/>
      <c r="K60" s="1208"/>
      <c r="L60" s="1204"/>
      <c r="M60" s="1205"/>
      <c r="N60" s="928"/>
      <c r="O60" s="949"/>
      <c r="P60" s="948"/>
      <c r="Q60" s="928"/>
      <c r="R60" s="928"/>
      <c r="S60" s="928"/>
      <c r="T60" s="928"/>
      <c r="U60" s="928"/>
      <c r="V60" s="928"/>
      <c r="W60" s="928"/>
      <c r="X60" s="928"/>
      <c r="Y60" s="928"/>
      <c r="Z60" s="928"/>
      <c r="AA60" s="928"/>
      <c r="AB60" s="928"/>
      <c r="AC60" s="928"/>
      <c r="AD60" s="928"/>
      <c r="AE60" s="928"/>
      <c r="AF60" s="928"/>
      <c r="AG60" s="928"/>
      <c r="AH60" s="928"/>
      <c r="AI60" s="928"/>
      <c r="AJ60" s="928"/>
      <c r="AK60" s="928"/>
      <c r="AL60" s="928"/>
      <c r="AM60" s="928"/>
      <c r="AN60" s="928"/>
      <c r="AO60" s="928"/>
      <c r="AP60" s="928"/>
      <c r="AQ60" s="928"/>
      <c r="AR60" s="928"/>
      <c r="AS60" s="928"/>
      <c r="AT60" s="928"/>
      <c r="AU60" s="928"/>
      <c r="AV60" s="928"/>
      <c r="AW60" s="928"/>
      <c r="AX60" s="928"/>
      <c r="AY60" s="928"/>
      <c r="AZ60" s="928"/>
      <c r="BA60" s="928"/>
      <c r="BB60" s="928"/>
      <c r="BC60" s="928"/>
      <c r="BD60" s="928"/>
      <c r="BE60" s="928"/>
      <c r="BF60" s="928"/>
      <c r="BG60" s="928"/>
      <c r="BH60" s="928"/>
      <c r="BI60" s="928"/>
      <c r="BJ60" s="928"/>
      <c r="BK60" s="928"/>
      <c r="BL60" s="928"/>
      <c r="BM60" s="928"/>
      <c r="BN60" s="928"/>
      <c r="BO60" s="928"/>
      <c r="BP60" s="928"/>
      <c r="BQ60" s="928"/>
      <c r="BR60" s="928"/>
      <c r="BS60" s="928"/>
      <c r="BT60" s="928"/>
      <c r="BU60" s="928"/>
      <c r="BV60" s="928"/>
      <c r="BW60" s="928"/>
      <c r="BX60" s="928"/>
      <c r="BY60" s="928"/>
      <c r="BZ60" s="928"/>
      <c r="CA60" s="928"/>
      <c r="CB60" s="928"/>
      <c r="CC60" s="928"/>
      <c r="CD60" s="928"/>
      <c r="CE60" s="928"/>
      <c r="CF60" s="928"/>
      <c r="CG60" s="928"/>
      <c r="CH60" s="928"/>
      <c r="CI60" s="928"/>
      <c r="CJ60" s="928"/>
      <c r="CK60" s="928"/>
      <c r="CL60" s="928"/>
      <c r="CM60" s="928"/>
      <c r="CN60" s="928"/>
      <c r="CO60" s="928"/>
      <c r="CP60" s="928"/>
      <c r="CQ60" s="928"/>
      <c r="CR60" s="928"/>
      <c r="CS60" s="928"/>
      <c r="CT60" s="928"/>
      <c r="CU60" s="928"/>
      <c r="CV60" s="928"/>
      <c r="CW60" s="928"/>
      <c r="CX60" s="928"/>
      <c r="CY60" s="928"/>
      <c r="CZ60" s="928"/>
      <c r="DA60" s="928"/>
      <c r="DB60" s="928"/>
      <c r="DC60" s="928"/>
      <c r="DD60" s="928"/>
      <c r="DE60" s="928"/>
      <c r="DF60" s="928"/>
      <c r="DG60" s="928"/>
      <c r="DH60" s="928"/>
      <c r="DI60" s="928"/>
      <c r="DJ60" s="928"/>
      <c r="DK60" s="928"/>
      <c r="DL60" s="928"/>
      <c r="DM60" s="928"/>
      <c r="DN60" s="928"/>
      <c r="DO60" s="928"/>
      <c r="DP60" s="928"/>
      <c r="DQ60" s="928"/>
      <c r="DR60" s="928"/>
      <c r="DS60" s="928"/>
      <c r="DT60" s="928"/>
      <c r="DU60" s="928"/>
      <c r="DV60" s="928"/>
      <c r="DW60" s="928"/>
      <c r="DX60" s="928"/>
      <c r="DY60" s="928"/>
      <c r="DZ60" s="928"/>
      <c r="EA60" s="928"/>
      <c r="EB60" s="928"/>
      <c r="EC60" s="928"/>
      <c r="ED60" s="928"/>
      <c r="EE60" s="928"/>
      <c r="EF60" s="928"/>
      <c r="EG60" s="928"/>
      <c r="EH60" s="928"/>
      <c r="EI60" s="928"/>
      <c r="EJ60" s="928"/>
      <c r="EK60" s="928"/>
      <c r="EL60" s="928"/>
      <c r="EM60" s="928"/>
      <c r="EN60" s="928"/>
      <c r="EO60" s="928"/>
      <c r="EP60" s="928"/>
      <c r="EQ60" s="928"/>
      <c r="ER60" s="928"/>
      <c r="ES60" s="928"/>
      <c r="ET60" s="928"/>
      <c r="EU60" s="928"/>
      <c r="EV60" s="928"/>
      <c r="EW60" s="928"/>
      <c r="EX60" s="928"/>
      <c r="EY60" s="928"/>
      <c r="EZ60" s="928"/>
      <c r="FA60" s="928"/>
      <c r="FB60" s="928"/>
      <c r="FC60" s="928"/>
      <c r="FD60" s="928"/>
      <c r="FE60" s="928"/>
      <c r="FF60" s="928"/>
      <c r="FG60" s="928"/>
      <c r="FH60" s="928"/>
      <c r="FI60" s="928"/>
      <c r="FJ60" s="928"/>
      <c r="FK60" s="928"/>
      <c r="FL60" s="928"/>
      <c r="FM60" s="928"/>
      <c r="FN60" s="928"/>
      <c r="FO60" s="928"/>
      <c r="FP60" s="928"/>
      <c r="FQ60" s="928"/>
      <c r="FR60" s="928"/>
      <c r="FS60" s="928"/>
      <c r="FT60" s="928"/>
      <c r="FU60" s="928"/>
      <c r="FV60" s="928"/>
      <c r="FW60" s="928"/>
      <c r="FX60" s="928"/>
      <c r="FY60" s="928"/>
      <c r="FZ60" s="928"/>
      <c r="GA60" s="928"/>
      <c r="GB60" s="928"/>
      <c r="GC60" s="928"/>
      <c r="GD60" s="928"/>
      <c r="GE60" s="928"/>
      <c r="GF60" s="928"/>
      <c r="GG60" s="928"/>
      <c r="GH60" s="928"/>
      <c r="GI60" s="928"/>
      <c r="GJ60" s="928"/>
      <c r="GK60" s="928"/>
      <c r="GL60" s="928"/>
      <c r="GM60" s="928"/>
      <c r="GN60" s="928"/>
      <c r="GO60" s="928"/>
      <c r="GP60" s="928"/>
      <c r="GQ60" s="928"/>
      <c r="GR60" s="928"/>
      <c r="GS60" s="928"/>
      <c r="GT60" s="928"/>
      <c r="GU60" s="928"/>
      <c r="GV60" s="928"/>
      <c r="GW60" s="928"/>
      <c r="GX60" s="928"/>
      <c r="GY60" s="928"/>
      <c r="GZ60" s="928"/>
      <c r="HA60" s="928"/>
      <c r="HB60" s="928"/>
      <c r="HC60" s="928"/>
      <c r="HD60" s="928"/>
      <c r="HE60" s="928"/>
      <c r="HF60" s="928"/>
      <c r="HG60" s="928"/>
      <c r="HH60" s="928"/>
      <c r="HI60" s="928"/>
      <c r="HJ60" s="928"/>
      <c r="HK60" s="928"/>
      <c r="HL60" s="928"/>
      <c r="HM60" s="928"/>
      <c r="HN60" s="928"/>
      <c r="HO60" s="928"/>
      <c r="HP60" s="928"/>
      <c r="HQ60" s="928"/>
      <c r="HR60" s="928"/>
      <c r="HS60" s="928"/>
      <c r="HT60" s="928"/>
      <c r="HU60" s="928"/>
      <c r="HV60" s="928"/>
      <c r="HW60" s="928"/>
      <c r="HX60" s="928"/>
      <c r="HY60" s="928"/>
      <c r="HZ60" s="928"/>
      <c r="IA60" s="928"/>
      <c r="IB60" s="928"/>
      <c r="IC60" s="928"/>
      <c r="ID60" s="928"/>
      <c r="IE60" s="928"/>
      <c r="IF60" s="928"/>
      <c r="IG60" s="928"/>
      <c r="IH60" s="928"/>
      <c r="II60" s="928"/>
      <c r="IJ60" s="928"/>
      <c r="IK60" s="928"/>
      <c r="IL60" s="928"/>
      <c r="IM60" s="928"/>
      <c r="IN60" s="928"/>
      <c r="IO60" s="928"/>
      <c r="IP60" s="928"/>
      <c r="IQ60" s="928"/>
      <c r="IR60" s="928"/>
      <c r="IS60" s="928"/>
      <c r="IT60" s="928"/>
      <c r="IU60" s="928"/>
      <c r="IV60" s="928"/>
      <c r="IW60" s="928"/>
    </row>
    <row r="61" spans="1:257" ht="84">
      <c r="A61" s="2479"/>
      <c r="B61" s="984" t="s">
        <v>1641</v>
      </c>
      <c r="C61" s="985">
        <v>5</v>
      </c>
      <c r="D61" s="985">
        <v>6</v>
      </c>
      <c r="E61" s="986" t="s">
        <v>1404</v>
      </c>
      <c r="F61" s="968" t="str">
        <f>IF(Scoring!I70="","",Scoring!I70)</f>
        <v/>
      </c>
      <c r="G61" s="987"/>
      <c r="H61" s="987"/>
      <c r="I61" s="988" t="s">
        <v>2542</v>
      </c>
      <c r="J61" s="969"/>
      <c r="K61" s="969"/>
      <c r="L61" s="989"/>
      <c r="M61" s="990"/>
      <c r="O61" s="947"/>
      <c r="P61" s="954"/>
    </row>
    <row r="62" spans="1:257" ht="56">
      <c r="A62" s="2479"/>
      <c r="B62" s="984" t="s">
        <v>1642</v>
      </c>
      <c r="C62" s="985">
        <v>5</v>
      </c>
      <c r="D62" s="985">
        <v>5</v>
      </c>
      <c r="E62" s="986" t="s">
        <v>1405</v>
      </c>
      <c r="F62" s="968" t="str">
        <f>IF(Scoring!I71="","",Scoring!I71)</f>
        <v/>
      </c>
      <c r="G62" s="987"/>
      <c r="H62" s="987"/>
      <c r="I62" s="988" t="s">
        <v>2543</v>
      </c>
      <c r="J62" s="969"/>
      <c r="K62" s="969"/>
      <c r="L62" s="989"/>
      <c r="M62" s="990"/>
      <c r="O62" s="947"/>
      <c r="P62" s="954"/>
    </row>
    <row r="63" spans="1:257" ht="42">
      <c r="A63" s="2479"/>
      <c r="B63" s="984" t="s">
        <v>1643</v>
      </c>
      <c r="C63" s="985">
        <v>5</v>
      </c>
      <c r="D63" s="985">
        <v>6</v>
      </c>
      <c r="E63" s="986" t="s">
        <v>1406</v>
      </c>
      <c r="F63" s="968" t="str">
        <f>IF(Scoring!I72="","",Scoring!I72)</f>
        <v/>
      </c>
      <c r="G63" s="987"/>
      <c r="H63" s="987"/>
      <c r="I63" s="988" t="s">
        <v>2106</v>
      </c>
      <c r="J63" s="969"/>
      <c r="K63" s="969"/>
      <c r="L63" s="989"/>
      <c r="M63" s="990"/>
      <c r="O63" s="947"/>
      <c r="P63" s="954"/>
    </row>
    <row r="64" spans="1:257" s="951" customFormat="1" ht="113" thickBot="1">
      <c r="A64" s="2480"/>
      <c r="B64" s="1206" t="s">
        <v>1644</v>
      </c>
      <c r="C64" s="997">
        <v>5</v>
      </c>
      <c r="D64" s="997">
        <v>6</v>
      </c>
      <c r="E64" s="998" t="s">
        <v>1407</v>
      </c>
      <c r="F64" s="973" t="str">
        <f>IF(Scoring!I73="","",Scoring!I73)</f>
        <v/>
      </c>
      <c r="G64" s="999"/>
      <c r="H64" s="999"/>
      <c r="I64" s="1000" t="s">
        <v>2107</v>
      </c>
      <c r="J64" s="974"/>
      <c r="K64" s="974">
        <f>COUNT(F60:F64)</f>
        <v>0</v>
      </c>
      <c r="L64" s="1207">
        <f>SUM(F60:F64)</f>
        <v>0</v>
      </c>
      <c r="M64" s="976">
        <f>IF(L64&lt;3,0,1)</f>
        <v>0</v>
      </c>
      <c r="N64" s="928"/>
      <c r="O64" s="942"/>
      <c r="P64" s="956">
        <f>COUNTA(F60:F64)</f>
        <v>5</v>
      </c>
      <c r="Q64" s="928"/>
      <c r="R64" s="928"/>
      <c r="S64" s="928"/>
      <c r="T64" s="928"/>
      <c r="U64" s="928"/>
      <c r="V64" s="928"/>
      <c r="W64" s="928"/>
      <c r="X64" s="928"/>
      <c r="Y64" s="928"/>
      <c r="Z64" s="928"/>
      <c r="AA64" s="928"/>
      <c r="AB64" s="928"/>
      <c r="AC64" s="928"/>
      <c r="AD64" s="928"/>
      <c r="AE64" s="928"/>
      <c r="AF64" s="928"/>
      <c r="AG64" s="928"/>
      <c r="AH64" s="928"/>
      <c r="AI64" s="928"/>
      <c r="AJ64" s="928"/>
      <c r="AK64" s="928"/>
      <c r="AL64" s="928"/>
      <c r="AM64" s="928"/>
      <c r="AN64" s="928"/>
      <c r="AO64" s="928"/>
      <c r="AP64" s="928"/>
      <c r="AQ64" s="928"/>
      <c r="AR64" s="928"/>
      <c r="AS64" s="928"/>
      <c r="AT64" s="928"/>
      <c r="AU64" s="928"/>
      <c r="AV64" s="928"/>
      <c r="AW64" s="928"/>
      <c r="AX64" s="928"/>
      <c r="AY64" s="928"/>
      <c r="AZ64" s="928"/>
      <c r="BA64" s="928"/>
      <c r="BB64" s="928"/>
      <c r="BC64" s="928"/>
      <c r="BD64" s="928"/>
      <c r="BE64" s="928"/>
      <c r="BF64" s="928"/>
      <c r="BG64" s="928"/>
      <c r="BH64" s="928"/>
      <c r="BI64" s="928"/>
      <c r="BJ64" s="928"/>
      <c r="BK64" s="928"/>
      <c r="BL64" s="928"/>
      <c r="BM64" s="928"/>
      <c r="BN64" s="928"/>
      <c r="BO64" s="928"/>
      <c r="BP64" s="928"/>
      <c r="BQ64" s="928"/>
      <c r="BR64" s="928"/>
      <c r="BS64" s="928"/>
      <c r="BT64" s="928"/>
      <c r="BU64" s="928"/>
      <c r="BV64" s="928"/>
      <c r="BW64" s="928"/>
      <c r="BX64" s="928"/>
      <c r="BY64" s="928"/>
      <c r="BZ64" s="928"/>
      <c r="CA64" s="928"/>
      <c r="CB64" s="928"/>
      <c r="CC64" s="928"/>
      <c r="CD64" s="928"/>
      <c r="CE64" s="928"/>
      <c r="CF64" s="928"/>
      <c r="CG64" s="928"/>
      <c r="CH64" s="928"/>
      <c r="CI64" s="928"/>
      <c r="CJ64" s="928"/>
      <c r="CK64" s="928"/>
      <c r="CL64" s="928"/>
      <c r="CM64" s="928"/>
      <c r="CN64" s="928"/>
      <c r="CO64" s="928"/>
      <c r="CP64" s="928"/>
      <c r="CQ64" s="928"/>
      <c r="CR64" s="928"/>
      <c r="CS64" s="928"/>
      <c r="CT64" s="928"/>
      <c r="CU64" s="928"/>
      <c r="CV64" s="928"/>
      <c r="CW64" s="928"/>
      <c r="CX64" s="928"/>
      <c r="CY64" s="928"/>
      <c r="CZ64" s="928"/>
      <c r="DA64" s="928"/>
      <c r="DB64" s="928"/>
      <c r="DC64" s="928"/>
      <c r="DD64" s="928"/>
      <c r="DE64" s="928"/>
      <c r="DF64" s="928"/>
      <c r="DG64" s="928"/>
      <c r="DH64" s="928"/>
      <c r="DI64" s="928"/>
      <c r="DJ64" s="928"/>
      <c r="DK64" s="928"/>
      <c r="DL64" s="928"/>
      <c r="DM64" s="928"/>
      <c r="DN64" s="928"/>
      <c r="DO64" s="928"/>
      <c r="DP64" s="928"/>
      <c r="DQ64" s="928"/>
      <c r="DR64" s="928"/>
      <c r="DS64" s="928"/>
      <c r="DT64" s="928"/>
      <c r="DU64" s="928"/>
      <c r="DV64" s="928"/>
      <c r="DW64" s="928"/>
      <c r="DX64" s="928"/>
      <c r="DY64" s="928"/>
      <c r="DZ64" s="928"/>
      <c r="EA64" s="928"/>
      <c r="EB64" s="928"/>
      <c r="EC64" s="928"/>
      <c r="ED64" s="928"/>
      <c r="EE64" s="928"/>
      <c r="EF64" s="928"/>
      <c r="EG64" s="928"/>
      <c r="EH64" s="928"/>
      <c r="EI64" s="928"/>
      <c r="EJ64" s="928"/>
      <c r="EK64" s="928"/>
      <c r="EL64" s="928"/>
      <c r="EM64" s="928"/>
      <c r="EN64" s="928"/>
      <c r="EO64" s="928"/>
      <c r="EP64" s="928"/>
      <c r="EQ64" s="928"/>
      <c r="ER64" s="928"/>
      <c r="ES64" s="928"/>
      <c r="ET64" s="928"/>
      <c r="EU64" s="928"/>
      <c r="EV64" s="928"/>
      <c r="EW64" s="928"/>
      <c r="EX64" s="928"/>
      <c r="EY64" s="928"/>
      <c r="EZ64" s="928"/>
      <c r="FA64" s="928"/>
      <c r="FB64" s="928"/>
      <c r="FC64" s="928"/>
      <c r="FD64" s="928"/>
      <c r="FE64" s="928"/>
      <c r="FF64" s="928"/>
      <c r="FG64" s="928"/>
      <c r="FH64" s="928"/>
      <c r="FI64" s="928"/>
      <c r="FJ64" s="928"/>
      <c r="FK64" s="928"/>
      <c r="FL64" s="928"/>
      <c r="FM64" s="928"/>
      <c r="FN64" s="928"/>
      <c r="FO64" s="928"/>
      <c r="FP64" s="928"/>
      <c r="FQ64" s="928"/>
      <c r="FR64" s="928"/>
      <c r="FS64" s="928"/>
      <c r="FT64" s="928"/>
      <c r="FU64" s="928"/>
      <c r="FV64" s="928"/>
      <c r="FW64" s="928"/>
      <c r="FX64" s="928"/>
      <c r="FY64" s="928"/>
      <c r="FZ64" s="928"/>
      <c r="GA64" s="928"/>
      <c r="GB64" s="928"/>
      <c r="GC64" s="928"/>
      <c r="GD64" s="928"/>
      <c r="GE64" s="928"/>
      <c r="GF64" s="928"/>
      <c r="GG64" s="928"/>
      <c r="GH64" s="928"/>
      <c r="GI64" s="928"/>
      <c r="GJ64" s="928"/>
      <c r="GK64" s="928"/>
      <c r="GL64" s="928"/>
      <c r="GM64" s="928"/>
      <c r="GN64" s="928"/>
      <c r="GO64" s="928"/>
      <c r="GP64" s="928"/>
      <c r="GQ64" s="928"/>
      <c r="GR64" s="928"/>
      <c r="GS64" s="928"/>
      <c r="GT64" s="928"/>
      <c r="GU64" s="928"/>
      <c r="GV64" s="928"/>
      <c r="GW64" s="928"/>
      <c r="GX64" s="928"/>
      <c r="GY64" s="928"/>
      <c r="GZ64" s="928"/>
      <c r="HA64" s="928"/>
      <c r="HB64" s="928"/>
      <c r="HC64" s="928"/>
      <c r="HD64" s="928"/>
      <c r="HE64" s="928"/>
      <c r="HF64" s="928"/>
      <c r="HG64" s="928"/>
      <c r="HH64" s="928"/>
      <c r="HI64" s="928"/>
      <c r="HJ64" s="928"/>
      <c r="HK64" s="928"/>
      <c r="HL64" s="928"/>
      <c r="HM64" s="928"/>
      <c r="HN64" s="928"/>
      <c r="HO64" s="928"/>
      <c r="HP64" s="928"/>
      <c r="HQ64" s="928"/>
      <c r="HR64" s="928"/>
      <c r="HS64" s="928"/>
      <c r="HT64" s="928"/>
      <c r="HU64" s="928"/>
      <c r="HV64" s="928"/>
      <c r="HW64" s="928"/>
      <c r="HX64" s="928"/>
      <c r="HY64" s="928"/>
      <c r="HZ64" s="928"/>
      <c r="IA64" s="928"/>
      <c r="IB64" s="928"/>
      <c r="IC64" s="928"/>
      <c r="ID64" s="928"/>
      <c r="IE64" s="928"/>
      <c r="IF64" s="928"/>
      <c r="IG64" s="928"/>
      <c r="IH64" s="928"/>
      <c r="II64" s="928"/>
      <c r="IJ64" s="928"/>
      <c r="IK64" s="928"/>
      <c r="IL64" s="928"/>
      <c r="IM64" s="928"/>
      <c r="IN64" s="928"/>
      <c r="IO64" s="928"/>
      <c r="IP64" s="928"/>
      <c r="IQ64" s="928"/>
      <c r="IR64" s="928"/>
      <c r="IS64" s="928"/>
      <c r="IT64" s="928"/>
      <c r="IU64" s="928"/>
      <c r="IV64" s="928"/>
      <c r="IW64" s="928"/>
    </row>
    <row r="65" spans="1:257" s="951" customFormat="1" ht="15" thickTop="1" thickBot="1">
      <c r="A65" s="928"/>
      <c r="B65" s="928"/>
      <c r="C65" s="928"/>
      <c r="D65" s="928"/>
      <c r="E65" s="928"/>
      <c r="F65" s="928"/>
      <c r="G65" s="928"/>
      <c r="H65" s="928"/>
      <c r="I65" s="928"/>
      <c r="J65" s="928"/>
      <c r="K65" s="928"/>
      <c r="L65" s="928"/>
      <c r="M65" s="928"/>
      <c r="N65" s="928"/>
      <c r="O65" s="928"/>
      <c r="P65" s="928"/>
      <c r="Q65" s="928"/>
      <c r="R65" s="928"/>
      <c r="S65" s="928"/>
      <c r="T65" s="928"/>
      <c r="U65" s="928"/>
      <c r="V65" s="928"/>
      <c r="W65" s="928"/>
      <c r="X65" s="928"/>
      <c r="Y65" s="928"/>
      <c r="Z65" s="928"/>
      <c r="AA65" s="928"/>
      <c r="AB65" s="928"/>
      <c r="AC65" s="928"/>
      <c r="AD65" s="928"/>
      <c r="AE65" s="928"/>
      <c r="AF65" s="928"/>
      <c r="AG65" s="928"/>
      <c r="AH65" s="928"/>
      <c r="AI65" s="928"/>
      <c r="AJ65" s="928"/>
      <c r="AK65" s="928"/>
      <c r="AL65" s="928"/>
      <c r="AM65" s="928"/>
      <c r="AN65" s="928"/>
      <c r="AO65" s="928"/>
      <c r="AP65" s="928"/>
      <c r="AQ65" s="928"/>
      <c r="AR65" s="928"/>
      <c r="AS65" s="928"/>
      <c r="AT65" s="928"/>
      <c r="AU65" s="928"/>
      <c r="AV65" s="928"/>
      <c r="AW65" s="928"/>
      <c r="AX65" s="928"/>
      <c r="AY65" s="928"/>
      <c r="AZ65" s="928"/>
      <c r="BA65" s="928"/>
      <c r="BB65" s="928"/>
      <c r="BC65" s="928"/>
      <c r="BD65" s="928"/>
      <c r="BE65" s="928"/>
      <c r="BF65" s="928"/>
      <c r="BG65" s="928"/>
      <c r="BH65" s="928"/>
      <c r="BI65" s="928"/>
      <c r="BJ65" s="928"/>
      <c r="BK65" s="928"/>
      <c r="BL65" s="928"/>
      <c r="BM65" s="928"/>
      <c r="BN65" s="928"/>
      <c r="BO65" s="928"/>
      <c r="BP65" s="928"/>
      <c r="BQ65" s="928"/>
      <c r="BR65" s="928"/>
      <c r="BS65" s="928"/>
      <c r="BT65" s="928"/>
      <c r="BU65" s="928"/>
      <c r="BV65" s="928"/>
      <c r="BW65" s="928"/>
      <c r="BX65" s="928"/>
      <c r="BY65" s="928"/>
      <c r="BZ65" s="928"/>
      <c r="CA65" s="928"/>
      <c r="CB65" s="928"/>
      <c r="CC65" s="928"/>
      <c r="CD65" s="928"/>
      <c r="CE65" s="928"/>
      <c r="CF65" s="928"/>
      <c r="CG65" s="928"/>
      <c r="CH65" s="928"/>
      <c r="CI65" s="928"/>
      <c r="CJ65" s="928"/>
      <c r="CK65" s="928"/>
      <c r="CL65" s="928"/>
      <c r="CM65" s="928"/>
      <c r="CN65" s="928"/>
      <c r="CO65" s="928"/>
      <c r="CP65" s="928"/>
      <c r="CQ65" s="928"/>
      <c r="CR65" s="928"/>
      <c r="CS65" s="928"/>
      <c r="CT65" s="928"/>
      <c r="CU65" s="928"/>
      <c r="CV65" s="928"/>
      <c r="CW65" s="928"/>
      <c r="CX65" s="928"/>
      <c r="CY65" s="928"/>
      <c r="CZ65" s="928"/>
      <c r="DA65" s="928"/>
      <c r="DB65" s="928"/>
      <c r="DC65" s="928"/>
      <c r="DD65" s="928"/>
      <c r="DE65" s="928"/>
      <c r="DF65" s="928"/>
      <c r="DG65" s="928"/>
      <c r="DH65" s="928"/>
      <c r="DI65" s="928"/>
      <c r="DJ65" s="928"/>
      <c r="DK65" s="928"/>
      <c r="DL65" s="928"/>
      <c r="DM65" s="928"/>
      <c r="DN65" s="928"/>
      <c r="DO65" s="928"/>
      <c r="DP65" s="928"/>
      <c r="DQ65" s="928"/>
      <c r="DR65" s="928"/>
      <c r="DS65" s="928"/>
      <c r="DT65" s="928"/>
      <c r="DU65" s="928"/>
      <c r="DV65" s="928"/>
      <c r="DW65" s="928"/>
      <c r="DX65" s="928"/>
      <c r="DY65" s="928"/>
      <c r="DZ65" s="928"/>
      <c r="EA65" s="928"/>
      <c r="EB65" s="928"/>
      <c r="EC65" s="928"/>
      <c r="ED65" s="928"/>
      <c r="EE65" s="928"/>
      <c r="EF65" s="928"/>
      <c r="EG65" s="928"/>
      <c r="EH65" s="928"/>
      <c r="EI65" s="928"/>
      <c r="EJ65" s="928"/>
      <c r="EK65" s="928"/>
      <c r="EL65" s="928"/>
      <c r="EM65" s="928"/>
      <c r="EN65" s="928"/>
      <c r="EO65" s="928"/>
      <c r="EP65" s="928"/>
      <c r="EQ65" s="928"/>
      <c r="ER65" s="928"/>
      <c r="ES65" s="928"/>
      <c r="ET65" s="928"/>
      <c r="EU65" s="928"/>
      <c r="EV65" s="928"/>
      <c r="EW65" s="928"/>
      <c r="EX65" s="928"/>
      <c r="EY65" s="928"/>
      <c r="EZ65" s="928"/>
      <c r="FA65" s="928"/>
      <c r="FB65" s="928"/>
      <c r="FC65" s="928"/>
      <c r="FD65" s="928"/>
      <c r="FE65" s="928"/>
      <c r="FF65" s="928"/>
      <c r="FG65" s="928"/>
      <c r="FH65" s="928"/>
      <c r="FI65" s="928"/>
      <c r="FJ65" s="928"/>
      <c r="FK65" s="928"/>
      <c r="FL65" s="928"/>
      <c r="FM65" s="928"/>
      <c r="FN65" s="928"/>
      <c r="FO65" s="928"/>
      <c r="FP65" s="928"/>
      <c r="FQ65" s="928"/>
      <c r="FR65" s="928"/>
      <c r="FS65" s="928"/>
      <c r="FT65" s="928"/>
      <c r="FU65" s="928"/>
      <c r="FV65" s="928"/>
      <c r="FW65" s="928"/>
      <c r="FX65" s="928"/>
      <c r="FY65" s="928"/>
      <c r="FZ65" s="928"/>
      <c r="GA65" s="928"/>
      <c r="GB65" s="928"/>
      <c r="GC65" s="928"/>
      <c r="GD65" s="928"/>
      <c r="GE65" s="928"/>
      <c r="GF65" s="928"/>
      <c r="GG65" s="928"/>
      <c r="GH65" s="928"/>
      <c r="GI65" s="928"/>
      <c r="GJ65" s="928"/>
      <c r="GK65" s="928"/>
      <c r="GL65" s="928"/>
      <c r="GM65" s="928"/>
      <c r="GN65" s="928"/>
      <c r="GO65" s="928"/>
      <c r="GP65" s="928"/>
      <c r="GQ65" s="928"/>
      <c r="GR65" s="928"/>
      <c r="GS65" s="928"/>
      <c r="GT65" s="928"/>
      <c r="GU65" s="928"/>
      <c r="GV65" s="928"/>
      <c r="GW65" s="928"/>
      <c r="GX65" s="928"/>
      <c r="GY65" s="928"/>
      <c r="GZ65" s="928"/>
      <c r="HA65" s="928"/>
      <c r="HB65" s="928"/>
      <c r="HC65" s="928"/>
      <c r="HD65" s="928"/>
      <c r="HE65" s="928"/>
      <c r="HF65" s="928"/>
      <c r="HG65" s="928"/>
      <c r="HH65" s="928"/>
      <c r="HI65" s="928"/>
      <c r="HJ65" s="928"/>
      <c r="HK65" s="928"/>
      <c r="HL65" s="928"/>
      <c r="HM65" s="928"/>
      <c r="HN65" s="928"/>
      <c r="HO65" s="928"/>
      <c r="HP65" s="928"/>
      <c r="HQ65" s="928"/>
      <c r="HR65" s="928"/>
      <c r="HS65" s="928"/>
      <c r="HT65" s="928"/>
      <c r="HU65" s="928"/>
      <c r="HV65" s="928"/>
      <c r="HW65" s="928"/>
      <c r="HX65" s="928"/>
      <c r="HY65" s="928"/>
      <c r="HZ65" s="928"/>
      <c r="IA65" s="928"/>
      <c r="IB65" s="928"/>
      <c r="IC65" s="928"/>
      <c r="ID65" s="928"/>
      <c r="IE65" s="928"/>
      <c r="IF65" s="928"/>
      <c r="IG65" s="928"/>
      <c r="IH65" s="928"/>
      <c r="II65" s="928"/>
      <c r="IJ65" s="928"/>
      <c r="IK65" s="928"/>
      <c r="IL65" s="928"/>
      <c r="IM65" s="928"/>
      <c r="IN65" s="928"/>
      <c r="IO65" s="928"/>
      <c r="IP65" s="928"/>
      <c r="IQ65" s="928"/>
      <c r="IR65" s="928"/>
      <c r="IS65" s="928"/>
      <c r="IT65" s="928"/>
      <c r="IU65" s="928"/>
      <c r="IV65" s="928"/>
      <c r="IW65" s="928"/>
    </row>
    <row r="66" spans="1:257" s="951" customFormat="1" ht="85" thickTop="1">
      <c r="A66" s="2477" t="s">
        <v>251</v>
      </c>
      <c r="B66" s="1210" t="s">
        <v>1645</v>
      </c>
      <c r="C66" s="1199">
        <v>4</v>
      </c>
      <c r="D66" s="1199">
        <v>4</v>
      </c>
      <c r="E66" s="1200" t="s">
        <v>1408</v>
      </c>
      <c r="F66" s="1201" t="str">
        <f>IF(Scoring!I75="","",Scoring!I75)</f>
        <v/>
      </c>
      <c r="G66" s="1202"/>
      <c r="H66" s="1202"/>
      <c r="I66" s="1203" t="s">
        <v>2108</v>
      </c>
      <c r="J66" s="1208"/>
      <c r="K66" s="1208"/>
      <c r="L66" s="1204"/>
      <c r="M66" s="1205"/>
      <c r="N66" s="928"/>
      <c r="O66" s="949"/>
      <c r="P66" s="948"/>
      <c r="Q66" s="928"/>
      <c r="R66" s="928"/>
      <c r="S66" s="928"/>
      <c r="T66" s="928"/>
      <c r="U66" s="928"/>
      <c r="V66" s="928"/>
      <c r="W66" s="928"/>
      <c r="X66" s="928"/>
      <c r="Y66" s="928"/>
      <c r="Z66" s="928"/>
      <c r="AA66" s="928"/>
      <c r="AB66" s="928"/>
      <c r="AC66" s="928"/>
      <c r="AD66" s="928"/>
      <c r="AE66" s="928"/>
      <c r="AF66" s="928"/>
      <c r="AG66" s="928"/>
      <c r="AH66" s="928"/>
      <c r="AI66" s="928"/>
      <c r="AJ66" s="928"/>
      <c r="AK66" s="928"/>
      <c r="AL66" s="928"/>
      <c r="AM66" s="928"/>
      <c r="AN66" s="928"/>
      <c r="AO66" s="928"/>
      <c r="AP66" s="928"/>
      <c r="AQ66" s="928"/>
      <c r="AR66" s="928"/>
      <c r="AS66" s="928"/>
      <c r="AT66" s="928"/>
      <c r="AU66" s="928"/>
      <c r="AV66" s="928"/>
      <c r="AW66" s="928"/>
      <c r="AX66" s="928"/>
      <c r="AY66" s="928"/>
      <c r="AZ66" s="928"/>
      <c r="BA66" s="928"/>
      <c r="BB66" s="928"/>
      <c r="BC66" s="928"/>
      <c r="BD66" s="928"/>
      <c r="BE66" s="928"/>
      <c r="BF66" s="928"/>
      <c r="BG66" s="928"/>
      <c r="BH66" s="928"/>
      <c r="BI66" s="928"/>
      <c r="BJ66" s="928"/>
      <c r="BK66" s="928"/>
      <c r="BL66" s="928"/>
      <c r="BM66" s="928"/>
      <c r="BN66" s="928"/>
      <c r="BO66" s="928"/>
      <c r="BP66" s="928"/>
      <c r="BQ66" s="928"/>
      <c r="BR66" s="928"/>
      <c r="BS66" s="928"/>
      <c r="BT66" s="928"/>
      <c r="BU66" s="928"/>
      <c r="BV66" s="928"/>
      <c r="BW66" s="928"/>
      <c r="BX66" s="928"/>
      <c r="BY66" s="928"/>
      <c r="BZ66" s="928"/>
      <c r="CA66" s="928"/>
      <c r="CB66" s="928"/>
      <c r="CC66" s="928"/>
      <c r="CD66" s="928"/>
      <c r="CE66" s="928"/>
      <c r="CF66" s="928"/>
      <c r="CG66" s="928"/>
      <c r="CH66" s="928"/>
      <c r="CI66" s="928"/>
      <c r="CJ66" s="928"/>
      <c r="CK66" s="928"/>
      <c r="CL66" s="928"/>
      <c r="CM66" s="928"/>
      <c r="CN66" s="928"/>
      <c r="CO66" s="928"/>
      <c r="CP66" s="928"/>
      <c r="CQ66" s="928"/>
      <c r="CR66" s="928"/>
      <c r="CS66" s="928"/>
      <c r="CT66" s="928"/>
      <c r="CU66" s="928"/>
      <c r="CV66" s="928"/>
      <c r="CW66" s="928"/>
      <c r="CX66" s="928"/>
      <c r="CY66" s="928"/>
      <c r="CZ66" s="928"/>
      <c r="DA66" s="928"/>
      <c r="DB66" s="928"/>
      <c r="DC66" s="928"/>
      <c r="DD66" s="928"/>
      <c r="DE66" s="928"/>
      <c r="DF66" s="928"/>
      <c r="DG66" s="928"/>
      <c r="DH66" s="928"/>
      <c r="DI66" s="928"/>
      <c r="DJ66" s="928"/>
      <c r="DK66" s="928"/>
      <c r="DL66" s="928"/>
      <c r="DM66" s="928"/>
      <c r="DN66" s="928"/>
      <c r="DO66" s="928"/>
      <c r="DP66" s="928"/>
      <c r="DQ66" s="928"/>
      <c r="DR66" s="928"/>
      <c r="DS66" s="928"/>
      <c r="DT66" s="928"/>
      <c r="DU66" s="928"/>
      <c r="DV66" s="928"/>
      <c r="DW66" s="928"/>
      <c r="DX66" s="928"/>
      <c r="DY66" s="928"/>
      <c r="DZ66" s="928"/>
      <c r="EA66" s="928"/>
      <c r="EB66" s="928"/>
      <c r="EC66" s="928"/>
      <c r="ED66" s="928"/>
      <c r="EE66" s="928"/>
      <c r="EF66" s="928"/>
      <c r="EG66" s="928"/>
      <c r="EH66" s="928"/>
      <c r="EI66" s="928"/>
      <c r="EJ66" s="928"/>
      <c r="EK66" s="928"/>
      <c r="EL66" s="928"/>
      <c r="EM66" s="928"/>
      <c r="EN66" s="928"/>
      <c r="EO66" s="928"/>
      <c r="EP66" s="928"/>
      <c r="EQ66" s="928"/>
      <c r="ER66" s="928"/>
      <c r="ES66" s="928"/>
      <c r="ET66" s="928"/>
      <c r="EU66" s="928"/>
      <c r="EV66" s="928"/>
      <c r="EW66" s="928"/>
      <c r="EX66" s="928"/>
      <c r="EY66" s="928"/>
      <c r="EZ66" s="928"/>
      <c r="FA66" s="928"/>
      <c r="FB66" s="928"/>
      <c r="FC66" s="928"/>
      <c r="FD66" s="928"/>
      <c r="FE66" s="928"/>
      <c r="FF66" s="928"/>
      <c r="FG66" s="928"/>
      <c r="FH66" s="928"/>
      <c r="FI66" s="928"/>
      <c r="FJ66" s="928"/>
      <c r="FK66" s="928"/>
      <c r="FL66" s="928"/>
      <c r="FM66" s="928"/>
      <c r="FN66" s="928"/>
      <c r="FO66" s="928"/>
      <c r="FP66" s="928"/>
      <c r="FQ66" s="928"/>
      <c r="FR66" s="928"/>
      <c r="FS66" s="928"/>
      <c r="FT66" s="928"/>
      <c r="FU66" s="928"/>
      <c r="FV66" s="928"/>
      <c r="FW66" s="928"/>
      <c r="FX66" s="928"/>
      <c r="FY66" s="928"/>
      <c r="FZ66" s="928"/>
      <c r="GA66" s="928"/>
      <c r="GB66" s="928"/>
      <c r="GC66" s="928"/>
      <c r="GD66" s="928"/>
      <c r="GE66" s="928"/>
      <c r="GF66" s="928"/>
      <c r="GG66" s="928"/>
      <c r="GH66" s="928"/>
      <c r="GI66" s="928"/>
      <c r="GJ66" s="928"/>
      <c r="GK66" s="928"/>
      <c r="GL66" s="928"/>
      <c r="GM66" s="928"/>
      <c r="GN66" s="928"/>
      <c r="GO66" s="928"/>
      <c r="GP66" s="928"/>
      <c r="GQ66" s="928"/>
      <c r="GR66" s="928"/>
      <c r="GS66" s="928"/>
      <c r="GT66" s="928"/>
      <c r="GU66" s="928"/>
      <c r="GV66" s="928"/>
      <c r="GW66" s="928"/>
      <c r="GX66" s="928"/>
      <c r="GY66" s="928"/>
      <c r="GZ66" s="928"/>
      <c r="HA66" s="928"/>
      <c r="HB66" s="928"/>
      <c r="HC66" s="928"/>
      <c r="HD66" s="928"/>
      <c r="HE66" s="928"/>
      <c r="HF66" s="928"/>
      <c r="HG66" s="928"/>
      <c r="HH66" s="928"/>
      <c r="HI66" s="928"/>
      <c r="HJ66" s="928"/>
      <c r="HK66" s="928"/>
      <c r="HL66" s="928"/>
      <c r="HM66" s="928"/>
      <c r="HN66" s="928"/>
      <c r="HO66" s="928"/>
      <c r="HP66" s="928"/>
      <c r="HQ66" s="928"/>
      <c r="HR66" s="928"/>
      <c r="HS66" s="928"/>
      <c r="HT66" s="928"/>
      <c r="HU66" s="928"/>
      <c r="HV66" s="928"/>
      <c r="HW66" s="928"/>
      <c r="HX66" s="928"/>
      <c r="HY66" s="928"/>
      <c r="HZ66" s="928"/>
      <c r="IA66" s="928"/>
      <c r="IB66" s="928"/>
      <c r="IC66" s="928"/>
      <c r="ID66" s="928"/>
      <c r="IE66" s="928"/>
      <c r="IF66" s="928"/>
      <c r="IG66" s="928"/>
      <c r="IH66" s="928"/>
      <c r="II66" s="928"/>
      <c r="IJ66" s="928"/>
      <c r="IK66" s="928"/>
      <c r="IL66" s="928"/>
      <c r="IM66" s="928"/>
      <c r="IN66" s="928"/>
      <c r="IO66" s="928"/>
      <c r="IP66" s="928"/>
      <c r="IQ66" s="928"/>
      <c r="IR66" s="928"/>
      <c r="IS66" s="928"/>
      <c r="IT66" s="928"/>
      <c r="IU66" s="928"/>
      <c r="IV66" s="928"/>
      <c r="IW66" s="928"/>
    </row>
    <row r="67" spans="1:257" ht="84">
      <c r="A67" s="2479"/>
      <c r="B67" s="1102" t="s">
        <v>1646</v>
      </c>
      <c r="C67" s="985">
        <v>4</v>
      </c>
      <c r="D67" s="985">
        <v>4</v>
      </c>
      <c r="E67" s="986" t="s">
        <v>1409</v>
      </c>
      <c r="F67" s="968" t="str">
        <f>IF(Scoring!I76="","",Scoring!I76)</f>
        <v/>
      </c>
      <c r="G67" s="987"/>
      <c r="H67" s="987"/>
      <c r="I67" s="988" t="s">
        <v>2109</v>
      </c>
      <c r="J67" s="969"/>
      <c r="K67" s="969"/>
      <c r="L67" s="989"/>
      <c r="M67" s="990"/>
      <c r="O67" s="947"/>
      <c r="P67" s="954"/>
    </row>
    <row r="68" spans="1:257" ht="84">
      <c r="A68" s="2479"/>
      <c r="B68" s="1102" t="s">
        <v>1647</v>
      </c>
      <c r="C68" s="992">
        <v>4</v>
      </c>
      <c r="D68" s="985">
        <v>4</v>
      </c>
      <c r="E68" s="986" t="s">
        <v>1410</v>
      </c>
      <c r="F68" s="968" t="str">
        <f>IF(Scoring!I77="","",Scoring!I77)</f>
        <v/>
      </c>
      <c r="G68" s="987"/>
      <c r="H68" s="987"/>
      <c r="I68" s="988" t="s">
        <v>2544</v>
      </c>
      <c r="J68" s="969"/>
      <c r="K68" s="969"/>
      <c r="L68" s="989"/>
      <c r="M68" s="990"/>
      <c r="O68" s="947"/>
      <c r="P68" s="954"/>
    </row>
    <row r="69" spans="1:257" ht="70">
      <c r="A69" s="2479"/>
      <c r="B69" s="1102" t="s">
        <v>1648</v>
      </c>
      <c r="C69" s="992">
        <v>5</v>
      </c>
      <c r="D69" s="985">
        <v>6</v>
      </c>
      <c r="E69" s="986" t="s">
        <v>1411</v>
      </c>
      <c r="F69" s="968" t="str">
        <f>IF(Scoring!I78="","",Scoring!I78)</f>
        <v/>
      </c>
      <c r="G69" s="987"/>
      <c r="H69" s="987"/>
      <c r="I69" s="988" t="s">
        <v>2112</v>
      </c>
      <c r="J69" s="969"/>
      <c r="K69" s="969"/>
      <c r="L69" s="989"/>
      <c r="M69" s="990"/>
      <c r="O69" s="947"/>
      <c r="P69" s="954"/>
    </row>
    <row r="70" spans="1:257" s="951" customFormat="1" ht="85" thickBot="1">
      <c r="A70" s="2480"/>
      <c r="B70" s="1211" t="s">
        <v>1649</v>
      </c>
      <c r="C70" s="997">
        <v>4</v>
      </c>
      <c r="D70" s="997">
        <v>6</v>
      </c>
      <c r="E70" s="998" t="s">
        <v>1412</v>
      </c>
      <c r="F70" s="973" t="str">
        <f>IF(Scoring!I79="","",Scoring!I79)</f>
        <v/>
      </c>
      <c r="G70" s="999"/>
      <c r="H70" s="999"/>
      <c r="I70" s="1000" t="s">
        <v>2113</v>
      </c>
      <c r="J70" s="974">
        <f>COUNT(F66:F70)</f>
        <v>0</v>
      </c>
      <c r="K70" s="974"/>
      <c r="L70" s="1207">
        <f>SUM(F66:F70)</f>
        <v>0</v>
      </c>
      <c r="M70" s="976">
        <f>IF(L70&lt;3,0,1)</f>
        <v>0</v>
      </c>
      <c r="N70" s="928"/>
      <c r="O70" s="942"/>
      <c r="P70" s="956">
        <f>COUNTA(F66:F70)</f>
        <v>5</v>
      </c>
      <c r="Q70" s="915"/>
      <c r="R70" s="928"/>
      <c r="S70" s="928"/>
      <c r="T70" s="928"/>
      <c r="U70" s="928"/>
      <c r="V70" s="928"/>
      <c r="W70" s="928"/>
      <c r="X70" s="928"/>
      <c r="Y70" s="928"/>
      <c r="Z70" s="928"/>
      <c r="AA70" s="928"/>
      <c r="AB70" s="928"/>
      <c r="AC70" s="928"/>
      <c r="AD70" s="928"/>
      <c r="AE70" s="928"/>
      <c r="AF70" s="928"/>
      <c r="AG70" s="928"/>
      <c r="AH70" s="928"/>
      <c r="AI70" s="928"/>
      <c r="AJ70" s="928"/>
      <c r="AK70" s="928"/>
      <c r="AL70" s="928"/>
      <c r="AM70" s="928"/>
      <c r="AN70" s="928"/>
      <c r="AO70" s="928"/>
      <c r="AP70" s="928"/>
      <c r="AQ70" s="928"/>
      <c r="AR70" s="928"/>
      <c r="AS70" s="928"/>
      <c r="AT70" s="928"/>
      <c r="AU70" s="928"/>
      <c r="AV70" s="928"/>
      <c r="AW70" s="928"/>
      <c r="AX70" s="928"/>
      <c r="AY70" s="928"/>
      <c r="AZ70" s="928"/>
      <c r="BA70" s="928"/>
      <c r="BB70" s="928"/>
      <c r="BC70" s="928"/>
      <c r="BD70" s="928"/>
      <c r="BE70" s="928"/>
      <c r="BF70" s="928"/>
      <c r="BG70" s="928"/>
      <c r="BH70" s="928"/>
      <c r="BI70" s="928"/>
      <c r="BJ70" s="928"/>
      <c r="BK70" s="928"/>
      <c r="BL70" s="928"/>
      <c r="BM70" s="928"/>
      <c r="BN70" s="928"/>
      <c r="BO70" s="928"/>
      <c r="BP70" s="928"/>
      <c r="BQ70" s="928"/>
      <c r="BR70" s="928"/>
      <c r="BS70" s="928"/>
      <c r="BT70" s="928"/>
      <c r="BU70" s="928"/>
      <c r="BV70" s="928"/>
      <c r="BW70" s="928"/>
      <c r="BX70" s="928"/>
      <c r="BY70" s="928"/>
      <c r="BZ70" s="928"/>
      <c r="CA70" s="928"/>
      <c r="CB70" s="928"/>
      <c r="CC70" s="928"/>
      <c r="CD70" s="928"/>
      <c r="CE70" s="928"/>
      <c r="CF70" s="928"/>
      <c r="CG70" s="928"/>
      <c r="CH70" s="928"/>
      <c r="CI70" s="928"/>
      <c r="CJ70" s="928"/>
      <c r="CK70" s="928"/>
      <c r="CL70" s="928"/>
      <c r="CM70" s="928"/>
      <c r="CN70" s="928"/>
      <c r="CO70" s="928"/>
      <c r="CP70" s="928"/>
      <c r="CQ70" s="928"/>
      <c r="CR70" s="928"/>
      <c r="CS70" s="928"/>
      <c r="CT70" s="928"/>
      <c r="CU70" s="928"/>
      <c r="CV70" s="928"/>
      <c r="CW70" s="928"/>
      <c r="CX70" s="928"/>
      <c r="CY70" s="928"/>
      <c r="CZ70" s="928"/>
      <c r="DA70" s="928"/>
      <c r="DB70" s="928"/>
      <c r="DC70" s="928"/>
      <c r="DD70" s="928"/>
      <c r="DE70" s="928"/>
      <c r="DF70" s="928"/>
      <c r="DG70" s="928"/>
      <c r="DH70" s="928"/>
      <c r="DI70" s="928"/>
      <c r="DJ70" s="928"/>
      <c r="DK70" s="928"/>
      <c r="DL70" s="928"/>
      <c r="DM70" s="928"/>
      <c r="DN70" s="928"/>
      <c r="DO70" s="928"/>
      <c r="DP70" s="928"/>
      <c r="DQ70" s="928"/>
      <c r="DR70" s="928"/>
      <c r="DS70" s="928"/>
      <c r="DT70" s="928"/>
      <c r="DU70" s="928"/>
      <c r="DV70" s="928"/>
      <c r="DW70" s="928"/>
      <c r="DX70" s="928"/>
      <c r="DY70" s="928"/>
      <c r="DZ70" s="928"/>
      <c r="EA70" s="928"/>
      <c r="EB70" s="928"/>
      <c r="EC70" s="928"/>
      <c r="ED70" s="928"/>
      <c r="EE70" s="928"/>
      <c r="EF70" s="928"/>
      <c r="EG70" s="928"/>
      <c r="EH70" s="928"/>
      <c r="EI70" s="928"/>
      <c r="EJ70" s="928"/>
      <c r="EK70" s="928"/>
      <c r="EL70" s="928"/>
      <c r="EM70" s="928"/>
      <c r="EN70" s="928"/>
      <c r="EO70" s="928"/>
      <c r="EP70" s="928"/>
      <c r="EQ70" s="928"/>
      <c r="ER70" s="928"/>
      <c r="ES70" s="928"/>
      <c r="ET70" s="928"/>
      <c r="EU70" s="928"/>
      <c r="EV70" s="928"/>
      <c r="EW70" s="928"/>
      <c r="EX70" s="928"/>
      <c r="EY70" s="928"/>
      <c r="EZ70" s="928"/>
      <c r="FA70" s="928"/>
      <c r="FB70" s="928"/>
      <c r="FC70" s="928"/>
      <c r="FD70" s="928"/>
      <c r="FE70" s="928"/>
      <c r="FF70" s="928"/>
      <c r="FG70" s="928"/>
      <c r="FH70" s="928"/>
      <c r="FI70" s="928"/>
      <c r="FJ70" s="928"/>
      <c r="FK70" s="928"/>
      <c r="FL70" s="928"/>
      <c r="FM70" s="928"/>
      <c r="FN70" s="928"/>
      <c r="FO70" s="928"/>
      <c r="FP70" s="928"/>
      <c r="FQ70" s="928"/>
      <c r="FR70" s="928"/>
      <c r="FS70" s="928"/>
      <c r="FT70" s="928"/>
      <c r="FU70" s="928"/>
      <c r="FV70" s="928"/>
      <c r="FW70" s="928"/>
      <c r="FX70" s="928"/>
      <c r="FY70" s="928"/>
      <c r="FZ70" s="928"/>
      <c r="GA70" s="928"/>
      <c r="GB70" s="928"/>
      <c r="GC70" s="928"/>
      <c r="GD70" s="928"/>
      <c r="GE70" s="928"/>
      <c r="GF70" s="928"/>
      <c r="GG70" s="928"/>
      <c r="GH70" s="928"/>
      <c r="GI70" s="928"/>
      <c r="GJ70" s="928"/>
      <c r="GK70" s="928"/>
      <c r="GL70" s="928"/>
      <c r="GM70" s="928"/>
      <c r="GN70" s="928"/>
      <c r="GO70" s="928"/>
      <c r="GP70" s="928"/>
      <c r="GQ70" s="928"/>
      <c r="GR70" s="928"/>
      <c r="GS70" s="928"/>
      <c r="GT70" s="928"/>
      <c r="GU70" s="928"/>
      <c r="GV70" s="928"/>
      <c r="GW70" s="928"/>
      <c r="GX70" s="928"/>
      <c r="GY70" s="928"/>
      <c r="GZ70" s="928"/>
      <c r="HA70" s="928"/>
      <c r="HB70" s="928"/>
      <c r="HC70" s="928"/>
      <c r="HD70" s="928"/>
      <c r="HE70" s="928"/>
      <c r="HF70" s="928"/>
      <c r="HG70" s="928"/>
      <c r="HH70" s="928"/>
      <c r="HI70" s="928"/>
      <c r="HJ70" s="928"/>
      <c r="HK70" s="928"/>
      <c r="HL70" s="928"/>
      <c r="HM70" s="928"/>
      <c r="HN70" s="928"/>
      <c r="HO70" s="928"/>
      <c r="HP70" s="928"/>
      <c r="HQ70" s="928"/>
      <c r="HR70" s="928"/>
      <c r="HS70" s="928"/>
      <c r="HT70" s="928"/>
      <c r="HU70" s="928"/>
      <c r="HV70" s="928"/>
      <c r="HW70" s="928"/>
      <c r="HX70" s="928"/>
      <c r="HY70" s="928"/>
      <c r="HZ70" s="928"/>
      <c r="IA70" s="928"/>
      <c r="IB70" s="928"/>
      <c r="IC70" s="928"/>
      <c r="ID70" s="928"/>
      <c r="IE70" s="928"/>
      <c r="IF70" s="928"/>
      <c r="IG70" s="928"/>
      <c r="IH70" s="928"/>
      <c r="II70" s="928"/>
      <c r="IJ70" s="928"/>
      <c r="IK70" s="928"/>
      <c r="IL70" s="928"/>
      <c r="IM70" s="928"/>
      <c r="IN70" s="928"/>
      <c r="IO70" s="928"/>
      <c r="IP70" s="928"/>
      <c r="IQ70" s="928"/>
      <c r="IR70" s="928"/>
      <c r="IS70" s="928"/>
      <c r="IT70" s="928"/>
      <c r="IU70" s="928"/>
      <c r="IV70" s="928"/>
      <c r="IW70" s="928"/>
    </row>
    <row r="71" spans="1:257" s="951" customFormat="1" ht="15" thickTop="1" thickBot="1">
      <c r="A71" s="915"/>
      <c r="B71" s="915"/>
      <c r="C71" s="915"/>
      <c r="D71" s="915"/>
      <c r="E71" s="915"/>
      <c r="F71" s="915"/>
      <c r="G71" s="915"/>
      <c r="H71" s="915"/>
      <c r="I71" s="915"/>
      <c r="J71" s="915"/>
      <c r="K71" s="915"/>
      <c r="L71" s="915"/>
      <c r="M71" s="915"/>
      <c r="N71" s="915"/>
      <c r="O71" s="915"/>
      <c r="P71" s="915"/>
      <c r="Q71" s="915"/>
      <c r="R71" s="928"/>
      <c r="S71" s="928"/>
      <c r="T71" s="928"/>
      <c r="U71" s="928"/>
      <c r="V71" s="928"/>
      <c r="W71" s="928"/>
      <c r="X71" s="928"/>
      <c r="Y71" s="928"/>
      <c r="Z71" s="928"/>
      <c r="AA71" s="928"/>
      <c r="AB71" s="928"/>
      <c r="AC71" s="928"/>
      <c r="AD71" s="928"/>
      <c r="AE71" s="928"/>
      <c r="AF71" s="928"/>
      <c r="AG71" s="928"/>
      <c r="AH71" s="928"/>
      <c r="AI71" s="928"/>
      <c r="AJ71" s="928"/>
      <c r="AK71" s="928"/>
      <c r="AL71" s="928"/>
      <c r="AM71" s="928"/>
      <c r="AN71" s="928"/>
      <c r="AO71" s="928"/>
      <c r="AP71" s="928"/>
      <c r="AQ71" s="928"/>
      <c r="AR71" s="928"/>
      <c r="AS71" s="928"/>
      <c r="AT71" s="928"/>
      <c r="AU71" s="928"/>
      <c r="AV71" s="928"/>
      <c r="AW71" s="928"/>
      <c r="AX71" s="928"/>
      <c r="AY71" s="928"/>
      <c r="AZ71" s="928"/>
      <c r="BA71" s="928"/>
      <c r="BB71" s="928"/>
      <c r="BC71" s="928"/>
      <c r="BD71" s="928"/>
      <c r="BE71" s="928"/>
      <c r="BF71" s="928"/>
      <c r="BG71" s="928"/>
      <c r="BH71" s="928"/>
      <c r="BI71" s="928"/>
      <c r="BJ71" s="928"/>
      <c r="BK71" s="928"/>
      <c r="BL71" s="928"/>
      <c r="BM71" s="928"/>
      <c r="BN71" s="928"/>
      <c r="BO71" s="928"/>
      <c r="BP71" s="928"/>
      <c r="BQ71" s="928"/>
      <c r="BR71" s="928"/>
      <c r="BS71" s="928"/>
      <c r="BT71" s="928"/>
      <c r="BU71" s="928"/>
      <c r="BV71" s="928"/>
      <c r="BW71" s="928"/>
      <c r="BX71" s="928"/>
      <c r="BY71" s="928"/>
      <c r="BZ71" s="928"/>
      <c r="CA71" s="928"/>
      <c r="CB71" s="928"/>
      <c r="CC71" s="928"/>
      <c r="CD71" s="928"/>
      <c r="CE71" s="928"/>
      <c r="CF71" s="928"/>
      <c r="CG71" s="928"/>
      <c r="CH71" s="928"/>
      <c r="CI71" s="928"/>
      <c r="CJ71" s="928"/>
      <c r="CK71" s="928"/>
      <c r="CL71" s="928"/>
      <c r="CM71" s="928"/>
      <c r="CN71" s="928"/>
      <c r="CO71" s="928"/>
      <c r="CP71" s="928"/>
      <c r="CQ71" s="928"/>
      <c r="CR71" s="928"/>
      <c r="CS71" s="928"/>
      <c r="CT71" s="928"/>
      <c r="CU71" s="928"/>
      <c r="CV71" s="928"/>
      <c r="CW71" s="928"/>
      <c r="CX71" s="928"/>
      <c r="CY71" s="928"/>
      <c r="CZ71" s="928"/>
      <c r="DA71" s="928"/>
      <c r="DB71" s="928"/>
      <c r="DC71" s="928"/>
      <c r="DD71" s="928"/>
      <c r="DE71" s="928"/>
      <c r="DF71" s="928"/>
      <c r="DG71" s="928"/>
      <c r="DH71" s="928"/>
      <c r="DI71" s="928"/>
      <c r="DJ71" s="928"/>
      <c r="DK71" s="928"/>
      <c r="DL71" s="928"/>
      <c r="DM71" s="928"/>
      <c r="DN71" s="928"/>
      <c r="DO71" s="928"/>
      <c r="DP71" s="928"/>
      <c r="DQ71" s="928"/>
      <c r="DR71" s="928"/>
      <c r="DS71" s="928"/>
      <c r="DT71" s="928"/>
      <c r="DU71" s="928"/>
      <c r="DV71" s="928"/>
      <c r="DW71" s="928"/>
      <c r="DX71" s="928"/>
      <c r="DY71" s="928"/>
      <c r="DZ71" s="928"/>
      <c r="EA71" s="928"/>
      <c r="EB71" s="928"/>
      <c r="EC71" s="928"/>
      <c r="ED71" s="928"/>
      <c r="EE71" s="928"/>
      <c r="EF71" s="928"/>
      <c r="EG71" s="928"/>
      <c r="EH71" s="928"/>
      <c r="EI71" s="928"/>
      <c r="EJ71" s="928"/>
      <c r="EK71" s="928"/>
      <c r="EL71" s="928"/>
      <c r="EM71" s="928"/>
      <c r="EN71" s="928"/>
      <c r="EO71" s="928"/>
      <c r="EP71" s="928"/>
      <c r="EQ71" s="928"/>
      <c r="ER71" s="928"/>
      <c r="ES71" s="928"/>
      <c r="ET71" s="928"/>
      <c r="EU71" s="928"/>
      <c r="EV71" s="928"/>
      <c r="EW71" s="928"/>
      <c r="EX71" s="928"/>
      <c r="EY71" s="928"/>
      <c r="EZ71" s="928"/>
      <c r="FA71" s="928"/>
      <c r="FB71" s="928"/>
      <c r="FC71" s="928"/>
      <c r="FD71" s="928"/>
      <c r="FE71" s="928"/>
      <c r="FF71" s="928"/>
      <c r="FG71" s="928"/>
      <c r="FH71" s="928"/>
      <c r="FI71" s="928"/>
      <c r="FJ71" s="928"/>
      <c r="FK71" s="928"/>
      <c r="FL71" s="928"/>
      <c r="FM71" s="928"/>
      <c r="FN71" s="928"/>
      <c r="FO71" s="928"/>
      <c r="FP71" s="928"/>
      <c r="FQ71" s="928"/>
      <c r="FR71" s="928"/>
      <c r="FS71" s="928"/>
      <c r="FT71" s="928"/>
      <c r="FU71" s="928"/>
      <c r="FV71" s="928"/>
      <c r="FW71" s="928"/>
      <c r="FX71" s="928"/>
      <c r="FY71" s="928"/>
      <c r="FZ71" s="928"/>
      <c r="GA71" s="928"/>
      <c r="GB71" s="928"/>
      <c r="GC71" s="928"/>
      <c r="GD71" s="928"/>
      <c r="GE71" s="928"/>
      <c r="GF71" s="928"/>
      <c r="GG71" s="928"/>
      <c r="GH71" s="928"/>
      <c r="GI71" s="928"/>
      <c r="GJ71" s="928"/>
      <c r="GK71" s="928"/>
      <c r="GL71" s="928"/>
      <c r="GM71" s="928"/>
      <c r="GN71" s="928"/>
      <c r="GO71" s="928"/>
      <c r="GP71" s="928"/>
      <c r="GQ71" s="928"/>
      <c r="GR71" s="928"/>
      <c r="GS71" s="928"/>
      <c r="GT71" s="928"/>
      <c r="GU71" s="928"/>
      <c r="GV71" s="928"/>
      <c r="GW71" s="928"/>
      <c r="GX71" s="928"/>
      <c r="GY71" s="928"/>
      <c r="GZ71" s="928"/>
      <c r="HA71" s="928"/>
      <c r="HB71" s="928"/>
      <c r="HC71" s="928"/>
      <c r="HD71" s="928"/>
      <c r="HE71" s="928"/>
      <c r="HF71" s="928"/>
      <c r="HG71" s="928"/>
      <c r="HH71" s="928"/>
      <c r="HI71" s="928"/>
      <c r="HJ71" s="928"/>
      <c r="HK71" s="928"/>
      <c r="HL71" s="928"/>
      <c r="HM71" s="928"/>
      <c r="HN71" s="928"/>
      <c r="HO71" s="928"/>
      <c r="HP71" s="928"/>
      <c r="HQ71" s="928"/>
      <c r="HR71" s="928"/>
      <c r="HS71" s="928"/>
      <c r="HT71" s="928"/>
      <c r="HU71" s="928"/>
      <c r="HV71" s="928"/>
      <c r="HW71" s="928"/>
      <c r="HX71" s="928"/>
      <c r="HY71" s="928"/>
      <c r="HZ71" s="928"/>
      <c r="IA71" s="928"/>
      <c r="IB71" s="928"/>
      <c r="IC71" s="928"/>
      <c r="ID71" s="928"/>
      <c r="IE71" s="928"/>
      <c r="IF71" s="928"/>
      <c r="IG71" s="928"/>
      <c r="IH71" s="928"/>
      <c r="II71" s="928"/>
      <c r="IJ71" s="928"/>
      <c r="IK71" s="928"/>
      <c r="IL71" s="928"/>
      <c r="IM71" s="928"/>
      <c r="IN71" s="928"/>
      <c r="IO71" s="928"/>
      <c r="IP71" s="928"/>
      <c r="IQ71" s="928"/>
      <c r="IR71" s="928"/>
      <c r="IS71" s="928"/>
      <c r="IT71" s="928"/>
      <c r="IU71" s="928"/>
      <c r="IV71" s="928"/>
      <c r="IW71" s="928"/>
    </row>
    <row r="72" spans="1:257" s="951" customFormat="1" ht="85" thickTop="1">
      <c r="A72" s="2477" t="s">
        <v>1201</v>
      </c>
      <c r="B72" s="1210" t="s">
        <v>1650</v>
      </c>
      <c r="C72" s="1199">
        <v>5</v>
      </c>
      <c r="D72" s="1199">
        <v>6</v>
      </c>
      <c r="E72" s="1200" t="s">
        <v>1413</v>
      </c>
      <c r="F72" s="1201" t="str">
        <f>IF(Scoring!I81="","",Scoring!I81)</f>
        <v/>
      </c>
      <c r="G72" s="1202"/>
      <c r="H72" s="1202"/>
      <c r="I72" s="1203" t="s">
        <v>2114</v>
      </c>
      <c r="J72" s="1208"/>
      <c r="K72" s="1208"/>
      <c r="L72" s="1204"/>
      <c r="M72" s="1205"/>
      <c r="N72" s="928"/>
      <c r="O72" s="949"/>
      <c r="P72" s="948"/>
      <c r="Q72" s="928"/>
      <c r="R72" s="928"/>
      <c r="S72" s="928"/>
      <c r="T72" s="928"/>
      <c r="U72" s="928"/>
      <c r="V72" s="928"/>
      <c r="W72" s="928"/>
      <c r="X72" s="928"/>
      <c r="Y72" s="928"/>
      <c r="Z72" s="928"/>
      <c r="AA72" s="928"/>
      <c r="AB72" s="928"/>
      <c r="AC72" s="928"/>
      <c r="AD72" s="928"/>
      <c r="AE72" s="928"/>
      <c r="AF72" s="928"/>
      <c r="AG72" s="928"/>
      <c r="AH72" s="928"/>
      <c r="AI72" s="928"/>
      <c r="AJ72" s="928"/>
      <c r="AK72" s="928"/>
      <c r="AL72" s="928"/>
      <c r="AM72" s="928"/>
      <c r="AN72" s="928"/>
      <c r="AO72" s="928"/>
      <c r="AP72" s="928"/>
      <c r="AQ72" s="928"/>
      <c r="AR72" s="928"/>
      <c r="AS72" s="928"/>
      <c r="AT72" s="928"/>
      <c r="AU72" s="928"/>
      <c r="AV72" s="928"/>
      <c r="AW72" s="928"/>
      <c r="AX72" s="928"/>
      <c r="AY72" s="928"/>
      <c r="AZ72" s="928"/>
      <c r="BA72" s="928"/>
      <c r="BB72" s="928"/>
      <c r="BC72" s="928"/>
      <c r="BD72" s="928"/>
      <c r="BE72" s="928"/>
      <c r="BF72" s="928"/>
      <c r="BG72" s="928"/>
      <c r="BH72" s="928"/>
      <c r="BI72" s="928"/>
      <c r="BJ72" s="928"/>
      <c r="BK72" s="928"/>
      <c r="BL72" s="928"/>
      <c r="BM72" s="928"/>
      <c r="BN72" s="928"/>
      <c r="BO72" s="928"/>
      <c r="BP72" s="928"/>
      <c r="BQ72" s="928"/>
      <c r="BR72" s="928"/>
      <c r="BS72" s="928"/>
      <c r="BT72" s="928"/>
      <c r="BU72" s="928"/>
      <c r="BV72" s="928"/>
      <c r="BW72" s="928"/>
      <c r="BX72" s="928"/>
      <c r="BY72" s="928"/>
      <c r="BZ72" s="928"/>
      <c r="CA72" s="928"/>
      <c r="CB72" s="928"/>
      <c r="CC72" s="928"/>
      <c r="CD72" s="928"/>
      <c r="CE72" s="928"/>
      <c r="CF72" s="928"/>
      <c r="CG72" s="928"/>
      <c r="CH72" s="928"/>
      <c r="CI72" s="928"/>
      <c r="CJ72" s="928"/>
      <c r="CK72" s="928"/>
      <c r="CL72" s="928"/>
      <c r="CM72" s="928"/>
      <c r="CN72" s="928"/>
      <c r="CO72" s="928"/>
      <c r="CP72" s="928"/>
      <c r="CQ72" s="928"/>
      <c r="CR72" s="928"/>
      <c r="CS72" s="928"/>
      <c r="CT72" s="928"/>
      <c r="CU72" s="928"/>
      <c r="CV72" s="928"/>
      <c r="CW72" s="928"/>
      <c r="CX72" s="928"/>
      <c r="CY72" s="928"/>
      <c r="CZ72" s="928"/>
      <c r="DA72" s="928"/>
      <c r="DB72" s="928"/>
      <c r="DC72" s="928"/>
      <c r="DD72" s="928"/>
      <c r="DE72" s="928"/>
      <c r="DF72" s="928"/>
      <c r="DG72" s="928"/>
      <c r="DH72" s="928"/>
      <c r="DI72" s="928"/>
      <c r="DJ72" s="928"/>
      <c r="DK72" s="928"/>
      <c r="DL72" s="928"/>
      <c r="DM72" s="928"/>
      <c r="DN72" s="928"/>
      <c r="DO72" s="928"/>
      <c r="DP72" s="928"/>
      <c r="DQ72" s="928"/>
      <c r="DR72" s="928"/>
      <c r="DS72" s="928"/>
      <c r="DT72" s="928"/>
      <c r="DU72" s="928"/>
      <c r="DV72" s="928"/>
      <c r="DW72" s="928"/>
      <c r="DX72" s="928"/>
      <c r="DY72" s="928"/>
      <c r="DZ72" s="928"/>
      <c r="EA72" s="928"/>
      <c r="EB72" s="928"/>
      <c r="EC72" s="928"/>
      <c r="ED72" s="928"/>
      <c r="EE72" s="928"/>
      <c r="EF72" s="928"/>
      <c r="EG72" s="928"/>
      <c r="EH72" s="928"/>
      <c r="EI72" s="928"/>
      <c r="EJ72" s="928"/>
      <c r="EK72" s="928"/>
      <c r="EL72" s="928"/>
      <c r="EM72" s="928"/>
      <c r="EN72" s="928"/>
      <c r="EO72" s="928"/>
      <c r="EP72" s="928"/>
      <c r="EQ72" s="928"/>
      <c r="ER72" s="928"/>
      <c r="ES72" s="928"/>
      <c r="ET72" s="928"/>
      <c r="EU72" s="928"/>
      <c r="EV72" s="928"/>
      <c r="EW72" s="928"/>
      <c r="EX72" s="928"/>
      <c r="EY72" s="928"/>
      <c r="EZ72" s="928"/>
      <c r="FA72" s="928"/>
      <c r="FB72" s="928"/>
      <c r="FC72" s="928"/>
      <c r="FD72" s="928"/>
      <c r="FE72" s="928"/>
      <c r="FF72" s="928"/>
      <c r="FG72" s="928"/>
      <c r="FH72" s="928"/>
      <c r="FI72" s="928"/>
      <c r="FJ72" s="928"/>
      <c r="FK72" s="928"/>
      <c r="FL72" s="928"/>
      <c r="FM72" s="928"/>
      <c r="FN72" s="928"/>
      <c r="FO72" s="928"/>
      <c r="FP72" s="928"/>
      <c r="FQ72" s="928"/>
      <c r="FR72" s="928"/>
      <c r="FS72" s="928"/>
      <c r="FT72" s="928"/>
      <c r="FU72" s="928"/>
      <c r="FV72" s="928"/>
      <c r="FW72" s="928"/>
      <c r="FX72" s="928"/>
      <c r="FY72" s="928"/>
      <c r="FZ72" s="928"/>
      <c r="GA72" s="928"/>
      <c r="GB72" s="928"/>
      <c r="GC72" s="928"/>
      <c r="GD72" s="928"/>
      <c r="GE72" s="928"/>
      <c r="GF72" s="928"/>
      <c r="GG72" s="928"/>
      <c r="GH72" s="928"/>
      <c r="GI72" s="928"/>
      <c r="GJ72" s="928"/>
      <c r="GK72" s="928"/>
      <c r="GL72" s="928"/>
      <c r="GM72" s="928"/>
      <c r="GN72" s="928"/>
      <c r="GO72" s="928"/>
      <c r="GP72" s="928"/>
      <c r="GQ72" s="928"/>
      <c r="GR72" s="928"/>
      <c r="GS72" s="928"/>
      <c r="GT72" s="928"/>
      <c r="GU72" s="928"/>
      <c r="GV72" s="928"/>
      <c r="GW72" s="928"/>
      <c r="GX72" s="928"/>
      <c r="GY72" s="928"/>
      <c r="GZ72" s="928"/>
      <c r="HA72" s="928"/>
      <c r="HB72" s="928"/>
      <c r="HC72" s="928"/>
      <c r="HD72" s="928"/>
      <c r="HE72" s="928"/>
      <c r="HF72" s="928"/>
      <c r="HG72" s="928"/>
      <c r="HH72" s="928"/>
      <c r="HI72" s="928"/>
      <c r="HJ72" s="928"/>
      <c r="HK72" s="928"/>
      <c r="HL72" s="928"/>
      <c r="HM72" s="928"/>
      <c r="HN72" s="928"/>
      <c r="HO72" s="928"/>
      <c r="HP72" s="928"/>
      <c r="HQ72" s="928"/>
      <c r="HR72" s="928"/>
      <c r="HS72" s="928"/>
      <c r="HT72" s="928"/>
      <c r="HU72" s="928"/>
      <c r="HV72" s="928"/>
      <c r="HW72" s="928"/>
      <c r="HX72" s="928"/>
      <c r="HY72" s="928"/>
      <c r="HZ72" s="928"/>
      <c r="IA72" s="928"/>
      <c r="IB72" s="928"/>
      <c r="IC72" s="928"/>
      <c r="ID72" s="928"/>
      <c r="IE72" s="928"/>
      <c r="IF72" s="928"/>
      <c r="IG72" s="928"/>
      <c r="IH72" s="928"/>
      <c r="II72" s="928"/>
      <c r="IJ72" s="928"/>
      <c r="IK72" s="928"/>
      <c r="IL72" s="928"/>
      <c r="IM72" s="928"/>
      <c r="IN72" s="928"/>
      <c r="IO72" s="928"/>
      <c r="IP72" s="928"/>
      <c r="IQ72" s="928"/>
      <c r="IR72" s="928"/>
      <c r="IS72" s="928"/>
      <c r="IT72" s="928"/>
      <c r="IU72" s="928"/>
      <c r="IV72" s="928"/>
      <c r="IW72" s="928"/>
    </row>
    <row r="73" spans="1:257" ht="56">
      <c r="A73" s="2479"/>
      <c r="B73" s="1102" t="s">
        <v>1651</v>
      </c>
      <c r="C73" s="985">
        <v>5</v>
      </c>
      <c r="D73" s="985">
        <v>6</v>
      </c>
      <c r="E73" s="986" t="s">
        <v>1414</v>
      </c>
      <c r="F73" s="968" t="str">
        <f>IF(Scoring!I82="","",Scoring!I82)</f>
        <v/>
      </c>
      <c r="G73" s="987"/>
      <c r="H73" s="987"/>
      <c r="I73" s="988" t="s">
        <v>2115</v>
      </c>
      <c r="J73" s="969"/>
      <c r="K73" s="969"/>
      <c r="L73" s="989"/>
      <c r="M73" s="990"/>
      <c r="O73" s="947"/>
      <c r="P73" s="954"/>
    </row>
    <row r="74" spans="1:257" ht="56">
      <c r="A74" s="2479"/>
      <c r="B74" s="1102" t="s">
        <v>1652</v>
      </c>
      <c r="C74" s="985">
        <v>5</v>
      </c>
      <c r="D74" s="985">
        <v>6</v>
      </c>
      <c r="E74" s="986" t="s">
        <v>1415</v>
      </c>
      <c r="F74" s="968" t="str">
        <f>IF(Scoring!I83="","",Scoring!I83)</f>
        <v/>
      </c>
      <c r="G74" s="987"/>
      <c r="H74" s="987"/>
      <c r="I74" s="988" t="s">
        <v>2116</v>
      </c>
      <c r="J74" s="969"/>
      <c r="K74" s="969"/>
      <c r="L74" s="989"/>
      <c r="M74" s="990"/>
      <c r="O74" s="947"/>
      <c r="P74" s="954"/>
    </row>
    <row r="75" spans="1:257" s="951" customFormat="1" ht="71" thickBot="1">
      <c r="A75" s="2480"/>
      <c r="B75" s="1211" t="s">
        <v>1653</v>
      </c>
      <c r="C75" s="997">
        <v>4</v>
      </c>
      <c r="D75" s="997">
        <v>6</v>
      </c>
      <c r="E75" s="998" t="s">
        <v>1416</v>
      </c>
      <c r="F75" s="973" t="str">
        <f>IF(Scoring!I84="","",Scoring!I84)</f>
        <v/>
      </c>
      <c r="G75" s="999"/>
      <c r="H75" s="999"/>
      <c r="I75" s="1000" t="s">
        <v>2117</v>
      </c>
      <c r="J75" s="974">
        <f>COUNT(F72:F75)</f>
        <v>0</v>
      </c>
      <c r="K75" s="974"/>
      <c r="L75" s="1207">
        <f>SUM(F72:F75)</f>
        <v>0</v>
      </c>
      <c r="M75" s="976">
        <f>IF(L75&lt;2,0,1)</f>
        <v>0</v>
      </c>
      <c r="N75" s="928"/>
      <c r="O75" s="942"/>
      <c r="P75" s="956">
        <f>COUNTA(F72:F75)</f>
        <v>4</v>
      </c>
      <c r="Q75" s="928"/>
      <c r="R75" s="928"/>
      <c r="S75" s="928"/>
      <c r="T75" s="928"/>
      <c r="U75" s="928"/>
      <c r="V75" s="928"/>
      <c r="W75" s="928"/>
      <c r="X75" s="928"/>
      <c r="Y75" s="928"/>
      <c r="Z75" s="928"/>
      <c r="AA75" s="928"/>
      <c r="AB75" s="928"/>
      <c r="AC75" s="928"/>
      <c r="AD75" s="928"/>
      <c r="AE75" s="928"/>
      <c r="AF75" s="928"/>
      <c r="AG75" s="928"/>
      <c r="AH75" s="928"/>
      <c r="AI75" s="928"/>
      <c r="AJ75" s="928"/>
      <c r="AK75" s="928"/>
      <c r="AL75" s="928"/>
      <c r="AM75" s="928"/>
      <c r="AN75" s="928"/>
      <c r="AO75" s="928"/>
      <c r="AP75" s="928"/>
      <c r="AQ75" s="928"/>
      <c r="AR75" s="928"/>
      <c r="AS75" s="928"/>
      <c r="AT75" s="928"/>
      <c r="AU75" s="928"/>
      <c r="AV75" s="928"/>
      <c r="AW75" s="928"/>
      <c r="AX75" s="928"/>
      <c r="AY75" s="928"/>
      <c r="AZ75" s="928"/>
      <c r="BA75" s="928"/>
      <c r="BB75" s="928"/>
      <c r="BC75" s="928"/>
      <c r="BD75" s="928"/>
      <c r="BE75" s="928"/>
      <c r="BF75" s="928"/>
      <c r="BG75" s="928"/>
      <c r="BH75" s="928"/>
      <c r="BI75" s="928"/>
      <c r="BJ75" s="928"/>
      <c r="BK75" s="928"/>
      <c r="BL75" s="928"/>
      <c r="BM75" s="928"/>
      <c r="BN75" s="928"/>
      <c r="BO75" s="928"/>
      <c r="BP75" s="928"/>
      <c r="BQ75" s="928"/>
      <c r="BR75" s="928"/>
      <c r="BS75" s="928"/>
      <c r="BT75" s="928"/>
      <c r="BU75" s="928"/>
      <c r="BV75" s="928"/>
      <c r="BW75" s="928"/>
      <c r="BX75" s="928"/>
      <c r="BY75" s="928"/>
      <c r="BZ75" s="928"/>
      <c r="CA75" s="928"/>
      <c r="CB75" s="928"/>
      <c r="CC75" s="928"/>
      <c r="CD75" s="928"/>
      <c r="CE75" s="928"/>
      <c r="CF75" s="928"/>
      <c r="CG75" s="928"/>
      <c r="CH75" s="928"/>
      <c r="CI75" s="928"/>
      <c r="CJ75" s="928"/>
      <c r="CK75" s="928"/>
      <c r="CL75" s="928"/>
      <c r="CM75" s="928"/>
      <c r="CN75" s="928"/>
      <c r="CO75" s="928"/>
      <c r="CP75" s="928"/>
      <c r="CQ75" s="928"/>
      <c r="CR75" s="928"/>
      <c r="CS75" s="928"/>
      <c r="CT75" s="928"/>
      <c r="CU75" s="928"/>
      <c r="CV75" s="928"/>
      <c r="CW75" s="928"/>
      <c r="CX75" s="928"/>
      <c r="CY75" s="928"/>
      <c r="CZ75" s="928"/>
      <c r="DA75" s="928"/>
      <c r="DB75" s="928"/>
      <c r="DC75" s="928"/>
      <c r="DD75" s="928"/>
      <c r="DE75" s="928"/>
      <c r="DF75" s="928"/>
      <c r="DG75" s="928"/>
      <c r="DH75" s="928"/>
      <c r="DI75" s="928"/>
      <c r="DJ75" s="928"/>
      <c r="DK75" s="928"/>
      <c r="DL75" s="928"/>
      <c r="DM75" s="928"/>
      <c r="DN75" s="928"/>
      <c r="DO75" s="928"/>
      <c r="DP75" s="928"/>
      <c r="DQ75" s="928"/>
      <c r="DR75" s="928"/>
      <c r="DS75" s="928"/>
      <c r="DT75" s="928"/>
      <c r="DU75" s="928"/>
      <c r="DV75" s="928"/>
      <c r="DW75" s="928"/>
      <c r="DX75" s="928"/>
      <c r="DY75" s="928"/>
      <c r="DZ75" s="928"/>
      <c r="EA75" s="928"/>
      <c r="EB75" s="928"/>
      <c r="EC75" s="928"/>
      <c r="ED75" s="928"/>
      <c r="EE75" s="928"/>
      <c r="EF75" s="928"/>
      <c r="EG75" s="928"/>
      <c r="EH75" s="928"/>
      <c r="EI75" s="928"/>
      <c r="EJ75" s="928"/>
      <c r="EK75" s="928"/>
      <c r="EL75" s="928"/>
      <c r="EM75" s="928"/>
      <c r="EN75" s="928"/>
      <c r="EO75" s="928"/>
      <c r="EP75" s="928"/>
      <c r="EQ75" s="928"/>
      <c r="ER75" s="928"/>
      <c r="ES75" s="928"/>
      <c r="ET75" s="928"/>
      <c r="EU75" s="928"/>
      <c r="EV75" s="928"/>
      <c r="EW75" s="928"/>
      <c r="EX75" s="928"/>
      <c r="EY75" s="928"/>
      <c r="EZ75" s="928"/>
      <c r="FA75" s="928"/>
      <c r="FB75" s="928"/>
      <c r="FC75" s="928"/>
      <c r="FD75" s="928"/>
      <c r="FE75" s="928"/>
      <c r="FF75" s="928"/>
      <c r="FG75" s="928"/>
      <c r="FH75" s="928"/>
      <c r="FI75" s="928"/>
      <c r="FJ75" s="928"/>
      <c r="FK75" s="928"/>
      <c r="FL75" s="928"/>
      <c r="FM75" s="928"/>
      <c r="FN75" s="928"/>
      <c r="FO75" s="928"/>
      <c r="FP75" s="928"/>
      <c r="FQ75" s="928"/>
      <c r="FR75" s="928"/>
      <c r="FS75" s="928"/>
      <c r="FT75" s="928"/>
      <c r="FU75" s="928"/>
      <c r="FV75" s="928"/>
      <c r="FW75" s="928"/>
      <c r="FX75" s="928"/>
      <c r="FY75" s="928"/>
      <c r="FZ75" s="928"/>
      <c r="GA75" s="928"/>
      <c r="GB75" s="928"/>
      <c r="GC75" s="928"/>
      <c r="GD75" s="928"/>
      <c r="GE75" s="928"/>
      <c r="GF75" s="928"/>
      <c r="GG75" s="928"/>
      <c r="GH75" s="928"/>
      <c r="GI75" s="928"/>
      <c r="GJ75" s="928"/>
      <c r="GK75" s="928"/>
      <c r="GL75" s="928"/>
      <c r="GM75" s="928"/>
      <c r="GN75" s="928"/>
      <c r="GO75" s="928"/>
      <c r="GP75" s="928"/>
      <c r="GQ75" s="928"/>
      <c r="GR75" s="928"/>
      <c r="GS75" s="928"/>
      <c r="GT75" s="928"/>
      <c r="GU75" s="928"/>
      <c r="GV75" s="928"/>
      <c r="GW75" s="928"/>
      <c r="GX75" s="928"/>
      <c r="GY75" s="928"/>
      <c r="GZ75" s="928"/>
      <c r="HA75" s="928"/>
      <c r="HB75" s="928"/>
      <c r="HC75" s="928"/>
      <c r="HD75" s="928"/>
      <c r="HE75" s="928"/>
      <c r="HF75" s="928"/>
      <c r="HG75" s="928"/>
      <c r="HH75" s="928"/>
      <c r="HI75" s="928"/>
      <c r="HJ75" s="928"/>
      <c r="HK75" s="928"/>
      <c r="HL75" s="928"/>
      <c r="HM75" s="928"/>
      <c r="HN75" s="928"/>
      <c r="HO75" s="928"/>
      <c r="HP75" s="928"/>
      <c r="HQ75" s="928"/>
      <c r="HR75" s="928"/>
      <c r="HS75" s="928"/>
      <c r="HT75" s="928"/>
      <c r="HU75" s="928"/>
      <c r="HV75" s="928"/>
      <c r="HW75" s="928"/>
      <c r="HX75" s="928"/>
      <c r="HY75" s="928"/>
      <c r="HZ75" s="928"/>
      <c r="IA75" s="928"/>
      <c r="IB75" s="928"/>
      <c r="IC75" s="928"/>
      <c r="ID75" s="928"/>
      <c r="IE75" s="928"/>
      <c r="IF75" s="928"/>
      <c r="IG75" s="928"/>
      <c r="IH75" s="928"/>
      <c r="II75" s="928"/>
      <c r="IJ75" s="928"/>
      <c r="IK75" s="928"/>
      <c r="IL75" s="928"/>
      <c r="IM75" s="928"/>
      <c r="IN75" s="928"/>
      <c r="IO75" s="928"/>
      <c r="IP75" s="928"/>
      <c r="IQ75" s="928"/>
      <c r="IR75" s="928"/>
      <c r="IS75" s="928"/>
      <c r="IT75" s="928"/>
      <c r="IU75" s="928"/>
      <c r="IV75" s="928"/>
      <c r="IW75" s="928"/>
    </row>
    <row r="76" spans="1:257" s="951" customFormat="1" ht="15" thickTop="1" thickBot="1">
      <c r="A76" s="928"/>
      <c r="B76" s="928"/>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28"/>
      <c r="AF76" s="928"/>
      <c r="AG76" s="928"/>
      <c r="AH76" s="928"/>
      <c r="AI76" s="928"/>
      <c r="AJ76" s="928"/>
      <c r="AK76" s="928"/>
      <c r="AL76" s="928"/>
      <c r="AM76" s="928"/>
      <c r="AN76" s="928"/>
      <c r="AO76" s="928"/>
      <c r="AP76" s="928"/>
      <c r="AQ76" s="928"/>
      <c r="AR76" s="928"/>
      <c r="AS76" s="928"/>
      <c r="AT76" s="928"/>
      <c r="AU76" s="928"/>
      <c r="AV76" s="928"/>
      <c r="AW76" s="928"/>
      <c r="AX76" s="928"/>
      <c r="AY76" s="928"/>
      <c r="AZ76" s="928"/>
      <c r="BA76" s="928"/>
      <c r="BB76" s="928"/>
      <c r="BC76" s="928"/>
      <c r="BD76" s="928"/>
      <c r="BE76" s="928"/>
      <c r="BF76" s="928"/>
      <c r="BG76" s="928"/>
      <c r="BH76" s="928"/>
      <c r="BI76" s="928"/>
      <c r="BJ76" s="928"/>
      <c r="BK76" s="928"/>
      <c r="BL76" s="928"/>
      <c r="BM76" s="928"/>
      <c r="BN76" s="928"/>
      <c r="BO76" s="928"/>
      <c r="BP76" s="928"/>
      <c r="BQ76" s="928"/>
      <c r="BR76" s="928"/>
      <c r="BS76" s="928"/>
      <c r="BT76" s="928"/>
      <c r="BU76" s="928"/>
      <c r="BV76" s="928"/>
      <c r="BW76" s="928"/>
      <c r="BX76" s="928"/>
      <c r="BY76" s="928"/>
      <c r="BZ76" s="928"/>
      <c r="CA76" s="928"/>
      <c r="CB76" s="928"/>
      <c r="CC76" s="928"/>
      <c r="CD76" s="928"/>
      <c r="CE76" s="928"/>
      <c r="CF76" s="928"/>
      <c r="CG76" s="928"/>
      <c r="CH76" s="928"/>
      <c r="CI76" s="928"/>
      <c r="CJ76" s="928"/>
      <c r="CK76" s="928"/>
      <c r="CL76" s="928"/>
      <c r="CM76" s="928"/>
      <c r="CN76" s="928"/>
      <c r="CO76" s="928"/>
      <c r="CP76" s="928"/>
      <c r="CQ76" s="928"/>
      <c r="CR76" s="928"/>
      <c r="CS76" s="928"/>
      <c r="CT76" s="928"/>
      <c r="CU76" s="928"/>
      <c r="CV76" s="928"/>
      <c r="CW76" s="928"/>
      <c r="CX76" s="928"/>
      <c r="CY76" s="928"/>
      <c r="CZ76" s="928"/>
      <c r="DA76" s="928"/>
      <c r="DB76" s="928"/>
      <c r="DC76" s="928"/>
      <c r="DD76" s="928"/>
      <c r="DE76" s="928"/>
      <c r="DF76" s="928"/>
      <c r="DG76" s="928"/>
      <c r="DH76" s="928"/>
      <c r="DI76" s="928"/>
      <c r="DJ76" s="928"/>
      <c r="DK76" s="928"/>
      <c r="DL76" s="928"/>
      <c r="DM76" s="928"/>
      <c r="DN76" s="928"/>
      <c r="DO76" s="928"/>
      <c r="DP76" s="928"/>
      <c r="DQ76" s="928"/>
      <c r="DR76" s="928"/>
      <c r="DS76" s="928"/>
      <c r="DT76" s="928"/>
      <c r="DU76" s="928"/>
      <c r="DV76" s="928"/>
      <c r="DW76" s="928"/>
      <c r="DX76" s="928"/>
      <c r="DY76" s="928"/>
      <c r="DZ76" s="928"/>
      <c r="EA76" s="928"/>
      <c r="EB76" s="928"/>
      <c r="EC76" s="928"/>
      <c r="ED76" s="928"/>
      <c r="EE76" s="928"/>
      <c r="EF76" s="928"/>
      <c r="EG76" s="928"/>
      <c r="EH76" s="928"/>
      <c r="EI76" s="928"/>
      <c r="EJ76" s="928"/>
      <c r="EK76" s="928"/>
      <c r="EL76" s="928"/>
      <c r="EM76" s="928"/>
      <c r="EN76" s="928"/>
      <c r="EO76" s="928"/>
      <c r="EP76" s="928"/>
      <c r="EQ76" s="928"/>
      <c r="ER76" s="928"/>
      <c r="ES76" s="928"/>
      <c r="ET76" s="928"/>
      <c r="EU76" s="928"/>
      <c r="EV76" s="928"/>
      <c r="EW76" s="928"/>
      <c r="EX76" s="928"/>
      <c r="EY76" s="928"/>
      <c r="EZ76" s="928"/>
      <c r="FA76" s="928"/>
      <c r="FB76" s="928"/>
      <c r="FC76" s="928"/>
      <c r="FD76" s="928"/>
      <c r="FE76" s="928"/>
      <c r="FF76" s="928"/>
      <c r="FG76" s="928"/>
      <c r="FH76" s="928"/>
      <c r="FI76" s="928"/>
      <c r="FJ76" s="928"/>
      <c r="FK76" s="928"/>
      <c r="FL76" s="928"/>
      <c r="FM76" s="928"/>
      <c r="FN76" s="928"/>
      <c r="FO76" s="928"/>
      <c r="FP76" s="928"/>
      <c r="FQ76" s="928"/>
      <c r="FR76" s="928"/>
      <c r="FS76" s="928"/>
      <c r="FT76" s="928"/>
      <c r="FU76" s="928"/>
      <c r="FV76" s="928"/>
      <c r="FW76" s="928"/>
      <c r="FX76" s="928"/>
      <c r="FY76" s="928"/>
      <c r="FZ76" s="928"/>
      <c r="GA76" s="928"/>
      <c r="GB76" s="928"/>
      <c r="GC76" s="928"/>
      <c r="GD76" s="928"/>
      <c r="GE76" s="928"/>
      <c r="GF76" s="928"/>
      <c r="GG76" s="928"/>
      <c r="GH76" s="928"/>
      <c r="GI76" s="928"/>
      <c r="GJ76" s="928"/>
      <c r="GK76" s="928"/>
      <c r="GL76" s="928"/>
      <c r="GM76" s="928"/>
      <c r="GN76" s="928"/>
      <c r="GO76" s="928"/>
      <c r="GP76" s="928"/>
      <c r="GQ76" s="928"/>
      <c r="GR76" s="928"/>
      <c r="GS76" s="928"/>
      <c r="GT76" s="928"/>
      <c r="GU76" s="928"/>
      <c r="GV76" s="928"/>
      <c r="GW76" s="928"/>
      <c r="GX76" s="928"/>
      <c r="GY76" s="928"/>
      <c r="GZ76" s="928"/>
      <c r="HA76" s="928"/>
      <c r="HB76" s="928"/>
      <c r="HC76" s="928"/>
      <c r="HD76" s="928"/>
      <c r="HE76" s="928"/>
      <c r="HF76" s="928"/>
      <c r="HG76" s="928"/>
      <c r="HH76" s="928"/>
      <c r="HI76" s="928"/>
      <c r="HJ76" s="928"/>
      <c r="HK76" s="928"/>
      <c r="HL76" s="928"/>
      <c r="HM76" s="928"/>
      <c r="HN76" s="928"/>
      <c r="HO76" s="928"/>
      <c r="HP76" s="928"/>
      <c r="HQ76" s="928"/>
      <c r="HR76" s="928"/>
      <c r="HS76" s="928"/>
      <c r="HT76" s="928"/>
      <c r="HU76" s="928"/>
      <c r="HV76" s="928"/>
      <c r="HW76" s="928"/>
      <c r="HX76" s="928"/>
      <c r="HY76" s="928"/>
      <c r="HZ76" s="928"/>
      <c r="IA76" s="928"/>
      <c r="IB76" s="928"/>
      <c r="IC76" s="928"/>
      <c r="ID76" s="928"/>
      <c r="IE76" s="928"/>
      <c r="IF76" s="928"/>
      <c r="IG76" s="928"/>
      <c r="IH76" s="928"/>
      <c r="II76" s="928"/>
      <c r="IJ76" s="928"/>
      <c r="IK76" s="928"/>
      <c r="IL76" s="928"/>
      <c r="IM76" s="928"/>
      <c r="IN76" s="928"/>
      <c r="IO76" s="928"/>
      <c r="IP76" s="928"/>
      <c r="IQ76" s="928"/>
      <c r="IR76" s="928"/>
      <c r="IS76" s="928"/>
      <c r="IT76" s="928"/>
      <c r="IU76" s="928"/>
      <c r="IV76" s="928"/>
      <c r="IW76" s="928"/>
    </row>
    <row r="77" spans="1:257" s="951" customFormat="1" ht="71" thickTop="1">
      <c r="A77" s="2477" t="s">
        <v>1202</v>
      </c>
      <c r="B77" s="1210" t="s">
        <v>1654</v>
      </c>
      <c r="C77" s="1199">
        <v>4</v>
      </c>
      <c r="D77" s="1199">
        <v>4</v>
      </c>
      <c r="E77" s="1200" t="s">
        <v>1417</v>
      </c>
      <c r="F77" s="1201" t="str">
        <f>IF(Scoring!I86="","",Scoring!I86)</f>
        <v/>
      </c>
      <c r="G77" s="1202"/>
      <c r="H77" s="1202"/>
      <c r="I77" s="1203" t="s">
        <v>2118</v>
      </c>
      <c r="J77" s="1208"/>
      <c r="K77" s="1208"/>
      <c r="L77" s="1204"/>
      <c r="M77" s="1205"/>
      <c r="N77" s="928"/>
      <c r="O77" s="949"/>
      <c r="P77" s="948"/>
      <c r="Q77" s="928"/>
      <c r="R77" s="928"/>
      <c r="S77" s="928"/>
      <c r="T77" s="928"/>
      <c r="U77" s="928"/>
      <c r="V77" s="928"/>
      <c r="W77" s="928"/>
      <c r="X77" s="928"/>
      <c r="Y77" s="928"/>
      <c r="Z77" s="928"/>
      <c r="AA77" s="928"/>
      <c r="AB77" s="928"/>
      <c r="AC77" s="928"/>
      <c r="AD77" s="928"/>
      <c r="AE77" s="928"/>
      <c r="AF77" s="928"/>
      <c r="AG77" s="928"/>
      <c r="AH77" s="928"/>
      <c r="AI77" s="928"/>
      <c r="AJ77" s="928"/>
      <c r="AK77" s="928"/>
      <c r="AL77" s="928"/>
      <c r="AM77" s="928"/>
      <c r="AN77" s="928"/>
      <c r="AO77" s="928"/>
      <c r="AP77" s="928"/>
      <c r="AQ77" s="928"/>
      <c r="AR77" s="928"/>
      <c r="AS77" s="928"/>
      <c r="AT77" s="928"/>
      <c r="AU77" s="928"/>
      <c r="AV77" s="928"/>
      <c r="AW77" s="928"/>
      <c r="AX77" s="928"/>
      <c r="AY77" s="928"/>
      <c r="AZ77" s="928"/>
      <c r="BA77" s="928"/>
      <c r="BB77" s="928"/>
      <c r="BC77" s="928"/>
      <c r="BD77" s="928"/>
      <c r="BE77" s="928"/>
      <c r="BF77" s="928"/>
      <c r="BG77" s="928"/>
      <c r="BH77" s="928"/>
      <c r="BI77" s="928"/>
      <c r="BJ77" s="928"/>
      <c r="BK77" s="928"/>
      <c r="BL77" s="928"/>
      <c r="BM77" s="928"/>
      <c r="BN77" s="928"/>
      <c r="BO77" s="928"/>
      <c r="BP77" s="928"/>
      <c r="BQ77" s="928"/>
      <c r="BR77" s="928"/>
      <c r="BS77" s="928"/>
      <c r="BT77" s="928"/>
      <c r="BU77" s="928"/>
      <c r="BV77" s="928"/>
      <c r="BW77" s="928"/>
      <c r="BX77" s="928"/>
      <c r="BY77" s="928"/>
      <c r="BZ77" s="928"/>
      <c r="CA77" s="928"/>
      <c r="CB77" s="928"/>
      <c r="CC77" s="928"/>
      <c r="CD77" s="928"/>
      <c r="CE77" s="928"/>
      <c r="CF77" s="928"/>
      <c r="CG77" s="928"/>
      <c r="CH77" s="928"/>
      <c r="CI77" s="928"/>
      <c r="CJ77" s="928"/>
      <c r="CK77" s="928"/>
      <c r="CL77" s="928"/>
      <c r="CM77" s="928"/>
      <c r="CN77" s="928"/>
      <c r="CO77" s="928"/>
      <c r="CP77" s="928"/>
      <c r="CQ77" s="928"/>
      <c r="CR77" s="928"/>
      <c r="CS77" s="928"/>
      <c r="CT77" s="928"/>
      <c r="CU77" s="928"/>
      <c r="CV77" s="928"/>
      <c r="CW77" s="928"/>
      <c r="CX77" s="928"/>
      <c r="CY77" s="928"/>
      <c r="CZ77" s="928"/>
      <c r="DA77" s="928"/>
      <c r="DB77" s="928"/>
      <c r="DC77" s="928"/>
      <c r="DD77" s="928"/>
      <c r="DE77" s="928"/>
      <c r="DF77" s="928"/>
      <c r="DG77" s="928"/>
      <c r="DH77" s="928"/>
      <c r="DI77" s="928"/>
      <c r="DJ77" s="928"/>
      <c r="DK77" s="928"/>
      <c r="DL77" s="928"/>
      <c r="DM77" s="928"/>
      <c r="DN77" s="928"/>
      <c r="DO77" s="928"/>
      <c r="DP77" s="928"/>
      <c r="DQ77" s="928"/>
      <c r="DR77" s="928"/>
      <c r="DS77" s="928"/>
      <c r="DT77" s="928"/>
      <c r="DU77" s="928"/>
      <c r="DV77" s="928"/>
      <c r="DW77" s="928"/>
      <c r="DX77" s="928"/>
      <c r="DY77" s="928"/>
      <c r="DZ77" s="928"/>
      <c r="EA77" s="928"/>
      <c r="EB77" s="928"/>
      <c r="EC77" s="928"/>
      <c r="ED77" s="928"/>
      <c r="EE77" s="928"/>
      <c r="EF77" s="928"/>
      <c r="EG77" s="928"/>
      <c r="EH77" s="928"/>
      <c r="EI77" s="928"/>
      <c r="EJ77" s="928"/>
      <c r="EK77" s="928"/>
      <c r="EL77" s="928"/>
      <c r="EM77" s="928"/>
      <c r="EN77" s="928"/>
      <c r="EO77" s="928"/>
      <c r="EP77" s="928"/>
      <c r="EQ77" s="928"/>
      <c r="ER77" s="928"/>
      <c r="ES77" s="928"/>
      <c r="ET77" s="928"/>
      <c r="EU77" s="928"/>
      <c r="EV77" s="928"/>
      <c r="EW77" s="928"/>
      <c r="EX77" s="928"/>
      <c r="EY77" s="928"/>
      <c r="EZ77" s="928"/>
      <c r="FA77" s="928"/>
      <c r="FB77" s="928"/>
      <c r="FC77" s="928"/>
      <c r="FD77" s="928"/>
      <c r="FE77" s="928"/>
      <c r="FF77" s="928"/>
      <c r="FG77" s="928"/>
      <c r="FH77" s="928"/>
      <c r="FI77" s="928"/>
      <c r="FJ77" s="928"/>
      <c r="FK77" s="928"/>
      <c r="FL77" s="928"/>
      <c r="FM77" s="928"/>
      <c r="FN77" s="928"/>
      <c r="FO77" s="928"/>
      <c r="FP77" s="928"/>
      <c r="FQ77" s="928"/>
      <c r="FR77" s="928"/>
      <c r="FS77" s="928"/>
      <c r="FT77" s="928"/>
      <c r="FU77" s="928"/>
      <c r="FV77" s="928"/>
      <c r="FW77" s="928"/>
      <c r="FX77" s="928"/>
      <c r="FY77" s="928"/>
      <c r="FZ77" s="928"/>
      <c r="GA77" s="928"/>
      <c r="GB77" s="928"/>
      <c r="GC77" s="928"/>
      <c r="GD77" s="928"/>
      <c r="GE77" s="928"/>
      <c r="GF77" s="928"/>
      <c r="GG77" s="928"/>
      <c r="GH77" s="928"/>
      <c r="GI77" s="928"/>
      <c r="GJ77" s="928"/>
      <c r="GK77" s="928"/>
      <c r="GL77" s="928"/>
      <c r="GM77" s="928"/>
      <c r="GN77" s="928"/>
      <c r="GO77" s="928"/>
      <c r="GP77" s="928"/>
      <c r="GQ77" s="928"/>
      <c r="GR77" s="928"/>
      <c r="GS77" s="928"/>
      <c r="GT77" s="928"/>
      <c r="GU77" s="928"/>
      <c r="GV77" s="928"/>
      <c r="GW77" s="928"/>
      <c r="GX77" s="928"/>
      <c r="GY77" s="928"/>
      <c r="GZ77" s="928"/>
      <c r="HA77" s="928"/>
      <c r="HB77" s="928"/>
      <c r="HC77" s="928"/>
      <c r="HD77" s="928"/>
      <c r="HE77" s="928"/>
      <c r="HF77" s="928"/>
      <c r="HG77" s="928"/>
      <c r="HH77" s="928"/>
      <c r="HI77" s="928"/>
      <c r="HJ77" s="928"/>
      <c r="HK77" s="928"/>
      <c r="HL77" s="928"/>
      <c r="HM77" s="928"/>
      <c r="HN77" s="928"/>
      <c r="HO77" s="928"/>
      <c r="HP77" s="928"/>
      <c r="HQ77" s="928"/>
      <c r="HR77" s="928"/>
      <c r="HS77" s="928"/>
      <c r="HT77" s="928"/>
      <c r="HU77" s="928"/>
      <c r="HV77" s="928"/>
      <c r="HW77" s="928"/>
      <c r="HX77" s="928"/>
      <c r="HY77" s="928"/>
      <c r="HZ77" s="928"/>
      <c r="IA77" s="928"/>
      <c r="IB77" s="928"/>
      <c r="IC77" s="928"/>
      <c r="ID77" s="928"/>
      <c r="IE77" s="928"/>
      <c r="IF77" s="928"/>
      <c r="IG77" s="928"/>
      <c r="IH77" s="928"/>
      <c r="II77" s="928"/>
      <c r="IJ77" s="928"/>
      <c r="IK77" s="928"/>
      <c r="IL77" s="928"/>
      <c r="IM77" s="928"/>
      <c r="IN77" s="928"/>
      <c r="IO77" s="928"/>
      <c r="IP77" s="928"/>
      <c r="IQ77" s="928"/>
      <c r="IR77" s="928"/>
      <c r="IS77" s="928"/>
      <c r="IT77" s="928"/>
      <c r="IU77" s="928"/>
      <c r="IV77" s="928"/>
      <c r="IW77" s="928"/>
    </row>
    <row r="78" spans="1:257" ht="42">
      <c r="A78" s="2479"/>
      <c r="B78" s="1102" t="s">
        <v>1655</v>
      </c>
      <c r="C78" s="985">
        <v>5</v>
      </c>
      <c r="D78" s="985">
        <v>5</v>
      </c>
      <c r="E78" s="986" t="s">
        <v>1418</v>
      </c>
      <c r="F78" s="968" t="str">
        <f>IF(Scoring!I87="","",Scoring!I87)</f>
        <v/>
      </c>
      <c r="G78" s="987"/>
      <c r="H78" s="987"/>
      <c r="I78" s="988" t="s">
        <v>2119</v>
      </c>
      <c r="J78" s="969"/>
      <c r="K78" s="969"/>
      <c r="L78" s="989"/>
      <c r="M78" s="990"/>
      <c r="O78" s="947"/>
      <c r="P78" s="954"/>
    </row>
    <row r="79" spans="1:257" ht="56">
      <c r="A79" s="2479"/>
      <c r="B79" s="1102" t="s">
        <v>1656</v>
      </c>
      <c r="C79" s="985">
        <v>5</v>
      </c>
      <c r="D79" s="985">
        <v>6</v>
      </c>
      <c r="E79" s="986" t="s">
        <v>1419</v>
      </c>
      <c r="F79" s="968" t="str">
        <f>IF(Scoring!I88="","",Scoring!I88)</f>
        <v/>
      </c>
      <c r="G79" s="987"/>
      <c r="H79" s="987"/>
      <c r="I79" s="988" t="s">
        <v>2120</v>
      </c>
      <c r="J79" s="969"/>
      <c r="K79" s="969"/>
      <c r="L79" s="989"/>
      <c r="M79" s="990"/>
      <c r="O79" s="947"/>
      <c r="P79" s="954"/>
    </row>
    <row r="80" spans="1:257" ht="70">
      <c r="A80" s="2479"/>
      <c r="B80" s="1102" t="s">
        <v>1657</v>
      </c>
      <c r="C80" s="985">
        <v>3</v>
      </c>
      <c r="D80" s="985">
        <v>3</v>
      </c>
      <c r="E80" s="986" t="s">
        <v>1420</v>
      </c>
      <c r="F80" s="968" t="str">
        <f>IF(Scoring!I89="","",Scoring!I89)</f>
        <v/>
      </c>
      <c r="G80" s="987"/>
      <c r="H80" s="987"/>
      <c r="I80" s="988" t="s">
        <v>2122</v>
      </c>
      <c r="J80" s="969"/>
      <c r="K80" s="969"/>
      <c r="L80" s="989"/>
      <c r="M80" s="990"/>
      <c r="O80" s="947"/>
      <c r="P80" s="954"/>
    </row>
    <row r="81" spans="1:257" s="951" customFormat="1" ht="43" thickBot="1">
      <c r="A81" s="2480"/>
      <c r="B81" s="1211" t="s">
        <v>1658</v>
      </c>
      <c r="C81" s="997">
        <v>3</v>
      </c>
      <c r="D81" s="997">
        <v>3</v>
      </c>
      <c r="E81" s="998" t="s">
        <v>1421</v>
      </c>
      <c r="F81" s="973" t="str">
        <f>IF(Scoring!I90="","",Scoring!I90)</f>
        <v/>
      </c>
      <c r="G81" s="999"/>
      <c r="H81" s="999"/>
      <c r="I81" s="1000" t="s">
        <v>2123</v>
      </c>
      <c r="J81" s="974">
        <f>COUNT(F77:F81)</f>
        <v>0</v>
      </c>
      <c r="K81" s="974"/>
      <c r="L81" s="1207">
        <f>SUM(F77:F81)</f>
        <v>0</v>
      </c>
      <c r="M81" s="976">
        <f>IF(L81&lt;3,0,1)</f>
        <v>0</v>
      </c>
      <c r="N81" s="928"/>
      <c r="O81" s="942"/>
      <c r="P81" s="956">
        <f>COUNTA(F77:F81)</f>
        <v>5</v>
      </c>
      <c r="Q81" s="928"/>
      <c r="R81" s="928"/>
      <c r="S81" s="928"/>
      <c r="T81" s="928"/>
      <c r="U81" s="928"/>
      <c r="V81" s="928"/>
      <c r="W81" s="928"/>
      <c r="X81" s="928"/>
      <c r="Y81" s="928"/>
      <c r="Z81" s="928"/>
      <c r="AA81" s="928"/>
      <c r="AB81" s="928"/>
      <c r="AC81" s="928"/>
      <c r="AD81" s="928"/>
      <c r="AE81" s="928"/>
      <c r="AF81" s="928"/>
      <c r="AG81" s="928"/>
      <c r="AH81" s="928"/>
      <c r="AI81" s="928"/>
      <c r="AJ81" s="928"/>
      <c r="AK81" s="928"/>
      <c r="AL81" s="928"/>
      <c r="AM81" s="928"/>
      <c r="AN81" s="928"/>
      <c r="AO81" s="928"/>
      <c r="AP81" s="928"/>
      <c r="AQ81" s="928"/>
      <c r="AR81" s="928"/>
      <c r="AS81" s="928"/>
      <c r="AT81" s="928"/>
      <c r="AU81" s="928"/>
      <c r="AV81" s="928"/>
      <c r="AW81" s="928"/>
      <c r="AX81" s="928"/>
      <c r="AY81" s="928"/>
      <c r="AZ81" s="928"/>
      <c r="BA81" s="928"/>
      <c r="BB81" s="928"/>
      <c r="BC81" s="928"/>
      <c r="BD81" s="928"/>
      <c r="BE81" s="928"/>
      <c r="BF81" s="928"/>
      <c r="BG81" s="928"/>
      <c r="BH81" s="928"/>
      <c r="BI81" s="928"/>
      <c r="BJ81" s="928"/>
      <c r="BK81" s="928"/>
      <c r="BL81" s="928"/>
      <c r="BM81" s="928"/>
      <c r="BN81" s="928"/>
      <c r="BO81" s="928"/>
      <c r="BP81" s="928"/>
      <c r="BQ81" s="928"/>
      <c r="BR81" s="928"/>
      <c r="BS81" s="928"/>
      <c r="BT81" s="928"/>
      <c r="BU81" s="928"/>
      <c r="BV81" s="928"/>
      <c r="BW81" s="928"/>
      <c r="BX81" s="928"/>
      <c r="BY81" s="928"/>
      <c r="BZ81" s="928"/>
      <c r="CA81" s="928"/>
      <c r="CB81" s="928"/>
      <c r="CC81" s="928"/>
      <c r="CD81" s="928"/>
      <c r="CE81" s="928"/>
      <c r="CF81" s="928"/>
      <c r="CG81" s="928"/>
      <c r="CH81" s="928"/>
      <c r="CI81" s="928"/>
      <c r="CJ81" s="928"/>
      <c r="CK81" s="928"/>
      <c r="CL81" s="928"/>
      <c r="CM81" s="928"/>
      <c r="CN81" s="928"/>
      <c r="CO81" s="928"/>
      <c r="CP81" s="928"/>
      <c r="CQ81" s="928"/>
      <c r="CR81" s="928"/>
      <c r="CS81" s="928"/>
      <c r="CT81" s="928"/>
      <c r="CU81" s="928"/>
      <c r="CV81" s="928"/>
      <c r="CW81" s="928"/>
      <c r="CX81" s="928"/>
      <c r="CY81" s="928"/>
      <c r="CZ81" s="928"/>
      <c r="DA81" s="928"/>
      <c r="DB81" s="928"/>
      <c r="DC81" s="928"/>
      <c r="DD81" s="928"/>
      <c r="DE81" s="928"/>
      <c r="DF81" s="928"/>
      <c r="DG81" s="928"/>
      <c r="DH81" s="928"/>
      <c r="DI81" s="928"/>
      <c r="DJ81" s="928"/>
      <c r="DK81" s="928"/>
      <c r="DL81" s="928"/>
      <c r="DM81" s="928"/>
      <c r="DN81" s="928"/>
      <c r="DO81" s="928"/>
      <c r="DP81" s="928"/>
      <c r="DQ81" s="928"/>
      <c r="DR81" s="928"/>
      <c r="DS81" s="928"/>
      <c r="DT81" s="928"/>
      <c r="DU81" s="928"/>
      <c r="DV81" s="928"/>
      <c r="DW81" s="928"/>
      <c r="DX81" s="928"/>
      <c r="DY81" s="928"/>
      <c r="DZ81" s="928"/>
      <c r="EA81" s="928"/>
      <c r="EB81" s="928"/>
      <c r="EC81" s="928"/>
      <c r="ED81" s="928"/>
      <c r="EE81" s="928"/>
      <c r="EF81" s="928"/>
      <c r="EG81" s="928"/>
      <c r="EH81" s="928"/>
      <c r="EI81" s="928"/>
      <c r="EJ81" s="928"/>
      <c r="EK81" s="928"/>
      <c r="EL81" s="928"/>
      <c r="EM81" s="928"/>
      <c r="EN81" s="928"/>
      <c r="EO81" s="928"/>
      <c r="EP81" s="928"/>
      <c r="EQ81" s="928"/>
      <c r="ER81" s="928"/>
      <c r="ES81" s="928"/>
      <c r="ET81" s="928"/>
      <c r="EU81" s="928"/>
      <c r="EV81" s="928"/>
      <c r="EW81" s="928"/>
      <c r="EX81" s="928"/>
      <c r="EY81" s="928"/>
      <c r="EZ81" s="928"/>
      <c r="FA81" s="928"/>
      <c r="FB81" s="928"/>
      <c r="FC81" s="928"/>
      <c r="FD81" s="928"/>
      <c r="FE81" s="928"/>
      <c r="FF81" s="928"/>
      <c r="FG81" s="928"/>
      <c r="FH81" s="928"/>
      <c r="FI81" s="928"/>
      <c r="FJ81" s="928"/>
      <c r="FK81" s="928"/>
      <c r="FL81" s="928"/>
      <c r="FM81" s="928"/>
      <c r="FN81" s="928"/>
      <c r="FO81" s="928"/>
      <c r="FP81" s="928"/>
      <c r="FQ81" s="928"/>
      <c r="FR81" s="928"/>
      <c r="FS81" s="928"/>
      <c r="FT81" s="928"/>
      <c r="FU81" s="928"/>
      <c r="FV81" s="928"/>
      <c r="FW81" s="928"/>
      <c r="FX81" s="928"/>
      <c r="FY81" s="928"/>
      <c r="FZ81" s="928"/>
      <c r="GA81" s="928"/>
      <c r="GB81" s="928"/>
      <c r="GC81" s="928"/>
      <c r="GD81" s="928"/>
      <c r="GE81" s="928"/>
      <c r="GF81" s="928"/>
      <c r="GG81" s="928"/>
      <c r="GH81" s="928"/>
      <c r="GI81" s="928"/>
      <c r="GJ81" s="928"/>
      <c r="GK81" s="928"/>
      <c r="GL81" s="928"/>
      <c r="GM81" s="928"/>
      <c r="GN81" s="928"/>
      <c r="GO81" s="928"/>
      <c r="GP81" s="928"/>
      <c r="GQ81" s="928"/>
      <c r="GR81" s="928"/>
      <c r="GS81" s="928"/>
      <c r="GT81" s="928"/>
      <c r="GU81" s="928"/>
      <c r="GV81" s="928"/>
      <c r="GW81" s="928"/>
      <c r="GX81" s="928"/>
      <c r="GY81" s="928"/>
      <c r="GZ81" s="928"/>
      <c r="HA81" s="928"/>
      <c r="HB81" s="928"/>
      <c r="HC81" s="928"/>
      <c r="HD81" s="928"/>
      <c r="HE81" s="928"/>
      <c r="HF81" s="928"/>
      <c r="HG81" s="928"/>
      <c r="HH81" s="928"/>
      <c r="HI81" s="928"/>
      <c r="HJ81" s="928"/>
      <c r="HK81" s="928"/>
      <c r="HL81" s="928"/>
      <c r="HM81" s="928"/>
      <c r="HN81" s="928"/>
      <c r="HO81" s="928"/>
      <c r="HP81" s="928"/>
      <c r="HQ81" s="928"/>
      <c r="HR81" s="928"/>
      <c r="HS81" s="928"/>
      <c r="HT81" s="928"/>
      <c r="HU81" s="928"/>
      <c r="HV81" s="928"/>
      <c r="HW81" s="928"/>
      <c r="HX81" s="928"/>
      <c r="HY81" s="928"/>
      <c r="HZ81" s="928"/>
      <c r="IA81" s="928"/>
      <c r="IB81" s="928"/>
      <c r="IC81" s="928"/>
      <c r="ID81" s="928"/>
      <c r="IE81" s="928"/>
      <c r="IF81" s="928"/>
      <c r="IG81" s="928"/>
      <c r="IH81" s="928"/>
      <c r="II81" s="928"/>
      <c r="IJ81" s="928"/>
      <c r="IK81" s="928"/>
      <c r="IL81" s="928"/>
      <c r="IM81" s="928"/>
      <c r="IN81" s="928"/>
      <c r="IO81" s="928"/>
      <c r="IP81" s="928"/>
      <c r="IQ81" s="928"/>
      <c r="IR81" s="928"/>
      <c r="IS81" s="928"/>
      <c r="IT81" s="928"/>
      <c r="IU81" s="928"/>
      <c r="IV81" s="928"/>
      <c r="IW81" s="928"/>
    </row>
    <row r="82" spans="1:257" s="951" customFormat="1" ht="15" thickTop="1" thickBot="1">
      <c r="A82" s="928"/>
      <c r="B82" s="928"/>
      <c r="C82" s="928"/>
      <c r="D82" s="928"/>
      <c r="E82" s="928"/>
      <c r="F82" s="928"/>
      <c r="G82" s="928"/>
      <c r="H82" s="928"/>
      <c r="I82" s="928"/>
      <c r="J82" s="928"/>
      <c r="K82" s="928"/>
      <c r="L82" s="928"/>
      <c r="M82" s="928"/>
      <c r="N82" s="928"/>
      <c r="O82" s="928"/>
      <c r="P82" s="928"/>
      <c r="Q82" s="928"/>
      <c r="R82" s="928"/>
      <c r="S82" s="928"/>
      <c r="T82" s="928"/>
      <c r="U82" s="928"/>
      <c r="V82" s="928"/>
      <c r="W82" s="928"/>
      <c r="X82" s="928"/>
      <c r="Y82" s="928"/>
      <c r="Z82" s="928"/>
      <c r="AA82" s="928"/>
      <c r="AB82" s="928"/>
      <c r="AC82" s="928"/>
      <c r="AD82" s="928"/>
      <c r="AE82" s="928"/>
      <c r="AF82" s="928"/>
      <c r="AG82" s="928"/>
      <c r="AH82" s="928"/>
      <c r="AI82" s="928"/>
      <c r="AJ82" s="928"/>
      <c r="AK82" s="928"/>
      <c r="AL82" s="928"/>
      <c r="AM82" s="928"/>
      <c r="AN82" s="928"/>
      <c r="AO82" s="928"/>
      <c r="AP82" s="928"/>
      <c r="AQ82" s="928"/>
      <c r="AR82" s="928"/>
      <c r="AS82" s="928"/>
      <c r="AT82" s="928"/>
      <c r="AU82" s="928"/>
      <c r="AV82" s="928"/>
      <c r="AW82" s="928"/>
      <c r="AX82" s="928"/>
      <c r="AY82" s="928"/>
      <c r="AZ82" s="928"/>
      <c r="BA82" s="928"/>
      <c r="BB82" s="928"/>
      <c r="BC82" s="928"/>
      <c r="BD82" s="928"/>
      <c r="BE82" s="928"/>
      <c r="BF82" s="928"/>
      <c r="BG82" s="928"/>
      <c r="BH82" s="928"/>
      <c r="BI82" s="928"/>
      <c r="BJ82" s="928"/>
      <c r="BK82" s="928"/>
      <c r="BL82" s="928"/>
      <c r="BM82" s="928"/>
      <c r="BN82" s="928"/>
      <c r="BO82" s="928"/>
      <c r="BP82" s="928"/>
      <c r="BQ82" s="928"/>
      <c r="BR82" s="928"/>
      <c r="BS82" s="928"/>
      <c r="BT82" s="928"/>
      <c r="BU82" s="928"/>
      <c r="BV82" s="928"/>
      <c r="BW82" s="928"/>
      <c r="BX82" s="928"/>
      <c r="BY82" s="928"/>
      <c r="BZ82" s="928"/>
      <c r="CA82" s="928"/>
      <c r="CB82" s="928"/>
      <c r="CC82" s="928"/>
      <c r="CD82" s="928"/>
      <c r="CE82" s="928"/>
      <c r="CF82" s="928"/>
      <c r="CG82" s="928"/>
      <c r="CH82" s="928"/>
      <c r="CI82" s="928"/>
      <c r="CJ82" s="928"/>
      <c r="CK82" s="928"/>
      <c r="CL82" s="928"/>
      <c r="CM82" s="928"/>
      <c r="CN82" s="928"/>
      <c r="CO82" s="928"/>
      <c r="CP82" s="928"/>
      <c r="CQ82" s="928"/>
      <c r="CR82" s="928"/>
      <c r="CS82" s="928"/>
      <c r="CT82" s="928"/>
      <c r="CU82" s="928"/>
      <c r="CV82" s="928"/>
      <c r="CW82" s="928"/>
      <c r="CX82" s="928"/>
      <c r="CY82" s="928"/>
      <c r="CZ82" s="928"/>
      <c r="DA82" s="928"/>
      <c r="DB82" s="928"/>
      <c r="DC82" s="928"/>
      <c r="DD82" s="928"/>
      <c r="DE82" s="928"/>
      <c r="DF82" s="928"/>
      <c r="DG82" s="928"/>
      <c r="DH82" s="928"/>
      <c r="DI82" s="928"/>
      <c r="DJ82" s="928"/>
      <c r="DK82" s="928"/>
      <c r="DL82" s="928"/>
      <c r="DM82" s="928"/>
      <c r="DN82" s="928"/>
      <c r="DO82" s="928"/>
      <c r="DP82" s="928"/>
      <c r="DQ82" s="928"/>
      <c r="DR82" s="928"/>
      <c r="DS82" s="928"/>
      <c r="DT82" s="928"/>
      <c r="DU82" s="928"/>
      <c r="DV82" s="928"/>
      <c r="DW82" s="928"/>
      <c r="DX82" s="928"/>
      <c r="DY82" s="928"/>
      <c r="DZ82" s="928"/>
      <c r="EA82" s="928"/>
      <c r="EB82" s="928"/>
      <c r="EC82" s="928"/>
      <c r="ED82" s="928"/>
      <c r="EE82" s="928"/>
      <c r="EF82" s="928"/>
      <c r="EG82" s="928"/>
      <c r="EH82" s="928"/>
      <c r="EI82" s="928"/>
      <c r="EJ82" s="928"/>
      <c r="EK82" s="928"/>
      <c r="EL82" s="928"/>
      <c r="EM82" s="928"/>
      <c r="EN82" s="928"/>
      <c r="EO82" s="928"/>
      <c r="EP82" s="928"/>
      <c r="EQ82" s="928"/>
      <c r="ER82" s="928"/>
      <c r="ES82" s="928"/>
      <c r="ET82" s="928"/>
      <c r="EU82" s="928"/>
      <c r="EV82" s="928"/>
      <c r="EW82" s="928"/>
      <c r="EX82" s="928"/>
      <c r="EY82" s="928"/>
      <c r="EZ82" s="928"/>
      <c r="FA82" s="928"/>
      <c r="FB82" s="928"/>
      <c r="FC82" s="928"/>
      <c r="FD82" s="928"/>
      <c r="FE82" s="928"/>
      <c r="FF82" s="928"/>
      <c r="FG82" s="928"/>
      <c r="FH82" s="928"/>
      <c r="FI82" s="928"/>
      <c r="FJ82" s="928"/>
      <c r="FK82" s="928"/>
      <c r="FL82" s="928"/>
      <c r="FM82" s="928"/>
      <c r="FN82" s="928"/>
      <c r="FO82" s="928"/>
      <c r="FP82" s="928"/>
      <c r="FQ82" s="928"/>
      <c r="FR82" s="928"/>
      <c r="FS82" s="928"/>
      <c r="FT82" s="928"/>
      <c r="FU82" s="928"/>
      <c r="FV82" s="928"/>
      <c r="FW82" s="928"/>
      <c r="FX82" s="928"/>
      <c r="FY82" s="928"/>
      <c r="FZ82" s="928"/>
      <c r="GA82" s="928"/>
      <c r="GB82" s="928"/>
      <c r="GC82" s="928"/>
      <c r="GD82" s="928"/>
      <c r="GE82" s="928"/>
      <c r="GF82" s="928"/>
      <c r="GG82" s="928"/>
      <c r="GH82" s="928"/>
      <c r="GI82" s="928"/>
      <c r="GJ82" s="928"/>
      <c r="GK82" s="928"/>
      <c r="GL82" s="928"/>
      <c r="GM82" s="928"/>
      <c r="GN82" s="928"/>
      <c r="GO82" s="928"/>
      <c r="GP82" s="928"/>
      <c r="GQ82" s="928"/>
      <c r="GR82" s="928"/>
      <c r="GS82" s="928"/>
      <c r="GT82" s="928"/>
      <c r="GU82" s="928"/>
      <c r="GV82" s="928"/>
      <c r="GW82" s="928"/>
      <c r="GX82" s="928"/>
      <c r="GY82" s="928"/>
      <c r="GZ82" s="928"/>
      <c r="HA82" s="928"/>
      <c r="HB82" s="928"/>
      <c r="HC82" s="928"/>
      <c r="HD82" s="928"/>
      <c r="HE82" s="928"/>
      <c r="HF82" s="928"/>
      <c r="HG82" s="928"/>
      <c r="HH82" s="928"/>
      <c r="HI82" s="928"/>
      <c r="HJ82" s="928"/>
      <c r="HK82" s="928"/>
      <c r="HL82" s="928"/>
      <c r="HM82" s="928"/>
      <c r="HN82" s="928"/>
      <c r="HO82" s="928"/>
      <c r="HP82" s="928"/>
      <c r="HQ82" s="928"/>
      <c r="HR82" s="928"/>
      <c r="HS82" s="928"/>
      <c r="HT82" s="928"/>
      <c r="HU82" s="928"/>
      <c r="HV82" s="928"/>
      <c r="HW82" s="928"/>
      <c r="HX82" s="928"/>
      <c r="HY82" s="928"/>
      <c r="HZ82" s="928"/>
      <c r="IA82" s="928"/>
      <c r="IB82" s="928"/>
      <c r="IC82" s="928"/>
      <c r="ID82" s="928"/>
      <c r="IE82" s="928"/>
      <c r="IF82" s="928"/>
      <c r="IG82" s="928"/>
      <c r="IH82" s="928"/>
      <c r="II82" s="928"/>
      <c r="IJ82" s="928"/>
      <c r="IK82" s="928"/>
      <c r="IL82" s="928"/>
      <c r="IM82" s="928"/>
      <c r="IN82" s="928"/>
      <c r="IO82" s="928"/>
      <c r="IP82" s="928"/>
      <c r="IQ82" s="928"/>
      <c r="IR82" s="928"/>
      <c r="IS82" s="928"/>
      <c r="IT82" s="928"/>
      <c r="IU82" s="928"/>
      <c r="IV82" s="928"/>
      <c r="IW82" s="928"/>
    </row>
    <row r="83" spans="1:257" s="951" customFormat="1" ht="71" thickTop="1">
      <c r="A83" s="2477" t="s">
        <v>1203</v>
      </c>
      <c r="B83" s="1210" t="s">
        <v>1659</v>
      </c>
      <c r="C83" s="1199">
        <v>4</v>
      </c>
      <c r="D83" s="1199">
        <v>4</v>
      </c>
      <c r="E83" s="1200" t="s">
        <v>1424</v>
      </c>
      <c r="F83" s="1201" t="str">
        <f>IF(Scoring!I92="","",Scoring!I92)</f>
        <v/>
      </c>
      <c r="G83" s="1202"/>
      <c r="H83" s="1202"/>
      <c r="I83" s="1203" t="s">
        <v>2124</v>
      </c>
      <c r="J83" s="1208"/>
      <c r="K83" s="1208"/>
      <c r="L83" s="1204"/>
      <c r="M83" s="1205"/>
      <c r="N83" s="928"/>
      <c r="O83" s="949"/>
      <c r="P83" s="948"/>
      <c r="Q83" s="928"/>
      <c r="R83" s="928"/>
      <c r="S83" s="928"/>
      <c r="T83" s="928"/>
      <c r="U83" s="928"/>
      <c r="V83" s="928"/>
      <c r="W83" s="928"/>
      <c r="X83" s="928"/>
      <c r="Y83" s="928"/>
      <c r="Z83" s="928"/>
      <c r="AA83" s="928"/>
      <c r="AB83" s="928"/>
      <c r="AC83" s="928"/>
      <c r="AD83" s="928"/>
      <c r="AE83" s="928"/>
      <c r="AF83" s="928"/>
      <c r="AG83" s="928"/>
      <c r="AH83" s="928"/>
      <c r="AI83" s="928"/>
      <c r="AJ83" s="928"/>
      <c r="AK83" s="928"/>
      <c r="AL83" s="928"/>
      <c r="AM83" s="928"/>
      <c r="AN83" s="928"/>
      <c r="AO83" s="928"/>
      <c r="AP83" s="928"/>
      <c r="AQ83" s="928"/>
      <c r="AR83" s="928"/>
      <c r="AS83" s="928"/>
      <c r="AT83" s="928"/>
      <c r="AU83" s="928"/>
      <c r="AV83" s="928"/>
      <c r="AW83" s="928"/>
      <c r="AX83" s="928"/>
      <c r="AY83" s="928"/>
      <c r="AZ83" s="928"/>
      <c r="BA83" s="928"/>
      <c r="BB83" s="928"/>
      <c r="BC83" s="928"/>
      <c r="BD83" s="928"/>
      <c r="BE83" s="928"/>
      <c r="BF83" s="928"/>
      <c r="BG83" s="928"/>
      <c r="BH83" s="928"/>
      <c r="BI83" s="928"/>
      <c r="BJ83" s="928"/>
      <c r="BK83" s="928"/>
      <c r="BL83" s="928"/>
      <c r="BM83" s="928"/>
      <c r="BN83" s="928"/>
      <c r="BO83" s="928"/>
      <c r="BP83" s="928"/>
      <c r="BQ83" s="928"/>
      <c r="BR83" s="928"/>
      <c r="BS83" s="928"/>
      <c r="BT83" s="928"/>
      <c r="BU83" s="928"/>
      <c r="BV83" s="928"/>
      <c r="BW83" s="928"/>
      <c r="BX83" s="928"/>
      <c r="BY83" s="928"/>
      <c r="BZ83" s="928"/>
      <c r="CA83" s="928"/>
      <c r="CB83" s="928"/>
      <c r="CC83" s="928"/>
      <c r="CD83" s="928"/>
      <c r="CE83" s="928"/>
      <c r="CF83" s="928"/>
      <c r="CG83" s="928"/>
      <c r="CH83" s="928"/>
      <c r="CI83" s="928"/>
      <c r="CJ83" s="928"/>
      <c r="CK83" s="928"/>
      <c r="CL83" s="928"/>
      <c r="CM83" s="928"/>
      <c r="CN83" s="928"/>
      <c r="CO83" s="928"/>
      <c r="CP83" s="928"/>
      <c r="CQ83" s="928"/>
      <c r="CR83" s="928"/>
      <c r="CS83" s="928"/>
      <c r="CT83" s="928"/>
      <c r="CU83" s="928"/>
      <c r="CV83" s="928"/>
      <c r="CW83" s="928"/>
      <c r="CX83" s="928"/>
      <c r="CY83" s="928"/>
      <c r="CZ83" s="928"/>
      <c r="DA83" s="928"/>
      <c r="DB83" s="928"/>
      <c r="DC83" s="928"/>
      <c r="DD83" s="928"/>
      <c r="DE83" s="928"/>
      <c r="DF83" s="928"/>
      <c r="DG83" s="928"/>
      <c r="DH83" s="928"/>
      <c r="DI83" s="928"/>
      <c r="DJ83" s="928"/>
      <c r="DK83" s="928"/>
      <c r="DL83" s="928"/>
      <c r="DM83" s="928"/>
      <c r="DN83" s="928"/>
      <c r="DO83" s="928"/>
      <c r="DP83" s="928"/>
      <c r="DQ83" s="928"/>
      <c r="DR83" s="928"/>
      <c r="DS83" s="928"/>
      <c r="DT83" s="928"/>
      <c r="DU83" s="928"/>
      <c r="DV83" s="928"/>
      <c r="DW83" s="928"/>
      <c r="DX83" s="928"/>
      <c r="DY83" s="928"/>
      <c r="DZ83" s="928"/>
      <c r="EA83" s="928"/>
      <c r="EB83" s="928"/>
      <c r="EC83" s="928"/>
      <c r="ED83" s="928"/>
      <c r="EE83" s="928"/>
      <c r="EF83" s="928"/>
      <c r="EG83" s="928"/>
      <c r="EH83" s="928"/>
      <c r="EI83" s="928"/>
      <c r="EJ83" s="928"/>
      <c r="EK83" s="928"/>
      <c r="EL83" s="928"/>
      <c r="EM83" s="928"/>
      <c r="EN83" s="928"/>
      <c r="EO83" s="928"/>
      <c r="EP83" s="928"/>
      <c r="EQ83" s="928"/>
      <c r="ER83" s="928"/>
      <c r="ES83" s="928"/>
      <c r="ET83" s="928"/>
      <c r="EU83" s="928"/>
      <c r="EV83" s="928"/>
      <c r="EW83" s="928"/>
      <c r="EX83" s="928"/>
      <c r="EY83" s="928"/>
      <c r="EZ83" s="928"/>
      <c r="FA83" s="928"/>
      <c r="FB83" s="928"/>
      <c r="FC83" s="928"/>
      <c r="FD83" s="928"/>
      <c r="FE83" s="928"/>
      <c r="FF83" s="928"/>
      <c r="FG83" s="928"/>
      <c r="FH83" s="928"/>
      <c r="FI83" s="928"/>
      <c r="FJ83" s="928"/>
      <c r="FK83" s="928"/>
      <c r="FL83" s="928"/>
      <c r="FM83" s="928"/>
      <c r="FN83" s="928"/>
      <c r="FO83" s="928"/>
      <c r="FP83" s="928"/>
      <c r="FQ83" s="928"/>
      <c r="FR83" s="928"/>
      <c r="FS83" s="928"/>
      <c r="FT83" s="928"/>
      <c r="FU83" s="928"/>
      <c r="FV83" s="928"/>
      <c r="FW83" s="928"/>
      <c r="FX83" s="928"/>
      <c r="FY83" s="928"/>
      <c r="FZ83" s="928"/>
      <c r="GA83" s="928"/>
      <c r="GB83" s="928"/>
      <c r="GC83" s="928"/>
      <c r="GD83" s="928"/>
      <c r="GE83" s="928"/>
      <c r="GF83" s="928"/>
      <c r="GG83" s="928"/>
      <c r="GH83" s="928"/>
      <c r="GI83" s="928"/>
      <c r="GJ83" s="928"/>
      <c r="GK83" s="928"/>
      <c r="GL83" s="928"/>
      <c r="GM83" s="928"/>
      <c r="GN83" s="928"/>
      <c r="GO83" s="928"/>
      <c r="GP83" s="928"/>
      <c r="GQ83" s="928"/>
      <c r="GR83" s="928"/>
      <c r="GS83" s="928"/>
      <c r="GT83" s="928"/>
      <c r="GU83" s="928"/>
      <c r="GV83" s="928"/>
      <c r="GW83" s="928"/>
      <c r="GX83" s="928"/>
      <c r="GY83" s="928"/>
      <c r="GZ83" s="928"/>
      <c r="HA83" s="928"/>
      <c r="HB83" s="928"/>
      <c r="HC83" s="928"/>
      <c r="HD83" s="928"/>
      <c r="HE83" s="928"/>
      <c r="HF83" s="928"/>
      <c r="HG83" s="928"/>
      <c r="HH83" s="928"/>
      <c r="HI83" s="928"/>
      <c r="HJ83" s="928"/>
      <c r="HK83" s="928"/>
      <c r="HL83" s="928"/>
      <c r="HM83" s="928"/>
      <c r="HN83" s="928"/>
      <c r="HO83" s="928"/>
      <c r="HP83" s="928"/>
      <c r="HQ83" s="928"/>
      <c r="HR83" s="928"/>
      <c r="HS83" s="928"/>
      <c r="HT83" s="928"/>
      <c r="HU83" s="928"/>
      <c r="HV83" s="928"/>
      <c r="HW83" s="928"/>
      <c r="HX83" s="928"/>
      <c r="HY83" s="928"/>
      <c r="HZ83" s="928"/>
      <c r="IA83" s="928"/>
      <c r="IB83" s="928"/>
      <c r="IC83" s="928"/>
      <c r="ID83" s="928"/>
      <c r="IE83" s="928"/>
      <c r="IF83" s="928"/>
      <c r="IG83" s="928"/>
      <c r="IH83" s="928"/>
      <c r="II83" s="928"/>
      <c r="IJ83" s="928"/>
      <c r="IK83" s="928"/>
      <c r="IL83" s="928"/>
      <c r="IM83" s="928"/>
      <c r="IN83" s="928"/>
      <c r="IO83" s="928"/>
      <c r="IP83" s="928"/>
      <c r="IQ83" s="928"/>
      <c r="IR83" s="928"/>
      <c r="IS83" s="928"/>
      <c r="IT83" s="928"/>
      <c r="IU83" s="928"/>
      <c r="IV83" s="928"/>
      <c r="IW83" s="928"/>
    </row>
    <row r="84" spans="1:257" ht="42">
      <c r="A84" s="2479"/>
      <c r="B84" s="1102" t="s">
        <v>1660</v>
      </c>
      <c r="C84" s="985">
        <v>3</v>
      </c>
      <c r="D84" s="985">
        <v>4</v>
      </c>
      <c r="E84" s="986" t="s">
        <v>1425</v>
      </c>
      <c r="F84" s="968" t="str">
        <f>IF(Scoring!I93="","",Scoring!I93)</f>
        <v/>
      </c>
      <c r="G84" s="987"/>
      <c r="H84" s="987"/>
      <c r="I84" s="988" t="s">
        <v>2125</v>
      </c>
      <c r="J84" s="969"/>
      <c r="K84" s="969"/>
      <c r="L84" s="989"/>
      <c r="M84" s="990"/>
      <c r="O84" s="947"/>
      <c r="P84" s="954"/>
    </row>
    <row r="85" spans="1:257" ht="70">
      <c r="A85" s="2479"/>
      <c r="B85" s="1102" t="s">
        <v>1661</v>
      </c>
      <c r="C85" s="985">
        <v>3</v>
      </c>
      <c r="D85" s="985">
        <v>6</v>
      </c>
      <c r="E85" s="986" t="s">
        <v>1426</v>
      </c>
      <c r="F85" s="968" t="str">
        <f>IF(Scoring!I94="","",Scoring!I94)</f>
        <v/>
      </c>
      <c r="G85" s="987"/>
      <c r="H85" s="987"/>
      <c r="I85" s="988" t="s">
        <v>2545</v>
      </c>
      <c r="J85" s="969"/>
      <c r="K85" s="969"/>
      <c r="L85" s="989"/>
      <c r="M85" s="990"/>
      <c r="O85" s="947"/>
      <c r="P85" s="954"/>
    </row>
    <row r="86" spans="1:257" ht="98">
      <c r="A86" s="2479"/>
      <c r="B86" s="1102" t="s">
        <v>1662</v>
      </c>
      <c r="C86" s="985">
        <v>3</v>
      </c>
      <c r="D86" s="985">
        <v>6</v>
      </c>
      <c r="E86" s="986" t="s">
        <v>1427</v>
      </c>
      <c r="F86" s="968" t="str">
        <f>IF(Scoring!I95="","",Scoring!I95)</f>
        <v/>
      </c>
      <c r="G86" s="987"/>
      <c r="H86" s="987"/>
      <c r="I86" s="988" t="s">
        <v>2127</v>
      </c>
      <c r="J86" s="969"/>
      <c r="K86" s="969"/>
      <c r="L86" s="989"/>
      <c r="M86" s="990"/>
      <c r="O86" s="947"/>
      <c r="P86" s="954"/>
    </row>
    <row r="87" spans="1:257" s="951" customFormat="1" ht="57" thickBot="1">
      <c r="A87" s="2480"/>
      <c r="B87" s="1211" t="s">
        <v>1663</v>
      </c>
      <c r="C87" s="997">
        <v>4</v>
      </c>
      <c r="D87" s="997">
        <v>5</v>
      </c>
      <c r="E87" s="998" t="s">
        <v>1428</v>
      </c>
      <c r="F87" s="973" t="str">
        <f>IF(Scoring!I96="","",Scoring!I96)</f>
        <v/>
      </c>
      <c r="G87" s="999"/>
      <c r="H87" s="999"/>
      <c r="I87" s="1000" t="s">
        <v>2128</v>
      </c>
      <c r="J87" s="974">
        <f>COUNT(F83:F87)</f>
        <v>0</v>
      </c>
      <c r="K87" s="974"/>
      <c r="L87" s="1207">
        <f>SUM(F83:F87)</f>
        <v>0</v>
      </c>
      <c r="M87" s="976">
        <f>IF(L87&lt;3,0,1)</f>
        <v>0</v>
      </c>
      <c r="N87" s="928"/>
      <c r="O87" s="942"/>
      <c r="P87" s="956">
        <f>COUNTA(F83:F87)</f>
        <v>5</v>
      </c>
      <c r="Q87" s="928"/>
      <c r="R87" s="928"/>
      <c r="S87" s="928"/>
      <c r="T87" s="928"/>
      <c r="U87" s="928"/>
      <c r="V87" s="928"/>
      <c r="W87" s="928"/>
      <c r="X87" s="928"/>
      <c r="Y87" s="928"/>
      <c r="Z87" s="928"/>
      <c r="AA87" s="928"/>
      <c r="AB87" s="928"/>
      <c r="AC87" s="928"/>
      <c r="AD87" s="928"/>
      <c r="AE87" s="928"/>
      <c r="AF87" s="928"/>
      <c r="AG87" s="928"/>
      <c r="AH87" s="928"/>
      <c r="AI87" s="928"/>
      <c r="AJ87" s="928"/>
      <c r="AK87" s="928"/>
      <c r="AL87" s="928"/>
      <c r="AM87" s="928"/>
      <c r="AN87" s="928"/>
      <c r="AO87" s="928"/>
      <c r="AP87" s="928"/>
      <c r="AQ87" s="928"/>
      <c r="AR87" s="928"/>
      <c r="AS87" s="928"/>
      <c r="AT87" s="928"/>
      <c r="AU87" s="928"/>
      <c r="AV87" s="928"/>
      <c r="AW87" s="928"/>
      <c r="AX87" s="928"/>
      <c r="AY87" s="928"/>
      <c r="AZ87" s="928"/>
      <c r="BA87" s="928"/>
      <c r="BB87" s="928"/>
      <c r="BC87" s="928"/>
      <c r="BD87" s="928"/>
      <c r="BE87" s="928"/>
      <c r="BF87" s="928"/>
      <c r="BG87" s="928"/>
      <c r="BH87" s="928"/>
      <c r="BI87" s="928"/>
      <c r="BJ87" s="928"/>
      <c r="BK87" s="928"/>
      <c r="BL87" s="928"/>
      <c r="BM87" s="928"/>
      <c r="BN87" s="928"/>
      <c r="BO87" s="928"/>
      <c r="BP87" s="928"/>
      <c r="BQ87" s="928"/>
      <c r="BR87" s="928"/>
      <c r="BS87" s="928"/>
      <c r="BT87" s="928"/>
      <c r="BU87" s="928"/>
      <c r="BV87" s="928"/>
      <c r="BW87" s="928"/>
      <c r="BX87" s="928"/>
      <c r="BY87" s="928"/>
      <c r="BZ87" s="928"/>
      <c r="CA87" s="928"/>
      <c r="CB87" s="928"/>
      <c r="CC87" s="928"/>
      <c r="CD87" s="928"/>
      <c r="CE87" s="928"/>
      <c r="CF87" s="928"/>
      <c r="CG87" s="928"/>
      <c r="CH87" s="928"/>
      <c r="CI87" s="928"/>
      <c r="CJ87" s="928"/>
      <c r="CK87" s="928"/>
      <c r="CL87" s="928"/>
      <c r="CM87" s="928"/>
      <c r="CN87" s="928"/>
      <c r="CO87" s="928"/>
      <c r="CP87" s="928"/>
      <c r="CQ87" s="928"/>
      <c r="CR87" s="928"/>
      <c r="CS87" s="928"/>
      <c r="CT87" s="928"/>
      <c r="CU87" s="928"/>
      <c r="CV87" s="928"/>
      <c r="CW87" s="928"/>
      <c r="CX87" s="928"/>
      <c r="CY87" s="928"/>
      <c r="CZ87" s="928"/>
      <c r="DA87" s="928"/>
      <c r="DB87" s="928"/>
      <c r="DC87" s="928"/>
      <c r="DD87" s="928"/>
      <c r="DE87" s="928"/>
      <c r="DF87" s="928"/>
      <c r="DG87" s="928"/>
      <c r="DH87" s="928"/>
      <c r="DI87" s="928"/>
      <c r="DJ87" s="928"/>
      <c r="DK87" s="928"/>
      <c r="DL87" s="928"/>
      <c r="DM87" s="928"/>
      <c r="DN87" s="928"/>
      <c r="DO87" s="928"/>
      <c r="DP87" s="928"/>
      <c r="DQ87" s="928"/>
      <c r="DR87" s="928"/>
      <c r="DS87" s="928"/>
      <c r="DT87" s="928"/>
      <c r="DU87" s="928"/>
      <c r="DV87" s="928"/>
      <c r="DW87" s="928"/>
      <c r="DX87" s="928"/>
      <c r="DY87" s="928"/>
      <c r="DZ87" s="928"/>
      <c r="EA87" s="928"/>
      <c r="EB87" s="928"/>
      <c r="EC87" s="928"/>
      <c r="ED87" s="928"/>
      <c r="EE87" s="928"/>
      <c r="EF87" s="928"/>
      <c r="EG87" s="928"/>
      <c r="EH87" s="928"/>
      <c r="EI87" s="928"/>
      <c r="EJ87" s="928"/>
      <c r="EK87" s="928"/>
      <c r="EL87" s="928"/>
      <c r="EM87" s="928"/>
      <c r="EN87" s="928"/>
      <c r="EO87" s="928"/>
      <c r="EP87" s="928"/>
      <c r="EQ87" s="928"/>
      <c r="ER87" s="928"/>
      <c r="ES87" s="928"/>
      <c r="ET87" s="928"/>
      <c r="EU87" s="928"/>
      <c r="EV87" s="928"/>
      <c r="EW87" s="928"/>
      <c r="EX87" s="928"/>
      <c r="EY87" s="928"/>
      <c r="EZ87" s="928"/>
      <c r="FA87" s="928"/>
      <c r="FB87" s="928"/>
      <c r="FC87" s="928"/>
      <c r="FD87" s="928"/>
      <c r="FE87" s="928"/>
      <c r="FF87" s="928"/>
      <c r="FG87" s="928"/>
      <c r="FH87" s="928"/>
      <c r="FI87" s="928"/>
      <c r="FJ87" s="928"/>
      <c r="FK87" s="928"/>
      <c r="FL87" s="928"/>
      <c r="FM87" s="928"/>
      <c r="FN87" s="928"/>
      <c r="FO87" s="928"/>
      <c r="FP87" s="928"/>
      <c r="FQ87" s="928"/>
      <c r="FR87" s="928"/>
      <c r="FS87" s="928"/>
      <c r="FT87" s="928"/>
      <c r="FU87" s="928"/>
      <c r="FV87" s="928"/>
      <c r="FW87" s="928"/>
      <c r="FX87" s="928"/>
      <c r="FY87" s="928"/>
      <c r="FZ87" s="928"/>
      <c r="GA87" s="928"/>
      <c r="GB87" s="928"/>
      <c r="GC87" s="928"/>
      <c r="GD87" s="928"/>
      <c r="GE87" s="928"/>
      <c r="GF87" s="928"/>
      <c r="GG87" s="928"/>
      <c r="GH87" s="928"/>
      <c r="GI87" s="928"/>
      <c r="GJ87" s="928"/>
      <c r="GK87" s="928"/>
      <c r="GL87" s="928"/>
      <c r="GM87" s="928"/>
      <c r="GN87" s="928"/>
      <c r="GO87" s="928"/>
      <c r="GP87" s="928"/>
      <c r="GQ87" s="928"/>
      <c r="GR87" s="928"/>
      <c r="GS87" s="928"/>
      <c r="GT87" s="928"/>
      <c r="GU87" s="928"/>
      <c r="GV87" s="928"/>
      <c r="GW87" s="928"/>
      <c r="GX87" s="928"/>
      <c r="GY87" s="928"/>
      <c r="GZ87" s="928"/>
      <c r="HA87" s="928"/>
      <c r="HB87" s="928"/>
      <c r="HC87" s="928"/>
      <c r="HD87" s="928"/>
      <c r="HE87" s="928"/>
      <c r="HF87" s="928"/>
      <c r="HG87" s="928"/>
      <c r="HH87" s="928"/>
      <c r="HI87" s="928"/>
      <c r="HJ87" s="928"/>
      <c r="HK87" s="928"/>
      <c r="HL87" s="928"/>
      <c r="HM87" s="928"/>
      <c r="HN87" s="928"/>
      <c r="HO87" s="928"/>
      <c r="HP87" s="928"/>
      <c r="HQ87" s="928"/>
      <c r="HR87" s="928"/>
      <c r="HS87" s="928"/>
      <c r="HT87" s="928"/>
      <c r="HU87" s="928"/>
      <c r="HV87" s="928"/>
      <c r="HW87" s="928"/>
      <c r="HX87" s="928"/>
      <c r="HY87" s="928"/>
      <c r="HZ87" s="928"/>
      <c r="IA87" s="928"/>
      <c r="IB87" s="928"/>
      <c r="IC87" s="928"/>
      <c r="ID87" s="928"/>
      <c r="IE87" s="928"/>
      <c r="IF87" s="928"/>
      <c r="IG87" s="928"/>
      <c r="IH87" s="928"/>
      <c r="II87" s="928"/>
      <c r="IJ87" s="928"/>
      <c r="IK87" s="928"/>
      <c r="IL87" s="928"/>
      <c r="IM87" s="928"/>
      <c r="IN87" s="928"/>
      <c r="IO87" s="928"/>
      <c r="IP87" s="928"/>
      <c r="IQ87" s="928"/>
      <c r="IR87" s="928"/>
      <c r="IS87" s="928"/>
      <c r="IT87" s="928"/>
      <c r="IU87" s="928"/>
      <c r="IV87" s="928"/>
      <c r="IW87" s="928"/>
    </row>
    <row r="88" spans="1:257" s="951" customFormat="1" ht="15" thickTop="1" thickBot="1">
      <c r="A88" s="928"/>
      <c r="B88" s="928"/>
      <c r="C88" s="928"/>
      <c r="D88" s="928"/>
      <c r="E88" s="928"/>
      <c r="F88" s="928"/>
      <c r="G88" s="928"/>
      <c r="H88" s="928"/>
      <c r="I88" s="928"/>
      <c r="J88" s="928"/>
      <c r="K88" s="928"/>
      <c r="L88" s="928"/>
      <c r="M88" s="928"/>
      <c r="N88" s="928"/>
      <c r="O88" s="928"/>
      <c r="P88" s="928"/>
      <c r="Q88" s="928"/>
      <c r="R88" s="928"/>
      <c r="S88" s="928"/>
      <c r="T88" s="928"/>
      <c r="U88" s="928"/>
      <c r="V88" s="928"/>
      <c r="W88" s="928"/>
      <c r="X88" s="928"/>
      <c r="Y88" s="928"/>
      <c r="Z88" s="928"/>
      <c r="AA88" s="928"/>
      <c r="AB88" s="928"/>
      <c r="AC88" s="928"/>
      <c r="AD88" s="928"/>
      <c r="AE88" s="928"/>
      <c r="AF88" s="928"/>
      <c r="AG88" s="928"/>
      <c r="AH88" s="928"/>
      <c r="AI88" s="928"/>
      <c r="AJ88" s="928"/>
      <c r="AK88" s="928"/>
      <c r="AL88" s="928"/>
      <c r="AM88" s="928"/>
      <c r="AN88" s="928"/>
      <c r="AO88" s="928"/>
      <c r="AP88" s="928"/>
      <c r="AQ88" s="928"/>
      <c r="AR88" s="928"/>
      <c r="AS88" s="928"/>
      <c r="AT88" s="928"/>
      <c r="AU88" s="928"/>
      <c r="AV88" s="928"/>
      <c r="AW88" s="928"/>
      <c r="AX88" s="928"/>
      <c r="AY88" s="928"/>
      <c r="AZ88" s="928"/>
      <c r="BA88" s="928"/>
      <c r="BB88" s="928"/>
      <c r="BC88" s="928"/>
      <c r="BD88" s="928"/>
      <c r="BE88" s="928"/>
      <c r="BF88" s="928"/>
      <c r="BG88" s="928"/>
      <c r="BH88" s="928"/>
      <c r="BI88" s="928"/>
      <c r="BJ88" s="928"/>
      <c r="BK88" s="928"/>
      <c r="BL88" s="928"/>
      <c r="BM88" s="928"/>
      <c r="BN88" s="928"/>
      <c r="BO88" s="928"/>
      <c r="BP88" s="928"/>
      <c r="BQ88" s="928"/>
      <c r="BR88" s="928"/>
      <c r="BS88" s="928"/>
      <c r="BT88" s="928"/>
      <c r="BU88" s="928"/>
      <c r="BV88" s="928"/>
      <c r="BW88" s="928"/>
      <c r="BX88" s="928"/>
      <c r="BY88" s="928"/>
      <c r="BZ88" s="928"/>
      <c r="CA88" s="928"/>
      <c r="CB88" s="928"/>
      <c r="CC88" s="928"/>
      <c r="CD88" s="928"/>
      <c r="CE88" s="928"/>
      <c r="CF88" s="928"/>
      <c r="CG88" s="928"/>
      <c r="CH88" s="928"/>
      <c r="CI88" s="928"/>
      <c r="CJ88" s="928"/>
      <c r="CK88" s="928"/>
      <c r="CL88" s="928"/>
      <c r="CM88" s="928"/>
      <c r="CN88" s="928"/>
      <c r="CO88" s="928"/>
      <c r="CP88" s="928"/>
      <c r="CQ88" s="928"/>
      <c r="CR88" s="928"/>
      <c r="CS88" s="928"/>
      <c r="CT88" s="928"/>
      <c r="CU88" s="928"/>
      <c r="CV88" s="928"/>
      <c r="CW88" s="928"/>
      <c r="CX88" s="928"/>
      <c r="CY88" s="928"/>
      <c r="CZ88" s="928"/>
      <c r="DA88" s="928"/>
      <c r="DB88" s="928"/>
      <c r="DC88" s="928"/>
      <c r="DD88" s="928"/>
      <c r="DE88" s="928"/>
      <c r="DF88" s="928"/>
      <c r="DG88" s="928"/>
      <c r="DH88" s="928"/>
      <c r="DI88" s="928"/>
      <c r="DJ88" s="928"/>
      <c r="DK88" s="928"/>
      <c r="DL88" s="928"/>
      <c r="DM88" s="928"/>
      <c r="DN88" s="928"/>
      <c r="DO88" s="928"/>
      <c r="DP88" s="928"/>
      <c r="DQ88" s="928"/>
      <c r="DR88" s="928"/>
      <c r="DS88" s="928"/>
      <c r="DT88" s="928"/>
      <c r="DU88" s="928"/>
      <c r="DV88" s="928"/>
      <c r="DW88" s="928"/>
      <c r="DX88" s="928"/>
      <c r="DY88" s="928"/>
      <c r="DZ88" s="928"/>
      <c r="EA88" s="928"/>
      <c r="EB88" s="928"/>
      <c r="EC88" s="928"/>
      <c r="ED88" s="928"/>
      <c r="EE88" s="928"/>
      <c r="EF88" s="928"/>
      <c r="EG88" s="928"/>
      <c r="EH88" s="928"/>
      <c r="EI88" s="928"/>
      <c r="EJ88" s="928"/>
      <c r="EK88" s="928"/>
      <c r="EL88" s="928"/>
      <c r="EM88" s="928"/>
      <c r="EN88" s="928"/>
      <c r="EO88" s="928"/>
      <c r="EP88" s="928"/>
      <c r="EQ88" s="928"/>
      <c r="ER88" s="928"/>
      <c r="ES88" s="928"/>
      <c r="ET88" s="928"/>
      <c r="EU88" s="928"/>
      <c r="EV88" s="928"/>
      <c r="EW88" s="928"/>
      <c r="EX88" s="928"/>
      <c r="EY88" s="928"/>
      <c r="EZ88" s="928"/>
      <c r="FA88" s="928"/>
      <c r="FB88" s="928"/>
      <c r="FC88" s="928"/>
      <c r="FD88" s="928"/>
      <c r="FE88" s="928"/>
      <c r="FF88" s="928"/>
      <c r="FG88" s="928"/>
      <c r="FH88" s="928"/>
      <c r="FI88" s="928"/>
      <c r="FJ88" s="928"/>
      <c r="FK88" s="928"/>
      <c r="FL88" s="928"/>
      <c r="FM88" s="928"/>
      <c r="FN88" s="928"/>
      <c r="FO88" s="928"/>
      <c r="FP88" s="928"/>
      <c r="FQ88" s="928"/>
      <c r="FR88" s="928"/>
      <c r="FS88" s="928"/>
      <c r="FT88" s="928"/>
      <c r="FU88" s="928"/>
      <c r="FV88" s="928"/>
      <c r="FW88" s="928"/>
      <c r="FX88" s="928"/>
      <c r="FY88" s="928"/>
      <c r="FZ88" s="928"/>
      <c r="GA88" s="928"/>
      <c r="GB88" s="928"/>
      <c r="GC88" s="928"/>
      <c r="GD88" s="928"/>
      <c r="GE88" s="928"/>
      <c r="GF88" s="928"/>
      <c r="GG88" s="928"/>
      <c r="GH88" s="928"/>
      <c r="GI88" s="928"/>
      <c r="GJ88" s="928"/>
      <c r="GK88" s="928"/>
      <c r="GL88" s="928"/>
      <c r="GM88" s="928"/>
      <c r="GN88" s="928"/>
      <c r="GO88" s="928"/>
      <c r="GP88" s="928"/>
      <c r="GQ88" s="928"/>
      <c r="GR88" s="928"/>
      <c r="GS88" s="928"/>
      <c r="GT88" s="928"/>
      <c r="GU88" s="928"/>
      <c r="GV88" s="928"/>
      <c r="GW88" s="928"/>
      <c r="GX88" s="928"/>
      <c r="GY88" s="928"/>
      <c r="GZ88" s="928"/>
      <c r="HA88" s="928"/>
      <c r="HB88" s="928"/>
      <c r="HC88" s="928"/>
      <c r="HD88" s="928"/>
      <c r="HE88" s="928"/>
      <c r="HF88" s="928"/>
      <c r="HG88" s="928"/>
      <c r="HH88" s="928"/>
      <c r="HI88" s="928"/>
      <c r="HJ88" s="928"/>
      <c r="HK88" s="928"/>
      <c r="HL88" s="928"/>
      <c r="HM88" s="928"/>
      <c r="HN88" s="928"/>
      <c r="HO88" s="928"/>
      <c r="HP88" s="928"/>
      <c r="HQ88" s="928"/>
      <c r="HR88" s="928"/>
      <c r="HS88" s="928"/>
      <c r="HT88" s="928"/>
      <c r="HU88" s="928"/>
      <c r="HV88" s="928"/>
      <c r="HW88" s="928"/>
      <c r="HX88" s="928"/>
      <c r="HY88" s="928"/>
      <c r="HZ88" s="928"/>
      <c r="IA88" s="928"/>
      <c r="IB88" s="928"/>
      <c r="IC88" s="928"/>
      <c r="ID88" s="928"/>
      <c r="IE88" s="928"/>
      <c r="IF88" s="928"/>
      <c r="IG88" s="928"/>
      <c r="IH88" s="928"/>
      <c r="II88" s="928"/>
      <c r="IJ88" s="928"/>
      <c r="IK88" s="928"/>
      <c r="IL88" s="928"/>
      <c r="IM88" s="928"/>
      <c r="IN88" s="928"/>
      <c r="IO88" s="928"/>
      <c r="IP88" s="928"/>
      <c r="IQ88" s="928"/>
      <c r="IR88" s="928"/>
      <c r="IS88" s="928"/>
      <c r="IT88" s="928"/>
      <c r="IU88" s="928"/>
      <c r="IV88" s="928"/>
      <c r="IW88" s="928"/>
    </row>
    <row r="89" spans="1:257" s="951" customFormat="1" ht="57" thickTop="1">
      <c r="A89" s="2477" t="s">
        <v>1204</v>
      </c>
      <c r="B89" s="1212" t="s">
        <v>1664</v>
      </c>
      <c r="C89" s="1199">
        <v>4</v>
      </c>
      <c r="D89" s="1199">
        <v>5</v>
      </c>
      <c r="E89" s="1200" t="s">
        <v>1429</v>
      </c>
      <c r="F89" s="1201" t="str">
        <f>IF(Scoring!I98="","",Scoring!I98)</f>
        <v/>
      </c>
      <c r="G89" s="1202"/>
      <c r="H89" s="1202"/>
      <c r="I89" s="1203" t="s">
        <v>2546</v>
      </c>
      <c r="J89" s="1208"/>
      <c r="K89" s="1208"/>
      <c r="L89" s="1204"/>
      <c r="M89" s="1205"/>
      <c r="N89" s="928"/>
      <c r="O89" s="949"/>
      <c r="P89" s="948"/>
      <c r="Q89" s="928"/>
      <c r="R89" s="928"/>
      <c r="S89" s="928"/>
      <c r="T89" s="928"/>
      <c r="U89" s="928"/>
      <c r="V89" s="928"/>
      <c r="W89" s="928"/>
      <c r="X89" s="928"/>
      <c r="Y89" s="928"/>
      <c r="Z89" s="928"/>
      <c r="AA89" s="928"/>
      <c r="AB89" s="928"/>
      <c r="AC89" s="928"/>
      <c r="AD89" s="928"/>
      <c r="AE89" s="928"/>
      <c r="AF89" s="928"/>
      <c r="AG89" s="928"/>
      <c r="AH89" s="928"/>
      <c r="AI89" s="928"/>
      <c r="AJ89" s="928"/>
      <c r="AK89" s="928"/>
      <c r="AL89" s="928"/>
      <c r="AM89" s="928"/>
      <c r="AN89" s="928"/>
      <c r="AO89" s="928"/>
      <c r="AP89" s="928"/>
      <c r="AQ89" s="928"/>
      <c r="AR89" s="928"/>
      <c r="AS89" s="928"/>
      <c r="AT89" s="928"/>
      <c r="AU89" s="928"/>
      <c r="AV89" s="928"/>
      <c r="AW89" s="928"/>
      <c r="AX89" s="928"/>
      <c r="AY89" s="928"/>
      <c r="AZ89" s="928"/>
      <c r="BA89" s="928"/>
      <c r="BB89" s="928"/>
      <c r="BC89" s="928"/>
      <c r="BD89" s="928"/>
      <c r="BE89" s="928"/>
      <c r="BF89" s="928"/>
      <c r="BG89" s="928"/>
      <c r="BH89" s="928"/>
      <c r="BI89" s="928"/>
      <c r="BJ89" s="928"/>
      <c r="BK89" s="928"/>
      <c r="BL89" s="928"/>
      <c r="BM89" s="928"/>
      <c r="BN89" s="928"/>
      <c r="BO89" s="928"/>
      <c r="BP89" s="928"/>
      <c r="BQ89" s="928"/>
      <c r="BR89" s="928"/>
      <c r="BS89" s="928"/>
      <c r="BT89" s="928"/>
      <c r="BU89" s="928"/>
      <c r="BV89" s="928"/>
      <c r="BW89" s="928"/>
      <c r="BX89" s="928"/>
      <c r="BY89" s="928"/>
      <c r="BZ89" s="928"/>
      <c r="CA89" s="928"/>
      <c r="CB89" s="928"/>
      <c r="CC89" s="928"/>
      <c r="CD89" s="928"/>
      <c r="CE89" s="928"/>
      <c r="CF89" s="928"/>
      <c r="CG89" s="928"/>
      <c r="CH89" s="928"/>
      <c r="CI89" s="928"/>
      <c r="CJ89" s="928"/>
      <c r="CK89" s="928"/>
      <c r="CL89" s="928"/>
      <c r="CM89" s="928"/>
      <c r="CN89" s="928"/>
      <c r="CO89" s="928"/>
      <c r="CP89" s="928"/>
      <c r="CQ89" s="928"/>
      <c r="CR89" s="928"/>
      <c r="CS89" s="928"/>
      <c r="CT89" s="928"/>
      <c r="CU89" s="928"/>
      <c r="CV89" s="928"/>
      <c r="CW89" s="928"/>
      <c r="CX89" s="928"/>
      <c r="CY89" s="928"/>
      <c r="CZ89" s="928"/>
      <c r="DA89" s="928"/>
      <c r="DB89" s="928"/>
      <c r="DC89" s="928"/>
      <c r="DD89" s="928"/>
      <c r="DE89" s="928"/>
      <c r="DF89" s="928"/>
      <c r="DG89" s="928"/>
      <c r="DH89" s="928"/>
      <c r="DI89" s="928"/>
      <c r="DJ89" s="928"/>
      <c r="DK89" s="928"/>
      <c r="DL89" s="928"/>
      <c r="DM89" s="928"/>
      <c r="DN89" s="928"/>
      <c r="DO89" s="928"/>
      <c r="DP89" s="928"/>
      <c r="DQ89" s="928"/>
      <c r="DR89" s="928"/>
      <c r="DS89" s="928"/>
      <c r="DT89" s="928"/>
      <c r="DU89" s="928"/>
      <c r="DV89" s="928"/>
      <c r="DW89" s="928"/>
      <c r="DX89" s="928"/>
      <c r="DY89" s="928"/>
      <c r="DZ89" s="928"/>
      <c r="EA89" s="928"/>
      <c r="EB89" s="928"/>
      <c r="EC89" s="928"/>
      <c r="ED89" s="928"/>
      <c r="EE89" s="928"/>
      <c r="EF89" s="928"/>
      <c r="EG89" s="928"/>
      <c r="EH89" s="928"/>
      <c r="EI89" s="928"/>
      <c r="EJ89" s="928"/>
      <c r="EK89" s="928"/>
      <c r="EL89" s="928"/>
      <c r="EM89" s="928"/>
      <c r="EN89" s="928"/>
      <c r="EO89" s="928"/>
      <c r="EP89" s="928"/>
      <c r="EQ89" s="928"/>
      <c r="ER89" s="928"/>
      <c r="ES89" s="928"/>
      <c r="ET89" s="928"/>
      <c r="EU89" s="928"/>
      <c r="EV89" s="928"/>
      <c r="EW89" s="928"/>
      <c r="EX89" s="928"/>
      <c r="EY89" s="928"/>
      <c r="EZ89" s="928"/>
      <c r="FA89" s="928"/>
      <c r="FB89" s="928"/>
      <c r="FC89" s="928"/>
      <c r="FD89" s="928"/>
      <c r="FE89" s="928"/>
      <c r="FF89" s="928"/>
      <c r="FG89" s="928"/>
      <c r="FH89" s="928"/>
      <c r="FI89" s="928"/>
      <c r="FJ89" s="928"/>
      <c r="FK89" s="928"/>
      <c r="FL89" s="928"/>
      <c r="FM89" s="928"/>
      <c r="FN89" s="928"/>
      <c r="FO89" s="928"/>
      <c r="FP89" s="928"/>
      <c r="FQ89" s="928"/>
      <c r="FR89" s="928"/>
      <c r="FS89" s="928"/>
      <c r="FT89" s="928"/>
      <c r="FU89" s="928"/>
      <c r="FV89" s="928"/>
      <c r="FW89" s="928"/>
      <c r="FX89" s="928"/>
      <c r="FY89" s="928"/>
      <c r="FZ89" s="928"/>
      <c r="GA89" s="928"/>
      <c r="GB89" s="928"/>
      <c r="GC89" s="928"/>
      <c r="GD89" s="928"/>
      <c r="GE89" s="928"/>
      <c r="GF89" s="928"/>
      <c r="GG89" s="928"/>
      <c r="GH89" s="928"/>
      <c r="GI89" s="928"/>
      <c r="GJ89" s="928"/>
      <c r="GK89" s="928"/>
      <c r="GL89" s="928"/>
      <c r="GM89" s="928"/>
      <c r="GN89" s="928"/>
      <c r="GO89" s="928"/>
      <c r="GP89" s="928"/>
      <c r="GQ89" s="928"/>
      <c r="GR89" s="928"/>
      <c r="GS89" s="928"/>
      <c r="GT89" s="928"/>
      <c r="GU89" s="928"/>
      <c r="GV89" s="928"/>
      <c r="GW89" s="928"/>
      <c r="GX89" s="928"/>
      <c r="GY89" s="928"/>
      <c r="GZ89" s="928"/>
      <c r="HA89" s="928"/>
      <c r="HB89" s="928"/>
      <c r="HC89" s="928"/>
      <c r="HD89" s="928"/>
      <c r="HE89" s="928"/>
      <c r="HF89" s="928"/>
      <c r="HG89" s="928"/>
      <c r="HH89" s="928"/>
      <c r="HI89" s="928"/>
      <c r="HJ89" s="928"/>
      <c r="HK89" s="928"/>
      <c r="HL89" s="928"/>
      <c r="HM89" s="928"/>
      <c r="HN89" s="928"/>
      <c r="HO89" s="928"/>
      <c r="HP89" s="928"/>
      <c r="HQ89" s="928"/>
      <c r="HR89" s="928"/>
      <c r="HS89" s="928"/>
      <c r="HT89" s="928"/>
      <c r="HU89" s="928"/>
      <c r="HV89" s="928"/>
      <c r="HW89" s="928"/>
      <c r="HX89" s="928"/>
      <c r="HY89" s="928"/>
      <c r="HZ89" s="928"/>
      <c r="IA89" s="928"/>
      <c r="IB89" s="928"/>
      <c r="IC89" s="928"/>
      <c r="ID89" s="928"/>
      <c r="IE89" s="928"/>
      <c r="IF89" s="928"/>
      <c r="IG89" s="928"/>
      <c r="IH89" s="928"/>
      <c r="II89" s="928"/>
      <c r="IJ89" s="928"/>
      <c r="IK89" s="928"/>
      <c r="IL89" s="928"/>
      <c r="IM89" s="928"/>
      <c r="IN89" s="928"/>
      <c r="IO89" s="928"/>
      <c r="IP89" s="928"/>
      <c r="IQ89" s="928"/>
      <c r="IR89" s="928"/>
      <c r="IS89" s="928"/>
      <c r="IT89" s="928"/>
      <c r="IU89" s="928"/>
      <c r="IV89" s="928"/>
      <c r="IW89" s="928"/>
    </row>
    <row r="90" spans="1:257" ht="42">
      <c r="A90" s="2479"/>
      <c r="B90" s="993" t="s">
        <v>1665</v>
      </c>
      <c r="C90" s="985">
        <v>6</v>
      </c>
      <c r="D90" s="985">
        <v>6</v>
      </c>
      <c r="E90" s="986" t="s">
        <v>2130</v>
      </c>
      <c r="F90" s="968" t="str">
        <f>IF(Scoring!I99="","",Scoring!I99)</f>
        <v/>
      </c>
      <c r="G90" s="987"/>
      <c r="H90" s="987"/>
      <c r="I90" s="988" t="s">
        <v>2547</v>
      </c>
      <c r="J90" s="969"/>
      <c r="K90" s="969"/>
      <c r="L90" s="989"/>
      <c r="M90" s="990"/>
      <c r="O90" s="947"/>
      <c r="P90" s="954"/>
    </row>
    <row r="91" spans="1:257" ht="56">
      <c r="A91" s="2479"/>
      <c r="B91" s="993" t="s">
        <v>1666</v>
      </c>
      <c r="C91" s="985">
        <v>4</v>
      </c>
      <c r="D91" s="985">
        <v>6</v>
      </c>
      <c r="E91" s="986" t="s">
        <v>1433</v>
      </c>
      <c r="F91" s="968" t="str">
        <f>IF(Scoring!I100="","",Scoring!I100)</f>
        <v/>
      </c>
      <c r="G91" s="987"/>
      <c r="H91" s="987"/>
      <c r="I91" s="988" t="s">
        <v>2132</v>
      </c>
      <c r="J91" s="969"/>
      <c r="K91" s="969"/>
      <c r="L91" s="989"/>
      <c r="M91" s="990"/>
      <c r="O91" s="947"/>
      <c r="P91" s="954"/>
    </row>
    <row r="92" spans="1:257" ht="42">
      <c r="A92" s="2479"/>
      <c r="B92" s="993" t="s">
        <v>1667</v>
      </c>
      <c r="C92" s="985">
        <v>6</v>
      </c>
      <c r="D92" s="985">
        <v>6</v>
      </c>
      <c r="E92" s="986" t="s">
        <v>2548</v>
      </c>
      <c r="F92" s="968" t="str">
        <f>IF(Scoring!I101="","",Scoring!I101)</f>
        <v/>
      </c>
      <c r="G92" s="987"/>
      <c r="H92" s="987"/>
      <c r="I92" s="988" t="s">
        <v>2549</v>
      </c>
      <c r="J92" s="969"/>
      <c r="K92" s="969"/>
      <c r="L92" s="989"/>
      <c r="M92" s="990"/>
      <c r="O92" s="947"/>
      <c r="P92" s="954"/>
    </row>
    <row r="93" spans="1:257" s="951" customFormat="1" ht="113" thickBot="1">
      <c r="A93" s="2480"/>
      <c r="B93" s="996" t="s">
        <v>1668</v>
      </c>
      <c r="C93" s="997">
        <v>4</v>
      </c>
      <c r="D93" s="997">
        <v>6</v>
      </c>
      <c r="E93" s="998" t="s">
        <v>1437</v>
      </c>
      <c r="F93" s="973" t="str">
        <f>IF(Scoring!I102="","",Scoring!I102)</f>
        <v/>
      </c>
      <c r="G93" s="999"/>
      <c r="H93" s="999"/>
      <c r="I93" s="1000" t="s">
        <v>2135</v>
      </c>
      <c r="J93" s="1213"/>
      <c r="K93" s="974">
        <f>COUNT(F89:F93)</f>
        <v>0</v>
      </c>
      <c r="L93" s="1207">
        <f>SUM(F89:F93)</f>
        <v>0</v>
      </c>
      <c r="M93" s="976">
        <f>IF(L93&lt;3,0,1)</f>
        <v>0</v>
      </c>
      <c r="N93" s="928"/>
      <c r="O93" s="942"/>
      <c r="P93" s="956">
        <f>COUNTA(F89:F93)</f>
        <v>5</v>
      </c>
      <c r="Q93" s="928"/>
      <c r="R93" s="928"/>
      <c r="S93" s="928"/>
      <c r="T93" s="928"/>
      <c r="U93" s="928"/>
      <c r="V93" s="928"/>
      <c r="W93" s="928"/>
      <c r="X93" s="928"/>
      <c r="Y93" s="928"/>
      <c r="Z93" s="928"/>
      <c r="AA93" s="928"/>
      <c r="AB93" s="928"/>
      <c r="AC93" s="928"/>
      <c r="AD93" s="928"/>
      <c r="AE93" s="928"/>
      <c r="AF93" s="928"/>
      <c r="AG93" s="928"/>
      <c r="AH93" s="928"/>
      <c r="AI93" s="928"/>
      <c r="AJ93" s="928"/>
      <c r="AK93" s="928"/>
      <c r="AL93" s="928"/>
      <c r="AM93" s="928"/>
      <c r="AN93" s="928"/>
      <c r="AO93" s="928"/>
      <c r="AP93" s="928"/>
      <c r="AQ93" s="928"/>
      <c r="AR93" s="928"/>
      <c r="AS93" s="928"/>
      <c r="AT93" s="928"/>
      <c r="AU93" s="928"/>
      <c r="AV93" s="928"/>
      <c r="AW93" s="928"/>
      <c r="AX93" s="928"/>
      <c r="AY93" s="928"/>
      <c r="AZ93" s="928"/>
      <c r="BA93" s="928"/>
      <c r="BB93" s="928"/>
      <c r="BC93" s="928"/>
      <c r="BD93" s="928"/>
      <c r="BE93" s="928"/>
      <c r="BF93" s="928"/>
      <c r="BG93" s="928"/>
      <c r="BH93" s="928"/>
      <c r="BI93" s="928"/>
      <c r="BJ93" s="928"/>
      <c r="BK93" s="928"/>
      <c r="BL93" s="928"/>
      <c r="BM93" s="928"/>
      <c r="BN93" s="928"/>
      <c r="BO93" s="928"/>
      <c r="BP93" s="928"/>
      <c r="BQ93" s="928"/>
      <c r="BR93" s="928"/>
      <c r="BS93" s="928"/>
      <c r="BT93" s="928"/>
      <c r="BU93" s="928"/>
      <c r="BV93" s="928"/>
      <c r="BW93" s="928"/>
      <c r="BX93" s="928"/>
      <c r="BY93" s="928"/>
      <c r="BZ93" s="928"/>
      <c r="CA93" s="928"/>
      <c r="CB93" s="928"/>
      <c r="CC93" s="928"/>
      <c r="CD93" s="928"/>
      <c r="CE93" s="928"/>
      <c r="CF93" s="928"/>
      <c r="CG93" s="928"/>
      <c r="CH93" s="928"/>
      <c r="CI93" s="928"/>
      <c r="CJ93" s="928"/>
      <c r="CK93" s="928"/>
      <c r="CL93" s="928"/>
      <c r="CM93" s="928"/>
      <c r="CN93" s="928"/>
      <c r="CO93" s="928"/>
      <c r="CP93" s="928"/>
      <c r="CQ93" s="928"/>
      <c r="CR93" s="928"/>
      <c r="CS93" s="928"/>
      <c r="CT93" s="928"/>
      <c r="CU93" s="928"/>
      <c r="CV93" s="928"/>
      <c r="CW93" s="928"/>
      <c r="CX93" s="928"/>
      <c r="CY93" s="928"/>
      <c r="CZ93" s="928"/>
      <c r="DA93" s="928"/>
      <c r="DB93" s="928"/>
      <c r="DC93" s="928"/>
      <c r="DD93" s="928"/>
      <c r="DE93" s="928"/>
      <c r="DF93" s="928"/>
      <c r="DG93" s="928"/>
      <c r="DH93" s="928"/>
      <c r="DI93" s="928"/>
      <c r="DJ93" s="928"/>
      <c r="DK93" s="928"/>
      <c r="DL93" s="928"/>
      <c r="DM93" s="928"/>
      <c r="DN93" s="928"/>
      <c r="DO93" s="928"/>
      <c r="DP93" s="928"/>
      <c r="DQ93" s="928"/>
      <c r="DR93" s="928"/>
      <c r="DS93" s="928"/>
      <c r="DT93" s="928"/>
      <c r="DU93" s="928"/>
      <c r="DV93" s="928"/>
      <c r="DW93" s="928"/>
      <c r="DX93" s="928"/>
      <c r="DY93" s="928"/>
      <c r="DZ93" s="928"/>
      <c r="EA93" s="928"/>
      <c r="EB93" s="928"/>
      <c r="EC93" s="928"/>
      <c r="ED93" s="928"/>
      <c r="EE93" s="928"/>
      <c r="EF93" s="928"/>
      <c r="EG93" s="928"/>
      <c r="EH93" s="928"/>
      <c r="EI93" s="928"/>
      <c r="EJ93" s="928"/>
      <c r="EK93" s="928"/>
      <c r="EL93" s="928"/>
      <c r="EM93" s="928"/>
      <c r="EN93" s="928"/>
      <c r="EO93" s="928"/>
      <c r="EP93" s="928"/>
      <c r="EQ93" s="928"/>
      <c r="ER93" s="928"/>
      <c r="ES93" s="928"/>
      <c r="ET93" s="928"/>
      <c r="EU93" s="928"/>
      <c r="EV93" s="928"/>
      <c r="EW93" s="928"/>
      <c r="EX93" s="928"/>
      <c r="EY93" s="928"/>
      <c r="EZ93" s="928"/>
      <c r="FA93" s="928"/>
      <c r="FB93" s="928"/>
      <c r="FC93" s="928"/>
      <c r="FD93" s="928"/>
      <c r="FE93" s="928"/>
      <c r="FF93" s="928"/>
      <c r="FG93" s="928"/>
      <c r="FH93" s="928"/>
      <c r="FI93" s="928"/>
      <c r="FJ93" s="928"/>
      <c r="FK93" s="928"/>
      <c r="FL93" s="928"/>
      <c r="FM93" s="928"/>
      <c r="FN93" s="928"/>
      <c r="FO93" s="928"/>
      <c r="FP93" s="928"/>
      <c r="FQ93" s="928"/>
      <c r="FR93" s="928"/>
      <c r="FS93" s="928"/>
      <c r="FT93" s="928"/>
      <c r="FU93" s="928"/>
      <c r="FV93" s="928"/>
      <c r="FW93" s="928"/>
      <c r="FX93" s="928"/>
      <c r="FY93" s="928"/>
      <c r="FZ93" s="928"/>
      <c r="GA93" s="928"/>
      <c r="GB93" s="928"/>
      <c r="GC93" s="928"/>
      <c r="GD93" s="928"/>
      <c r="GE93" s="928"/>
      <c r="GF93" s="928"/>
      <c r="GG93" s="928"/>
      <c r="GH93" s="928"/>
      <c r="GI93" s="928"/>
      <c r="GJ93" s="928"/>
      <c r="GK93" s="928"/>
      <c r="GL93" s="928"/>
      <c r="GM93" s="928"/>
      <c r="GN93" s="928"/>
      <c r="GO93" s="928"/>
      <c r="GP93" s="928"/>
      <c r="GQ93" s="928"/>
      <c r="GR93" s="928"/>
      <c r="GS93" s="928"/>
      <c r="GT93" s="928"/>
      <c r="GU93" s="928"/>
      <c r="GV93" s="928"/>
      <c r="GW93" s="928"/>
      <c r="GX93" s="928"/>
      <c r="GY93" s="928"/>
      <c r="GZ93" s="928"/>
      <c r="HA93" s="928"/>
      <c r="HB93" s="928"/>
      <c r="HC93" s="928"/>
      <c r="HD93" s="928"/>
      <c r="HE93" s="928"/>
      <c r="HF93" s="928"/>
      <c r="HG93" s="928"/>
      <c r="HH93" s="928"/>
      <c r="HI93" s="928"/>
      <c r="HJ93" s="928"/>
      <c r="HK93" s="928"/>
      <c r="HL93" s="928"/>
      <c r="HM93" s="928"/>
      <c r="HN93" s="928"/>
      <c r="HO93" s="928"/>
      <c r="HP93" s="928"/>
      <c r="HQ93" s="928"/>
      <c r="HR93" s="928"/>
      <c r="HS93" s="928"/>
      <c r="HT93" s="928"/>
      <c r="HU93" s="928"/>
      <c r="HV93" s="928"/>
      <c r="HW93" s="928"/>
      <c r="HX93" s="928"/>
      <c r="HY93" s="928"/>
      <c r="HZ93" s="928"/>
      <c r="IA93" s="928"/>
      <c r="IB93" s="928"/>
      <c r="IC93" s="928"/>
      <c r="ID93" s="928"/>
      <c r="IE93" s="928"/>
      <c r="IF93" s="928"/>
      <c r="IG93" s="928"/>
      <c r="IH93" s="928"/>
      <c r="II93" s="928"/>
      <c r="IJ93" s="928"/>
      <c r="IK93" s="928"/>
      <c r="IL93" s="928"/>
      <c r="IM93" s="928"/>
      <c r="IN93" s="928"/>
      <c r="IO93" s="928"/>
      <c r="IP93" s="928"/>
      <c r="IQ93" s="928"/>
      <c r="IR93" s="928"/>
      <c r="IS93" s="928"/>
      <c r="IT93" s="928"/>
      <c r="IU93" s="928"/>
      <c r="IV93" s="928"/>
      <c r="IW93" s="928"/>
    </row>
    <row r="94" spans="1:257" s="951" customFormat="1" ht="14" thickTop="1">
      <c r="A94" s="928"/>
      <c r="B94" s="928"/>
      <c r="C94" s="928"/>
      <c r="D94" s="928"/>
      <c r="E94" s="928"/>
      <c r="F94" s="928"/>
      <c r="G94" s="928"/>
      <c r="H94" s="928"/>
      <c r="I94" s="928"/>
      <c r="J94" s="928"/>
      <c r="K94" s="928"/>
      <c r="L94" s="928"/>
      <c r="M94" s="928"/>
      <c r="N94" s="928"/>
      <c r="O94" s="928"/>
      <c r="P94" s="928"/>
      <c r="Q94" s="928"/>
      <c r="R94" s="928"/>
      <c r="S94" s="928"/>
      <c r="T94" s="928"/>
      <c r="U94" s="928"/>
      <c r="V94" s="928"/>
      <c r="W94" s="928"/>
      <c r="X94" s="928"/>
      <c r="Y94" s="928"/>
      <c r="Z94" s="928"/>
      <c r="AA94" s="928"/>
      <c r="AB94" s="928"/>
      <c r="AC94" s="928"/>
      <c r="AD94" s="928"/>
      <c r="AE94" s="928"/>
      <c r="AF94" s="928"/>
      <c r="AG94" s="928"/>
      <c r="AH94" s="928"/>
      <c r="AI94" s="928"/>
      <c r="AJ94" s="928"/>
      <c r="AK94" s="928"/>
      <c r="AL94" s="928"/>
      <c r="AM94" s="928"/>
      <c r="AN94" s="928"/>
      <c r="AO94" s="928"/>
      <c r="AP94" s="928"/>
      <c r="AQ94" s="928"/>
      <c r="AR94" s="928"/>
      <c r="AS94" s="928"/>
      <c r="AT94" s="928"/>
      <c r="AU94" s="928"/>
      <c r="AV94" s="928"/>
      <c r="AW94" s="928"/>
      <c r="AX94" s="928"/>
      <c r="AY94" s="928"/>
      <c r="AZ94" s="928"/>
      <c r="BA94" s="928"/>
      <c r="BB94" s="928"/>
      <c r="BC94" s="928"/>
      <c r="BD94" s="928"/>
      <c r="BE94" s="928"/>
      <c r="BF94" s="928"/>
      <c r="BG94" s="928"/>
      <c r="BH94" s="928"/>
      <c r="BI94" s="928"/>
      <c r="BJ94" s="928"/>
      <c r="BK94" s="928"/>
      <c r="BL94" s="928"/>
      <c r="BM94" s="928"/>
      <c r="BN94" s="928"/>
      <c r="BO94" s="928"/>
      <c r="BP94" s="928"/>
      <c r="BQ94" s="928"/>
      <c r="BR94" s="928"/>
      <c r="BS94" s="928"/>
      <c r="BT94" s="928"/>
      <c r="BU94" s="928"/>
      <c r="BV94" s="928"/>
      <c r="BW94" s="928"/>
      <c r="BX94" s="928"/>
      <c r="BY94" s="928"/>
      <c r="BZ94" s="928"/>
      <c r="CA94" s="928"/>
      <c r="CB94" s="928"/>
      <c r="CC94" s="928"/>
      <c r="CD94" s="928"/>
      <c r="CE94" s="928"/>
      <c r="CF94" s="928"/>
      <c r="CG94" s="928"/>
      <c r="CH94" s="928"/>
      <c r="CI94" s="928"/>
      <c r="CJ94" s="928"/>
      <c r="CK94" s="928"/>
      <c r="CL94" s="928"/>
      <c r="CM94" s="928"/>
      <c r="CN94" s="928"/>
      <c r="CO94" s="928"/>
      <c r="CP94" s="928"/>
      <c r="CQ94" s="928"/>
      <c r="CR94" s="928"/>
      <c r="CS94" s="928"/>
      <c r="CT94" s="928"/>
      <c r="CU94" s="928"/>
      <c r="CV94" s="928"/>
      <c r="CW94" s="928"/>
      <c r="CX94" s="928"/>
      <c r="CY94" s="928"/>
      <c r="CZ94" s="928"/>
      <c r="DA94" s="928"/>
      <c r="DB94" s="928"/>
      <c r="DC94" s="928"/>
      <c r="DD94" s="928"/>
      <c r="DE94" s="928"/>
      <c r="DF94" s="928"/>
      <c r="DG94" s="928"/>
      <c r="DH94" s="928"/>
      <c r="DI94" s="928"/>
      <c r="DJ94" s="928"/>
      <c r="DK94" s="928"/>
      <c r="DL94" s="928"/>
      <c r="DM94" s="928"/>
      <c r="DN94" s="928"/>
      <c r="DO94" s="928"/>
      <c r="DP94" s="928"/>
      <c r="DQ94" s="928"/>
      <c r="DR94" s="928"/>
      <c r="DS94" s="928"/>
      <c r="DT94" s="928"/>
      <c r="DU94" s="928"/>
      <c r="DV94" s="928"/>
      <c r="DW94" s="928"/>
      <c r="DX94" s="928"/>
      <c r="DY94" s="928"/>
      <c r="DZ94" s="928"/>
      <c r="EA94" s="928"/>
      <c r="EB94" s="928"/>
      <c r="EC94" s="928"/>
      <c r="ED94" s="928"/>
      <c r="EE94" s="928"/>
      <c r="EF94" s="928"/>
      <c r="EG94" s="928"/>
      <c r="EH94" s="928"/>
      <c r="EI94" s="928"/>
      <c r="EJ94" s="928"/>
      <c r="EK94" s="928"/>
      <c r="EL94" s="928"/>
      <c r="EM94" s="928"/>
      <c r="EN94" s="928"/>
      <c r="EO94" s="928"/>
      <c r="EP94" s="928"/>
      <c r="EQ94" s="928"/>
      <c r="ER94" s="928"/>
      <c r="ES94" s="928"/>
      <c r="ET94" s="928"/>
      <c r="EU94" s="928"/>
      <c r="EV94" s="928"/>
      <c r="EW94" s="928"/>
      <c r="EX94" s="928"/>
      <c r="EY94" s="928"/>
      <c r="EZ94" s="928"/>
      <c r="FA94" s="928"/>
      <c r="FB94" s="928"/>
      <c r="FC94" s="928"/>
      <c r="FD94" s="928"/>
      <c r="FE94" s="928"/>
      <c r="FF94" s="928"/>
      <c r="FG94" s="928"/>
      <c r="FH94" s="928"/>
      <c r="FI94" s="928"/>
      <c r="FJ94" s="928"/>
      <c r="FK94" s="928"/>
      <c r="FL94" s="928"/>
      <c r="FM94" s="928"/>
      <c r="FN94" s="928"/>
      <c r="FO94" s="928"/>
      <c r="FP94" s="928"/>
      <c r="FQ94" s="928"/>
      <c r="FR94" s="928"/>
      <c r="FS94" s="928"/>
      <c r="FT94" s="928"/>
      <c r="FU94" s="928"/>
      <c r="FV94" s="928"/>
      <c r="FW94" s="928"/>
      <c r="FX94" s="928"/>
      <c r="FY94" s="928"/>
      <c r="FZ94" s="928"/>
      <c r="GA94" s="928"/>
      <c r="GB94" s="928"/>
      <c r="GC94" s="928"/>
      <c r="GD94" s="928"/>
      <c r="GE94" s="928"/>
      <c r="GF94" s="928"/>
      <c r="GG94" s="928"/>
      <c r="GH94" s="928"/>
      <c r="GI94" s="928"/>
      <c r="GJ94" s="928"/>
      <c r="GK94" s="928"/>
      <c r="GL94" s="928"/>
      <c r="GM94" s="928"/>
      <c r="GN94" s="928"/>
      <c r="GO94" s="928"/>
      <c r="GP94" s="928"/>
      <c r="GQ94" s="928"/>
      <c r="GR94" s="928"/>
      <c r="GS94" s="928"/>
      <c r="GT94" s="928"/>
      <c r="GU94" s="928"/>
      <c r="GV94" s="928"/>
      <c r="GW94" s="928"/>
      <c r="GX94" s="928"/>
      <c r="GY94" s="928"/>
      <c r="GZ94" s="928"/>
      <c r="HA94" s="928"/>
      <c r="HB94" s="928"/>
      <c r="HC94" s="928"/>
      <c r="HD94" s="928"/>
      <c r="HE94" s="928"/>
      <c r="HF94" s="928"/>
      <c r="HG94" s="928"/>
      <c r="HH94" s="928"/>
      <c r="HI94" s="928"/>
      <c r="HJ94" s="928"/>
      <c r="HK94" s="928"/>
      <c r="HL94" s="928"/>
      <c r="HM94" s="928"/>
      <c r="HN94" s="928"/>
      <c r="HO94" s="928"/>
      <c r="HP94" s="928"/>
      <c r="HQ94" s="928"/>
      <c r="HR94" s="928"/>
      <c r="HS94" s="928"/>
      <c r="HT94" s="928"/>
      <c r="HU94" s="928"/>
      <c r="HV94" s="928"/>
      <c r="HW94" s="928"/>
      <c r="HX94" s="928"/>
      <c r="HY94" s="928"/>
      <c r="HZ94" s="928"/>
      <c r="IA94" s="928"/>
      <c r="IB94" s="928"/>
      <c r="IC94" s="928"/>
      <c r="ID94" s="928"/>
      <c r="IE94" s="928"/>
      <c r="IF94" s="928"/>
      <c r="IG94" s="928"/>
      <c r="IH94" s="928"/>
      <c r="II94" s="928"/>
      <c r="IJ94" s="928"/>
      <c r="IK94" s="928"/>
      <c r="IL94" s="928"/>
      <c r="IM94" s="928"/>
      <c r="IN94" s="928"/>
      <c r="IO94" s="928"/>
      <c r="IP94" s="928"/>
      <c r="IQ94" s="928"/>
      <c r="IR94" s="928"/>
      <c r="IS94" s="928"/>
      <c r="IT94" s="928"/>
      <c r="IU94" s="928"/>
      <c r="IV94" s="928"/>
      <c r="IW94" s="928"/>
    </row>
    <row r="95" spans="1:257" s="951" customFormat="1">
      <c r="A95" s="928"/>
      <c r="B95" s="928"/>
      <c r="C95" s="928"/>
      <c r="D95" s="928"/>
      <c r="E95" s="928"/>
      <c r="F95" s="928"/>
      <c r="G95" s="928"/>
      <c r="H95" s="928"/>
      <c r="I95" s="928"/>
      <c r="J95" s="928"/>
      <c r="K95" s="928"/>
      <c r="L95" s="928"/>
      <c r="M95" s="928"/>
      <c r="N95" s="928"/>
      <c r="O95" s="928"/>
      <c r="P95" s="928"/>
      <c r="Q95" s="928"/>
      <c r="R95" s="928"/>
      <c r="S95" s="928"/>
      <c r="T95" s="928"/>
      <c r="U95" s="928"/>
      <c r="V95" s="928"/>
      <c r="W95" s="928"/>
      <c r="X95" s="928"/>
      <c r="Y95" s="928"/>
      <c r="Z95" s="928"/>
      <c r="AA95" s="928"/>
      <c r="AB95" s="928"/>
      <c r="AC95" s="928"/>
      <c r="AD95" s="928"/>
      <c r="AE95" s="928"/>
      <c r="AF95" s="928"/>
      <c r="AG95" s="928"/>
      <c r="AH95" s="928"/>
      <c r="AI95" s="928"/>
      <c r="AJ95" s="928"/>
      <c r="AK95" s="928"/>
      <c r="AL95" s="928"/>
      <c r="AM95" s="928"/>
      <c r="AN95" s="928"/>
      <c r="AO95" s="928"/>
      <c r="AP95" s="928"/>
      <c r="AQ95" s="928"/>
      <c r="AR95" s="928"/>
      <c r="AS95" s="928"/>
      <c r="AT95" s="928"/>
      <c r="AU95" s="928"/>
      <c r="AV95" s="928"/>
      <c r="AW95" s="928"/>
      <c r="AX95" s="928"/>
      <c r="AY95" s="928"/>
      <c r="AZ95" s="928"/>
      <c r="BA95" s="928"/>
      <c r="BB95" s="928"/>
      <c r="BC95" s="928"/>
      <c r="BD95" s="928"/>
      <c r="BE95" s="928"/>
      <c r="BF95" s="928"/>
      <c r="BG95" s="928"/>
      <c r="BH95" s="928"/>
      <c r="BI95" s="928"/>
      <c r="BJ95" s="928"/>
      <c r="BK95" s="928"/>
      <c r="BL95" s="928"/>
      <c r="BM95" s="928"/>
      <c r="BN95" s="928"/>
      <c r="BO95" s="928"/>
      <c r="BP95" s="928"/>
      <c r="BQ95" s="928"/>
      <c r="BR95" s="928"/>
      <c r="BS95" s="928"/>
      <c r="BT95" s="928"/>
      <c r="BU95" s="928"/>
      <c r="BV95" s="928"/>
      <c r="BW95" s="928"/>
      <c r="BX95" s="928"/>
      <c r="BY95" s="928"/>
      <c r="BZ95" s="928"/>
      <c r="CA95" s="928"/>
      <c r="CB95" s="928"/>
      <c r="CC95" s="928"/>
      <c r="CD95" s="928"/>
      <c r="CE95" s="928"/>
      <c r="CF95" s="928"/>
      <c r="CG95" s="928"/>
      <c r="CH95" s="928"/>
      <c r="CI95" s="928"/>
      <c r="CJ95" s="928"/>
      <c r="CK95" s="928"/>
      <c r="CL95" s="928"/>
      <c r="CM95" s="928"/>
      <c r="CN95" s="928"/>
      <c r="CO95" s="928"/>
      <c r="CP95" s="928"/>
      <c r="CQ95" s="928"/>
      <c r="CR95" s="928"/>
      <c r="CS95" s="928"/>
      <c r="CT95" s="928"/>
      <c r="CU95" s="928"/>
      <c r="CV95" s="928"/>
      <c r="CW95" s="928"/>
      <c r="CX95" s="928"/>
      <c r="CY95" s="928"/>
      <c r="CZ95" s="928"/>
      <c r="DA95" s="928"/>
      <c r="DB95" s="928"/>
      <c r="DC95" s="928"/>
      <c r="DD95" s="928"/>
      <c r="DE95" s="928"/>
      <c r="DF95" s="928"/>
      <c r="DG95" s="928"/>
      <c r="DH95" s="928"/>
      <c r="DI95" s="928"/>
      <c r="DJ95" s="928"/>
      <c r="DK95" s="928"/>
      <c r="DL95" s="928"/>
      <c r="DM95" s="928"/>
      <c r="DN95" s="928"/>
      <c r="DO95" s="928"/>
      <c r="DP95" s="928"/>
      <c r="DQ95" s="928"/>
      <c r="DR95" s="928"/>
      <c r="DS95" s="928"/>
      <c r="DT95" s="928"/>
      <c r="DU95" s="928"/>
      <c r="DV95" s="928"/>
      <c r="DW95" s="928"/>
      <c r="DX95" s="928"/>
      <c r="DY95" s="928"/>
      <c r="DZ95" s="928"/>
      <c r="EA95" s="928"/>
      <c r="EB95" s="928"/>
      <c r="EC95" s="928"/>
      <c r="ED95" s="928"/>
      <c r="EE95" s="928"/>
      <c r="EF95" s="928"/>
      <c r="EG95" s="928"/>
      <c r="EH95" s="928"/>
      <c r="EI95" s="928"/>
      <c r="EJ95" s="928"/>
      <c r="EK95" s="928"/>
      <c r="EL95" s="928"/>
      <c r="EM95" s="928"/>
      <c r="EN95" s="928"/>
      <c r="EO95" s="928"/>
      <c r="EP95" s="928"/>
      <c r="EQ95" s="928"/>
      <c r="ER95" s="928"/>
      <c r="ES95" s="928"/>
      <c r="ET95" s="928"/>
      <c r="EU95" s="928"/>
      <c r="EV95" s="928"/>
      <c r="EW95" s="928"/>
      <c r="EX95" s="928"/>
      <c r="EY95" s="928"/>
      <c r="EZ95" s="928"/>
      <c r="FA95" s="928"/>
      <c r="FB95" s="928"/>
      <c r="FC95" s="928"/>
      <c r="FD95" s="928"/>
      <c r="FE95" s="928"/>
      <c r="FF95" s="928"/>
      <c r="FG95" s="928"/>
      <c r="FH95" s="928"/>
      <c r="FI95" s="928"/>
      <c r="FJ95" s="928"/>
      <c r="FK95" s="928"/>
      <c r="FL95" s="928"/>
      <c r="FM95" s="928"/>
      <c r="FN95" s="928"/>
      <c r="FO95" s="928"/>
      <c r="FP95" s="928"/>
      <c r="FQ95" s="928"/>
      <c r="FR95" s="928"/>
      <c r="FS95" s="928"/>
      <c r="FT95" s="928"/>
      <c r="FU95" s="928"/>
      <c r="FV95" s="928"/>
      <c r="FW95" s="928"/>
      <c r="FX95" s="928"/>
      <c r="FY95" s="928"/>
      <c r="FZ95" s="928"/>
      <c r="GA95" s="928"/>
      <c r="GB95" s="928"/>
      <c r="GC95" s="928"/>
      <c r="GD95" s="928"/>
      <c r="GE95" s="928"/>
      <c r="GF95" s="928"/>
      <c r="GG95" s="928"/>
      <c r="GH95" s="928"/>
      <c r="GI95" s="928"/>
      <c r="GJ95" s="928"/>
      <c r="GK95" s="928"/>
      <c r="GL95" s="928"/>
      <c r="GM95" s="928"/>
      <c r="GN95" s="928"/>
      <c r="GO95" s="928"/>
      <c r="GP95" s="928"/>
      <c r="GQ95" s="928"/>
      <c r="GR95" s="928"/>
      <c r="GS95" s="928"/>
      <c r="GT95" s="928"/>
      <c r="GU95" s="928"/>
      <c r="GV95" s="928"/>
      <c r="GW95" s="928"/>
      <c r="GX95" s="928"/>
      <c r="GY95" s="928"/>
      <c r="GZ95" s="928"/>
      <c r="HA95" s="928"/>
      <c r="HB95" s="928"/>
      <c r="HC95" s="928"/>
      <c r="HD95" s="928"/>
      <c r="HE95" s="928"/>
      <c r="HF95" s="928"/>
      <c r="HG95" s="928"/>
      <c r="HH95" s="928"/>
      <c r="HI95" s="928"/>
      <c r="HJ95" s="928"/>
      <c r="HK95" s="928"/>
      <c r="HL95" s="928"/>
      <c r="HM95" s="928"/>
      <c r="HN95" s="928"/>
      <c r="HO95" s="928"/>
      <c r="HP95" s="928"/>
      <c r="HQ95" s="928"/>
      <c r="HR95" s="928"/>
      <c r="HS95" s="928"/>
      <c r="HT95" s="928"/>
      <c r="HU95" s="928"/>
      <c r="HV95" s="928"/>
      <c r="HW95" s="928"/>
      <c r="HX95" s="928"/>
      <c r="HY95" s="928"/>
      <c r="HZ95" s="928"/>
      <c r="IA95" s="928"/>
      <c r="IB95" s="928"/>
      <c r="IC95" s="928"/>
      <c r="ID95" s="928"/>
      <c r="IE95" s="928"/>
      <c r="IF95" s="928"/>
      <c r="IG95" s="928"/>
      <c r="IH95" s="928"/>
      <c r="II95" s="928"/>
      <c r="IJ95" s="928"/>
      <c r="IK95" s="928"/>
      <c r="IL95" s="928"/>
      <c r="IM95" s="928"/>
      <c r="IN95" s="928"/>
      <c r="IO95" s="928"/>
      <c r="IP95" s="928"/>
      <c r="IQ95" s="928"/>
      <c r="IR95" s="928"/>
      <c r="IS95" s="928"/>
      <c r="IT95" s="928"/>
      <c r="IU95" s="928"/>
      <c r="IV95" s="928"/>
      <c r="IW95" s="928"/>
    </row>
    <row r="96" spans="1:257" s="951" customFormat="1" ht="14" thickBot="1">
      <c r="A96" s="928"/>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c r="AB96" s="928"/>
      <c r="AC96" s="928"/>
      <c r="AD96" s="928"/>
      <c r="AE96" s="928"/>
      <c r="AF96" s="928"/>
      <c r="AG96" s="928"/>
      <c r="AH96" s="928"/>
      <c r="AI96" s="928"/>
      <c r="AJ96" s="928"/>
      <c r="AK96" s="928"/>
      <c r="AL96" s="928"/>
      <c r="AM96" s="928"/>
      <c r="AN96" s="928"/>
      <c r="AO96" s="928"/>
      <c r="AP96" s="928"/>
      <c r="AQ96" s="928"/>
      <c r="AR96" s="928"/>
      <c r="AS96" s="928"/>
      <c r="AT96" s="928"/>
      <c r="AU96" s="928"/>
      <c r="AV96" s="928"/>
      <c r="AW96" s="928"/>
      <c r="AX96" s="928"/>
      <c r="AY96" s="928"/>
      <c r="AZ96" s="928"/>
      <c r="BA96" s="928"/>
      <c r="BB96" s="928"/>
      <c r="BC96" s="928"/>
      <c r="BD96" s="928"/>
      <c r="BE96" s="928"/>
      <c r="BF96" s="928"/>
      <c r="BG96" s="928"/>
      <c r="BH96" s="928"/>
      <c r="BI96" s="928"/>
      <c r="BJ96" s="928"/>
      <c r="BK96" s="928"/>
      <c r="BL96" s="928"/>
      <c r="BM96" s="928"/>
      <c r="BN96" s="928"/>
      <c r="BO96" s="928"/>
      <c r="BP96" s="928"/>
      <c r="BQ96" s="928"/>
      <c r="BR96" s="928"/>
      <c r="BS96" s="928"/>
      <c r="BT96" s="928"/>
      <c r="BU96" s="928"/>
      <c r="BV96" s="928"/>
      <c r="BW96" s="928"/>
      <c r="BX96" s="928"/>
      <c r="BY96" s="928"/>
      <c r="BZ96" s="928"/>
      <c r="CA96" s="928"/>
      <c r="CB96" s="928"/>
      <c r="CC96" s="928"/>
      <c r="CD96" s="928"/>
      <c r="CE96" s="928"/>
      <c r="CF96" s="928"/>
      <c r="CG96" s="928"/>
      <c r="CH96" s="928"/>
      <c r="CI96" s="928"/>
      <c r="CJ96" s="928"/>
      <c r="CK96" s="928"/>
      <c r="CL96" s="928"/>
      <c r="CM96" s="928"/>
      <c r="CN96" s="928"/>
      <c r="CO96" s="928"/>
      <c r="CP96" s="928"/>
      <c r="CQ96" s="928"/>
      <c r="CR96" s="928"/>
      <c r="CS96" s="928"/>
      <c r="CT96" s="928"/>
      <c r="CU96" s="928"/>
      <c r="CV96" s="928"/>
      <c r="CW96" s="928"/>
      <c r="CX96" s="928"/>
      <c r="CY96" s="928"/>
      <c r="CZ96" s="928"/>
      <c r="DA96" s="928"/>
      <c r="DB96" s="928"/>
      <c r="DC96" s="928"/>
      <c r="DD96" s="928"/>
      <c r="DE96" s="928"/>
      <c r="DF96" s="928"/>
      <c r="DG96" s="928"/>
      <c r="DH96" s="928"/>
      <c r="DI96" s="928"/>
      <c r="DJ96" s="928"/>
      <c r="DK96" s="928"/>
      <c r="DL96" s="928"/>
      <c r="DM96" s="928"/>
      <c r="DN96" s="928"/>
      <c r="DO96" s="928"/>
      <c r="DP96" s="928"/>
      <c r="DQ96" s="928"/>
      <c r="DR96" s="928"/>
      <c r="DS96" s="928"/>
      <c r="DT96" s="928"/>
      <c r="DU96" s="928"/>
      <c r="DV96" s="928"/>
      <c r="DW96" s="928"/>
      <c r="DX96" s="928"/>
      <c r="DY96" s="928"/>
      <c r="DZ96" s="928"/>
      <c r="EA96" s="928"/>
      <c r="EB96" s="928"/>
      <c r="EC96" s="928"/>
      <c r="ED96" s="928"/>
      <c r="EE96" s="928"/>
      <c r="EF96" s="928"/>
      <c r="EG96" s="928"/>
      <c r="EH96" s="928"/>
      <c r="EI96" s="928"/>
      <c r="EJ96" s="928"/>
      <c r="EK96" s="928"/>
      <c r="EL96" s="928"/>
      <c r="EM96" s="928"/>
      <c r="EN96" s="928"/>
      <c r="EO96" s="928"/>
      <c r="EP96" s="928"/>
      <c r="EQ96" s="928"/>
      <c r="ER96" s="928"/>
      <c r="ES96" s="928"/>
      <c r="ET96" s="928"/>
      <c r="EU96" s="928"/>
      <c r="EV96" s="928"/>
      <c r="EW96" s="928"/>
      <c r="EX96" s="928"/>
      <c r="EY96" s="928"/>
      <c r="EZ96" s="928"/>
      <c r="FA96" s="928"/>
      <c r="FB96" s="928"/>
      <c r="FC96" s="928"/>
      <c r="FD96" s="928"/>
      <c r="FE96" s="928"/>
      <c r="FF96" s="928"/>
      <c r="FG96" s="928"/>
      <c r="FH96" s="928"/>
      <c r="FI96" s="928"/>
      <c r="FJ96" s="928"/>
      <c r="FK96" s="928"/>
      <c r="FL96" s="928"/>
      <c r="FM96" s="928"/>
      <c r="FN96" s="928"/>
      <c r="FO96" s="928"/>
      <c r="FP96" s="928"/>
      <c r="FQ96" s="928"/>
      <c r="FR96" s="928"/>
      <c r="FS96" s="928"/>
      <c r="FT96" s="928"/>
      <c r="FU96" s="928"/>
      <c r="FV96" s="928"/>
      <c r="FW96" s="928"/>
      <c r="FX96" s="928"/>
      <c r="FY96" s="928"/>
      <c r="FZ96" s="928"/>
      <c r="GA96" s="928"/>
      <c r="GB96" s="928"/>
      <c r="GC96" s="928"/>
      <c r="GD96" s="928"/>
      <c r="GE96" s="928"/>
      <c r="GF96" s="928"/>
      <c r="GG96" s="928"/>
      <c r="GH96" s="928"/>
      <c r="GI96" s="928"/>
      <c r="GJ96" s="928"/>
      <c r="GK96" s="928"/>
      <c r="GL96" s="928"/>
      <c r="GM96" s="928"/>
      <c r="GN96" s="928"/>
      <c r="GO96" s="928"/>
      <c r="GP96" s="928"/>
      <c r="GQ96" s="928"/>
      <c r="GR96" s="928"/>
      <c r="GS96" s="928"/>
      <c r="GT96" s="928"/>
      <c r="GU96" s="928"/>
      <c r="GV96" s="928"/>
      <c r="GW96" s="928"/>
      <c r="GX96" s="928"/>
      <c r="GY96" s="928"/>
      <c r="GZ96" s="928"/>
      <c r="HA96" s="928"/>
      <c r="HB96" s="928"/>
      <c r="HC96" s="928"/>
      <c r="HD96" s="928"/>
      <c r="HE96" s="928"/>
      <c r="HF96" s="928"/>
      <c r="HG96" s="928"/>
      <c r="HH96" s="928"/>
      <c r="HI96" s="928"/>
      <c r="HJ96" s="928"/>
      <c r="HK96" s="928"/>
      <c r="HL96" s="928"/>
      <c r="HM96" s="928"/>
      <c r="HN96" s="928"/>
      <c r="HO96" s="928"/>
      <c r="HP96" s="928"/>
      <c r="HQ96" s="928"/>
      <c r="HR96" s="928"/>
      <c r="HS96" s="928"/>
      <c r="HT96" s="928"/>
      <c r="HU96" s="928"/>
      <c r="HV96" s="928"/>
      <c r="HW96" s="928"/>
      <c r="HX96" s="928"/>
      <c r="HY96" s="928"/>
      <c r="HZ96" s="928"/>
      <c r="IA96" s="928"/>
      <c r="IB96" s="928"/>
      <c r="IC96" s="928"/>
      <c r="ID96" s="928"/>
      <c r="IE96" s="928"/>
      <c r="IF96" s="928"/>
      <c r="IG96" s="928"/>
      <c r="IH96" s="928"/>
      <c r="II96" s="928"/>
      <c r="IJ96" s="928"/>
      <c r="IK96" s="928"/>
      <c r="IL96" s="928"/>
      <c r="IM96" s="928"/>
      <c r="IN96" s="928"/>
      <c r="IO96" s="928"/>
      <c r="IP96" s="928"/>
      <c r="IQ96" s="928"/>
      <c r="IR96" s="928"/>
      <c r="IS96" s="928"/>
      <c r="IT96" s="928"/>
      <c r="IU96" s="928"/>
      <c r="IV96" s="928"/>
      <c r="IW96" s="928"/>
    </row>
    <row r="97" spans="1:257" s="951" customFormat="1" ht="120" customHeight="1" thickTop="1">
      <c r="A97" s="2477" t="s">
        <v>2550</v>
      </c>
      <c r="B97" s="1212" t="s">
        <v>2136</v>
      </c>
      <c r="C97" s="1199">
        <v>4</v>
      </c>
      <c r="D97" s="1199">
        <v>5</v>
      </c>
      <c r="E97" s="1200" t="s">
        <v>2685</v>
      </c>
      <c r="F97" s="1201" t="str">
        <f>IF(Scoring!I106="","",Scoring!I106)</f>
        <v/>
      </c>
      <c r="G97" s="1202"/>
      <c r="H97" s="1202"/>
      <c r="I97" s="1203" t="s">
        <v>2684</v>
      </c>
      <c r="J97" s="1208"/>
      <c r="K97" s="1208"/>
      <c r="L97" s="1204"/>
      <c r="M97" s="1205"/>
      <c r="N97" s="928"/>
      <c r="O97" s="949"/>
      <c r="P97" s="948"/>
      <c r="Q97" s="928"/>
      <c r="R97" s="928"/>
      <c r="S97" s="928"/>
      <c r="T97" s="928"/>
      <c r="U97" s="928"/>
      <c r="V97" s="928"/>
      <c r="W97" s="928"/>
      <c r="X97" s="928"/>
      <c r="Y97" s="928"/>
      <c r="Z97" s="928"/>
      <c r="AA97" s="928"/>
      <c r="AB97" s="928"/>
      <c r="AC97" s="928"/>
      <c r="AD97" s="928"/>
      <c r="AE97" s="928"/>
      <c r="AF97" s="928"/>
      <c r="AG97" s="928"/>
      <c r="AH97" s="928"/>
      <c r="AI97" s="928"/>
      <c r="AJ97" s="928"/>
      <c r="AK97" s="928"/>
      <c r="AL97" s="928"/>
      <c r="AM97" s="928"/>
      <c r="AN97" s="928"/>
      <c r="AO97" s="928"/>
      <c r="AP97" s="928"/>
      <c r="AQ97" s="928"/>
      <c r="AR97" s="928"/>
      <c r="AS97" s="928"/>
      <c r="AT97" s="928"/>
      <c r="AU97" s="928"/>
      <c r="AV97" s="928"/>
      <c r="AW97" s="928"/>
      <c r="AX97" s="928"/>
      <c r="AY97" s="928"/>
      <c r="AZ97" s="928"/>
      <c r="BA97" s="928"/>
      <c r="BB97" s="928"/>
      <c r="BC97" s="928"/>
      <c r="BD97" s="928"/>
      <c r="BE97" s="928"/>
      <c r="BF97" s="928"/>
      <c r="BG97" s="928"/>
      <c r="BH97" s="928"/>
      <c r="BI97" s="928"/>
      <c r="BJ97" s="928"/>
      <c r="BK97" s="928"/>
      <c r="BL97" s="928"/>
      <c r="BM97" s="928"/>
      <c r="BN97" s="928"/>
      <c r="BO97" s="928"/>
      <c r="BP97" s="928"/>
      <c r="BQ97" s="928"/>
      <c r="BR97" s="928"/>
      <c r="BS97" s="928"/>
      <c r="BT97" s="928"/>
      <c r="BU97" s="928"/>
      <c r="BV97" s="928"/>
      <c r="BW97" s="928"/>
      <c r="BX97" s="928"/>
      <c r="BY97" s="928"/>
      <c r="BZ97" s="928"/>
      <c r="CA97" s="928"/>
      <c r="CB97" s="928"/>
      <c r="CC97" s="928"/>
      <c r="CD97" s="928"/>
      <c r="CE97" s="928"/>
      <c r="CF97" s="928"/>
      <c r="CG97" s="928"/>
      <c r="CH97" s="928"/>
      <c r="CI97" s="928"/>
      <c r="CJ97" s="928"/>
      <c r="CK97" s="928"/>
      <c r="CL97" s="928"/>
      <c r="CM97" s="928"/>
      <c r="CN97" s="928"/>
      <c r="CO97" s="928"/>
      <c r="CP97" s="928"/>
      <c r="CQ97" s="928"/>
      <c r="CR97" s="928"/>
      <c r="CS97" s="928"/>
      <c r="CT97" s="928"/>
      <c r="CU97" s="928"/>
      <c r="CV97" s="928"/>
      <c r="CW97" s="928"/>
      <c r="CX97" s="928"/>
      <c r="CY97" s="928"/>
      <c r="CZ97" s="928"/>
      <c r="DA97" s="928"/>
      <c r="DB97" s="928"/>
      <c r="DC97" s="928"/>
      <c r="DD97" s="928"/>
      <c r="DE97" s="928"/>
      <c r="DF97" s="928"/>
      <c r="DG97" s="928"/>
      <c r="DH97" s="928"/>
      <c r="DI97" s="928"/>
      <c r="DJ97" s="928"/>
      <c r="DK97" s="928"/>
      <c r="DL97" s="928"/>
      <c r="DM97" s="928"/>
      <c r="DN97" s="928"/>
      <c r="DO97" s="928"/>
      <c r="DP97" s="928"/>
      <c r="DQ97" s="928"/>
      <c r="DR97" s="928"/>
      <c r="DS97" s="928"/>
      <c r="DT97" s="928"/>
      <c r="DU97" s="928"/>
      <c r="DV97" s="928"/>
      <c r="DW97" s="928"/>
      <c r="DX97" s="928"/>
      <c r="DY97" s="928"/>
      <c r="DZ97" s="928"/>
      <c r="EA97" s="928"/>
      <c r="EB97" s="928"/>
      <c r="EC97" s="928"/>
      <c r="ED97" s="928"/>
      <c r="EE97" s="928"/>
      <c r="EF97" s="928"/>
      <c r="EG97" s="928"/>
      <c r="EH97" s="928"/>
      <c r="EI97" s="928"/>
      <c r="EJ97" s="928"/>
      <c r="EK97" s="928"/>
      <c r="EL97" s="928"/>
      <c r="EM97" s="928"/>
      <c r="EN97" s="928"/>
      <c r="EO97" s="928"/>
      <c r="EP97" s="928"/>
      <c r="EQ97" s="928"/>
      <c r="ER97" s="928"/>
      <c r="ES97" s="928"/>
      <c r="ET97" s="928"/>
      <c r="EU97" s="928"/>
      <c r="EV97" s="928"/>
      <c r="EW97" s="928"/>
      <c r="EX97" s="928"/>
      <c r="EY97" s="928"/>
      <c r="EZ97" s="928"/>
      <c r="FA97" s="928"/>
      <c r="FB97" s="928"/>
      <c r="FC97" s="928"/>
      <c r="FD97" s="928"/>
      <c r="FE97" s="928"/>
      <c r="FF97" s="928"/>
      <c r="FG97" s="928"/>
      <c r="FH97" s="928"/>
      <c r="FI97" s="928"/>
      <c r="FJ97" s="928"/>
      <c r="FK97" s="928"/>
      <c r="FL97" s="928"/>
      <c r="FM97" s="928"/>
      <c r="FN97" s="928"/>
      <c r="FO97" s="928"/>
      <c r="FP97" s="928"/>
      <c r="FQ97" s="928"/>
      <c r="FR97" s="928"/>
      <c r="FS97" s="928"/>
      <c r="FT97" s="928"/>
      <c r="FU97" s="928"/>
      <c r="FV97" s="928"/>
      <c r="FW97" s="928"/>
      <c r="FX97" s="928"/>
      <c r="FY97" s="928"/>
      <c r="FZ97" s="928"/>
      <c r="GA97" s="928"/>
      <c r="GB97" s="928"/>
      <c r="GC97" s="928"/>
      <c r="GD97" s="928"/>
      <c r="GE97" s="928"/>
      <c r="GF97" s="928"/>
      <c r="GG97" s="928"/>
      <c r="GH97" s="928"/>
      <c r="GI97" s="928"/>
      <c r="GJ97" s="928"/>
      <c r="GK97" s="928"/>
      <c r="GL97" s="928"/>
      <c r="GM97" s="928"/>
      <c r="GN97" s="928"/>
      <c r="GO97" s="928"/>
      <c r="GP97" s="928"/>
      <c r="GQ97" s="928"/>
      <c r="GR97" s="928"/>
      <c r="GS97" s="928"/>
      <c r="GT97" s="928"/>
      <c r="GU97" s="928"/>
      <c r="GV97" s="928"/>
      <c r="GW97" s="928"/>
      <c r="GX97" s="928"/>
      <c r="GY97" s="928"/>
      <c r="GZ97" s="928"/>
      <c r="HA97" s="928"/>
      <c r="HB97" s="928"/>
      <c r="HC97" s="928"/>
      <c r="HD97" s="928"/>
      <c r="HE97" s="928"/>
      <c r="HF97" s="928"/>
      <c r="HG97" s="928"/>
      <c r="HH97" s="928"/>
      <c r="HI97" s="928"/>
      <c r="HJ97" s="928"/>
      <c r="HK97" s="928"/>
      <c r="HL97" s="928"/>
      <c r="HM97" s="928"/>
      <c r="HN97" s="928"/>
      <c r="HO97" s="928"/>
      <c r="HP97" s="928"/>
      <c r="HQ97" s="928"/>
      <c r="HR97" s="928"/>
      <c r="HS97" s="928"/>
      <c r="HT97" s="928"/>
      <c r="HU97" s="928"/>
      <c r="HV97" s="928"/>
      <c r="HW97" s="928"/>
      <c r="HX97" s="928"/>
      <c r="HY97" s="928"/>
      <c r="HZ97" s="928"/>
      <c r="IA97" s="928"/>
      <c r="IB97" s="928"/>
      <c r="IC97" s="928"/>
      <c r="ID97" s="928"/>
      <c r="IE97" s="928"/>
      <c r="IF97" s="928"/>
      <c r="IG97" s="928"/>
      <c r="IH97" s="928"/>
      <c r="II97" s="928"/>
      <c r="IJ97" s="928"/>
      <c r="IK97" s="928"/>
      <c r="IL97" s="928"/>
      <c r="IM97" s="928"/>
      <c r="IN97" s="928"/>
      <c r="IO97" s="928"/>
      <c r="IP97" s="928"/>
      <c r="IQ97" s="928"/>
      <c r="IR97" s="928"/>
      <c r="IS97" s="928"/>
      <c r="IT97" s="928"/>
      <c r="IU97" s="928"/>
      <c r="IV97" s="928"/>
      <c r="IW97" s="928"/>
    </row>
    <row r="98" spans="1:257" s="951" customFormat="1" ht="150" customHeight="1">
      <c r="A98" s="2472"/>
      <c r="B98" s="993" t="s">
        <v>2138</v>
      </c>
      <c r="C98" s="985">
        <v>4</v>
      </c>
      <c r="D98" s="985">
        <v>5</v>
      </c>
      <c r="E98" s="986" t="s">
        <v>1440</v>
      </c>
      <c r="F98" s="968" t="str">
        <f>IF(Scoring!I107="","",Scoring!I107)</f>
        <v/>
      </c>
      <c r="G98" s="987"/>
      <c r="H98" s="987"/>
      <c r="I98" s="988" t="s">
        <v>2683</v>
      </c>
      <c r="J98" s="969"/>
      <c r="K98" s="969"/>
      <c r="L98" s="989"/>
      <c r="M98" s="990"/>
      <c r="N98" s="928"/>
      <c r="O98" s="953"/>
      <c r="P98" s="957"/>
      <c r="Q98" s="928"/>
      <c r="R98" s="928"/>
      <c r="S98" s="928"/>
      <c r="T98" s="928"/>
      <c r="U98" s="928"/>
      <c r="V98" s="928"/>
      <c r="W98" s="928"/>
      <c r="X98" s="928"/>
      <c r="Y98" s="928"/>
      <c r="Z98" s="928"/>
      <c r="AA98" s="928"/>
      <c r="AB98" s="928"/>
      <c r="AC98" s="928"/>
      <c r="AD98" s="928"/>
      <c r="AE98" s="928"/>
      <c r="AF98" s="928"/>
      <c r="AG98" s="928"/>
      <c r="AH98" s="928"/>
      <c r="AI98" s="928"/>
      <c r="AJ98" s="928"/>
      <c r="AK98" s="928"/>
      <c r="AL98" s="928"/>
      <c r="AM98" s="928"/>
      <c r="AN98" s="928"/>
      <c r="AO98" s="928"/>
      <c r="AP98" s="928"/>
      <c r="AQ98" s="928"/>
      <c r="AR98" s="928"/>
      <c r="AS98" s="928"/>
      <c r="AT98" s="928"/>
      <c r="AU98" s="928"/>
      <c r="AV98" s="928"/>
      <c r="AW98" s="928"/>
      <c r="AX98" s="928"/>
      <c r="AY98" s="928"/>
      <c r="AZ98" s="928"/>
      <c r="BA98" s="928"/>
      <c r="BB98" s="928"/>
      <c r="BC98" s="928"/>
      <c r="BD98" s="928"/>
      <c r="BE98" s="928"/>
      <c r="BF98" s="928"/>
      <c r="BG98" s="928"/>
      <c r="BH98" s="928"/>
      <c r="BI98" s="928"/>
      <c r="BJ98" s="928"/>
      <c r="BK98" s="928"/>
      <c r="BL98" s="928"/>
      <c r="BM98" s="928"/>
      <c r="BN98" s="928"/>
      <c r="BO98" s="928"/>
      <c r="BP98" s="928"/>
      <c r="BQ98" s="928"/>
      <c r="BR98" s="928"/>
      <c r="BS98" s="928"/>
      <c r="BT98" s="928"/>
      <c r="BU98" s="928"/>
      <c r="BV98" s="928"/>
      <c r="BW98" s="928"/>
      <c r="BX98" s="928"/>
      <c r="BY98" s="928"/>
      <c r="BZ98" s="928"/>
      <c r="CA98" s="928"/>
      <c r="CB98" s="928"/>
      <c r="CC98" s="928"/>
      <c r="CD98" s="928"/>
      <c r="CE98" s="928"/>
      <c r="CF98" s="928"/>
      <c r="CG98" s="928"/>
      <c r="CH98" s="928"/>
      <c r="CI98" s="928"/>
      <c r="CJ98" s="928"/>
      <c r="CK98" s="928"/>
      <c r="CL98" s="928"/>
      <c r="CM98" s="928"/>
      <c r="CN98" s="928"/>
      <c r="CO98" s="928"/>
      <c r="CP98" s="928"/>
      <c r="CQ98" s="928"/>
      <c r="CR98" s="928"/>
      <c r="CS98" s="928"/>
      <c r="CT98" s="928"/>
      <c r="CU98" s="928"/>
      <c r="CV98" s="928"/>
      <c r="CW98" s="928"/>
      <c r="CX98" s="928"/>
      <c r="CY98" s="928"/>
      <c r="CZ98" s="928"/>
      <c r="DA98" s="928"/>
      <c r="DB98" s="928"/>
      <c r="DC98" s="928"/>
      <c r="DD98" s="928"/>
      <c r="DE98" s="928"/>
      <c r="DF98" s="928"/>
      <c r="DG98" s="928"/>
      <c r="DH98" s="928"/>
      <c r="DI98" s="928"/>
      <c r="DJ98" s="928"/>
      <c r="DK98" s="928"/>
      <c r="DL98" s="928"/>
      <c r="DM98" s="928"/>
      <c r="DN98" s="928"/>
      <c r="DO98" s="928"/>
      <c r="DP98" s="928"/>
      <c r="DQ98" s="928"/>
      <c r="DR98" s="928"/>
      <c r="DS98" s="928"/>
      <c r="DT98" s="928"/>
      <c r="DU98" s="928"/>
      <c r="DV98" s="928"/>
      <c r="DW98" s="928"/>
      <c r="DX98" s="928"/>
      <c r="DY98" s="928"/>
      <c r="DZ98" s="928"/>
      <c r="EA98" s="928"/>
      <c r="EB98" s="928"/>
      <c r="EC98" s="928"/>
      <c r="ED98" s="928"/>
      <c r="EE98" s="928"/>
      <c r="EF98" s="928"/>
      <c r="EG98" s="928"/>
      <c r="EH98" s="928"/>
      <c r="EI98" s="928"/>
      <c r="EJ98" s="928"/>
      <c r="EK98" s="928"/>
      <c r="EL98" s="928"/>
      <c r="EM98" s="928"/>
      <c r="EN98" s="928"/>
      <c r="EO98" s="928"/>
      <c r="EP98" s="928"/>
      <c r="EQ98" s="928"/>
      <c r="ER98" s="928"/>
      <c r="ES98" s="928"/>
      <c r="ET98" s="928"/>
      <c r="EU98" s="928"/>
      <c r="EV98" s="928"/>
      <c r="EW98" s="928"/>
      <c r="EX98" s="928"/>
      <c r="EY98" s="928"/>
      <c r="EZ98" s="928"/>
      <c r="FA98" s="928"/>
      <c r="FB98" s="928"/>
      <c r="FC98" s="928"/>
      <c r="FD98" s="928"/>
      <c r="FE98" s="928"/>
      <c r="FF98" s="928"/>
      <c r="FG98" s="928"/>
      <c r="FH98" s="928"/>
      <c r="FI98" s="928"/>
      <c r="FJ98" s="928"/>
      <c r="FK98" s="928"/>
      <c r="FL98" s="928"/>
      <c r="FM98" s="928"/>
      <c r="FN98" s="928"/>
      <c r="FO98" s="928"/>
      <c r="FP98" s="928"/>
      <c r="FQ98" s="928"/>
      <c r="FR98" s="928"/>
      <c r="FS98" s="928"/>
      <c r="FT98" s="928"/>
      <c r="FU98" s="928"/>
      <c r="FV98" s="928"/>
      <c r="FW98" s="928"/>
      <c r="FX98" s="928"/>
      <c r="FY98" s="928"/>
      <c r="FZ98" s="928"/>
      <c r="GA98" s="928"/>
      <c r="GB98" s="928"/>
      <c r="GC98" s="928"/>
      <c r="GD98" s="928"/>
      <c r="GE98" s="928"/>
      <c r="GF98" s="928"/>
      <c r="GG98" s="928"/>
      <c r="GH98" s="928"/>
      <c r="GI98" s="928"/>
      <c r="GJ98" s="928"/>
      <c r="GK98" s="928"/>
      <c r="GL98" s="928"/>
      <c r="GM98" s="928"/>
      <c r="GN98" s="928"/>
      <c r="GO98" s="928"/>
      <c r="GP98" s="928"/>
      <c r="GQ98" s="928"/>
      <c r="GR98" s="928"/>
      <c r="GS98" s="928"/>
      <c r="GT98" s="928"/>
      <c r="GU98" s="928"/>
      <c r="GV98" s="928"/>
      <c r="GW98" s="928"/>
      <c r="GX98" s="928"/>
      <c r="GY98" s="928"/>
      <c r="GZ98" s="928"/>
      <c r="HA98" s="928"/>
      <c r="HB98" s="928"/>
      <c r="HC98" s="928"/>
      <c r="HD98" s="928"/>
      <c r="HE98" s="928"/>
      <c r="HF98" s="928"/>
      <c r="HG98" s="928"/>
      <c r="HH98" s="928"/>
      <c r="HI98" s="928"/>
      <c r="HJ98" s="928"/>
      <c r="HK98" s="928"/>
      <c r="HL98" s="928"/>
      <c r="HM98" s="928"/>
      <c r="HN98" s="928"/>
      <c r="HO98" s="928"/>
      <c r="HP98" s="928"/>
      <c r="HQ98" s="928"/>
      <c r="HR98" s="928"/>
      <c r="HS98" s="928"/>
      <c r="HT98" s="928"/>
      <c r="HU98" s="928"/>
      <c r="HV98" s="928"/>
      <c r="HW98" s="928"/>
      <c r="HX98" s="928"/>
      <c r="HY98" s="928"/>
      <c r="HZ98" s="928"/>
      <c r="IA98" s="928"/>
      <c r="IB98" s="928"/>
      <c r="IC98" s="928"/>
      <c r="ID98" s="928"/>
      <c r="IE98" s="928"/>
      <c r="IF98" s="928"/>
      <c r="IG98" s="928"/>
      <c r="IH98" s="928"/>
      <c r="II98" s="928"/>
      <c r="IJ98" s="928"/>
      <c r="IK98" s="928"/>
      <c r="IL98" s="928"/>
      <c r="IM98" s="928"/>
      <c r="IN98" s="928"/>
      <c r="IO98" s="928"/>
      <c r="IP98" s="928"/>
      <c r="IQ98" s="928"/>
      <c r="IR98" s="928"/>
      <c r="IS98" s="928"/>
      <c r="IT98" s="928"/>
      <c r="IU98" s="928"/>
      <c r="IV98" s="928"/>
      <c r="IW98" s="928"/>
    </row>
    <row r="99" spans="1:257" s="951" customFormat="1" ht="114" customHeight="1">
      <c r="A99" s="2472"/>
      <c r="B99" s="993" t="s">
        <v>2140</v>
      </c>
      <c r="C99" s="985">
        <v>4</v>
      </c>
      <c r="D99" s="985">
        <v>5</v>
      </c>
      <c r="E99" s="986" t="s">
        <v>1443</v>
      </c>
      <c r="F99" s="968" t="str">
        <f>IF(Scoring!I108="","",Scoring!I108)</f>
        <v/>
      </c>
      <c r="G99" s="987"/>
      <c r="H99" s="987"/>
      <c r="I99" s="988" t="s">
        <v>2682</v>
      </c>
      <c r="J99" s="969"/>
      <c r="K99" s="969"/>
      <c r="L99" s="989"/>
      <c r="M99" s="990"/>
      <c r="N99" s="928"/>
      <c r="O99" s="953"/>
      <c r="P99" s="957"/>
      <c r="Q99" s="928"/>
      <c r="R99" s="928"/>
      <c r="S99" s="928"/>
      <c r="T99" s="928"/>
      <c r="U99" s="928"/>
      <c r="V99" s="928"/>
      <c r="W99" s="928"/>
      <c r="X99" s="928"/>
      <c r="Y99" s="928"/>
      <c r="Z99" s="928"/>
      <c r="AA99" s="928"/>
      <c r="AB99" s="928"/>
      <c r="AC99" s="928"/>
      <c r="AD99" s="928"/>
      <c r="AE99" s="928"/>
      <c r="AF99" s="928"/>
      <c r="AG99" s="928"/>
      <c r="AH99" s="928"/>
      <c r="AI99" s="928"/>
      <c r="AJ99" s="928"/>
      <c r="AK99" s="928"/>
      <c r="AL99" s="928"/>
      <c r="AM99" s="928"/>
      <c r="AN99" s="928"/>
      <c r="AO99" s="928"/>
      <c r="AP99" s="928"/>
      <c r="AQ99" s="928"/>
      <c r="AR99" s="928"/>
      <c r="AS99" s="928"/>
      <c r="AT99" s="928"/>
      <c r="AU99" s="928"/>
      <c r="AV99" s="928"/>
      <c r="AW99" s="928"/>
      <c r="AX99" s="928"/>
      <c r="AY99" s="928"/>
      <c r="AZ99" s="928"/>
      <c r="BA99" s="928"/>
      <c r="BB99" s="928"/>
      <c r="BC99" s="928"/>
      <c r="BD99" s="928"/>
      <c r="BE99" s="928"/>
      <c r="BF99" s="928"/>
      <c r="BG99" s="928"/>
      <c r="BH99" s="928"/>
      <c r="BI99" s="928"/>
      <c r="BJ99" s="928"/>
      <c r="BK99" s="928"/>
      <c r="BL99" s="928"/>
      <c r="BM99" s="928"/>
      <c r="BN99" s="928"/>
      <c r="BO99" s="928"/>
      <c r="BP99" s="928"/>
      <c r="BQ99" s="928"/>
      <c r="BR99" s="928"/>
      <c r="BS99" s="928"/>
      <c r="BT99" s="928"/>
      <c r="BU99" s="928"/>
      <c r="BV99" s="928"/>
      <c r="BW99" s="928"/>
      <c r="BX99" s="928"/>
      <c r="BY99" s="928"/>
      <c r="BZ99" s="928"/>
      <c r="CA99" s="928"/>
      <c r="CB99" s="928"/>
      <c r="CC99" s="928"/>
      <c r="CD99" s="928"/>
      <c r="CE99" s="928"/>
      <c r="CF99" s="928"/>
      <c r="CG99" s="928"/>
      <c r="CH99" s="928"/>
      <c r="CI99" s="928"/>
      <c r="CJ99" s="928"/>
      <c r="CK99" s="928"/>
      <c r="CL99" s="928"/>
      <c r="CM99" s="928"/>
      <c r="CN99" s="928"/>
      <c r="CO99" s="928"/>
      <c r="CP99" s="928"/>
      <c r="CQ99" s="928"/>
      <c r="CR99" s="928"/>
      <c r="CS99" s="928"/>
      <c r="CT99" s="928"/>
      <c r="CU99" s="928"/>
      <c r="CV99" s="928"/>
      <c r="CW99" s="928"/>
      <c r="CX99" s="928"/>
      <c r="CY99" s="928"/>
      <c r="CZ99" s="928"/>
      <c r="DA99" s="928"/>
      <c r="DB99" s="928"/>
      <c r="DC99" s="928"/>
      <c r="DD99" s="928"/>
      <c r="DE99" s="928"/>
      <c r="DF99" s="928"/>
      <c r="DG99" s="928"/>
      <c r="DH99" s="928"/>
      <c r="DI99" s="928"/>
      <c r="DJ99" s="928"/>
      <c r="DK99" s="928"/>
      <c r="DL99" s="928"/>
      <c r="DM99" s="928"/>
      <c r="DN99" s="928"/>
      <c r="DO99" s="928"/>
      <c r="DP99" s="928"/>
      <c r="DQ99" s="928"/>
      <c r="DR99" s="928"/>
      <c r="DS99" s="928"/>
      <c r="DT99" s="928"/>
      <c r="DU99" s="928"/>
      <c r="DV99" s="928"/>
      <c r="DW99" s="928"/>
      <c r="DX99" s="928"/>
      <c r="DY99" s="928"/>
      <c r="DZ99" s="928"/>
      <c r="EA99" s="928"/>
      <c r="EB99" s="928"/>
      <c r="EC99" s="928"/>
      <c r="ED99" s="928"/>
      <c r="EE99" s="928"/>
      <c r="EF99" s="928"/>
      <c r="EG99" s="928"/>
      <c r="EH99" s="928"/>
      <c r="EI99" s="928"/>
      <c r="EJ99" s="928"/>
      <c r="EK99" s="928"/>
      <c r="EL99" s="928"/>
      <c r="EM99" s="928"/>
      <c r="EN99" s="928"/>
      <c r="EO99" s="928"/>
      <c r="EP99" s="928"/>
      <c r="EQ99" s="928"/>
      <c r="ER99" s="928"/>
      <c r="ES99" s="928"/>
      <c r="ET99" s="928"/>
      <c r="EU99" s="928"/>
      <c r="EV99" s="928"/>
      <c r="EW99" s="928"/>
      <c r="EX99" s="928"/>
      <c r="EY99" s="928"/>
      <c r="EZ99" s="928"/>
      <c r="FA99" s="928"/>
      <c r="FB99" s="928"/>
      <c r="FC99" s="928"/>
      <c r="FD99" s="928"/>
      <c r="FE99" s="928"/>
      <c r="FF99" s="928"/>
      <c r="FG99" s="928"/>
      <c r="FH99" s="928"/>
      <c r="FI99" s="928"/>
      <c r="FJ99" s="928"/>
      <c r="FK99" s="928"/>
      <c r="FL99" s="928"/>
      <c r="FM99" s="928"/>
      <c r="FN99" s="928"/>
      <c r="FO99" s="928"/>
      <c r="FP99" s="928"/>
      <c r="FQ99" s="928"/>
      <c r="FR99" s="928"/>
      <c r="FS99" s="928"/>
      <c r="FT99" s="928"/>
      <c r="FU99" s="928"/>
      <c r="FV99" s="928"/>
      <c r="FW99" s="928"/>
      <c r="FX99" s="928"/>
      <c r="FY99" s="928"/>
      <c r="FZ99" s="928"/>
      <c r="GA99" s="928"/>
      <c r="GB99" s="928"/>
      <c r="GC99" s="928"/>
      <c r="GD99" s="928"/>
      <c r="GE99" s="928"/>
      <c r="GF99" s="928"/>
      <c r="GG99" s="928"/>
      <c r="GH99" s="928"/>
      <c r="GI99" s="928"/>
      <c r="GJ99" s="928"/>
      <c r="GK99" s="928"/>
      <c r="GL99" s="928"/>
      <c r="GM99" s="928"/>
      <c r="GN99" s="928"/>
      <c r="GO99" s="928"/>
      <c r="GP99" s="928"/>
      <c r="GQ99" s="928"/>
      <c r="GR99" s="928"/>
      <c r="GS99" s="928"/>
      <c r="GT99" s="928"/>
      <c r="GU99" s="928"/>
      <c r="GV99" s="928"/>
      <c r="GW99" s="928"/>
      <c r="GX99" s="928"/>
      <c r="GY99" s="928"/>
      <c r="GZ99" s="928"/>
      <c r="HA99" s="928"/>
      <c r="HB99" s="928"/>
      <c r="HC99" s="928"/>
      <c r="HD99" s="928"/>
      <c r="HE99" s="928"/>
      <c r="HF99" s="928"/>
      <c r="HG99" s="928"/>
      <c r="HH99" s="928"/>
      <c r="HI99" s="928"/>
      <c r="HJ99" s="928"/>
      <c r="HK99" s="928"/>
      <c r="HL99" s="928"/>
      <c r="HM99" s="928"/>
      <c r="HN99" s="928"/>
      <c r="HO99" s="928"/>
      <c r="HP99" s="928"/>
      <c r="HQ99" s="928"/>
      <c r="HR99" s="928"/>
      <c r="HS99" s="928"/>
      <c r="HT99" s="928"/>
      <c r="HU99" s="928"/>
      <c r="HV99" s="928"/>
      <c r="HW99" s="928"/>
      <c r="HX99" s="928"/>
      <c r="HY99" s="928"/>
      <c r="HZ99" s="928"/>
      <c r="IA99" s="928"/>
      <c r="IB99" s="928"/>
      <c r="IC99" s="928"/>
      <c r="ID99" s="928"/>
      <c r="IE99" s="928"/>
      <c r="IF99" s="928"/>
      <c r="IG99" s="928"/>
      <c r="IH99" s="928"/>
      <c r="II99" s="928"/>
      <c r="IJ99" s="928"/>
      <c r="IK99" s="928"/>
      <c r="IL99" s="928"/>
      <c r="IM99" s="928"/>
      <c r="IN99" s="928"/>
      <c r="IO99" s="928"/>
      <c r="IP99" s="928"/>
      <c r="IQ99" s="928"/>
      <c r="IR99" s="928"/>
      <c r="IS99" s="928"/>
      <c r="IT99" s="928"/>
      <c r="IU99" s="928"/>
      <c r="IV99" s="928"/>
      <c r="IW99" s="928"/>
    </row>
    <row r="100" spans="1:257" s="951" customFormat="1" ht="108" customHeight="1">
      <c r="A100" s="2472"/>
      <c r="B100" s="993" t="s">
        <v>2142</v>
      </c>
      <c r="C100" s="985">
        <v>2</v>
      </c>
      <c r="D100" s="985">
        <v>3</v>
      </c>
      <c r="E100" s="986" t="s">
        <v>1445</v>
      </c>
      <c r="F100" s="968" t="str">
        <f>IF(Scoring!I109="","",Scoring!I109)</f>
        <v/>
      </c>
      <c r="G100" s="987"/>
      <c r="H100" s="987"/>
      <c r="I100" s="988" t="s">
        <v>2681</v>
      </c>
      <c r="J100" s="969"/>
      <c r="K100" s="969"/>
      <c r="L100" s="989"/>
      <c r="M100" s="990"/>
      <c r="N100" s="928"/>
      <c r="O100" s="953"/>
      <c r="P100" s="957"/>
      <c r="Q100" s="928"/>
      <c r="R100" s="928"/>
      <c r="S100" s="928"/>
      <c r="T100" s="928"/>
      <c r="U100" s="928"/>
      <c r="V100" s="928"/>
      <c r="W100" s="928"/>
      <c r="X100" s="928"/>
      <c r="Y100" s="928"/>
      <c r="Z100" s="928"/>
      <c r="AA100" s="928"/>
      <c r="AB100" s="928"/>
      <c r="AC100" s="928"/>
      <c r="AD100" s="928"/>
      <c r="AE100" s="928"/>
      <c r="AF100" s="928"/>
      <c r="AG100" s="928"/>
      <c r="AH100" s="928"/>
      <c r="AI100" s="928"/>
      <c r="AJ100" s="928"/>
      <c r="AK100" s="928"/>
      <c r="AL100" s="928"/>
      <c r="AM100" s="928"/>
      <c r="AN100" s="928"/>
      <c r="AO100" s="928"/>
      <c r="AP100" s="928"/>
      <c r="AQ100" s="928"/>
      <c r="AR100" s="928"/>
      <c r="AS100" s="928"/>
      <c r="AT100" s="928"/>
      <c r="AU100" s="928"/>
      <c r="AV100" s="928"/>
      <c r="AW100" s="928"/>
      <c r="AX100" s="928"/>
      <c r="AY100" s="928"/>
      <c r="AZ100" s="928"/>
      <c r="BA100" s="928"/>
      <c r="BB100" s="928"/>
      <c r="BC100" s="928"/>
      <c r="BD100" s="928"/>
      <c r="BE100" s="928"/>
      <c r="BF100" s="928"/>
      <c r="BG100" s="928"/>
      <c r="BH100" s="928"/>
      <c r="BI100" s="928"/>
      <c r="BJ100" s="928"/>
      <c r="BK100" s="928"/>
      <c r="BL100" s="928"/>
      <c r="BM100" s="928"/>
      <c r="BN100" s="928"/>
      <c r="BO100" s="928"/>
      <c r="BP100" s="928"/>
      <c r="BQ100" s="928"/>
      <c r="BR100" s="928"/>
      <c r="BS100" s="928"/>
      <c r="BT100" s="928"/>
      <c r="BU100" s="928"/>
      <c r="BV100" s="928"/>
      <c r="BW100" s="928"/>
      <c r="BX100" s="928"/>
      <c r="BY100" s="928"/>
      <c r="BZ100" s="928"/>
      <c r="CA100" s="928"/>
      <c r="CB100" s="928"/>
      <c r="CC100" s="928"/>
      <c r="CD100" s="928"/>
      <c r="CE100" s="928"/>
      <c r="CF100" s="928"/>
      <c r="CG100" s="928"/>
      <c r="CH100" s="928"/>
      <c r="CI100" s="928"/>
      <c r="CJ100" s="928"/>
      <c r="CK100" s="928"/>
      <c r="CL100" s="928"/>
      <c r="CM100" s="928"/>
      <c r="CN100" s="928"/>
      <c r="CO100" s="928"/>
      <c r="CP100" s="928"/>
      <c r="CQ100" s="928"/>
      <c r="CR100" s="928"/>
      <c r="CS100" s="928"/>
      <c r="CT100" s="928"/>
      <c r="CU100" s="928"/>
      <c r="CV100" s="928"/>
      <c r="CW100" s="928"/>
      <c r="CX100" s="928"/>
      <c r="CY100" s="928"/>
      <c r="CZ100" s="928"/>
      <c r="DA100" s="928"/>
      <c r="DB100" s="928"/>
      <c r="DC100" s="928"/>
      <c r="DD100" s="928"/>
      <c r="DE100" s="928"/>
      <c r="DF100" s="928"/>
      <c r="DG100" s="928"/>
      <c r="DH100" s="928"/>
      <c r="DI100" s="928"/>
      <c r="DJ100" s="928"/>
      <c r="DK100" s="928"/>
      <c r="DL100" s="928"/>
      <c r="DM100" s="928"/>
      <c r="DN100" s="928"/>
      <c r="DO100" s="928"/>
      <c r="DP100" s="928"/>
      <c r="DQ100" s="928"/>
      <c r="DR100" s="928"/>
      <c r="DS100" s="928"/>
      <c r="DT100" s="928"/>
      <c r="DU100" s="928"/>
      <c r="DV100" s="928"/>
      <c r="DW100" s="928"/>
      <c r="DX100" s="928"/>
      <c r="DY100" s="928"/>
      <c r="DZ100" s="928"/>
      <c r="EA100" s="928"/>
      <c r="EB100" s="928"/>
      <c r="EC100" s="928"/>
      <c r="ED100" s="928"/>
      <c r="EE100" s="928"/>
      <c r="EF100" s="928"/>
      <c r="EG100" s="928"/>
      <c r="EH100" s="928"/>
      <c r="EI100" s="928"/>
      <c r="EJ100" s="928"/>
      <c r="EK100" s="928"/>
      <c r="EL100" s="928"/>
      <c r="EM100" s="928"/>
      <c r="EN100" s="928"/>
      <c r="EO100" s="928"/>
      <c r="EP100" s="928"/>
      <c r="EQ100" s="928"/>
      <c r="ER100" s="928"/>
      <c r="ES100" s="928"/>
      <c r="ET100" s="928"/>
      <c r="EU100" s="928"/>
      <c r="EV100" s="928"/>
      <c r="EW100" s="928"/>
      <c r="EX100" s="928"/>
      <c r="EY100" s="928"/>
      <c r="EZ100" s="928"/>
      <c r="FA100" s="928"/>
      <c r="FB100" s="928"/>
      <c r="FC100" s="928"/>
      <c r="FD100" s="928"/>
      <c r="FE100" s="928"/>
      <c r="FF100" s="928"/>
      <c r="FG100" s="928"/>
      <c r="FH100" s="928"/>
      <c r="FI100" s="928"/>
      <c r="FJ100" s="928"/>
      <c r="FK100" s="928"/>
      <c r="FL100" s="928"/>
      <c r="FM100" s="928"/>
      <c r="FN100" s="928"/>
      <c r="FO100" s="928"/>
      <c r="FP100" s="928"/>
      <c r="FQ100" s="928"/>
      <c r="FR100" s="928"/>
      <c r="FS100" s="928"/>
      <c r="FT100" s="928"/>
      <c r="FU100" s="928"/>
      <c r="FV100" s="928"/>
      <c r="FW100" s="928"/>
      <c r="FX100" s="928"/>
      <c r="FY100" s="928"/>
      <c r="FZ100" s="928"/>
      <c r="GA100" s="928"/>
      <c r="GB100" s="928"/>
      <c r="GC100" s="928"/>
      <c r="GD100" s="928"/>
      <c r="GE100" s="928"/>
      <c r="GF100" s="928"/>
      <c r="GG100" s="928"/>
      <c r="GH100" s="928"/>
      <c r="GI100" s="928"/>
      <c r="GJ100" s="928"/>
      <c r="GK100" s="928"/>
      <c r="GL100" s="928"/>
      <c r="GM100" s="928"/>
      <c r="GN100" s="928"/>
      <c r="GO100" s="928"/>
      <c r="GP100" s="928"/>
      <c r="GQ100" s="928"/>
      <c r="GR100" s="928"/>
      <c r="GS100" s="928"/>
      <c r="GT100" s="928"/>
      <c r="GU100" s="928"/>
      <c r="GV100" s="928"/>
      <c r="GW100" s="928"/>
      <c r="GX100" s="928"/>
      <c r="GY100" s="928"/>
      <c r="GZ100" s="928"/>
      <c r="HA100" s="928"/>
      <c r="HB100" s="928"/>
      <c r="HC100" s="928"/>
      <c r="HD100" s="928"/>
      <c r="HE100" s="928"/>
      <c r="HF100" s="928"/>
      <c r="HG100" s="928"/>
      <c r="HH100" s="928"/>
      <c r="HI100" s="928"/>
      <c r="HJ100" s="928"/>
      <c r="HK100" s="928"/>
      <c r="HL100" s="928"/>
      <c r="HM100" s="928"/>
      <c r="HN100" s="928"/>
      <c r="HO100" s="928"/>
      <c r="HP100" s="928"/>
      <c r="HQ100" s="928"/>
      <c r="HR100" s="928"/>
      <c r="HS100" s="928"/>
      <c r="HT100" s="928"/>
      <c r="HU100" s="928"/>
      <c r="HV100" s="928"/>
      <c r="HW100" s="928"/>
      <c r="HX100" s="928"/>
      <c r="HY100" s="928"/>
      <c r="HZ100" s="928"/>
      <c r="IA100" s="928"/>
      <c r="IB100" s="928"/>
      <c r="IC100" s="928"/>
      <c r="ID100" s="928"/>
      <c r="IE100" s="928"/>
      <c r="IF100" s="928"/>
      <c r="IG100" s="928"/>
      <c r="IH100" s="928"/>
      <c r="II100" s="928"/>
      <c r="IJ100" s="928"/>
      <c r="IK100" s="928"/>
      <c r="IL100" s="928"/>
      <c r="IM100" s="928"/>
      <c r="IN100" s="928"/>
      <c r="IO100" s="928"/>
      <c r="IP100" s="928"/>
      <c r="IQ100" s="928"/>
      <c r="IR100" s="928"/>
      <c r="IS100" s="928"/>
      <c r="IT100" s="928"/>
      <c r="IU100" s="928"/>
      <c r="IV100" s="928"/>
      <c r="IW100" s="928"/>
    </row>
    <row r="101" spans="1:257" s="951" customFormat="1" ht="98.25" customHeight="1">
      <c r="A101" s="2472"/>
      <c r="B101" s="993" t="s">
        <v>2144</v>
      </c>
      <c r="C101" s="985">
        <v>3</v>
      </c>
      <c r="D101" s="985">
        <v>5</v>
      </c>
      <c r="E101" s="986" t="s">
        <v>1447</v>
      </c>
      <c r="F101" s="968" t="str">
        <f>IF(Scoring!I110="","",Scoring!I110)</f>
        <v/>
      </c>
      <c r="G101" s="987"/>
      <c r="H101" s="987"/>
      <c r="I101" s="988" t="s">
        <v>2680</v>
      </c>
      <c r="J101" s="969"/>
      <c r="K101" s="969"/>
      <c r="L101" s="989"/>
      <c r="M101" s="990"/>
      <c r="N101" s="928"/>
      <c r="O101" s="953"/>
      <c r="P101" s="957"/>
      <c r="Q101" s="928"/>
      <c r="R101" s="928"/>
      <c r="S101" s="928"/>
      <c r="T101" s="928"/>
      <c r="U101" s="928"/>
      <c r="V101" s="928"/>
      <c r="W101" s="928"/>
      <c r="X101" s="928"/>
      <c r="Y101" s="928"/>
      <c r="Z101" s="928"/>
      <c r="AA101" s="928"/>
      <c r="AB101" s="928"/>
      <c r="AC101" s="928"/>
      <c r="AD101" s="928"/>
      <c r="AE101" s="928"/>
      <c r="AF101" s="928"/>
      <c r="AG101" s="928"/>
      <c r="AH101" s="928"/>
      <c r="AI101" s="928"/>
      <c r="AJ101" s="928"/>
      <c r="AK101" s="928"/>
      <c r="AL101" s="928"/>
      <c r="AM101" s="928"/>
      <c r="AN101" s="928"/>
      <c r="AO101" s="928"/>
      <c r="AP101" s="928"/>
      <c r="AQ101" s="928"/>
      <c r="AR101" s="928"/>
      <c r="AS101" s="928"/>
      <c r="AT101" s="928"/>
      <c r="AU101" s="928"/>
      <c r="AV101" s="928"/>
      <c r="AW101" s="928"/>
      <c r="AX101" s="928"/>
      <c r="AY101" s="928"/>
      <c r="AZ101" s="928"/>
      <c r="BA101" s="928"/>
      <c r="BB101" s="928"/>
      <c r="BC101" s="928"/>
      <c r="BD101" s="928"/>
      <c r="BE101" s="928"/>
      <c r="BF101" s="928"/>
      <c r="BG101" s="928"/>
      <c r="BH101" s="928"/>
      <c r="BI101" s="928"/>
      <c r="BJ101" s="928"/>
      <c r="BK101" s="928"/>
      <c r="BL101" s="928"/>
      <c r="BM101" s="928"/>
      <c r="BN101" s="928"/>
      <c r="BO101" s="928"/>
      <c r="BP101" s="928"/>
      <c r="BQ101" s="928"/>
      <c r="BR101" s="928"/>
      <c r="BS101" s="928"/>
      <c r="BT101" s="928"/>
      <c r="BU101" s="928"/>
      <c r="BV101" s="928"/>
      <c r="BW101" s="928"/>
      <c r="BX101" s="928"/>
      <c r="BY101" s="928"/>
      <c r="BZ101" s="928"/>
      <c r="CA101" s="928"/>
      <c r="CB101" s="928"/>
      <c r="CC101" s="928"/>
      <c r="CD101" s="928"/>
      <c r="CE101" s="928"/>
      <c r="CF101" s="928"/>
      <c r="CG101" s="928"/>
      <c r="CH101" s="928"/>
      <c r="CI101" s="928"/>
      <c r="CJ101" s="928"/>
      <c r="CK101" s="928"/>
      <c r="CL101" s="928"/>
      <c r="CM101" s="928"/>
      <c r="CN101" s="928"/>
      <c r="CO101" s="928"/>
      <c r="CP101" s="928"/>
      <c r="CQ101" s="928"/>
      <c r="CR101" s="928"/>
      <c r="CS101" s="928"/>
      <c r="CT101" s="928"/>
      <c r="CU101" s="928"/>
      <c r="CV101" s="928"/>
      <c r="CW101" s="928"/>
      <c r="CX101" s="928"/>
      <c r="CY101" s="928"/>
      <c r="CZ101" s="928"/>
      <c r="DA101" s="928"/>
      <c r="DB101" s="928"/>
      <c r="DC101" s="928"/>
      <c r="DD101" s="928"/>
      <c r="DE101" s="928"/>
      <c r="DF101" s="928"/>
      <c r="DG101" s="928"/>
      <c r="DH101" s="928"/>
      <c r="DI101" s="928"/>
      <c r="DJ101" s="928"/>
      <c r="DK101" s="928"/>
      <c r="DL101" s="928"/>
      <c r="DM101" s="928"/>
      <c r="DN101" s="928"/>
      <c r="DO101" s="928"/>
      <c r="DP101" s="928"/>
      <c r="DQ101" s="928"/>
      <c r="DR101" s="928"/>
      <c r="DS101" s="928"/>
      <c r="DT101" s="928"/>
      <c r="DU101" s="928"/>
      <c r="DV101" s="928"/>
      <c r="DW101" s="928"/>
      <c r="DX101" s="928"/>
      <c r="DY101" s="928"/>
      <c r="DZ101" s="928"/>
      <c r="EA101" s="928"/>
      <c r="EB101" s="928"/>
      <c r="EC101" s="928"/>
      <c r="ED101" s="928"/>
      <c r="EE101" s="928"/>
      <c r="EF101" s="928"/>
      <c r="EG101" s="928"/>
      <c r="EH101" s="928"/>
      <c r="EI101" s="928"/>
      <c r="EJ101" s="928"/>
      <c r="EK101" s="928"/>
      <c r="EL101" s="928"/>
      <c r="EM101" s="928"/>
      <c r="EN101" s="928"/>
      <c r="EO101" s="928"/>
      <c r="EP101" s="928"/>
      <c r="EQ101" s="928"/>
      <c r="ER101" s="928"/>
      <c r="ES101" s="928"/>
      <c r="ET101" s="928"/>
      <c r="EU101" s="928"/>
      <c r="EV101" s="928"/>
      <c r="EW101" s="928"/>
      <c r="EX101" s="928"/>
      <c r="EY101" s="928"/>
      <c r="EZ101" s="928"/>
      <c r="FA101" s="928"/>
      <c r="FB101" s="928"/>
      <c r="FC101" s="928"/>
      <c r="FD101" s="928"/>
      <c r="FE101" s="928"/>
      <c r="FF101" s="928"/>
      <c r="FG101" s="928"/>
      <c r="FH101" s="928"/>
      <c r="FI101" s="928"/>
      <c r="FJ101" s="928"/>
      <c r="FK101" s="928"/>
      <c r="FL101" s="928"/>
      <c r="FM101" s="928"/>
      <c r="FN101" s="928"/>
      <c r="FO101" s="928"/>
      <c r="FP101" s="928"/>
      <c r="FQ101" s="928"/>
      <c r="FR101" s="928"/>
      <c r="FS101" s="928"/>
      <c r="FT101" s="928"/>
      <c r="FU101" s="928"/>
      <c r="FV101" s="928"/>
      <c r="FW101" s="928"/>
      <c r="FX101" s="928"/>
      <c r="FY101" s="928"/>
      <c r="FZ101" s="928"/>
      <c r="GA101" s="928"/>
      <c r="GB101" s="928"/>
      <c r="GC101" s="928"/>
      <c r="GD101" s="928"/>
      <c r="GE101" s="928"/>
      <c r="GF101" s="928"/>
      <c r="GG101" s="928"/>
      <c r="GH101" s="928"/>
      <c r="GI101" s="928"/>
      <c r="GJ101" s="928"/>
      <c r="GK101" s="928"/>
      <c r="GL101" s="928"/>
      <c r="GM101" s="928"/>
      <c r="GN101" s="928"/>
      <c r="GO101" s="928"/>
      <c r="GP101" s="928"/>
      <c r="GQ101" s="928"/>
      <c r="GR101" s="928"/>
      <c r="GS101" s="928"/>
      <c r="GT101" s="928"/>
      <c r="GU101" s="928"/>
      <c r="GV101" s="928"/>
      <c r="GW101" s="928"/>
      <c r="GX101" s="928"/>
      <c r="GY101" s="928"/>
      <c r="GZ101" s="928"/>
      <c r="HA101" s="928"/>
      <c r="HB101" s="928"/>
      <c r="HC101" s="928"/>
      <c r="HD101" s="928"/>
      <c r="HE101" s="928"/>
      <c r="HF101" s="928"/>
      <c r="HG101" s="928"/>
      <c r="HH101" s="928"/>
      <c r="HI101" s="928"/>
      <c r="HJ101" s="928"/>
      <c r="HK101" s="928"/>
      <c r="HL101" s="928"/>
      <c r="HM101" s="928"/>
      <c r="HN101" s="928"/>
      <c r="HO101" s="928"/>
      <c r="HP101" s="928"/>
      <c r="HQ101" s="928"/>
      <c r="HR101" s="928"/>
      <c r="HS101" s="928"/>
      <c r="HT101" s="928"/>
      <c r="HU101" s="928"/>
      <c r="HV101" s="928"/>
      <c r="HW101" s="928"/>
      <c r="HX101" s="928"/>
      <c r="HY101" s="928"/>
      <c r="HZ101" s="928"/>
      <c r="IA101" s="928"/>
      <c r="IB101" s="928"/>
      <c r="IC101" s="928"/>
      <c r="ID101" s="928"/>
      <c r="IE101" s="928"/>
      <c r="IF101" s="928"/>
      <c r="IG101" s="928"/>
      <c r="IH101" s="928"/>
      <c r="II101" s="928"/>
      <c r="IJ101" s="928"/>
      <c r="IK101" s="928"/>
      <c r="IL101" s="928"/>
      <c r="IM101" s="928"/>
      <c r="IN101" s="928"/>
      <c r="IO101" s="928"/>
      <c r="IP101" s="928"/>
      <c r="IQ101" s="928"/>
      <c r="IR101" s="928"/>
      <c r="IS101" s="928"/>
      <c r="IT101" s="928"/>
      <c r="IU101" s="928"/>
      <c r="IV101" s="928"/>
      <c r="IW101" s="928"/>
    </row>
    <row r="102" spans="1:257" s="951" customFormat="1" ht="204.75" customHeight="1">
      <c r="A102" s="2472"/>
      <c r="B102" s="993" t="s">
        <v>2679</v>
      </c>
      <c r="C102" s="985">
        <v>4</v>
      </c>
      <c r="D102" s="985">
        <v>5</v>
      </c>
      <c r="E102" s="986" t="s">
        <v>2678</v>
      </c>
      <c r="F102" s="968" t="str">
        <f>IF(Scoring!I111="","",Scoring!I111)</f>
        <v/>
      </c>
      <c r="G102" s="987"/>
      <c r="H102" s="987"/>
      <c r="I102" s="988" t="s">
        <v>2677</v>
      </c>
      <c r="J102" s="969"/>
      <c r="K102" s="969"/>
      <c r="L102" s="989"/>
      <c r="M102" s="990"/>
      <c r="N102" s="928"/>
      <c r="O102" s="953"/>
      <c r="P102" s="957"/>
      <c r="Q102" s="928"/>
      <c r="R102" s="928"/>
      <c r="S102" s="928"/>
      <c r="T102" s="928"/>
      <c r="U102" s="928"/>
      <c r="V102" s="928"/>
      <c r="W102" s="928"/>
      <c r="X102" s="928"/>
      <c r="Y102" s="928"/>
      <c r="Z102" s="928"/>
      <c r="AA102" s="928"/>
      <c r="AB102" s="928"/>
      <c r="AC102" s="928"/>
      <c r="AD102" s="928"/>
      <c r="AE102" s="928"/>
      <c r="AF102" s="928"/>
      <c r="AG102" s="928"/>
      <c r="AH102" s="928"/>
      <c r="AI102" s="928"/>
      <c r="AJ102" s="928"/>
      <c r="AK102" s="928"/>
      <c r="AL102" s="928"/>
      <c r="AM102" s="928"/>
      <c r="AN102" s="928"/>
      <c r="AO102" s="928"/>
      <c r="AP102" s="928"/>
      <c r="AQ102" s="928"/>
      <c r="AR102" s="928"/>
      <c r="AS102" s="928"/>
      <c r="AT102" s="928"/>
      <c r="AU102" s="928"/>
      <c r="AV102" s="928"/>
      <c r="AW102" s="928"/>
      <c r="AX102" s="928"/>
      <c r="AY102" s="928"/>
      <c r="AZ102" s="928"/>
      <c r="BA102" s="928"/>
      <c r="BB102" s="928"/>
      <c r="BC102" s="928"/>
      <c r="BD102" s="928"/>
      <c r="BE102" s="928"/>
      <c r="BF102" s="928"/>
      <c r="BG102" s="928"/>
      <c r="BH102" s="928"/>
      <c r="BI102" s="928"/>
      <c r="BJ102" s="928"/>
      <c r="BK102" s="928"/>
      <c r="BL102" s="928"/>
      <c r="BM102" s="928"/>
      <c r="BN102" s="928"/>
      <c r="BO102" s="928"/>
      <c r="BP102" s="928"/>
      <c r="BQ102" s="928"/>
      <c r="BR102" s="928"/>
      <c r="BS102" s="928"/>
      <c r="BT102" s="928"/>
      <c r="BU102" s="928"/>
      <c r="BV102" s="928"/>
      <c r="BW102" s="928"/>
      <c r="BX102" s="928"/>
      <c r="BY102" s="928"/>
      <c r="BZ102" s="928"/>
      <c r="CA102" s="928"/>
      <c r="CB102" s="928"/>
      <c r="CC102" s="928"/>
      <c r="CD102" s="928"/>
      <c r="CE102" s="928"/>
      <c r="CF102" s="928"/>
      <c r="CG102" s="928"/>
      <c r="CH102" s="928"/>
      <c r="CI102" s="928"/>
      <c r="CJ102" s="928"/>
      <c r="CK102" s="928"/>
      <c r="CL102" s="928"/>
      <c r="CM102" s="928"/>
      <c r="CN102" s="928"/>
      <c r="CO102" s="928"/>
      <c r="CP102" s="928"/>
      <c r="CQ102" s="928"/>
      <c r="CR102" s="928"/>
      <c r="CS102" s="928"/>
      <c r="CT102" s="928"/>
      <c r="CU102" s="928"/>
      <c r="CV102" s="928"/>
      <c r="CW102" s="928"/>
      <c r="CX102" s="928"/>
      <c r="CY102" s="928"/>
      <c r="CZ102" s="928"/>
      <c r="DA102" s="928"/>
      <c r="DB102" s="928"/>
      <c r="DC102" s="928"/>
      <c r="DD102" s="928"/>
      <c r="DE102" s="928"/>
      <c r="DF102" s="928"/>
      <c r="DG102" s="928"/>
      <c r="DH102" s="928"/>
      <c r="DI102" s="928"/>
      <c r="DJ102" s="928"/>
      <c r="DK102" s="928"/>
      <c r="DL102" s="928"/>
      <c r="DM102" s="928"/>
      <c r="DN102" s="928"/>
      <c r="DO102" s="928"/>
      <c r="DP102" s="928"/>
      <c r="DQ102" s="928"/>
      <c r="DR102" s="928"/>
      <c r="DS102" s="928"/>
      <c r="DT102" s="928"/>
      <c r="DU102" s="928"/>
      <c r="DV102" s="928"/>
      <c r="DW102" s="928"/>
      <c r="DX102" s="928"/>
      <c r="DY102" s="928"/>
      <c r="DZ102" s="928"/>
      <c r="EA102" s="928"/>
      <c r="EB102" s="928"/>
      <c r="EC102" s="928"/>
      <c r="ED102" s="928"/>
      <c r="EE102" s="928"/>
      <c r="EF102" s="928"/>
      <c r="EG102" s="928"/>
      <c r="EH102" s="928"/>
      <c r="EI102" s="928"/>
      <c r="EJ102" s="928"/>
      <c r="EK102" s="928"/>
      <c r="EL102" s="928"/>
      <c r="EM102" s="928"/>
      <c r="EN102" s="928"/>
      <c r="EO102" s="928"/>
      <c r="EP102" s="928"/>
      <c r="EQ102" s="928"/>
      <c r="ER102" s="928"/>
      <c r="ES102" s="928"/>
      <c r="ET102" s="928"/>
      <c r="EU102" s="928"/>
      <c r="EV102" s="928"/>
      <c r="EW102" s="928"/>
      <c r="EX102" s="928"/>
      <c r="EY102" s="928"/>
      <c r="EZ102" s="928"/>
      <c r="FA102" s="928"/>
      <c r="FB102" s="928"/>
      <c r="FC102" s="928"/>
      <c r="FD102" s="928"/>
      <c r="FE102" s="928"/>
      <c r="FF102" s="928"/>
      <c r="FG102" s="928"/>
      <c r="FH102" s="928"/>
      <c r="FI102" s="928"/>
      <c r="FJ102" s="928"/>
      <c r="FK102" s="928"/>
      <c r="FL102" s="928"/>
      <c r="FM102" s="928"/>
      <c r="FN102" s="928"/>
      <c r="FO102" s="928"/>
      <c r="FP102" s="928"/>
      <c r="FQ102" s="928"/>
      <c r="FR102" s="928"/>
      <c r="FS102" s="928"/>
      <c r="FT102" s="928"/>
      <c r="FU102" s="928"/>
      <c r="FV102" s="928"/>
      <c r="FW102" s="928"/>
      <c r="FX102" s="928"/>
      <c r="FY102" s="928"/>
      <c r="FZ102" s="928"/>
      <c r="GA102" s="928"/>
      <c r="GB102" s="928"/>
      <c r="GC102" s="928"/>
      <c r="GD102" s="928"/>
      <c r="GE102" s="928"/>
      <c r="GF102" s="928"/>
      <c r="GG102" s="928"/>
      <c r="GH102" s="928"/>
      <c r="GI102" s="928"/>
      <c r="GJ102" s="928"/>
      <c r="GK102" s="928"/>
      <c r="GL102" s="928"/>
      <c r="GM102" s="928"/>
      <c r="GN102" s="928"/>
      <c r="GO102" s="928"/>
      <c r="GP102" s="928"/>
      <c r="GQ102" s="928"/>
      <c r="GR102" s="928"/>
      <c r="GS102" s="928"/>
      <c r="GT102" s="928"/>
      <c r="GU102" s="928"/>
      <c r="GV102" s="928"/>
      <c r="GW102" s="928"/>
      <c r="GX102" s="928"/>
      <c r="GY102" s="928"/>
      <c r="GZ102" s="928"/>
      <c r="HA102" s="928"/>
      <c r="HB102" s="928"/>
      <c r="HC102" s="928"/>
      <c r="HD102" s="928"/>
      <c r="HE102" s="928"/>
      <c r="HF102" s="928"/>
      <c r="HG102" s="928"/>
      <c r="HH102" s="928"/>
      <c r="HI102" s="928"/>
      <c r="HJ102" s="928"/>
      <c r="HK102" s="928"/>
      <c r="HL102" s="928"/>
      <c r="HM102" s="928"/>
      <c r="HN102" s="928"/>
      <c r="HO102" s="928"/>
      <c r="HP102" s="928"/>
      <c r="HQ102" s="928"/>
      <c r="HR102" s="928"/>
      <c r="HS102" s="928"/>
      <c r="HT102" s="928"/>
      <c r="HU102" s="928"/>
      <c r="HV102" s="928"/>
      <c r="HW102" s="928"/>
      <c r="HX102" s="928"/>
      <c r="HY102" s="928"/>
      <c r="HZ102" s="928"/>
      <c r="IA102" s="928"/>
      <c r="IB102" s="928"/>
      <c r="IC102" s="928"/>
      <c r="ID102" s="928"/>
      <c r="IE102" s="928"/>
      <c r="IF102" s="928"/>
      <c r="IG102" s="928"/>
      <c r="IH102" s="928"/>
      <c r="II102" s="928"/>
      <c r="IJ102" s="928"/>
      <c r="IK102" s="928"/>
      <c r="IL102" s="928"/>
      <c r="IM102" s="928"/>
      <c r="IN102" s="928"/>
      <c r="IO102" s="928"/>
      <c r="IP102" s="928"/>
      <c r="IQ102" s="928"/>
      <c r="IR102" s="928"/>
      <c r="IS102" s="928"/>
      <c r="IT102" s="928"/>
      <c r="IU102" s="928"/>
      <c r="IV102" s="928"/>
      <c r="IW102" s="928"/>
    </row>
    <row r="103" spans="1:257" s="951" customFormat="1" ht="118.5" customHeight="1">
      <c r="A103" s="2472"/>
      <c r="B103" s="993" t="s">
        <v>2676</v>
      </c>
      <c r="C103" s="985">
        <v>4</v>
      </c>
      <c r="D103" s="985">
        <v>5</v>
      </c>
      <c r="E103" s="986" t="s">
        <v>1769</v>
      </c>
      <c r="F103" s="968" t="str">
        <f>IF(Scoring!I112="","",Scoring!I112)</f>
        <v/>
      </c>
      <c r="G103" s="987"/>
      <c r="H103" s="987"/>
      <c r="I103" s="988" t="s">
        <v>2675</v>
      </c>
      <c r="J103" s="969"/>
      <c r="K103" s="969"/>
      <c r="L103" s="989"/>
      <c r="M103" s="990"/>
      <c r="N103" s="928"/>
      <c r="O103" s="945"/>
      <c r="P103" s="955"/>
      <c r="Q103" s="928"/>
      <c r="R103" s="928"/>
      <c r="S103" s="928"/>
      <c r="T103" s="928"/>
      <c r="U103" s="928"/>
      <c r="V103" s="928"/>
      <c r="W103" s="928"/>
      <c r="X103" s="928"/>
      <c r="Y103" s="928"/>
      <c r="Z103" s="928"/>
      <c r="AA103" s="928"/>
      <c r="AB103" s="928"/>
      <c r="AC103" s="928"/>
      <c r="AD103" s="928"/>
      <c r="AE103" s="928"/>
      <c r="AF103" s="928"/>
      <c r="AG103" s="928"/>
      <c r="AH103" s="928"/>
      <c r="AI103" s="928"/>
      <c r="AJ103" s="928"/>
      <c r="AK103" s="928"/>
      <c r="AL103" s="928"/>
      <c r="AM103" s="928"/>
      <c r="AN103" s="928"/>
      <c r="AO103" s="928"/>
      <c r="AP103" s="928"/>
      <c r="AQ103" s="928"/>
      <c r="AR103" s="928"/>
      <c r="AS103" s="928"/>
      <c r="AT103" s="928"/>
      <c r="AU103" s="928"/>
      <c r="AV103" s="928"/>
      <c r="AW103" s="928"/>
      <c r="AX103" s="928"/>
      <c r="AY103" s="928"/>
      <c r="AZ103" s="928"/>
      <c r="BA103" s="928"/>
      <c r="BB103" s="928"/>
      <c r="BC103" s="928"/>
      <c r="BD103" s="928"/>
      <c r="BE103" s="928"/>
      <c r="BF103" s="928"/>
      <c r="BG103" s="928"/>
      <c r="BH103" s="928"/>
      <c r="BI103" s="928"/>
      <c r="BJ103" s="928"/>
      <c r="BK103" s="928"/>
      <c r="BL103" s="928"/>
      <c r="BM103" s="928"/>
      <c r="BN103" s="928"/>
      <c r="BO103" s="928"/>
      <c r="BP103" s="928"/>
      <c r="BQ103" s="928"/>
      <c r="BR103" s="928"/>
      <c r="BS103" s="928"/>
      <c r="BT103" s="928"/>
      <c r="BU103" s="928"/>
      <c r="BV103" s="928"/>
      <c r="BW103" s="928"/>
      <c r="BX103" s="928"/>
      <c r="BY103" s="928"/>
      <c r="BZ103" s="928"/>
      <c r="CA103" s="928"/>
      <c r="CB103" s="928"/>
      <c r="CC103" s="928"/>
      <c r="CD103" s="928"/>
      <c r="CE103" s="928"/>
      <c r="CF103" s="928"/>
      <c r="CG103" s="928"/>
      <c r="CH103" s="928"/>
      <c r="CI103" s="928"/>
      <c r="CJ103" s="928"/>
      <c r="CK103" s="928"/>
      <c r="CL103" s="928"/>
      <c r="CM103" s="928"/>
      <c r="CN103" s="928"/>
      <c r="CO103" s="928"/>
      <c r="CP103" s="928"/>
      <c r="CQ103" s="928"/>
      <c r="CR103" s="928"/>
      <c r="CS103" s="928"/>
      <c r="CT103" s="928"/>
      <c r="CU103" s="928"/>
      <c r="CV103" s="928"/>
      <c r="CW103" s="928"/>
      <c r="CX103" s="928"/>
      <c r="CY103" s="928"/>
      <c r="CZ103" s="928"/>
      <c r="DA103" s="928"/>
      <c r="DB103" s="928"/>
      <c r="DC103" s="928"/>
      <c r="DD103" s="928"/>
      <c r="DE103" s="928"/>
      <c r="DF103" s="928"/>
      <c r="DG103" s="928"/>
      <c r="DH103" s="928"/>
      <c r="DI103" s="928"/>
      <c r="DJ103" s="928"/>
      <c r="DK103" s="928"/>
      <c r="DL103" s="928"/>
      <c r="DM103" s="928"/>
      <c r="DN103" s="928"/>
      <c r="DO103" s="928"/>
      <c r="DP103" s="928"/>
      <c r="DQ103" s="928"/>
      <c r="DR103" s="928"/>
      <c r="DS103" s="928"/>
      <c r="DT103" s="928"/>
      <c r="DU103" s="928"/>
      <c r="DV103" s="928"/>
      <c r="DW103" s="928"/>
      <c r="DX103" s="928"/>
      <c r="DY103" s="928"/>
      <c r="DZ103" s="928"/>
      <c r="EA103" s="928"/>
      <c r="EB103" s="928"/>
      <c r="EC103" s="928"/>
      <c r="ED103" s="928"/>
      <c r="EE103" s="928"/>
      <c r="EF103" s="928"/>
      <c r="EG103" s="928"/>
      <c r="EH103" s="928"/>
      <c r="EI103" s="928"/>
      <c r="EJ103" s="928"/>
      <c r="EK103" s="928"/>
      <c r="EL103" s="928"/>
      <c r="EM103" s="928"/>
      <c r="EN103" s="928"/>
      <c r="EO103" s="928"/>
      <c r="EP103" s="928"/>
      <c r="EQ103" s="928"/>
      <c r="ER103" s="928"/>
      <c r="ES103" s="928"/>
      <c r="ET103" s="928"/>
      <c r="EU103" s="928"/>
      <c r="EV103" s="928"/>
      <c r="EW103" s="928"/>
      <c r="EX103" s="928"/>
      <c r="EY103" s="928"/>
      <c r="EZ103" s="928"/>
      <c r="FA103" s="928"/>
      <c r="FB103" s="928"/>
      <c r="FC103" s="928"/>
      <c r="FD103" s="928"/>
      <c r="FE103" s="928"/>
      <c r="FF103" s="928"/>
      <c r="FG103" s="928"/>
      <c r="FH103" s="928"/>
      <c r="FI103" s="928"/>
      <c r="FJ103" s="928"/>
      <c r="FK103" s="928"/>
      <c r="FL103" s="928"/>
      <c r="FM103" s="928"/>
      <c r="FN103" s="928"/>
      <c r="FO103" s="928"/>
      <c r="FP103" s="928"/>
      <c r="FQ103" s="928"/>
      <c r="FR103" s="928"/>
      <c r="FS103" s="928"/>
      <c r="FT103" s="928"/>
      <c r="FU103" s="928"/>
      <c r="FV103" s="928"/>
      <c r="FW103" s="928"/>
      <c r="FX103" s="928"/>
      <c r="FY103" s="928"/>
      <c r="FZ103" s="928"/>
      <c r="GA103" s="928"/>
      <c r="GB103" s="928"/>
      <c r="GC103" s="928"/>
      <c r="GD103" s="928"/>
      <c r="GE103" s="928"/>
      <c r="GF103" s="928"/>
      <c r="GG103" s="928"/>
      <c r="GH103" s="928"/>
      <c r="GI103" s="928"/>
      <c r="GJ103" s="928"/>
      <c r="GK103" s="928"/>
      <c r="GL103" s="928"/>
      <c r="GM103" s="928"/>
      <c r="GN103" s="928"/>
      <c r="GO103" s="928"/>
      <c r="GP103" s="928"/>
      <c r="GQ103" s="928"/>
      <c r="GR103" s="928"/>
      <c r="GS103" s="928"/>
      <c r="GT103" s="928"/>
      <c r="GU103" s="928"/>
      <c r="GV103" s="928"/>
      <c r="GW103" s="928"/>
      <c r="GX103" s="928"/>
      <c r="GY103" s="928"/>
      <c r="GZ103" s="928"/>
      <c r="HA103" s="928"/>
      <c r="HB103" s="928"/>
      <c r="HC103" s="928"/>
      <c r="HD103" s="928"/>
      <c r="HE103" s="928"/>
      <c r="HF103" s="928"/>
      <c r="HG103" s="928"/>
      <c r="HH103" s="928"/>
      <c r="HI103" s="928"/>
      <c r="HJ103" s="928"/>
      <c r="HK103" s="928"/>
      <c r="HL103" s="928"/>
      <c r="HM103" s="928"/>
      <c r="HN103" s="928"/>
      <c r="HO103" s="928"/>
      <c r="HP103" s="928"/>
      <c r="HQ103" s="928"/>
      <c r="HR103" s="928"/>
      <c r="HS103" s="928"/>
      <c r="HT103" s="928"/>
      <c r="HU103" s="928"/>
      <c r="HV103" s="928"/>
      <c r="HW103" s="928"/>
      <c r="HX103" s="928"/>
      <c r="HY103" s="928"/>
      <c r="HZ103" s="928"/>
      <c r="IA103" s="928"/>
      <c r="IB103" s="928"/>
      <c r="IC103" s="928"/>
      <c r="ID103" s="928"/>
      <c r="IE103" s="928"/>
      <c r="IF103" s="928"/>
      <c r="IG103" s="928"/>
      <c r="IH103" s="928"/>
      <c r="II103" s="928"/>
      <c r="IJ103" s="928"/>
      <c r="IK103" s="928"/>
      <c r="IL103" s="928"/>
      <c r="IM103" s="928"/>
      <c r="IN103" s="928"/>
      <c r="IO103" s="928"/>
      <c r="IP103" s="928"/>
      <c r="IQ103" s="928"/>
      <c r="IR103" s="928"/>
      <c r="IS103" s="928"/>
      <c r="IT103" s="928"/>
      <c r="IU103" s="928"/>
      <c r="IV103" s="928"/>
      <c r="IW103" s="928"/>
    </row>
    <row r="104" spans="1:257" s="951" customFormat="1" ht="88.5" customHeight="1" thickBot="1">
      <c r="A104" s="2473"/>
      <c r="B104" s="996" t="s">
        <v>2674</v>
      </c>
      <c r="C104" s="1209">
        <v>4</v>
      </c>
      <c r="D104" s="1209">
        <v>4</v>
      </c>
      <c r="E104" s="998" t="s">
        <v>1772</v>
      </c>
      <c r="F104" s="973" t="str">
        <f>IF(Scoring!I113="","",Scoring!I113)</f>
        <v/>
      </c>
      <c r="G104" s="999"/>
      <c r="H104" s="999"/>
      <c r="I104" s="1000" t="s">
        <v>2673</v>
      </c>
      <c r="J104" s="1213"/>
      <c r="K104" s="974">
        <f>COUNT(F97:F104)</f>
        <v>0</v>
      </c>
      <c r="L104" s="975">
        <f>SUM(F97:F104)</f>
        <v>0</v>
      </c>
      <c r="M104" s="976">
        <f>IF(L104&lt;4,0,1)</f>
        <v>0</v>
      </c>
      <c r="N104" s="928"/>
      <c r="O104" s="942"/>
      <c r="P104" s="956">
        <f>COUNTA(F103:F104)</f>
        <v>2</v>
      </c>
      <c r="Q104" s="928"/>
      <c r="R104" s="928"/>
      <c r="S104" s="928"/>
      <c r="T104" s="928"/>
      <c r="U104" s="928"/>
      <c r="V104" s="928"/>
      <c r="W104" s="928"/>
      <c r="X104" s="928"/>
      <c r="Y104" s="928"/>
      <c r="Z104" s="928"/>
      <c r="AA104" s="928"/>
      <c r="AB104" s="928"/>
      <c r="AC104" s="928"/>
      <c r="AD104" s="928"/>
      <c r="AE104" s="928"/>
      <c r="AF104" s="928"/>
      <c r="AG104" s="928"/>
      <c r="AH104" s="928"/>
      <c r="AI104" s="928"/>
      <c r="AJ104" s="928"/>
      <c r="AK104" s="928"/>
      <c r="AL104" s="928"/>
      <c r="AM104" s="928"/>
      <c r="AN104" s="928"/>
      <c r="AO104" s="928"/>
      <c r="AP104" s="928"/>
      <c r="AQ104" s="928"/>
      <c r="AR104" s="928"/>
      <c r="AS104" s="928"/>
      <c r="AT104" s="928"/>
      <c r="AU104" s="928"/>
      <c r="AV104" s="928"/>
      <c r="AW104" s="928"/>
      <c r="AX104" s="928"/>
      <c r="AY104" s="928"/>
      <c r="AZ104" s="928"/>
      <c r="BA104" s="928"/>
      <c r="BB104" s="928"/>
      <c r="BC104" s="928"/>
      <c r="BD104" s="928"/>
      <c r="BE104" s="928"/>
      <c r="BF104" s="928"/>
      <c r="BG104" s="928"/>
      <c r="BH104" s="928"/>
      <c r="BI104" s="928"/>
      <c r="BJ104" s="928"/>
      <c r="BK104" s="928"/>
      <c r="BL104" s="928"/>
      <c r="BM104" s="928"/>
      <c r="BN104" s="928"/>
      <c r="BO104" s="928"/>
      <c r="BP104" s="928"/>
      <c r="BQ104" s="928"/>
      <c r="BR104" s="928"/>
      <c r="BS104" s="928"/>
      <c r="BT104" s="928"/>
      <c r="BU104" s="928"/>
      <c r="BV104" s="928"/>
      <c r="BW104" s="928"/>
      <c r="BX104" s="928"/>
      <c r="BY104" s="928"/>
      <c r="BZ104" s="928"/>
      <c r="CA104" s="928"/>
      <c r="CB104" s="928"/>
      <c r="CC104" s="928"/>
      <c r="CD104" s="928"/>
      <c r="CE104" s="928"/>
      <c r="CF104" s="928"/>
      <c r="CG104" s="928"/>
      <c r="CH104" s="928"/>
      <c r="CI104" s="928"/>
      <c r="CJ104" s="928"/>
      <c r="CK104" s="928"/>
      <c r="CL104" s="928"/>
      <c r="CM104" s="928"/>
      <c r="CN104" s="928"/>
      <c r="CO104" s="928"/>
      <c r="CP104" s="928"/>
      <c r="CQ104" s="928"/>
      <c r="CR104" s="928"/>
      <c r="CS104" s="928"/>
      <c r="CT104" s="928"/>
      <c r="CU104" s="928"/>
      <c r="CV104" s="928"/>
      <c r="CW104" s="928"/>
      <c r="CX104" s="928"/>
      <c r="CY104" s="928"/>
      <c r="CZ104" s="928"/>
      <c r="DA104" s="928"/>
      <c r="DB104" s="928"/>
      <c r="DC104" s="928"/>
      <c r="DD104" s="928"/>
      <c r="DE104" s="928"/>
      <c r="DF104" s="928"/>
      <c r="DG104" s="928"/>
      <c r="DH104" s="928"/>
      <c r="DI104" s="928"/>
      <c r="DJ104" s="928"/>
      <c r="DK104" s="928"/>
      <c r="DL104" s="928"/>
      <c r="DM104" s="928"/>
      <c r="DN104" s="928"/>
      <c r="DO104" s="928"/>
      <c r="DP104" s="928"/>
      <c r="DQ104" s="928"/>
      <c r="DR104" s="928"/>
      <c r="DS104" s="928"/>
      <c r="DT104" s="928"/>
      <c r="DU104" s="928"/>
      <c r="DV104" s="928"/>
      <c r="DW104" s="928"/>
      <c r="DX104" s="928"/>
      <c r="DY104" s="928"/>
      <c r="DZ104" s="928"/>
      <c r="EA104" s="928"/>
      <c r="EB104" s="928"/>
      <c r="EC104" s="928"/>
      <c r="ED104" s="928"/>
      <c r="EE104" s="928"/>
      <c r="EF104" s="928"/>
      <c r="EG104" s="928"/>
      <c r="EH104" s="928"/>
      <c r="EI104" s="928"/>
      <c r="EJ104" s="928"/>
      <c r="EK104" s="928"/>
      <c r="EL104" s="928"/>
      <c r="EM104" s="928"/>
      <c r="EN104" s="928"/>
      <c r="EO104" s="928"/>
      <c r="EP104" s="928"/>
      <c r="EQ104" s="928"/>
      <c r="ER104" s="928"/>
      <c r="ES104" s="928"/>
      <c r="ET104" s="928"/>
      <c r="EU104" s="928"/>
      <c r="EV104" s="928"/>
      <c r="EW104" s="928"/>
      <c r="EX104" s="928"/>
      <c r="EY104" s="928"/>
      <c r="EZ104" s="928"/>
      <c r="FA104" s="928"/>
      <c r="FB104" s="928"/>
      <c r="FC104" s="928"/>
      <c r="FD104" s="928"/>
      <c r="FE104" s="928"/>
      <c r="FF104" s="928"/>
      <c r="FG104" s="928"/>
      <c r="FH104" s="928"/>
      <c r="FI104" s="928"/>
      <c r="FJ104" s="928"/>
      <c r="FK104" s="928"/>
      <c r="FL104" s="928"/>
      <c r="FM104" s="928"/>
      <c r="FN104" s="928"/>
      <c r="FO104" s="928"/>
      <c r="FP104" s="928"/>
      <c r="FQ104" s="928"/>
      <c r="FR104" s="928"/>
      <c r="FS104" s="928"/>
      <c r="FT104" s="928"/>
      <c r="FU104" s="928"/>
      <c r="FV104" s="928"/>
      <c r="FW104" s="928"/>
      <c r="FX104" s="928"/>
      <c r="FY104" s="928"/>
      <c r="FZ104" s="928"/>
      <c r="GA104" s="928"/>
      <c r="GB104" s="928"/>
      <c r="GC104" s="928"/>
      <c r="GD104" s="928"/>
      <c r="GE104" s="928"/>
      <c r="GF104" s="928"/>
      <c r="GG104" s="928"/>
      <c r="GH104" s="928"/>
      <c r="GI104" s="928"/>
      <c r="GJ104" s="928"/>
      <c r="GK104" s="928"/>
      <c r="GL104" s="928"/>
      <c r="GM104" s="928"/>
      <c r="GN104" s="928"/>
      <c r="GO104" s="928"/>
      <c r="GP104" s="928"/>
      <c r="GQ104" s="928"/>
      <c r="GR104" s="928"/>
      <c r="GS104" s="928"/>
      <c r="GT104" s="928"/>
      <c r="GU104" s="928"/>
      <c r="GV104" s="928"/>
      <c r="GW104" s="928"/>
      <c r="GX104" s="928"/>
      <c r="GY104" s="928"/>
      <c r="GZ104" s="928"/>
      <c r="HA104" s="928"/>
      <c r="HB104" s="928"/>
      <c r="HC104" s="928"/>
      <c r="HD104" s="928"/>
      <c r="HE104" s="928"/>
      <c r="HF104" s="928"/>
      <c r="HG104" s="928"/>
      <c r="HH104" s="928"/>
      <c r="HI104" s="928"/>
      <c r="HJ104" s="928"/>
      <c r="HK104" s="928"/>
      <c r="HL104" s="928"/>
      <c r="HM104" s="928"/>
      <c r="HN104" s="928"/>
      <c r="HO104" s="928"/>
      <c r="HP104" s="928"/>
      <c r="HQ104" s="928"/>
      <c r="HR104" s="928"/>
      <c r="HS104" s="928"/>
      <c r="HT104" s="928"/>
      <c r="HU104" s="928"/>
      <c r="HV104" s="928"/>
      <c r="HW104" s="928"/>
      <c r="HX104" s="928"/>
      <c r="HY104" s="928"/>
      <c r="HZ104" s="928"/>
      <c r="IA104" s="928"/>
      <c r="IB104" s="928"/>
      <c r="IC104" s="928"/>
      <c r="ID104" s="928"/>
      <c r="IE104" s="928"/>
      <c r="IF104" s="928"/>
      <c r="IG104" s="928"/>
      <c r="IH104" s="928"/>
      <c r="II104" s="928"/>
      <c r="IJ104" s="928"/>
      <c r="IK104" s="928"/>
      <c r="IL104" s="928"/>
      <c r="IM104" s="928"/>
      <c r="IN104" s="928"/>
      <c r="IO104" s="928"/>
      <c r="IP104" s="928"/>
      <c r="IQ104" s="928"/>
      <c r="IR104" s="928"/>
      <c r="IS104" s="928"/>
      <c r="IT104" s="928"/>
      <c r="IU104" s="928"/>
      <c r="IV104" s="928"/>
      <c r="IW104" s="928"/>
    </row>
    <row r="105" spans="1:257" s="951" customFormat="1" ht="15" thickTop="1" thickBot="1">
      <c r="A105" s="928"/>
      <c r="B105" s="928"/>
      <c r="C105" s="928"/>
      <c r="D105" s="928"/>
      <c r="E105" s="928"/>
      <c r="F105" s="928"/>
      <c r="G105" s="928"/>
      <c r="H105" s="928"/>
      <c r="I105" s="928"/>
      <c r="J105" s="928"/>
      <c r="K105" s="928"/>
      <c r="L105" s="928"/>
      <c r="M105" s="928"/>
      <c r="N105" s="928"/>
      <c r="O105" s="928"/>
      <c r="P105" s="928"/>
      <c r="Q105" s="928"/>
      <c r="R105" s="928"/>
      <c r="S105" s="928"/>
      <c r="T105" s="928"/>
      <c r="U105" s="928"/>
      <c r="V105" s="928"/>
      <c r="W105" s="928"/>
      <c r="X105" s="928"/>
      <c r="Y105" s="928"/>
      <c r="Z105" s="928"/>
      <c r="AA105" s="928"/>
      <c r="AB105" s="928"/>
      <c r="AC105" s="928"/>
      <c r="AD105" s="928"/>
      <c r="AE105" s="928"/>
      <c r="AF105" s="928"/>
      <c r="AG105" s="928"/>
      <c r="AH105" s="928"/>
      <c r="AI105" s="928"/>
      <c r="AJ105" s="928"/>
      <c r="AK105" s="928"/>
      <c r="AL105" s="928"/>
      <c r="AM105" s="928"/>
      <c r="AN105" s="928"/>
      <c r="AO105" s="928"/>
      <c r="AP105" s="928"/>
      <c r="AQ105" s="928"/>
      <c r="AR105" s="928"/>
      <c r="AS105" s="928"/>
      <c r="AT105" s="928"/>
      <c r="AU105" s="928"/>
      <c r="AV105" s="928"/>
      <c r="AW105" s="928"/>
      <c r="AX105" s="928"/>
      <c r="AY105" s="928"/>
      <c r="AZ105" s="928"/>
      <c r="BA105" s="928"/>
      <c r="BB105" s="928"/>
      <c r="BC105" s="928"/>
      <c r="BD105" s="928"/>
      <c r="BE105" s="928"/>
      <c r="BF105" s="928"/>
      <c r="BG105" s="928"/>
      <c r="BH105" s="928"/>
      <c r="BI105" s="928"/>
      <c r="BJ105" s="928"/>
      <c r="BK105" s="928"/>
      <c r="BL105" s="928"/>
      <c r="BM105" s="928"/>
      <c r="BN105" s="928"/>
      <c r="BO105" s="928"/>
      <c r="BP105" s="928"/>
      <c r="BQ105" s="928"/>
      <c r="BR105" s="928"/>
      <c r="BS105" s="928"/>
      <c r="BT105" s="928"/>
      <c r="BU105" s="928"/>
      <c r="BV105" s="928"/>
      <c r="BW105" s="928"/>
      <c r="BX105" s="928"/>
      <c r="BY105" s="928"/>
      <c r="BZ105" s="928"/>
      <c r="CA105" s="928"/>
      <c r="CB105" s="928"/>
      <c r="CC105" s="928"/>
      <c r="CD105" s="928"/>
      <c r="CE105" s="928"/>
      <c r="CF105" s="928"/>
      <c r="CG105" s="928"/>
      <c r="CH105" s="928"/>
      <c r="CI105" s="928"/>
      <c r="CJ105" s="928"/>
      <c r="CK105" s="928"/>
      <c r="CL105" s="928"/>
      <c r="CM105" s="928"/>
      <c r="CN105" s="928"/>
      <c r="CO105" s="928"/>
      <c r="CP105" s="928"/>
      <c r="CQ105" s="928"/>
      <c r="CR105" s="928"/>
      <c r="CS105" s="928"/>
      <c r="CT105" s="928"/>
      <c r="CU105" s="928"/>
      <c r="CV105" s="928"/>
      <c r="CW105" s="928"/>
      <c r="CX105" s="928"/>
      <c r="CY105" s="928"/>
      <c r="CZ105" s="928"/>
      <c r="DA105" s="928"/>
      <c r="DB105" s="928"/>
      <c r="DC105" s="928"/>
      <c r="DD105" s="928"/>
      <c r="DE105" s="928"/>
      <c r="DF105" s="928"/>
      <c r="DG105" s="928"/>
      <c r="DH105" s="928"/>
      <c r="DI105" s="928"/>
      <c r="DJ105" s="928"/>
      <c r="DK105" s="928"/>
      <c r="DL105" s="928"/>
      <c r="DM105" s="928"/>
      <c r="DN105" s="928"/>
      <c r="DO105" s="928"/>
      <c r="DP105" s="928"/>
      <c r="DQ105" s="928"/>
      <c r="DR105" s="928"/>
      <c r="DS105" s="928"/>
      <c r="DT105" s="928"/>
      <c r="DU105" s="928"/>
      <c r="DV105" s="928"/>
      <c r="DW105" s="928"/>
      <c r="DX105" s="928"/>
      <c r="DY105" s="928"/>
      <c r="DZ105" s="928"/>
      <c r="EA105" s="928"/>
      <c r="EB105" s="928"/>
      <c r="EC105" s="928"/>
      <c r="ED105" s="928"/>
      <c r="EE105" s="928"/>
      <c r="EF105" s="928"/>
      <c r="EG105" s="928"/>
      <c r="EH105" s="928"/>
      <c r="EI105" s="928"/>
      <c r="EJ105" s="928"/>
      <c r="EK105" s="928"/>
      <c r="EL105" s="928"/>
      <c r="EM105" s="928"/>
      <c r="EN105" s="928"/>
      <c r="EO105" s="928"/>
      <c r="EP105" s="928"/>
      <c r="EQ105" s="928"/>
      <c r="ER105" s="928"/>
      <c r="ES105" s="928"/>
      <c r="ET105" s="928"/>
      <c r="EU105" s="928"/>
      <c r="EV105" s="928"/>
      <c r="EW105" s="928"/>
      <c r="EX105" s="928"/>
      <c r="EY105" s="928"/>
      <c r="EZ105" s="928"/>
      <c r="FA105" s="928"/>
      <c r="FB105" s="928"/>
      <c r="FC105" s="928"/>
      <c r="FD105" s="928"/>
      <c r="FE105" s="928"/>
      <c r="FF105" s="928"/>
      <c r="FG105" s="928"/>
      <c r="FH105" s="928"/>
      <c r="FI105" s="928"/>
      <c r="FJ105" s="928"/>
      <c r="FK105" s="928"/>
      <c r="FL105" s="928"/>
      <c r="FM105" s="928"/>
      <c r="FN105" s="928"/>
      <c r="FO105" s="928"/>
      <c r="FP105" s="928"/>
      <c r="FQ105" s="928"/>
      <c r="FR105" s="928"/>
      <c r="FS105" s="928"/>
      <c r="FT105" s="928"/>
      <c r="FU105" s="928"/>
      <c r="FV105" s="928"/>
      <c r="FW105" s="928"/>
      <c r="FX105" s="928"/>
      <c r="FY105" s="928"/>
      <c r="FZ105" s="928"/>
      <c r="GA105" s="928"/>
      <c r="GB105" s="928"/>
      <c r="GC105" s="928"/>
      <c r="GD105" s="928"/>
      <c r="GE105" s="928"/>
      <c r="GF105" s="928"/>
      <c r="GG105" s="928"/>
      <c r="GH105" s="928"/>
      <c r="GI105" s="928"/>
      <c r="GJ105" s="928"/>
      <c r="GK105" s="928"/>
      <c r="GL105" s="928"/>
      <c r="GM105" s="928"/>
      <c r="GN105" s="928"/>
      <c r="GO105" s="928"/>
      <c r="GP105" s="928"/>
      <c r="GQ105" s="928"/>
      <c r="GR105" s="928"/>
      <c r="GS105" s="928"/>
      <c r="GT105" s="928"/>
      <c r="GU105" s="928"/>
      <c r="GV105" s="928"/>
      <c r="GW105" s="928"/>
      <c r="GX105" s="928"/>
      <c r="GY105" s="928"/>
      <c r="GZ105" s="928"/>
      <c r="HA105" s="928"/>
      <c r="HB105" s="928"/>
      <c r="HC105" s="928"/>
      <c r="HD105" s="928"/>
      <c r="HE105" s="928"/>
      <c r="HF105" s="928"/>
      <c r="HG105" s="928"/>
      <c r="HH105" s="928"/>
      <c r="HI105" s="928"/>
      <c r="HJ105" s="928"/>
      <c r="HK105" s="928"/>
      <c r="HL105" s="928"/>
      <c r="HM105" s="928"/>
      <c r="HN105" s="928"/>
      <c r="HO105" s="928"/>
      <c r="HP105" s="928"/>
      <c r="HQ105" s="928"/>
      <c r="HR105" s="928"/>
      <c r="HS105" s="928"/>
      <c r="HT105" s="928"/>
      <c r="HU105" s="928"/>
      <c r="HV105" s="928"/>
      <c r="HW105" s="928"/>
      <c r="HX105" s="928"/>
      <c r="HY105" s="928"/>
      <c r="HZ105" s="928"/>
      <c r="IA105" s="928"/>
      <c r="IB105" s="928"/>
      <c r="IC105" s="928"/>
      <c r="ID105" s="928"/>
      <c r="IE105" s="928"/>
      <c r="IF105" s="928"/>
      <c r="IG105" s="928"/>
      <c r="IH105" s="928"/>
      <c r="II105" s="928"/>
      <c r="IJ105" s="928"/>
      <c r="IK105" s="928"/>
      <c r="IL105" s="928"/>
      <c r="IM105" s="928"/>
      <c r="IN105" s="928"/>
      <c r="IO105" s="928"/>
      <c r="IP105" s="928"/>
      <c r="IQ105" s="928"/>
      <c r="IR105" s="928"/>
      <c r="IS105" s="928"/>
      <c r="IT105" s="928"/>
      <c r="IU105" s="928"/>
      <c r="IV105" s="928"/>
      <c r="IW105" s="928"/>
    </row>
    <row r="106" spans="1:257" s="951" customFormat="1" ht="88.5" customHeight="1" thickTop="1">
      <c r="A106" s="2481" t="s">
        <v>2672</v>
      </c>
      <c r="B106" s="1212" t="s">
        <v>2146</v>
      </c>
      <c r="C106" s="1214">
        <v>4</v>
      </c>
      <c r="D106" s="1214">
        <v>5</v>
      </c>
      <c r="E106" s="1200" t="s">
        <v>1449</v>
      </c>
      <c r="F106" s="1201" t="str">
        <f>IF(Scoring!I115="","",Scoring!I115)</f>
        <v/>
      </c>
      <c r="G106" s="1202"/>
      <c r="H106" s="1202"/>
      <c r="I106" s="1203" t="s">
        <v>2671</v>
      </c>
      <c r="J106" s="1215"/>
      <c r="K106" s="1208"/>
      <c r="L106" s="1216"/>
      <c r="M106" s="1205"/>
      <c r="N106" s="928"/>
      <c r="O106" s="949"/>
      <c r="P106" s="948"/>
      <c r="Q106" s="928"/>
      <c r="R106" s="928"/>
      <c r="S106" s="928"/>
      <c r="T106" s="928"/>
      <c r="U106" s="928"/>
      <c r="V106" s="928"/>
      <c r="W106" s="928"/>
      <c r="X106" s="928"/>
      <c r="Y106" s="928"/>
      <c r="Z106" s="928"/>
      <c r="AA106" s="928"/>
      <c r="AB106" s="928"/>
      <c r="AC106" s="928"/>
      <c r="AD106" s="928"/>
      <c r="AE106" s="928"/>
      <c r="AF106" s="928"/>
      <c r="AG106" s="928"/>
      <c r="AH106" s="928"/>
      <c r="AI106" s="928"/>
      <c r="AJ106" s="928"/>
      <c r="AK106" s="928"/>
      <c r="AL106" s="928"/>
      <c r="AM106" s="928"/>
      <c r="AN106" s="928"/>
      <c r="AO106" s="928"/>
      <c r="AP106" s="928"/>
      <c r="AQ106" s="928"/>
      <c r="AR106" s="928"/>
      <c r="AS106" s="928"/>
      <c r="AT106" s="928"/>
      <c r="AU106" s="928"/>
      <c r="AV106" s="928"/>
      <c r="AW106" s="928"/>
      <c r="AX106" s="928"/>
      <c r="AY106" s="928"/>
      <c r="AZ106" s="928"/>
      <c r="BA106" s="928"/>
      <c r="BB106" s="928"/>
      <c r="BC106" s="928"/>
      <c r="BD106" s="928"/>
      <c r="BE106" s="928"/>
      <c r="BF106" s="928"/>
      <c r="BG106" s="928"/>
      <c r="BH106" s="928"/>
      <c r="BI106" s="928"/>
      <c r="BJ106" s="928"/>
      <c r="BK106" s="928"/>
      <c r="BL106" s="928"/>
      <c r="BM106" s="928"/>
      <c r="BN106" s="928"/>
      <c r="BO106" s="928"/>
      <c r="BP106" s="928"/>
      <c r="BQ106" s="928"/>
      <c r="BR106" s="928"/>
      <c r="BS106" s="928"/>
      <c r="BT106" s="928"/>
      <c r="BU106" s="928"/>
      <c r="BV106" s="928"/>
      <c r="BW106" s="928"/>
      <c r="BX106" s="928"/>
      <c r="BY106" s="928"/>
      <c r="BZ106" s="928"/>
      <c r="CA106" s="928"/>
      <c r="CB106" s="928"/>
      <c r="CC106" s="928"/>
      <c r="CD106" s="928"/>
      <c r="CE106" s="928"/>
      <c r="CF106" s="928"/>
      <c r="CG106" s="928"/>
      <c r="CH106" s="928"/>
      <c r="CI106" s="928"/>
      <c r="CJ106" s="928"/>
      <c r="CK106" s="928"/>
      <c r="CL106" s="928"/>
      <c r="CM106" s="928"/>
      <c r="CN106" s="928"/>
      <c r="CO106" s="928"/>
      <c r="CP106" s="928"/>
      <c r="CQ106" s="928"/>
      <c r="CR106" s="928"/>
      <c r="CS106" s="928"/>
      <c r="CT106" s="928"/>
      <c r="CU106" s="928"/>
      <c r="CV106" s="928"/>
      <c r="CW106" s="928"/>
      <c r="CX106" s="928"/>
      <c r="CY106" s="928"/>
      <c r="CZ106" s="928"/>
      <c r="DA106" s="928"/>
      <c r="DB106" s="928"/>
      <c r="DC106" s="928"/>
      <c r="DD106" s="928"/>
      <c r="DE106" s="928"/>
      <c r="DF106" s="928"/>
      <c r="DG106" s="928"/>
      <c r="DH106" s="928"/>
      <c r="DI106" s="928"/>
      <c r="DJ106" s="928"/>
      <c r="DK106" s="928"/>
      <c r="DL106" s="928"/>
      <c r="DM106" s="928"/>
      <c r="DN106" s="928"/>
      <c r="DO106" s="928"/>
      <c r="DP106" s="928"/>
      <c r="DQ106" s="928"/>
      <c r="DR106" s="928"/>
      <c r="DS106" s="928"/>
      <c r="DT106" s="928"/>
      <c r="DU106" s="928"/>
      <c r="DV106" s="928"/>
      <c r="DW106" s="928"/>
      <c r="DX106" s="928"/>
      <c r="DY106" s="928"/>
      <c r="DZ106" s="928"/>
      <c r="EA106" s="928"/>
      <c r="EB106" s="928"/>
      <c r="EC106" s="928"/>
      <c r="ED106" s="928"/>
      <c r="EE106" s="928"/>
      <c r="EF106" s="928"/>
      <c r="EG106" s="928"/>
      <c r="EH106" s="928"/>
      <c r="EI106" s="928"/>
      <c r="EJ106" s="928"/>
      <c r="EK106" s="928"/>
      <c r="EL106" s="928"/>
      <c r="EM106" s="928"/>
      <c r="EN106" s="928"/>
      <c r="EO106" s="928"/>
      <c r="EP106" s="928"/>
      <c r="EQ106" s="928"/>
      <c r="ER106" s="928"/>
      <c r="ES106" s="928"/>
      <c r="ET106" s="928"/>
      <c r="EU106" s="928"/>
      <c r="EV106" s="928"/>
      <c r="EW106" s="928"/>
      <c r="EX106" s="928"/>
      <c r="EY106" s="928"/>
      <c r="EZ106" s="928"/>
      <c r="FA106" s="928"/>
      <c r="FB106" s="928"/>
      <c r="FC106" s="928"/>
      <c r="FD106" s="928"/>
      <c r="FE106" s="928"/>
      <c r="FF106" s="928"/>
      <c r="FG106" s="928"/>
      <c r="FH106" s="928"/>
      <c r="FI106" s="928"/>
      <c r="FJ106" s="928"/>
      <c r="FK106" s="928"/>
      <c r="FL106" s="928"/>
      <c r="FM106" s="928"/>
      <c r="FN106" s="928"/>
      <c r="FO106" s="928"/>
      <c r="FP106" s="928"/>
      <c r="FQ106" s="928"/>
      <c r="FR106" s="928"/>
      <c r="FS106" s="928"/>
      <c r="FT106" s="928"/>
      <c r="FU106" s="928"/>
      <c r="FV106" s="928"/>
      <c r="FW106" s="928"/>
      <c r="FX106" s="928"/>
      <c r="FY106" s="928"/>
      <c r="FZ106" s="928"/>
      <c r="GA106" s="928"/>
      <c r="GB106" s="928"/>
      <c r="GC106" s="928"/>
      <c r="GD106" s="928"/>
      <c r="GE106" s="928"/>
      <c r="GF106" s="928"/>
      <c r="GG106" s="928"/>
      <c r="GH106" s="928"/>
      <c r="GI106" s="928"/>
      <c r="GJ106" s="928"/>
      <c r="GK106" s="928"/>
      <c r="GL106" s="928"/>
      <c r="GM106" s="928"/>
      <c r="GN106" s="928"/>
      <c r="GO106" s="928"/>
      <c r="GP106" s="928"/>
      <c r="GQ106" s="928"/>
      <c r="GR106" s="928"/>
      <c r="GS106" s="928"/>
      <c r="GT106" s="928"/>
      <c r="GU106" s="928"/>
      <c r="GV106" s="928"/>
      <c r="GW106" s="928"/>
      <c r="GX106" s="928"/>
      <c r="GY106" s="928"/>
      <c r="GZ106" s="928"/>
      <c r="HA106" s="928"/>
      <c r="HB106" s="928"/>
      <c r="HC106" s="928"/>
      <c r="HD106" s="928"/>
      <c r="HE106" s="928"/>
      <c r="HF106" s="928"/>
      <c r="HG106" s="928"/>
      <c r="HH106" s="928"/>
      <c r="HI106" s="928"/>
      <c r="HJ106" s="928"/>
      <c r="HK106" s="928"/>
      <c r="HL106" s="928"/>
      <c r="HM106" s="928"/>
      <c r="HN106" s="928"/>
      <c r="HO106" s="928"/>
      <c r="HP106" s="928"/>
      <c r="HQ106" s="928"/>
      <c r="HR106" s="928"/>
      <c r="HS106" s="928"/>
      <c r="HT106" s="928"/>
      <c r="HU106" s="928"/>
      <c r="HV106" s="928"/>
      <c r="HW106" s="928"/>
      <c r="HX106" s="928"/>
      <c r="HY106" s="928"/>
      <c r="HZ106" s="928"/>
      <c r="IA106" s="928"/>
      <c r="IB106" s="928"/>
      <c r="IC106" s="928"/>
      <c r="ID106" s="928"/>
      <c r="IE106" s="928"/>
      <c r="IF106" s="928"/>
      <c r="IG106" s="928"/>
      <c r="IH106" s="928"/>
      <c r="II106" s="928"/>
      <c r="IJ106" s="928"/>
      <c r="IK106" s="928"/>
      <c r="IL106" s="928"/>
      <c r="IM106" s="928"/>
      <c r="IN106" s="928"/>
      <c r="IO106" s="928"/>
      <c r="IP106" s="928"/>
      <c r="IQ106" s="928"/>
      <c r="IR106" s="928"/>
      <c r="IS106" s="928"/>
      <c r="IT106" s="928"/>
      <c r="IU106" s="928"/>
      <c r="IV106" s="928"/>
      <c r="IW106" s="928"/>
    </row>
    <row r="107" spans="1:257" s="951" customFormat="1" ht="88.5" customHeight="1">
      <c r="A107" s="2482"/>
      <c r="B107" s="993" t="s">
        <v>2148</v>
      </c>
      <c r="C107" s="991">
        <v>4</v>
      </c>
      <c r="D107" s="991">
        <v>5</v>
      </c>
      <c r="E107" s="986" t="s">
        <v>1452</v>
      </c>
      <c r="F107" s="968" t="str">
        <f>IF(Scoring!I116="","",Scoring!I116)</f>
        <v/>
      </c>
      <c r="G107" s="987"/>
      <c r="H107" s="987"/>
      <c r="I107" s="988" t="s">
        <v>2670</v>
      </c>
      <c r="J107" s="972"/>
      <c r="K107" s="969"/>
      <c r="L107" s="970"/>
      <c r="M107" s="990"/>
      <c r="N107" s="928"/>
      <c r="O107" s="953"/>
      <c r="P107" s="952"/>
      <c r="Q107" s="928"/>
      <c r="R107" s="928"/>
      <c r="S107" s="928"/>
      <c r="T107" s="928"/>
      <c r="U107" s="928"/>
      <c r="V107" s="928"/>
      <c r="W107" s="928"/>
      <c r="X107" s="928"/>
      <c r="Y107" s="928"/>
      <c r="Z107" s="928"/>
      <c r="AA107" s="928"/>
      <c r="AB107" s="928"/>
      <c r="AC107" s="928"/>
      <c r="AD107" s="928"/>
      <c r="AE107" s="928"/>
      <c r="AF107" s="928"/>
      <c r="AG107" s="928"/>
      <c r="AH107" s="928"/>
      <c r="AI107" s="928"/>
      <c r="AJ107" s="928"/>
      <c r="AK107" s="928"/>
      <c r="AL107" s="928"/>
      <c r="AM107" s="928"/>
      <c r="AN107" s="928"/>
      <c r="AO107" s="928"/>
      <c r="AP107" s="928"/>
      <c r="AQ107" s="928"/>
      <c r="AR107" s="928"/>
      <c r="AS107" s="928"/>
      <c r="AT107" s="928"/>
      <c r="AU107" s="928"/>
      <c r="AV107" s="928"/>
      <c r="AW107" s="928"/>
      <c r="AX107" s="928"/>
      <c r="AY107" s="928"/>
      <c r="AZ107" s="928"/>
      <c r="BA107" s="928"/>
      <c r="BB107" s="928"/>
      <c r="BC107" s="928"/>
      <c r="BD107" s="928"/>
      <c r="BE107" s="928"/>
      <c r="BF107" s="928"/>
      <c r="BG107" s="928"/>
      <c r="BH107" s="928"/>
      <c r="BI107" s="928"/>
      <c r="BJ107" s="928"/>
      <c r="BK107" s="928"/>
      <c r="BL107" s="928"/>
      <c r="BM107" s="928"/>
      <c r="BN107" s="928"/>
      <c r="BO107" s="928"/>
      <c r="BP107" s="928"/>
      <c r="BQ107" s="928"/>
      <c r="BR107" s="928"/>
      <c r="BS107" s="928"/>
      <c r="BT107" s="928"/>
      <c r="BU107" s="928"/>
      <c r="BV107" s="928"/>
      <c r="BW107" s="928"/>
      <c r="BX107" s="928"/>
      <c r="BY107" s="928"/>
      <c r="BZ107" s="928"/>
      <c r="CA107" s="928"/>
      <c r="CB107" s="928"/>
      <c r="CC107" s="928"/>
      <c r="CD107" s="928"/>
      <c r="CE107" s="928"/>
      <c r="CF107" s="928"/>
      <c r="CG107" s="928"/>
      <c r="CH107" s="928"/>
      <c r="CI107" s="928"/>
      <c r="CJ107" s="928"/>
      <c r="CK107" s="928"/>
      <c r="CL107" s="928"/>
      <c r="CM107" s="928"/>
      <c r="CN107" s="928"/>
      <c r="CO107" s="928"/>
      <c r="CP107" s="928"/>
      <c r="CQ107" s="928"/>
      <c r="CR107" s="928"/>
      <c r="CS107" s="928"/>
      <c r="CT107" s="928"/>
      <c r="CU107" s="928"/>
      <c r="CV107" s="928"/>
      <c r="CW107" s="928"/>
      <c r="CX107" s="928"/>
      <c r="CY107" s="928"/>
      <c r="CZ107" s="928"/>
      <c r="DA107" s="928"/>
      <c r="DB107" s="928"/>
      <c r="DC107" s="928"/>
      <c r="DD107" s="928"/>
      <c r="DE107" s="928"/>
      <c r="DF107" s="928"/>
      <c r="DG107" s="928"/>
      <c r="DH107" s="928"/>
      <c r="DI107" s="928"/>
      <c r="DJ107" s="928"/>
      <c r="DK107" s="928"/>
      <c r="DL107" s="928"/>
      <c r="DM107" s="928"/>
      <c r="DN107" s="928"/>
      <c r="DO107" s="928"/>
      <c r="DP107" s="928"/>
      <c r="DQ107" s="928"/>
      <c r="DR107" s="928"/>
      <c r="DS107" s="928"/>
      <c r="DT107" s="928"/>
      <c r="DU107" s="928"/>
      <c r="DV107" s="928"/>
      <c r="DW107" s="928"/>
      <c r="DX107" s="928"/>
      <c r="DY107" s="928"/>
      <c r="DZ107" s="928"/>
      <c r="EA107" s="928"/>
      <c r="EB107" s="928"/>
      <c r="EC107" s="928"/>
      <c r="ED107" s="928"/>
      <c r="EE107" s="928"/>
      <c r="EF107" s="928"/>
      <c r="EG107" s="928"/>
      <c r="EH107" s="928"/>
      <c r="EI107" s="928"/>
      <c r="EJ107" s="928"/>
      <c r="EK107" s="928"/>
      <c r="EL107" s="928"/>
      <c r="EM107" s="928"/>
      <c r="EN107" s="928"/>
      <c r="EO107" s="928"/>
      <c r="EP107" s="928"/>
      <c r="EQ107" s="928"/>
      <c r="ER107" s="928"/>
      <c r="ES107" s="928"/>
      <c r="ET107" s="928"/>
      <c r="EU107" s="928"/>
      <c r="EV107" s="928"/>
      <c r="EW107" s="928"/>
      <c r="EX107" s="928"/>
      <c r="EY107" s="928"/>
      <c r="EZ107" s="928"/>
      <c r="FA107" s="928"/>
      <c r="FB107" s="928"/>
      <c r="FC107" s="928"/>
      <c r="FD107" s="928"/>
      <c r="FE107" s="928"/>
      <c r="FF107" s="928"/>
      <c r="FG107" s="928"/>
      <c r="FH107" s="928"/>
      <c r="FI107" s="928"/>
      <c r="FJ107" s="928"/>
      <c r="FK107" s="928"/>
      <c r="FL107" s="928"/>
      <c r="FM107" s="928"/>
      <c r="FN107" s="928"/>
      <c r="FO107" s="928"/>
      <c r="FP107" s="928"/>
      <c r="FQ107" s="928"/>
      <c r="FR107" s="928"/>
      <c r="FS107" s="928"/>
      <c r="FT107" s="928"/>
      <c r="FU107" s="928"/>
      <c r="FV107" s="928"/>
      <c r="FW107" s="928"/>
      <c r="FX107" s="928"/>
      <c r="FY107" s="928"/>
      <c r="FZ107" s="928"/>
      <c r="GA107" s="928"/>
      <c r="GB107" s="928"/>
      <c r="GC107" s="928"/>
      <c r="GD107" s="928"/>
      <c r="GE107" s="928"/>
      <c r="GF107" s="928"/>
      <c r="GG107" s="928"/>
      <c r="GH107" s="928"/>
      <c r="GI107" s="928"/>
      <c r="GJ107" s="928"/>
      <c r="GK107" s="928"/>
      <c r="GL107" s="928"/>
      <c r="GM107" s="928"/>
      <c r="GN107" s="928"/>
      <c r="GO107" s="928"/>
      <c r="GP107" s="928"/>
      <c r="GQ107" s="928"/>
      <c r="GR107" s="928"/>
      <c r="GS107" s="928"/>
      <c r="GT107" s="928"/>
      <c r="GU107" s="928"/>
      <c r="GV107" s="928"/>
      <c r="GW107" s="928"/>
      <c r="GX107" s="928"/>
      <c r="GY107" s="928"/>
      <c r="GZ107" s="928"/>
      <c r="HA107" s="928"/>
      <c r="HB107" s="928"/>
      <c r="HC107" s="928"/>
      <c r="HD107" s="928"/>
      <c r="HE107" s="928"/>
      <c r="HF107" s="928"/>
      <c r="HG107" s="928"/>
      <c r="HH107" s="928"/>
      <c r="HI107" s="928"/>
      <c r="HJ107" s="928"/>
      <c r="HK107" s="928"/>
      <c r="HL107" s="928"/>
      <c r="HM107" s="928"/>
      <c r="HN107" s="928"/>
      <c r="HO107" s="928"/>
      <c r="HP107" s="928"/>
      <c r="HQ107" s="928"/>
      <c r="HR107" s="928"/>
      <c r="HS107" s="928"/>
      <c r="HT107" s="928"/>
      <c r="HU107" s="928"/>
      <c r="HV107" s="928"/>
      <c r="HW107" s="928"/>
      <c r="HX107" s="928"/>
      <c r="HY107" s="928"/>
      <c r="HZ107" s="928"/>
      <c r="IA107" s="928"/>
      <c r="IB107" s="928"/>
      <c r="IC107" s="928"/>
      <c r="ID107" s="928"/>
      <c r="IE107" s="928"/>
      <c r="IF107" s="928"/>
      <c r="IG107" s="928"/>
      <c r="IH107" s="928"/>
      <c r="II107" s="928"/>
      <c r="IJ107" s="928"/>
      <c r="IK107" s="928"/>
      <c r="IL107" s="928"/>
      <c r="IM107" s="928"/>
      <c r="IN107" s="928"/>
      <c r="IO107" s="928"/>
      <c r="IP107" s="928"/>
      <c r="IQ107" s="928"/>
      <c r="IR107" s="928"/>
      <c r="IS107" s="928"/>
      <c r="IT107" s="928"/>
      <c r="IU107" s="928"/>
      <c r="IV107" s="928"/>
      <c r="IW107" s="928"/>
    </row>
    <row r="108" spans="1:257" s="951" customFormat="1" ht="88.5" customHeight="1">
      <c r="A108" s="2482"/>
      <c r="B108" s="993" t="s">
        <v>2150</v>
      </c>
      <c r="C108" s="991">
        <v>4</v>
      </c>
      <c r="D108" s="991">
        <v>5</v>
      </c>
      <c r="E108" s="986" t="s">
        <v>1454</v>
      </c>
      <c r="F108" s="968" t="str">
        <f>IF(Scoring!I117="","",Scoring!I117)</f>
        <v/>
      </c>
      <c r="G108" s="987"/>
      <c r="H108" s="987"/>
      <c r="I108" s="988" t="s">
        <v>2669</v>
      </c>
      <c r="J108" s="972"/>
      <c r="K108" s="969"/>
      <c r="L108" s="970"/>
      <c r="M108" s="990"/>
      <c r="N108" s="928"/>
      <c r="O108" s="953"/>
      <c r="P108" s="952"/>
      <c r="Q108" s="928"/>
      <c r="R108" s="928"/>
      <c r="S108" s="928"/>
      <c r="T108" s="928"/>
      <c r="U108" s="928"/>
      <c r="V108" s="928"/>
      <c r="W108" s="928"/>
      <c r="X108" s="928"/>
      <c r="Y108" s="928"/>
      <c r="Z108" s="928"/>
      <c r="AA108" s="928"/>
      <c r="AB108" s="928"/>
      <c r="AC108" s="928"/>
      <c r="AD108" s="928"/>
      <c r="AE108" s="928"/>
      <c r="AF108" s="928"/>
      <c r="AG108" s="928"/>
      <c r="AH108" s="928"/>
      <c r="AI108" s="928"/>
      <c r="AJ108" s="928"/>
      <c r="AK108" s="928"/>
      <c r="AL108" s="928"/>
      <c r="AM108" s="928"/>
      <c r="AN108" s="928"/>
      <c r="AO108" s="928"/>
      <c r="AP108" s="928"/>
      <c r="AQ108" s="928"/>
      <c r="AR108" s="928"/>
      <c r="AS108" s="928"/>
      <c r="AT108" s="928"/>
      <c r="AU108" s="928"/>
      <c r="AV108" s="928"/>
      <c r="AW108" s="928"/>
      <c r="AX108" s="928"/>
      <c r="AY108" s="928"/>
      <c r="AZ108" s="928"/>
      <c r="BA108" s="928"/>
      <c r="BB108" s="928"/>
      <c r="BC108" s="928"/>
      <c r="BD108" s="928"/>
      <c r="BE108" s="928"/>
      <c r="BF108" s="928"/>
      <c r="BG108" s="928"/>
      <c r="BH108" s="928"/>
      <c r="BI108" s="928"/>
      <c r="BJ108" s="928"/>
      <c r="BK108" s="928"/>
      <c r="BL108" s="928"/>
      <c r="BM108" s="928"/>
      <c r="BN108" s="928"/>
      <c r="BO108" s="928"/>
      <c r="BP108" s="928"/>
      <c r="BQ108" s="928"/>
      <c r="BR108" s="928"/>
      <c r="BS108" s="928"/>
      <c r="BT108" s="928"/>
      <c r="BU108" s="928"/>
      <c r="BV108" s="928"/>
      <c r="BW108" s="928"/>
      <c r="BX108" s="928"/>
      <c r="BY108" s="928"/>
      <c r="BZ108" s="928"/>
      <c r="CA108" s="928"/>
      <c r="CB108" s="928"/>
      <c r="CC108" s="928"/>
      <c r="CD108" s="928"/>
      <c r="CE108" s="928"/>
      <c r="CF108" s="928"/>
      <c r="CG108" s="928"/>
      <c r="CH108" s="928"/>
      <c r="CI108" s="928"/>
      <c r="CJ108" s="928"/>
      <c r="CK108" s="928"/>
      <c r="CL108" s="928"/>
      <c r="CM108" s="928"/>
      <c r="CN108" s="928"/>
      <c r="CO108" s="928"/>
      <c r="CP108" s="928"/>
      <c r="CQ108" s="928"/>
      <c r="CR108" s="928"/>
      <c r="CS108" s="928"/>
      <c r="CT108" s="928"/>
      <c r="CU108" s="928"/>
      <c r="CV108" s="928"/>
      <c r="CW108" s="928"/>
      <c r="CX108" s="928"/>
      <c r="CY108" s="928"/>
      <c r="CZ108" s="928"/>
      <c r="DA108" s="928"/>
      <c r="DB108" s="928"/>
      <c r="DC108" s="928"/>
      <c r="DD108" s="928"/>
      <c r="DE108" s="928"/>
      <c r="DF108" s="928"/>
      <c r="DG108" s="928"/>
      <c r="DH108" s="928"/>
      <c r="DI108" s="928"/>
      <c r="DJ108" s="928"/>
      <c r="DK108" s="928"/>
      <c r="DL108" s="928"/>
      <c r="DM108" s="928"/>
      <c r="DN108" s="928"/>
      <c r="DO108" s="928"/>
      <c r="DP108" s="928"/>
      <c r="DQ108" s="928"/>
      <c r="DR108" s="928"/>
      <c r="DS108" s="928"/>
      <c r="DT108" s="928"/>
      <c r="DU108" s="928"/>
      <c r="DV108" s="928"/>
      <c r="DW108" s="928"/>
      <c r="DX108" s="928"/>
      <c r="DY108" s="928"/>
      <c r="DZ108" s="928"/>
      <c r="EA108" s="928"/>
      <c r="EB108" s="928"/>
      <c r="EC108" s="928"/>
      <c r="ED108" s="928"/>
      <c r="EE108" s="928"/>
      <c r="EF108" s="928"/>
      <c r="EG108" s="928"/>
      <c r="EH108" s="928"/>
      <c r="EI108" s="928"/>
      <c r="EJ108" s="928"/>
      <c r="EK108" s="928"/>
      <c r="EL108" s="928"/>
      <c r="EM108" s="928"/>
      <c r="EN108" s="928"/>
      <c r="EO108" s="928"/>
      <c r="EP108" s="928"/>
      <c r="EQ108" s="928"/>
      <c r="ER108" s="928"/>
      <c r="ES108" s="928"/>
      <c r="ET108" s="928"/>
      <c r="EU108" s="928"/>
      <c r="EV108" s="928"/>
      <c r="EW108" s="928"/>
      <c r="EX108" s="928"/>
      <c r="EY108" s="928"/>
      <c r="EZ108" s="928"/>
      <c r="FA108" s="928"/>
      <c r="FB108" s="928"/>
      <c r="FC108" s="928"/>
      <c r="FD108" s="928"/>
      <c r="FE108" s="928"/>
      <c r="FF108" s="928"/>
      <c r="FG108" s="928"/>
      <c r="FH108" s="928"/>
      <c r="FI108" s="928"/>
      <c r="FJ108" s="928"/>
      <c r="FK108" s="928"/>
      <c r="FL108" s="928"/>
      <c r="FM108" s="928"/>
      <c r="FN108" s="928"/>
      <c r="FO108" s="928"/>
      <c r="FP108" s="928"/>
      <c r="FQ108" s="928"/>
      <c r="FR108" s="928"/>
      <c r="FS108" s="928"/>
      <c r="FT108" s="928"/>
      <c r="FU108" s="928"/>
      <c r="FV108" s="928"/>
      <c r="FW108" s="928"/>
      <c r="FX108" s="928"/>
      <c r="FY108" s="928"/>
      <c r="FZ108" s="928"/>
      <c r="GA108" s="928"/>
      <c r="GB108" s="928"/>
      <c r="GC108" s="928"/>
      <c r="GD108" s="928"/>
      <c r="GE108" s="928"/>
      <c r="GF108" s="928"/>
      <c r="GG108" s="928"/>
      <c r="GH108" s="928"/>
      <c r="GI108" s="928"/>
      <c r="GJ108" s="928"/>
      <c r="GK108" s="928"/>
      <c r="GL108" s="928"/>
      <c r="GM108" s="928"/>
      <c r="GN108" s="928"/>
      <c r="GO108" s="928"/>
      <c r="GP108" s="928"/>
      <c r="GQ108" s="928"/>
      <c r="GR108" s="928"/>
      <c r="GS108" s="928"/>
      <c r="GT108" s="928"/>
      <c r="GU108" s="928"/>
      <c r="GV108" s="928"/>
      <c r="GW108" s="928"/>
      <c r="GX108" s="928"/>
      <c r="GY108" s="928"/>
      <c r="GZ108" s="928"/>
      <c r="HA108" s="928"/>
      <c r="HB108" s="928"/>
      <c r="HC108" s="928"/>
      <c r="HD108" s="928"/>
      <c r="HE108" s="928"/>
      <c r="HF108" s="928"/>
      <c r="HG108" s="928"/>
      <c r="HH108" s="928"/>
      <c r="HI108" s="928"/>
      <c r="HJ108" s="928"/>
      <c r="HK108" s="928"/>
      <c r="HL108" s="928"/>
      <c r="HM108" s="928"/>
      <c r="HN108" s="928"/>
      <c r="HO108" s="928"/>
      <c r="HP108" s="928"/>
      <c r="HQ108" s="928"/>
      <c r="HR108" s="928"/>
      <c r="HS108" s="928"/>
      <c r="HT108" s="928"/>
      <c r="HU108" s="928"/>
      <c r="HV108" s="928"/>
      <c r="HW108" s="928"/>
      <c r="HX108" s="928"/>
      <c r="HY108" s="928"/>
      <c r="HZ108" s="928"/>
      <c r="IA108" s="928"/>
      <c r="IB108" s="928"/>
      <c r="IC108" s="928"/>
      <c r="ID108" s="928"/>
      <c r="IE108" s="928"/>
      <c r="IF108" s="928"/>
      <c r="IG108" s="928"/>
      <c r="IH108" s="928"/>
      <c r="II108" s="928"/>
      <c r="IJ108" s="928"/>
      <c r="IK108" s="928"/>
      <c r="IL108" s="928"/>
      <c r="IM108" s="928"/>
      <c r="IN108" s="928"/>
      <c r="IO108" s="928"/>
      <c r="IP108" s="928"/>
      <c r="IQ108" s="928"/>
      <c r="IR108" s="928"/>
      <c r="IS108" s="928"/>
      <c r="IT108" s="928"/>
      <c r="IU108" s="928"/>
      <c r="IV108" s="928"/>
      <c r="IW108" s="928"/>
    </row>
    <row r="109" spans="1:257" s="951" customFormat="1" ht="88.5" customHeight="1">
      <c r="A109" s="2482"/>
      <c r="B109" s="993" t="s">
        <v>2668</v>
      </c>
      <c r="C109" s="991">
        <v>4</v>
      </c>
      <c r="D109" s="991">
        <v>5</v>
      </c>
      <c r="E109" s="986" t="s">
        <v>2667</v>
      </c>
      <c r="F109" s="968" t="str">
        <f>IF(Scoring!I118="","",Scoring!I118)</f>
        <v/>
      </c>
      <c r="G109" s="987"/>
      <c r="H109" s="987"/>
      <c r="I109" s="988" t="s">
        <v>2666</v>
      </c>
      <c r="J109" s="972"/>
      <c r="K109" s="969"/>
      <c r="L109" s="970"/>
      <c r="M109" s="990"/>
      <c r="N109" s="928"/>
      <c r="O109" s="953"/>
      <c r="P109" s="952"/>
      <c r="Q109" s="928"/>
      <c r="R109" s="928"/>
      <c r="S109" s="928"/>
      <c r="T109" s="928"/>
      <c r="U109" s="928"/>
      <c r="V109" s="928"/>
      <c r="W109" s="928"/>
      <c r="X109" s="928"/>
      <c r="Y109" s="928"/>
      <c r="Z109" s="928"/>
      <c r="AA109" s="928"/>
      <c r="AB109" s="928"/>
      <c r="AC109" s="928"/>
      <c r="AD109" s="928"/>
      <c r="AE109" s="928"/>
      <c r="AF109" s="928"/>
      <c r="AG109" s="928"/>
      <c r="AH109" s="928"/>
      <c r="AI109" s="928"/>
      <c r="AJ109" s="928"/>
      <c r="AK109" s="928"/>
      <c r="AL109" s="928"/>
      <c r="AM109" s="928"/>
      <c r="AN109" s="928"/>
      <c r="AO109" s="928"/>
      <c r="AP109" s="928"/>
      <c r="AQ109" s="928"/>
      <c r="AR109" s="928"/>
      <c r="AS109" s="928"/>
      <c r="AT109" s="928"/>
      <c r="AU109" s="928"/>
      <c r="AV109" s="928"/>
      <c r="AW109" s="928"/>
      <c r="AX109" s="928"/>
      <c r="AY109" s="928"/>
      <c r="AZ109" s="928"/>
      <c r="BA109" s="928"/>
      <c r="BB109" s="928"/>
      <c r="BC109" s="928"/>
      <c r="BD109" s="928"/>
      <c r="BE109" s="928"/>
      <c r="BF109" s="928"/>
      <c r="BG109" s="928"/>
      <c r="BH109" s="928"/>
      <c r="BI109" s="928"/>
      <c r="BJ109" s="928"/>
      <c r="BK109" s="928"/>
      <c r="BL109" s="928"/>
      <c r="BM109" s="928"/>
      <c r="BN109" s="928"/>
      <c r="BO109" s="928"/>
      <c r="BP109" s="928"/>
      <c r="BQ109" s="928"/>
      <c r="BR109" s="928"/>
      <c r="BS109" s="928"/>
      <c r="BT109" s="928"/>
      <c r="BU109" s="928"/>
      <c r="BV109" s="928"/>
      <c r="BW109" s="928"/>
      <c r="BX109" s="928"/>
      <c r="BY109" s="928"/>
      <c r="BZ109" s="928"/>
      <c r="CA109" s="928"/>
      <c r="CB109" s="928"/>
      <c r="CC109" s="928"/>
      <c r="CD109" s="928"/>
      <c r="CE109" s="928"/>
      <c r="CF109" s="928"/>
      <c r="CG109" s="928"/>
      <c r="CH109" s="928"/>
      <c r="CI109" s="928"/>
      <c r="CJ109" s="928"/>
      <c r="CK109" s="928"/>
      <c r="CL109" s="928"/>
      <c r="CM109" s="928"/>
      <c r="CN109" s="928"/>
      <c r="CO109" s="928"/>
      <c r="CP109" s="928"/>
      <c r="CQ109" s="928"/>
      <c r="CR109" s="928"/>
      <c r="CS109" s="928"/>
      <c r="CT109" s="928"/>
      <c r="CU109" s="928"/>
      <c r="CV109" s="928"/>
      <c r="CW109" s="928"/>
      <c r="CX109" s="928"/>
      <c r="CY109" s="928"/>
      <c r="CZ109" s="928"/>
      <c r="DA109" s="928"/>
      <c r="DB109" s="928"/>
      <c r="DC109" s="928"/>
      <c r="DD109" s="928"/>
      <c r="DE109" s="928"/>
      <c r="DF109" s="928"/>
      <c r="DG109" s="928"/>
      <c r="DH109" s="928"/>
      <c r="DI109" s="928"/>
      <c r="DJ109" s="928"/>
      <c r="DK109" s="928"/>
      <c r="DL109" s="928"/>
      <c r="DM109" s="928"/>
      <c r="DN109" s="928"/>
      <c r="DO109" s="928"/>
      <c r="DP109" s="928"/>
      <c r="DQ109" s="928"/>
      <c r="DR109" s="928"/>
      <c r="DS109" s="928"/>
      <c r="DT109" s="928"/>
      <c r="DU109" s="928"/>
      <c r="DV109" s="928"/>
      <c r="DW109" s="928"/>
      <c r="DX109" s="928"/>
      <c r="DY109" s="928"/>
      <c r="DZ109" s="928"/>
      <c r="EA109" s="928"/>
      <c r="EB109" s="928"/>
      <c r="EC109" s="928"/>
      <c r="ED109" s="928"/>
      <c r="EE109" s="928"/>
      <c r="EF109" s="928"/>
      <c r="EG109" s="928"/>
      <c r="EH109" s="928"/>
      <c r="EI109" s="928"/>
      <c r="EJ109" s="928"/>
      <c r="EK109" s="928"/>
      <c r="EL109" s="928"/>
      <c r="EM109" s="928"/>
      <c r="EN109" s="928"/>
      <c r="EO109" s="928"/>
      <c r="EP109" s="928"/>
      <c r="EQ109" s="928"/>
      <c r="ER109" s="928"/>
      <c r="ES109" s="928"/>
      <c r="ET109" s="928"/>
      <c r="EU109" s="928"/>
      <c r="EV109" s="928"/>
      <c r="EW109" s="928"/>
      <c r="EX109" s="928"/>
      <c r="EY109" s="928"/>
      <c r="EZ109" s="928"/>
      <c r="FA109" s="928"/>
      <c r="FB109" s="928"/>
      <c r="FC109" s="928"/>
      <c r="FD109" s="928"/>
      <c r="FE109" s="928"/>
      <c r="FF109" s="928"/>
      <c r="FG109" s="928"/>
      <c r="FH109" s="928"/>
      <c r="FI109" s="928"/>
      <c r="FJ109" s="928"/>
      <c r="FK109" s="928"/>
      <c r="FL109" s="928"/>
      <c r="FM109" s="928"/>
      <c r="FN109" s="928"/>
      <c r="FO109" s="928"/>
      <c r="FP109" s="928"/>
      <c r="FQ109" s="928"/>
      <c r="FR109" s="928"/>
      <c r="FS109" s="928"/>
      <c r="FT109" s="928"/>
      <c r="FU109" s="928"/>
      <c r="FV109" s="928"/>
      <c r="FW109" s="928"/>
      <c r="FX109" s="928"/>
      <c r="FY109" s="928"/>
      <c r="FZ109" s="928"/>
      <c r="GA109" s="928"/>
      <c r="GB109" s="928"/>
      <c r="GC109" s="928"/>
      <c r="GD109" s="928"/>
      <c r="GE109" s="928"/>
      <c r="GF109" s="928"/>
      <c r="GG109" s="928"/>
      <c r="GH109" s="928"/>
      <c r="GI109" s="928"/>
      <c r="GJ109" s="928"/>
      <c r="GK109" s="928"/>
      <c r="GL109" s="928"/>
      <c r="GM109" s="928"/>
      <c r="GN109" s="928"/>
      <c r="GO109" s="928"/>
      <c r="GP109" s="928"/>
      <c r="GQ109" s="928"/>
      <c r="GR109" s="928"/>
      <c r="GS109" s="928"/>
      <c r="GT109" s="928"/>
      <c r="GU109" s="928"/>
      <c r="GV109" s="928"/>
      <c r="GW109" s="928"/>
      <c r="GX109" s="928"/>
      <c r="GY109" s="928"/>
      <c r="GZ109" s="928"/>
      <c r="HA109" s="928"/>
      <c r="HB109" s="928"/>
      <c r="HC109" s="928"/>
      <c r="HD109" s="928"/>
      <c r="HE109" s="928"/>
      <c r="HF109" s="928"/>
      <c r="HG109" s="928"/>
      <c r="HH109" s="928"/>
      <c r="HI109" s="928"/>
      <c r="HJ109" s="928"/>
      <c r="HK109" s="928"/>
      <c r="HL109" s="928"/>
      <c r="HM109" s="928"/>
      <c r="HN109" s="928"/>
      <c r="HO109" s="928"/>
      <c r="HP109" s="928"/>
      <c r="HQ109" s="928"/>
      <c r="HR109" s="928"/>
      <c r="HS109" s="928"/>
      <c r="HT109" s="928"/>
      <c r="HU109" s="928"/>
      <c r="HV109" s="928"/>
      <c r="HW109" s="928"/>
      <c r="HX109" s="928"/>
      <c r="HY109" s="928"/>
      <c r="HZ109" s="928"/>
      <c r="IA109" s="928"/>
      <c r="IB109" s="928"/>
      <c r="IC109" s="928"/>
      <c r="ID109" s="928"/>
      <c r="IE109" s="928"/>
      <c r="IF109" s="928"/>
      <c r="IG109" s="928"/>
      <c r="IH109" s="928"/>
      <c r="II109" s="928"/>
      <c r="IJ109" s="928"/>
      <c r="IK109" s="928"/>
      <c r="IL109" s="928"/>
      <c r="IM109" s="928"/>
      <c r="IN109" s="928"/>
      <c r="IO109" s="928"/>
      <c r="IP109" s="928"/>
      <c r="IQ109" s="928"/>
      <c r="IR109" s="928"/>
      <c r="IS109" s="928"/>
      <c r="IT109" s="928"/>
      <c r="IU109" s="928"/>
      <c r="IV109" s="928"/>
      <c r="IW109" s="928"/>
    </row>
    <row r="110" spans="1:257" s="951" customFormat="1" ht="85" thickBot="1">
      <c r="A110" s="2483"/>
      <c r="B110" s="996" t="s">
        <v>2665</v>
      </c>
      <c r="C110" s="1209">
        <v>4</v>
      </c>
      <c r="D110" s="1209">
        <v>5</v>
      </c>
      <c r="E110" s="998" t="s">
        <v>1785</v>
      </c>
      <c r="F110" s="973" t="str">
        <f>IF(Scoring!I119="","",Scoring!I119)</f>
        <v/>
      </c>
      <c r="G110" s="999"/>
      <c r="H110" s="999"/>
      <c r="I110" s="1000" t="s">
        <v>2664</v>
      </c>
      <c r="J110" s="974"/>
      <c r="K110" s="974">
        <f>COUNT(F106:F110)</f>
        <v>0</v>
      </c>
      <c r="L110" s="975">
        <f>SUM(F106:F110)</f>
        <v>0</v>
      </c>
      <c r="M110" s="976">
        <f>IF(L110&lt;3,0,1)</f>
        <v>0</v>
      </c>
      <c r="N110" s="928"/>
      <c r="O110" s="942"/>
      <c r="P110" s="956">
        <f>COUNTA(F110:F110)</f>
        <v>1</v>
      </c>
      <c r="Q110" s="928"/>
      <c r="R110" s="928"/>
      <c r="S110" s="928"/>
      <c r="T110" s="928"/>
      <c r="U110" s="928"/>
      <c r="V110" s="928"/>
      <c r="W110" s="928"/>
      <c r="X110" s="928"/>
      <c r="Y110" s="928"/>
      <c r="Z110" s="928"/>
      <c r="AA110" s="928"/>
      <c r="AB110" s="928"/>
      <c r="AC110" s="928"/>
      <c r="AD110" s="928"/>
      <c r="AE110" s="928"/>
      <c r="AF110" s="928"/>
      <c r="AG110" s="928"/>
      <c r="AH110" s="928"/>
      <c r="AI110" s="928"/>
      <c r="AJ110" s="928"/>
      <c r="AK110" s="928"/>
      <c r="AL110" s="928"/>
      <c r="AM110" s="928"/>
      <c r="AN110" s="928"/>
      <c r="AO110" s="928"/>
      <c r="AP110" s="928"/>
      <c r="AQ110" s="928"/>
      <c r="AR110" s="928"/>
      <c r="AS110" s="928"/>
      <c r="AT110" s="928"/>
      <c r="AU110" s="928"/>
      <c r="AV110" s="928"/>
      <c r="AW110" s="928"/>
      <c r="AX110" s="928"/>
      <c r="AY110" s="928"/>
      <c r="AZ110" s="928"/>
      <c r="BA110" s="928"/>
      <c r="BB110" s="928"/>
      <c r="BC110" s="928"/>
      <c r="BD110" s="928"/>
      <c r="BE110" s="928"/>
      <c r="BF110" s="928"/>
      <c r="BG110" s="928"/>
      <c r="BH110" s="928"/>
      <c r="BI110" s="928"/>
      <c r="BJ110" s="928"/>
      <c r="BK110" s="928"/>
      <c r="BL110" s="928"/>
      <c r="BM110" s="928"/>
      <c r="BN110" s="928"/>
      <c r="BO110" s="928"/>
      <c r="BP110" s="928"/>
      <c r="BQ110" s="928"/>
      <c r="BR110" s="928"/>
      <c r="BS110" s="928"/>
      <c r="BT110" s="928"/>
      <c r="BU110" s="928"/>
      <c r="BV110" s="928"/>
      <c r="BW110" s="928"/>
      <c r="BX110" s="928"/>
      <c r="BY110" s="928"/>
      <c r="BZ110" s="928"/>
      <c r="CA110" s="928"/>
      <c r="CB110" s="928"/>
      <c r="CC110" s="928"/>
      <c r="CD110" s="928"/>
      <c r="CE110" s="928"/>
      <c r="CF110" s="928"/>
      <c r="CG110" s="928"/>
      <c r="CH110" s="928"/>
      <c r="CI110" s="928"/>
      <c r="CJ110" s="928"/>
      <c r="CK110" s="928"/>
      <c r="CL110" s="928"/>
      <c r="CM110" s="928"/>
      <c r="CN110" s="928"/>
      <c r="CO110" s="928"/>
      <c r="CP110" s="928"/>
      <c r="CQ110" s="928"/>
      <c r="CR110" s="928"/>
      <c r="CS110" s="928"/>
      <c r="CT110" s="928"/>
      <c r="CU110" s="928"/>
      <c r="CV110" s="928"/>
      <c r="CW110" s="928"/>
      <c r="CX110" s="928"/>
      <c r="CY110" s="928"/>
      <c r="CZ110" s="928"/>
      <c r="DA110" s="928"/>
      <c r="DB110" s="928"/>
      <c r="DC110" s="928"/>
      <c r="DD110" s="928"/>
      <c r="DE110" s="928"/>
      <c r="DF110" s="928"/>
      <c r="DG110" s="928"/>
      <c r="DH110" s="928"/>
      <c r="DI110" s="928"/>
      <c r="DJ110" s="928"/>
      <c r="DK110" s="928"/>
      <c r="DL110" s="928"/>
      <c r="DM110" s="928"/>
      <c r="DN110" s="928"/>
      <c r="DO110" s="928"/>
      <c r="DP110" s="928"/>
      <c r="DQ110" s="928"/>
      <c r="DR110" s="928"/>
      <c r="DS110" s="928"/>
      <c r="DT110" s="928"/>
      <c r="DU110" s="928"/>
      <c r="DV110" s="928"/>
      <c r="DW110" s="928"/>
      <c r="DX110" s="928"/>
      <c r="DY110" s="928"/>
      <c r="DZ110" s="928"/>
      <c r="EA110" s="928"/>
      <c r="EB110" s="928"/>
      <c r="EC110" s="928"/>
      <c r="ED110" s="928"/>
      <c r="EE110" s="928"/>
      <c r="EF110" s="928"/>
      <c r="EG110" s="928"/>
      <c r="EH110" s="928"/>
      <c r="EI110" s="928"/>
      <c r="EJ110" s="928"/>
      <c r="EK110" s="928"/>
      <c r="EL110" s="928"/>
      <c r="EM110" s="928"/>
      <c r="EN110" s="928"/>
      <c r="EO110" s="928"/>
      <c r="EP110" s="928"/>
      <c r="EQ110" s="928"/>
      <c r="ER110" s="928"/>
      <c r="ES110" s="928"/>
      <c r="ET110" s="928"/>
      <c r="EU110" s="928"/>
      <c r="EV110" s="928"/>
      <c r="EW110" s="928"/>
      <c r="EX110" s="928"/>
      <c r="EY110" s="928"/>
      <c r="EZ110" s="928"/>
      <c r="FA110" s="928"/>
      <c r="FB110" s="928"/>
      <c r="FC110" s="928"/>
      <c r="FD110" s="928"/>
      <c r="FE110" s="928"/>
      <c r="FF110" s="928"/>
      <c r="FG110" s="928"/>
      <c r="FH110" s="928"/>
      <c r="FI110" s="928"/>
      <c r="FJ110" s="928"/>
      <c r="FK110" s="928"/>
      <c r="FL110" s="928"/>
      <c r="FM110" s="928"/>
      <c r="FN110" s="928"/>
      <c r="FO110" s="928"/>
      <c r="FP110" s="928"/>
      <c r="FQ110" s="928"/>
      <c r="FR110" s="928"/>
      <c r="FS110" s="928"/>
      <c r="FT110" s="928"/>
      <c r="FU110" s="928"/>
      <c r="FV110" s="928"/>
      <c r="FW110" s="928"/>
      <c r="FX110" s="928"/>
      <c r="FY110" s="928"/>
      <c r="FZ110" s="928"/>
      <c r="GA110" s="928"/>
      <c r="GB110" s="928"/>
      <c r="GC110" s="928"/>
      <c r="GD110" s="928"/>
      <c r="GE110" s="928"/>
      <c r="GF110" s="928"/>
      <c r="GG110" s="928"/>
      <c r="GH110" s="928"/>
      <c r="GI110" s="928"/>
      <c r="GJ110" s="928"/>
      <c r="GK110" s="928"/>
      <c r="GL110" s="928"/>
      <c r="GM110" s="928"/>
      <c r="GN110" s="928"/>
      <c r="GO110" s="928"/>
      <c r="GP110" s="928"/>
      <c r="GQ110" s="928"/>
      <c r="GR110" s="928"/>
      <c r="GS110" s="928"/>
      <c r="GT110" s="928"/>
      <c r="GU110" s="928"/>
      <c r="GV110" s="928"/>
      <c r="GW110" s="928"/>
      <c r="GX110" s="928"/>
      <c r="GY110" s="928"/>
      <c r="GZ110" s="928"/>
      <c r="HA110" s="928"/>
      <c r="HB110" s="928"/>
      <c r="HC110" s="928"/>
      <c r="HD110" s="928"/>
      <c r="HE110" s="928"/>
      <c r="HF110" s="928"/>
      <c r="HG110" s="928"/>
      <c r="HH110" s="928"/>
      <c r="HI110" s="928"/>
      <c r="HJ110" s="928"/>
      <c r="HK110" s="928"/>
      <c r="HL110" s="928"/>
      <c r="HM110" s="928"/>
      <c r="HN110" s="928"/>
      <c r="HO110" s="928"/>
      <c r="HP110" s="928"/>
      <c r="HQ110" s="928"/>
      <c r="HR110" s="928"/>
      <c r="HS110" s="928"/>
      <c r="HT110" s="928"/>
      <c r="HU110" s="928"/>
      <c r="HV110" s="928"/>
      <c r="HW110" s="928"/>
      <c r="HX110" s="928"/>
      <c r="HY110" s="928"/>
      <c r="HZ110" s="928"/>
      <c r="IA110" s="928"/>
      <c r="IB110" s="928"/>
      <c r="IC110" s="928"/>
      <c r="ID110" s="928"/>
      <c r="IE110" s="928"/>
      <c r="IF110" s="928"/>
      <c r="IG110" s="928"/>
      <c r="IH110" s="928"/>
      <c r="II110" s="928"/>
      <c r="IJ110" s="928"/>
      <c r="IK110" s="928"/>
      <c r="IL110" s="928"/>
      <c r="IM110" s="928"/>
      <c r="IN110" s="928"/>
      <c r="IO110" s="928"/>
      <c r="IP110" s="928"/>
      <c r="IQ110" s="928"/>
      <c r="IR110" s="928"/>
      <c r="IS110" s="928"/>
      <c r="IT110" s="928"/>
      <c r="IU110" s="928"/>
      <c r="IV110" s="928"/>
      <c r="IW110" s="928"/>
    </row>
    <row r="111" spans="1:257" s="951" customFormat="1" ht="15" thickTop="1" thickBot="1">
      <c r="A111" s="928"/>
      <c r="B111" s="928"/>
      <c r="C111" s="928"/>
      <c r="D111" s="928"/>
      <c r="E111" s="928"/>
      <c r="F111" s="928"/>
      <c r="G111" s="928"/>
      <c r="H111" s="928"/>
      <c r="I111" s="928"/>
      <c r="J111" s="928"/>
      <c r="K111" s="928"/>
      <c r="L111" s="928"/>
      <c r="M111" s="928"/>
      <c r="N111" s="928"/>
      <c r="O111" s="928"/>
      <c r="P111" s="928"/>
      <c r="Q111" s="928"/>
      <c r="R111" s="928"/>
      <c r="S111" s="928"/>
      <c r="T111" s="928"/>
      <c r="U111" s="928"/>
      <c r="V111" s="928"/>
      <c r="W111" s="928"/>
      <c r="X111" s="928"/>
      <c r="Y111" s="928"/>
      <c r="Z111" s="928"/>
      <c r="AA111" s="928"/>
      <c r="AB111" s="928"/>
      <c r="AC111" s="928"/>
      <c r="AD111" s="928"/>
      <c r="AE111" s="928"/>
      <c r="AF111" s="928"/>
      <c r="AG111" s="928"/>
      <c r="AH111" s="928"/>
      <c r="AI111" s="928"/>
      <c r="AJ111" s="928"/>
      <c r="AK111" s="928"/>
      <c r="AL111" s="928"/>
      <c r="AM111" s="928"/>
      <c r="AN111" s="928"/>
      <c r="AO111" s="928"/>
      <c r="AP111" s="928"/>
      <c r="AQ111" s="928"/>
      <c r="AR111" s="928"/>
      <c r="AS111" s="928"/>
      <c r="AT111" s="928"/>
      <c r="AU111" s="928"/>
      <c r="AV111" s="928"/>
      <c r="AW111" s="928"/>
      <c r="AX111" s="928"/>
      <c r="AY111" s="928"/>
      <c r="AZ111" s="928"/>
      <c r="BA111" s="928"/>
      <c r="BB111" s="928"/>
      <c r="BC111" s="928"/>
      <c r="BD111" s="928"/>
      <c r="BE111" s="928"/>
      <c r="BF111" s="928"/>
      <c r="BG111" s="928"/>
      <c r="BH111" s="928"/>
      <c r="BI111" s="928"/>
      <c r="BJ111" s="928"/>
      <c r="BK111" s="928"/>
      <c r="BL111" s="928"/>
      <c r="BM111" s="928"/>
      <c r="BN111" s="928"/>
      <c r="BO111" s="928"/>
      <c r="BP111" s="928"/>
      <c r="BQ111" s="928"/>
      <c r="BR111" s="928"/>
      <c r="BS111" s="928"/>
      <c r="BT111" s="928"/>
      <c r="BU111" s="928"/>
      <c r="BV111" s="928"/>
      <c r="BW111" s="928"/>
      <c r="BX111" s="928"/>
      <c r="BY111" s="928"/>
      <c r="BZ111" s="928"/>
      <c r="CA111" s="928"/>
      <c r="CB111" s="928"/>
      <c r="CC111" s="928"/>
      <c r="CD111" s="928"/>
      <c r="CE111" s="928"/>
      <c r="CF111" s="928"/>
      <c r="CG111" s="928"/>
      <c r="CH111" s="928"/>
      <c r="CI111" s="928"/>
      <c r="CJ111" s="928"/>
      <c r="CK111" s="928"/>
      <c r="CL111" s="928"/>
      <c r="CM111" s="928"/>
      <c r="CN111" s="928"/>
      <c r="CO111" s="928"/>
      <c r="CP111" s="928"/>
      <c r="CQ111" s="928"/>
      <c r="CR111" s="928"/>
      <c r="CS111" s="928"/>
      <c r="CT111" s="928"/>
      <c r="CU111" s="928"/>
      <c r="CV111" s="928"/>
      <c r="CW111" s="928"/>
      <c r="CX111" s="928"/>
      <c r="CY111" s="928"/>
      <c r="CZ111" s="928"/>
      <c r="DA111" s="928"/>
      <c r="DB111" s="928"/>
      <c r="DC111" s="928"/>
      <c r="DD111" s="928"/>
      <c r="DE111" s="928"/>
      <c r="DF111" s="928"/>
      <c r="DG111" s="928"/>
      <c r="DH111" s="928"/>
      <c r="DI111" s="928"/>
      <c r="DJ111" s="928"/>
      <c r="DK111" s="928"/>
      <c r="DL111" s="928"/>
      <c r="DM111" s="928"/>
      <c r="DN111" s="928"/>
      <c r="DO111" s="928"/>
      <c r="DP111" s="928"/>
      <c r="DQ111" s="928"/>
      <c r="DR111" s="928"/>
      <c r="DS111" s="928"/>
      <c r="DT111" s="928"/>
      <c r="DU111" s="928"/>
      <c r="DV111" s="928"/>
      <c r="DW111" s="928"/>
      <c r="DX111" s="928"/>
      <c r="DY111" s="928"/>
      <c r="DZ111" s="928"/>
      <c r="EA111" s="928"/>
      <c r="EB111" s="928"/>
      <c r="EC111" s="928"/>
      <c r="ED111" s="928"/>
      <c r="EE111" s="928"/>
      <c r="EF111" s="928"/>
      <c r="EG111" s="928"/>
      <c r="EH111" s="928"/>
      <c r="EI111" s="928"/>
      <c r="EJ111" s="928"/>
      <c r="EK111" s="928"/>
      <c r="EL111" s="928"/>
      <c r="EM111" s="928"/>
      <c r="EN111" s="928"/>
      <c r="EO111" s="928"/>
      <c r="EP111" s="928"/>
      <c r="EQ111" s="928"/>
      <c r="ER111" s="928"/>
      <c r="ES111" s="928"/>
      <c r="ET111" s="928"/>
      <c r="EU111" s="928"/>
      <c r="EV111" s="928"/>
      <c r="EW111" s="928"/>
      <c r="EX111" s="928"/>
      <c r="EY111" s="928"/>
      <c r="EZ111" s="928"/>
      <c r="FA111" s="928"/>
      <c r="FB111" s="928"/>
      <c r="FC111" s="928"/>
      <c r="FD111" s="928"/>
      <c r="FE111" s="928"/>
      <c r="FF111" s="928"/>
      <c r="FG111" s="928"/>
      <c r="FH111" s="928"/>
      <c r="FI111" s="928"/>
      <c r="FJ111" s="928"/>
      <c r="FK111" s="928"/>
      <c r="FL111" s="928"/>
      <c r="FM111" s="928"/>
      <c r="FN111" s="928"/>
      <c r="FO111" s="928"/>
      <c r="FP111" s="928"/>
      <c r="FQ111" s="928"/>
      <c r="FR111" s="928"/>
      <c r="FS111" s="928"/>
      <c r="FT111" s="928"/>
      <c r="FU111" s="928"/>
      <c r="FV111" s="928"/>
      <c r="FW111" s="928"/>
      <c r="FX111" s="928"/>
      <c r="FY111" s="928"/>
      <c r="FZ111" s="928"/>
      <c r="GA111" s="928"/>
      <c r="GB111" s="928"/>
      <c r="GC111" s="928"/>
      <c r="GD111" s="928"/>
      <c r="GE111" s="928"/>
      <c r="GF111" s="928"/>
      <c r="GG111" s="928"/>
      <c r="GH111" s="928"/>
      <c r="GI111" s="928"/>
      <c r="GJ111" s="928"/>
      <c r="GK111" s="928"/>
      <c r="GL111" s="928"/>
      <c r="GM111" s="928"/>
      <c r="GN111" s="928"/>
      <c r="GO111" s="928"/>
      <c r="GP111" s="928"/>
      <c r="GQ111" s="928"/>
      <c r="GR111" s="928"/>
      <c r="GS111" s="928"/>
      <c r="GT111" s="928"/>
      <c r="GU111" s="928"/>
      <c r="GV111" s="928"/>
      <c r="GW111" s="928"/>
      <c r="GX111" s="928"/>
      <c r="GY111" s="928"/>
      <c r="GZ111" s="928"/>
      <c r="HA111" s="928"/>
      <c r="HB111" s="928"/>
      <c r="HC111" s="928"/>
      <c r="HD111" s="928"/>
      <c r="HE111" s="928"/>
      <c r="HF111" s="928"/>
      <c r="HG111" s="928"/>
      <c r="HH111" s="928"/>
      <c r="HI111" s="928"/>
      <c r="HJ111" s="928"/>
      <c r="HK111" s="928"/>
      <c r="HL111" s="928"/>
      <c r="HM111" s="928"/>
      <c r="HN111" s="928"/>
      <c r="HO111" s="928"/>
      <c r="HP111" s="928"/>
      <c r="HQ111" s="928"/>
      <c r="HR111" s="928"/>
      <c r="HS111" s="928"/>
      <c r="HT111" s="928"/>
      <c r="HU111" s="928"/>
      <c r="HV111" s="928"/>
      <c r="HW111" s="928"/>
      <c r="HX111" s="928"/>
      <c r="HY111" s="928"/>
      <c r="HZ111" s="928"/>
      <c r="IA111" s="928"/>
      <c r="IB111" s="928"/>
      <c r="IC111" s="928"/>
      <c r="ID111" s="928"/>
      <c r="IE111" s="928"/>
      <c r="IF111" s="928"/>
      <c r="IG111" s="928"/>
      <c r="IH111" s="928"/>
      <c r="II111" s="928"/>
      <c r="IJ111" s="928"/>
      <c r="IK111" s="928"/>
      <c r="IL111" s="928"/>
      <c r="IM111" s="928"/>
      <c r="IN111" s="928"/>
      <c r="IO111" s="928"/>
      <c r="IP111" s="928"/>
      <c r="IQ111" s="928"/>
      <c r="IR111" s="928"/>
      <c r="IS111" s="928"/>
      <c r="IT111" s="928"/>
      <c r="IU111" s="928"/>
      <c r="IV111" s="928"/>
      <c r="IW111" s="928"/>
    </row>
    <row r="112" spans="1:257" s="951" customFormat="1" ht="57" thickTop="1">
      <c r="A112" s="2477" t="s">
        <v>2152</v>
      </c>
      <c r="B112" s="1212" t="s">
        <v>2153</v>
      </c>
      <c r="C112" s="1199">
        <v>4</v>
      </c>
      <c r="D112" s="1199">
        <v>5</v>
      </c>
      <c r="E112" s="1200" t="s">
        <v>1456</v>
      </c>
      <c r="F112" s="1201" t="str">
        <f>IF(Scoring!I121="","",Scoring!I121)</f>
        <v/>
      </c>
      <c r="G112" s="1202"/>
      <c r="H112" s="1202"/>
      <c r="I112" s="1203" t="s">
        <v>2663</v>
      </c>
      <c r="J112" s="1208"/>
      <c r="K112" s="1208"/>
      <c r="L112" s="1204"/>
      <c r="M112" s="1205"/>
      <c r="N112" s="928"/>
      <c r="O112" s="949"/>
      <c r="P112" s="948"/>
      <c r="Q112" s="928"/>
      <c r="R112" s="928"/>
      <c r="S112" s="928"/>
      <c r="T112" s="928"/>
      <c r="U112" s="928"/>
      <c r="V112" s="928"/>
      <c r="W112" s="928"/>
      <c r="X112" s="928"/>
      <c r="Y112" s="928"/>
      <c r="Z112" s="928"/>
      <c r="AA112" s="928"/>
      <c r="AB112" s="928"/>
      <c r="AC112" s="928"/>
      <c r="AD112" s="928"/>
      <c r="AE112" s="928"/>
      <c r="AF112" s="928"/>
      <c r="AG112" s="928"/>
      <c r="AH112" s="928"/>
      <c r="AI112" s="928"/>
      <c r="AJ112" s="928"/>
      <c r="AK112" s="928"/>
      <c r="AL112" s="928"/>
      <c r="AM112" s="928"/>
      <c r="AN112" s="928"/>
      <c r="AO112" s="928"/>
      <c r="AP112" s="928"/>
      <c r="AQ112" s="928"/>
      <c r="AR112" s="928"/>
      <c r="AS112" s="928"/>
      <c r="AT112" s="928"/>
      <c r="AU112" s="928"/>
      <c r="AV112" s="928"/>
      <c r="AW112" s="928"/>
      <c r="AX112" s="928"/>
      <c r="AY112" s="928"/>
      <c r="AZ112" s="928"/>
      <c r="BA112" s="928"/>
      <c r="BB112" s="928"/>
      <c r="BC112" s="928"/>
      <c r="BD112" s="928"/>
      <c r="BE112" s="928"/>
      <c r="BF112" s="928"/>
      <c r="BG112" s="928"/>
      <c r="BH112" s="928"/>
      <c r="BI112" s="928"/>
      <c r="BJ112" s="928"/>
      <c r="BK112" s="928"/>
      <c r="BL112" s="928"/>
      <c r="BM112" s="928"/>
      <c r="BN112" s="928"/>
      <c r="BO112" s="928"/>
      <c r="BP112" s="928"/>
      <c r="BQ112" s="928"/>
      <c r="BR112" s="928"/>
      <c r="BS112" s="928"/>
      <c r="BT112" s="928"/>
      <c r="BU112" s="928"/>
      <c r="BV112" s="928"/>
      <c r="BW112" s="928"/>
      <c r="BX112" s="928"/>
      <c r="BY112" s="928"/>
      <c r="BZ112" s="928"/>
      <c r="CA112" s="928"/>
      <c r="CB112" s="928"/>
      <c r="CC112" s="928"/>
      <c r="CD112" s="928"/>
      <c r="CE112" s="928"/>
      <c r="CF112" s="928"/>
      <c r="CG112" s="928"/>
      <c r="CH112" s="928"/>
      <c r="CI112" s="928"/>
      <c r="CJ112" s="928"/>
      <c r="CK112" s="928"/>
      <c r="CL112" s="928"/>
      <c r="CM112" s="928"/>
      <c r="CN112" s="928"/>
      <c r="CO112" s="928"/>
      <c r="CP112" s="928"/>
      <c r="CQ112" s="928"/>
      <c r="CR112" s="928"/>
      <c r="CS112" s="928"/>
      <c r="CT112" s="928"/>
      <c r="CU112" s="928"/>
      <c r="CV112" s="928"/>
      <c r="CW112" s="928"/>
      <c r="CX112" s="928"/>
      <c r="CY112" s="928"/>
      <c r="CZ112" s="928"/>
      <c r="DA112" s="928"/>
      <c r="DB112" s="928"/>
      <c r="DC112" s="928"/>
      <c r="DD112" s="928"/>
      <c r="DE112" s="928"/>
      <c r="DF112" s="928"/>
      <c r="DG112" s="928"/>
      <c r="DH112" s="928"/>
      <c r="DI112" s="928"/>
      <c r="DJ112" s="928"/>
      <c r="DK112" s="928"/>
      <c r="DL112" s="928"/>
      <c r="DM112" s="928"/>
      <c r="DN112" s="928"/>
      <c r="DO112" s="928"/>
      <c r="DP112" s="928"/>
      <c r="DQ112" s="928"/>
      <c r="DR112" s="928"/>
      <c r="DS112" s="928"/>
      <c r="DT112" s="928"/>
      <c r="DU112" s="928"/>
      <c r="DV112" s="928"/>
      <c r="DW112" s="928"/>
      <c r="DX112" s="928"/>
      <c r="DY112" s="928"/>
      <c r="DZ112" s="928"/>
      <c r="EA112" s="928"/>
      <c r="EB112" s="928"/>
      <c r="EC112" s="928"/>
      <c r="ED112" s="928"/>
      <c r="EE112" s="928"/>
      <c r="EF112" s="928"/>
      <c r="EG112" s="928"/>
      <c r="EH112" s="928"/>
      <c r="EI112" s="928"/>
      <c r="EJ112" s="928"/>
      <c r="EK112" s="928"/>
      <c r="EL112" s="928"/>
      <c r="EM112" s="928"/>
      <c r="EN112" s="928"/>
      <c r="EO112" s="928"/>
      <c r="EP112" s="928"/>
      <c r="EQ112" s="928"/>
      <c r="ER112" s="928"/>
      <c r="ES112" s="928"/>
      <c r="ET112" s="928"/>
      <c r="EU112" s="928"/>
      <c r="EV112" s="928"/>
      <c r="EW112" s="928"/>
      <c r="EX112" s="928"/>
      <c r="EY112" s="928"/>
      <c r="EZ112" s="928"/>
      <c r="FA112" s="928"/>
      <c r="FB112" s="928"/>
      <c r="FC112" s="928"/>
      <c r="FD112" s="928"/>
      <c r="FE112" s="928"/>
      <c r="FF112" s="928"/>
      <c r="FG112" s="928"/>
      <c r="FH112" s="928"/>
      <c r="FI112" s="928"/>
      <c r="FJ112" s="928"/>
      <c r="FK112" s="928"/>
      <c r="FL112" s="928"/>
      <c r="FM112" s="928"/>
      <c r="FN112" s="928"/>
      <c r="FO112" s="928"/>
      <c r="FP112" s="928"/>
      <c r="FQ112" s="928"/>
      <c r="FR112" s="928"/>
      <c r="FS112" s="928"/>
      <c r="FT112" s="928"/>
      <c r="FU112" s="928"/>
      <c r="FV112" s="928"/>
      <c r="FW112" s="928"/>
      <c r="FX112" s="928"/>
      <c r="FY112" s="928"/>
      <c r="FZ112" s="928"/>
      <c r="GA112" s="928"/>
      <c r="GB112" s="928"/>
      <c r="GC112" s="928"/>
      <c r="GD112" s="928"/>
      <c r="GE112" s="928"/>
      <c r="GF112" s="928"/>
      <c r="GG112" s="928"/>
      <c r="GH112" s="928"/>
      <c r="GI112" s="928"/>
      <c r="GJ112" s="928"/>
      <c r="GK112" s="928"/>
      <c r="GL112" s="928"/>
      <c r="GM112" s="928"/>
      <c r="GN112" s="928"/>
      <c r="GO112" s="928"/>
      <c r="GP112" s="928"/>
      <c r="GQ112" s="928"/>
      <c r="GR112" s="928"/>
      <c r="GS112" s="928"/>
      <c r="GT112" s="928"/>
      <c r="GU112" s="928"/>
      <c r="GV112" s="928"/>
      <c r="GW112" s="928"/>
      <c r="GX112" s="928"/>
      <c r="GY112" s="928"/>
      <c r="GZ112" s="928"/>
      <c r="HA112" s="928"/>
      <c r="HB112" s="928"/>
      <c r="HC112" s="928"/>
      <c r="HD112" s="928"/>
      <c r="HE112" s="928"/>
      <c r="HF112" s="928"/>
      <c r="HG112" s="928"/>
      <c r="HH112" s="928"/>
      <c r="HI112" s="928"/>
      <c r="HJ112" s="928"/>
      <c r="HK112" s="928"/>
      <c r="HL112" s="928"/>
      <c r="HM112" s="928"/>
      <c r="HN112" s="928"/>
      <c r="HO112" s="928"/>
      <c r="HP112" s="928"/>
      <c r="HQ112" s="928"/>
      <c r="HR112" s="928"/>
      <c r="HS112" s="928"/>
      <c r="HT112" s="928"/>
      <c r="HU112" s="928"/>
      <c r="HV112" s="928"/>
      <c r="HW112" s="928"/>
      <c r="HX112" s="928"/>
      <c r="HY112" s="928"/>
      <c r="HZ112" s="928"/>
      <c r="IA112" s="928"/>
      <c r="IB112" s="928"/>
      <c r="IC112" s="928"/>
      <c r="ID112" s="928"/>
      <c r="IE112" s="928"/>
      <c r="IF112" s="928"/>
      <c r="IG112" s="928"/>
      <c r="IH112" s="928"/>
      <c r="II112" s="928"/>
      <c r="IJ112" s="928"/>
      <c r="IK112" s="928"/>
      <c r="IL112" s="928"/>
      <c r="IM112" s="928"/>
      <c r="IN112" s="928"/>
      <c r="IO112" s="928"/>
      <c r="IP112" s="928"/>
      <c r="IQ112" s="928"/>
      <c r="IR112" s="928"/>
      <c r="IS112" s="928"/>
      <c r="IT112" s="928"/>
      <c r="IU112" s="928"/>
      <c r="IV112" s="928"/>
      <c r="IW112" s="928"/>
    </row>
    <row r="113" spans="1:257" s="951" customFormat="1" ht="70">
      <c r="A113" s="2478"/>
      <c r="B113" s="993" t="s">
        <v>2155</v>
      </c>
      <c r="C113" s="985">
        <v>4</v>
      </c>
      <c r="D113" s="985">
        <v>5</v>
      </c>
      <c r="E113" s="986" t="s">
        <v>1459</v>
      </c>
      <c r="F113" s="968" t="str">
        <f>IF(Scoring!I122="","",Scoring!I122)</f>
        <v/>
      </c>
      <c r="G113" s="987"/>
      <c r="H113" s="987"/>
      <c r="I113" s="988" t="s">
        <v>2662</v>
      </c>
      <c r="J113" s="969"/>
      <c r="K113" s="969"/>
      <c r="L113" s="989"/>
      <c r="M113" s="990"/>
      <c r="N113" s="928"/>
      <c r="O113" s="953"/>
      <c r="P113" s="957"/>
      <c r="Q113" s="928"/>
      <c r="R113" s="928"/>
      <c r="S113" s="928"/>
      <c r="T113" s="928"/>
      <c r="U113" s="928"/>
      <c r="V113" s="928"/>
      <c r="W113" s="928"/>
      <c r="X113" s="928"/>
      <c r="Y113" s="928"/>
      <c r="Z113" s="928"/>
      <c r="AA113" s="928"/>
      <c r="AB113" s="928"/>
      <c r="AC113" s="928"/>
      <c r="AD113" s="928"/>
      <c r="AE113" s="928"/>
      <c r="AF113" s="928"/>
      <c r="AG113" s="928"/>
      <c r="AH113" s="928"/>
      <c r="AI113" s="928"/>
      <c r="AJ113" s="928"/>
      <c r="AK113" s="928"/>
      <c r="AL113" s="928"/>
      <c r="AM113" s="928"/>
      <c r="AN113" s="928"/>
      <c r="AO113" s="928"/>
      <c r="AP113" s="928"/>
      <c r="AQ113" s="928"/>
      <c r="AR113" s="928"/>
      <c r="AS113" s="928"/>
      <c r="AT113" s="928"/>
      <c r="AU113" s="928"/>
      <c r="AV113" s="928"/>
      <c r="AW113" s="928"/>
      <c r="AX113" s="928"/>
      <c r="AY113" s="928"/>
      <c r="AZ113" s="928"/>
      <c r="BA113" s="928"/>
      <c r="BB113" s="928"/>
      <c r="BC113" s="928"/>
      <c r="BD113" s="928"/>
      <c r="BE113" s="928"/>
      <c r="BF113" s="928"/>
      <c r="BG113" s="928"/>
      <c r="BH113" s="928"/>
      <c r="BI113" s="928"/>
      <c r="BJ113" s="928"/>
      <c r="BK113" s="928"/>
      <c r="BL113" s="928"/>
      <c r="BM113" s="928"/>
      <c r="BN113" s="928"/>
      <c r="BO113" s="928"/>
      <c r="BP113" s="928"/>
      <c r="BQ113" s="928"/>
      <c r="BR113" s="928"/>
      <c r="BS113" s="928"/>
      <c r="BT113" s="928"/>
      <c r="BU113" s="928"/>
      <c r="BV113" s="928"/>
      <c r="BW113" s="928"/>
      <c r="BX113" s="928"/>
      <c r="BY113" s="928"/>
      <c r="BZ113" s="928"/>
      <c r="CA113" s="928"/>
      <c r="CB113" s="928"/>
      <c r="CC113" s="928"/>
      <c r="CD113" s="928"/>
      <c r="CE113" s="928"/>
      <c r="CF113" s="928"/>
      <c r="CG113" s="928"/>
      <c r="CH113" s="928"/>
      <c r="CI113" s="928"/>
      <c r="CJ113" s="928"/>
      <c r="CK113" s="928"/>
      <c r="CL113" s="928"/>
      <c r="CM113" s="928"/>
      <c r="CN113" s="928"/>
      <c r="CO113" s="928"/>
      <c r="CP113" s="928"/>
      <c r="CQ113" s="928"/>
      <c r="CR113" s="928"/>
      <c r="CS113" s="928"/>
      <c r="CT113" s="928"/>
      <c r="CU113" s="928"/>
      <c r="CV113" s="928"/>
      <c r="CW113" s="928"/>
      <c r="CX113" s="928"/>
      <c r="CY113" s="928"/>
      <c r="CZ113" s="928"/>
      <c r="DA113" s="928"/>
      <c r="DB113" s="928"/>
      <c r="DC113" s="928"/>
      <c r="DD113" s="928"/>
      <c r="DE113" s="928"/>
      <c r="DF113" s="928"/>
      <c r="DG113" s="928"/>
      <c r="DH113" s="928"/>
      <c r="DI113" s="928"/>
      <c r="DJ113" s="928"/>
      <c r="DK113" s="928"/>
      <c r="DL113" s="928"/>
      <c r="DM113" s="928"/>
      <c r="DN113" s="928"/>
      <c r="DO113" s="928"/>
      <c r="DP113" s="928"/>
      <c r="DQ113" s="928"/>
      <c r="DR113" s="928"/>
      <c r="DS113" s="928"/>
      <c r="DT113" s="928"/>
      <c r="DU113" s="928"/>
      <c r="DV113" s="928"/>
      <c r="DW113" s="928"/>
      <c r="DX113" s="928"/>
      <c r="DY113" s="928"/>
      <c r="DZ113" s="928"/>
      <c r="EA113" s="928"/>
      <c r="EB113" s="928"/>
      <c r="EC113" s="928"/>
      <c r="ED113" s="928"/>
      <c r="EE113" s="928"/>
      <c r="EF113" s="928"/>
      <c r="EG113" s="928"/>
      <c r="EH113" s="928"/>
      <c r="EI113" s="928"/>
      <c r="EJ113" s="928"/>
      <c r="EK113" s="928"/>
      <c r="EL113" s="928"/>
      <c r="EM113" s="928"/>
      <c r="EN113" s="928"/>
      <c r="EO113" s="928"/>
      <c r="EP113" s="928"/>
      <c r="EQ113" s="928"/>
      <c r="ER113" s="928"/>
      <c r="ES113" s="928"/>
      <c r="ET113" s="928"/>
      <c r="EU113" s="928"/>
      <c r="EV113" s="928"/>
      <c r="EW113" s="928"/>
      <c r="EX113" s="928"/>
      <c r="EY113" s="928"/>
      <c r="EZ113" s="928"/>
      <c r="FA113" s="928"/>
      <c r="FB113" s="928"/>
      <c r="FC113" s="928"/>
      <c r="FD113" s="928"/>
      <c r="FE113" s="928"/>
      <c r="FF113" s="928"/>
      <c r="FG113" s="928"/>
      <c r="FH113" s="928"/>
      <c r="FI113" s="928"/>
      <c r="FJ113" s="928"/>
      <c r="FK113" s="928"/>
      <c r="FL113" s="928"/>
      <c r="FM113" s="928"/>
      <c r="FN113" s="928"/>
      <c r="FO113" s="928"/>
      <c r="FP113" s="928"/>
      <c r="FQ113" s="928"/>
      <c r="FR113" s="928"/>
      <c r="FS113" s="928"/>
      <c r="FT113" s="928"/>
      <c r="FU113" s="928"/>
      <c r="FV113" s="928"/>
      <c r="FW113" s="928"/>
      <c r="FX113" s="928"/>
      <c r="FY113" s="928"/>
      <c r="FZ113" s="928"/>
      <c r="GA113" s="928"/>
      <c r="GB113" s="928"/>
      <c r="GC113" s="928"/>
      <c r="GD113" s="928"/>
      <c r="GE113" s="928"/>
      <c r="GF113" s="928"/>
      <c r="GG113" s="928"/>
      <c r="GH113" s="928"/>
      <c r="GI113" s="928"/>
      <c r="GJ113" s="928"/>
      <c r="GK113" s="928"/>
      <c r="GL113" s="928"/>
      <c r="GM113" s="928"/>
      <c r="GN113" s="928"/>
      <c r="GO113" s="928"/>
      <c r="GP113" s="928"/>
      <c r="GQ113" s="928"/>
      <c r="GR113" s="928"/>
      <c r="GS113" s="928"/>
      <c r="GT113" s="928"/>
      <c r="GU113" s="928"/>
      <c r="GV113" s="928"/>
      <c r="GW113" s="928"/>
      <c r="GX113" s="928"/>
      <c r="GY113" s="928"/>
      <c r="GZ113" s="928"/>
      <c r="HA113" s="928"/>
      <c r="HB113" s="928"/>
      <c r="HC113" s="928"/>
      <c r="HD113" s="928"/>
      <c r="HE113" s="928"/>
      <c r="HF113" s="928"/>
      <c r="HG113" s="928"/>
      <c r="HH113" s="928"/>
      <c r="HI113" s="928"/>
      <c r="HJ113" s="928"/>
      <c r="HK113" s="928"/>
      <c r="HL113" s="928"/>
      <c r="HM113" s="928"/>
      <c r="HN113" s="928"/>
      <c r="HO113" s="928"/>
      <c r="HP113" s="928"/>
      <c r="HQ113" s="928"/>
      <c r="HR113" s="928"/>
      <c r="HS113" s="928"/>
      <c r="HT113" s="928"/>
      <c r="HU113" s="928"/>
      <c r="HV113" s="928"/>
      <c r="HW113" s="928"/>
      <c r="HX113" s="928"/>
      <c r="HY113" s="928"/>
      <c r="HZ113" s="928"/>
      <c r="IA113" s="928"/>
      <c r="IB113" s="928"/>
      <c r="IC113" s="928"/>
      <c r="ID113" s="928"/>
      <c r="IE113" s="928"/>
      <c r="IF113" s="928"/>
      <c r="IG113" s="928"/>
      <c r="IH113" s="928"/>
      <c r="II113" s="928"/>
      <c r="IJ113" s="928"/>
      <c r="IK113" s="928"/>
      <c r="IL113" s="928"/>
      <c r="IM113" s="928"/>
      <c r="IN113" s="928"/>
      <c r="IO113" s="928"/>
      <c r="IP113" s="928"/>
      <c r="IQ113" s="928"/>
      <c r="IR113" s="928"/>
      <c r="IS113" s="928"/>
      <c r="IT113" s="928"/>
      <c r="IU113" s="928"/>
      <c r="IV113" s="928"/>
      <c r="IW113" s="928"/>
    </row>
    <row r="114" spans="1:257" s="951" customFormat="1" ht="56">
      <c r="A114" s="2478"/>
      <c r="B114" s="993" t="s">
        <v>2157</v>
      </c>
      <c r="C114" s="985">
        <v>4</v>
      </c>
      <c r="D114" s="985">
        <v>5</v>
      </c>
      <c r="E114" s="986" t="s">
        <v>1462</v>
      </c>
      <c r="F114" s="968" t="str">
        <f>IF(Scoring!I123="","",Scoring!I123)</f>
        <v/>
      </c>
      <c r="G114" s="987"/>
      <c r="H114" s="987"/>
      <c r="I114" s="988" t="s">
        <v>2661</v>
      </c>
      <c r="J114" s="969"/>
      <c r="K114" s="969"/>
      <c r="L114" s="989"/>
      <c r="M114" s="990"/>
      <c r="N114" s="928"/>
      <c r="O114" s="953"/>
      <c r="P114" s="957"/>
      <c r="Q114" s="928"/>
      <c r="R114" s="928"/>
      <c r="S114" s="928"/>
      <c r="T114" s="928"/>
      <c r="U114" s="928"/>
      <c r="V114" s="928"/>
      <c r="W114" s="928"/>
      <c r="X114" s="928"/>
      <c r="Y114" s="928"/>
      <c r="Z114" s="928"/>
      <c r="AA114" s="928"/>
      <c r="AB114" s="928"/>
      <c r="AC114" s="928"/>
      <c r="AD114" s="928"/>
      <c r="AE114" s="928"/>
      <c r="AF114" s="928"/>
      <c r="AG114" s="928"/>
      <c r="AH114" s="928"/>
      <c r="AI114" s="928"/>
      <c r="AJ114" s="928"/>
      <c r="AK114" s="928"/>
      <c r="AL114" s="928"/>
      <c r="AM114" s="928"/>
      <c r="AN114" s="928"/>
      <c r="AO114" s="928"/>
      <c r="AP114" s="928"/>
      <c r="AQ114" s="928"/>
      <c r="AR114" s="928"/>
      <c r="AS114" s="928"/>
      <c r="AT114" s="928"/>
      <c r="AU114" s="928"/>
      <c r="AV114" s="928"/>
      <c r="AW114" s="928"/>
      <c r="AX114" s="928"/>
      <c r="AY114" s="928"/>
      <c r="AZ114" s="928"/>
      <c r="BA114" s="928"/>
      <c r="BB114" s="928"/>
      <c r="BC114" s="928"/>
      <c r="BD114" s="928"/>
      <c r="BE114" s="928"/>
      <c r="BF114" s="928"/>
      <c r="BG114" s="928"/>
      <c r="BH114" s="928"/>
      <c r="BI114" s="928"/>
      <c r="BJ114" s="928"/>
      <c r="BK114" s="928"/>
      <c r="BL114" s="928"/>
      <c r="BM114" s="928"/>
      <c r="BN114" s="928"/>
      <c r="BO114" s="928"/>
      <c r="BP114" s="928"/>
      <c r="BQ114" s="928"/>
      <c r="BR114" s="928"/>
      <c r="BS114" s="928"/>
      <c r="BT114" s="928"/>
      <c r="BU114" s="928"/>
      <c r="BV114" s="928"/>
      <c r="BW114" s="928"/>
      <c r="BX114" s="928"/>
      <c r="BY114" s="928"/>
      <c r="BZ114" s="928"/>
      <c r="CA114" s="928"/>
      <c r="CB114" s="928"/>
      <c r="CC114" s="928"/>
      <c r="CD114" s="928"/>
      <c r="CE114" s="928"/>
      <c r="CF114" s="928"/>
      <c r="CG114" s="928"/>
      <c r="CH114" s="928"/>
      <c r="CI114" s="928"/>
      <c r="CJ114" s="928"/>
      <c r="CK114" s="928"/>
      <c r="CL114" s="928"/>
      <c r="CM114" s="928"/>
      <c r="CN114" s="928"/>
      <c r="CO114" s="928"/>
      <c r="CP114" s="928"/>
      <c r="CQ114" s="928"/>
      <c r="CR114" s="928"/>
      <c r="CS114" s="928"/>
      <c r="CT114" s="928"/>
      <c r="CU114" s="928"/>
      <c r="CV114" s="928"/>
      <c r="CW114" s="928"/>
      <c r="CX114" s="928"/>
      <c r="CY114" s="928"/>
      <c r="CZ114" s="928"/>
      <c r="DA114" s="928"/>
      <c r="DB114" s="928"/>
      <c r="DC114" s="928"/>
      <c r="DD114" s="928"/>
      <c r="DE114" s="928"/>
      <c r="DF114" s="928"/>
      <c r="DG114" s="928"/>
      <c r="DH114" s="928"/>
      <c r="DI114" s="928"/>
      <c r="DJ114" s="928"/>
      <c r="DK114" s="928"/>
      <c r="DL114" s="928"/>
      <c r="DM114" s="928"/>
      <c r="DN114" s="928"/>
      <c r="DO114" s="928"/>
      <c r="DP114" s="928"/>
      <c r="DQ114" s="928"/>
      <c r="DR114" s="928"/>
      <c r="DS114" s="928"/>
      <c r="DT114" s="928"/>
      <c r="DU114" s="928"/>
      <c r="DV114" s="928"/>
      <c r="DW114" s="928"/>
      <c r="DX114" s="928"/>
      <c r="DY114" s="928"/>
      <c r="DZ114" s="928"/>
      <c r="EA114" s="928"/>
      <c r="EB114" s="928"/>
      <c r="EC114" s="928"/>
      <c r="ED114" s="928"/>
      <c r="EE114" s="928"/>
      <c r="EF114" s="928"/>
      <c r="EG114" s="928"/>
      <c r="EH114" s="928"/>
      <c r="EI114" s="928"/>
      <c r="EJ114" s="928"/>
      <c r="EK114" s="928"/>
      <c r="EL114" s="928"/>
      <c r="EM114" s="928"/>
      <c r="EN114" s="928"/>
      <c r="EO114" s="928"/>
      <c r="EP114" s="928"/>
      <c r="EQ114" s="928"/>
      <c r="ER114" s="928"/>
      <c r="ES114" s="928"/>
      <c r="ET114" s="928"/>
      <c r="EU114" s="928"/>
      <c r="EV114" s="928"/>
      <c r="EW114" s="928"/>
      <c r="EX114" s="928"/>
      <c r="EY114" s="928"/>
      <c r="EZ114" s="928"/>
      <c r="FA114" s="928"/>
      <c r="FB114" s="928"/>
      <c r="FC114" s="928"/>
      <c r="FD114" s="928"/>
      <c r="FE114" s="928"/>
      <c r="FF114" s="928"/>
      <c r="FG114" s="928"/>
      <c r="FH114" s="928"/>
      <c r="FI114" s="928"/>
      <c r="FJ114" s="928"/>
      <c r="FK114" s="928"/>
      <c r="FL114" s="928"/>
      <c r="FM114" s="928"/>
      <c r="FN114" s="928"/>
      <c r="FO114" s="928"/>
      <c r="FP114" s="928"/>
      <c r="FQ114" s="928"/>
      <c r="FR114" s="928"/>
      <c r="FS114" s="928"/>
      <c r="FT114" s="928"/>
      <c r="FU114" s="928"/>
      <c r="FV114" s="928"/>
      <c r="FW114" s="928"/>
      <c r="FX114" s="928"/>
      <c r="FY114" s="928"/>
      <c r="FZ114" s="928"/>
      <c r="GA114" s="928"/>
      <c r="GB114" s="928"/>
      <c r="GC114" s="928"/>
      <c r="GD114" s="928"/>
      <c r="GE114" s="928"/>
      <c r="GF114" s="928"/>
      <c r="GG114" s="928"/>
      <c r="GH114" s="928"/>
      <c r="GI114" s="928"/>
      <c r="GJ114" s="928"/>
      <c r="GK114" s="928"/>
      <c r="GL114" s="928"/>
      <c r="GM114" s="928"/>
      <c r="GN114" s="928"/>
      <c r="GO114" s="928"/>
      <c r="GP114" s="928"/>
      <c r="GQ114" s="928"/>
      <c r="GR114" s="928"/>
      <c r="GS114" s="928"/>
      <c r="GT114" s="928"/>
      <c r="GU114" s="928"/>
      <c r="GV114" s="928"/>
      <c r="GW114" s="928"/>
      <c r="GX114" s="928"/>
      <c r="GY114" s="928"/>
      <c r="GZ114" s="928"/>
      <c r="HA114" s="928"/>
      <c r="HB114" s="928"/>
      <c r="HC114" s="928"/>
      <c r="HD114" s="928"/>
      <c r="HE114" s="928"/>
      <c r="HF114" s="928"/>
      <c r="HG114" s="928"/>
      <c r="HH114" s="928"/>
      <c r="HI114" s="928"/>
      <c r="HJ114" s="928"/>
      <c r="HK114" s="928"/>
      <c r="HL114" s="928"/>
      <c r="HM114" s="928"/>
      <c r="HN114" s="928"/>
      <c r="HO114" s="928"/>
      <c r="HP114" s="928"/>
      <c r="HQ114" s="928"/>
      <c r="HR114" s="928"/>
      <c r="HS114" s="928"/>
      <c r="HT114" s="928"/>
      <c r="HU114" s="928"/>
      <c r="HV114" s="928"/>
      <c r="HW114" s="928"/>
      <c r="HX114" s="928"/>
      <c r="HY114" s="928"/>
      <c r="HZ114" s="928"/>
      <c r="IA114" s="928"/>
      <c r="IB114" s="928"/>
      <c r="IC114" s="928"/>
      <c r="ID114" s="928"/>
      <c r="IE114" s="928"/>
      <c r="IF114" s="928"/>
      <c r="IG114" s="928"/>
      <c r="IH114" s="928"/>
      <c r="II114" s="928"/>
      <c r="IJ114" s="928"/>
      <c r="IK114" s="928"/>
      <c r="IL114" s="928"/>
      <c r="IM114" s="928"/>
      <c r="IN114" s="928"/>
      <c r="IO114" s="928"/>
      <c r="IP114" s="928"/>
      <c r="IQ114" s="928"/>
      <c r="IR114" s="928"/>
      <c r="IS114" s="928"/>
      <c r="IT114" s="928"/>
      <c r="IU114" s="928"/>
      <c r="IV114" s="928"/>
      <c r="IW114" s="928"/>
    </row>
    <row r="115" spans="1:257" ht="71" thickBot="1">
      <c r="A115" s="2480"/>
      <c r="B115" s="996" t="s">
        <v>2159</v>
      </c>
      <c r="C115" s="1209">
        <v>4</v>
      </c>
      <c r="D115" s="1209">
        <v>4</v>
      </c>
      <c r="E115" s="998" t="s">
        <v>1463</v>
      </c>
      <c r="F115" s="973" t="str">
        <f>IF(Scoring!I124="","",Scoring!I124)</f>
        <v/>
      </c>
      <c r="G115" s="999"/>
      <c r="H115" s="999"/>
      <c r="I115" s="1000" t="s">
        <v>2660</v>
      </c>
      <c r="J115" s="1213"/>
      <c r="K115" s="1213">
        <f>COUNT(F112:F115)</f>
        <v>0</v>
      </c>
      <c r="L115" s="1207">
        <f>SUM(F112:F115)</f>
        <v>0</v>
      </c>
      <c r="M115" s="976">
        <f>IF(L115&lt;3,0,1)</f>
        <v>0</v>
      </c>
      <c r="O115" s="942"/>
      <c r="P115" s="956">
        <f>COUNTA(F112:F115)</f>
        <v>4</v>
      </c>
    </row>
    <row r="116" spans="1:257" ht="15" thickTop="1" thickBot="1">
      <c r="A116" s="915"/>
      <c r="F116" s="915"/>
      <c r="J116" s="915"/>
      <c r="K116" s="915"/>
    </row>
    <row r="117" spans="1:257" ht="43" thickTop="1">
      <c r="A117" s="2471" t="s">
        <v>2161</v>
      </c>
      <c r="B117" s="1210" t="s">
        <v>2162</v>
      </c>
      <c r="C117" s="1214">
        <v>4</v>
      </c>
      <c r="D117" s="1214">
        <v>3</v>
      </c>
      <c r="E117" s="1200" t="s">
        <v>1465</v>
      </c>
      <c r="F117" s="1201" t="str">
        <f>IF(Scoring!I126="","",Scoring!I126)</f>
        <v/>
      </c>
      <c r="G117" s="1202"/>
      <c r="H117" s="1202"/>
      <c r="I117" s="1203" t="s">
        <v>2659</v>
      </c>
      <c r="J117" s="1215"/>
      <c r="K117" s="1215"/>
      <c r="L117" s="1216"/>
      <c r="M117" s="1205"/>
      <c r="O117" s="949"/>
      <c r="P117" s="948"/>
    </row>
    <row r="118" spans="1:257" ht="56">
      <c r="A118" s="2472"/>
      <c r="B118" s="1102" t="s">
        <v>2164</v>
      </c>
      <c r="C118" s="991">
        <v>4</v>
      </c>
      <c r="D118" s="991">
        <v>3</v>
      </c>
      <c r="E118" s="986" t="s">
        <v>1468</v>
      </c>
      <c r="F118" s="968" t="str">
        <f>IF(Scoring!I127="","",Scoring!I127)</f>
        <v/>
      </c>
      <c r="G118" s="987"/>
      <c r="H118" s="987"/>
      <c r="I118" s="988" t="s">
        <v>2658</v>
      </c>
      <c r="J118" s="972"/>
      <c r="K118" s="972"/>
      <c r="L118" s="970"/>
      <c r="M118" s="990"/>
      <c r="O118" s="947"/>
      <c r="P118" s="952"/>
    </row>
    <row r="119" spans="1:257" s="951" customFormat="1" ht="71" thickBot="1">
      <c r="A119" s="2473"/>
      <c r="B119" s="1211" t="s">
        <v>2166</v>
      </c>
      <c r="C119" s="997">
        <v>5</v>
      </c>
      <c r="D119" s="997">
        <v>4</v>
      </c>
      <c r="E119" s="998" t="s">
        <v>1470</v>
      </c>
      <c r="F119" s="973" t="str">
        <f>IF(Scoring!I128="","",Scoring!I128)</f>
        <v/>
      </c>
      <c r="G119" s="999"/>
      <c r="H119" s="999"/>
      <c r="I119" s="1000" t="s">
        <v>2657</v>
      </c>
      <c r="J119" s="974">
        <f>COUNT(F117:F119)</f>
        <v>0</v>
      </c>
      <c r="K119" s="974"/>
      <c r="L119" s="975">
        <f>SUM(F117:F119)</f>
        <v>0</v>
      </c>
      <c r="M119" s="976">
        <f>IF(L119&lt;2,0,1)</f>
        <v>0</v>
      </c>
      <c r="N119" s="928"/>
      <c r="O119" s="958"/>
      <c r="P119" s="956">
        <f>COUNTA(F119:F119)</f>
        <v>1</v>
      </c>
      <c r="Q119" s="928"/>
      <c r="R119" s="928"/>
      <c r="S119" s="928"/>
      <c r="T119" s="928"/>
      <c r="U119" s="928"/>
      <c r="V119" s="928"/>
      <c r="W119" s="928"/>
      <c r="X119" s="928"/>
      <c r="Y119" s="928"/>
      <c r="Z119" s="928"/>
      <c r="AA119" s="928"/>
      <c r="AB119" s="928"/>
      <c r="AC119" s="928"/>
      <c r="AD119" s="928"/>
      <c r="AE119" s="928"/>
      <c r="AF119" s="928"/>
      <c r="AG119" s="928"/>
      <c r="AH119" s="928"/>
      <c r="AI119" s="928"/>
      <c r="AJ119" s="928"/>
      <c r="AK119" s="928"/>
      <c r="AL119" s="928"/>
      <c r="AM119" s="928"/>
      <c r="AN119" s="928"/>
      <c r="AO119" s="928"/>
      <c r="AP119" s="928"/>
      <c r="AQ119" s="928"/>
      <c r="AR119" s="928"/>
      <c r="AS119" s="928"/>
      <c r="AT119" s="928"/>
      <c r="AU119" s="928"/>
      <c r="AV119" s="928"/>
      <c r="AW119" s="928"/>
      <c r="AX119" s="928"/>
      <c r="AY119" s="928"/>
      <c r="AZ119" s="928"/>
      <c r="BA119" s="928"/>
      <c r="BB119" s="928"/>
      <c r="BC119" s="928"/>
      <c r="BD119" s="928"/>
      <c r="BE119" s="928"/>
      <c r="BF119" s="928"/>
      <c r="BG119" s="928"/>
      <c r="BH119" s="928"/>
      <c r="BI119" s="928"/>
      <c r="BJ119" s="928"/>
      <c r="BK119" s="928"/>
      <c r="BL119" s="928"/>
      <c r="BM119" s="928"/>
      <c r="BN119" s="928"/>
      <c r="BO119" s="928"/>
      <c r="BP119" s="928"/>
      <c r="BQ119" s="928"/>
      <c r="BR119" s="928"/>
      <c r="BS119" s="928"/>
      <c r="BT119" s="928"/>
      <c r="BU119" s="928"/>
      <c r="BV119" s="928"/>
      <c r="BW119" s="928"/>
      <c r="BX119" s="928"/>
      <c r="BY119" s="928"/>
      <c r="BZ119" s="928"/>
      <c r="CA119" s="928"/>
      <c r="CB119" s="928"/>
      <c r="CC119" s="928"/>
      <c r="CD119" s="928"/>
      <c r="CE119" s="928"/>
      <c r="CF119" s="928"/>
      <c r="CG119" s="928"/>
      <c r="CH119" s="928"/>
      <c r="CI119" s="928"/>
      <c r="CJ119" s="928"/>
      <c r="CK119" s="928"/>
      <c r="CL119" s="928"/>
      <c r="CM119" s="928"/>
      <c r="CN119" s="928"/>
      <c r="CO119" s="928"/>
      <c r="CP119" s="928"/>
      <c r="CQ119" s="928"/>
      <c r="CR119" s="928"/>
      <c r="CS119" s="928"/>
      <c r="CT119" s="928"/>
      <c r="CU119" s="928"/>
      <c r="CV119" s="928"/>
      <c r="CW119" s="928"/>
      <c r="CX119" s="928"/>
      <c r="CY119" s="928"/>
      <c r="CZ119" s="928"/>
      <c r="DA119" s="928"/>
      <c r="DB119" s="928"/>
      <c r="DC119" s="928"/>
      <c r="DD119" s="928"/>
      <c r="DE119" s="928"/>
      <c r="DF119" s="928"/>
      <c r="DG119" s="928"/>
      <c r="DH119" s="928"/>
      <c r="DI119" s="928"/>
      <c r="DJ119" s="928"/>
      <c r="DK119" s="928"/>
      <c r="DL119" s="928"/>
      <c r="DM119" s="928"/>
      <c r="DN119" s="928"/>
      <c r="DO119" s="928"/>
      <c r="DP119" s="928"/>
      <c r="DQ119" s="928"/>
      <c r="DR119" s="928"/>
      <c r="DS119" s="928"/>
      <c r="DT119" s="928"/>
      <c r="DU119" s="928"/>
      <c r="DV119" s="928"/>
      <c r="DW119" s="928"/>
      <c r="DX119" s="928"/>
      <c r="DY119" s="928"/>
      <c r="DZ119" s="928"/>
      <c r="EA119" s="928"/>
      <c r="EB119" s="928"/>
      <c r="EC119" s="928"/>
      <c r="ED119" s="928"/>
      <c r="EE119" s="928"/>
      <c r="EF119" s="928"/>
      <c r="EG119" s="928"/>
      <c r="EH119" s="928"/>
      <c r="EI119" s="928"/>
      <c r="EJ119" s="928"/>
      <c r="EK119" s="928"/>
      <c r="EL119" s="928"/>
      <c r="EM119" s="928"/>
      <c r="EN119" s="928"/>
      <c r="EO119" s="928"/>
      <c r="EP119" s="928"/>
      <c r="EQ119" s="928"/>
      <c r="ER119" s="928"/>
      <c r="ES119" s="928"/>
      <c r="ET119" s="928"/>
      <c r="EU119" s="928"/>
      <c r="EV119" s="928"/>
      <c r="EW119" s="928"/>
      <c r="EX119" s="928"/>
      <c r="EY119" s="928"/>
      <c r="EZ119" s="928"/>
      <c r="FA119" s="928"/>
      <c r="FB119" s="928"/>
      <c r="FC119" s="928"/>
      <c r="FD119" s="928"/>
      <c r="FE119" s="928"/>
      <c r="FF119" s="928"/>
      <c r="FG119" s="928"/>
      <c r="FH119" s="928"/>
      <c r="FI119" s="928"/>
      <c r="FJ119" s="928"/>
      <c r="FK119" s="928"/>
      <c r="FL119" s="928"/>
      <c r="FM119" s="928"/>
      <c r="FN119" s="928"/>
      <c r="FO119" s="928"/>
      <c r="FP119" s="928"/>
      <c r="FQ119" s="928"/>
      <c r="FR119" s="928"/>
      <c r="FS119" s="928"/>
      <c r="FT119" s="928"/>
      <c r="FU119" s="928"/>
      <c r="FV119" s="928"/>
      <c r="FW119" s="928"/>
      <c r="FX119" s="928"/>
      <c r="FY119" s="928"/>
      <c r="FZ119" s="928"/>
      <c r="GA119" s="928"/>
      <c r="GB119" s="928"/>
      <c r="GC119" s="928"/>
      <c r="GD119" s="928"/>
      <c r="GE119" s="928"/>
      <c r="GF119" s="928"/>
      <c r="GG119" s="928"/>
      <c r="GH119" s="928"/>
      <c r="GI119" s="928"/>
      <c r="GJ119" s="928"/>
      <c r="GK119" s="928"/>
      <c r="GL119" s="928"/>
      <c r="GM119" s="928"/>
      <c r="GN119" s="928"/>
      <c r="GO119" s="928"/>
      <c r="GP119" s="928"/>
      <c r="GQ119" s="928"/>
      <c r="GR119" s="928"/>
      <c r="GS119" s="928"/>
      <c r="GT119" s="928"/>
      <c r="GU119" s="928"/>
      <c r="GV119" s="928"/>
      <c r="GW119" s="928"/>
      <c r="GX119" s="928"/>
      <c r="GY119" s="928"/>
      <c r="GZ119" s="928"/>
      <c r="HA119" s="928"/>
      <c r="HB119" s="928"/>
      <c r="HC119" s="928"/>
      <c r="HD119" s="928"/>
      <c r="HE119" s="928"/>
      <c r="HF119" s="928"/>
      <c r="HG119" s="928"/>
      <c r="HH119" s="928"/>
      <c r="HI119" s="928"/>
      <c r="HJ119" s="928"/>
      <c r="HK119" s="928"/>
      <c r="HL119" s="928"/>
      <c r="HM119" s="928"/>
      <c r="HN119" s="928"/>
      <c r="HO119" s="928"/>
      <c r="HP119" s="928"/>
      <c r="HQ119" s="928"/>
      <c r="HR119" s="928"/>
      <c r="HS119" s="928"/>
      <c r="HT119" s="928"/>
      <c r="HU119" s="928"/>
      <c r="HV119" s="928"/>
      <c r="HW119" s="928"/>
      <c r="HX119" s="928"/>
      <c r="HY119" s="928"/>
      <c r="HZ119" s="928"/>
      <c r="IA119" s="928"/>
      <c r="IB119" s="928"/>
      <c r="IC119" s="928"/>
      <c r="ID119" s="928"/>
      <c r="IE119" s="928"/>
      <c r="IF119" s="928"/>
      <c r="IG119" s="928"/>
      <c r="IH119" s="928"/>
      <c r="II119" s="928"/>
      <c r="IJ119" s="928"/>
      <c r="IK119" s="928"/>
      <c r="IL119" s="928"/>
      <c r="IM119" s="928"/>
      <c r="IN119" s="928"/>
      <c r="IO119" s="928"/>
      <c r="IP119" s="928"/>
      <c r="IQ119" s="928"/>
      <c r="IR119" s="928"/>
      <c r="IS119" s="928"/>
      <c r="IT119" s="928"/>
      <c r="IU119" s="928"/>
      <c r="IV119" s="928"/>
      <c r="IW119" s="928"/>
    </row>
    <row r="120" spans="1:257" s="951" customFormat="1" ht="14" thickTop="1">
      <c r="A120" s="928"/>
      <c r="B120" s="928"/>
      <c r="C120" s="928"/>
      <c r="D120" s="928"/>
      <c r="E120" s="928"/>
      <c r="F120" s="928"/>
      <c r="G120" s="928"/>
      <c r="H120" s="928"/>
      <c r="I120" s="928"/>
      <c r="J120" s="928"/>
      <c r="K120" s="928"/>
      <c r="L120" s="928"/>
      <c r="M120" s="928"/>
      <c r="N120" s="928"/>
      <c r="O120" s="928"/>
      <c r="P120" s="928"/>
      <c r="Q120" s="928"/>
      <c r="R120" s="928"/>
      <c r="S120" s="928"/>
      <c r="T120" s="928"/>
      <c r="U120" s="928"/>
      <c r="V120" s="928"/>
      <c r="W120" s="928"/>
      <c r="X120" s="928"/>
      <c r="Y120" s="928"/>
      <c r="Z120" s="928"/>
      <c r="AA120" s="928"/>
      <c r="AB120" s="928"/>
      <c r="AC120" s="928"/>
      <c r="AD120" s="928"/>
      <c r="AE120" s="928"/>
      <c r="AF120" s="928"/>
      <c r="AG120" s="928"/>
      <c r="AH120" s="928"/>
      <c r="AI120" s="928"/>
      <c r="AJ120" s="928"/>
      <c r="AK120" s="928"/>
      <c r="AL120" s="928"/>
      <c r="AM120" s="928"/>
      <c r="AN120" s="928"/>
      <c r="AO120" s="928"/>
      <c r="AP120" s="928"/>
      <c r="AQ120" s="928"/>
      <c r="AR120" s="928"/>
      <c r="AS120" s="928"/>
      <c r="AT120" s="928"/>
      <c r="AU120" s="928"/>
      <c r="AV120" s="928"/>
      <c r="AW120" s="928"/>
      <c r="AX120" s="928"/>
      <c r="AY120" s="928"/>
      <c r="AZ120" s="928"/>
      <c r="BA120" s="928"/>
      <c r="BB120" s="928"/>
      <c r="BC120" s="928"/>
      <c r="BD120" s="928"/>
      <c r="BE120" s="928"/>
      <c r="BF120" s="928"/>
      <c r="BG120" s="928"/>
      <c r="BH120" s="928"/>
      <c r="BI120" s="928"/>
      <c r="BJ120" s="928"/>
      <c r="BK120" s="928"/>
      <c r="BL120" s="928"/>
      <c r="BM120" s="928"/>
      <c r="BN120" s="928"/>
      <c r="BO120" s="928"/>
      <c r="BP120" s="928"/>
      <c r="BQ120" s="928"/>
      <c r="BR120" s="928"/>
      <c r="BS120" s="928"/>
      <c r="BT120" s="928"/>
      <c r="BU120" s="928"/>
      <c r="BV120" s="928"/>
      <c r="BW120" s="928"/>
      <c r="BX120" s="928"/>
      <c r="BY120" s="928"/>
      <c r="BZ120" s="928"/>
      <c r="CA120" s="928"/>
      <c r="CB120" s="928"/>
      <c r="CC120" s="928"/>
      <c r="CD120" s="928"/>
      <c r="CE120" s="928"/>
      <c r="CF120" s="928"/>
      <c r="CG120" s="928"/>
      <c r="CH120" s="928"/>
      <c r="CI120" s="928"/>
      <c r="CJ120" s="928"/>
      <c r="CK120" s="928"/>
      <c r="CL120" s="928"/>
      <c r="CM120" s="928"/>
      <c r="CN120" s="928"/>
      <c r="CO120" s="928"/>
      <c r="CP120" s="928"/>
      <c r="CQ120" s="928"/>
      <c r="CR120" s="928"/>
      <c r="CS120" s="928"/>
      <c r="CT120" s="928"/>
      <c r="CU120" s="928"/>
      <c r="CV120" s="928"/>
      <c r="CW120" s="928"/>
      <c r="CX120" s="928"/>
      <c r="CY120" s="928"/>
      <c r="CZ120" s="928"/>
      <c r="DA120" s="928"/>
      <c r="DB120" s="928"/>
      <c r="DC120" s="928"/>
      <c r="DD120" s="928"/>
      <c r="DE120" s="928"/>
      <c r="DF120" s="928"/>
      <c r="DG120" s="928"/>
      <c r="DH120" s="928"/>
      <c r="DI120" s="928"/>
      <c r="DJ120" s="928"/>
      <c r="DK120" s="928"/>
      <c r="DL120" s="928"/>
      <c r="DM120" s="928"/>
      <c r="DN120" s="928"/>
      <c r="DO120" s="928"/>
      <c r="DP120" s="928"/>
      <c r="DQ120" s="928"/>
      <c r="DR120" s="928"/>
      <c r="DS120" s="928"/>
      <c r="DT120" s="928"/>
      <c r="DU120" s="928"/>
      <c r="DV120" s="928"/>
      <c r="DW120" s="928"/>
      <c r="DX120" s="928"/>
      <c r="DY120" s="928"/>
      <c r="DZ120" s="928"/>
      <c r="EA120" s="928"/>
      <c r="EB120" s="928"/>
      <c r="EC120" s="928"/>
      <c r="ED120" s="928"/>
      <c r="EE120" s="928"/>
      <c r="EF120" s="928"/>
      <c r="EG120" s="928"/>
      <c r="EH120" s="928"/>
      <c r="EI120" s="928"/>
      <c r="EJ120" s="928"/>
      <c r="EK120" s="928"/>
      <c r="EL120" s="928"/>
      <c r="EM120" s="928"/>
      <c r="EN120" s="928"/>
      <c r="EO120" s="928"/>
      <c r="EP120" s="928"/>
      <c r="EQ120" s="928"/>
      <c r="ER120" s="928"/>
      <c r="ES120" s="928"/>
      <c r="ET120" s="928"/>
      <c r="EU120" s="928"/>
      <c r="EV120" s="928"/>
      <c r="EW120" s="928"/>
      <c r="EX120" s="928"/>
      <c r="EY120" s="928"/>
      <c r="EZ120" s="928"/>
      <c r="FA120" s="928"/>
      <c r="FB120" s="928"/>
      <c r="FC120" s="928"/>
      <c r="FD120" s="928"/>
      <c r="FE120" s="928"/>
      <c r="FF120" s="928"/>
      <c r="FG120" s="928"/>
      <c r="FH120" s="928"/>
      <c r="FI120" s="928"/>
      <c r="FJ120" s="928"/>
      <c r="FK120" s="928"/>
      <c r="FL120" s="928"/>
      <c r="FM120" s="928"/>
      <c r="FN120" s="928"/>
      <c r="FO120" s="928"/>
      <c r="FP120" s="928"/>
      <c r="FQ120" s="928"/>
      <c r="FR120" s="928"/>
      <c r="FS120" s="928"/>
      <c r="FT120" s="928"/>
      <c r="FU120" s="928"/>
      <c r="FV120" s="928"/>
      <c r="FW120" s="928"/>
      <c r="FX120" s="928"/>
      <c r="FY120" s="928"/>
      <c r="FZ120" s="928"/>
      <c r="GA120" s="928"/>
      <c r="GB120" s="928"/>
      <c r="GC120" s="928"/>
      <c r="GD120" s="928"/>
      <c r="GE120" s="928"/>
      <c r="GF120" s="928"/>
      <c r="GG120" s="928"/>
      <c r="GH120" s="928"/>
      <c r="GI120" s="928"/>
      <c r="GJ120" s="928"/>
      <c r="GK120" s="928"/>
      <c r="GL120" s="928"/>
      <c r="GM120" s="928"/>
      <c r="GN120" s="928"/>
      <c r="GO120" s="928"/>
      <c r="GP120" s="928"/>
      <c r="GQ120" s="928"/>
      <c r="GR120" s="928"/>
      <c r="GS120" s="928"/>
      <c r="GT120" s="928"/>
      <c r="GU120" s="928"/>
      <c r="GV120" s="928"/>
      <c r="GW120" s="928"/>
      <c r="GX120" s="928"/>
      <c r="GY120" s="928"/>
      <c r="GZ120" s="928"/>
      <c r="HA120" s="928"/>
      <c r="HB120" s="928"/>
      <c r="HC120" s="928"/>
      <c r="HD120" s="928"/>
      <c r="HE120" s="928"/>
      <c r="HF120" s="928"/>
      <c r="HG120" s="928"/>
      <c r="HH120" s="928"/>
      <c r="HI120" s="928"/>
      <c r="HJ120" s="928"/>
      <c r="HK120" s="928"/>
      <c r="HL120" s="928"/>
      <c r="HM120" s="928"/>
      <c r="HN120" s="928"/>
      <c r="HO120" s="928"/>
      <c r="HP120" s="928"/>
      <c r="HQ120" s="928"/>
      <c r="HR120" s="928"/>
      <c r="HS120" s="928"/>
      <c r="HT120" s="928"/>
      <c r="HU120" s="928"/>
      <c r="HV120" s="928"/>
      <c r="HW120" s="928"/>
      <c r="HX120" s="928"/>
      <c r="HY120" s="928"/>
      <c r="HZ120" s="928"/>
      <c r="IA120" s="928"/>
      <c r="IB120" s="928"/>
      <c r="IC120" s="928"/>
      <c r="ID120" s="928"/>
      <c r="IE120" s="928"/>
      <c r="IF120" s="928"/>
      <c r="IG120" s="928"/>
      <c r="IH120" s="928"/>
      <c r="II120" s="928"/>
      <c r="IJ120" s="928"/>
      <c r="IK120" s="928"/>
      <c r="IL120" s="928"/>
      <c r="IM120" s="928"/>
      <c r="IN120" s="928"/>
      <c r="IO120" s="928"/>
      <c r="IP120" s="928"/>
      <c r="IQ120" s="928"/>
      <c r="IR120" s="928"/>
      <c r="IS120" s="928"/>
      <c r="IT120" s="928"/>
      <c r="IU120" s="928"/>
      <c r="IV120" s="928"/>
      <c r="IW120" s="928"/>
    </row>
    <row r="121" spans="1:257" s="951" customFormat="1">
      <c r="A121" s="928"/>
      <c r="B121" s="928"/>
      <c r="C121" s="928"/>
      <c r="D121" s="928"/>
      <c r="E121" s="928"/>
      <c r="F121" s="928"/>
      <c r="G121" s="928"/>
      <c r="H121" s="928"/>
      <c r="I121" s="928"/>
      <c r="J121" s="928"/>
      <c r="K121" s="928"/>
      <c r="L121" s="928"/>
      <c r="M121" s="928"/>
      <c r="N121" s="928"/>
      <c r="O121" s="928"/>
      <c r="P121" s="928"/>
      <c r="Q121" s="928"/>
      <c r="R121" s="928"/>
      <c r="S121" s="928"/>
      <c r="T121" s="928"/>
      <c r="U121" s="928"/>
      <c r="V121" s="928"/>
      <c r="W121" s="928"/>
      <c r="X121" s="928"/>
      <c r="Y121" s="928"/>
      <c r="Z121" s="928"/>
      <c r="AA121" s="928"/>
      <c r="AB121" s="928"/>
      <c r="AC121" s="928"/>
      <c r="AD121" s="928"/>
      <c r="AE121" s="928"/>
      <c r="AF121" s="928"/>
      <c r="AG121" s="928"/>
      <c r="AH121" s="928"/>
      <c r="AI121" s="928"/>
      <c r="AJ121" s="928"/>
      <c r="AK121" s="928"/>
      <c r="AL121" s="928"/>
      <c r="AM121" s="928"/>
      <c r="AN121" s="928"/>
      <c r="AO121" s="928"/>
      <c r="AP121" s="928"/>
      <c r="AQ121" s="928"/>
      <c r="AR121" s="928"/>
      <c r="AS121" s="928"/>
      <c r="AT121" s="928"/>
      <c r="AU121" s="928"/>
      <c r="AV121" s="928"/>
      <c r="AW121" s="928"/>
      <c r="AX121" s="928"/>
      <c r="AY121" s="928"/>
      <c r="AZ121" s="928"/>
      <c r="BA121" s="928"/>
      <c r="BB121" s="928"/>
      <c r="BC121" s="928"/>
      <c r="BD121" s="928"/>
      <c r="BE121" s="928"/>
      <c r="BF121" s="928"/>
      <c r="BG121" s="928"/>
      <c r="BH121" s="928"/>
      <c r="BI121" s="928"/>
      <c r="BJ121" s="928"/>
      <c r="BK121" s="928"/>
      <c r="BL121" s="928"/>
      <c r="BM121" s="928"/>
      <c r="BN121" s="928"/>
      <c r="BO121" s="928"/>
      <c r="BP121" s="928"/>
      <c r="BQ121" s="928"/>
      <c r="BR121" s="928"/>
      <c r="BS121" s="928"/>
      <c r="BT121" s="928"/>
      <c r="BU121" s="928"/>
      <c r="BV121" s="928"/>
      <c r="BW121" s="928"/>
      <c r="BX121" s="928"/>
      <c r="BY121" s="928"/>
      <c r="BZ121" s="928"/>
      <c r="CA121" s="928"/>
      <c r="CB121" s="928"/>
      <c r="CC121" s="928"/>
      <c r="CD121" s="928"/>
      <c r="CE121" s="928"/>
      <c r="CF121" s="928"/>
      <c r="CG121" s="928"/>
      <c r="CH121" s="928"/>
      <c r="CI121" s="928"/>
      <c r="CJ121" s="928"/>
      <c r="CK121" s="928"/>
      <c r="CL121" s="928"/>
      <c r="CM121" s="928"/>
      <c r="CN121" s="928"/>
      <c r="CO121" s="928"/>
      <c r="CP121" s="928"/>
      <c r="CQ121" s="928"/>
      <c r="CR121" s="928"/>
      <c r="CS121" s="928"/>
      <c r="CT121" s="928"/>
      <c r="CU121" s="928"/>
      <c r="CV121" s="928"/>
      <c r="CW121" s="928"/>
      <c r="CX121" s="928"/>
      <c r="CY121" s="928"/>
      <c r="CZ121" s="928"/>
      <c r="DA121" s="928"/>
      <c r="DB121" s="928"/>
      <c r="DC121" s="928"/>
      <c r="DD121" s="928"/>
      <c r="DE121" s="928"/>
      <c r="DF121" s="928"/>
      <c r="DG121" s="928"/>
      <c r="DH121" s="928"/>
      <c r="DI121" s="928"/>
      <c r="DJ121" s="928"/>
      <c r="DK121" s="928"/>
      <c r="DL121" s="928"/>
      <c r="DM121" s="928"/>
      <c r="DN121" s="928"/>
      <c r="DO121" s="928"/>
      <c r="DP121" s="928"/>
      <c r="DQ121" s="928"/>
      <c r="DR121" s="928"/>
      <c r="DS121" s="928"/>
      <c r="DT121" s="928"/>
      <c r="DU121" s="928"/>
      <c r="DV121" s="928"/>
      <c r="DW121" s="928"/>
      <c r="DX121" s="928"/>
      <c r="DY121" s="928"/>
      <c r="DZ121" s="928"/>
      <c r="EA121" s="928"/>
      <c r="EB121" s="928"/>
      <c r="EC121" s="928"/>
      <c r="ED121" s="928"/>
      <c r="EE121" s="928"/>
      <c r="EF121" s="928"/>
      <c r="EG121" s="928"/>
      <c r="EH121" s="928"/>
      <c r="EI121" s="928"/>
      <c r="EJ121" s="928"/>
      <c r="EK121" s="928"/>
      <c r="EL121" s="928"/>
      <c r="EM121" s="928"/>
      <c r="EN121" s="928"/>
      <c r="EO121" s="928"/>
      <c r="EP121" s="928"/>
      <c r="EQ121" s="928"/>
      <c r="ER121" s="928"/>
      <c r="ES121" s="928"/>
      <c r="ET121" s="928"/>
      <c r="EU121" s="928"/>
      <c r="EV121" s="928"/>
      <c r="EW121" s="928"/>
      <c r="EX121" s="928"/>
      <c r="EY121" s="928"/>
      <c r="EZ121" s="928"/>
      <c r="FA121" s="928"/>
      <c r="FB121" s="928"/>
      <c r="FC121" s="928"/>
      <c r="FD121" s="928"/>
      <c r="FE121" s="928"/>
      <c r="FF121" s="928"/>
      <c r="FG121" s="928"/>
      <c r="FH121" s="928"/>
      <c r="FI121" s="928"/>
      <c r="FJ121" s="928"/>
      <c r="FK121" s="928"/>
      <c r="FL121" s="928"/>
      <c r="FM121" s="928"/>
      <c r="FN121" s="928"/>
      <c r="FO121" s="928"/>
      <c r="FP121" s="928"/>
      <c r="FQ121" s="928"/>
      <c r="FR121" s="928"/>
      <c r="FS121" s="928"/>
      <c r="FT121" s="928"/>
      <c r="FU121" s="928"/>
      <c r="FV121" s="928"/>
      <c r="FW121" s="928"/>
      <c r="FX121" s="928"/>
      <c r="FY121" s="928"/>
      <c r="FZ121" s="928"/>
      <c r="GA121" s="928"/>
      <c r="GB121" s="928"/>
      <c r="GC121" s="928"/>
      <c r="GD121" s="928"/>
      <c r="GE121" s="928"/>
      <c r="GF121" s="928"/>
      <c r="GG121" s="928"/>
      <c r="GH121" s="928"/>
      <c r="GI121" s="928"/>
      <c r="GJ121" s="928"/>
      <c r="GK121" s="928"/>
      <c r="GL121" s="928"/>
      <c r="GM121" s="928"/>
      <c r="GN121" s="928"/>
      <c r="GO121" s="928"/>
      <c r="GP121" s="928"/>
      <c r="GQ121" s="928"/>
      <c r="GR121" s="928"/>
      <c r="GS121" s="928"/>
      <c r="GT121" s="928"/>
      <c r="GU121" s="928"/>
      <c r="GV121" s="928"/>
      <c r="GW121" s="928"/>
      <c r="GX121" s="928"/>
      <c r="GY121" s="928"/>
      <c r="GZ121" s="928"/>
      <c r="HA121" s="928"/>
      <c r="HB121" s="928"/>
      <c r="HC121" s="928"/>
      <c r="HD121" s="928"/>
      <c r="HE121" s="928"/>
      <c r="HF121" s="928"/>
      <c r="HG121" s="928"/>
      <c r="HH121" s="928"/>
      <c r="HI121" s="928"/>
      <c r="HJ121" s="928"/>
      <c r="HK121" s="928"/>
      <c r="HL121" s="928"/>
      <c r="HM121" s="928"/>
      <c r="HN121" s="928"/>
      <c r="HO121" s="928"/>
      <c r="HP121" s="928"/>
      <c r="HQ121" s="928"/>
      <c r="HR121" s="928"/>
      <c r="HS121" s="928"/>
      <c r="HT121" s="928"/>
      <c r="HU121" s="928"/>
      <c r="HV121" s="928"/>
      <c r="HW121" s="928"/>
      <c r="HX121" s="928"/>
      <c r="HY121" s="928"/>
      <c r="HZ121" s="928"/>
      <c r="IA121" s="928"/>
      <c r="IB121" s="928"/>
      <c r="IC121" s="928"/>
      <c r="ID121" s="928"/>
      <c r="IE121" s="928"/>
      <c r="IF121" s="928"/>
      <c r="IG121" s="928"/>
      <c r="IH121" s="928"/>
      <c r="II121" s="928"/>
      <c r="IJ121" s="928"/>
      <c r="IK121" s="928"/>
      <c r="IL121" s="928"/>
      <c r="IM121" s="928"/>
      <c r="IN121" s="928"/>
      <c r="IO121" s="928"/>
      <c r="IP121" s="928"/>
      <c r="IQ121" s="928"/>
      <c r="IR121" s="928"/>
      <c r="IS121" s="928"/>
      <c r="IT121" s="928"/>
      <c r="IU121" s="928"/>
      <c r="IV121" s="928"/>
      <c r="IW121" s="928"/>
    </row>
    <row r="122" spans="1:257" s="951" customFormat="1" ht="14" thickBot="1">
      <c r="A122" s="928"/>
      <c r="B122" s="928"/>
      <c r="C122" s="928"/>
      <c r="D122" s="928"/>
      <c r="E122" s="928"/>
      <c r="F122" s="928"/>
      <c r="G122" s="928"/>
      <c r="H122" s="928"/>
      <c r="I122" s="928"/>
      <c r="J122" s="928"/>
      <c r="K122" s="928"/>
      <c r="L122" s="928"/>
      <c r="M122" s="928"/>
      <c r="N122" s="928"/>
      <c r="O122" s="928"/>
      <c r="P122" s="928"/>
      <c r="Q122" s="928"/>
      <c r="R122" s="928"/>
      <c r="S122" s="928"/>
      <c r="T122" s="928"/>
      <c r="U122" s="928"/>
      <c r="V122" s="928"/>
      <c r="W122" s="928"/>
      <c r="X122" s="928"/>
      <c r="Y122" s="928"/>
      <c r="Z122" s="928"/>
      <c r="AA122" s="928"/>
      <c r="AB122" s="928"/>
      <c r="AC122" s="928"/>
      <c r="AD122" s="928"/>
      <c r="AE122" s="928"/>
      <c r="AF122" s="928"/>
      <c r="AG122" s="928"/>
      <c r="AH122" s="928"/>
      <c r="AI122" s="928"/>
      <c r="AJ122" s="928"/>
      <c r="AK122" s="928"/>
      <c r="AL122" s="928"/>
      <c r="AM122" s="928"/>
      <c r="AN122" s="928"/>
      <c r="AO122" s="928"/>
      <c r="AP122" s="928"/>
      <c r="AQ122" s="928"/>
      <c r="AR122" s="928"/>
      <c r="AS122" s="928"/>
      <c r="AT122" s="928"/>
      <c r="AU122" s="928"/>
      <c r="AV122" s="928"/>
      <c r="AW122" s="928"/>
      <c r="AX122" s="928"/>
      <c r="AY122" s="928"/>
      <c r="AZ122" s="928"/>
      <c r="BA122" s="928"/>
      <c r="BB122" s="928"/>
      <c r="BC122" s="928"/>
      <c r="BD122" s="928"/>
      <c r="BE122" s="928"/>
      <c r="BF122" s="928"/>
      <c r="BG122" s="928"/>
      <c r="BH122" s="928"/>
      <c r="BI122" s="928"/>
      <c r="BJ122" s="928"/>
      <c r="BK122" s="928"/>
      <c r="BL122" s="928"/>
      <c r="BM122" s="928"/>
      <c r="BN122" s="928"/>
      <c r="BO122" s="928"/>
      <c r="BP122" s="928"/>
      <c r="BQ122" s="928"/>
      <c r="BR122" s="928"/>
      <c r="BS122" s="928"/>
      <c r="BT122" s="928"/>
      <c r="BU122" s="928"/>
      <c r="BV122" s="928"/>
      <c r="BW122" s="928"/>
      <c r="BX122" s="928"/>
      <c r="BY122" s="928"/>
      <c r="BZ122" s="928"/>
      <c r="CA122" s="928"/>
      <c r="CB122" s="928"/>
      <c r="CC122" s="928"/>
      <c r="CD122" s="928"/>
      <c r="CE122" s="928"/>
      <c r="CF122" s="928"/>
      <c r="CG122" s="928"/>
      <c r="CH122" s="928"/>
      <c r="CI122" s="928"/>
      <c r="CJ122" s="928"/>
      <c r="CK122" s="928"/>
      <c r="CL122" s="928"/>
      <c r="CM122" s="928"/>
      <c r="CN122" s="928"/>
      <c r="CO122" s="928"/>
      <c r="CP122" s="928"/>
      <c r="CQ122" s="928"/>
      <c r="CR122" s="928"/>
      <c r="CS122" s="928"/>
      <c r="CT122" s="928"/>
      <c r="CU122" s="928"/>
      <c r="CV122" s="928"/>
      <c r="CW122" s="928"/>
      <c r="CX122" s="928"/>
      <c r="CY122" s="928"/>
      <c r="CZ122" s="928"/>
      <c r="DA122" s="928"/>
      <c r="DB122" s="928"/>
      <c r="DC122" s="928"/>
      <c r="DD122" s="928"/>
      <c r="DE122" s="928"/>
      <c r="DF122" s="928"/>
      <c r="DG122" s="928"/>
      <c r="DH122" s="928"/>
      <c r="DI122" s="928"/>
      <c r="DJ122" s="928"/>
      <c r="DK122" s="928"/>
      <c r="DL122" s="928"/>
      <c r="DM122" s="928"/>
      <c r="DN122" s="928"/>
      <c r="DO122" s="928"/>
      <c r="DP122" s="928"/>
      <c r="DQ122" s="928"/>
      <c r="DR122" s="928"/>
      <c r="DS122" s="928"/>
      <c r="DT122" s="928"/>
      <c r="DU122" s="928"/>
      <c r="DV122" s="928"/>
      <c r="DW122" s="928"/>
      <c r="DX122" s="928"/>
      <c r="DY122" s="928"/>
      <c r="DZ122" s="928"/>
      <c r="EA122" s="928"/>
      <c r="EB122" s="928"/>
      <c r="EC122" s="928"/>
      <c r="ED122" s="928"/>
      <c r="EE122" s="928"/>
      <c r="EF122" s="928"/>
      <c r="EG122" s="928"/>
      <c r="EH122" s="928"/>
      <c r="EI122" s="928"/>
      <c r="EJ122" s="928"/>
      <c r="EK122" s="928"/>
      <c r="EL122" s="928"/>
      <c r="EM122" s="928"/>
      <c r="EN122" s="928"/>
      <c r="EO122" s="928"/>
      <c r="EP122" s="928"/>
      <c r="EQ122" s="928"/>
      <c r="ER122" s="928"/>
      <c r="ES122" s="928"/>
      <c r="ET122" s="928"/>
      <c r="EU122" s="928"/>
      <c r="EV122" s="928"/>
      <c r="EW122" s="928"/>
      <c r="EX122" s="928"/>
      <c r="EY122" s="928"/>
      <c r="EZ122" s="928"/>
      <c r="FA122" s="928"/>
      <c r="FB122" s="928"/>
      <c r="FC122" s="928"/>
      <c r="FD122" s="928"/>
      <c r="FE122" s="928"/>
      <c r="FF122" s="928"/>
      <c r="FG122" s="928"/>
      <c r="FH122" s="928"/>
      <c r="FI122" s="928"/>
      <c r="FJ122" s="928"/>
      <c r="FK122" s="928"/>
      <c r="FL122" s="928"/>
      <c r="FM122" s="928"/>
      <c r="FN122" s="928"/>
      <c r="FO122" s="928"/>
      <c r="FP122" s="928"/>
      <c r="FQ122" s="928"/>
      <c r="FR122" s="928"/>
      <c r="FS122" s="928"/>
      <c r="FT122" s="928"/>
      <c r="FU122" s="928"/>
      <c r="FV122" s="928"/>
      <c r="FW122" s="928"/>
      <c r="FX122" s="928"/>
      <c r="FY122" s="928"/>
      <c r="FZ122" s="928"/>
      <c r="GA122" s="928"/>
      <c r="GB122" s="928"/>
      <c r="GC122" s="928"/>
      <c r="GD122" s="928"/>
      <c r="GE122" s="928"/>
      <c r="GF122" s="928"/>
      <c r="GG122" s="928"/>
      <c r="GH122" s="928"/>
      <c r="GI122" s="928"/>
      <c r="GJ122" s="928"/>
      <c r="GK122" s="928"/>
      <c r="GL122" s="928"/>
      <c r="GM122" s="928"/>
      <c r="GN122" s="928"/>
      <c r="GO122" s="928"/>
      <c r="GP122" s="928"/>
      <c r="GQ122" s="928"/>
      <c r="GR122" s="928"/>
      <c r="GS122" s="928"/>
      <c r="GT122" s="928"/>
      <c r="GU122" s="928"/>
      <c r="GV122" s="928"/>
      <c r="GW122" s="928"/>
      <c r="GX122" s="928"/>
      <c r="GY122" s="928"/>
      <c r="GZ122" s="928"/>
      <c r="HA122" s="928"/>
      <c r="HB122" s="928"/>
      <c r="HC122" s="928"/>
      <c r="HD122" s="928"/>
      <c r="HE122" s="928"/>
      <c r="HF122" s="928"/>
      <c r="HG122" s="928"/>
      <c r="HH122" s="928"/>
      <c r="HI122" s="928"/>
      <c r="HJ122" s="928"/>
      <c r="HK122" s="928"/>
      <c r="HL122" s="928"/>
      <c r="HM122" s="928"/>
      <c r="HN122" s="928"/>
      <c r="HO122" s="928"/>
      <c r="HP122" s="928"/>
      <c r="HQ122" s="928"/>
      <c r="HR122" s="928"/>
      <c r="HS122" s="928"/>
      <c r="HT122" s="928"/>
      <c r="HU122" s="928"/>
      <c r="HV122" s="928"/>
      <c r="HW122" s="928"/>
      <c r="HX122" s="928"/>
      <c r="HY122" s="928"/>
      <c r="HZ122" s="928"/>
      <c r="IA122" s="928"/>
      <c r="IB122" s="928"/>
      <c r="IC122" s="928"/>
      <c r="ID122" s="928"/>
      <c r="IE122" s="928"/>
      <c r="IF122" s="928"/>
      <c r="IG122" s="928"/>
      <c r="IH122" s="928"/>
      <c r="II122" s="928"/>
      <c r="IJ122" s="928"/>
      <c r="IK122" s="928"/>
      <c r="IL122" s="928"/>
      <c r="IM122" s="928"/>
      <c r="IN122" s="928"/>
      <c r="IO122" s="928"/>
      <c r="IP122" s="928"/>
      <c r="IQ122" s="928"/>
      <c r="IR122" s="928"/>
      <c r="IS122" s="928"/>
      <c r="IT122" s="928"/>
      <c r="IU122" s="928"/>
      <c r="IV122" s="928"/>
      <c r="IW122" s="928"/>
    </row>
    <row r="123" spans="1:257" s="951" customFormat="1" ht="43" thickTop="1">
      <c r="A123" s="2477" t="s">
        <v>2172</v>
      </c>
      <c r="B123" s="1212" t="s">
        <v>2173</v>
      </c>
      <c r="C123" s="1199">
        <v>6</v>
      </c>
      <c r="D123" s="1199">
        <v>6</v>
      </c>
      <c r="E123" s="1200" t="s">
        <v>1473</v>
      </c>
      <c r="F123" s="1201" t="str">
        <f>IF(Scoring!I132="","",Scoring!I132)</f>
        <v/>
      </c>
      <c r="G123" s="1202"/>
      <c r="H123" s="1202"/>
      <c r="I123" s="1203" t="s">
        <v>2554</v>
      </c>
      <c r="J123" s="1208"/>
      <c r="K123" s="1208"/>
      <c r="L123" s="1204"/>
      <c r="M123" s="1205"/>
      <c r="N123" s="928"/>
      <c r="O123" s="949"/>
      <c r="P123" s="948"/>
      <c r="Q123" s="928"/>
      <c r="R123" s="928"/>
      <c r="S123" s="928"/>
      <c r="T123" s="928"/>
      <c r="U123" s="928"/>
      <c r="V123" s="928"/>
      <c r="W123" s="928"/>
      <c r="X123" s="928"/>
      <c r="Y123" s="928"/>
      <c r="Z123" s="928"/>
      <c r="AA123" s="928"/>
      <c r="AB123" s="928"/>
      <c r="AC123" s="928"/>
      <c r="AD123" s="928"/>
      <c r="AE123" s="928"/>
      <c r="AF123" s="928"/>
      <c r="AG123" s="928"/>
      <c r="AH123" s="928"/>
      <c r="AI123" s="928"/>
      <c r="AJ123" s="928"/>
      <c r="AK123" s="928"/>
      <c r="AL123" s="928"/>
      <c r="AM123" s="928"/>
      <c r="AN123" s="928"/>
      <c r="AO123" s="928"/>
      <c r="AP123" s="928"/>
      <c r="AQ123" s="928"/>
      <c r="AR123" s="928"/>
      <c r="AS123" s="928"/>
      <c r="AT123" s="928"/>
      <c r="AU123" s="928"/>
      <c r="AV123" s="928"/>
      <c r="AW123" s="928"/>
      <c r="AX123" s="928"/>
      <c r="AY123" s="928"/>
      <c r="AZ123" s="928"/>
      <c r="BA123" s="928"/>
      <c r="BB123" s="928"/>
      <c r="BC123" s="928"/>
      <c r="BD123" s="928"/>
      <c r="BE123" s="928"/>
      <c r="BF123" s="928"/>
      <c r="BG123" s="928"/>
      <c r="BH123" s="928"/>
      <c r="BI123" s="928"/>
      <c r="BJ123" s="928"/>
      <c r="BK123" s="928"/>
      <c r="BL123" s="928"/>
      <c r="BM123" s="928"/>
      <c r="BN123" s="928"/>
      <c r="BO123" s="928"/>
      <c r="BP123" s="928"/>
      <c r="BQ123" s="928"/>
      <c r="BR123" s="928"/>
      <c r="BS123" s="928"/>
      <c r="BT123" s="928"/>
      <c r="BU123" s="928"/>
      <c r="BV123" s="928"/>
      <c r="BW123" s="928"/>
      <c r="BX123" s="928"/>
      <c r="BY123" s="928"/>
      <c r="BZ123" s="928"/>
      <c r="CA123" s="928"/>
      <c r="CB123" s="928"/>
      <c r="CC123" s="928"/>
      <c r="CD123" s="928"/>
      <c r="CE123" s="928"/>
      <c r="CF123" s="928"/>
      <c r="CG123" s="928"/>
      <c r="CH123" s="928"/>
      <c r="CI123" s="928"/>
      <c r="CJ123" s="928"/>
      <c r="CK123" s="928"/>
      <c r="CL123" s="928"/>
      <c r="CM123" s="928"/>
      <c r="CN123" s="928"/>
      <c r="CO123" s="928"/>
      <c r="CP123" s="928"/>
      <c r="CQ123" s="928"/>
      <c r="CR123" s="928"/>
      <c r="CS123" s="928"/>
      <c r="CT123" s="928"/>
      <c r="CU123" s="928"/>
      <c r="CV123" s="928"/>
      <c r="CW123" s="928"/>
      <c r="CX123" s="928"/>
      <c r="CY123" s="928"/>
      <c r="CZ123" s="928"/>
      <c r="DA123" s="928"/>
      <c r="DB123" s="928"/>
      <c r="DC123" s="928"/>
      <c r="DD123" s="928"/>
      <c r="DE123" s="928"/>
      <c r="DF123" s="928"/>
      <c r="DG123" s="928"/>
      <c r="DH123" s="928"/>
      <c r="DI123" s="928"/>
      <c r="DJ123" s="928"/>
      <c r="DK123" s="928"/>
      <c r="DL123" s="928"/>
      <c r="DM123" s="928"/>
      <c r="DN123" s="928"/>
      <c r="DO123" s="928"/>
      <c r="DP123" s="928"/>
      <c r="DQ123" s="928"/>
      <c r="DR123" s="928"/>
      <c r="DS123" s="928"/>
      <c r="DT123" s="928"/>
      <c r="DU123" s="928"/>
      <c r="DV123" s="928"/>
      <c r="DW123" s="928"/>
      <c r="DX123" s="928"/>
      <c r="DY123" s="928"/>
      <c r="DZ123" s="928"/>
      <c r="EA123" s="928"/>
      <c r="EB123" s="928"/>
      <c r="EC123" s="928"/>
      <c r="ED123" s="928"/>
      <c r="EE123" s="928"/>
      <c r="EF123" s="928"/>
      <c r="EG123" s="928"/>
      <c r="EH123" s="928"/>
      <c r="EI123" s="928"/>
      <c r="EJ123" s="928"/>
      <c r="EK123" s="928"/>
      <c r="EL123" s="928"/>
      <c r="EM123" s="928"/>
      <c r="EN123" s="928"/>
      <c r="EO123" s="928"/>
      <c r="EP123" s="928"/>
      <c r="EQ123" s="928"/>
      <c r="ER123" s="928"/>
      <c r="ES123" s="928"/>
      <c r="ET123" s="928"/>
      <c r="EU123" s="928"/>
      <c r="EV123" s="928"/>
      <c r="EW123" s="928"/>
      <c r="EX123" s="928"/>
      <c r="EY123" s="928"/>
      <c r="EZ123" s="928"/>
      <c r="FA123" s="928"/>
      <c r="FB123" s="928"/>
      <c r="FC123" s="928"/>
      <c r="FD123" s="928"/>
      <c r="FE123" s="928"/>
      <c r="FF123" s="928"/>
      <c r="FG123" s="928"/>
      <c r="FH123" s="928"/>
      <c r="FI123" s="928"/>
      <c r="FJ123" s="928"/>
      <c r="FK123" s="928"/>
      <c r="FL123" s="928"/>
      <c r="FM123" s="928"/>
      <c r="FN123" s="928"/>
      <c r="FO123" s="928"/>
      <c r="FP123" s="928"/>
      <c r="FQ123" s="928"/>
      <c r="FR123" s="928"/>
      <c r="FS123" s="928"/>
      <c r="FT123" s="928"/>
      <c r="FU123" s="928"/>
      <c r="FV123" s="928"/>
      <c r="FW123" s="928"/>
      <c r="FX123" s="928"/>
      <c r="FY123" s="928"/>
      <c r="FZ123" s="928"/>
      <c r="GA123" s="928"/>
      <c r="GB123" s="928"/>
      <c r="GC123" s="928"/>
      <c r="GD123" s="928"/>
      <c r="GE123" s="928"/>
      <c r="GF123" s="928"/>
      <c r="GG123" s="928"/>
      <c r="GH123" s="928"/>
      <c r="GI123" s="928"/>
      <c r="GJ123" s="928"/>
      <c r="GK123" s="928"/>
      <c r="GL123" s="928"/>
      <c r="GM123" s="928"/>
      <c r="GN123" s="928"/>
      <c r="GO123" s="928"/>
      <c r="GP123" s="928"/>
      <c r="GQ123" s="928"/>
      <c r="GR123" s="928"/>
      <c r="GS123" s="928"/>
      <c r="GT123" s="928"/>
      <c r="GU123" s="928"/>
      <c r="GV123" s="928"/>
      <c r="GW123" s="928"/>
      <c r="GX123" s="928"/>
      <c r="GY123" s="928"/>
      <c r="GZ123" s="928"/>
      <c r="HA123" s="928"/>
      <c r="HB123" s="928"/>
      <c r="HC123" s="928"/>
      <c r="HD123" s="928"/>
      <c r="HE123" s="928"/>
      <c r="HF123" s="928"/>
      <c r="HG123" s="928"/>
      <c r="HH123" s="928"/>
      <c r="HI123" s="928"/>
      <c r="HJ123" s="928"/>
      <c r="HK123" s="928"/>
      <c r="HL123" s="928"/>
      <c r="HM123" s="928"/>
      <c r="HN123" s="928"/>
      <c r="HO123" s="928"/>
      <c r="HP123" s="928"/>
      <c r="HQ123" s="928"/>
      <c r="HR123" s="928"/>
      <c r="HS123" s="928"/>
      <c r="HT123" s="928"/>
      <c r="HU123" s="928"/>
      <c r="HV123" s="928"/>
      <c r="HW123" s="928"/>
      <c r="HX123" s="928"/>
      <c r="HY123" s="928"/>
      <c r="HZ123" s="928"/>
      <c r="IA123" s="928"/>
      <c r="IB123" s="928"/>
      <c r="IC123" s="928"/>
      <c r="ID123" s="928"/>
      <c r="IE123" s="928"/>
      <c r="IF123" s="928"/>
      <c r="IG123" s="928"/>
      <c r="IH123" s="928"/>
      <c r="II123" s="928"/>
      <c r="IJ123" s="928"/>
      <c r="IK123" s="928"/>
      <c r="IL123" s="928"/>
      <c r="IM123" s="928"/>
      <c r="IN123" s="928"/>
      <c r="IO123" s="928"/>
      <c r="IP123" s="928"/>
      <c r="IQ123" s="928"/>
      <c r="IR123" s="928"/>
      <c r="IS123" s="928"/>
      <c r="IT123" s="928"/>
      <c r="IU123" s="928"/>
      <c r="IV123" s="928"/>
      <c r="IW123" s="928"/>
    </row>
    <row r="124" spans="1:257" ht="98">
      <c r="A124" s="2479"/>
      <c r="B124" s="993" t="s">
        <v>2175</v>
      </c>
      <c r="C124" s="985">
        <v>4</v>
      </c>
      <c r="D124" s="985">
        <v>6</v>
      </c>
      <c r="E124" s="986" t="s">
        <v>1475</v>
      </c>
      <c r="F124" s="968" t="str">
        <f>IF(Scoring!I133="","",Scoring!I133)</f>
        <v/>
      </c>
      <c r="G124" s="987"/>
      <c r="H124" s="987"/>
      <c r="I124" s="988" t="s">
        <v>2555</v>
      </c>
      <c r="J124" s="969"/>
      <c r="K124" s="969"/>
      <c r="L124" s="989"/>
      <c r="M124" s="990"/>
      <c r="O124" s="947"/>
      <c r="P124" s="954"/>
    </row>
    <row r="125" spans="1:257" ht="84">
      <c r="A125" s="2479"/>
      <c r="B125" s="993" t="s">
        <v>2177</v>
      </c>
      <c r="C125" s="985">
        <v>4</v>
      </c>
      <c r="D125" s="985">
        <v>6</v>
      </c>
      <c r="E125" s="986" t="s">
        <v>1478</v>
      </c>
      <c r="F125" s="968" t="str">
        <f>IF(Scoring!I134="","",Scoring!I134)</f>
        <v/>
      </c>
      <c r="G125" s="987"/>
      <c r="H125" s="987"/>
      <c r="I125" s="988" t="s">
        <v>2556</v>
      </c>
      <c r="J125" s="969"/>
      <c r="K125" s="969"/>
      <c r="L125" s="989"/>
      <c r="M125" s="990"/>
      <c r="O125" s="947"/>
      <c r="P125" s="954"/>
    </row>
    <row r="126" spans="1:257" s="951" customFormat="1" ht="43" thickBot="1">
      <c r="A126" s="2480"/>
      <c r="B126" s="996" t="s">
        <v>2179</v>
      </c>
      <c r="C126" s="997">
        <v>6</v>
      </c>
      <c r="D126" s="997">
        <v>6</v>
      </c>
      <c r="E126" s="998" t="s">
        <v>2557</v>
      </c>
      <c r="F126" s="973" t="str">
        <f>IF(Scoring!I135="","",Scoring!I135)</f>
        <v/>
      </c>
      <c r="G126" s="999"/>
      <c r="H126" s="999"/>
      <c r="I126" s="1000" t="s">
        <v>2558</v>
      </c>
      <c r="J126" s="974"/>
      <c r="K126" s="974">
        <f>COUNT(F123:F126)</f>
        <v>0</v>
      </c>
      <c r="L126" s="1207">
        <f>SUM(F123:F126)</f>
        <v>0</v>
      </c>
      <c r="M126" s="976">
        <f>IF(L126&lt;2,0,1)</f>
        <v>0</v>
      </c>
      <c r="N126" s="928"/>
      <c r="O126" s="942"/>
      <c r="P126" s="956">
        <f>COUNTA(F123:F126)</f>
        <v>4</v>
      </c>
      <c r="Q126" s="928"/>
      <c r="R126" s="928"/>
      <c r="S126" s="928"/>
      <c r="T126" s="928"/>
      <c r="U126" s="928"/>
      <c r="V126" s="928"/>
      <c r="W126" s="928"/>
      <c r="X126" s="928"/>
      <c r="Y126" s="928"/>
      <c r="Z126" s="928"/>
      <c r="AA126" s="928"/>
      <c r="AB126" s="928"/>
      <c r="AC126" s="928"/>
      <c r="AD126" s="928"/>
      <c r="AE126" s="928"/>
      <c r="AF126" s="928"/>
      <c r="AG126" s="928"/>
      <c r="AH126" s="928"/>
      <c r="AI126" s="928"/>
      <c r="AJ126" s="928"/>
      <c r="AK126" s="928"/>
      <c r="AL126" s="928"/>
      <c r="AM126" s="928"/>
      <c r="AN126" s="928"/>
      <c r="AO126" s="928"/>
      <c r="AP126" s="928"/>
      <c r="AQ126" s="928"/>
      <c r="AR126" s="928"/>
      <c r="AS126" s="928"/>
      <c r="AT126" s="928"/>
      <c r="AU126" s="928"/>
      <c r="AV126" s="928"/>
      <c r="AW126" s="928"/>
      <c r="AX126" s="928"/>
      <c r="AY126" s="928"/>
      <c r="AZ126" s="928"/>
      <c r="BA126" s="928"/>
      <c r="BB126" s="928"/>
      <c r="BC126" s="928"/>
      <c r="BD126" s="928"/>
      <c r="BE126" s="928"/>
      <c r="BF126" s="928"/>
      <c r="BG126" s="928"/>
      <c r="BH126" s="928"/>
      <c r="BI126" s="928"/>
      <c r="BJ126" s="928"/>
      <c r="BK126" s="928"/>
      <c r="BL126" s="928"/>
      <c r="BM126" s="928"/>
      <c r="BN126" s="928"/>
      <c r="BO126" s="928"/>
      <c r="BP126" s="928"/>
      <c r="BQ126" s="928"/>
      <c r="BR126" s="928"/>
      <c r="BS126" s="928"/>
      <c r="BT126" s="928"/>
      <c r="BU126" s="928"/>
      <c r="BV126" s="928"/>
      <c r="BW126" s="928"/>
      <c r="BX126" s="928"/>
      <c r="BY126" s="928"/>
      <c r="BZ126" s="928"/>
      <c r="CA126" s="928"/>
      <c r="CB126" s="928"/>
      <c r="CC126" s="928"/>
      <c r="CD126" s="928"/>
      <c r="CE126" s="928"/>
      <c r="CF126" s="928"/>
      <c r="CG126" s="928"/>
      <c r="CH126" s="928"/>
      <c r="CI126" s="928"/>
      <c r="CJ126" s="928"/>
      <c r="CK126" s="928"/>
      <c r="CL126" s="928"/>
      <c r="CM126" s="928"/>
      <c r="CN126" s="928"/>
      <c r="CO126" s="928"/>
      <c r="CP126" s="928"/>
      <c r="CQ126" s="928"/>
      <c r="CR126" s="928"/>
      <c r="CS126" s="928"/>
      <c r="CT126" s="928"/>
      <c r="CU126" s="928"/>
      <c r="CV126" s="928"/>
      <c r="CW126" s="928"/>
      <c r="CX126" s="928"/>
      <c r="CY126" s="928"/>
      <c r="CZ126" s="928"/>
      <c r="DA126" s="928"/>
      <c r="DB126" s="928"/>
      <c r="DC126" s="928"/>
      <c r="DD126" s="928"/>
      <c r="DE126" s="928"/>
      <c r="DF126" s="928"/>
      <c r="DG126" s="928"/>
      <c r="DH126" s="928"/>
      <c r="DI126" s="928"/>
      <c r="DJ126" s="928"/>
      <c r="DK126" s="928"/>
      <c r="DL126" s="928"/>
      <c r="DM126" s="928"/>
      <c r="DN126" s="928"/>
      <c r="DO126" s="928"/>
      <c r="DP126" s="928"/>
      <c r="DQ126" s="928"/>
      <c r="DR126" s="928"/>
      <c r="DS126" s="928"/>
      <c r="DT126" s="928"/>
      <c r="DU126" s="928"/>
      <c r="DV126" s="928"/>
      <c r="DW126" s="928"/>
      <c r="DX126" s="928"/>
      <c r="DY126" s="928"/>
      <c r="DZ126" s="928"/>
      <c r="EA126" s="928"/>
      <c r="EB126" s="928"/>
      <c r="EC126" s="928"/>
      <c r="ED126" s="928"/>
      <c r="EE126" s="928"/>
      <c r="EF126" s="928"/>
      <c r="EG126" s="928"/>
      <c r="EH126" s="928"/>
      <c r="EI126" s="928"/>
      <c r="EJ126" s="928"/>
      <c r="EK126" s="928"/>
      <c r="EL126" s="928"/>
      <c r="EM126" s="928"/>
      <c r="EN126" s="928"/>
      <c r="EO126" s="928"/>
      <c r="EP126" s="928"/>
      <c r="EQ126" s="928"/>
      <c r="ER126" s="928"/>
      <c r="ES126" s="928"/>
      <c r="ET126" s="928"/>
      <c r="EU126" s="928"/>
      <c r="EV126" s="928"/>
      <c r="EW126" s="928"/>
      <c r="EX126" s="928"/>
      <c r="EY126" s="928"/>
      <c r="EZ126" s="928"/>
      <c r="FA126" s="928"/>
      <c r="FB126" s="928"/>
      <c r="FC126" s="928"/>
      <c r="FD126" s="928"/>
      <c r="FE126" s="928"/>
      <c r="FF126" s="928"/>
      <c r="FG126" s="928"/>
      <c r="FH126" s="928"/>
      <c r="FI126" s="928"/>
      <c r="FJ126" s="928"/>
      <c r="FK126" s="928"/>
      <c r="FL126" s="928"/>
      <c r="FM126" s="928"/>
      <c r="FN126" s="928"/>
      <c r="FO126" s="928"/>
      <c r="FP126" s="928"/>
      <c r="FQ126" s="928"/>
      <c r="FR126" s="928"/>
      <c r="FS126" s="928"/>
      <c r="FT126" s="928"/>
      <c r="FU126" s="928"/>
      <c r="FV126" s="928"/>
      <c r="FW126" s="928"/>
      <c r="FX126" s="928"/>
      <c r="FY126" s="928"/>
      <c r="FZ126" s="928"/>
      <c r="GA126" s="928"/>
      <c r="GB126" s="928"/>
      <c r="GC126" s="928"/>
      <c r="GD126" s="928"/>
      <c r="GE126" s="928"/>
      <c r="GF126" s="928"/>
      <c r="GG126" s="928"/>
      <c r="GH126" s="928"/>
      <c r="GI126" s="928"/>
      <c r="GJ126" s="928"/>
      <c r="GK126" s="928"/>
      <c r="GL126" s="928"/>
      <c r="GM126" s="928"/>
      <c r="GN126" s="928"/>
      <c r="GO126" s="928"/>
      <c r="GP126" s="928"/>
      <c r="GQ126" s="928"/>
      <c r="GR126" s="928"/>
      <c r="GS126" s="928"/>
      <c r="GT126" s="928"/>
      <c r="GU126" s="928"/>
      <c r="GV126" s="928"/>
      <c r="GW126" s="928"/>
      <c r="GX126" s="928"/>
      <c r="GY126" s="928"/>
      <c r="GZ126" s="928"/>
      <c r="HA126" s="928"/>
      <c r="HB126" s="928"/>
      <c r="HC126" s="928"/>
      <c r="HD126" s="928"/>
      <c r="HE126" s="928"/>
      <c r="HF126" s="928"/>
      <c r="HG126" s="928"/>
      <c r="HH126" s="928"/>
      <c r="HI126" s="928"/>
      <c r="HJ126" s="928"/>
      <c r="HK126" s="928"/>
      <c r="HL126" s="928"/>
      <c r="HM126" s="928"/>
      <c r="HN126" s="928"/>
      <c r="HO126" s="928"/>
      <c r="HP126" s="928"/>
      <c r="HQ126" s="928"/>
      <c r="HR126" s="928"/>
      <c r="HS126" s="928"/>
      <c r="HT126" s="928"/>
      <c r="HU126" s="928"/>
      <c r="HV126" s="928"/>
      <c r="HW126" s="928"/>
      <c r="HX126" s="928"/>
      <c r="HY126" s="928"/>
      <c r="HZ126" s="928"/>
      <c r="IA126" s="928"/>
      <c r="IB126" s="928"/>
      <c r="IC126" s="928"/>
      <c r="ID126" s="928"/>
      <c r="IE126" s="928"/>
      <c r="IF126" s="928"/>
      <c r="IG126" s="928"/>
      <c r="IH126" s="928"/>
      <c r="II126" s="928"/>
      <c r="IJ126" s="928"/>
      <c r="IK126" s="928"/>
      <c r="IL126" s="928"/>
      <c r="IM126" s="928"/>
      <c r="IN126" s="928"/>
      <c r="IO126" s="928"/>
      <c r="IP126" s="928"/>
      <c r="IQ126" s="928"/>
      <c r="IR126" s="928"/>
      <c r="IS126" s="928"/>
      <c r="IT126" s="928"/>
      <c r="IU126" s="928"/>
      <c r="IV126" s="928"/>
      <c r="IW126" s="928"/>
    </row>
    <row r="127" spans="1:257" s="951" customFormat="1" ht="15" thickTop="1" thickBot="1">
      <c r="A127" s="928"/>
      <c r="B127" s="928"/>
      <c r="C127" s="928"/>
      <c r="D127" s="928"/>
      <c r="E127" s="928"/>
      <c r="F127" s="928"/>
      <c r="G127" s="928"/>
      <c r="H127" s="928"/>
      <c r="I127" s="928"/>
      <c r="J127" s="928"/>
      <c r="K127" s="928"/>
      <c r="L127" s="928"/>
      <c r="M127" s="928"/>
      <c r="N127" s="928"/>
      <c r="O127" s="928"/>
      <c r="P127" s="928"/>
      <c r="Q127" s="928"/>
      <c r="R127" s="928"/>
      <c r="S127" s="928"/>
      <c r="T127" s="928"/>
      <c r="U127" s="928"/>
      <c r="V127" s="928"/>
      <c r="W127" s="928"/>
      <c r="X127" s="928"/>
      <c r="Y127" s="928"/>
      <c r="Z127" s="928"/>
      <c r="AA127" s="928"/>
      <c r="AB127" s="928"/>
      <c r="AC127" s="928"/>
      <c r="AD127" s="928"/>
      <c r="AE127" s="928"/>
      <c r="AF127" s="928"/>
      <c r="AG127" s="928"/>
      <c r="AH127" s="928"/>
      <c r="AI127" s="928"/>
      <c r="AJ127" s="928"/>
      <c r="AK127" s="928"/>
      <c r="AL127" s="928"/>
      <c r="AM127" s="928"/>
      <c r="AN127" s="928"/>
      <c r="AO127" s="928"/>
      <c r="AP127" s="928"/>
      <c r="AQ127" s="928"/>
      <c r="AR127" s="928"/>
      <c r="AS127" s="928"/>
      <c r="AT127" s="928"/>
      <c r="AU127" s="928"/>
      <c r="AV127" s="928"/>
      <c r="AW127" s="928"/>
      <c r="AX127" s="928"/>
      <c r="AY127" s="928"/>
      <c r="AZ127" s="928"/>
      <c r="BA127" s="928"/>
      <c r="BB127" s="928"/>
      <c r="BC127" s="928"/>
      <c r="BD127" s="928"/>
      <c r="BE127" s="928"/>
      <c r="BF127" s="928"/>
      <c r="BG127" s="928"/>
      <c r="BH127" s="928"/>
      <c r="BI127" s="928"/>
      <c r="BJ127" s="928"/>
      <c r="BK127" s="928"/>
      <c r="BL127" s="928"/>
      <c r="BM127" s="928"/>
      <c r="BN127" s="928"/>
      <c r="BO127" s="928"/>
      <c r="BP127" s="928"/>
      <c r="BQ127" s="928"/>
      <c r="BR127" s="928"/>
      <c r="BS127" s="928"/>
      <c r="BT127" s="928"/>
      <c r="BU127" s="928"/>
      <c r="BV127" s="928"/>
      <c r="BW127" s="928"/>
      <c r="BX127" s="928"/>
      <c r="BY127" s="928"/>
      <c r="BZ127" s="928"/>
      <c r="CA127" s="928"/>
      <c r="CB127" s="928"/>
      <c r="CC127" s="928"/>
      <c r="CD127" s="928"/>
      <c r="CE127" s="928"/>
      <c r="CF127" s="928"/>
      <c r="CG127" s="928"/>
      <c r="CH127" s="928"/>
      <c r="CI127" s="928"/>
      <c r="CJ127" s="928"/>
      <c r="CK127" s="928"/>
      <c r="CL127" s="928"/>
      <c r="CM127" s="928"/>
      <c r="CN127" s="928"/>
      <c r="CO127" s="928"/>
      <c r="CP127" s="928"/>
      <c r="CQ127" s="928"/>
      <c r="CR127" s="928"/>
      <c r="CS127" s="928"/>
      <c r="CT127" s="928"/>
      <c r="CU127" s="928"/>
      <c r="CV127" s="928"/>
      <c r="CW127" s="928"/>
      <c r="CX127" s="928"/>
      <c r="CY127" s="928"/>
      <c r="CZ127" s="928"/>
      <c r="DA127" s="928"/>
      <c r="DB127" s="928"/>
      <c r="DC127" s="928"/>
      <c r="DD127" s="928"/>
      <c r="DE127" s="928"/>
      <c r="DF127" s="928"/>
      <c r="DG127" s="928"/>
      <c r="DH127" s="928"/>
      <c r="DI127" s="928"/>
      <c r="DJ127" s="928"/>
      <c r="DK127" s="928"/>
      <c r="DL127" s="928"/>
      <c r="DM127" s="928"/>
      <c r="DN127" s="928"/>
      <c r="DO127" s="928"/>
      <c r="DP127" s="928"/>
      <c r="DQ127" s="928"/>
      <c r="DR127" s="928"/>
      <c r="DS127" s="928"/>
      <c r="DT127" s="928"/>
      <c r="DU127" s="928"/>
      <c r="DV127" s="928"/>
      <c r="DW127" s="928"/>
      <c r="DX127" s="928"/>
      <c r="DY127" s="928"/>
      <c r="DZ127" s="928"/>
      <c r="EA127" s="928"/>
      <c r="EB127" s="928"/>
      <c r="EC127" s="928"/>
      <c r="ED127" s="928"/>
      <c r="EE127" s="928"/>
      <c r="EF127" s="928"/>
      <c r="EG127" s="928"/>
      <c r="EH127" s="928"/>
      <c r="EI127" s="928"/>
      <c r="EJ127" s="928"/>
      <c r="EK127" s="928"/>
      <c r="EL127" s="928"/>
      <c r="EM127" s="928"/>
      <c r="EN127" s="928"/>
      <c r="EO127" s="928"/>
      <c r="EP127" s="928"/>
      <c r="EQ127" s="928"/>
      <c r="ER127" s="928"/>
      <c r="ES127" s="928"/>
      <c r="ET127" s="928"/>
      <c r="EU127" s="928"/>
      <c r="EV127" s="928"/>
      <c r="EW127" s="928"/>
      <c r="EX127" s="928"/>
      <c r="EY127" s="928"/>
      <c r="EZ127" s="928"/>
      <c r="FA127" s="928"/>
      <c r="FB127" s="928"/>
      <c r="FC127" s="928"/>
      <c r="FD127" s="928"/>
      <c r="FE127" s="928"/>
      <c r="FF127" s="928"/>
      <c r="FG127" s="928"/>
      <c r="FH127" s="928"/>
      <c r="FI127" s="928"/>
      <c r="FJ127" s="928"/>
      <c r="FK127" s="928"/>
      <c r="FL127" s="928"/>
      <c r="FM127" s="928"/>
      <c r="FN127" s="928"/>
      <c r="FO127" s="928"/>
      <c r="FP127" s="928"/>
      <c r="FQ127" s="928"/>
      <c r="FR127" s="928"/>
      <c r="FS127" s="928"/>
      <c r="FT127" s="928"/>
      <c r="FU127" s="928"/>
      <c r="FV127" s="928"/>
      <c r="FW127" s="928"/>
      <c r="FX127" s="928"/>
      <c r="FY127" s="928"/>
      <c r="FZ127" s="928"/>
      <c r="GA127" s="928"/>
      <c r="GB127" s="928"/>
      <c r="GC127" s="928"/>
      <c r="GD127" s="928"/>
      <c r="GE127" s="928"/>
      <c r="GF127" s="928"/>
      <c r="GG127" s="928"/>
      <c r="GH127" s="928"/>
      <c r="GI127" s="928"/>
      <c r="GJ127" s="928"/>
      <c r="GK127" s="928"/>
      <c r="GL127" s="928"/>
      <c r="GM127" s="928"/>
      <c r="GN127" s="928"/>
      <c r="GO127" s="928"/>
      <c r="GP127" s="928"/>
      <c r="GQ127" s="928"/>
      <c r="GR127" s="928"/>
      <c r="GS127" s="928"/>
      <c r="GT127" s="928"/>
      <c r="GU127" s="928"/>
      <c r="GV127" s="928"/>
      <c r="GW127" s="928"/>
      <c r="GX127" s="928"/>
      <c r="GY127" s="928"/>
      <c r="GZ127" s="928"/>
      <c r="HA127" s="928"/>
      <c r="HB127" s="928"/>
      <c r="HC127" s="928"/>
      <c r="HD127" s="928"/>
      <c r="HE127" s="928"/>
      <c r="HF127" s="928"/>
      <c r="HG127" s="928"/>
      <c r="HH127" s="928"/>
      <c r="HI127" s="928"/>
      <c r="HJ127" s="928"/>
      <c r="HK127" s="928"/>
      <c r="HL127" s="928"/>
      <c r="HM127" s="928"/>
      <c r="HN127" s="928"/>
      <c r="HO127" s="928"/>
      <c r="HP127" s="928"/>
      <c r="HQ127" s="928"/>
      <c r="HR127" s="928"/>
      <c r="HS127" s="928"/>
      <c r="HT127" s="928"/>
      <c r="HU127" s="928"/>
      <c r="HV127" s="928"/>
      <c r="HW127" s="928"/>
      <c r="HX127" s="928"/>
      <c r="HY127" s="928"/>
      <c r="HZ127" s="928"/>
      <c r="IA127" s="928"/>
      <c r="IB127" s="928"/>
      <c r="IC127" s="928"/>
      <c r="ID127" s="928"/>
      <c r="IE127" s="928"/>
      <c r="IF127" s="928"/>
      <c r="IG127" s="928"/>
      <c r="IH127" s="928"/>
      <c r="II127" s="928"/>
      <c r="IJ127" s="928"/>
      <c r="IK127" s="928"/>
      <c r="IL127" s="928"/>
      <c r="IM127" s="928"/>
      <c r="IN127" s="928"/>
      <c r="IO127" s="928"/>
      <c r="IP127" s="928"/>
      <c r="IQ127" s="928"/>
      <c r="IR127" s="928"/>
      <c r="IS127" s="928"/>
      <c r="IT127" s="928"/>
      <c r="IU127" s="928"/>
      <c r="IV127" s="928"/>
      <c r="IW127" s="928"/>
    </row>
    <row r="128" spans="1:257" s="951" customFormat="1" ht="57" thickTop="1">
      <c r="A128" s="2471" t="s">
        <v>1185</v>
      </c>
      <c r="B128" s="1210" t="s">
        <v>2181</v>
      </c>
      <c r="C128" s="1199">
        <v>5</v>
      </c>
      <c r="D128" s="1199">
        <v>5</v>
      </c>
      <c r="E128" s="1200" t="s">
        <v>1497</v>
      </c>
      <c r="F128" s="1201" t="str">
        <f>IF(Scoring!I137="","",Scoring!I137)</f>
        <v/>
      </c>
      <c r="G128" s="1202"/>
      <c r="H128" s="1202"/>
      <c r="I128" s="1203" t="s">
        <v>2656</v>
      </c>
      <c r="J128" s="1208"/>
      <c r="K128" s="1208"/>
      <c r="L128" s="1216"/>
      <c r="M128" s="1205"/>
      <c r="N128" s="928"/>
      <c r="O128" s="949"/>
      <c r="P128" s="948"/>
      <c r="Q128" s="928"/>
      <c r="R128" s="928"/>
      <c r="S128" s="928"/>
      <c r="T128" s="928"/>
      <c r="U128" s="928"/>
      <c r="V128" s="928"/>
      <c r="W128" s="928"/>
      <c r="X128" s="928"/>
      <c r="Y128" s="928"/>
      <c r="Z128" s="928"/>
      <c r="AA128" s="928"/>
      <c r="AB128" s="928"/>
      <c r="AC128" s="928"/>
      <c r="AD128" s="928"/>
      <c r="AE128" s="928"/>
      <c r="AF128" s="928"/>
      <c r="AG128" s="928"/>
      <c r="AH128" s="928"/>
      <c r="AI128" s="928"/>
      <c r="AJ128" s="928"/>
      <c r="AK128" s="928"/>
      <c r="AL128" s="928"/>
      <c r="AM128" s="928"/>
      <c r="AN128" s="928"/>
      <c r="AO128" s="928"/>
      <c r="AP128" s="928"/>
      <c r="AQ128" s="928"/>
      <c r="AR128" s="928"/>
      <c r="AS128" s="928"/>
      <c r="AT128" s="928"/>
      <c r="AU128" s="928"/>
      <c r="AV128" s="928"/>
      <c r="AW128" s="928"/>
      <c r="AX128" s="928"/>
      <c r="AY128" s="928"/>
      <c r="AZ128" s="928"/>
      <c r="BA128" s="928"/>
      <c r="BB128" s="928"/>
      <c r="BC128" s="928"/>
      <c r="BD128" s="928"/>
      <c r="BE128" s="928"/>
      <c r="BF128" s="928"/>
      <c r="BG128" s="928"/>
      <c r="BH128" s="928"/>
      <c r="BI128" s="928"/>
      <c r="BJ128" s="928"/>
      <c r="BK128" s="928"/>
      <c r="BL128" s="928"/>
      <c r="BM128" s="928"/>
      <c r="BN128" s="928"/>
      <c r="BO128" s="928"/>
      <c r="BP128" s="928"/>
      <c r="BQ128" s="928"/>
      <c r="BR128" s="928"/>
      <c r="BS128" s="928"/>
      <c r="BT128" s="928"/>
      <c r="BU128" s="928"/>
      <c r="BV128" s="928"/>
      <c r="BW128" s="928"/>
      <c r="BX128" s="928"/>
      <c r="BY128" s="928"/>
      <c r="BZ128" s="928"/>
      <c r="CA128" s="928"/>
      <c r="CB128" s="928"/>
      <c r="CC128" s="928"/>
      <c r="CD128" s="928"/>
      <c r="CE128" s="928"/>
      <c r="CF128" s="928"/>
      <c r="CG128" s="928"/>
      <c r="CH128" s="928"/>
      <c r="CI128" s="928"/>
      <c r="CJ128" s="928"/>
      <c r="CK128" s="928"/>
      <c r="CL128" s="928"/>
      <c r="CM128" s="928"/>
      <c r="CN128" s="928"/>
      <c r="CO128" s="928"/>
      <c r="CP128" s="928"/>
      <c r="CQ128" s="928"/>
      <c r="CR128" s="928"/>
      <c r="CS128" s="928"/>
      <c r="CT128" s="928"/>
      <c r="CU128" s="928"/>
      <c r="CV128" s="928"/>
      <c r="CW128" s="928"/>
      <c r="CX128" s="928"/>
      <c r="CY128" s="928"/>
      <c r="CZ128" s="928"/>
      <c r="DA128" s="928"/>
      <c r="DB128" s="928"/>
      <c r="DC128" s="928"/>
      <c r="DD128" s="928"/>
      <c r="DE128" s="928"/>
      <c r="DF128" s="928"/>
      <c r="DG128" s="928"/>
      <c r="DH128" s="928"/>
      <c r="DI128" s="928"/>
      <c r="DJ128" s="928"/>
      <c r="DK128" s="928"/>
      <c r="DL128" s="928"/>
      <c r="DM128" s="928"/>
      <c r="DN128" s="928"/>
      <c r="DO128" s="928"/>
      <c r="DP128" s="928"/>
      <c r="DQ128" s="928"/>
      <c r="DR128" s="928"/>
      <c r="DS128" s="928"/>
      <c r="DT128" s="928"/>
      <c r="DU128" s="928"/>
      <c r="DV128" s="928"/>
      <c r="DW128" s="928"/>
      <c r="DX128" s="928"/>
      <c r="DY128" s="928"/>
      <c r="DZ128" s="928"/>
      <c r="EA128" s="928"/>
      <c r="EB128" s="928"/>
      <c r="EC128" s="928"/>
      <c r="ED128" s="928"/>
      <c r="EE128" s="928"/>
      <c r="EF128" s="928"/>
      <c r="EG128" s="928"/>
      <c r="EH128" s="928"/>
      <c r="EI128" s="928"/>
      <c r="EJ128" s="928"/>
      <c r="EK128" s="928"/>
      <c r="EL128" s="928"/>
      <c r="EM128" s="928"/>
      <c r="EN128" s="928"/>
      <c r="EO128" s="928"/>
      <c r="EP128" s="928"/>
      <c r="EQ128" s="928"/>
      <c r="ER128" s="928"/>
      <c r="ES128" s="928"/>
      <c r="ET128" s="928"/>
      <c r="EU128" s="928"/>
      <c r="EV128" s="928"/>
      <c r="EW128" s="928"/>
      <c r="EX128" s="928"/>
      <c r="EY128" s="928"/>
      <c r="EZ128" s="928"/>
      <c r="FA128" s="928"/>
      <c r="FB128" s="928"/>
      <c r="FC128" s="928"/>
      <c r="FD128" s="928"/>
      <c r="FE128" s="928"/>
      <c r="FF128" s="928"/>
      <c r="FG128" s="928"/>
      <c r="FH128" s="928"/>
      <c r="FI128" s="928"/>
      <c r="FJ128" s="928"/>
      <c r="FK128" s="928"/>
      <c r="FL128" s="928"/>
      <c r="FM128" s="928"/>
      <c r="FN128" s="928"/>
      <c r="FO128" s="928"/>
      <c r="FP128" s="928"/>
      <c r="FQ128" s="928"/>
      <c r="FR128" s="928"/>
      <c r="FS128" s="928"/>
      <c r="FT128" s="928"/>
      <c r="FU128" s="928"/>
      <c r="FV128" s="928"/>
      <c r="FW128" s="928"/>
      <c r="FX128" s="928"/>
      <c r="FY128" s="928"/>
      <c r="FZ128" s="928"/>
      <c r="GA128" s="928"/>
      <c r="GB128" s="928"/>
      <c r="GC128" s="928"/>
      <c r="GD128" s="928"/>
      <c r="GE128" s="928"/>
      <c r="GF128" s="928"/>
      <c r="GG128" s="928"/>
      <c r="GH128" s="928"/>
      <c r="GI128" s="928"/>
      <c r="GJ128" s="928"/>
      <c r="GK128" s="928"/>
      <c r="GL128" s="928"/>
      <c r="GM128" s="928"/>
      <c r="GN128" s="928"/>
      <c r="GO128" s="928"/>
      <c r="GP128" s="928"/>
      <c r="GQ128" s="928"/>
      <c r="GR128" s="928"/>
      <c r="GS128" s="928"/>
      <c r="GT128" s="928"/>
      <c r="GU128" s="928"/>
      <c r="GV128" s="928"/>
      <c r="GW128" s="928"/>
      <c r="GX128" s="928"/>
      <c r="GY128" s="928"/>
      <c r="GZ128" s="928"/>
      <c r="HA128" s="928"/>
      <c r="HB128" s="928"/>
      <c r="HC128" s="928"/>
      <c r="HD128" s="928"/>
      <c r="HE128" s="928"/>
      <c r="HF128" s="928"/>
      <c r="HG128" s="928"/>
      <c r="HH128" s="928"/>
      <c r="HI128" s="928"/>
      <c r="HJ128" s="928"/>
      <c r="HK128" s="928"/>
      <c r="HL128" s="928"/>
      <c r="HM128" s="928"/>
      <c r="HN128" s="928"/>
      <c r="HO128" s="928"/>
      <c r="HP128" s="928"/>
      <c r="HQ128" s="928"/>
      <c r="HR128" s="928"/>
      <c r="HS128" s="928"/>
      <c r="HT128" s="928"/>
      <c r="HU128" s="928"/>
      <c r="HV128" s="928"/>
      <c r="HW128" s="928"/>
      <c r="HX128" s="928"/>
      <c r="HY128" s="928"/>
      <c r="HZ128" s="928"/>
      <c r="IA128" s="928"/>
      <c r="IB128" s="928"/>
      <c r="IC128" s="928"/>
      <c r="ID128" s="928"/>
      <c r="IE128" s="928"/>
      <c r="IF128" s="928"/>
      <c r="IG128" s="928"/>
      <c r="IH128" s="928"/>
      <c r="II128" s="928"/>
      <c r="IJ128" s="928"/>
      <c r="IK128" s="928"/>
      <c r="IL128" s="928"/>
      <c r="IM128" s="928"/>
      <c r="IN128" s="928"/>
      <c r="IO128" s="928"/>
      <c r="IP128" s="928"/>
      <c r="IQ128" s="928"/>
      <c r="IR128" s="928"/>
      <c r="IS128" s="928"/>
      <c r="IT128" s="928"/>
      <c r="IU128" s="928"/>
      <c r="IV128" s="928"/>
      <c r="IW128" s="928"/>
    </row>
    <row r="129" spans="1:257" s="951" customFormat="1" ht="43" thickBot="1">
      <c r="A129" s="2473"/>
      <c r="B129" s="1211" t="s">
        <v>2183</v>
      </c>
      <c r="C129" s="997">
        <v>4</v>
      </c>
      <c r="D129" s="997">
        <v>5</v>
      </c>
      <c r="E129" s="998" t="s">
        <v>2655</v>
      </c>
      <c r="F129" s="973" t="str">
        <f>IF(Scoring!I138="","",Scoring!I138)</f>
        <v/>
      </c>
      <c r="G129" s="999"/>
      <c r="H129" s="999"/>
      <c r="I129" s="1000" t="s">
        <v>2654</v>
      </c>
      <c r="J129" s="974">
        <f>COUNT(F129:F129)</f>
        <v>0</v>
      </c>
      <c r="K129" s="974"/>
      <c r="L129" s="1207">
        <f>SUM(F129:F129)</f>
        <v>0</v>
      </c>
      <c r="M129" s="976">
        <f>IF(L129&lt;1,0,1)</f>
        <v>0</v>
      </c>
      <c r="N129" s="928"/>
      <c r="O129" s="942"/>
      <c r="P129" s="956">
        <f>COUNTA(F129:F129)</f>
        <v>1</v>
      </c>
      <c r="Q129" s="928"/>
      <c r="R129" s="928"/>
      <c r="S129" s="928"/>
      <c r="T129" s="928"/>
      <c r="U129" s="928"/>
      <c r="V129" s="928"/>
      <c r="W129" s="928"/>
      <c r="X129" s="928"/>
      <c r="Y129" s="928"/>
      <c r="Z129" s="928"/>
      <c r="AA129" s="928"/>
      <c r="AB129" s="928"/>
      <c r="AC129" s="928"/>
      <c r="AD129" s="928"/>
      <c r="AE129" s="928"/>
      <c r="AF129" s="928"/>
      <c r="AG129" s="928"/>
      <c r="AH129" s="928"/>
      <c r="AI129" s="928"/>
      <c r="AJ129" s="928"/>
      <c r="AK129" s="928"/>
      <c r="AL129" s="928"/>
      <c r="AM129" s="928"/>
      <c r="AN129" s="928"/>
      <c r="AO129" s="928"/>
      <c r="AP129" s="928"/>
      <c r="AQ129" s="928"/>
      <c r="AR129" s="928"/>
      <c r="AS129" s="928"/>
      <c r="AT129" s="928"/>
      <c r="AU129" s="928"/>
      <c r="AV129" s="928"/>
      <c r="AW129" s="928"/>
      <c r="AX129" s="928"/>
      <c r="AY129" s="928"/>
      <c r="AZ129" s="928"/>
      <c r="BA129" s="928"/>
      <c r="BB129" s="928"/>
      <c r="BC129" s="928"/>
      <c r="BD129" s="928"/>
      <c r="BE129" s="928"/>
      <c r="BF129" s="928"/>
      <c r="BG129" s="928"/>
      <c r="BH129" s="928"/>
      <c r="BI129" s="928"/>
      <c r="BJ129" s="928"/>
      <c r="BK129" s="928"/>
      <c r="BL129" s="928"/>
      <c r="BM129" s="928"/>
      <c r="BN129" s="928"/>
      <c r="BO129" s="928"/>
      <c r="BP129" s="928"/>
      <c r="BQ129" s="928"/>
      <c r="BR129" s="928"/>
      <c r="BS129" s="928"/>
      <c r="BT129" s="928"/>
      <c r="BU129" s="928"/>
      <c r="BV129" s="928"/>
      <c r="BW129" s="928"/>
      <c r="BX129" s="928"/>
      <c r="BY129" s="928"/>
      <c r="BZ129" s="928"/>
      <c r="CA129" s="928"/>
      <c r="CB129" s="928"/>
      <c r="CC129" s="928"/>
      <c r="CD129" s="928"/>
      <c r="CE129" s="928"/>
      <c r="CF129" s="928"/>
      <c r="CG129" s="928"/>
      <c r="CH129" s="928"/>
      <c r="CI129" s="928"/>
      <c r="CJ129" s="928"/>
      <c r="CK129" s="928"/>
      <c r="CL129" s="928"/>
      <c r="CM129" s="928"/>
      <c r="CN129" s="928"/>
      <c r="CO129" s="928"/>
      <c r="CP129" s="928"/>
      <c r="CQ129" s="928"/>
      <c r="CR129" s="928"/>
      <c r="CS129" s="928"/>
      <c r="CT129" s="928"/>
      <c r="CU129" s="928"/>
      <c r="CV129" s="928"/>
      <c r="CW129" s="928"/>
      <c r="CX129" s="928"/>
      <c r="CY129" s="928"/>
      <c r="CZ129" s="928"/>
      <c r="DA129" s="928"/>
      <c r="DB129" s="928"/>
      <c r="DC129" s="928"/>
      <c r="DD129" s="928"/>
      <c r="DE129" s="928"/>
      <c r="DF129" s="928"/>
      <c r="DG129" s="928"/>
      <c r="DH129" s="928"/>
      <c r="DI129" s="928"/>
      <c r="DJ129" s="928"/>
      <c r="DK129" s="928"/>
      <c r="DL129" s="928"/>
      <c r="DM129" s="928"/>
      <c r="DN129" s="928"/>
      <c r="DO129" s="928"/>
      <c r="DP129" s="928"/>
      <c r="DQ129" s="928"/>
      <c r="DR129" s="928"/>
      <c r="DS129" s="928"/>
      <c r="DT129" s="928"/>
      <c r="DU129" s="928"/>
      <c r="DV129" s="928"/>
      <c r="DW129" s="928"/>
      <c r="DX129" s="928"/>
      <c r="DY129" s="928"/>
      <c r="DZ129" s="928"/>
      <c r="EA129" s="928"/>
      <c r="EB129" s="928"/>
      <c r="EC129" s="928"/>
      <c r="ED129" s="928"/>
      <c r="EE129" s="928"/>
      <c r="EF129" s="928"/>
      <c r="EG129" s="928"/>
      <c r="EH129" s="928"/>
      <c r="EI129" s="928"/>
      <c r="EJ129" s="928"/>
      <c r="EK129" s="928"/>
      <c r="EL129" s="928"/>
      <c r="EM129" s="928"/>
      <c r="EN129" s="928"/>
      <c r="EO129" s="928"/>
      <c r="EP129" s="928"/>
      <c r="EQ129" s="928"/>
      <c r="ER129" s="928"/>
      <c r="ES129" s="928"/>
      <c r="ET129" s="928"/>
      <c r="EU129" s="928"/>
      <c r="EV129" s="928"/>
      <c r="EW129" s="928"/>
      <c r="EX129" s="928"/>
      <c r="EY129" s="928"/>
      <c r="EZ129" s="928"/>
      <c r="FA129" s="928"/>
      <c r="FB129" s="928"/>
      <c r="FC129" s="928"/>
      <c r="FD129" s="928"/>
      <c r="FE129" s="928"/>
      <c r="FF129" s="928"/>
      <c r="FG129" s="928"/>
      <c r="FH129" s="928"/>
      <c r="FI129" s="928"/>
      <c r="FJ129" s="928"/>
      <c r="FK129" s="928"/>
      <c r="FL129" s="928"/>
      <c r="FM129" s="928"/>
      <c r="FN129" s="928"/>
      <c r="FO129" s="928"/>
      <c r="FP129" s="928"/>
      <c r="FQ129" s="928"/>
      <c r="FR129" s="928"/>
      <c r="FS129" s="928"/>
      <c r="FT129" s="928"/>
      <c r="FU129" s="928"/>
      <c r="FV129" s="928"/>
      <c r="FW129" s="928"/>
      <c r="FX129" s="928"/>
      <c r="FY129" s="928"/>
      <c r="FZ129" s="928"/>
      <c r="GA129" s="928"/>
      <c r="GB129" s="928"/>
      <c r="GC129" s="928"/>
      <c r="GD129" s="928"/>
      <c r="GE129" s="928"/>
      <c r="GF129" s="928"/>
      <c r="GG129" s="928"/>
      <c r="GH129" s="928"/>
      <c r="GI129" s="928"/>
      <c r="GJ129" s="928"/>
      <c r="GK129" s="928"/>
      <c r="GL129" s="928"/>
      <c r="GM129" s="928"/>
      <c r="GN129" s="928"/>
      <c r="GO129" s="928"/>
      <c r="GP129" s="928"/>
      <c r="GQ129" s="928"/>
      <c r="GR129" s="928"/>
      <c r="GS129" s="928"/>
      <c r="GT129" s="928"/>
      <c r="GU129" s="928"/>
      <c r="GV129" s="928"/>
      <c r="GW129" s="928"/>
      <c r="GX129" s="928"/>
      <c r="GY129" s="928"/>
      <c r="GZ129" s="928"/>
      <c r="HA129" s="928"/>
      <c r="HB129" s="928"/>
      <c r="HC129" s="928"/>
      <c r="HD129" s="928"/>
      <c r="HE129" s="928"/>
      <c r="HF129" s="928"/>
      <c r="HG129" s="928"/>
      <c r="HH129" s="928"/>
      <c r="HI129" s="928"/>
      <c r="HJ129" s="928"/>
      <c r="HK129" s="928"/>
      <c r="HL129" s="928"/>
      <c r="HM129" s="928"/>
      <c r="HN129" s="928"/>
      <c r="HO129" s="928"/>
      <c r="HP129" s="928"/>
      <c r="HQ129" s="928"/>
      <c r="HR129" s="928"/>
      <c r="HS129" s="928"/>
      <c r="HT129" s="928"/>
      <c r="HU129" s="928"/>
      <c r="HV129" s="928"/>
      <c r="HW129" s="928"/>
      <c r="HX129" s="928"/>
      <c r="HY129" s="928"/>
      <c r="HZ129" s="928"/>
      <c r="IA129" s="928"/>
      <c r="IB129" s="928"/>
      <c r="IC129" s="928"/>
      <c r="ID129" s="928"/>
      <c r="IE129" s="928"/>
      <c r="IF129" s="928"/>
      <c r="IG129" s="928"/>
      <c r="IH129" s="928"/>
      <c r="II129" s="928"/>
      <c r="IJ129" s="928"/>
      <c r="IK129" s="928"/>
      <c r="IL129" s="928"/>
      <c r="IM129" s="928"/>
      <c r="IN129" s="928"/>
      <c r="IO129" s="928"/>
      <c r="IP129" s="928"/>
      <c r="IQ129" s="928"/>
      <c r="IR129" s="928"/>
      <c r="IS129" s="928"/>
      <c r="IT129" s="928"/>
      <c r="IU129" s="928"/>
      <c r="IV129" s="928"/>
      <c r="IW129" s="928"/>
    </row>
    <row r="130" spans="1:257" s="951" customFormat="1" ht="14" thickTop="1">
      <c r="A130" s="928"/>
      <c r="B130" s="928"/>
      <c r="C130" s="928"/>
      <c r="D130" s="928"/>
      <c r="E130" s="928"/>
      <c r="F130" s="928"/>
      <c r="G130" s="928"/>
      <c r="H130" s="928"/>
      <c r="I130" s="928"/>
      <c r="J130" s="928"/>
      <c r="K130" s="928"/>
      <c r="L130" s="928"/>
      <c r="M130" s="928"/>
      <c r="N130" s="928"/>
      <c r="O130" s="928"/>
      <c r="P130" s="928"/>
      <c r="Q130" s="928"/>
      <c r="R130" s="928"/>
      <c r="S130" s="928"/>
      <c r="T130" s="928"/>
      <c r="U130" s="928"/>
      <c r="V130" s="928"/>
      <c r="W130" s="928"/>
      <c r="X130" s="928"/>
      <c r="Y130" s="928"/>
      <c r="Z130" s="928"/>
      <c r="AA130" s="928"/>
      <c r="AB130" s="928"/>
      <c r="AC130" s="928"/>
      <c r="AD130" s="928"/>
      <c r="AE130" s="928"/>
      <c r="AF130" s="928"/>
      <c r="AG130" s="928"/>
      <c r="AH130" s="928"/>
      <c r="AI130" s="928"/>
      <c r="AJ130" s="928"/>
      <c r="AK130" s="928"/>
      <c r="AL130" s="928"/>
      <c r="AM130" s="928"/>
      <c r="AN130" s="928"/>
      <c r="AO130" s="928"/>
      <c r="AP130" s="928"/>
      <c r="AQ130" s="928"/>
      <c r="AR130" s="928"/>
      <c r="AS130" s="928"/>
      <c r="AT130" s="928"/>
      <c r="AU130" s="928"/>
      <c r="AV130" s="928"/>
      <c r="AW130" s="928"/>
      <c r="AX130" s="928"/>
      <c r="AY130" s="928"/>
      <c r="AZ130" s="928"/>
      <c r="BA130" s="928"/>
      <c r="BB130" s="928"/>
      <c r="BC130" s="928"/>
      <c r="BD130" s="928"/>
      <c r="BE130" s="928"/>
      <c r="BF130" s="928"/>
      <c r="BG130" s="928"/>
      <c r="BH130" s="928"/>
      <c r="BI130" s="928"/>
      <c r="BJ130" s="928"/>
      <c r="BK130" s="928"/>
      <c r="BL130" s="928"/>
      <c r="BM130" s="928"/>
      <c r="BN130" s="928"/>
      <c r="BO130" s="928"/>
      <c r="BP130" s="928"/>
      <c r="BQ130" s="928"/>
      <c r="BR130" s="928"/>
      <c r="BS130" s="928"/>
      <c r="BT130" s="928"/>
      <c r="BU130" s="928"/>
      <c r="BV130" s="928"/>
      <c r="BW130" s="928"/>
      <c r="BX130" s="928"/>
      <c r="BY130" s="928"/>
      <c r="BZ130" s="928"/>
      <c r="CA130" s="928"/>
      <c r="CB130" s="928"/>
      <c r="CC130" s="928"/>
      <c r="CD130" s="928"/>
      <c r="CE130" s="928"/>
      <c r="CF130" s="928"/>
      <c r="CG130" s="928"/>
      <c r="CH130" s="928"/>
      <c r="CI130" s="928"/>
      <c r="CJ130" s="928"/>
      <c r="CK130" s="928"/>
      <c r="CL130" s="928"/>
      <c r="CM130" s="928"/>
      <c r="CN130" s="928"/>
      <c r="CO130" s="928"/>
      <c r="CP130" s="928"/>
      <c r="CQ130" s="928"/>
      <c r="CR130" s="928"/>
      <c r="CS130" s="928"/>
      <c r="CT130" s="928"/>
      <c r="CU130" s="928"/>
      <c r="CV130" s="928"/>
      <c r="CW130" s="928"/>
      <c r="CX130" s="928"/>
      <c r="CY130" s="928"/>
      <c r="CZ130" s="928"/>
      <c r="DA130" s="928"/>
      <c r="DB130" s="928"/>
      <c r="DC130" s="928"/>
      <c r="DD130" s="928"/>
      <c r="DE130" s="928"/>
      <c r="DF130" s="928"/>
      <c r="DG130" s="928"/>
      <c r="DH130" s="928"/>
      <c r="DI130" s="928"/>
      <c r="DJ130" s="928"/>
      <c r="DK130" s="928"/>
      <c r="DL130" s="928"/>
      <c r="DM130" s="928"/>
      <c r="DN130" s="928"/>
      <c r="DO130" s="928"/>
      <c r="DP130" s="928"/>
      <c r="DQ130" s="928"/>
      <c r="DR130" s="928"/>
      <c r="DS130" s="928"/>
      <c r="DT130" s="928"/>
      <c r="DU130" s="928"/>
      <c r="DV130" s="928"/>
      <c r="DW130" s="928"/>
      <c r="DX130" s="928"/>
      <c r="DY130" s="928"/>
      <c r="DZ130" s="928"/>
      <c r="EA130" s="928"/>
      <c r="EB130" s="928"/>
      <c r="EC130" s="928"/>
      <c r="ED130" s="928"/>
      <c r="EE130" s="928"/>
      <c r="EF130" s="928"/>
      <c r="EG130" s="928"/>
      <c r="EH130" s="928"/>
      <c r="EI130" s="928"/>
      <c r="EJ130" s="928"/>
      <c r="EK130" s="928"/>
      <c r="EL130" s="928"/>
      <c r="EM130" s="928"/>
      <c r="EN130" s="928"/>
      <c r="EO130" s="928"/>
      <c r="EP130" s="928"/>
      <c r="EQ130" s="928"/>
      <c r="ER130" s="928"/>
      <c r="ES130" s="928"/>
      <c r="ET130" s="928"/>
      <c r="EU130" s="928"/>
      <c r="EV130" s="928"/>
      <c r="EW130" s="928"/>
      <c r="EX130" s="928"/>
      <c r="EY130" s="928"/>
      <c r="EZ130" s="928"/>
      <c r="FA130" s="928"/>
      <c r="FB130" s="928"/>
      <c r="FC130" s="928"/>
      <c r="FD130" s="928"/>
      <c r="FE130" s="928"/>
      <c r="FF130" s="928"/>
      <c r="FG130" s="928"/>
      <c r="FH130" s="928"/>
      <c r="FI130" s="928"/>
      <c r="FJ130" s="928"/>
      <c r="FK130" s="928"/>
      <c r="FL130" s="928"/>
      <c r="FM130" s="928"/>
      <c r="FN130" s="928"/>
      <c r="FO130" s="928"/>
      <c r="FP130" s="928"/>
      <c r="FQ130" s="928"/>
      <c r="FR130" s="928"/>
      <c r="FS130" s="928"/>
      <c r="FT130" s="928"/>
      <c r="FU130" s="928"/>
      <c r="FV130" s="928"/>
      <c r="FW130" s="928"/>
      <c r="FX130" s="928"/>
      <c r="FY130" s="928"/>
      <c r="FZ130" s="928"/>
      <c r="GA130" s="928"/>
      <c r="GB130" s="928"/>
      <c r="GC130" s="928"/>
      <c r="GD130" s="928"/>
      <c r="GE130" s="928"/>
      <c r="GF130" s="928"/>
      <c r="GG130" s="928"/>
      <c r="GH130" s="928"/>
      <c r="GI130" s="928"/>
      <c r="GJ130" s="928"/>
      <c r="GK130" s="928"/>
      <c r="GL130" s="928"/>
      <c r="GM130" s="928"/>
      <c r="GN130" s="928"/>
      <c r="GO130" s="928"/>
      <c r="GP130" s="928"/>
      <c r="GQ130" s="928"/>
      <c r="GR130" s="928"/>
      <c r="GS130" s="928"/>
      <c r="GT130" s="928"/>
      <c r="GU130" s="928"/>
      <c r="GV130" s="928"/>
      <c r="GW130" s="928"/>
      <c r="GX130" s="928"/>
      <c r="GY130" s="928"/>
      <c r="GZ130" s="928"/>
      <c r="HA130" s="928"/>
      <c r="HB130" s="928"/>
      <c r="HC130" s="928"/>
      <c r="HD130" s="928"/>
      <c r="HE130" s="928"/>
      <c r="HF130" s="928"/>
      <c r="HG130" s="928"/>
      <c r="HH130" s="928"/>
      <c r="HI130" s="928"/>
      <c r="HJ130" s="928"/>
      <c r="HK130" s="928"/>
      <c r="HL130" s="928"/>
      <c r="HM130" s="928"/>
      <c r="HN130" s="928"/>
      <c r="HO130" s="928"/>
      <c r="HP130" s="928"/>
      <c r="HQ130" s="928"/>
      <c r="HR130" s="928"/>
      <c r="HS130" s="928"/>
      <c r="HT130" s="928"/>
      <c r="HU130" s="928"/>
      <c r="HV130" s="928"/>
      <c r="HW130" s="928"/>
      <c r="HX130" s="928"/>
      <c r="HY130" s="928"/>
      <c r="HZ130" s="928"/>
      <c r="IA130" s="928"/>
      <c r="IB130" s="928"/>
      <c r="IC130" s="928"/>
      <c r="ID130" s="928"/>
      <c r="IE130" s="928"/>
      <c r="IF130" s="928"/>
      <c r="IG130" s="928"/>
      <c r="IH130" s="928"/>
      <c r="II130" s="928"/>
      <c r="IJ130" s="928"/>
      <c r="IK130" s="928"/>
      <c r="IL130" s="928"/>
      <c r="IM130" s="928"/>
      <c r="IN130" s="928"/>
      <c r="IO130" s="928"/>
      <c r="IP130" s="928"/>
      <c r="IQ130" s="928"/>
      <c r="IR130" s="928"/>
      <c r="IS130" s="928"/>
      <c r="IT130" s="928"/>
      <c r="IU130" s="928"/>
      <c r="IV130" s="928"/>
      <c r="IW130" s="928"/>
    </row>
    <row r="131" spans="1:257" s="951" customFormat="1">
      <c r="A131" s="928"/>
      <c r="B131" s="928"/>
      <c r="C131" s="928"/>
      <c r="D131" s="928"/>
      <c r="E131" s="928"/>
      <c r="F131" s="928"/>
      <c r="G131" s="928"/>
      <c r="H131" s="928"/>
      <c r="I131" s="928"/>
      <c r="J131" s="928"/>
      <c r="K131" s="928"/>
      <c r="L131" s="928"/>
      <c r="M131" s="928"/>
      <c r="N131" s="928"/>
      <c r="O131" s="928"/>
      <c r="P131" s="928"/>
      <c r="Q131" s="928"/>
      <c r="R131" s="928"/>
      <c r="S131" s="928"/>
      <c r="T131" s="928"/>
      <c r="U131" s="928"/>
      <c r="V131" s="928"/>
      <c r="W131" s="928"/>
      <c r="X131" s="928"/>
      <c r="Y131" s="928"/>
      <c r="Z131" s="928"/>
      <c r="AA131" s="928"/>
      <c r="AB131" s="928"/>
      <c r="AC131" s="928"/>
      <c r="AD131" s="928"/>
      <c r="AE131" s="928"/>
      <c r="AF131" s="928"/>
      <c r="AG131" s="928"/>
      <c r="AH131" s="928"/>
      <c r="AI131" s="928"/>
      <c r="AJ131" s="928"/>
      <c r="AK131" s="928"/>
      <c r="AL131" s="928"/>
      <c r="AM131" s="928"/>
      <c r="AN131" s="928"/>
      <c r="AO131" s="928"/>
      <c r="AP131" s="928"/>
      <c r="AQ131" s="928"/>
      <c r="AR131" s="928"/>
      <c r="AS131" s="928"/>
      <c r="AT131" s="928"/>
      <c r="AU131" s="928"/>
      <c r="AV131" s="928"/>
      <c r="AW131" s="928"/>
      <c r="AX131" s="928"/>
      <c r="AY131" s="928"/>
      <c r="AZ131" s="928"/>
      <c r="BA131" s="928"/>
      <c r="BB131" s="928"/>
      <c r="BC131" s="928"/>
      <c r="BD131" s="928"/>
      <c r="BE131" s="928"/>
      <c r="BF131" s="928"/>
      <c r="BG131" s="928"/>
      <c r="BH131" s="928"/>
      <c r="BI131" s="928"/>
      <c r="BJ131" s="928"/>
      <c r="BK131" s="928"/>
      <c r="BL131" s="928"/>
      <c r="BM131" s="928"/>
      <c r="BN131" s="928"/>
      <c r="BO131" s="928"/>
      <c r="BP131" s="928"/>
      <c r="BQ131" s="928"/>
      <c r="BR131" s="928"/>
      <c r="BS131" s="928"/>
      <c r="BT131" s="928"/>
      <c r="BU131" s="928"/>
      <c r="BV131" s="928"/>
      <c r="BW131" s="928"/>
      <c r="BX131" s="928"/>
      <c r="BY131" s="928"/>
      <c r="BZ131" s="928"/>
      <c r="CA131" s="928"/>
      <c r="CB131" s="928"/>
      <c r="CC131" s="928"/>
      <c r="CD131" s="928"/>
      <c r="CE131" s="928"/>
      <c r="CF131" s="928"/>
      <c r="CG131" s="928"/>
      <c r="CH131" s="928"/>
      <c r="CI131" s="928"/>
      <c r="CJ131" s="928"/>
      <c r="CK131" s="928"/>
      <c r="CL131" s="928"/>
      <c r="CM131" s="928"/>
      <c r="CN131" s="928"/>
      <c r="CO131" s="928"/>
      <c r="CP131" s="928"/>
      <c r="CQ131" s="928"/>
      <c r="CR131" s="928"/>
      <c r="CS131" s="928"/>
      <c r="CT131" s="928"/>
      <c r="CU131" s="928"/>
      <c r="CV131" s="928"/>
      <c r="CW131" s="928"/>
      <c r="CX131" s="928"/>
      <c r="CY131" s="928"/>
      <c r="CZ131" s="928"/>
      <c r="DA131" s="928"/>
      <c r="DB131" s="928"/>
      <c r="DC131" s="928"/>
      <c r="DD131" s="928"/>
      <c r="DE131" s="928"/>
      <c r="DF131" s="928"/>
      <c r="DG131" s="928"/>
      <c r="DH131" s="928"/>
      <c r="DI131" s="928"/>
      <c r="DJ131" s="928"/>
      <c r="DK131" s="928"/>
      <c r="DL131" s="928"/>
      <c r="DM131" s="928"/>
      <c r="DN131" s="928"/>
      <c r="DO131" s="928"/>
      <c r="DP131" s="928"/>
      <c r="DQ131" s="928"/>
      <c r="DR131" s="928"/>
      <c r="DS131" s="928"/>
      <c r="DT131" s="928"/>
      <c r="DU131" s="928"/>
      <c r="DV131" s="928"/>
      <c r="DW131" s="928"/>
      <c r="DX131" s="928"/>
      <c r="DY131" s="928"/>
      <c r="DZ131" s="928"/>
      <c r="EA131" s="928"/>
      <c r="EB131" s="928"/>
      <c r="EC131" s="928"/>
      <c r="ED131" s="928"/>
      <c r="EE131" s="928"/>
      <c r="EF131" s="928"/>
      <c r="EG131" s="928"/>
      <c r="EH131" s="928"/>
      <c r="EI131" s="928"/>
      <c r="EJ131" s="928"/>
      <c r="EK131" s="928"/>
      <c r="EL131" s="928"/>
      <c r="EM131" s="928"/>
      <c r="EN131" s="928"/>
      <c r="EO131" s="928"/>
      <c r="EP131" s="928"/>
      <c r="EQ131" s="928"/>
      <c r="ER131" s="928"/>
      <c r="ES131" s="928"/>
      <c r="ET131" s="928"/>
      <c r="EU131" s="928"/>
      <c r="EV131" s="928"/>
      <c r="EW131" s="928"/>
      <c r="EX131" s="928"/>
      <c r="EY131" s="928"/>
      <c r="EZ131" s="928"/>
      <c r="FA131" s="928"/>
      <c r="FB131" s="928"/>
      <c r="FC131" s="928"/>
      <c r="FD131" s="928"/>
      <c r="FE131" s="928"/>
      <c r="FF131" s="928"/>
      <c r="FG131" s="928"/>
      <c r="FH131" s="928"/>
      <c r="FI131" s="928"/>
      <c r="FJ131" s="928"/>
      <c r="FK131" s="928"/>
      <c r="FL131" s="928"/>
      <c r="FM131" s="928"/>
      <c r="FN131" s="928"/>
      <c r="FO131" s="928"/>
      <c r="FP131" s="928"/>
      <c r="FQ131" s="928"/>
      <c r="FR131" s="928"/>
      <c r="FS131" s="928"/>
      <c r="FT131" s="928"/>
      <c r="FU131" s="928"/>
      <c r="FV131" s="928"/>
      <c r="FW131" s="928"/>
      <c r="FX131" s="928"/>
      <c r="FY131" s="928"/>
      <c r="FZ131" s="928"/>
      <c r="GA131" s="928"/>
      <c r="GB131" s="928"/>
      <c r="GC131" s="928"/>
      <c r="GD131" s="928"/>
      <c r="GE131" s="928"/>
      <c r="GF131" s="928"/>
      <c r="GG131" s="928"/>
      <c r="GH131" s="928"/>
      <c r="GI131" s="928"/>
      <c r="GJ131" s="928"/>
      <c r="GK131" s="928"/>
      <c r="GL131" s="928"/>
      <c r="GM131" s="928"/>
      <c r="GN131" s="928"/>
      <c r="GO131" s="928"/>
      <c r="GP131" s="928"/>
      <c r="GQ131" s="928"/>
      <c r="GR131" s="928"/>
      <c r="GS131" s="928"/>
      <c r="GT131" s="928"/>
      <c r="GU131" s="928"/>
      <c r="GV131" s="928"/>
      <c r="GW131" s="928"/>
      <c r="GX131" s="928"/>
      <c r="GY131" s="928"/>
      <c r="GZ131" s="928"/>
      <c r="HA131" s="928"/>
      <c r="HB131" s="928"/>
      <c r="HC131" s="928"/>
      <c r="HD131" s="928"/>
      <c r="HE131" s="928"/>
      <c r="HF131" s="928"/>
      <c r="HG131" s="928"/>
      <c r="HH131" s="928"/>
      <c r="HI131" s="928"/>
      <c r="HJ131" s="928"/>
      <c r="HK131" s="928"/>
      <c r="HL131" s="928"/>
      <c r="HM131" s="928"/>
      <c r="HN131" s="928"/>
      <c r="HO131" s="928"/>
      <c r="HP131" s="928"/>
      <c r="HQ131" s="928"/>
      <c r="HR131" s="928"/>
      <c r="HS131" s="928"/>
      <c r="HT131" s="928"/>
      <c r="HU131" s="928"/>
      <c r="HV131" s="928"/>
      <c r="HW131" s="928"/>
      <c r="HX131" s="928"/>
      <c r="HY131" s="928"/>
      <c r="HZ131" s="928"/>
      <c r="IA131" s="928"/>
      <c r="IB131" s="928"/>
      <c r="IC131" s="928"/>
      <c r="ID131" s="928"/>
      <c r="IE131" s="928"/>
      <c r="IF131" s="928"/>
      <c r="IG131" s="928"/>
      <c r="IH131" s="928"/>
      <c r="II131" s="928"/>
      <c r="IJ131" s="928"/>
      <c r="IK131" s="928"/>
      <c r="IL131" s="928"/>
      <c r="IM131" s="928"/>
      <c r="IN131" s="928"/>
      <c r="IO131" s="928"/>
      <c r="IP131" s="928"/>
      <c r="IQ131" s="928"/>
      <c r="IR131" s="928"/>
      <c r="IS131" s="928"/>
      <c r="IT131" s="928"/>
      <c r="IU131" s="928"/>
      <c r="IV131" s="928"/>
      <c r="IW131" s="928"/>
    </row>
    <row r="132" spans="1:257" s="951" customFormat="1">
      <c r="A132" s="928"/>
      <c r="B132" s="928"/>
      <c r="C132" s="928"/>
      <c r="D132" s="928"/>
      <c r="E132" s="928"/>
      <c r="F132" s="928"/>
      <c r="G132" s="928"/>
      <c r="H132" s="928"/>
      <c r="I132" s="928"/>
      <c r="J132" s="928"/>
      <c r="K132" s="928"/>
      <c r="L132" s="928"/>
      <c r="M132" s="928"/>
      <c r="N132" s="928"/>
      <c r="O132" s="928"/>
      <c r="P132" s="928"/>
      <c r="Q132" s="928"/>
      <c r="R132" s="928"/>
      <c r="S132" s="928"/>
      <c r="T132" s="928"/>
      <c r="U132" s="928"/>
      <c r="V132" s="928"/>
      <c r="W132" s="928"/>
      <c r="X132" s="928"/>
      <c r="Y132" s="928"/>
      <c r="Z132" s="928"/>
      <c r="AA132" s="928"/>
      <c r="AB132" s="928"/>
      <c r="AC132" s="928"/>
      <c r="AD132" s="928"/>
      <c r="AE132" s="928"/>
      <c r="AF132" s="928"/>
      <c r="AG132" s="928"/>
      <c r="AH132" s="928"/>
      <c r="AI132" s="928"/>
      <c r="AJ132" s="928"/>
      <c r="AK132" s="928"/>
      <c r="AL132" s="928"/>
      <c r="AM132" s="928"/>
      <c r="AN132" s="928"/>
      <c r="AO132" s="928"/>
      <c r="AP132" s="928"/>
      <c r="AQ132" s="928"/>
      <c r="AR132" s="928"/>
      <c r="AS132" s="928"/>
      <c r="AT132" s="928"/>
      <c r="AU132" s="928"/>
      <c r="AV132" s="928"/>
      <c r="AW132" s="928"/>
      <c r="AX132" s="928"/>
      <c r="AY132" s="928"/>
      <c r="AZ132" s="928"/>
      <c r="BA132" s="928"/>
      <c r="BB132" s="928"/>
      <c r="BC132" s="928"/>
      <c r="BD132" s="928"/>
      <c r="BE132" s="928"/>
      <c r="BF132" s="928"/>
      <c r="BG132" s="928"/>
      <c r="BH132" s="928"/>
      <c r="BI132" s="928"/>
      <c r="BJ132" s="928"/>
      <c r="BK132" s="928"/>
      <c r="BL132" s="928"/>
      <c r="BM132" s="928"/>
      <c r="BN132" s="928"/>
      <c r="BO132" s="928"/>
      <c r="BP132" s="928"/>
      <c r="BQ132" s="928"/>
      <c r="BR132" s="928"/>
      <c r="BS132" s="928"/>
      <c r="BT132" s="928"/>
      <c r="BU132" s="928"/>
      <c r="BV132" s="928"/>
      <c r="BW132" s="928"/>
      <c r="BX132" s="928"/>
      <c r="BY132" s="928"/>
      <c r="BZ132" s="928"/>
      <c r="CA132" s="928"/>
      <c r="CB132" s="928"/>
      <c r="CC132" s="928"/>
      <c r="CD132" s="928"/>
      <c r="CE132" s="928"/>
      <c r="CF132" s="928"/>
      <c r="CG132" s="928"/>
      <c r="CH132" s="928"/>
      <c r="CI132" s="928"/>
      <c r="CJ132" s="928"/>
      <c r="CK132" s="928"/>
      <c r="CL132" s="928"/>
      <c r="CM132" s="928"/>
      <c r="CN132" s="928"/>
      <c r="CO132" s="928"/>
      <c r="CP132" s="928"/>
      <c r="CQ132" s="928"/>
      <c r="CR132" s="928"/>
      <c r="CS132" s="928"/>
      <c r="CT132" s="928"/>
      <c r="CU132" s="928"/>
      <c r="CV132" s="928"/>
      <c r="CW132" s="928"/>
      <c r="CX132" s="928"/>
      <c r="CY132" s="928"/>
      <c r="CZ132" s="928"/>
      <c r="DA132" s="928"/>
      <c r="DB132" s="928"/>
      <c r="DC132" s="928"/>
      <c r="DD132" s="928"/>
      <c r="DE132" s="928"/>
      <c r="DF132" s="928"/>
      <c r="DG132" s="928"/>
      <c r="DH132" s="928"/>
      <c r="DI132" s="928"/>
      <c r="DJ132" s="928"/>
      <c r="DK132" s="928"/>
      <c r="DL132" s="928"/>
      <c r="DM132" s="928"/>
      <c r="DN132" s="928"/>
      <c r="DO132" s="928"/>
      <c r="DP132" s="928"/>
      <c r="DQ132" s="928"/>
      <c r="DR132" s="928"/>
      <c r="DS132" s="928"/>
      <c r="DT132" s="928"/>
      <c r="DU132" s="928"/>
      <c r="DV132" s="928"/>
      <c r="DW132" s="928"/>
      <c r="DX132" s="928"/>
      <c r="DY132" s="928"/>
      <c r="DZ132" s="928"/>
      <c r="EA132" s="928"/>
      <c r="EB132" s="928"/>
      <c r="EC132" s="928"/>
      <c r="ED132" s="928"/>
      <c r="EE132" s="928"/>
      <c r="EF132" s="928"/>
      <c r="EG132" s="928"/>
      <c r="EH132" s="928"/>
      <c r="EI132" s="928"/>
      <c r="EJ132" s="928"/>
      <c r="EK132" s="928"/>
      <c r="EL132" s="928"/>
      <c r="EM132" s="928"/>
      <c r="EN132" s="928"/>
      <c r="EO132" s="928"/>
      <c r="EP132" s="928"/>
      <c r="EQ132" s="928"/>
      <c r="ER132" s="928"/>
      <c r="ES132" s="928"/>
      <c r="ET132" s="928"/>
      <c r="EU132" s="928"/>
      <c r="EV132" s="928"/>
      <c r="EW132" s="928"/>
      <c r="EX132" s="928"/>
      <c r="EY132" s="928"/>
      <c r="EZ132" s="928"/>
      <c r="FA132" s="928"/>
      <c r="FB132" s="928"/>
      <c r="FC132" s="928"/>
      <c r="FD132" s="928"/>
      <c r="FE132" s="928"/>
      <c r="FF132" s="928"/>
      <c r="FG132" s="928"/>
      <c r="FH132" s="928"/>
      <c r="FI132" s="928"/>
      <c r="FJ132" s="928"/>
      <c r="FK132" s="928"/>
      <c r="FL132" s="928"/>
      <c r="FM132" s="928"/>
      <c r="FN132" s="928"/>
      <c r="FO132" s="928"/>
      <c r="FP132" s="928"/>
      <c r="FQ132" s="928"/>
      <c r="FR132" s="928"/>
      <c r="FS132" s="928"/>
      <c r="FT132" s="928"/>
      <c r="FU132" s="928"/>
      <c r="FV132" s="928"/>
      <c r="FW132" s="928"/>
      <c r="FX132" s="928"/>
      <c r="FY132" s="928"/>
      <c r="FZ132" s="928"/>
      <c r="GA132" s="928"/>
      <c r="GB132" s="928"/>
      <c r="GC132" s="928"/>
      <c r="GD132" s="928"/>
      <c r="GE132" s="928"/>
      <c r="GF132" s="928"/>
      <c r="GG132" s="928"/>
      <c r="GH132" s="928"/>
      <c r="GI132" s="928"/>
      <c r="GJ132" s="928"/>
      <c r="GK132" s="928"/>
      <c r="GL132" s="928"/>
      <c r="GM132" s="928"/>
      <c r="GN132" s="928"/>
      <c r="GO132" s="928"/>
      <c r="GP132" s="928"/>
      <c r="GQ132" s="928"/>
      <c r="GR132" s="928"/>
      <c r="GS132" s="928"/>
      <c r="GT132" s="928"/>
      <c r="GU132" s="928"/>
      <c r="GV132" s="928"/>
      <c r="GW132" s="928"/>
      <c r="GX132" s="928"/>
      <c r="GY132" s="928"/>
      <c r="GZ132" s="928"/>
      <c r="HA132" s="928"/>
      <c r="HB132" s="928"/>
      <c r="HC132" s="928"/>
      <c r="HD132" s="928"/>
      <c r="HE132" s="928"/>
      <c r="HF132" s="928"/>
      <c r="HG132" s="928"/>
      <c r="HH132" s="928"/>
      <c r="HI132" s="928"/>
      <c r="HJ132" s="928"/>
      <c r="HK132" s="928"/>
      <c r="HL132" s="928"/>
      <c r="HM132" s="928"/>
      <c r="HN132" s="928"/>
      <c r="HO132" s="928"/>
      <c r="HP132" s="928"/>
      <c r="HQ132" s="928"/>
      <c r="HR132" s="928"/>
      <c r="HS132" s="928"/>
      <c r="HT132" s="928"/>
      <c r="HU132" s="928"/>
      <c r="HV132" s="928"/>
      <c r="HW132" s="928"/>
      <c r="HX132" s="928"/>
      <c r="HY132" s="928"/>
      <c r="HZ132" s="928"/>
      <c r="IA132" s="928"/>
      <c r="IB132" s="928"/>
      <c r="IC132" s="928"/>
      <c r="ID132" s="928"/>
      <c r="IE132" s="928"/>
      <c r="IF132" s="928"/>
      <c r="IG132" s="928"/>
      <c r="IH132" s="928"/>
      <c r="II132" s="928"/>
      <c r="IJ132" s="928"/>
      <c r="IK132" s="928"/>
      <c r="IL132" s="928"/>
      <c r="IM132" s="928"/>
      <c r="IN132" s="928"/>
      <c r="IO132" s="928"/>
      <c r="IP132" s="928"/>
      <c r="IQ132" s="928"/>
      <c r="IR132" s="928"/>
      <c r="IS132" s="928"/>
      <c r="IT132" s="928"/>
      <c r="IU132" s="928"/>
      <c r="IV132" s="928"/>
      <c r="IW132" s="928"/>
    </row>
    <row r="133" spans="1:257" s="951" customFormat="1" ht="14" thickBot="1">
      <c r="A133" s="928"/>
      <c r="B133" s="928"/>
      <c r="C133" s="928"/>
      <c r="D133" s="928"/>
      <c r="E133" s="928"/>
      <c r="F133" s="928"/>
      <c r="G133" s="928"/>
      <c r="H133" s="928"/>
      <c r="I133" s="928"/>
      <c r="J133" s="928"/>
      <c r="K133" s="928"/>
      <c r="L133" s="928"/>
      <c r="M133" s="928"/>
      <c r="N133" s="928"/>
      <c r="O133" s="928"/>
      <c r="P133" s="928"/>
      <c r="Q133" s="928"/>
      <c r="R133" s="928"/>
      <c r="S133" s="928"/>
      <c r="T133" s="928"/>
      <c r="U133" s="928"/>
      <c r="V133" s="928"/>
      <c r="W133" s="928"/>
      <c r="X133" s="928"/>
      <c r="Y133" s="928"/>
      <c r="Z133" s="928"/>
      <c r="AA133" s="928"/>
      <c r="AB133" s="928"/>
      <c r="AC133" s="928"/>
      <c r="AD133" s="928"/>
      <c r="AE133" s="928"/>
      <c r="AF133" s="928"/>
      <c r="AG133" s="928"/>
      <c r="AH133" s="928"/>
      <c r="AI133" s="928"/>
      <c r="AJ133" s="928"/>
      <c r="AK133" s="928"/>
      <c r="AL133" s="928"/>
      <c r="AM133" s="928"/>
      <c r="AN133" s="928"/>
      <c r="AO133" s="928"/>
      <c r="AP133" s="928"/>
      <c r="AQ133" s="928"/>
      <c r="AR133" s="928"/>
      <c r="AS133" s="928"/>
      <c r="AT133" s="928"/>
      <c r="AU133" s="928"/>
      <c r="AV133" s="928"/>
      <c r="AW133" s="928"/>
      <c r="AX133" s="928"/>
      <c r="AY133" s="928"/>
      <c r="AZ133" s="928"/>
      <c r="BA133" s="928"/>
      <c r="BB133" s="928"/>
      <c r="BC133" s="928"/>
      <c r="BD133" s="928"/>
      <c r="BE133" s="928"/>
      <c r="BF133" s="928"/>
      <c r="BG133" s="928"/>
      <c r="BH133" s="928"/>
      <c r="BI133" s="928"/>
      <c r="BJ133" s="928"/>
      <c r="BK133" s="928"/>
      <c r="BL133" s="928"/>
      <c r="BM133" s="928"/>
      <c r="BN133" s="928"/>
      <c r="BO133" s="928"/>
      <c r="BP133" s="928"/>
      <c r="BQ133" s="928"/>
      <c r="BR133" s="928"/>
      <c r="BS133" s="928"/>
      <c r="BT133" s="928"/>
      <c r="BU133" s="928"/>
      <c r="BV133" s="928"/>
      <c r="BW133" s="928"/>
      <c r="BX133" s="928"/>
      <c r="BY133" s="928"/>
      <c r="BZ133" s="928"/>
      <c r="CA133" s="928"/>
      <c r="CB133" s="928"/>
      <c r="CC133" s="928"/>
      <c r="CD133" s="928"/>
      <c r="CE133" s="928"/>
      <c r="CF133" s="928"/>
      <c r="CG133" s="928"/>
      <c r="CH133" s="928"/>
      <c r="CI133" s="928"/>
      <c r="CJ133" s="928"/>
      <c r="CK133" s="928"/>
      <c r="CL133" s="928"/>
      <c r="CM133" s="928"/>
      <c r="CN133" s="928"/>
      <c r="CO133" s="928"/>
      <c r="CP133" s="928"/>
      <c r="CQ133" s="928"/>
      <c r="CR133" s="928"/>
      <c r="CS133" s="928"/>
      <c r="CT133" s="928"/>
      <c r="CU133" s="928"/>
      <c r="CV133" s="928"/>
      <c r="CW133" s="928"/>
      <c r="CX133" s="928"/>
      <c r="CY133" s="928"/>
      <c r="CZ133" s="928"/>
      <c r="DA133" s="928"/>
      <c r="DB133" s="928"/>
      <c r="DC133" s="928"/>
      <c r="DD133" s="928"/>
      <c r="DE133" s="928"/>
      <c r="DF133" s="928"/>
      <c r="DG133" s="928"/>
      <c r="DH133" s="928"/>
      <c r="DI133" s="928"/>
      <c r="DJ133" s="928"/>
      <c r="DK133" s="928"/>
      <c r="DL133" s="928"/>
      <c r="DM133" s="928"/>
      <c r="DN133" s="928"/>
      <c r="DO133" s="928"/>
      <c r="DP133" s="928"/>
      <c r="DQ133" s="928"/>
      <c r="DR133" s="928"/>
      <c r="DS133" s="928"/>
      <c r="DT133" s="928"/>
      <c r="DU133" s="928"/>
      <c r="DV133" s="928"/>
      <c r="DW133" s="928"/>
      <c r="DX133" s="928"/>
      <c r="DY133" s="928"/>
      <c r="DZ133" s="928"/>
      <c r="EA133" s="928"/>
      <c r="EB133" s="928"/>
      <c r="EC133" s="928"/>
      <c r="ED133" s="928"/>
      <c r="EE133" s="928"/>
      <c r="EF133" s="928"/>
      <c r="EG133" s="928"/>
      <c r="EH133" s="928"/>
      <c r="EI133" s="928"/>
      <c r="EJ133" s="928"/>
      <c r="EK133" s="928"/>
      <c r="EL133" s="928"/>
      <c r="EM133" s="928"/>
      <c r="EN133" s="928"/>
      <c r="EO133" s="928"/>
      <c r="EP133" s="928"/>
      <c r="EQ133" s="928"/>
      <c r="ER133" s="928"/>
      <c r="ES133" s="928"/>
      <c r="ET133" s="928"/>
      <c r="EU133" s="928"/>
      <c r="EV133" s="928"/>
      <c r="EW133" s="928"/>
      <c r="EX133" s="928"/>
      <c r="EY133" s="928"/>
      <c r="EZ133" s="928"/>
      <c r="FA133" s="928"/>
      <c r="FB133" s="928"/>
      <c r="FC133" s="928"/>
      <c r="FD133" s="928"/>
      <c r="FE133" s="928"/>
      <c r="FF133" s="928"/>
      <c r="FG133" s="928"/>
      <c r="FH133" s="928"/>
      <c r="FI133" s="928"/>
      <c r="FJ133" s="928"/>
      <c r="FK133" s="928"/>
      <c r="FL133" s="928"/>
      <c r="FM133" s="928"/>
      <c r="FN133" s="928"/>
      <c r="FO133" s="928"/>
      <c r="FP133" s="928"/>
      <c r="FQ133" s="928"/>
      <c r="FR133" s="928"/>
      <c r="FS133" s="928"/>
      <c r="FT133" s="928"/>
      <c r="FU133" s="928"/>
      <c r="FV133" s="928"/>
      <c r="FW133" s="928"/>
      <c r="FX133" s="928"/>
      <c r="FY133" s="928"/>
      <c r="FZ133" s="928"/>
      <c r="GA133" s="928"/>
      <c r="GB133" s="928"/>
      <c r="GC133" s="928"/>
      <c r="GD133" s="928"/>
      <c r="GE133" s="928"/>
      <c r="GF133" s="928"/>
      <c r="GG133" s="928"/>
      <c r="GH133" s="928"/>
      <c r="GI133" s="928"/>
      <c r="GJ133" s="928"/>
      <c r="GK133" s="928"/>
      <c r="GL133" s="928"/>
      <c r="GM133" s="928"/>
      <c r="GN133" s="928"/>
      <c r="GO133" s="928"/>
      <c r="GP133" s="928"/>
      <c r="GQ133" s="928"/>
      <c r="GR133" s="928"/>
      <c r="GS133" s="928"/>
      <c r="GT133" s="928"/>
      <c r="GU133" s="928"/>
      <c r="GV133" s="928"/>
      <c r="GW133" s="928"/>
      <c r="GX133" s="928"/>
      <c r="GY133" s="928"/>
      <c r="GZ133" s="928"/>
      <c r="HA133" s="928"/>
      <c r="HB133" s="928"/>
      <c r="HC133" s="928"/>
      <c r="HD133" s="928"/>
      <c r="HE133" s="928"/>
      <c r="HF133" s="928"/>
      <c r="HG133" s="928"/>
      <c r="HH133" s="928"/>
      <c r="HI133" s="928"/>
      <c r="HJ133" s="928"/>
      <c r="HK133" s="928"/>
      <c r="HL133" s="928"/>
      <c r="HM133" s="928"/>
      <c r="HN133" s="928"/>
      <c r="HO133" s="928"/>
      <c r="HP133" s="928"/>
      <c r="HQ133" s="928"/>
      <c r="HR133" s="928"/>
      <c r="HS133" s="928"/>
      <c r="HT133" s="928"/>
      <c r="HU133" s="928"/>
      <c r="HV133" s="928"/>
      <c r="HW133" s="928"/>
      <c r="HX133" s="928"/>
      <c r="HY133" s="928"/>
      <c r="HZ133" s="928"/>
      <c r="IA133" s="928"/>
      <c r="IB133" s="928"/>
      <c r="IC133" s="928"/>
      <c r="ID133" s="928"/>
      <c r="IE133" s="928"/>
      <c r="IF133" s="928"/>
      <c r="IG133" s="928"/>
      <c r="IH133" s="928"/>
      <c r="II133" s="928"/>
      <c r="IJ133" s="928"/>
      <c r="IK133" s="928"/>
      <c r="IL133" s="928"/>
      <c r="IM133" s="928"/>
      <c r="IN133" s="928"/>
      <c r="IO133" s="928"/>
      <c r="IP133" s="928"/>
      <c r="IQ133" s="928"/>
      <c r="IR133" s="928"/>
      <c r="IS133" s="928"/>
      <c r="IT133" s="928"/>
      <c r="IU133" s="928"/>
      <c r="IV133" s="928"/>
      <c r="IW133" s="928"/>
    </row>
    <row r="134" spans="1:257" s="951" customFormat="1" ht="43" thickTop="1">
      <c r="A134" s="2471" t="s">
        <v>2192</v>
      </c>
      <c r="B134" s="1212" t="s">
        <v>2193</v>
      </c>
      <c r="C134" s="1199">
        <v>4</v>
      </c>
      <c r="D134" s="1199">
        <v>5</v>
      </c>
      <c r="E134" s="1200" t="s">
        <v>1505</v>
      </c>
      <c r="F134" s="1201" t="str">
        <f>IF(Scoring!I143="","",Scoring!I143)</f>
        <v/>
      </c>
      <c r="G134" s="1202"/>
      <c r="H134" s="1202"/>
      <c r="I134" s="1203" t="s">
        <v>2653</v>
      </c>
      <c r="J134" s="1208"/>
      <c r="K134" s="1208"/>
      <c r="L134" s="1204"/>
      <c r="M134" s="1205"/>
      <c r="N134" s="928"/>
      <c r="O134" s="949"/>
      <c r="P134" s="948"/>
      <c r="Q134" s="928"/>
      <c r="R134" s="928"/>
      <c r="S134" s="928"/>
      <c r="T134" s="928"/>
      <c r="U134" s="928"/>
      <c r="V134" s="928"/>
      <c r="W134" s="928"/>
      <c r="X134" s="928"/>
      <c r="Y134" s="928"/>
      <c r="Z134" s="928"/>
      <c r="AA134" s="928"/>
      <c r="AB134" s="928"/>
      <c r="AC134" s="928"/>
      <c r="AD134" s="928"/>
      <c r="AE134" s="928"/>
      <c r="AF134" s="928"/>
      <c r="AG134" s="928"/>
      <c r="AH134" s="928"/>
      <c r="AI134" s="928"/>
      <c r="AJ134" s="928"/>
      <c r="AK134" s="928"/>
      <c r="AL134" s="928"/>
      <c r="AM134" s="928"/>
      <c r="AN134" s="928"/>
      <c r="AO134" s="928"/>
      <c r="AP134" s="928"/>
      <c r="AQ134" s="928"/>
      <c r="AR134" s="928"/>
      <c r="AS134" s="928"/>
      <c r="AT134" s="928"/>
      <c r="AU134" s="928"/>
      <c r="AV134" s="928"/>
      <c r="AW134" s="928"/>
      <c r="AX134" s="928"/>
      <c r="AY134" s="928"/>
      <c r="AZ134" s="928"/>
      <c r="BA134" s="928"/>
      <c r="BB134" s="928"/>
      <c r="BC134" s="928"/>
      <c r="BD134" s="928"/>
      <c r="BE134" s="928"/>
      <c r="BF134" s="928"/>
      <c r="BG134" s="928"/>
      <c r="BH134" s="928"/>
      <c r="BI134" s="928"/>
      <c r="BJ134" s="928"/>
      <c r="BK134" s="928"/>
      <c r="BL134" s="928"/>
      <c r="BM134" s="928"/>
      <c r="BN134" s="928"/>
      <c r="BO134" s="928"/>
      <c r="BP134" s="928"/>
      <c r="BQ134" s="928"/>
      <c r="BR134" s="928"/>
      <c r="BS134" s="928"/>
      <c r="BT134" s="928"/>
      <c r="BU134" s="928"/>
      <c r="BV134" s="928"/>
      <c r="BW134" s="928"/>
      <c r="BX134" s="928"/>
      <c r="BY134" s="928"/>
      <c r="BZ134" s="928"/>
      <c r="CA134" s="928"/>
      <c r="CB134" s="928"/>
      <c r="CC134" s="928"/>
      <c r="CD134" s="928"/>
      <c r="CE134" s="928"/>
      <c r="CF134" s="928"/>
      <c r="CG134" s="928"/>
      <c r="CH134" s="928"/>
      <c r="CI134" s="928"/>
      <c r="CJ134" s="928"/>
      <c r="CK134" s="928"/>
      <c r="CL134" s="928"/>
      <c r="CM134" s="928"/>
      <c r="CN134" s="928"/>
      <c r="CO134" s="928"/>
      <c r="CP134" s="928"/>
      <c r="CQ134" s="928"/>
      <c r="CR134" s="928"/>
      <c r="CS134" s="928"/>
      <c r="CT134" s="928"/>
      <c r="CU134" s="928"/>
      <c r="CV134" s="928"/>
      <c r="CW134" s="928"/>
      <c r="CX134" s="928"/>
      <c r="CY134" s="928"/>
      <c r="CZ134" s="928"/>
      <c r="DA134" s="928"/>
      <c r="DB134" s="928"/>
      <c r="DC134" s="928"/>
      <c r="DD134" s="928"/>
      <c r="DE134" s="928"/>
      <c r="DF134" s="928"/>
      <c r="DG134" s="928"/>
      <c r="DH134" s="928"/>
      <c r="DI134" s="928"/>
      <c r="DJ134" s="928"/>
      <c r="DK134" s="928"/>
      <c r="DL134" s="928"/>
      <c r="DM134" s="928"/>
      <c r="DN134" s="928"/>
      <c r="DO134" s="928"/>
      <c r="DP134" s="928"/>
      <c r="DQ134" s="928"/>
      <c r="DR134" s="928"/>
      <c r="DS134" s="928"/>
      <c r="DT134" s="928"/>
      <c r="DU134" s="928"/>
      <c r="DV134" s="928"/>
      <c r="DW134" s="928"/>
      <c r="DX134" s="928"/>
      <c r="DY134" s="928"/>
      <c r="DZ134" s="928"/>
      <c r="EA134" s="928"/>
      <c r="EB134" s="928"/>
      <c r="EC134" s="928"/>
      <c r="ED134" s="928"/>
      <c r="EE134" s="928"/>
      <c r="EF134" s="928"/>
      <c r="EG134" s="928"/>
      <c r="EH134" s="928"/>
      <c r="EI134" s="928"/>
      <c r="EJ134" s="928"/>
      <c r="EK134" s="928"/>
      <c r="EL134" s="928"/>
      <c r="EM134" s="928"/>
      <c r="EN134" s="928"/>
      <c r="EO134" s="928"/>
      <c r="EP134" s="928"/>
      <c r="EQ134" s="928"/>
      <c r="ER134" s="928"/>
      <c r="ES134" s="928"/>
      <c r="ET134" s="928"/>
      <c r="EU134" s="928"/>
      <c r="EV134" s="928"/>
      <c r="EW134" s="928"/>
      <c r="EX134" s="928"/>
      <c r="EY134" s="928"/>
      <c r="EZ134" s="928"/>
      <c r="FA134" s="928"/>
      <c r="FB134" s="928"/>
      <c r="FC134" s="928"/>
      <c r="FD134" s="928"/>
      <c r="FE134" s="928"/>
      <c r="FF134" s="928"/>
      <c r="FG134" s="928"/>
      <c r="FH134" s="928"/>
      <c r="FI134" s="928"/>
      <c r="FJ134" s="928"/>
      <c r="FK134" s="928"/>
      <c r="FL134" s="928"/>
      <c r="FM134" s="928"/>
      <c r="FN134" s="928"/>
      <c r="FO134" s="928"/>
      <c r="FP134" s="928"/>
      <c r="FQ134" s="928"/>
      <c r="FR134" s="928"/>
      <c r="FS134" s="928"/>
      <c r="FT134" s="928"/>
      <c r="FU134" s="928"/>
      <c r="FV134" s="928"/>
      <c r="FW134" s="928"/>
      <c r="FX134" s="928"/>
      <c r="FY134" s="928"/>
      <c r="FZ134" s="928"/>
      <c r="GA134" s="928"/>
      <c r="GB134" s="928"/>
      <c r="GC134" s="928"/>
      <c r="GD134" s="928"/>
      <c r="GE134" s="928"/>
      <c r="GF134" s="928"/>
      <c r="GG134" s="928"/>
      <c r="GH134" s="928"/>
      <c r="GI134" s="928"/>
      <c r="GJ134" s="928"/>
      <c r="GK134" s="928"/>
      <c r="GL134" s="928"/>
      <c r="GM134" s="928"/>
      <c r="GN134" s="928"/>
      <c r="GO134" s="928"/>
      <c r="GP134" s="928"/>
      <c r="GQ134" s="928"/>
      <c r="GR134" s="928"/>
      <c r="GS134" s="928"/>
      <c r="GT134" s="928"/>
      <c r="GU134" s="928"/>
      <c r="GV134" s="928"/>
      <c r="GW134" s="928"/>
      <c r="GX134" s="928"/>
      <c r="GY134" s="928"/>
      <c r="GZ134" s="928"/>
      <c r="HA134" s="928"/>
      <c r="HB134" s="928"/>
      <c r="HC134" s="928"/>
      <c r="HD134" s="928"/>
      <c r="HE134" s="928"/>
      <c r="HF134" s="928"/>
      <c r="HG134" s="928"/>
      <c r="HH134" s="928"/>
      <c r="HI134" s="928"/>
      <c r="HJ134" s="928"/>
      <c r="HK134" s="928"/>
      <c r="HL134" s="928"/>
      <c r="HM134" s="928"/>
      <c r="HN134" s="928"/>
      <c r="HO134" s="928"/>
      <c r="HP134" s="928"/>
      <c r="HQ134" s="928"/>
      <c r="HR134" s="928"/>
      <c r="HS134" s="928"/>
      <c r="HT134" s="928"/>
      <c r="HU134" s="928"/>
      <c r="HV134" s="928"/>
      <c r="HW134" s="928"/>
      <c r="HX134" s="928"/>
      <c r="HY134" s="928"/>
      <c r="HZ134" s="928"/>
      <c r="IA134" s="928"/>
      <c r="IB134" s="928"/>
      <c r="IC134" s="928"/>
      <c r="ID134" s="928"/>
      <c r="IE134" s="928"/>
      <c r="IF134" s="928"/>
      <c r="IG134" s="928"/>
      <c r="IH134" s="928"/>
      <c r="II134" s="928"/>
      <c r="IJ134" s="928"/>
      <c r="IK134" s="928"/>
      <c r="IL134" s="928"/>
      <c r="IM134" s="928"/>
      <c r="IN134" s="928"/>
      <c r="IO134" s="928"/>
      <c r="IP134" s="928"/>
      <c r="IQ134" s="928"/>
      <c r="IR134" s="928"/>
      <c r="IS134" s="928"/>
      <c r="IT134" s="928"/>
      <c r="IU134" s="928"/>
      <c r="IV134" s="928"/>
      <c r="IW134" s="928"/>
    </row>
    <row r="135" spans="1:257" s="951" customFormat="1" ht="42">
      <c r="A135" s="2479"/>
      <c r="B135" s="993" t="s">
        <v>2195</v>
      </c>
      <c r="C135" s="985">
        <v>4</v>
      </c>
      <c r="D135" s="985">
        <v>5</v>
      </c>
      <c r="E135" s="986" t="s">
        <v>2652</v>
      </c>
      <c r="F135" s="968" t="str">
        <f>IF(Scoring!I144="","",Scoring!I144)</f>
        <v/>
      </c>
      <c r="G135" s="987"/>
      <c r="H135" s="987"/>
      <c r="I135" s="988" t="s">
        <v>2651</v>
      </c>
      <c r="J135" s="969"/>
      <c r="K135" s="969"/>
      <c r="L135" s="989"/>
      <c r="M135" s="990"/>
      <c r="N135" s="928"/>
      <c r="O135" s="953"/>
      <c r="P135" s="957"/>
      <c r="Q135" s="928"/>
      <c r="R135" s="928"/>
      <c r="S135" s="928"/>
      <c r="T135" s="928"/>
      <c r="U135" s="928"/>
      <c r="V135" s="928"/>
      <c r="W135" s="928"/>
      <c r="X135" s="928"/>
      <c r="Y135" s="928"/>
      <c r="Z135" s="928"/>
      <c r="AA135" s="928"/>
      <c r="AB135" s="928"/>
      <c r="AC135" s="928"/>
      <c r="AD135" s="928"/>
      <c r="AE135" s="928"/>
      <c r="AF135" s="928"/>
      <c r="AG135" s="928"/>
      <c r="AH135" s="928"/>
      <c r="AI135" s="928"/>
      <c r="AJ135" s="928"/>
      <c r="AK135" s="928"/>
      <c r="AL135" s="928"/>
      <c r="AM135" s="928"/>
      <c r="AN135" s="928"/>
      <c r="AO135" s="928"/>
      <c r="AP135" s="928"/>
      <c r="AQ135" s="928"/>
      <c r="AR135" s="928"/>
      <c r="AS135" s="928"/>
      <c r="AT135" s="928"/>
      <c r="AU135" s="928"/>
      <c r="AV135" s="928"/>
      <c r="AW135" s="928"/>
      <c r="AX135" s="928"/>
      <c r="AY135" s="928"/>
      <c r="AZ135" s="928"/>
      <c r="BA135" s="928"/>
      <c r="BB135" s="928"/>
      <c r="BC135" s="928"/>
      <c r="BD135" s="928"/>
      <c r="BE135" s="928"/>
      <c r="BF135" s="928"/>
      <c r="BG135" s="928"/>
      <c r="BH135" s="928"/>
      <c r="BI135" s="928"/>
      <c r="BJ135" s="928"/>
      <c r="BK135" s="928"/>
      <c r="BL135" s="928"/>
      <c r="BM135" s="928"/>
      <c r="BN135" s="928"/>
      <c r="BO135" s="928"/>
      <c r="BP135" s="928"/>
      <c r="BQ135" s="928"/>
      <c r="BR135" s="928"/>
      <c r="BS135" s="928"/>
      <c r="BT135" s="928"/>
      <c r="BU135" s="928"/>
      <c r="BV135" s="928"/>
      <c r="BW135" s="928"/>
      <c r="BX135" s="928"/>
      <c r="BY135" s="928"/>
      <c r="BZ135" s="928"/>
      <c r="CA135" s="928"/>
      <c r="CB135" s="928"/>
      <c r="CC135" s="928"/>
      <c r="CD135" s="928"/>
      <c r="CE135" s="928"/>
      <c r="CF135" s="928"/>
      <c r="CG135" s="928"/>
      <c r="CH135" s="928"/>
      <c r="CI135" s="928"/>
      <c r="CJ135" s="928"/>
      <c r="CK135" s="928"/>
      <c r="CL135" s="928"/>
      <c r="CM135" s="928"/>
      <c r="CN135" s="928"/>
      <c r="CO135" s="928"/>
      <c r="CP135" s="928"/>
      <c r="CQ135" s="928"/>
      <c r="CR135" s="928"/>
      <c r="CS135" s="928"/>
      <c r="CT135" s="928"/>
      <c r="CU135" s="928"/>
      <c r="CV135" s="928"/>
      <c r="CW135" s="928"/>
      <c r="CX135" s="928"/>
      <c r="CY135" s="928"/>
      <c r="CZ135" s="928"/>
      <c r="DA135" s="928"/>
      <c r="DB135" s="928"/>
      <c r="DC135" s="928"/>
      <c r="DD135" s="928"/>
      <c r="DE135" s="928"/>
      <c r="DF135" s="928"/>
      <c r="DG135" s="928"/>
      <c r="DH135" s="928"/>
      <c r="DI135" s="928"/>
      <c r="DJ135" s="928"/>
      <c r="DK135" s="928"/>
      <c r="DL135" s="928"/>
      <c r="DM135" s="928"/>
      <c r="DN135" s="928"/>
      <c r="DO135" s="928"/>
      <c r="DP135" s="928"/>
      <c r="DQ135" s="928"/>
      <c r="DR135" s="928"/>
      <c r="DS135" s="928"/>
      <c r="DT135" s="928"/>
      <c r="DU135" s="928"/>
      <c r="DV135" s="928"/>
      <c r="DW135" s="928"/>
      <c r="DX135" s="928"/>
      <c r="DY135" s="928"/>
      <c r="DZ135" s="928"/>
      <c r="EA135" s="928"/>
      <c r="EB135" s="928"/>
      <c r="EC135" s="928"/>
      <c r="ED135" s="928"/>
      <c r="EE135" s="928"/>
      <c r="EF135" s="928"/>
      <c r="EG135" s="928"/>
      <c r="EH135" s="928"/>
      <c r="EI135" s="928"/>
      <c r="EJ135" s="928"/>
      <c r="EK135" s="928"/>
      <c r="EL135" s="928"/>
      <c r="EM135" s="928"/>
      <c r="EN135" s="928"/>
      <c r="EO135" s="928"/>
      <c r="EP135" s="928"/>
      <c r="EQ135" s="928"/>
      <c r="ER135" s="928"/>
      <c r="ES135" s="928"/>
      <c r="ET135" s="928"/>
      <c r="EU135" s="928"/>
      <c r="EV135" s="928"/>
      <c r="EW135" s="928"/>
      <c r="EX135" s="928"/>
      <c r="EY135" s="928"/>
      <c r="EZ135" s="928"/>
      <c r="FA135" s="928"/>
      <c r="FB135" s="928"/>
      <c r="FC135" s="928"/>
      <c r="FD135" s="928"/>
      <c r="FE135" s="928"/>
      <c r="FF135" s="928"/>
      <c r="FG135" s="928"/>
      <c r="FH135" s="928"/>
      <c r="FI135" s="928"/>
      <c r="FJ135" s="928"/>
      <c r="FK135" s="928"/>
      <c r="FL135" s="928"/>
      <c r="FM135" s="928"/>
      <c r="FN135" s="928"/>
      <c r="FO135" s="928"/>
      <c r="FP135" s="928"/>
      <c r="FQ135" s="928"/>
      <c r="FR135" s="928"/>
      <c r="FS135" s="928"/>
      <c r="FT135" s="928"/>
      <c r="FU135" s="928"/>
      <c r="FV135" s="928"/>
      <c r="FW135" s="928"/>
      <c r="FX135" s="928"/>
      <c r="FY135" s="928"/>
      <c r="FZ135" s="928"/>
      <c r="GA135" s="928"/>
      <c r="GB135" s="928"/>
      <c r="GC135" s="928"/>
      <c r="GD135" s="928"/>
      <c r="GE135" s="928"/>
      <c r="GF135" s="928"/>
      <c r="GG135" s="928"/>
      <c r="GH135" s="928"/>
      <c r="GI135" s="928"/>
      <c r="GJ135" s="928"/>
      <c r="GK135" s="928"/>
      <c r="GL135" s="928"/>
      <c r="GM135" s="928"/>
      <c r="GN135" s="928"/>
      <c r="GO135" s="928"/>
      <c r="GP135" s="928"/>
      <c r="GQ135" s="928"/>
      <c r="GR135" s="928"/>
      <c r="GS135" s="928"/>
      <c r="GT135" s="928"/>
      <c r="GU135" s="928"/>
      <c r="GV135" s="928"/>
      <c r="GW135" s="928"/>
      <c r="GX135" s="928"/>
      <c r="GY135" s="928"/>
      <c r="GZ135" s="928"/>
      <c r="HA135" s="928"/>
      <c r="HB135" s="928"/>
      <c r="HC135" s="928"/>
      <c r="HD135" s="928"/>
      <c r="HE135" s="928"/>
      <c r="HF135" s="928"/>
      <c r="HG135" s="928"/>
      <c r="HH135" s="928"/>
      <c r="HI135" s="928"/>
      <c r="HJ135" s="928"/>
      <c r="HK135" s="928"/>
      <c r="HL135" s="928"/>
      <c r="HM135" s="928"/>
      <c r="HN135" s="928"/>
      <c r="HO135" s="928"/>
      <c r="HP135" s="928"/>
      <c r="HQ135" s="928"/>
      <c r="HR135" s="928"/>
      <c r="HS135" s="928"/>
      <c r="HT135" s="928"/>
      <c r="HU135" s="928"/>
      <c r="HV135" s="928"/>
      <c r="HW135" s="928"/>
      <c r="HX135" s="928"/>
      <c r="HY135" s="928"/>
      <c r="HZ135" s="928"/>
      <c r="IA135" s="928"/>
      <c r="IB135" s="928"/>
      <c r="IC135" s="928"/>
      <c r="ID135" s="928"/>
      <c r="IE135" s="928"/>
      <c r="IF135" s="928"/>
      <c r="IG135" s="928"/>
      <c r="IH135" s="928"/>
      <c r="II135" s="928"/>
      <c r="IJ135" s="928"/>
      <c r="IK135" s="928"/>
      <c r="IL135" s="928"/>
      <c r="IM135" s="928"/>
      <c r="IN135" s="928"/>
      <c r="IO135" s="928"/>
      <c r="IP135" s="928"/>
      <c r="IQ135" s="928"/>
      <c r="IR135" s="928"/>
      <c r="IS135" s="928"/>
      <c r="IT135" s="928"/>
      <c r="IU135" s="928"/>
      <c r="IV135" s="928"/>
      <c r="IW135" s="928"/>
    </row>
    <row r="136" spans="1:257" s="951" customFormat="1" ht="56">
      <c r="A136" s="2479"/>
      <c r="B136" s="993" t="s">
        <v>2197</v>
      </c>
      <c r="C136" s="985">
        <v>3</v>
      </c>
      <c r="D136" s="985">
        <v>4</v>
      </c>
      <c r="E136" s="986" t="s">
        <v>1511</v>
      </c>
      <c r="F136" s="968" t="str">
        <f>IF(Scoring!I145="","",Scoring!I145)</f>
        <v/>
      </c>
      <c r="G136" s="987"/>
      <c r="H136" s="987"/>
      <c r="I136" s="988" t="s">
        <v>2650</v>
      </c>
      <c r="J136" s="969"/>
      <c r="K136" s="969"/>
      <c r="L136" s="989"/>
      <c r="M136" s="990"/>
      <c r="N136" s="928"/>
      <c r="O136" s="953"/>
      <c r="P136" s="957"/>
      <c r="Q136" s="928"/>
      <c r="R136" s="928"/>
      <c r="S136" s="928"/>
      <c r="T136" s="928"/>
      <c r="U136" s="928"/>
      <c r="V136" s="928"/>
      <c r="W136" s="928"/>
      <c r="X136" s="928"/>
      <c r="Y136" s="928"/>
      <c r="Z136" s="928"/>
      <c r="AA136" s="928"/>
      <c r="AB136" s="928"/>
      <c r="AC136" s="928"/>
      <c r="AD136" s="928"/>
      <c r="AE136" s="928"/>
      <c r="AF136" s="928"/>
      <c r="AG136" s="928"/>
      <c r="AH136" s="928"/>
      <c r="AI136" s="928"/>
      <c r="AJ136" s="928"/>
      <c r="AK136" s="928"/>
      <c r="AL136" s="928"/>
      <c r="AM136" s="928"/>
      <c r="AN136" s="928"/>
      <c r="AO136" s="928"/>
      <c r="AP136" s="928"/>
      <c r="AQ136" s="928"/>
      <c r="AR136" s="928"/>
      <c r="AS136" s="928"/>
      <c r="AT136" s="928"/>
      <c r="AU136" s="928"/>
      <c r="AV136" s="928"/>
      <c r="AW136" s="928"/>
      <c r="AX136" s="928"/>
      <c r="AY136" s="928"/>
      <c r="AZ136" s="928"/>
      <c r="BA136" s="928"/>
      <c r="BB136" s="928"/>
      <c r="BC136" s="928"/>
      <c r="BD136" s="928"/>
      <c r="BE136" s="928"/>
      <c r="BF136" s="928"/>
      <c r="BG136" s="928"/>
      <c r="BH136" s="928"/>
      <c r="BI136" s="928"/>
      <c r="BJ136" s="928"/>
      <c r="BK136" s="928"/>
      <c r="BL136" s="928"/>
      <c r="BM136" s="928"/>
      <c r="BN136" s="928"/>
      <c r="BO136" s="928"/>
      <c r="BP136" s="928"/>
      <c r="BQ136" s="928"/>
      <c r="BR136" s="928"/>
      <c r="BS136" s="928"/>
      <c r="BT136" s="928"/>
      <c r="BU136" s="928"/>
      <c r="BV136" s="928"/>
      <c r="BW136" s="928"/>
      <c r="BX136" s="928"/>
      <c r="BY136" s="928"/>
      <c r="BZ136" s="928"/>
      <c r="CA136" s="928"/>
      <c r="CB136" s="928"/>
      <c r="CC136" s="928"/>
      <c r="CD136" s="928"/>
      <c r="CE136" s="928"/>
      <c r="CF136" s="928"/>
      <c r="CG136" s="928"/>
      <c r="CH136" s="928"/>
      <c r="CI136" s="928"/>
      <c r="CJ136" s="928"/>
      <c r="CK136" s="928"/>
      <c r="CL136" s="928"/>
      <c r="CM136" s="928"/>
      <c r="CN136" s="928"/>
      <c r="CO136" s="928"/>
      <c r="CP136" s="928"/>
      <c r="CQ136" s="928"/>
      <c r="CR136" s="928"/>
      <c r="CS136" s="928"/>
      <c r="CT136" s="928"/>
      <c r="CU136" s="928"/>
      <c r="CV136" s="928"/>
      <c r="CW136" s="928"/>
      <c r="CX136" s="928"/>
      <c r="CY136" s="928"/>
      <c r="CZ136" s="928"/>
      <c r="DA136" s="928"/>
      <c r="DB136" s="928"/>
      <c r="DC136" s="928"/>
      <c r="DD136" s="928"/>
      <c r="DE136" s="928"/>
      <c r="DF136" s="928"/>
      <c r="DG136" s="928"/>
      <c r="DH136" s="928"/>
      <c r="DI136" s="928"/>
      <c r="DJ136" s="928"/>
      <c r="DK136" s="928"/>
      <c r="DL136" s="928"/>
      <c r="DM136" s="928"/>
      <c r="DN136" s="928"/>
      <c r="DO136" s="928"/>
      <c r="DP136" s="928"/>
      <c r="DQ136" s="928"/>
      <c r="DR136" s="928"/>
      <c r="DS136" s="928"/>
      <c r="DT136" s="928"/>
      <c r="DU136" s="928"/>
      <c r="DV136" s="928"/>
      <c r="DW136" s="928"/>
      <c r="DX136" s="928"/>
      <c r="DY136" s="928"/>
      <c r="DZ136" s="928"/>
      <c r="EA136" s="928"/>
      <c r="EB136" s="928"/>
      <c r="EC136" s="928"/>
      <c r="ED136" s="928"/>
      <c r="EE136" s="928"/>
      <c r="EF136" s="928"/>
      <c r="EG136" s="928"/>
      <c r="EH136" s="928"/>
      <c r="EI136" s="928"/>
      <c r="EJ136" s="928"/>
      <c r="EK136" s="928"/>
      <c r="EL136" s="928"/>
      <c r="EM136" s="928"/>
      <c r="EN136" s="928"/>
      <c r="EO136" s="928"/>
      <c r="EP136" s="928"/>
      <c r="EQ136" s="928"/>
      <c r="ER136" s="928"/>
      <c r="ES136" s="928"/>
      <c r="ET136" s="928"/>
      <c r="EU136" s="928"/>
      <c r="EV136" s="928"/>
      <c r="EW136" s="928"/>
      <c r="EX136" s="928"/>
      <c r="EY136" s="928"/>
      <c r="EZ136" s="928"/>
      <c r="FA136" s="928"/>
      <c r="FB136" s="928"/>
      <c r="FC136" s="928"/>
      <c r="FD136" s="928"/>
      <c r="FE136" s="928"/>
      <c r="FF136" s="928"/>
      <c r="FG136" s="928"/>
      <c r="FH136" s="928"/>
      <c r="FI136" s="928"/>
      <c r="FJ136" s="928"/>
      <c r="FK136" s="928"/>
      <c r="FL136" s="928"/>
      <c r="FM136" s="928"/>
      <c r="FN136" s="928"/>
      <c r="FO136" s="928"/>
      <c r="FP136" s="928"/>
      <c r="FQ136" s="928"/>
      <c r="FR136" s="928"/>
      <c r="FS136" s="928"/>
      <c r="FT136" s="928"/>
      <c r="FU136" s="928"/>
      <c r="FV136" s="928"/>
      <c r="FW136" s="928"/>
      <c r="FX136" s="928"/>
      <c r="FY136" s="928"/>
      <c r="FZ136" s="928"/>
      <c r="GA136" s="928"/>
      <c r="GB136" s="928"/>
      <c r="GC136" s="928"/>
      <c r="GD136" s="928"/>
      <c r="GE136" s="928"/>
      <c r="GF136" s="928"/>
      <c r="GG136" s="928"/>
      <c r="GH136" s="928"/>
      <c r="GI136" s="928"/>
      <c r="GJ136" s="928"/>
      <c r="GK136" s="928"/>
      <c r="GL136" s="928"/>
      <c r="GM136" s="928"/>
      <c r="GN136" s="928"/>
      <c r="GO136" s="928"/>
      <c r="GP136" s="928"/>
      <c r="GQ136" s="928"/>
      <c r="GR136" s="928"/>
      <c r="GS136" s="928"/>
      <c r="GT136" s="928"/>
      <c r="GU136" s="928"/>
      <c r="GV136" s="928"/>
      <c r="GW136" s="928"/>
      <c r="GX136" s="928"/>
      <c r="GY136" s="928"/>
      <c r="GZ136" s="928"/>
      <c r="HA136" s="928"/>
      <c r="HB136" s="928"/>
      <c r="HC136" s="928"/>
      <c r="HD136" s="928"/>
      <c r="HE136" s="928"/>
      <c r="HF136" s="928"/>
      <c r="HG136" s="928"/>
      <c r="HH136" s="928"/>
      <c r="HI136" s="928"/>
      <c r="HJ136" s="928"/>
      <c r="HK136" s="928"/>
      <c r="HL136" s="928"/>
      <c r="HM136" s="928"/>
      <c r="HN136" s="928"/>
      <c r="HO136" s="928"/>
      <c r="HP136" s="928"/>
      <c r="HQ136" s="928"/>
      <c r="HR136" s="928"/>
      <c r="HS136" s="928"/>
      <c r="HT136" s="928"/>
      <c r="HU136" s="928"/>
      <c r="HV136" s="928"/>
      <c r="HW136" s="928"/>
      <c r="HX136" s="928"/>
      <c r="HY136" s="928"/>
      <c r="HZ136" s="928"/>
      <c r="IA136" s="928"/>
      <c r="IB136" s="928"/>
      <c r="IC136" s="928"/>
      <c r="ID136" s="928"/>
      <c r="IE136" s="928"/>
      <c r="IF136" s="928"/>
      <c r="IG136" s="928"/>
      <c r="IH136" s="928"/>
      <c r="II136" s="928"/>
      <c r="IJ136" s="928"/>
      <c r="IK136" s="928"/>
      <c r="IL136" s="928"/>
      <c r="IM136" s="928"/>
      <c r="IN136" s="928"/>
      <c r="IO136" s="928"/>
      <c r="IP136" s="928"/>
      <c r="IQ136" s="928"/>
      <c r="IR136" s="928"/>
      <c r="IS136" s="928"/>
      <c r="IT136" s="928"/>
      <c r="IU136" s="928"/>
      <c r="IV136" s="928"/>
      <c r="IW136" s="928"/>
    </row>
    <row r="137" spans="1:257" s="951" customFormat="1" ht="70">
      <c r="A137" s="2479"/>
      <c r="B137" s="993" t="s">
        <v>2199</v>
      </c>
      <c r="C137" s="985">
        <v>4</v>
      </c>
      <c r="D137" s="985">
        <v>5</v>
      </c>
      <c r="E137" s="986" t="s">
        <v>1513</v>
      </c>
      <c r="F137" s="968" t="str">
        <f>IF(Scoring!I146="","",Scoring!I146)</f>
        <v/>
      </c>
      <c r="G137" s="987"/>
      <c r="H137" s="987"/>
      <c r="I137" s="988" t="s">
        <v>2649</v>
      </c>
      <c r="J137" s="969"/>
      <c r="K137" s="969"/>
      <c r="L137" s="989"/>
      <c r="M137" s="990"/>
      <c r="N137" s="928"/>
      <c r="O137" s="953"/>
      <c r="P137" s="957"/>
      <c r="Q137" s="928"/>
      <c r="R137" s="928"/>
      <c r="S137" s="928"/>
      <c r="T137" s="928"/>
      <c r="U137" s="928"/>
      <c r="V137" s="928"/>
      <c r="W137" s="928"/>
      <c r="X137" s="928"/>
      <c r="Y137" s="928"/>
      <c r="Z137" s="928"/>
      <c r="AA137" s="928"/>
      <c r="AB137" s="928"/>
      <c r="AC137" s="928"/>
      <c r="AD137" s="928"/>
      <c r="AE137" s="928"/>
      <c r="AF137" s="928"/>
      <c r="AG137" s="928"/>
      <c r="AH137" s="928"/>
      <c r="AI137" s="928"/>
      <c r="AJ137" s="928"/>
      <c r="AK137" s="928"/>
      <c r="AL137" s="928"/>
      <c r="AM137" s="928"/>
      <c r="AN137" s="928"/>
      <c r="AO137" s="928"/>
      <c r="AP137" s="928"/>
      <c r="AQ137" s="928"/>
      <c r="AR137" s="928"/>
      <c r="AS137" s="928"/>
      <c r="AT137" s="928"/>
      <c r="AU137" s="928"/>
      <c r="AV137" s="928"/>
      <c r="AW137" s="928"/>
      <c r="AX137" s="928"/>
      <c r="AY137" s="928"/>
      <c r="AZ137" s="928"/>
      <c r="BA137" s="928"/>
      <c r="BB137" s="928"/>
      <c r="BC137" s="928"/>
      <c r="BD137" s="928"/>
      <c r="BE137" s="928"/>
      <c r="BF137" s="928"/>
      <c r="BG137" s="928"/>
      <c r="BH137" s="928"/>
      <c r="BI137" s="928"/>
      <c r="BJ137" s="928"/>
      <c r="BK137" s="928"/>
      <c r="BL137" s="928"/>
      <c r="BM137" s="928"/>
      <c r="BN137" s="928"/>
      <c r="BO137" s="928"/>
      <c r="BP137" s="928"/>
      <c r="BQ137" s="928"/>
      <c r="BR137" s="928"/>
      <c r="BS137" s="928"/>
      <c r="BT137" s="928"/>
      <c r="BU137" s="928"/>
      <c r="BV137" s="928"/>
      <c r="BW137" s="928"/>
      <c r="BX137" s="928"/>
      <c r="BY137" s="928"/>
      <c r="BZ137" s="928"/>
      <c r="CA137" s="928"/>
      <c r="CB137" s="928"/>
      <c r="CC137" s="928"/>
      <c r="CD137" s="928"/>
      <c r="CE137" s="928"/>
      <c r="CF137" s="928"/>
      <c r="CG137" s="928"/>
      <c r="CH137" s="928"/>
      <c r="CI137" s="928"/>
      <c r="CJ137" s="928"/>
      <c r="CK137" s="928"/>
      <c r="CL137" s="928"/>
      <c r="CM137" s="928"/>
      <c r="CN137" s="928"/>
      <c r="CO137" s="928"/>
      <c r="CP137" s="928"/>
      <c r="CQ137" s="928"/>
      <c r="CR137" s="928"/>
      <c r="CS137" s="928"/>
      <c r="CT137" s="928"/>
      <c r="CU137" s="928"/>
      <c r="CV137" s="928"/>
      <c r="CW137" s="928"/>
      <c r="CX137" s="928"/>
      <c r="CY137" s="928"/>
      <c r="CZ137" s="928"/>
      <c r="DA137" s="928"/>
      <c r="DB137" s="928"/>
      <c r="DC137" s="928"/>
      <c r="DD137" s="928"/>
      <c r="DE137" s="928"/>
      <c r="DF137" s="928"/>
      <c r="DG137" s="928"/>
      <c r="DH137" s="928"/>
      <c r="DI137" s="928"/>
      <c r="DJ137" s="928"/>
      <c r="DK137" s="928"/>
      <c r="DL137" s="928"/>
      <c r="DM137" s="928"/>
      <c r="DN137" s="928"/>
      <c r="DO137" s="928"/>
      <c r="DP137" s="928"/>
      <c r="DQ137" s="928"/>
      <c r="DR137" s="928"/>
      <c r="DS137" s="928"/>
      <c r="DT137" s="928"/>
      <c r="DU137" s="928"/>
      <c r="DV137" s="928"/>
      <c r="DW137" s="928"/>
      <c r="DX137" s="928"/>
      <c r="DY137" s="928"/>
      <c r="DZ137" s="928"/>
      <c r="EA137" s="928"/>
      <c r="EB137" s="928"/>
      <c r="EC137" s="928"/>
      <c r="ED137" s="928"/>
      <c r="EE137" s="928"/>
      <c r="EF137" s="928"/>
      <c r="EG137" s="928"/>
      <c r="EH137" s="928"/>
      <c r="EI137" s="928"/>
      <c r="EJ137" s="928"/>
      <c r="EK137" s="928"/>
      <c r="EL137" s="928"/>
      <c r="EM137" s="928"/>
      <c r="EN137" s="928"/>
      <c r="EO137" s="928"/>
      <c r="EP137" s="928"/>
      <c r="EQ137" s="928"/>
      <c r="ER137" s="928"/>
      <c r="ES137" s="928"/>
      <c r="ET137" s="928"/>
      <c r="EU137" s="928"/>
      <c r="EV137" s="928"/>
      <c r="EW137" s="928"/>
      <c r="EX137" s="928"/>
      <c r="EY137" s="928"/>
      <c r="EZ137" s="928"/>
      <c r="FA137" s="928"/>
      <c r="FB137" s="928"/>
      <c r="FC137" s="928"/>
      <c r="FD137" s="928"/>
      <c r="FE137" s="928"/>
      <c r="FF137" s="928"/>
      <c r="FG137" s="928"/>
      <c r="FH137" s="928"/>
      <c r="FI137" s="928"/>
      <c r="FJ137" s="928"/>
      <c r="FK137" s="928"/>
      <c r="FL137" s="928"/>
      <c r="FM137" s="928"/>
      <c r="FN137" s="928"/>
      <c r="FO137" s="928"/>
      <c r="FP137" s="928"/>
      <c r="FQ137" s="928"/>
      <c r="FR137" s="928"/>
      <c r="FS137" s="928"/>
      <c r="FT137" s="928"/>
      <c r="FU137" s="928"/>
      <c r="FV137" s="928"/>
      <c r="FW137" s="928"/>
      <c r="FX137" s="928"/>
      <c r="FY137" s="928"/>
      <c r="FZ137" s="928"/>
      <c r="GA137" s="928"/>
      <c r="GB137" s="928"/>
      <c r="GC137" s="928"/>
      <c r="GD137" s="928"/>
      <c r="GE137" s="928"/>
      <c r="GF137" s="928"/>
      <c r="GG137" s="928"/>
      <c r="GH137" s="928"/>
      <c r="GI137" s="928"/>
      <c r="GJ137" s="928"/>
      <c r="GK137" s="928"/>
      <c r="GL137" s="928"/>
      <c r="GM137" s="928"/>
      <c r="GN137" s="928"/>
      <c r="GO137" s="928"/>
      <c r="GP137" s="928"/>
      <c r="GQ137" s="928"/>
      <c r="GR137" s="928"/>
      <c r="GS137" s="928"/>
      <c r="GT137" s="928"/>
      <c r="GU137" s="928"/>
      <c r="GV137" s="928"/>
      <c r="GW137" s="928"/>
      <c r="GX137" s="928"/>
      <c r="GY137" s="928"/>
      <c r="GZ137" s="928"/>
      <c r="HA137" s="928"/>
      <c r="HB137" s="928"/>
      <c r="HC137" s="928"/>
      <c r="HD137" s="928"/>
      <c r="HE137" s="928"/>
      <c r="HF137" s="928"/>
      <c r="HG137" s="928"/>
      <c r="HH137" s="928"/>
      <c r="HI137" s="928"/>
      <c r="HJ137" s="928"/>
      <c r="HK137" s="928"/>
      <c r="HL137" s="928"/>
      <c r="HM137" s="928"/>
      <c r="HN137" s="928"/>
      <c r="HO137" s="928"/>
      <c r="HP137" s="928"/>
      <c r="HQ137" s="928"/>
      <c r="HR137" s="928"/>
      <c r="HS137" s="928"/>
      <c r="HT137" s="928"/>
      <c r="HU137" s="928"/>
      <c r="HV137" s="928"/>
      <c r="HW137" s="928"/>
      <c r="HX137" s="928"/>
      <c r="HY137" s="928"/>
      <c r="HZ137" s="928"/>
      <c r="IA137" s="928"/>
      <c r="IB137" s="928"/>
      <c r="IC137" s="928"/>
      <c r="ID137" s="928"/>
      <c r="IE137" s="928"/>
      <c r="IF137" s="928"/>
      <c r="IG137" s="928"/>
      <c r="IH137" s="928"/>
      <c r="II137" s="928"/>
      <c r="IJ137" s="928"/>
      <c r="IK137" s="928"/>
      <c r="IL137" s="928"/>
      <c r="IM137" s="928"/>
      <c r="IN137" s="928"/>
      <c r="IO137" s="928"/>
      <c r="IP137" s="928"/>
      <c r="IQ137" s="928"/>
      <c r="IR137" s="928"/>
      <c r="IS137" s="928"/>
      <c r="IT137" s="928"/>
      <c r="IU137" s="928"/>
      <c r="IV137" s="928"/>
      <c r="IW137" s="928"/>
    </row>
    <row r="138" spans="1:257" s="951" customFormat="1" ht="43" thickBot="1">
      <c r="A138" s="2480"/>
      <c r="B138" s="996" t="s">
        <v>2201</v>
      </c>
      <c r="C138" s="997">
        <v>4</v>
      </c>
      <c r="D138" s="997">
        <v>5</v>
      </c>
      <c r="E138" s="998" t="s">
        <v>1515</v>
      </c>
      <c r="F138" s="973" t="str">
        <f>IF(Scoring!I147="","",Scoring!I147)</f>
        <v/>
      </c>
      <c r="G138" s="999"/>
      <c r="H138" s="999"/>
      <c r="I138" s="1000" t="s">
        <v>2648</v>
      </c>
      <c r="J138" s="974"/>
      <c r="K138" s="974">
        <f>COUNT(F134:F138)</f>
        <v>0</v>
      </c>
      <c r="L138" s="1207">
        <f>SUM(F134:F138)</f>
        <v>0</v>
      </c>
      <c r="M138" s="976">
        <f>IF(L138&lt;3,0,1)</f>
        <v>0</v>
      </c>
      <c r="N138" s="928"/>
      <c r="O138" s="942"/>
      <c r="P138" s="956">
        <f>COUNTA(F134:F138)</f>
        <v>5</v>
      </c>
      <c r="Q138" s="928"/>
      <c r="R138" s="928"/>
      <c r="S138" s="928"/>
      <c r="T138" s="928"/>
      <c r="U138" s="928"/>
      <c r="V138" s="928"/>
      <c r="W138" s="928"/>
      <c r="X138" s="928"/>
      <c r="Y138" s="928"/>
      <c r="Z138" s="928"/>
      <c r="AA138" s="928"/>
      <c r="AB138" s="928"/>
      <c r="AC138" s="928"/>
      <c r="AD138" s="928"/>
      <c r="AE138" s="928"/>
      <c r="AF138" s="928"/>
      <c r="AG138" s="928"/>
      <c r="AH138" s="928"/>
      <c r="AI138" s="928"/>
      <c r="AJ138" s="928"/>
      <c r="AK138" s="928"/>
      <c r="AL138" s="928"/>
      <c r="AM138" s="928"/>
      <c r="AN138" s="928"/>
      <c r="AO138" s="928"/>
      <c r="AP138" s="928"/>
      <c r="AQ138" s="928"/>
      <c r="AR138" s="928"/>
      <c r="AS138" s="928"/>
      <c r="AT138" s="928"/>
      <c r="AU138" s="928"/>
      <c r="AV138" s="928"/>
      <c r="AW138" s="928"/>
      <c r="AX138" s="928"/>
      <c r="AY138" s="928"/>
      <c r="AZ138" s="928"/>
      <c r="BA138" s="928"/>
      <c r="BB138" s="928"/>
      <c r="BC138" s="928"/>
      <c r="BD138" s="928"/>
      <c r="BE138" s="928"/>
      <c r="BF138" s="928"/>
      <c r="BG138" s="928"/>
      <c r="BH138" s="928"/>
      <c r="BI138" s="928"/>
      <c r="BJ138" s="928"/>
      <c r="BK138" s="928"/>
      <c r="BL138" s="928"/>
      <c r="BM138" s="928"/>
      <c r="BN138" s="928"/>
      <c r="BO138" s="928"/>
      <c r="BP138" s="928"/>
      <c r="BQ138" s="928"/>
      <c r="BR138" s="928"/>
      <c r="BS138" s="928"/>
      <c r="BT138" s="928"/>
      <c r="BU138" s="928"/>
      <c r="BV138" s="928"/>
      <c r="BW138" s="928"/>
      <c r="BX138" s="928"/>
      <c r="BY138" s="928"/>
      <c r="BZ138" s="928"/>
      <c r="CA138" s="928"/>
      <c r="CB138" s="928"/>
      <c r="CC138" s="928"/>
      <c r="CD138" s="928"/>
      <c r="CE138" s="928"/>
      <c r="CF138" s="928"/>
      <c r="CG138" s="928"/>
      <c r="CH138" s="928"/>
      <c r="CI138" s="928"/>
      <c r="CJ138" s="928"/>
      <c r="CK138" s="928"/>
      <c r="CL138" s="928"/>
      <c r="CM138" s="928"/>
      <c r="CN138" s="928"/>
      <c r="CO138" s="928"/>
      <c r="CP138" s="928"/>
      <c r="CQ138" s="928"/>
      <c r="CR138" s="928"/>
      <c r="CS138" s="928"/>
      <c r="CT138" s="928"/>
      <c r="CU138" s="928"/>
      <c r="CV138" s="928"/>
      <c r="CW138" s="928"/>
      <c r="CX138" s="928"/>
      <c r="CY138" s="928"/>
      <c r="CZ138" s="928"/>
      <c r="DA138" s="928"/>
      <c r="DB138" s="928"/>
      <c r="DC138" s="928"/>
      <c r="DD138" s="928"/>
      <c r="DE138" s="928"/>
      <c r="DF138" s="928"/>
      <c r="DG138" s="928"/>
      <c r="DH138" s="928"/>
      <c r="DI138" s="928"/>
      <c r="DJ138" s="928"/>
      <c r="DK138" s="928"/>
      <c r="DL138" s="928"/>
      <c r="DM138" s="928"/>
      <c r="DN138" s="928"/>
      <c r="DO138" s="928"/>
      <c r="DP138" s="928"/>
      <c r="DQ138" s="928"/>
      <c r="DR138" s="928"/>
      <c r="DS138" s="928"/>
      <c r="DT138" s="928"/>
      <c r="DU138" s="928"/>
      <c r="DV138" s="928"/>
      <c r="DW138" s="928"/>
      <c r="DX138" s="928"/>
      <c r="DY138" s="928"/>
      <c r="DZ138" s="928"/>
      <c r="EA138" s="928"/>
      <c r="EB138" s="928"/>
      <c r="EC138" s="928"/>
      <c r="ED138" s="928"/>
      <c r="EE138" s="928"/>
      <c r="EF138" s="928"/>
      <c r="EG138" s="928"/>
      <c r="EH138" s="928"/>
      <c r="EI138" s="928"/>
      <c r="EJ138" s="928"/>
      <c r="EK138" s="928"/>
      <c r="EL138" s="928"/>
      <c r="EM138" s="928"/>
      <c r="EN138" s="928"/>
      <c r="EO138" s="928"/>
      <c r="EP138" s="928"/>
      <c r="EQ138" s="928"/>
      <c r="ER138" s="928"/>
      <c r="ES138" s="928"/>
      <c r="ET138" s="928"/>
      <c r="EU138" s="928"/>
      <c r="EV138" s="928"/>
      <c r="EW138" s="928"/>
      <c r="EX138" s="928"/>
      <c r="EY138" s="928"/>
      <c r="EZ138" s="928"/>
      <c r="FA138" s="928"/>
      <c r="FB138" s="928"/>
      <c r="FC138" s="928"/>
      <c r="FD138" s="928"/>
      <c r="FE138" s="928"/>
      <c r="FF138" s="928"/>
      <c r="FG138" s="928"/>
      <c r="FH138" s="928"/>
      <c r="FI138" s="928"/>
      <c r="FJ138" s="928"/>
      <c r="FK138" s="928"/>
      <c r="FL138" s="928"/>
      <c r="FM138" s="928"/>
      <c r="FN138" s="928"/>
      <c r="FO138" s="928"/>
      <c r="FP138" s="928"/>
      <c r="FQ138" s="928"/>
      <c r="FR138" s="928"/>
      <c r="FS138" s="928"/>
      <c r="FT138" s="928"/>
      <c r="FU138" s="928"/>
      <c r="FV138" s="928"/>
      <c r="FW138" s="928"/>
      <c r="FX138" s="928"/>
      <c r="FY138" s="928"/>
      <c r="FZ138" s="928"/>
      <c r="GA138" s="928"/>
      <c r="GB138" s="928"/>
      <c r="GC138" s="928"/>
      <c r="GD138" s="928"/>
      <c r="GE138" s="928"/>
      <c r="GF138" s="928"/>
      <c r="GG138" s="928"/>
      <c r="GH138" s="928"/>
      <c r="GI138" s="928"/>
      <c r="GJ138" s="928"/>
      <c r="GK138" s="928"/>
      <c r="GL138" s="928"/>
      <c r="GM138" s="928"/>
      <c r="GN138" s="928"/>
      <c r="GO138" s="928"/>
      <c r="GP138" s="928"/>
      <c r="GQ138" s="928"/>
      <c r="GR138" s="928"/>
      <c r="GS138" s="928"/>
      <c r="GT138" s="928"/>
      <c r="GU138" s="928"/>
      <c r="GV138" s="928"/>
      <c r="GW138" s="928"/>
      <c r="GX138" s="928"/>
      <c r="GY138" s="928"/>
      <c r="GZ138" s="928"/>
      <c r="HA138" s="928"/>
      <c r="HB138" s="928"/>
      <c r="HC138" s="928"/>
      <c r="HD138" s="928"/>
      <c r="HE138" s="928"/>
      <c r="HF138" s="928"/>
      <c r="HG138" s="928"/>
      <c r="HH138" s="928"/>
      <c r="HI138" s="928"/>
      <c r="HJ138" s="928"/>
      <c r="HK138" s="928"/>
      <c r="HL138" s="928"/>
      <c r="HM138" s="928"/>
      <c r="HN138" s="928"/>
      <c r="HO138" s="928"/>
      <c r="HP138" s="928"/>
      <c r="HQ138" s="928"/>
      <c r="HR138" s="928"/>
      <c r="HS138" s="928"/>
      <c r="HT138" s="928"/>
      <c r="HU138" s="928"/>
      <c r="HV138" s="928"/>
      <c r="HW138" s="928"/>
      <c r="HX138" s="928"/>
      <c r="HY138" s="928"/>
      <c r="HZ138" s="928"/>
      <c r="IA138" s="928"/>
      <c r="IB138" s="928"/>
      <c r="IC138" s="928"/>
      <c r="ID138" s="928"/>
      <c r="IE138" s="928"/>
      <c r="IF138" s="928"/>
      <c r="IG138" s="928"/>
      <c r="IH138" s="928"/>
      <c r="II138" s="928"/>
      <c r="IJ138" s="928"/>
      <c r="IK138" s="928"/>
      <c r="IL138" s="928"/>
      <c r="IM138" s="928"/>
      <c r="IN138" s="928"/>
      <c r="IO138" s="928"/>
      <c r="IP138" s="928"/>
      <c r="IQ138" s="928"/>
      <c r="IR138" s="928"/>
      <c r="IS138" s="928"/>
      <c r="IT138" s="928"/>
      <c r="IU138" s="928"/>
      <c r="IV138" s="928"/>
      <c r="IW138" s="928"/>
    </row>
    <row r="139" spans="1:257" s="951" customFormat="1" ht="15" thickTop="1" thickBot="1">
      <c r="A139" s="928"/>
      <c r="B139" s="928"/>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928"/>
      <c r="AF139" s="928"/>
      <c r="AG139" s="928"/>
      <c r="AH139" s="928"/>
      <c r="AI139" s="928"/>
      <c r="AJ139" s="928"/>
      <c r="AK139" s="928"/>
      <c r="AL139" s="928"/>
      <c r="AM139" s="928"/>
      <c r="AN139" s="928"/>
      <c r="AO139" s="928"/>
      <c r="AP139" s="928"/>
      <c r="AQ139" s="928"/>
      <c r="AR139" s="928"/>
      <c r="AS139" s="928"/>
      <c r="AT139" s="928"/>
      <c r="AU139" s="928"/>
      <c r="AV139" s="928"/>
      <c r="AW139" s="928"/>
      <c r="AX139" s="928"/>
      <c r="AY139" s="928"/>
      <c r="AZ139" s="928"/>
      <c r="BA139" s="928"/>
      <c r="BB139" s="928"/>
      <c r="BC139" s="928"/>
      <c r="BD139" s="928"/>
      <c r="BE139" s="928"/>
      <c r="BF139" s="928"/>
      <c r="BG139" s="928"/>
      <c r="BH139" s="928"/>
      <c r="BI139" s="928"/>
      <c r="BJ139" s="928"/>
      <c r="BK139" s="928"/>
      <c r="BL139" s="928"/>
      <c r="BM139" s="928"/>
      <c r="BN139" s="928"/>
      <c r="BO139" s="928"/>
      <c r="BP139" s="928"/>
      <c r="BQ139" s="928"/>
      <c r="BR139" s="928"/>
      <c r="BS139" s="928"/>
      <c r="BT139" s="928"/>
      <c r="BU139" s="928"/>
      <c r="BV139" s="928"/>
      <c r="BW139" s="928"/>
      <c r="BX139" s="928"/>
      <c r="BY139" s="928"/>
      <c r="BZ139" s="928"/>
      <c r="CA139" s="928"/>
      <c r="CB139" s="928"/>
      <c r="CC139" s="928"/>
      <c r="CD139" s="928"/>
      <c r="CE139" s="928"/>
      <c r="CF139" s="928"/>
      <c r="CG139" s="928"/>
      <c r="CH139" s="928"/>
      <c r="CI139" s="928"/>
      <c r="CJ139" s="928"/>
      <c r="CK139" s="928"/>
      <c r="CL139" s="928"/>
      <c r="CM139" s="928"/>
      <c r="CN139" s="928"/>
      <c r="CO139" s="928"/>
      <c r="CP139" s="928"/>
      <c r="CQ139" s="928"/>
      <c r="CR139" s="928"/>
      <c r="CS139" s="928"/>
      <c r="CT139" s="928"/>
      <c r="CU139" s="928"/>
      <c r="CV139" s="928"/>
      <c r="CW139" s="928"/>
      <c r="CX139" s="928"/>
      <c r="CY139" s="928"/>
      <c r="CZ139" s="928"/>
      <c r="DA139" s="928"/>
      <c r="DB139" s="928"/>
      <c r="DC139" s="928"/>
      <c r="DD139" s="928"/>
      <c r="DE139" s="928"/>
      <c r="DF139" s="928"/>
      <c r="DG139" s="928"/>
      <c r="DH139" s="928"/>
      <c r="DI139" s="928"/>
      <c r="DJ139" s="928"/>
      <c r="DK139" s="928"/>
      <c r="DL139" s="928"/>
      <c r="DM139" s="928"/>
      <c r="DN139" s="928"/>
      <c r="DO139" s="928"/>
      <c r="DP139" s="928"/>
      <c r="DQ139" s="928"/>
      <c r="DR139" s="928"/>
      <c r="DS139" s="928"/>
      <c r="DT139" s="928"/>
      <c r="DU139" s="928"/>
      <c r="DV139" s="928"/>
      <c r="DW139" s="928"/>
      <c r="DX139" s="928"/>
      <c r="DY139" s="928"/>
      <c r="DZ139" s="928"/>
      <c r="EA139" s="928"/>
      <c r="EB139" s="928"/>
      <c r="EC139" s="928"/>
      <c r="ED139" s="928"/>
      <c r="EE139" s="928"/>
      <c r="EF139" s="928"/>
      <c r="EG139" s="928"/>
      <c r="EH139" s="928"/>
      <c r="EI139" s="928"/>
      <c r="EJ139" s="928"/>
      <c r="EK139" s="928"/>
      <c r="EL139" s="928"/>
      <c r="EM139" s="928"/>
      <c r="EN139" s="928"/>
      <c r="EO139" s="928"/>
      <c r="EP139" s="928"/>
      <c r="EQ139" s="928"/>
      <c r="ER139" s="928"/>
      <c r="ES139" s="928"/>
      <c r="ET139" s="928"/>
      <c r="EU139" s="928"/>
      <c r="EV139" s="928"/>
      <c r="EW139" s="928"/>
      <c r="EX139" s="928"/>
      <c r="EY139" s="928"/>
      <c r="EZ139" s="928"/>
      <c r="FA139" s="928"/>
      <c r="FB139" s="928"/>
      <c r="FC139" s="928"/>
      <c r="FD139" s="928"/>
      <c r="FE139" s="928"/>
      <c r="FF139" s="928"/>
      <c r="FG139" s="928"/>
      <c r="FH139" s="928"/>
      <c r="FI139" s="928"/>
      <c r="FJ139" s="928"/>
      <c r="FK139" s="928"/>
      <c r="FL139" s="928"/>
      <c r="FM139" s="928"/>
      <c r="FN139" s="928"/>
      <c r="FO139" s="928"/>
      <c r="FP139" s="928"/>
      <c r="FQ139" s="928"/>
      <c r="FR139" s="928"/>
      <c r="FS139" s="928"/>
      <c r="FT139" s="928"/>
      <c r="FU139" s="928"/>
      <c r="FV139" s="928"/>
      <c r="FW139" s="928"/>
      <c r="FX139" s="928"/>
      <c r="FY139" s="928"/>
      <c r="FZ139" s="928"/>
      <c r="GA139" s="928"/>
      <c r="GB139" s="928"/>
      <c r="GC139" s="928"/>
      <c r="GD139" s="928"/>
      <c r="GE139" s="928"/>
      <c r="GF139" s="928"/>
      <c r="GG139" s="928"/>
      <c r="GH139" s="928"/>
      <c r="GI139" s="928"/>
      <c r="GJ139" s="928"/>
      <c r="GK139" s="928"/>
      <c r="GL139" s="928"/>
      <c r="GM139" s="928"/>
      <c r="GN139" s="928"/>
      <c r="GO139" s="928"/>
      <c r="GP139" s="928"/>
      <c r="GQ139" s="928"/>
      <c r="GR139" s="928"/>
      <c r="GS139" s="928"/>
      <c r="GT139" s="928"/>
      <c r="GU139" s="928"/>
      <c r="GV139" s="928"/>
      <c r="GW139" s="928"/>
      <c r="GX139" s="928"/>
      <c r="GY139" s="928"/>
      <c r="GZ139" s="928"/>
      <c r="HA139" s="928"/>
      <c r="HB139" s="928"/>
      <c r="HC139" s="928"/>
      <c r="HD139" s="928"/>
      <c r="HE139" s="928"/>
      <c r="HF139" s="928"/>
      <c r="HG139" s="928"/>
      <c r="HH139" s="928"/>
      <c r="HI139" s="928"/>
      <c r="HJ139" s="928"/>
      <c r="HK139" s="928"/>
      <c r="HL139" s="928"/>
      <c r="HM139" s="928"/>
      <c r="HN139" s="928"/>
      <c r="HO139" s="928"/>
      <c r="HP139" s="928"/>
      <c r="HQ139" s="928"/>
      <c r="HR139" s="928"/>
      <c r="HS139" s="928"/>
      <c r="HT139" s="928"/>
      <c r="HU139" s="928"/>
      <c r="HV139" s="928"/>
      <c r="HW139" s="928"/>
      <c r="HX139" s="928"/>
      <c r="HY139" s="928"/>
      <c r="HZ139" s="928"/>
      <c r="IA139" s="928"/>
      <c r="IB139" s="928"/>
      <c r="IC139" s="928"/>
      <c r="ID139" s="928"/>
      <c r="IE139" s="928"/>
      <c r="IF139" s="928"/>
      <c r="IG139" s="928"/>
      <c r="IH139" s="928"/>
      <c r="II139" s="928"/>
      <c r="IJ139" s="928"/>
      <c r="IK139" s="928"/>
      <c r="IL139" s="928"/>
      <c r="IM139" s="928"/>
      <c r="IN139" s="928"/>
      <c r="IO139" s="928"/>
      <c r="IP139" s="928"/>
      <c r="IQ139" s="928"/>
      <c r="IR139" s="928"/>
      <c r="IS139" s="928"/>
      <c r="IT139" s="928"/>
      <c r="IU139" s="928"/>
      <c r="IV139" s="928"/>
      <c r="IW139" s="928"/>
    </row>
    <row r="140" spans="1:257" s="951" customFormat="1" ht="57" thickTop="1">
      <c r="A140" s="2477" t="s">
        <v>1183</v>
      </c>
      <c r="B140" s="1212" t="s">
        <v>2203</v>
      </c>
      <c r="C140" s="1199">
        <v>4</v>
      </c>
      <c r="D140" s="1199">
        <v>5</v>
      </c>
      <c r="E140" s="1200" t="s">
        <v>1517</v>
      </c>
      <c r="F140" s="1201" t="str">
        <f>IF(Scoring!I149="","",Scoring!I149)</f>
        <v/>
      </c>
      <c r="G140" s="1202"/>
      <c r="H140" s="1202"/>
      <c r="I140" s="1203" t="s">
        <v>2647</v>
      </c>
      <c r="J140" s="1208"/>
      <c r="K140" s="1208"/>
      <c r="L140" s="1204"/>
      <c r="M140" s="1205"/>
      <c r="N140" s="928"/>
      <c r="O140" s="949"/>
      <c r="P140" s="94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928"/>
      <c r="AL140" s="928"/>
      <c r="AM140" s="928"/>
      <c r="AN140" s="928"/>
      <c r="AO140" s="928"/>
      <c r="AP140" s="928"/>
      <c r="AQ140" s="928"/>
      <c r="AR140" s="928"/>
      <c r="AS140" s="928"/>
      <c r="AT140" s="928"/>
      <c r="AU140" s="928"/>
      <c r="AV140" s="928"/>
      <c r="AW140" s="928"/>
      <c r="AX140" s="928"/>
      <c r="AY140" s="928"/>
      <c r="AZ140" s="928"/>
      <c r="BA140" s="928"/>
      <c r="BB140" s="928"/>
      <c r="BC140" s="928"/>
      <c r="BD140" s="928"/>
      <c r="BE140" s="928"/>
      <c r="BF140" s="928"/>
      <c r="BG140" s="928"/>
      <c r="BH140" s="928"/>
      <c r="BI140" s="928"/>
      <c r="BJ140" s="928"/>
      <c r="BK140" s="928"/>
      <c r="BL140" s="928"/>
      <c r="BM140" s="928"/>
      <c r="BN140" s="928"/>
      <c r="BO140" s="928"/>
      <c r="BP140" s="928"/>
      <c r="BQ140" s="928"/>
      <c r="BR140" s="928"/>
      <c r="BS140" s="928"/>
      <c r="BT140" s="928"/>
      <c r="BU140" s="928"/>
      <c r="BV140" s="928"/>
      <c r="BW140" s="928"/>
      <c r="BX140" s="928"/>
      <c r="BY140" s="928"/>
      <c r="BZ140" s="928"/>
      <c r="CA140" s="928"/>
      <c r="CB140" s="928"/>
      <c r="CC140" s="928"/>
      <c r="CD140" s="928"/>
      <c r="CE140" s="928"/>
      <c r="CF140" s="928"/>
      <c r="CG140" s="928"/>
      <c r="CH140" s="928"/>
      <c r="CI140" s="928"/>
      <c r="CJ140" s="928"/>
      <c r="CK140" s="928"/>
      <c r="CL140" s="928"/>
      <c r="CM140" s="928"/>
      <c r="CN140" s="928"/>
      <c r="CO140" s="928"/>
      <c r="CP140" s="928"/>
      <c r="CQ140" s="928"/>
      <c r="CR140" s="928"/>
      <c r="CS140" s="928"/>
      <c r="CT140" s="928"/>
      <c r="CU140" s="928"/>
      <c r="CV140" s="928"/>
      <c r="CW140" s="928"/>
      <c r="CX140" s="928"/>
      <c r="CY140" s="928"/>
      <c r="CZ140" s="928"/>
      <c r="DA140" s="928"/>
      <c r="DB140" s="928"/>
      <c r="DC140" s="928"/>
      <c r="DD140" s="928"/>
      <c r="DE140" s="928"/>
      <c r="DF140" s="928"/>
      <c r="DG140" s="928"/>
      <c r="DH140" s="928"/>
      <c r="DI140" s="928"/>
      <c r="DJ140" s="928"/>
      <c r="DK140" s="928"/>
      <c r="DL140" s="928"/>
      <c r="DM140" s="928"/>
      <c r="DN140" s="928"/>
      <c r="DO140" s="928"/>
      <c r="DP140" s="928"/>
      <c r="DQ140" s="928"/>
      <c r="DR140" s="928"/>
      <c r="DS140" s="928"/>
      <c r="DT140" s="928"/>
      <c r="DU140" s="928"/>
      <c r="DV140" s="928"/>
      <c r="DW140" s="928"/>
      <c r="DX140" s="928"/>
      <c r="DY140" s="928"/>
      <c r="DZ140" s="928"/>
      <c r="EA140" s="928"/>
      <c r="EB140" s="928"/>
      <c r="EC140" s="928"/>
      <c r="ED140" s="928"/>
      <c r="EE140" s="928"/>
      <c r="EF140" s="928"/>
      <c r="EG140" s="928"/>
      <c r="EH140" s="928"/>
      <c r="EI140" s="928"/>
      <c r="EJ140" s="928"/>
      <c r="EK140" s="928"/>
      <c r="EL140" s="928"/>
      <c r="EM140" s="928"/>
      <c r="EN140" s="928"/>
      <c r="EO140" s="928"/>
      <c r="EP140" s="928"/>
      <c r="EQ140" s="928"/>
      <c r="ER140" s="928"/>
      <c r="ES140" s="928"/>
      <c r="ET140" s="928"/>
      <c r="EU140" s="928"/>
      <c r="EV140" s="928"/>
      <c r="EW140" s="928"/>
      <c r="EX140" s="928"/>
      <c r="EY140" s="928"/>
      <c r="EZ140" s="928"/>
      <c r="FA140" s="928"/>
      <c r="FB140" s="928"/>
      <c r="FC140" s="928"/>
      <c r="FD140" s="928"/>
      <c r="FE140" s="928"/>
      <c r="FF140" s="928"/>
      <c r="FG140" s="928"/>
      <c r="FH140" s="928"/>
      <c r="FI140" s="928"/>
      <c r="FJ140" s="928"/>
      <c r="FK140" s="928"/>
      <c r="FL140" s="928"/>
      <c r="FM140" s="928"/>
      <c r="FN140" s="928"/>
      <c r="FO140" s="928"/>
      <c r="FP140" s="928"/>
      <c r="FQ140" s="928"/>
      <c r="FR140" s="928"/>
      <c r="FS140" s="928"/>
      <c r="FT140" s="928"/>
      <c r="FU140" s="928"/>
      <c r="FV140" s="928"/>
      <c r="FW140" s="928"/>
      <c r="FX140" s="928"/>
      <c r="FY140" s="928"/>
      <c r="FZ140" s="928"/>
      <c r="GA140" s="928"/>
      <c r="GB140" s="928"/>
      <c r="GC140" s="928"/>
      <c r="GD140" s="928"/>
      <c r="GE140" s="928"/>
      <c r="GF140" s="928"/>
      <c r="GG140" s="928"/>
      <c r="GH140" s="928"/>
      <c r="GI140" s="928"/>
      <c r="GJ140" s="928"/>
      <c r="GK140" s="928"/>
      <c r="GL140" s="928"/>
      <c r="GM140" s="928"/>
      <c r="GN140" s="928"/>
      <c r="GO140" s="928"/>
      <c r="GP140" s="928"/>
      <c r="GQ140" s="928"/>
      <c r="GR140" s="928"/>
      <c r="GS140" s="928"/>
      <c r="GT140" s="928"/>
      <c r="GU140" s="928"/>
      <c r="GV140" s="928"/>
      <c r="GW140" s="928"/>
      <c r="GX140" s="928"/>
      <c r="GY140" s="928"/>
      <c r="GZ140" s="928"/>
      <c r="HA140" s="928"/>
      <c r="HB140" s="928"/>
      <c r="HC140" s="928"/>
      <c r="HD140" s="928"/>
      <c r="HE140" s="928"/>
      <c r="HF140" s="928"/>
      <c r="HG140" s="928"/>
      <c r="HH140" s="928"/>
      <c r="HI140" s="928"/>
      <c r="HJ140" s="928"/>
      <c r="HK140" s="928"/>
      <c r="HL140" s="928"/>
      <c r="HM140" s="928"/>
      <c r="HN140" s="928"/>
      <c r="HO140" s="928"/>
      <c r="HP140" s="928"/>
      <c r="HQ140" s="928"/>
      <c r="HR140" s="928"/>
      <c r="HS140" s="928"/>
      <c r="HT140" s="928"/>
      <c r="HU140" s="928"/>
      <c r="HV140" s="928"/>
      <c r="HW140" s="928"/>
      <c r="HX140" s="928"/>
      <c r="HY140" s="928"/>
      <c r="HZ140" s="928"/>
      <c r="IA140" s="928"/>
      <c r="IB140" s="928"/>
      <c r="IC140" s="928"/>
      <c r="ID140" s="928"/>
      <c r="IE140" s="928"/>
      <c r="IF140" s="928"/>
      <c r="IG140" s="928"/>
      <c r="IH140" s="928"/>
      <c r="II140" s="928"/>
      <c r="IJ140" s="928"/>
      <c r="IK140" s="928"/>
      <c r="IL140" s="928"/>
      <c r="IM140" s="928"/>
      <c r="IN140" s="928"/>
      <c r="IO140" s="928"/>
      <c r="IP140" s="928"/>
      <c r="IQ140" s="928"/>
      <c r="IR140" s="928"/>
      <c r="IS140" s="928"/>
      <c r="IT140" s="928"/>
      <c r="IU140" s="928"/>
      <c r="IV140" s="928"/>
      <c r="IW140" s="928"/>
    </row>
    <row r="141" spans="1:257" s="951" customFormat="1" ht="70">
      <c r="A141" s="2478"/>
      <c r="B141" s="993" t="s">
        <v>2205</v>
      </c>
      <c r="C141" s="985">
        <v>5</v>
      </c>
      <c r="D141" s="985">
        <v>6</v>
      </c>
      <c r="E141" s="986" t="s">
        <v>1519</v>
      </c>
      <c r="F141" s="968" t="str">
        <f>IF(Scoring!I150="","",Scoring!I150)</f>
        <v/>
      </c>
      <c r="G141" s="987"/>
      <c r="H141" s="987"/>
      <c r="I141" s="988" t="s">
        <v>2646</v>
      </c>
      <c r="J141" s="969"/>
      <c r="K141" s="969"/>
      <c r="L141" s="989"/>
      <c r="M141" s="990"/>
      <c r="N141" s="928"/>
      <c r="O141" s="945"/>
      <c r="P141" s="955"/>
      <c r="Q141" s="928"/>
      <c r="R141" s="928"/>
      <c r="S141" s="928"/>
      <c r="T141" s="928"/>
      <c r="U141" s="928"/>
      <c r="V141" s="928"/>
      <c r="W141" s="928"/>
      <c r="X141" s="928"/>
      <c r="Y141" s="928"/>
      <c r="Z141" s="928"/>
      <c r="AA141" s="928"/>
      <c r="AB141" s="928"/>
      <c r="AC141" s="928"/>
      <c r="AD141" s="928"/>
      <c r="AE141" s="928"/>
      <c r="AF141" s="928"/>
      <c r="AG141" s="928"/>
      <c r="AH141" s="928"/>
      <c r="AI141" s="928"/>
      <c r="AJ141" s="928"/>
      <c r="AK141" s="928"/>
      <c r="AL141" s="928"/>
      <c r="AM141" s="928"/>
      <c r="AN141" s="928"/>
      <c r="AO141" s="928"/>
      <c r="AP141" s="928"/>
      <c r="AQ141" s="928"/>
      <c r="AR141" s="928"/>
      <c r="AS141" s="928"/>
      <c r="AT141" s="928"/>
      <c r="AU141" s="928"/>
      <c r="AV141" s="928"/>
      <c r="AW141" s="928"/>
      <c r="AX141" s="928"/>
      <c r="AY141" s="928"/>
      <c r="AZ141" s="928"/>
      <c r="BA141" s="928"/>
      <c r="BB141" s="928"/>
      <c r="BC141" s="928"/>
      <c r="BD141" s="928"/>
      <c r="BE141" s="928"/>
      <c r="BF141" s="928"/>
      <c r="BG141" s="928"/>
      <c r="BH141" s="928"/>
      <c r="BI141" s="928"/>
      <c r="BJ141" s="928"/>
      <c r="BK141" s="928"/>
      <c r="BL141" s="928"/>
      <c r="BM141" s="928"/>
      <c r="BN141" s="928"/>
      <c r="BO141" s="928"/>
      <c r="BP141" s="928"/>
      <c r="BQ141" s="928"/>
      <c r="BR141" s="928"/>
      <c r="BS141" s="928"/>
      <c r="BT141" s="928"/>
      <c r="BU141" s="928"/>
      <c r="BV141" s="928"/>
      <c r="BW141" s="928"/>
      <c r="BX141" s="928"/>
      <c r="BY141" s="928"/>
      <c r="BZ141" s="928"/>
      <c r="CA141" s="928"/>
      <c r="CB141" s="928"/>
      <c r="CC141" s="928"/>
      <c r="CD141" s="928"/>
      <c r="CE141" s="928"/>
      <c r="CF141" s="928"/>
      <c r="CG141" s="928"/>
      <c r="CH141" s="928"/>
      <c r="CI141" s="928"/>
      <c r="CJ141" s="928"/>
      <c r="CK141" s="928"/>
      <c r="CL141" s="928"/>
      <c r="CM141" s="928"/>
      <c r="CN141" s="928"/>
      <c r="CO141" s="928"/>
      <c r="CP141" s="928"/>
      <c r="CQ141" s="928"/>
      <c r="CR141" s="928"/>
      <c r="CS141" s="928"/>
      <c r="CT141" s="928"/>
      <c r="CU141" s="928"/>
      <c r="CV141" s="928"/>
      <c r="CW141" s="928"/>
      <c r="CX141" s="928"/>
      <c r="CY141" s="928"/>
      <c r="CZ141" s="928"/>
      <c r="DA141" s="928"/>
      <c r="DB141" s="928"/>
      <c r="DC141" s="928"/>
      <c r="DD141" s="928"/>
      <c r="DE141" s="928"/>
      <c r="DF141" s="928"/>
      <c r="DG141" s="928"/>
      <c r="DH141" s="928"/>
      <c r="DI141" s="928"/>
      <c r="DJ141" s="928"/>
      <c r="DK141" s="928"/>
      <c r="DL141" s="928"/>
      <c r="DM141" s="928"/>
      <c r="DN141" s="928"/>
      <c r="DO141" s="928"/>
      <c r="DP141" s="928"/>
      <c r="DQ141" s="928"/>
      <c r="DR141" s="928"/>
      <c r="DS141" s="928"/>
      <c r="DT141" s="928"/>
      <c r="DU141" s="928"/>
      <c r="DV141" s="928"/>
      <c r="DW141" s="928"/>
      <c r="DX141" s="928"/>
      <c r="DY141" s="928"/>
      <c r="DZ141" s="928"/>
      <c r="EA141" s="928"/>
      <c r="EB141" s="928"/>
      <c r="EC141" s="928"/>
      <c r="ED141" s="928"/>
      <c r="EE141" s="928"/>
      <c r="EF141" s="928"/>
      <c r="EG141" s="928"/>
      <c r="EH141" s="928"/>
      <c r="EI141" s="928"/>
      <c r="EJ141" s="928"/>
      <c r="EK141" s="928"/>
      <c r="EL141" s="928"/>
      <c r="EM141" s="928"/>
      <c r="EN141" s="928"/>
      <c r="EO141" s="928"/>
      <c r="EP141" s="928"/>
      <c r="EQ141" s="928"/>
      <c r="ER141" s="928"/>
      <c r="ES141" s="928"/>
      <c r="ET141" s="928"/>
      <c r="EU141" s="928"/>
      <c r="EV141" s="928"/>
      <c r="EW141" s="928"/>
      <c r="EX141" s="928"/>
      <c r="EY141" s="928"/>
      <c r="EZ141" s="928"/>
      <c r="FA141" s="928"/>
      <c r="FB141" s="928"/>
      <c r="FC141" s="928"/>
      <c r="FD141" s="928"/>
      <c r="FE141" s="928"/>
      <c r="FF141" s="928"/>
      <c r="FG141" s="928"/>
      <c r="FH141" s="928"/>
      <c r="FI141" s="928"/>
      <c r="FJ141" s="928"/>
      <c r="FK141" s="928"/>
      <c r="FL141" s="928"/>
      <c r="FM141" s="928"/>
      <c r="FN141" s="928"/>
      <c r="FO141" s="928"/>
      <c r="FP141" s="928"/>
      <c r="FQ141" s="928"/>
      <c r="FR141" s="928"/>
      <c r="FS141" s="928"/>
      <c r="FT141" s="928"/>
      <c r="FU141" s="928"/>
      <c r="FV141" s="928"/>
      <c r="FW141" s="928"/>
      <c r="FX141" s="928"/>
      <c r="FY141" s="928"/>
      <c r="FZ141" s="928"/>
      <c r="GA141" s="928"/>
      <c r="GB141" s="928"/>
      <c r="GC141" s="928"/>
      <c r="GD141" s="928"/>
      <c r="GE141" s="928"/>
      <c r="GF141" s="928"/>
      <c r="GG141" s="928"/>
      <c r="GH141" s="928"/>
      <c r="GI141" s="928"/>
      <c r="GJ141" s="928"/>
      <c r="GK141" s="928"/>
      <c r="GL141" s="928"/>
      <c r="GM141" s="928"/>
      <c r="GN141" s="928"/>
      <c r="GO141" s="928"/>
      <c r="GP141" s="928"/>
      <c r="GQ141" s="928"/>
      <c r="GR141" s="928"/>
      <c r="GS141" s="928"/>
      <c r="GT141" s="928"/>
      <c r="GU141" s="928"/>
      <c r="GV141" s="928"/>
      <c r="GW141" s="928"/>
      <c r="GX141" s="928"/>
      <c r="GY141" s="928"/>
      <c r="GZ141" s="928"/>
      <c r="HA141" s="928"/>
      <c r="HB141" s="928"/>
      <c r="HC141" s="928"/>
      <c r="HD141" s="928"/>
      <c r="HE141" s="928"/>
      <c r="HF141" s="928"/>
      <c r="HG141" s="928"/>
      <c r="HH141" s="928"/>
      <c r="HI141" s="928"/>
      <c r="HJ141" s="928"/>
      <c r="HK141" s="928"/>
      <c r="HL141" s="928"/>
      <c r="HM141" s="928"/>
      <c r="HN141" s="928"/>
      <c r="HO141" s="928"/>
      <c r="HP141" s="928"/>
      <c r="HQ141" s="928"/>
      <c r="HR141" s="928"/>
      <c r="HS141" s="928"/>
      <c r="HT141" s="928"/>
      <c r="HU141" s="928"/>
      <c r="HV141" s="928"/>
      <c r="HW141" s="928"/>
      <c r="HX141" s="928"/>
      <c r="HY141" s="928"/>
      <c r="HZ141" s="928"/>
      <c r="IA141" s="928"/>
      <c r="IB141" s="928"/>
      <c r="IC141" s="928"/>
      <c r="ID141" s="928"/>
      <c r="IE141" s="928"/>
      <c r="IF141" s="928"/>
      <c r="IG141" s="928"/>
      <c r="IH141" s="928"/>
      <c r="II141" s="928"/>
      <c r="IJ141" s="928"/>
      <c r="IK141" s="928"/>
      <c r="IL141" s="928"/>
      <c r="IM141" s="928"/>
      <c r="IN141" s="928"/>
      <c r="IO141" s="928"/>
      <c r="IP141" s="928"/>
      <c r="IQ141" s="928"/>
      <c r="IR141" s="928"/>
      <c r="IS141" s="928"/>
      <c r="IT141" s="928"/>
      <c r="IU141" s="928"/>
      <c r="IV141" s="928"/>
      <c r="IW141" s="928"/>
    </row>
    <row r="142" spans="1:257" s="951" customFormat="1" ht="70">
      <c r="A142" s="2478"/>
      <c r="B142" s="993" t="s">
        <v>2207</v>
      </c>
      <c r="C142" s="985">
        <v>5</v>
      </c>
      <c r="D142" s="985">
        <v>5</v>
      </c>
      <c r="E142" s="986" t="s">
        <v>1521</v>
      </c>
      <c r="F142" s="968" t="str">
        <f>IF(Scoring!I151="","",Scoring!I151)</f>
        <v/>
      </c>
      <c r="G142" s="987"/>
      <c r="H142" s="987"/>
      <c r="I142" s="988" t="s">
        <v>2208</v>
      </c>
      <c r="J142" s="969"/>
      <c r="K142" s="969"/>
      <c r="L142" s="989"/>
      <c r="M142" s="990"/>
      <c r="N142" s="928"/>
      <c r="O142" s="945"/>
      <c r="P142" s="955"/>
      <c r="Q142" s="928"/>
      <c r="R142" s="928"/>
      <c r="S142" s="928"/>
      <c r="T142" s="928"/>
      <c r="U142" s="928"/>
      <c r="V142" s="928"/>
      <c r="W142" s="928"/>
      <c r="X142" s="928"/>
      <c r="Y142" s="928"/>
      <c r="Z142" s="928"/>
      <c r="AA142" s="928"/>
      <c r="AB142" s="928"/>
      <c r="AC142" s="928"/>
      <c r="AD142" s="928"/>
      <c r="AE142" s="928"/>
      <c r="AF142" s="928"/>
      <c r="AG142" s="928"/>
      <c r="AH142" s="928"/>
      <c r="AI142" s="928"/>
      <c r="AJ142" s="928"/>
      <c r="AK142" s="928"/>
      <c r="AL142" s="928"/>
      <c r="AM142" s="928"/>
      <c r="AN142" s="928"/>
      <c r="AO142" s="928"/>
      <c r="AP142" s="928"/>
      <c r="AQ142" s="928"/>
      <c r="AR142" s="928"/>
      <c r="AS142" s="928"/>
      <c r="AT142" s="928"/>
      <c r="AU142" s="928"/>
      <c r="AV142" s="928"/>
      <c r="AW142" s="928"/>
      <c r="AX142" s="928"/>
      <c r="AY142" s="928"/>
      <c r="AZ142" s="928"/>
      <c r="BA142" s="928"/>
      <c r="BB142" s="928"/>
      <c r="BC142" s="928"/>
      <c r="BD142" s="928"/>
      <c r="BE142" s="928"/>
      <c r="BF142" s="928"/>
      <c r="BG142" s="928"/>
      <c r="BH142" s="928"/>
      <c r="BI142" s="928"/>
      <c r="BJ142" s="928"/>
      <c r="BK142" s="928"/>
      <c r="BL142" s="928"/>
      <c r="BM142" s="928"/>
      <c r="BN142" s="928"/>
      <c r="BO142" s="928"/>
      <c r="BP142" s="928"/>
      <c r="BQ142" s="928"/>
      <c r="BR142" s="928"/>
      <c r="BS142" s="928"/>
      <c r="BT142" s="928"/>
      <c r="BU142" s="928"/>
      <c r="BV142" s="928"/>
      <c r="BW142" s="928"/>
      <c r="BX142" s="928"/>
      <c r="BY142" s="928"/>
      <c r="BZ142" s="928"/>
      <c r="CA142" s="928"/>
      <c r="CB142" s="928"/>
      <c r="CC142" s="928"/>
      <c r="CD142" s="928"/>
      <c r="CE142" s="928"/>
      <c r="CF142" s="928"/>
      <c r="CG142" s="928"/>
      <c r="CH142" s="928"/>
      <c r="CI142" s="928"/>
      <c r="CJ142" s="928"/>
      <c r="CK142" s="928"/>
      <c r="CL142" s="928"/>
      <c r="CM142" s="928"/>
      <c r="CN142" s="928"/>
      <c r="CO142" s="928"/>
      <c r="CP142" s="928"/>
      <c r="CQ142" s="928"/>
      <c r="CR142" s="928"/>
      <c r="CS142" s="928"/>
      <c r="CT142" s="928"/>
      <c r="CU142" s="928"/>
      <c r="CV142" s="928"/>
      <c r="CW142" s="928"/>
      <c r="CX142" s="928"/>
      <c r="CY142" s="928"/>
      <c r="CZ142" s="928"/>
      <c r="DA142" s="928"/>
      <c r="DB142" s="928"/>
      <c r="DC142" s="928"/>
      <c r="DD142" s="928"/>
      <c r="DE142" s="928"/>
      <c r="DF142" s="928"/>
      <c r="DG142" s="928"/>
      <c r="DH142" s="928"/>
      <c r="DI142" s="928"/>
      <c r="DJ142" s="928"/>
      <c r="DK142" s="928"/>
      <c r="DL142" s="928"/>
      <c r="DM142" s="928"/>
      <c r="DN142" s="928"/>
      <c r="DO142" s="928"/>
      <c r="DP142" s="928"/>
      <c r="DQ142" s="928"/>
      <c r="DR142" s="928"/>
      <c r="DS142" s="928"/>
      <c r="DT142" s="928"/>
      <c r="DU142" s="928"/>
      <c r="DV142" s="928"/>
      <c r="DW142" s="928"/>
      <c r="DX142" s="928"/>
      <c r="DY142" s="928"/>
      <c r="DZ142" s="928"/>
      <c r="EA142" s="928"/>
      <c r="EB142" s="928"/>
      <c r="EC142" s="928"/>
      <c r="ED142" s="928"/>
      <c r="EE142" s="928"/>
      <c r="EF142" s="928"/>
      <c r="EG142" s="928"/>
      <c r="EH142" s="928"/>
      <c r="EI142" s="928"/>
      <c r="EJ142" s="928"/>
      <c r="EK142" s="928"/>
      <c r="EL142" s="928"/>
      <c r="EM142" s="928"/>
      <c r="EN142" s="928"/>
      <c r="EO142" s="928"/>
      <c r="EP142" s="928"/>
      <c r="EQ142" s="928"/>
      <c r="ER142" s="928"/>
      <c r="ES142" s="928"/>
      <c r="ET142" s="928"/>
      <c r="EU142" s="928"/>
      <c r="EV142" s="928"/>
      <c r="EW142" s="928"/>
      <c r="EX142" s="928"/>
      <c r="EY142" s="928"/>
      <c r="EZ142" s="928"/>
      <c r="FA142" s="928"/>
      <c r="FB142" s="928"/>
      <c r="FC142" s="928"/>
      <c r="FD142" s="928"/>
      <c r="FE142" s="928"/>
      <c r="FF142" s="928"/>
      <c r="FG142" s="928"/>
      <c r="FH142" s="928"/>
      <c r="FI142" s="928"/>
      <c r="FJ142" s="928"/>
      <c r="FK142" s="928"/>
      <c r="FL142" s="928"/>
      <c r="FM142" s="928"/>
      <c r="FN142" s="928"/>
      <c r="FO142" s="928"/>
      <c r="FP142" s="928"/>
      <c r="FQ142" s="928"/>
      <c r="FR142" s="928"/>
      <c r="FS142" s="928"/>
      <c r="FT142" s="928"/>
      <c r="FU142" s="928"/>
      <c r="FV142" s="928"/>
      <c r="FW142" s="928"/>
      <c r="FX142" s="928"/>
      <c r="FY142" s="928"/>
      <c r="FZ142" s="928"/>
      <c r="GA142" s="928"/>
      <c r="GB142" s="928"/>
      <c r="GC142" s="928"/>
      <c r="GD142" s="928"/>
      <c r="GE142" s="928"/>
      <c r="GF142" s="928"/>
      <c r="GG142" s="928"/>
      <c r="GH142" s="928"/>
      <c r="GI142" s="928"/>
      <c r="GJ142" s="928"/>
      <c r="GK142" s="928"/>
      <c r="GL142" s="928"/>
      <c r="GM142" s="928"/>
      <c r="GN142" s="928"/>
      <c r="GO142" s="928"/>
      <c r="GP142" s="928"/>
      <c r="GQ142" s="928"/>
      <c r="GR142" s="928"/>
      <c r="GS142" s="928"/>
      <c r="GT142" s="928"/>
      <c r="GU142" s="928"/>
      <c r="GV142" s="928"/>
      <c r="GW142" s="928"/>
      <c r="GX142" s="928"/>
      <c r="GY142" s="928"/>
      <c r="GZ142" s="928"/>
      <c r="HA142" s="928"/>
      <c r="HB142" s="928"/>
      <c r="HC142" s="928"/>
      <c r="HD142" s="928"/>
      <c r="HE142" s="928"/>
      <c r="HF142" s="928"/>
      <c r="HG142" s="928"/>
      <c r="HH142" s="928"/>
      <c r="HI142" s="928"/>
      <c r="HJ142" s="928"/>
      <c r="HK142" s="928"/>
      <c r="HL142" s="928"/>
      <c r="HM142" s="928"/>
      <c r="HN142" s="928"/>
      <c r="HO142" s="928"/>
      <c r="HP142" s="928"/>
      <c r="HQ142" s="928"/>
      <c r="HR142" s="928"/>
      <c r="HS142" s="928"/>
      <c r="HT142" s="928"/>
      <c r="HU142" s="928"/>
      <c r="HV142" s="928"/>
      <c r="HW142" s="928"/>
      <c r="HX142" s="928"/>
      <c r="HY142" s="928"/>
      <c r="HZ142" s="928"/>
      <c r="IA142" s="928"/>
      <c r="IB142" s="928"/>
      <c r="IC142" s="928"/>
      <c r="ID142" s="928"/>
      <c r="IE142" s="928"/>
      <c r="IF142" s="928"/>
      <c r="IG142" s="928"/>
      <c r="IH142" s="928"/>
      <c r="II142" s="928"/>
      <c r="IJ142" s="928"/>
      <c r="IK142" s="928"/>
      <c r="IL142" s="928"/>
      <c r="IM142" s="928"/>
      <c r="IN142" s="928"/>
      <c r="IO142" s="928"/>
      <c r="IP142" s="928"/>
      <c r="IQ142" s="928"/>
      <c r="IR142" s="928"/>
      <c r="IS142" s="928"/>
      <c r="IT142" s="928"/>
      <c r="IU142" s="928"/>
      <c r="IV142" s="928"/>
      <c r="IW142" s="928"/>
    </row>
    <row r="143" spans="1:257" ht="56">
      <c r="A143" s="2479"/>
      <c r="B143" s="993" t="s">
        <v>2209</v>
      </c>
      <c r="C143" s="985">
        <v>3</v>
      </c>
      <c r="D143" s="985">
        <v>4</v>
      </c>
      <c r="E143" s="986" t="s">
        <v>1523</v>
      </c>
      <c r="F143" s="968" t="str">
        <f>IF(Scoring!I152="","",Scoring!I152)</f>
        <v/>
      </c>
      <c r="G143" s="987"/>
      <c r="H143" s="987"/>
      <c r="I143" s="988" t="s">
        <v>2645</v>
      </c>
      <c r="J143" s="969"/>
      <c r="K143" s="969"/>
      <c r="L143" s="989"/>
      <c r="M143" s="990"/>
      <c r="O143" s="947"/>
      <c r="P143" s="954"/>
    </row>
    <row r="144" spans="1:257" s="951" customFormat="1" ht="57" thickBot="1">
      <c r="A144" s="2480"/>
      <c r="B144" s="996" t="s">
        <v>2211</v>
      </c>
      <c r="C144" s="997">
        <v>3</v>
      </c>
      <c r="D144" s="997">
        <v>4</v>
      </c>
      <c r="E144" s="998" t="s">
        <v>1524</v>
      </c>
      <c r="F144" s="973" t="str">
        <f>IF(Scoring!I153="","",Scoring!I153)</f>
        <v/>
      </c>
      <c r="G144" s="999"/>
      <c r="H144" s="999"/>
      <c r="I144" s="1000" t="s">
        <v>2644</v>
      </c>
      <c r="J144" s="974"/>
      <c r="K144" s="974">
        <f>COUNT(F140:F144)</f>
        <v>0</v>
      </c>
      <c r="L144" s="1207">
        <f>SUM(F140:F144)</f>
        <v>0</v>
      </c>
      <c r="M144" s="976">
        <f>IF(L144&lt;3,0,1)</f>
        <v>0</v>
      </c>
      <c r="N144" s="928"/>
      <c r="O144" s="942"/>
      <c r="P144" s="956">
        <f>COUNTA(F140:F144)</f>
        <v>5</v>
      </c>
      <c r="Q144" s="928"/>
      <c r="R144" s="928"/>
      <c r="S144" s="928"/>
      <c r="T144" s="928"/>
      <c r="U144" s="928"/>
      <c r="V144" s="928"/>
      <c r="W144" s="928"/>
      <c r="X144" s="928"/>
      <c r="Y144" s="928"/>
      <c r="Z144" s="928"/>
      <c r="AA144" s="928"/>
      <c r="AB144" s="928"/>
      <c r="AC144" s="928"/>
      <c r="AD144" s="928"/>
      <c r="AE144" s="928"/>
      <c r="AF144" s="928"/>
      <c r="AG144" s="928"/>
      <c r="AH144" s="928"/>
      <c r="AI144" s="928"/>
      <c r="AJ144" s="928"/>
      <c r="AK144" s="928"/>
      <c r="AL144" s="928"/>
      <c r="AM144" s="928"/>
      <c r="AN144" s="928"/>
      <c r="AO144" s="928"/>
      <c r="AP144" s="928"/>
      <c r="AQ144" s="928"/>
      <c r="AR144" s="928"/>
      <c r="AS144" s="928"/>
      <c r="AT144" s="928"/>
      <c r="AU144" s="928"/>
      <c r="AV144" s="928"/>
      <c r="AW144" s="928"/>
      <c r="AX144" s="928"/>
      <c r="AY144" s="928"/>
      <c r="AZ144" s="928"/>
      <c r="BA144" s="928"/>
      <c r="BB144" s="928"/>
      <c r="BC144" s="928"/>
      <c r="BD144" s="928"/>
      <c r="BE144" s="928"/>
      <c r="BF144" s="928"/>
      <c r="BG144" s="928"/>
      <c r="BH144" s="928"/>
      <c r="BI144" s="928"/>
      <c r="BJ144" s="928"/>
      <c r="BK144" s="928"/>
      <c r="BL144" s="928"/>
      <c r="BM144" s="928"/>
      <c r="BN144" s="928"/>
      <c r="BO144" s="928"/>
      <c r="BP144" s="928"/>
      <c r="BQ144" s="928"/>
      <c r="BR144" s="928"/>
      <c r="BS144" s="928"/>
      <c r="BT144" s="928"/>
      <c r="BU144" s="928"/>
      <c r="BV144" s="928"/>
      <c r="BW144" s="928"/>
      <c r="BX144" s="928"/>
      <c r="BY144" s="928"/>
      <c r="BZ144" s="928"/>
      <c r="CA144" s="928"/>
      <c r="CB144" s="928"/>
      <c r="CC144" s="928"/>
      <c r="CD144" s="928"/>
      <c r="CE144" s="928"/>
      <c r="CF144" s="928"/>
      <c r="CG144" s="928"/>
      <c r="CH144" s="928"/>
      <c r="CI144" s="928"/>
      <c r="CJ144" s="928"/>
      <c r="CK144" s="928"/>
      <c r="CL144" s="928"/>
      <c r="CM144" s="928"/>
      <c r="CN144" s="928"/>
      <c r="CO144" s="928"/>
      <c r="CP144" s="928"/>
      <c r="CQ144" s="928"/>
      <c r="CR144" s="928"/>
      <c r="CS144" s="928"/>
      <c r="CT144" s="928"/>
      <c r="CU144" s="928"/>
      <c r="CV144" s="928"/>
      <c r="CW144" s="928"/>
      <c r="CX144" s="928"/>
      <c r="CY144" s="928"/>
      <c r="CZ144" s="928"/>
      <c r="DA144" s="928"/>
      <c r="DB144" s="928"/>
      <c r="DC144" s="928"/>
      <c r="DD144" s="928"/>
      <c r="DE144" s="928"/>
      <c r="DF144" s="928"/>
      <c r="DG144" s="928"/>
      <c r="DH144" s="928"/>
      <c r="DI144" s="928"/>
      <c r="DJ144" s="928"/>
      <c r="DK144" s="928"/>
      <c r="DL144" s="928"/>
      <c r="DM144" s="928"/>
      <c r="DN144" s="928"/>
      <c r="DO144" s="928"/>
      <c r="DP144" s="928"/>
      <c r="DQ144" s="928"/>
      <c r="DR144" s="928"/>
      <c r="DS144" s="928"/>
      <c r="DT144" s="928"/>
      <c r="DU144" s="928"/>
      <c r="DV144" s="928"/>
      <c r="DW144" s="928"/>
      <c r="DX144" s="928"/>
      <c r="DY144" s="928"/>
      <c r="DZ144" s="928"/>
      <c r="EA144" s="928"/>
      <c r="EB144" s="928"/>
      <c r="EC144" s="928"/>
      <c r="ED144" s="928"/>
      <c r="EE144" s="928"/>
      <c r="EF144" s="928"/>
      <c r="EG144" s="928"/>
      <c r="EH144" s="928"/>
      <c r="EI144" s="928"/>
      <c r="EJ144" s="928"/>
      <c r="EK144" s="928"/>
      <c r="EL144" s="928"/>
      <c r="EM144" s="928"/>
      <c r="EN144" s="928"/>
      <c r="EO144" s="928"/>
      <c r="EP144" s="928"/>
      <c r="EQ144" s="928"/>
      <c r="ER144" s="928"/>
      <c r="ES144" s="928"/>
      <c r="ET144" s="928"/>
      <c r="EU144" s="928"/>
      <c r="EV144" s="928"/>
      <c r="EW144" s="928"/>
      <c r="EX144" s="928"/>
      <c r="EY144" s="928"/>
      <c r="EZ144" s="928"/>
      <c r="FA144" s="928"/>
      <c r="FB144" s="928"/>
      <c r="FC144" s="928"/>
      <c r="FD144" s="928"/>
      <c r="FE144" s="928"/>
      <c r="FF144" s="928"/>
      <c r="FG144" s="928"/>
      <c r="FH144" s="928"/>
      <c r="FI144" s="928"/>
      <c r="FJ144" s="928"/>
      <c r="FK144" s="928"/>
      <c r="FL144" s="928"/>
      <c r="FM144" s="928"/>
      <c r="FN144" s="928"/>
      <c r="FO144" s="928"/>
      <c r="FP144" s="928"/>
      <c r="FQ144" s="928"/>
      <c r="FR144" s="928"/>
      <c r="FS144" s="928"/>
      <c r="FT144" s="928"/>
      <c r="FU144" s="928"/>
      <c r="FV144" s="928"/>
      <c r="FW144" s="928"/>
      <c r="FX144" s="928"/>
      <c r="FY144" s="928"/>
      <c r="FZ144" s="928"/>
      <c r="GA144" s="928"/>
      <c r="GB144" s="928"/>
      <c r="GC144" s="928"/>
      <c r="GD144" s="928"/>
      <c r="GE144" s="928"/>
      <c r="GF144" s="928"/>
      <c r="GG144" s="928"/>
      <c r="GH144" s="928"/>
      <c r="GI144" s="928"/>
      <c r="GJ144" s="928"/>
      <c r="GK144" s="928"/>
      <c r="GL144" s="928"/>
      <c r="GM144" s="928"/>
      <c r="GN144" s="928"/>
      <c r="GO144" s="928"/>
      <c r="GP144" s="928"/>
      <c r="GQ144" s="928"/>
      <c r="GR144" s="928"/>
      <c r="GS144" s="928"/>
      <c r="GT144" s="928"/>
      <c r="GU144" s="928"/>
      <c r="GV144" s="928"/>
      <c r="GW144" s="928"/>
      <c r="GX144" s="928"/>
      <c r="GY144" s="928"/>
      <c r="GZ144" s="928"/>
      <c r="HA144" s="928"/>
      <c r="HB144" s="928"/>
      <c r="HC144" s="928"/>
      <c r="HD144" s="928"/>
      <c r="HE144" s="928"/>
      <c r="HF144" s="928"/>
      <c r="HG144" s="928"/>
      <c r="HH144" s="928"/>
      <c r="HI144" s="928"/>
      <c r="HJ144" s="928"/>
      <c r="HK144" s="928"/>
      <c r="HL144" s="928"/>
      <c r="HM144" s="928"/>
      <c r="HN144" s="928"/>
      <c r="HO144" s="928"/>
      <c r="HP144" s="928"/>
      <c r="HQ144" s="928"/>
      <c r="HR144" s="928"/>
      <c r="HS144" s="928"/>
      <c r="HT144" s="928"/>
      <c r="HU144" s="928"/>
      <c r="HV144" s="928"/>
      <c r="HW144" s="928"/>
      <c r="HX144" s="928"/>
      <c r="HY144" s="928"/>
      <c r="HZ144" s="928"/>
      <c r="IA144" s="928"/>
      <c r="IB144" s="928"/>
      <c r="IC144" s="928"/>
      <c r="ID144" s="928"/>
      <c r="IE144" s="928"/>
      <c r="IF144" s="928"/>
      <c r="IG144" s="928"/>
      <c r="IH144" s="928"/>
      <c r="II144" s="928"/>
      <c r="IJ144" s="928"/>
      <c r="IK144" s="928"/>
      <c r="IL144" s="928"/>
      <c r="IM144" s="928"/>
      <c r="IN144" s="928"/>
      <c r="IO144" s="928"/>
      <c r="IP144" s="928"/>
      <c r="IQ144" s="928"/>
      <c r="IR144" s="928"/>
      <c r="IS144" s="928"/>
      <c r="IT144" s="928"/>
      <c r="IU144" s="928"/>
      <c r="IV144" s="928"/>
      <c r="IW144" s="928"/>
    </row>
    <row r="145" spans="1:257" s="951" customFormat="1" ht="15" thickTop="1" thickBot="1">
      <c r="A145" s="928"/>
      <c r="B145" s="928"/>
      <c r="C145" s="928"/>
      <c r="D145" s="928"/>
      <c r="E145" s="928"/>
      <c r="F145" s="928"/>
      <c r="G145" s="928"/>
      <c r="H145" s="928"/>
      <c r="I145" s="928"/>
      <c r="J145" s="928"/>
      <c r="K145" s="928"/>
      <c r="L145" s="928"/>
      <c r="M145" s="928"/>
      <c r="N145" s="928"/>
      <c r="O145" s="928"/>
      <c r="P145" s="928"/>
      <c r="Q145" s="928"/>
      <c r="R145" s="928"/>
      <c r="S145" s="928"/>
      <c r="T145" s="928"/>
      <c r="U145" s="928"/>
      <c r="V145" s="928"/>
      <c r="W145" s="928"/>
      <c r="X145" s="928"/>
      <c r="Y145" s="928"/>
      <c r="Z145" s="928"/>
      <c r="AA145" s="928"/>
      <c r="AB145" s="928"/>
      <c r="AC145" s="928"/>
      <c r="AD145" s="928"/>
      <c r="AE145" s="928"/>
      <c r="AF145" s="928"/>
      <c r="AG145" s="928"/>
      <c r="AH145" s="928"/>
      <c r="AI145" s="928"/>
      <c r="AJ145" s="928"/>
      <c r="AK145" s="928"/>
      <c r="AL145" s="928"/>
      <c r="AM145" s="928"/>
      <c r="AN145" s="928"/>
      <c r="AO145" s="928"/>
      <c r="AP145" s="928"/>
      <c r="AQ145" s="928"/>
      <c r="AR145" s="928"/>
      <c r="AS145" s="928"/>
      <c r="AT145" s="928"/>
      <c r="AU145" s="928"/>
      <c r="AV145" s="928"/>
      <c r="AW145" s="928"/>
      <c r="AX145" s="928"/>
      <c r="AY145" s="928"/>
      <c r="AZ145" s="928"/>
      <c r="BA145" s="928"/>
      <c r="BB145" s="928"/>
      <c r="BC145" s="928"/>
      <c r="BD145" s="928"/>
      <c r="BE145" s="928"/>
      <c r="BF145" s="928"/>
      <c r="BG145" s="928"/>
      <c r="BH145" s="928"/>
      <c r="BI145" s="928"/>
      <c r="BJ145" s="928"/>
      <c r="BK145" s="928"/>
      <c r="BL145" s="928"/>
      <c r="BM145" s="928"/>
      <c r="BN145" s="928"/>
      <c r="BO145" s="928"/>
      <c r="BP145" s="928"/>
      <c r="BQ145" s="928"/>
      <c r="BR145" s="928"/>
      <c r="BS145" s="928"/>
      <c r="BT145" s="928"/>
      <c r="BU145" s="928"/>
      <c r="BV145" s="928"/>
      <c r="BW145" s="928"/>
      <c r="BX145" s="928"/>
      <c r="BY145" s="928"/>
      <c r="BZ145" s="928"/>
      <c r="CA145" s="928"/>
      <c r="CB145" s="928"/>
      <c r="CC145" s="928"/>
      <c r="CD145" s="928"/>
      <c r="CE145" s="928"/>
      <c r="CF145" s="928"/>
      <c r="CG145" s="928"/>
      <c r="CH145" s="928"/>
      <c r="CI145" s="928"/>
      <c r="CJ145" s="928"/>
      <c r="CK145" s="928"/>
      <c r="CL145" s="928"/>
      <c r="CM145" s="928"/>
      <c r="CN145" s="928"/>
      <c r="CO145" s="928"/>
      <c r="CP145" s="928"/>
      <c r="CQ145" s="928"/>
      <c r="CR145" s="928"/>
      <c r="CS145" s="928"/>
      <c r="CT145" s="928"/>
      <c r="CU145" s="928"/>
      <c r="CV145" s="928"/>
      <c r="CW145" s="928"/>
      <c r="CX145" s="928"/>
      <c r="CY145" s="928"/>
      <c r="CZ145" s="928"/>
      <c r="DA145" s="928"/>
      <c r="DB145" s="928"/>
      <c r="DC145" s="928"/>
      <c r="DD145" s="928"/>
      <c r="DE145" s="928"/>
      <c r="DF145" s="928"/>
      <c r="DG145" s="928"/>
      <c r="DH145" s="928"/>
      <c r="DI145" s="928"/>
      <c r="DJ145" s="928"/>
      <c r="DK145" s="928"/>
      <c r="DL145" s="928"/>
      <c r="DM145" s="928"/>
      <c r="DN145" s="928"/>
      <c r="DO145" s="928"/>
      <c r="DP145" s="928"/>
      <c r="DQ145" s="928"/>
      <c r="DR145" s="928"/>
      <c r="DS145" s="928"/>
      <c r="DT145" s="928"/>
      <c r="DU145" s="928"/>
      <c r="DV145" s="928"/>
      <c r="DW145" s="928"/>
      <c r="DX145" s="928"/>
      <c r="DY145" s="928"/>
      <c r="DZ145" s="928"/>
      <c r="EA145" s="928"/>
      <c r="EB145" s="928"/>
      <c r="EC145" s="928"/>
      <c r="ED145" s="928"/>
      <c r="EE145" s="928"/>
      <c r="EF145" s="928"/>
      <c r="EG145" s="928"/>
      <c r="EH145" s="928"/>
      <c r="EI145" s="928"/>
      <c r="EJ145" s="928"/>
      <c r="EK145" s="928"/>
      <c r="EL145" s="928"/>
      <c r="EM145" s="928"/>
      <c r="EN145" s="928"/>
      <c r="EO145" s="928"/>
      <c r="EP145" s="928"/>
      <c r="EQ145" s="928"/>
      <c r="ER145" s="928"/>
      <c r="ES145" s="928"/>
      <c r="ET145" s="928"/>
      <c r="EU145" s="928"/>
      <c r="EV145" s="928"/>
      <c r="EW145" s="928"/>
      <c r="EX145" s="928"/>
      <c r="EY145" s="928"/>
      <c r="EZ145" s="928"/>
      <c r="FA145" s="928"/>
      <c r="FB145" s="928"/>
      <c r="FC145" s="928"/>
      <c r="FD145" s="928"/>
      <c r="FE145" s="928"/>
      <c r="FF145" s="928"/>
      <c r="FG145" s="928"/>
      <c r="FH145" s="928"/>
      <c r="FI145" s="928"/>
      <c r="FJ145" s="928"/>
      <c r="FK145" s="928"/>
      <c r="FL145" s="928"/>
      <c r="FM145" s="928"/>
      <c r="FN145" s="928"/>
      <c r="FO145" s="928"/>
      <c r="FP145" s="928"/>
      <c r="FQ145" s="928"/>
      <c r="FR145" s="928"/>
      <c r="FS145" s="928"/>
      <c r="FT145" s="928"/>
      <c r="FU145" s="928"/>
      <c r="FV145" s="928"/>
      <c r="FW145" s="928"/>
      <c r="FX145" s="928"/>
      <c r="FY145" s="928"/>
      <c r="FZ145" s="928"/>
      <c r="GA145" s="928"/>
      <c r="GB145" s="928"/>
      <c r="GC145" s="928"/>
      <c r="GD145" s="928"/>
      <c r="GE145" s="928"/>
      <c r="GF145" s="928"/>
      <c r="GG145" s="928"/>
      <c r="GH145" s="928"/>
      <c r="GI145" s="928"/>
      <c r="GJ145" s="928"/>
      <c r="GK145" s="928"/>
      <c r="GL145" s="928"/>
      <c r="GM145" s="928"/>
      <c r="GN145" s="928"/>
      <c r="GO145" s="928"/>
      <c r="GP145" s="928"/>
      <c r="GQ145" s="928"/>
      <c r="GR145" s="928"/>
      <c r="GS145" s="928"/>
      <c r="GT145" s="928"/>
      <c r="GU145" s="928"/>
      <c r="GV145" s="928"/>
      <c r="GW145" s="928"/>
      <c r="GX145" s="928"/>
      <c r="GY145" s="928"/>
      <c r="GZ145" s="928"/>
      <c r="HA145" s="928"/>
      <c r="HB145" s="928"/>
      <c r="HC145" s="928"/>
      <c r="HD145" s="928"/>
      <c r="HE145" s="928"/>
      <c r="HF145" s="928"/>
      <c r="HG145" s="928"/>
      <c r="HH145" s="928"/>
      <c r="HI145" s="928"/>
      <c r="HJ145" s="928"/>
      <c r="HK145" s="928"/>
      <c r="HL145" s="928"/>
      <c r="HM145" s="928"/>
      <c r="HN145" s="928"/>
      <c r="HO145" s="928"/>
      <c r="HP145" s="928"/>
      <c r="HQ145" s="928"/>
      <c r="HR145" s="928"/>
      <c r="HS145" s="928"/>
      <c r="HT145" s="928"/>
      <c r="HU145" s="928"/>
      <c r="HV145" s="928"/>
      <c r="HW145" s="928"/>
      <c r="HX145" s="928"/>
      <c r="HY145" s="928"/>
      <c r="HZ145" s="928"/>
      <c r="IA145" s="928"/>
      <c r="IB145" s="928"/>
      <c r="IC145" s="928"/>
      <c r="ID145" s="928"/>
      <c r="IE145" s="928"/>
      <c r="IF145" s="928"/>
      <c r="IG145" s="928"/>
      <c r="IH145" s="928"/>
      <c r="II145" s="928"/>
      <c r="IJ145" s="928"/>
      <c r="IK145" s="928"/>
      <c r="IL145" s="928"/>
      <c r="IM145" s="928"/>
      <c r="IN145" s="928"/>
      <c r="IO145" s="928"/>
      <c r="IP145" s="928"/>
      <c r="IQ145" s="928"/>
      <c r="IR145" s="928"/>
      <c r="IS145" s="928"/>
      <c r="IT145" s="928"/>
      <c r="IU145" s="928"/>
      <c r="IV145" s="928"/>
      <c r="IW145" s="928"/>
    </row>
    <row r="146" spans="1:257" s="951" customFormat="1" ht="71" thickTop="1">
      <c r="A146" s="2471" t="s">
        <v>1205</v>
      </c>
      <c r="B146" s="1210" t="s">
        <v>2213</v>
      </c>
      <c r="C146" s="1199">
        <v>3</v>
      </c>
      <c r="D146" s="1199">
        <v>5</v>
      </c>
      <c r="E146" s="1200" t="s">
        <v>1526</v>
      </c>
      <c r="F146" s="1201" t="str">
        <f>IF(Scoring!I155="","",Scoring!I155)</f>
        <v/>
      </c>
      <c r="G146" s="1202"/>
      <c r="H146" s="1202"/>
      <c r="I146" s="1203" t="s">
        <v>2643</v>
      </c>
      <c r="J146" s="1208"/>
      <c r="K146" s="1208"/>
      <c r="L146" s="1216"/>
      <c r="M146" s="1205"/>
      <c r="N146" s="928"/>
      <c r="O146" s="949"/>
      <c r="P146" s="948"/>
      <c r="Q146" s="928"/>
      <c r="R146" s="928"/>
      <c r="S146" s="928"/>
      <c r="T146" s="928"/>
      <c r="U146" s="928"/>
      <c r="V146" s="928"/>
      <c r="W146" s="928"/>
      <c r="X146" s="928"/>
      <c r="Y146" s="928"/>
      <c r="Z146" s="928"/>
      <c r="AA146" s="928"/>
      <c r="AB146" s="928"/>
      <c r="AC146" s="928"/>
      <c r="AD146" s="928"/>
      <c r="AE146" s="928"/>
      <c r="AF146" s="928"/>
      <c r="AG146" s="928"/>
      <c r="AH146" s="928"/>
      <c r="AI146" s="928"/>
      <c r="AJ146" s="928"/>
      <c r="AK146" s="928"/>
      <c r="AL146" s="928"/>
      <c r="AM146" s="928"/>
      <c r="AN146" s="928"/>
      <c r="AO146" s="928"/>
      <c r="AP146" s="928"/>
      <c r="AQ146" s="928"/>
      <c r="AR146" s="928"/>
      <c r="AS146" s="928"/>
      <c r="AT146" s="928"/>
      <c r="AU146" s="928"/>
      <c r="AV146" s="928"/>
      <c r="AW146" s="928"/>
      <c r="AX146" s="928"/>
      <c r="AY146" s="928"/>
      <c r="AZ146" s="928"/>
      <c r="BA146" s="928"/>
      <c r="BB146" s="928"/>
      <c r="BC146" s="928"/>
      <c r="BD146" s="928"/>
      <c r="BE146" s="928"/>
      <c r="BF146" s="928"/>
      <c r="BG146" s="928"/>
      <c r="BH146" s="928"/>
      <c r="BI146" s="928"/>
      <c r="BJ146" s="928"/>
      <c r="BK146" s="928"/>
      <c r="BL146" s="928"/>
      <c r="BM146" s="928"/>
      <c r="BN146" s="928"/>
      <c r="BO146" s="928"/>
      <c r="BP146" s="928"/>
      <c r="BQ146" s="928"/>
      <c r="BR146" s="928"/>
      <c r="BS146" s="928"/>
      <c r="BT146" s="928"/>
      <c r="BU146" s="928"/>
      <c r="BV146" s="928"/>
      <c r="BW146" s="928"/>
      <c r="BX146" s="928"/>
      <c r="BY146" s="928"/>
      <c r="BZ146" s="928"/>
      <c r="CA146" s="928"/>
      <c r="CB146" s="928"/>
      <c r="CC146" s="928"/>
      <c r="CD146" s="928"/>
      <c r="CE146" s="928"/>
      <c r="CF146" s="928"/>
      <c r="CG146" s="928"/>
      <c r="CH146" s="928"/>
      <c r="CI146" s="928"/>
      <c r="CJ146" s="928"/>
      <c r="CK146" s="928"/>
      <c r="CL146" s="928"/>
      <c r="CM146" s="928"/>
      <c r="CN146" s="928"/>
      <c r="CO146" s="928"/>
      <c r="CP146" s="928"/>
      <c r="CQ146" s="928"/>
      <c r="CR146" s="928"/>
      <c r="CS146" s="928"/>
      <c r="CT146" s="928"/>
      <c r="CU146" s="928"/>
      <c r="CV146" s="928"/>
      <c r="CW146" s="928"/>
      <c r="CX146" s="928"/>
      <c r="CY146" s="928"/>
      <c r="CZ146" s="928"/>
      <c r="DA146" s="928"/>
      <c r="DB146" s="928"/>
      <c r="DC146" s="928"/>
      <c r="DD146" s="928"/>
      <c r="DE146" s="928"/>
      <c r="DF146" s="928"/>
      <c r="DG146" s="928"/>
      <c r="DH146" s="928"/>
      <c r="DI146" s="928"/>
      <c r="DJ146" s="928"/>
      <c r="DK146" s="928"/>
      <c r="DL146" s="928"/>
      <c r="DM146" s="928"/>
      <c r="DN146" s="928"/>
      <c r="DO146" s="928"/>
      <c r="DP146" s="928"/>
      <c r="DQ146" s="928"/>
      <c r="DR146" s="928"/>
      <c r="DS146" s="928"/>
      <c r="DT146" s="928"/>
      <c r="DU146" s="928"/>
      <c r="DV146" s="928"/>
      <c r="DW146" s="928"/>
      <c r="DX146" s="928"/>
      <c r="DY146" s="928"/>
      <c r="DZ146" s="928"/>
      <c r="EA146" s="928"/>
      <c r="EB146" s="928"/>
      <c r="EC146" s="928"/>
      <c r="ED146" s="928"/>
      <c r="EE146" s="928"/>
      <c r="EF146" s="928"/>
      <c r="EG146" s="928"/>
      <c r="EH146" s="928"/>
      <c r="EI146" s="928"/>
      <c r="EJ146" s="928"/>
      <c r="EK146" s="928"/>
      <c r="EL146" s="928"/>
      <c r="EM146" s="928"/>
      <c r="EN146" s="928"/>
      <c r="EO146" s="928"/>
      <c r="EP146" s="928"/>
      <c r="EQ146" s="928"/>
      <c r="ER146" s="928"/>
      <c r="ES146" s="928"/>
      <c r="ET146" s="928"/>
      <c r="EU146" s="928"/>
      <c r="EV146" s="928"/>
      <c r="EW146" s="928"/>
      <c r="EX146" s="928"/>
      <c r="EY146" s="928"/>
      <c r="EZ146" s="928"/>
      <c r="FA146" s="928"/>
      <c r="FB146" s="928"/>
      <c r="FC146" s="928"/>
      <c r="FD146" s="928"/>
      <c r="FE146" s="928"/>
      <c r="FF146" s="928"/>
      <c r="FG146" s="928"/>
      <c r="FH146" s="928"/>
      <c r="FI146" s="928"/>
      <c r="FJ146" s="928"/>
      <c r="FK146" s="928"/>
      <c r="FL146" s="928"/>
      <c r="FM146" s="928"/>
      <c r="FN146" s="928"/>
      <c r="FO146" s="928"/>
      <c r="FP146" s="928"/>
      <c r="FQ146" s="928"/>
      <c r="FR146" s="928"/>
      <c r="FS146" s="928"/>
      <c r="FT146" s="928"/>
      <c r="FU146" s="928"/>
      <c r="FV146" s="928"/>
      <c r="FW146" s="928"/>
      <c r="FX146" s="928"/>
      <c r="FY146" s="928"/>
      <c r="FZ146" s="928"/>
      <c r="GA146" s="928"/>
      <c r="GB146" s="928"/>
      <c r="GC146" s="928"/>
      <c r="GD146" s="928"/>
      <c r="GE146" s="928"/>
      <c r="GF146" s="928"/>
      <c r="GG146" s="928"/>
      <c r="GH146" s="928"/>
      <c r="GI146" s="928"/>
      <c r="GJ146" s="928"/>
      <c r="GK146" s="928"/>
      <c r="GL146" s="928"/>
      <c r="GM146" s="928"/>
      <c r="GN146" s="928"/>
      <c r="GO146" s="928"/>
      <c r="GP146" s="928"/>
      <c r="GQ146" s="928"/>
      <c r="GR146" s="928"/>
      <c r="GS146" s="928"/>
      <c r="GT146" s="928"/>
      <c r="GU146" s="928"/>
      <c r="GV146" s="928"/>
      <c r="GW146" s="928"/>
      <c r="GX146" s="928"/>
      <c r="GY146" s="928"/>
      <c r="GZ146" s="928"/>
      <c r="HA146" s="928"/>
      <c r="HB146" s="928"/>
      <c r="HC146" s="928"/>
      <c r="HD146" s="928"/>
      <c r="HE146" s="928"/>
      <c r="HF146" s="928"/>
      <c r="HG146" s="928"/>
      <c r="HH146" s="928"/>
      <c r="HI146" s="928"/>
      <c r="HJ146" s="928"/>
      <c r="HK146" s="928"/>
      <c r="HL146" s="928"/>
      <c r="HM146" s="928"/>
      <c r="HN146" s="928"/>
      <c r="HO146" s="928"/>
      <c r="HP146" s="928"/>
      <c r="HQ146" s="928"/>
      <c r="HR146" s="928"/>
      <c r="HS146" s="928"/>
      <c r="HT146" s="928"/>
      <c r="HU146" s="928"/>
      <c r="HV146" s="928"/>
      <c r="HW146" s="928"/>
      <c r="HX146" s="928"/>
      <c r="HY146" s="928"/>
      <c r="HZ146" s="928"/>
      <c r="IA146" s="928"/>
      <c r="IB146" s="928"/>
      <c r="IC146" s="928"/>
      <c r="ID146" s="928"/>
      <c r="IE146" s="928"/>
      <c r="IF146" s="928"/>
      <c r="IG146" s="928"/>
      <c r="IH146" s="928"/>
      <c r="II146" s="928"/>
      <c r="IJ146" s="928"/>
      <c r="IK146" s="928"/>
      <c r="IL146" s="928"/>
      <c r="IM146" s="928"/>
      <c r="IN146" s="928"/>
      <c r="IO146" s="928"/>
      <c r="IP146" s="928"/>
      <c r="IQ146" s="928"/>
      <c r="IR146" s="928"/>
      <c r="IS146" s="928"/>
      <c r="IT146" s="928"/>
      <c r="IU146" s="928"/>
      <c r="IV146" s="928"/>
      <c r="IW146" s="928"/>
    </row>
    <row r="147" spans="1:257" s="951" customFormat="1" ht="56">
      <c r="A147" s="2472"/>
      <c r="B147" s="1102" t="s">
        <v>2216</v>
      </c>
      <c r="C147" s="985">
        <v>4</v>
      </c>
      <c r="D147" s="985">
        <v>5</v>
      </c>
      <c r="E147" s="986" t="s">
        <v>1529</v>
      </c>
      <c r="F147" s="968" t="str">
        <f>IF(Scoring!I156="","",Scoring!I156)</f>
        <v/>
      </c>
      <c r="G147" s="987"/>
      <c r="H147" s="987"/>
      <c r="I147" s="988" t="s">
        <v>2642</v>
      </c>
      <c r="J147" s="969"/>
      <c r="K147" s="969"/>
      <c r="L147" s="970"/>
      <c r="M147" s="990"/>
      <c r="N147" s="928"/>
      <c r="O147" s="953"/>
      <c r="P147" s="952"/>
      <c r="Q147" s="928"/>
      <c r="R147" s="928"/>
      <c r="S147" s="928"/>
      <c r="T147" s="928"/>
      <c r="U147" s="928"/>
      <c r="V147" s="928"/>
      <c r="W147" s="928"/>
      <c r="X147" s="928"/>
      <c r="Y147" s="928"/>
      <c r="Z147" s="928"/>
      <c r="AA147" s="928"/>
      <c r="AB147" s="928"/>
      <c r="AC147" s="928"/>
      <c r="AD147" s="928"/>
      <c r="AE147" s="928"/>
      <c r="AF147" s="928"/>
      <c r="AG147" s="928"/>
      <c r="AH147" s="928"/>
      <c r="AI147" s="928"/>
      <c r="AJ147" s="928"/>
      <c r="AK147" s="928"/>
      <c r="AL147" s="928"/>
      <c r="AM147" s="928"/>
      <c r="AN147" s="928"/>
      <c r="AO147" s="928"/>
      <c r="AP147" s="928"/>
      <c r="AQ147" s="928"/>
      <c r="AR147" s="928"/>
      <c r="AS147" s="928"/>
      <c r="AT147" s="928"/>
      <c r="AU147" s="928"/>
      <c r="AV147" s="928"/>
      <c r="AW147" s="928"/>
      <c r="AX147" s="928"/>
      <c r="AY147" s="928"/>
      <c r="AZ147" s="928"/>
      <c r="BA147" s="928"/>
      <c r="BB147" s="928"/>
      <c r="BC147" s="928"/>
      <c r="BD147" s="928"/>
      <c r="BE147" s="928"/>
      <c r="BF147" s="928"/>
      <c r="BG147" s="928"/>
      <c r="BH147" s="928"/>
      <c r="BI147" s="928"/>
      <c r="BJ147" s="928"/>
      <c r="BK147" s="928"/>
      <c r="BL147" s="928"/>
      <c r="BM147" s="928"/>
      <c r="BN147" s="928"/>
      <c r="BO147" s="928"/>
      <c r="BP147" s="928"/>
      <c r="BQ147" s="928"/>
      <c r="BR147" s="928"/>
      <c r="BS147" s="928"/>
      <c r="BT147" s="928"/>
      <c r="BU147" s="928"/>
      <c r="BV147" s="928"/>
      <c r="BW147" s="928"/>
      <c r="BX147" s="928"/>
      <c r="BY147" s="928"/>
      <c r="BZ147" s="928"/>
      <c r="CA147" s="928"/>
      <c r="CB147" s="928"/>
      <c r="CC147" s="928"/>
      <c r="CD147" s="928"/>
      <c r="CE147" s="928"/>
      <c r="CF147" s="928"/>
      <c r="CG147" s="928"/>
      <c r="CH147" s="928"/>
      <c r="CI147" s="928"/>
      <c r="CJ147" s="928"/>
      <c r="CK147" s="928"/>
      <c r="CL147" s="928"/>
      <c r="CM147" s="928"/>
      <c r="CN147" s="928"/>
      <c r="CO147" s="928"/>
      <c r="CP147" s="928"/>
      <c r="CQ147" s="928"/>
      <c r="CR147" s="928"/>
      <c r="CS147" s="928"/>
      <c r="CT147" s="928"/>
      <c r="CU147" s="928"/>
      <c r="CV147" s="928"/>
      <c r="CW147" s="928"/>
      <c r="CX147" s="928"/>
      <c r="CY147" s="928"/>
      <c r="CZ147" s="928"/>
      <c r="DA147" s="928"/>
      <c r="DB147" s="928"/>
      <c r="DC147" s="928"/>
      <c r="DD147" s="928"/>
      <c r="DE147" s="928"/>
      <c r="DF147" s="928"/>
      <c r="DG147" s="928"/>
      <c r="DH147" s="928"/>
      <c r="DI147" s="928"/>
      <c r="DJ147" s="928"/>
      <c r="DK147" s="928"/>
      <c r="DL147" s="928"/>
      <c r="DM147" s="928"/>
      <c r="DN147" s="928"/>
      <c r="DO147" s="928"/>
      <c r="DP147" s="928"/>
      <c r="DQ147" s="928"/>
      <c r="DR147" s="928"/>
      <c r="DS147" s="928"/>
      <c r="DT147" s="928"/>
      <c r="DU147" s="928"/>
      <c r="DV147" s="928"/>
      <c r="DW147" s="928"/>
      <c r="DX147" s="928"/>
      <c r="DY147" s="928"/>
      <c r="DZ147" s="928"/>
      <c r="EA147" s="928"/>
      <c r="EB147" s="928"/>
      <c r="EC147" s="928"/>
      <c r="ED147" s="928"/>
      <c r="EE147" s="928"/>
      <c r="EF147" s="928"/>
      <c r="EG147" s="928"/>
      <c r="EH147" s="928"/>
      <c r="EI147" s="928"/>
      <c r="EJ147" s="928"/>
      <c r="EK147" s="928"/>
      <c r="EL147" s="928"/>
      <c r="EM147" s="928"/>
      <c r="EN147" s="928"/>
      <c r="EO147" s="928"/>
      <c r="EP147" s="928"/>
      <c r="EQ147" s="928"/>
      <c r="ER147" s="928"/>
      <c r="ES147" s="928"/>
      <c r="ET147" s="928"/>
      <c r="EU147" s="928"/>
      <c r="EV147" s="928"/>
      <c r="EW147" s="928"/>
      <c r="EX147" s="928"/>
      <c r="EY147" s="928"/>
      <c r="EZ147" s="928"/>
      <c r="FA147" s="928"/>
      <c r="FB147" s="928"/>
      <c r="FC147" s="928"/>
      <c r="FD147" s="928"/>
      <c r="FE147" s="928"/>
      <c r="FF147" s="928"/>
      <c r="FG147" s="928"/>
      <c r="FH147" s="928"/>
      <c r="FI147" s="928"/>
      <c r="FJ147" s="928"/>
      <c r="FK147" s="928"/>
      <c r="FL147" s="928"/>
      <c r="FM147" s="928"/>
      <c r="FN147" s="928"/>
      <c r="FO147" s="928"/>
      <c r="FP147" s="928"/>
      <c r="FQ147" s="928"/>
      <c r="FR147" s="928"/>
      <c r="FS147" s="928"/>
      <c r="FT147" s="928"/>
      <c r="FU147" s="928"/>
      <c r="FV147" s="928"/>
      <c r="FW147" s="928"/>
      <c r="FX147" s="928"/>
      <c r="FY147" s="928"/>
      <c r="FZ147" s="928"/>
      <c r="GA147" s="928"/>
      <c r="GB147" s="928"/>
      <c r="GC147" s="928"/>
      <c r="GD147" s="928"/>
      <c r="GE147" s="928"/>
      <c r="GF147" s="928"/>
      <c r="GG147" s="928"/>
      <c r="GH147" s="928"/>
      <c r="GI147" s="928"/>
      <c r="GJ147" s="928"/>
      <c r="GK147" s="928"/>
      <c r="GL147" s="928"/>
      <c r="GM147" s="928"/>
      <c r="GN147" s="928"/>
      <c r="GO147" s="928"/>
      <c r="GP147" s="928"/>
      <c r="GQ147" s="928"/>
      <c r="GR147" s="928"/>
      <c r="GS147" s="928"/>
      <c r="GT147" s="928"/>
      <c r="GU147" s="928"/>
      <c r="GV147" s="928"/>
      <c r="GW147" s="928"/>
      <c r="GX147" s="928"/>
      <c r="GY147" s="928"/>
      <c r="GZ147" s="928"/>
      <c r="HA147" s="928"/>
      <c r="HB147" s="928"/>
      <c r="HC147" s="928"/>
      <c r="HD147" s="928"/>
      <c r="HE147" s="928"/>
      <c r="HF147" s="928"/>
      <c r="HG147" s="928"/>
      <c r="HH147" s="928"/>
      <c r="HI147" s="928"/>
      <c r="HJ147" s="928"/>
      <c r="HK147" s="928"/>
      <c r="HL147" s="928"/>
      <c r="HM147" s="928"/>
      <c r="HN147" s="928"/>
      <c r="HO147" s="928"/>
      <c r="HP147" s="928"/>
      <c r="HQ147" s="928"/>
      <c r="HR147" s="928"/>
      <c r="HS147" s="928"/>
      <c r="HT147" s="928"/>
      <c r="HU147" s="928"/>
      <c r="HV147" s="928"/>
      <c r="HW147" s="928"/>
      <c r="HX147" s="928"/>
      <c r="HY147" s="928"/>
      <c r="HZ147" s="928"/>
      <c r="IA147" s="928"/>
      <c r="IB147" s="928"/>
      <c r="IC147" s="928"/>
      <c r="ID147" s="928"/>
      <c r="IE147" s="928"/>
      <c r="IF147" s="928"/>
      <c r="IG147" s="928"/>
      <c r="IH147" s="928"/>
      <c r="II147" s="928"/>
      <c r="IJ147" s="928"/>
      <c r="IK147" s="928"/>
      <c r="IL147" s="928"/>
      <c r="IM147" s="928"/>
      <c r="IN147" s="928"/>
      <c r="IO147" s="928"/>
      <c r="IP147" s="928"/>
      <c r="IQ147" s="928"/>
      <c r="IR147" s="928"/>
      <c r="IS147" s="928"/>
      <c r="IT147" s="928"/>
      <c r="IU147" s="928"/>
      <c r="IV147" s="928"/>
      <c r="IW147" s="928"/>
    </row>
    <row r="148" spans="1:257" s="951" customFormat="1" ht="29" thickBot="1">
      <c r="A148" s="2473"/>
      <c r="B148" s="1211" t="s">
        <v>2218</v>
      </c>
      <c r="C148" s="997">
        <v>3</v>
      </c>
      <c r="D148" s="997">
        <v>4</v>
      </c>
      <c r="E148" s="998" t="s">
        <v>1531</v>
      </c>
      <c r="F148" s="973" t="str">
        <f>IF(Scoring!I158="","",Scoring!I158)</f>
        <v/>
      </c>
      <c r="G148" s="999"/>
      <c r="H148" s="999"/>
      <c r="I148" s="1000" t="s">
        <v>2641</v>
      </c>
      <c r="J148" s="974">
        <f>COUNT(F146:F148)</f>
        <v>0</v>
      </c>
      <c r="K148" s="1213"/>
      <c r="L148" s="975">
        <f>SUM(F146:F148)</f>
        <v>0</v>
      </c>
      <c r="M148" s="976">
        <f>IF(L148&lt;2,0,1)</f>
        <v>0</v>
      </c>
      <c r="N148" s="928"/>
      <c r="O148" s="942"/>
      <c r="P148" s="956">
        <f>COUNTA(F148:F148)</f>
        <v>1</v>
      </c>
      <c r="Q148" s="928"/>
      <c r="R148" s="928"/>
      <c r="S148" s="928"/>
      <c r="T148" s="928"/>
      <c r="U148" s="928"/>
      <c r="V148" s="928"/>
      <c r="W148" s="928"/>
      <c r="X148" s="928"/>
      <c r="Y148" s="928"/>
      <c r="Z148" s="928"/>
      <c r="AA148" s="928"/>
      <c r="AB148" s="928"/>
      <c r="AC148" s="928"/>
      <c r="AD148" s="928"/>
      <c r="AE148" s="928"/>
      <c r="AF148" s="928"/>
      <c r="AG148" s="928"/>
      <c r="AH148" s="928"/>
      <c r="AI148" s="928"/>
      <c r="AJ148" s="928"/>
      <c r="AK148" s="928"/>
      <c r="AL148" s="928"/>
      <c r="AM148" s="928"/>
      <c r="AN148" s="928"/>
      <c r="AO148" s="928"/>
      <c r="AP148" s="928"/>
      <c r="AQ148" s="928"/>
      <c r="AR148" s="928"/>
      <c r="AS148" s="928"/>
      <c r="AT148" s="928"/>
      <c r="AU148" s="928"/>
      <c r="AV148" s="928"/>
      <c r="AW148" s="928"/>
      <c r="AX148" s="928"/>
      <c r="AY148" s="928"/>
      <c r="AZ148" s="928"/>
      <c r="BA148" s="928"/>
      <c r="BB148" s="928"/>
      <c r="BC148" s="928"/>
      <c r="BD148" s="928"/>
      <c r="BE148" s="928"/>
      <c r="BF148" s="928"/>
      <c r="BG148" s="928"/>
      <c r="BH148" s="928"/>
      <c r="BI148" s="928"/>
      <c r="BJ148" s="928"/>
      <c r="BK148" s="928"/>
      <c r="BL148" s="928"/>
      <c r="BM148" s="928"/>
      <c r="BN148" s="928"/>
      <c r="BO148" s="928"/>
      <c r="BP148" s="928"/>
      <c r="BQ148" s="928"/>
      <c r="BR148" s="928"/>
      <c r="BS148" s="928"/>
      <c r="BT148" s="928"/>
      <c r="BU148" s="928"/>
      <c r="BV148" s="928"/>
      <c r="BW148" s="928"/>
      <c r="BX148" s="928"/>
      <c r="BY148" s="928"/>
      <c r="BZ148" s="928"/>
      <c r="CA148" s="928"/>
      <c r="CB148" s="928"/>
      <c r="CC148" s="928"/>
      <c r="CD148" s="928"/>
      <c r="CE148" s="928"/>
      <c r="CF148" s="928"/>
      <c r="CG148" s="928"/>
      <c r="CH148" s="928"/>
      <c r="CI148" s="928"/>
      <c r="CJ148" s="928"/>
      <c r="CK148" s="928"/>
      <c r="CL148" s="928"/>
      <c r="CM148" s="928"/>
      <c r="CN148" s="928"/>
      <c r="CO148" s="928"/>
      <c r="CP148" s="928"/>
      <c r="CQ148" s="928"/>
      <c r="CR148" s="928"/>
      <c r="CS148" s="928"/>
      <c r="CT148" s="928"/>
      <c r="CU148" s="928"/>
      <c r="CV148" s="928"/>
      <c r="CW148" s="928"/>
      <c r="CX148" s="928"/>
      <c r="CY148" s="928"/>
      <c r="CZ148" s="928"/>
      <c r="DA148" s="928"/>
      <c r="DB148" s="928"/>
      <c r="DC148" s="928"/>
      <c r="DD148" s="928"/>
      <c r="DE148" s="928"/>
      <c r="DF148" s="928"/>
      <c r="DG148" s="928"/>
      <c r="DH148" s="928"/>
      <c r="DI148" s="928"/>
      <c r="DJ148" s="928"/>
      <c r="DK148" s="928"/>
      <c r="DL148" s="928"/>
      <c r="DM148" s="928"/>
      <c r="DN148" s="928"/>
      <c r="DO148" s="928"/>
      <c r="DP148" s="928"/>
      <c r="DQ148" s="928"/>
      <c r="DR148" s="928"/>
      <c r="DS148" s="928"/>
      <c r="DT148" s="928"/>
      <c r="DU148" s="928"/>
      <c r="DV148" s="928"/>
      <c r="DW148" s="928"/>
      <c r="DX148" s="928"/>
      <c r="DY148" s="928"/>
      <c r="DZ148" s="928"/>
      <c r="EA148" s="928"/>
      <c r="EB148" s="928"/>
      <c r="EC148" s="928"/>
      <c r="ED148" s="928"/>
      <c r="EE148" s="928"/>
      <c r="EF148" s="928"/>
      <c r="EG148" s="928"/>
      <c r="EH148" s="928"/>
      <c r="EI148" s="928"/>
      <c r="EJ148" s="928"/>
      <c r="EK148" s="928"/>
      <c r="EL148" s="928"/>
      <c r="EM148" s="928"/>
      <c r="EN148" s="928"/>
      <c r="EO148" s="928"/>
      <c r="EP148" s="928"/>
      <c r="EQ148" s="928"/>
      <c r="ER148" s="928"/>
      <c r="ES148" s="928"/>
      <c r="ET148" s="928"/>
      <c r="EU148" s="928"/>
      <c r="EV148" s="928"/>
      <c r="EW148" s="928"/>
      <c r="EX148" s="928"/>
      <c r="EY148" s="928"/>
      <c r="EZ148" s="928"/>
      <c r="FA148" s="928"/>
      <c r="FB148" s="928"/>
      <c r="FC148" s="928"/>
      <c r="FD148" s="928"/>
      <c r="FE148" s="928"/>
      <c r="FF148" s="928"/>
      <c r="FG148" s="928"/>
      <c r="FH148" s="928"/>
      <c r="FI148" s="928"/>
      <c r="FJ148" s="928"/>
      <c r="FK148" s="928"/>
      <c r="FL148" s="928"/>
      <c r="FM148" s="928"/>
      <c r="FN148" s="928"/>
      <c r="FO148" s="928"/>
      <c r="FP148" s="928"/>
      <c r="FQ148" s="928"/>
      <c r="FR148" s="928"/>
      <c r="FS148" s="928"/>
      <c r="FT148" s="928"/>
      <c r="FU148" s="928"/>
      <c r="FV148" s="928"/>
      <c r="FW148" s="928"/>
      <c r="FX148" s="928"/>
      <c r="FY148" s="928"/>
      <c r="FZ148" s="928"/>
      <c r="GA148" s="928"/>
      <c r="GB148" s="928"/>
      <c r="GC148" s="928"/>
      <c r="GD148" s="928"/>
      <c r="GE148" s="928"/>
      <c r="GF148" s="928"/>
      <c r="GG148" s="928"/>
      <c r="GH148" s="928"/>
      <c r="GI148" s="928"/>
      <c r="GJ148" s="928"/>
      <c r="GK148" s="928"/>
      <c r="GL148" s="928"/>
      <c r="GM148" s="928"/>
      <c r="GN148" s="928"/>
      <c r="GO148" s="928"/>
      <c r="GP148" s="928"/>
      <c r="GQ148" s="928"/>
      <c r="GR148" s="928"/>
      <c r="GS148" s="928"/>
      <c r="GT148" s="928"/>
      <c r="GU148" s="928"/>
      <c r="GV148" s="928"/>
      <c r="GW148" s="928"/>
      <c r="GX148" s="928"/>
      <c r="GY148" s="928"/>
      <c r="GZ148" s="928"/>
      <c r="HA148" s="928"/>
      <c r="HB148" s="928"/>
      <c r="HC148" s="928"/>
      <c r="HD148" s="928"/>
      <c r="HE148" s="928"/>
      <c r="HF148" s="928"/>
      <c r="HG148" s="928"/>
      <c r="HH148" s="928"/>
      <c r="HI148" s="928"/>
      <c r="HJ148" s="928"/>
      <c r="HK148" s="928"/>
      <c r="HL148" s="928"/>
      <c r="HM148" s="928"/>
      <c r="HN148" s="928"/>
      <c r="HO148" s="928"/>
      <c r="HP148" s="928"/>
      <c r="HQ148" s="928"/>
      <c r="HR148" s="928"/>
      <c r="HS148" s="928"/>
      <c r="HT148" s="928"/>
      <c r="HU148" s="928"/>
      <c r="HV148" s="928"/>
      <c r="HW148" s="928"/>
      <c r="HX148" s="928"/>
      <c r="HY148" s="928"/>
      <c r="HZ148" s="928"/>
      <c r="IA148" s="928"/>
      <c r="IB148" s="928"/>
      <c r="IC148" s="928"/>
      <c r="ID148" s="928"/>
      <c r="IE148" s="928"/>
      <c r="IF148" s="928"/>
      <c r="IG148" s="928"/>
      <c r="IH148" s="928"/>
      <c r="II148" s="928"/>
      <c r="IJ148" s="928"/>
      <c r="IK148" s="928"/>
      <c r="IL148" s="928"/>
      <c r="IM148" s="928"/>
      <c r="IN148" s="928"/>
      <c r="IO148" s="928"/>
      <c r="IP148" s="928"/>
      <c r="IQ148" s="928"/>
      <c r="IR148" s="928"/>
      <c r="IS148" s="928"/>
      <c r="IT148" s="928"/>
      <c r="IU148" s="928"/>
      <c r="IV148" s="928"/>
      <c r="IW148" s="928"/>
    </row>
    <row r="149" spans="1:257" s="951" customFormat="1" ht="21" thickTop="1">
      <c r="A149" s="1252"/>
      <c r="B149" s="1592"/>
      <c r="C149" s="1254"/>
      <c r="D149" s="1254"/>
      <c r="E149" s="1255"/>
      <c r="F149" s="1593"/>
      <c r="G149" s="1594"/>
      <c r="H149" s="1594"/>
      <c r="I149" s="1595"/>
      <c r="J149" s="1596"/>
      <c r="K149" s="1597"/>
      <c r="L149" s="1598"/>
      <c r="M149" s="1599"/>
      <c r="N149" s="928"/>
      <c r="O149" s="1262"/>
      <c r="P149" s="1600"/>
      <c r="Q149" s="928"/>
      <c r="R149" s="928"/>
      <c r="S149" s="928"/>
      <c r="T149" s="928"/>
      <c r="U149" s="928"/>
      <c r="V149" s="928"/>
      <c r="W149" s="928"/>
      <c r="X149" s="928"/>
      <c r="Y149" s="928"/>
      <c r="Z149" s="928"/>
      <c r="AA149" s="928"/>
      <c r="AB149" s="928"/>
      <c r="AC149" s="928"/>
      <c r="AD149" s="928"/>
      <c r="AE149" s="928"/>
      <c r="AF149" s="928"/>
      <c r="AG149" s="928"/>
      <c r="AH149" s="928"/>
      <c r="AI149" s="928"/>
      <c r="AJ149" s="928"/>
      <c r="AK149" s="928"/>
      <c r="AL149" s="928"/>
      <c r="AM149" s="928"/>
      <c r="AN149" s="928"/>
      <c r="AO149" s="928"/>
      <c r="AP149" s="928"/>
      <c r="AQ149" s="928"/>
      <c r="AR149" s="928"/>
      <c r="AS149" s="928"/>
      <c r="AT149" s="928"/>
      <c r="AU149" s="928"/>
      <c r="AV149" s="928"/>
      <c r="AW149" s="928"/>
      <c r="AX149" s="928"/>
      <c r="AY149" s="928"/>
      <c r="AZ149" s="928"/>
      <c r="BA149" s="928"/>
      <c r="BB149" s="928"/>
      <c r="BC149" s="928"/>
      <c r="BD149" s="928"/>
      <c r="BE149" s="928"/>
      <c r="BF149" s="928"/>
      <c r="BG149" s="928"/>
      <c r="BH149" s="928"/>
      <c r="BI149" s="928"/>
      <c r="BJ149" s="928"/>
      <c r="BK149" s="928"/>
      <c r="BL149" s="928"/>
      <c r="BM149" s="928"/>
      <c r="BN149" s="928"/>
      <c r="BO149" s="928"/>
      <c r="BP149" s="928"/>
      <c r="BQ149" s="928"/>
      <c r="BR149" s="928"/>
      <c r="BS149" s="928"/>
      <c r="BT149" s="928"/>
      <c r="BU149" s="928"/>
      <c r="BV149" s="928"/>
      <c r="BW149" s="928"/>
      <c r="BX149" s="928"/>
      <c r="BY149" s="928"/>
      <c r="BZ149" s="928"/>
      <c r="CA149" s="928"/>
      <c r="CB149" s="928"/>
      <c r="CC149" s="928"/>
      <c r="CD149" s="928"/>
      <c r="CE149" s="928"/>
      <c r="CF149" s="928"/>
      <c r="CG149" s="928"/>
      <c r="CH149" s="928"/>
      <c r="CI149" s="928"/>
      <c r="CJ149" s="928"/>
      <c r="CK149" s="928"/>
      <c r="CL149" s="928"/>
      <c r="CM149" s="928"/>
      <c r="CN149" s="928"/>
      <c r="CO149" s="928"/>
      <c r="CP149" s="928"/>
      <c r="CQ149" s="928"/>
      <c r="CR149" s="928"/>
      <c r="CS149" s="928"/>
      <c r="CT149" s="928"/>
      <c r="CU149" s="928"/>
      <c r="CV149" s="928"/>
      <c r="CW149" s="928"/>
      <c r="CX149" s="928"/>
      <c r="CY149" s="928"/>
      <c r="CZ149" s="928"/>
      <c r="DA149" s="928"/>
      <c r="DB149" s="928"/>
      <c r="DC149" s="928"/>
      <c r="DD149" s="928"/>
      <c r="DE149" s="928"/>
      <c r="DF149" s="928"/>
      <c r="DG149" s="928"/>
      <c r="DH149" s="928"/>
      <c r="DI149" s="928"/>
      <c r="DJ149" s="928"/>
      <c r="DK149" s="928"/>
      <c r="DL149" s="928"/>
      <c r="DM149" s="928"/>
      <c r="DN149" s="928"/>
      <c r="DO149" s="928"/>
      <c r="DP149" s="928"/>
      <c r="DQ149" s="928"/>
      <c r="DR149" s="928"/>
      <c r="DS149" s="928"/>
      <c r="DT149" s="928"/>
      <c r="DU149" s="928"/>
      <c r="DV149" s="928"/>
      <c r="DW149" s="928"/>
      <c r="DX149" s="928"/>
      <c r="DY149" s="928"/>
      <c r="DZ149" s="928"/>
      <c r="EA149" s="928"/>
      <c r="EB149" s="928"/>
      <c r="EC149" s="928"/>
      <c r="ED149" s="928"/>
      <c r="EE149" s="928"/>
      <c r="EF149" s="928"/>
      <c r="EG149" s="928"/>
      <c r="EH149" s="928"/>
      <c r="EI149" s="928"/>
      <c r="EJ149" s="928"/>
      <c r="EK149" s="928"/>
      <c r="EL149" s="928"/>
      <c r="EM149" s="928"/>
      <c r="EN149" s="928"/>
      <c r="EO149" s="928"/>
      <c r="EP149" s="928"/>
      <c r="EQ149" s="928"/>
      <c r="ER149" s="928"/>
      <c r="ES149" s="928"/>
      <c r="ET149" s="928"/>
      <c r="EU149" s="928"/>
      <c r="EV149" s="928"/>
      <c r="EW149" s="928"/>
      <c r="EX149" s="928"/>
      <c r="EY149" s="928"/>
      <c r="EZ149" s="928"/>
      <c r="FA149" s="928"/>
      <c r="FB149" s="928"/>
      <c r="FC149" s="928"/>
      <c r="FD149" s="928"/>
      <c r="FE149" s="928"/>
      <c r="FF149" s="928"/>
      <c r="FG149" s="928"/>
      <c r="FH149" s="928"/>
      <c r="FI149" s="928"/>
      <c r="FJ149" s="928"/>
      <c r="FK149" s="928"/>
      <c r="FL149" s="928"/>
      <c r="FM149" s="928"/>
      <c r="FN149" s="928"/>
      <c r="FO149" s="928"/>
      <c r="FP149" s="928"/>
      <c r="FQ149" s="928"/>
      <c r="FR149" s="928"/>
      <c r="FS149" s="928"/>
      <c r="FT149" s="928"/>
      <c r="FU149" s="928"/>
      <c r="FV149" s="928"/>
      <c r="FW149" s="928"/>
      <c r="FX149" s="928"/>
      <c r="FY149" s="928"/>
      <c r="FZ149" s="928"/>
      <c r="GA149" s="928"/>
      <c r="GB149" s="928"/>
      <c r="GC149" s="928"/>
      <c r="GD149" s="928"/>
      <c r="GE149" s="928"/>
      <c r="GF149" s="928"/>
      <c r="GG149" s="928"/>
      <c r="GH149" s="928"/>
      <c r="GI149" s="928"/>
      <c r="GJ149" s="928"/>
      <c r="GK149" s="928"/>
      <c r="GL149" s="928"/>
      <c r="GM149" s="928"/>
      <c r="GN149" s="928"/>
      <c r="GO149" s="928"/>
      <c r="GP149" s="928"/>
      <c r="GQ149" s="928"/>
      <c r="GR149" s="928"/>
      <c r="GS149" s="928"/>
      <c r="GT149" s="928"/>
      <c r="GU149" s="928"/>
      <c r="GV149" s="928"/>
      <c r="GW149" s="928"/>
      <c r="GX149" s="928"/>
      <c r="GY149" s="928"/>
      <c r="GZ149" s="928"/>
      <c r="HA149" s="928"/>
      <c r="HB149" s="928"/>
      <c r="HC149" s="928"/>
      <c r="HD149" s="928"/>
      <c r="HE149" s="928"/>
      <c r="HF149" s="928"/>
      <c r="HG149" s="928"/>
      <c r="HH149" s="928"/>
      <c r="HI149" s="928"/>
      <c r="HJ149" s="928"/>
      <c r="HK149" s="928"/>
      <c r="HL149" s="928"/>
      <c r="HM149" s="928"/>
      <c r="HN149" s="928"/>
      <c r="HO149" s="928"/>
      <c r="HP149" s="928"/>
      <c r="HQ149" s="928"/>
      <c r="HR149" s="928"/>
      <c r="HS149" s="928"/>
      <c r="HT149" s="928"/>
      <c r="HU149" s="928"/>
      <c r="HV149" s="928"/>
      <c r="HW149" s="928"/>
      <c r="HX149" s="928"/>
      <c r="HY149" s="928"/>
      <c r="HZ149" s="928"/>
      <c r="IA149" s="928"/>
      <c r="IB149" s="928"/>
      <c r="IC149" s="928"/>
      <c r="ID149" s="928"/>
      <c r="IE149" s="928"/>
      <c r="IF149" s="928"/>
      <c r="IG149" s="928"/>
      <c r="IH149" s="928"/>
      <c r="II149" s="928"/>
      <c r="IJ149" s="928"/>
      <c r="IK149" s="928"/>
      <c r="IL149" s="928"/>
      <c r="IM149" s="928"/>
      <c r="IN149" s="928"/>
      <c r="IO149" s="928"/>
      <c r="IP149" s="928"/>
      <c r="IQ149" s="928"/>
      <c r="IR149" s="928"/>
      <c r="IS149" s="928"/>
      <c r="IT149" s="928"/>
      <c r="IU149" s="928"/>
      <c r="IV149" s="928"/>
      <c r="IW149" s="928"/>
    </row>
    <row r="150" spans="1:257" s="951" customFormat="1" ht="14" thickBot="1">
      <c r="A150" s="928"/>
      <c r="B150" s="928"/>
      <c r="C150" s="928"/>
      <c r="D150" s="928"/>
      <c r="E150" s="928"/>
      <c r="F150" s="928"/>
      <c r="G150" s="928"/>
      <c r="H150" s="928"/>
      <c r="I150" s="928"/>
      <c r="J150" s="928"/>
      <c r="K150" s="928"/>
      <c r="L150" s="928"/>
      <c r="M150" s="928"/>
      <c r="N150" s="928"/>
      <c r="O150" s="928"/>
      <c r="P150" s="928"/>
      <c r="Q150" s="928"/>
      <c r="R150" s="928"/>
      <c r="S150" s="928"/>
      <c r="T150" s="928"/>
      <c r="U150" s="928"/>
      <c r="V150" s="928"/>
      <c r="W150" s="928"/>
      <c r="X150" s="928"/>
      <c r="Y150" s="928"/>
      <c r="Z150" s="928"/>
      <c r="AA150" s="928"/>
      <c r="AB150" s="928"/>
      <c r="AC150" s="928"/>
      <c r="AD150" s="928"/>
      <c r="AE150" s="928"/>
      <c r="AF150" s="928"/>
      <c r="AG150" s="928"/>
      <c r="AH150" s="928"/>
      <c r="AI150" s="928"/>
      <c r="AJ150" s="928"/>
      <c r="AK150" s="928"/>
      <c r="AL150" s="928"/>
      <c r="AM150" s="928"/>
      <c r="AN150" s="928"/>
      <c r="AO150" s="928"/>
      <c r="AP150" s="928"/>
      <c r="AQ150" s="928"/>
      <c r="AR150" s="928"/>
      <c r="AS150" s="928"/>
      <c r="AT150" s="928"/>
      <c r="AU150" s="928"/>
      <c r="AV150" s="928"/>
      <c r="AW150" s="928"/>
      <c r="AX150" s="928"/>
      <c r="AY150" s="928"/>
      <c r="AZ150" s="928"/>
      <c r="BA150" s="928"/>
      <c r="BB150" s="928"/>
      <c r="BC150" s="928"/>
      <c r="BD150" s="928"/>
      <c r="BE150" s="928"/>
      <c r="BF150" s="928"/>
      <c r="BG150" s="928"/>
      <c r="BH150" s="928"/>
      <c r="BI150" s="928"/>
      <c r="BJ150" s="928"/>
      <c r="BK150" s="928"/>
      <c r="BL150" s="928"/>
      <c r="BM150" s="928"/>
      <c r="BN150" s="928"/>
      <c r="BO150" s="928"/>
      <c r="BP150" s="928"/>
      <c r="BQ150" s="928"/>
      <c r="BR150" s="928"/>
      <c r="BS150" s="928"/>
      <c r="BT150" s="928"/>
      <c r="BU150" s="928"/>
      <c r="BV150" s="928"/>
      <c r="BW150" s="928"/>
      <c r="BX150" s="928"/>
      <c r="BY150" s="928"/>
      <c r="BZ150" s="928"/>
      <c r="CA150" s="928"/>
      <c r="CB150" s="928"/>
      <c r="CC150" s="928"/>
      <c r="CD150" s="928"/>
      <c r="CE150" s="928"/>
      <c r="CF150" s="928"/>
      <c r="CG150" s="928"/>
      <c r="CH150" s="928"/>
      <c r="CI150" s="928"/>
      <c r="CJ150" s="928"/>
      <c r="CK150" s="928"/>
      <c r="CL150" s="928"/>
      <c r="CM150" s="928"/>
      <c r="CN150" s="928"/>
      <c r="CO150" s="928"/>
      <c r="CP150" s="928"/>
      <c r="CQ150" s="928"/>
      <c r="CR150" s="928"/>
      <c r="CS150" s="928"/>
      <c r="CT150" s="928"/>
      <c r="CU150" s="928"/>
      <c r="CV150" s="928"/>
      <c r="CW150" s="928"/>
      <c r="CX150" s="928"/>
      <c r="CY150" s="928"/>
      <c r="CZ150" s="928"/>
      <c r="DA150" s="928"/>
      <c r="DB150" s="928"/>
      <c r="DC150" s="928"/>
      <c r="DD150" s="928"/>
      <c r="DE150" s="928"/>
      <c r="DF150" s="928"/>
      <c r="DG150" s="928"/>
      <c r="DH150" s="928"/>
      <c r="DI150" s="928"/>
      <c r="DJ150" s="928"/>
      <c r="DK150" s="928"/>
      <c r="DL150" s="928"/>
      <c r="DM150" s="928"/>
      <c r="DN150" s="928"/>
      <c r="DO150" s="928"/>
      <c r="DP150" s="928"/>
      <c r="DQ150" s="928"/>
      <c r="DR150" s="928"/>
      <c r="DS150" s="928"/>
      <c r="DT150" s="928"/>
      <c r="DU150" s="928"/>
      <c r="DV150" s="928"/>
      <c r="DW150" s="928"/>
      <c r="DX150" s="928"/>
      <c r="DY150" s="928"/>
      <c r="DZ150" s="928"/>
      <c r="EA150" s="928"/>
      <c r="EB150" s="928"/>
      <c r="EC150" s="928"/>
      <c r="ED150" s="928"/>
      <c r="EE150" s="928"/>
      <c r="EF150" s="928"/>
      <c r="EG150" s="928"/>
      <c r="EH150" s="928"/>
      <c r="EI150" s="928"/>
      <c r="EJ150" s="928"/>
      <c r="EK150" s="928"/>
      <c r="EL150" s="928"/>
      <c r="EM150" s="928"/>
      <c r="EN150" s="928"/>
      <c r="EO150" s="928"/>
      <c r="EP150" s="928"/>
      <c r="EQ150" s="928"/>
      <c r="ER150" s="928"/>
      <c r="ES150" s="928"/>
      <c r="ET150" s="928"/>
      <c r="EU150" s="928"/>
      <c r="EV150" s="928"/>
      <c r="EW150" s="928"/>
      <c r="EX150" s="928"/>
      <c r="EY150" s="928"/>
      <c r="EZ150" s="928"/>
      <c r="FA150" s="928"/>
      <c r="FB150" s="928"/>
      <c r="FC150" s="928"/>
      <c r="FD150" s="928"/>
      <c r="FE150" s="928"/>
      <c r="FF150" s="928"/>
      <c r="FG150" s="928"/>
      <c r="FH150" s="928"/>
      <c r="FI150" s="928"/>
      <c r="FJ150" s="928"/>
      <c r="FK150" s="928"/>
      <c r="FL150" s="928"/>
      <c r="FM150" s="928"/>
      <c r="FN150" s="928"/>
      <c r="FO150" s="928"/>
      <c r="FP150" s="928"/>
      <c r="FQ150" s="928"/>
      <c r="FR150" s="928"/>
      <c r="FS150" s="928"/>
      <c r="FT150" s="928"/>
      <c r="FU150" s="928"/>
      <c r="FV150" s="928"/>
      <c r="FW150" s="928"/>
      <c r="FX150" s="928"/>
      <c r="FY150" s="928"/>
      <c r="FZ150" s="928"/>
      <c r="GA150" s="928"/>
      <c r="GB150" s="928"/>
      <c r="GC150" s="928"/>
      <c r="GD150" s="928"/>
      <c r="GE150" s="928"/>
      <c r="GF150" s="928"/>
      <c r="GG150" s="928"/>
      <c r="GH150" s="928"/>
      <c r="GI150" s="928"/>
      <c r="GJ150" s="928"/>
      <c r="GK150" s="928"/>
      <c r="GL150" s="928"/>
      <c r="GM150" s="928"/>
      <c r="GN150" s="928"/>
      <c r="GO150" s="928"/>
      <c r="GP150" s="928"/>
      <c r="GQ150" s="928"/>
      <c r="GR150" s="928"/>
      <c r="GS150" s="928"/>
      <c r="GT150" s="928"/>
      <c r="GU150" s="928"/>
      <c r="GV150" s="928"/>
      <c r="GW150" s="928"/>
      <c r="GX150" s="928"/>
      <c r="GY150" s="928"/>
      <c r="GZ150" s="928"/>
      <c r="HA150" s="928"/>
      <c r="HB150" s="928"/>
      <c r="HC150" s="928"/>
      <c r="HD150" s="928"/>
      <c r="HE150" s="928"/>
      <c r="HF150" s="928"/>
      <c r="HG150" s="928"/>
      <c r="HH150" s="928"/>
      <c r="HI150" s="928"/>
      <c r="HJ150" s="928"/>
      <c r="HK150" s="928"/>
      <c r="HL150" s="928"/>
      <c r="HM150" s="928"/>
      <c r="HN150" s="928"/>
      <c r="HO150" s="928"/>
      <c r="HP150" s="928"/>
      <c r="HQ150" s="928"/>
      <c r="HR150" s="928"/>
      <c r="HS150" s="928"/>
      <c r="HT150" s="928"/>
      <c r="HU150" s="928"/>
      <c r="HV150" s="928"/>
      <c r="HW150" s="928"/>
      <c r="HX150" s="928"/>
      <c r="HY150" s="928"/>
      <c r="HZ150" s="928"/>
      <c r="IA150" s="928"/>
      <c r="IB150" s="928"/>
      <c r="IC150" s="928"/>
      <c r="ID150" s="928"/>
      <c r="IE150" s="928"/>
      <c r="IF150" s="928"/>
      <c r="IG150" s="928"/>
      <c r="IH150" s="928"/>
      <c r="II150" s="928"/>
      <c r="IJ150" s="928"/>
      <c r="IK150" s="928"/>
      <c r="IL150" s="928"/>
      <c r="IM150" s="928"/>
      <c r="IN150" s="928"/>
      <c r="IO150" s="928"/>
      <c r="IP150" s="928"/>
      <c r="IQ150" s="928"/>
      <c r="IR150" s="928"/>
      <c r="IS150" s="928"/>
      <c r="IT150" s="928"/>
      <c r="IU150" s="928"/>
      <c r="IV150" s="928"/>
      <c r="IW150" s="928"/>
    </row>
    <row r="151" spans="1:257" s="951" customFormat="1" ht="71" thickTop="1">
      <c r="A151" s="2477" t="s">
        <v>1184</v>
      </c>
      <c r="B151" s="1212" t="s">
        <v>2223</v>
      </c>
      <c r="C151" s="1199">
        <v>4</v>
      </c>
      <c r="D151" s="1199">
        <v>5</v>
      </c>
      <c r="E151" s="1200" t="s">
        <v>1534</v>
      </c>
      <c r="F151" s="1201" t="str">
        <f>IF(Scoring!I160="","",Scoring!I160)</f>
        <v/>
      </c>
      <c r="G151" s="1202"/>
      <c r="H151" s="1202"/>
      <c r="I151" s="1203" t="s">
        <v>2640</v>
      </c>
      <c r="J151" s="1208"/>
      <c r="K151" s="1208"/>
      <c r="L151" s="1204"/>
      <c r="M151" s="1205"/>
      <c r="N151" s="928"/>
      <c r="O151" s="949"/>
      <c r="P151" s="948"/>
      <c r="Q151" s="928"/>
      <c r="R151" s="928"/>
      <c r="S151" s="928"/>
      <c r="T151" s="928"/>
      <c r="U151" s="928"/>
      <c r="V151" s="928"/>
      <c r="W151" s="928"/>
      <c r="X151" s="928"/>
      <c r="Y151" s="928"/>
      <c r="Z151" s="928"/>
      <c r="AA151" s="928"/>
      <c r="AB151" s="928"/>
      <c r="AC151" s="928"/>
      <c r="AD151" s="928"/>
      <c r="AE151" s="928"/>
      <c r="AF151" s="928"/>
      <c r="AG151" s="928"/>
      <c r="AH151" s="928"/>
      <c r="AI151" s="928"/>
      <c r="AJ151" s="928"/>
      <c r="AK151" s="928"/>
      <c r="AL151" s="928"/>
      <c r="AM151" s="928"/>
      <c r="AN151" s="928"/>
      <c r="AO151" s="928"/>
      <c r="AP151" s="928"/>
      <c r="AQ151" s="928"/>
      <c r="AR151" s="928"/>
      <c r="AS151" s="928"/>
      <c r="AT151" s="928"/>
      <c r="AU151" s="928"/>
      <c r="AV151" s="928"/>
      <c r="AW151" s="928"/>
      <c r="AX151" s="928"/>
      <c r="AY151" s="928"/>
      <c r="AZ151" s="928"/>
      <c r="BA151" s="928"/>
      <c r="BB151" s="928"/>
      <c r="BC151" s="928"/>
      <c r="BD151" s="928"/>
      <c r="BE151" s="928"/>
      <c r="BF151" s="928"/>
      <c r="BG151" s="928"/>
      <c r="BH151" s="928"/>
      <c r="BI151" s="928"/>
      <c r="BJ151" s="928"/>
      <c r="BK151" s="928"/>
      <c r="BL151" s="928"/>
      <c r="BM151" s="928"/>
      <c r="BN151" s="928"/>
      <c r="BO151" s="928"/>
      <c r="BP151" s="928"/>
      <c r="BQ151" s="928"/>
      <c r="BR151" s="928"/>
      <c r="BS151" s="928"/>
      <c r="BT151" s="928"/>
      <c r="BU151" s="928"/>
      <c r="BV151" s="928"/>
      <c r="BW151" s="928"/>
      <c r="BX151" s="928"/>
      <c r="BY151" s="928"/>
      <c r="BZ151" s="928"/>
      <c r="CA151" s="928"/>
      <c r="CB151" s="928"/>
      <c r="CC151" s="928"/>
      <c r="CD151" s="928"/>
      <c r="CE151" s="928"/>
      <c r="CF151" s="928"/>
      <c r="CG151" s="928"/>
      <c r="CH151" s="928"/>
      <c r="CI151" s="928"/>
      <c r="CJ151" s="928"/>
      <c r="CK151" s="928"/>
      <c r="CL151" s="928"/>
      <c r="CM151" s="928"/>
      <c r="CN151" s="928"/>
      <c r="CO151" s="928"/>
      <c r="CP151" s="928"/>
      <c r="CQ151" s="928"/>
      <c r="CR151" s="928"/>
      <c r="CS151" s="928"/>
      <c r="CT151" s="928"/>
      <c r="CU151" s="928"/>
      <c r="CV151" s="928"/>
      <c r="CW151" s="928"/>
      <c r="CX151" s="928"/>
      <c r="CY151" s="928"/>
      <c r="CZ151" s="928"/>
      <c r="DA151" s="928"/>
      <c r="DB151" s="928"/>
      <c r="DC151" s="928"/>
      <c r="DD151" s="928"/>
      <c r="DE151" s="928"/>
      <c r="DF151" s="928"/>
      <c r="DG151" s="928"/>
      <c r="DH151" s="928"/>
      <c r="DI151" s="928"/>
      <c r="DJ151" s="928"/>
      <c r="DK151" s="928"/>
      <c r="DL151" s="928"/>
      <c r="DM151" s="928"/>
      <c r="DN151" s="928"/>
      <c r="DO151" s="928"/>
      <c r="DP151" s="928"/>
      <c r="DQ151" s="928"/>
      <c r="DR151" s="928"/>
      <c r="DS151" s="928"/>
      <c r="DT151" s="928"/>
      <c r="DU151" s="928"/>
      <c r="DV151" s="928"/>
      <c r="DW151" s="928"/>
      <c r="DX151" s="928"/>
      <c r="DY151" s="928"/>
      <c r="DZ151" s="928"/>
      <c r="EA151" s="928"/>
      <c r="EB151" s="928"/>
      <c r="EC151" s="928"/>
      <c r="ED151" s="928"/>
      <c r="EE151" s="928"/>
      <c r="EF151" s="928"/>
      <c r="EG151" s="928"/>
      <c r="EH151" s="928"/>
      <c r="EI151" s="928"/>
      <c r="EJ151" s="928"/>
      <c r="EK151" s="928"/>
      <c r="EL151" s="928"/>
      <c r="EM151" s="928"/>
      <c r="EN151" s="928"/>
      <c r="EO151" s="928"/>
      <c r="EP151" s="928"/>
      <c r="EQ151" s="928"/>
      <c r="ER151" s="928"/>
      <c r="ES151" s="928"/>
      <c r="ET151" s="928"/>
      <c r="EU151" s="928"/>
      <c r="EV151" s="928"/>
      <c r="EW151" s="928"/>
      <c r="EX151" s="928"/>
      <c r="EY151" s="928"/>
      <c r="EZ151" s="928"/>
      <c r="FA151" s="928"/>
      <c r="FB151" s="928"/>
      <c r="FC151" s="928"/>
      <c r="FD151" s="928"/>
      <c r="FE151" s="928"/>
      <c r="FF151" s="928"/>
      <c r="FG151" s="928"/>
      <c r="FH151" s="928"/>
      <c r="FI151" s="928"/>
      <c r="FJ151" s="928"/>
      <c r="FK151" s="928"/>
      <c r="FL151" s="928"/>
      <c r="FM151" s="928"/>
      <c r="FN151" s="928"/>
      <c r="FO151" s="928"/>
      <c r="FP151" s="928"/>
      <c r="FQ151" s="928"/>
      <c r="FR151" s="928"/>
      <c r="FS151" s="928"/>
      <c r="FT151" s="928"/>
      <c r="FU151" s="928"/>
      <c r="FV151" s="928"/>
      <c r="FW151" s="928"/>
      <c r="FX151" s="928"/>
      <c r="FY151" s="928"/>
      <c r="FZ151" s="928"/>
      <c r="GA151" s="928"/>
      <c r="GB151" s="928"/>
      <c r="GC151" s="928"/>
      <c r="GD151" s="928"/>
      <c r="GE151" s="928"/>
      <c r="GF151" s="928"/>
      <c r="GG151" s="928"/>
      <c r="GH151" s="928"/>
      <c r="GI151" s="928"/>
      <c r="GJ151" s="928"/>
      <c r="GK151" s="928"/>
      <c r="GL151" s="928"/>
      <c r="GM151" s="928"/>
      <c r="GN151" s="928"/>
      <c r="GO151" s="928"/>
      <c r="GP151" s="928"/>
      <c r="GQ151" s="928"/>
      <c r="GR151" s="928"/>
      <c r="GS151" s="928"/>
      <c r="GT151" s="928"/>
      <c r="GU151" s="928"/>
      <c r="GV151" s="928"/>
      <c r="GW151" s="928"/>
      <c r="GX151" s="928"/>
      <c r="GY151" s="928"/>
      <c r="GZ151" s="928"/>
      <c r="HA151" s="928"/>
      <c r="HB151" s="928"/>
      <c r="HC151" s="928"/>
      <c r="HD151" s="928"/>
      <c r="HE151" s="928"/>
      <c r="HF151" s="928"/>
      <c r="HG151" s="928"/>
      <c r="HH151" s="928"/>
      <c r="HI151" s="928"/>
      <c r="HJ151" s="928"/>
      <c r="HK151" s="928"/>
      <c r="HL151" s="928"/>
      <c r="HM151" s="928"/>
      <c r="HN151" s="928"/>
      <c r="HO151" s="928"/>
      <c r="HP151" s="928"/>
      <c r="HQ151" s="928"/>
      <c r="HR151" s="928"/>
      <c r="HS151" s="928"/>
      <c r="HT151" s="928"/>
      <c r="HU151" s="928"/>
      <c r="HV151" s="928"/>
      <c r="HW151" s="928"/>
      <c r="HX151" s="928"/>
      <c r="HY151" s="928"/>
      <c r="HZ151" s="928"/>
      <c r="IA151" s="928"/>
      <c r="IB151" s="928"/>
      <c r="IC151" s="928"/>
      <c r="ID151" s="928"/>
      <c r="IE151" s="928"/>
      <c r="IF151" s="928"/>
      <c r="IG151" s="928"/>
      <c r="IH151" s="928"/>
      <c r="II151" s="928"/>
      <c r="IJ151" s="928"/>
      <c r="IK151" s="928"/>
      <c r="IL151" s="928"/>
      <c r="IM151" s="928"/>
      <c r="IN151" s="928"/>
      <c r="IO151" s="928"/>
      <c r="IP151" s="928"/>
      <c r="IQ151" s="928"/>
      <c r="IR151" s="928"/>
      <c r="IS151" s="928"/>
      <c r="IT151" s="928"/>
      <c r="IU151" s="928"/>
      <c r="IV151" s="928"/>
      <c r="IW151" s="928"/>
    </row>
    <row r="152" spans="1:257" s="951" customFormat="1" ht="70">
      <c r="A152" s="2478"/>
      <c r="B152" s="993" t="s">
        <v>2225</v>
      </c>
      <c r="C152" s="985">
        <v>4</v>
      </c>
      <c r="D152" s="985">
        <v>5</v>
      </c>
      <c r="E152" s="986" t="s">
        <v>1537</v>
      </c>
      <c r="F152" s="968" t="str">
        <f>IF(Scoring!I161="","",Scoring!I161)</f>
        <v/>
      </c>
      <c r="G152" s="987"/>
      <c r="H152" s="987"/>
      <c r="I152" s="988" t="s">
        <v>2639</v>
      </c>
      <c r="J152" s="969"/>
      <c r="K152" s="969"/>
      <c r="L152" s="989"/>
      <c r="M152" s="990"/>
      <c r="N152" s="928"/>
      <c r="O152" s="945"/>
      <c r="P152" s="955"/>
      <c r="Q152" s="928"/>
      <c r="R152" s="928"/>
      <c r="S152" s="928"/>
      <c r="T152" s="928"/>
      <c r="U152" s="928"/>
      <c r="V152" s="928"/>
      <c r="W152" s="928"/>
      <c r="X152" s="928"/>
      <c r="Y152" s="928"/>
      <c r="Z152" s="928"/>
      <c r="AA152" s="928"/>
      <c r="AB152" s="928"/>
      <c r="AC152" s="928"/>
      <c r="AD152" s="928"/>
      <c r="AE152" s="928"/>
      <c r="AF152" s="928"/>
      <c r="AG152" s="928"/>
      <c r="AH152" s="928"/>
      <c r="AI152" s="928"/>
      <c r="AJ152" s="928"/>
      <c r="AK152" s="928"/>
      <c r="AL152" s="928"/>
      <c r="AM152" s="928"/>
      <c r="AN152" s="928"/>
      <c r="AO152" s="928"/>
      <c r="AP152" s="928"/>
      <c r="AQ152" s="928"/>
      <c r="AR152" s="928"/>
      <c r="AS152" s="928"/>
      <c r="AT152" s="928"/>
      <c r="AU152" s="928"/>
      <c r="AV152" s="928"/>
      <c r="AW152" s="928"/>
      <c r="AX152" s="928"/>
      <c r="AY152" s="928"/>
      <c r="AZ152" s="928"/>
      <c r="BA152" s="928"/>
      <c r="BB152" s="928"/>
      <c r="BC152" s="928"/>
      <c r="BD152" s="928"/>
      <c r="BE152" s="928"/>
      <c r="BF152" s="928"/>
      <c r="BG152" s="928"/>
      <c r="BH152" s="928"/>
      <c r="BI152" s="928"/>
      <c r="BJ152" s="928"/>
      <c r="BK152" s="928"/>
      <c r="BL152" s="928"/>
      <c r="BM152" s="928"/>
      <c r="BN152" s="928"/>
      <c r="BO152" s="928"/>
      <c r="BP152" s="928"/>
      <c r="BQ152" s="928"/>
      <c r="BR152" s="928"/>
      <c r="BS152" s="928"/>
      <c r="BT152" s="928"/>
      <c r="BU152" s="928"/>
      <c r="BV152" s="928"/>
      <c r="BW152" s="928"/>
      <c r="BX152" s="928"/>
      <c r="BY152" s="928"/>
      <c r="BZ152" s="928"/>
      <c r="CA152" s="928"/>
      <c r="CB152" s="928"/>
      <c r="CC152" s="928"/>
      <c r="CD152" s="928"/>
      <c r="CE152" s="928"/>
      <c r="CF152" s="928"/>
      <c r="CG152" s="928"/>
      <c r="CH152" s="928"/>
      <c r="CI152" s="928"/>
      <c r="CJ152" s="928"/>
      <c r="CK152" s="928"/>
      <c r="CL152" s="928"/>
      <c r="CM152" s="928"/>
      <c r="CN152" s="928"/>
      <c r="CO152" s="928"/>
      <c r="CP152" s="928"/>
      <c r="CQ152" s="928"/>
      <c r="CR152" s="928"/>
      <c r="CS152" s="928"/>
      <c r="CT152" s="928"/>
      <c r="CU152" s="928"/>
      <c r="CV152" s="928"/>
      <c r="CW152" s="928"/>
      <c r="CX152" s="928"/>
      <c r="CY152" s="928"/>
      <c r="CZ152" s="928"/>
      <c r="DA152" s="928"/>
      <c r="DB152" s="928"/>
      <c r="DC152" s="928"/>
      <c r="DD152" s="928"/>
      <c r="DE152" s="928"/>
      <c r="DF152" s="928"/>
      <c r="DG152" s="928"/>
      <c r="DH152" s="928"/>
      <c r="DI152" s="928"/>
      <c r="DJ152" s="928"/>
      <c r="DK152" s="928"/>
      <c r="DL152" s="928"/>
      <c r="DM152" s="928"/>
      <c r="DN152" s="928"/>
      <c r="DO152" s="928"/>
      <c r="DP152" s="928"/>
      <c r="DQ152" s="928"/>
      <c r="DR152" s="928"/>
      <c r="DS152" s="928"/>
      <c r="DT152" s="928"/>
      <c r="DU152" s="928"/>
      <c r="DV152" s="928"/>
      <c r="DW152" s="928"/>
      <c r="DX152" s="928"/>
      <c r="DY152" s="928"/>
      <c r="DZ152" s="928"/>
      <c r="EA152" s="928"/>
      <c r="EB152" s="928"/>
      <c r="EC152" s="928"/>
      <c r="ED152" s="928"/>
      <c r="EE152" s="928"/>
      <c r="EF152" s="928"/>
      <c r="EG152" s="928"/>
      <c r="EH152" s="928"/>
      <c r="EI152" s="928"/>
      <c r="EJ152" s="928"/>
      <c r="EK152" s="928"/>
      <c r="EL152" s="928"/>
      <c r="EM152" s="928"/>
      <c r="EN152" s="928"/>
      <c r="EO152" s="928"/>
      <c r="EP152" s="928"/>
      <c r="EQ152" s="928"/>
      <c r="ER152" s="928"/>
      <c r="ES152" s="928"/>
      <c r="ET152" s="928"/>
      <c r="EU152" s="928"/>
      <c r="EV152" s="928"/>
      <c r="EW152" s="928"/>
      <c r="EX152" s="928"/>
      <c r="EY152" s="928"/>
      <c r="EZ152" s="928"/>
      <c r="FA152" s="928"/>
      <c r="FB152" s="928"/>
      <c r="FC152" s="928"/>
      <c r="FD152" s="928"/>
      <c r="FE152" s="928"/>
      <c r="FF152" s="928"/>
      <c r="FG152" s="928"/>
      <c r="FH152" s="928"/>
      <c r="FI152" s="928"/>
      <c r="FJ152" s="928"/>
      <c r="FK152" s="928"/>
      <c r="FL152" s="928"/>
      <c r="FM152" s="928"/>
      <c r="FN152" s="928"/>
      <c r="FO152" s="928"/>
      <c r="FP152" s="928"/>
      <c r="FQ152" s="928"/>
      <c r="FR152" s="928"/>
      <c r="FS152" s="928"/>
      <c r="FT152" s="928"/>
      <c r="FU152" s="928"/>
      <c r="FV152" s="928"/>
      <c r="FW152" s="928"/>
      <c r="FX152" s="928"/>
      <c r="FY152" s="928"/>
      <c r="FZ152" s="928"/>
      <c r="GA152" s="928"/>
      <c r="GB152" s="928"/>
      <c r="GC152" s="928"/>
      <c r="GD152" s="928"/>
      <c r="GE152" s="928"/>
      <c r="GF152" s="928"/>
      <c r="GG152" s="928"/>
      <c r="GH152" s="928"/>
      <c r="GI152" s="928"/>
      <c r="GJ152" s="928"/>
      <c r="GK152" s="928"/>
      <c r="GL152" s="928"/>
      <c r="GM152" s="928"/>
      <c r="GN152" s="928"/>
      <c r="GO152" s="928"/>
      <c r="GP152" s="928"/>
      <c r="GQ152" s="928"/>
      <c r="GR152" s="928"/>
      <c r="GS152" s="928"/>
      <c r="GT152" s="928"/>
      <c r="GU152" s="928"/>
      <c r="GV152" s="928"/>
      <c r="GW152" s="928"/>
      <c r="GX152" s="928"/>
      <c r="GY152" s="928"/>
      <c r="GZ152" s="928"/>
      <c r="HA152" s="928"/>
      <c r="HB152" s="928"/>
      <c r="HC152" s="928"/>
      <c r="HD152" s="928"/>
      <c r="HE152" s="928"/>
      <c r="HF152" s="928"/>
      <c r="HG152" s="928"/>
      <c r="HH152" s="928"/>
      <c r="HI152" s="928"/>
      <c r="HJ152" s="928"/>
      <c r="HK152" s="928"/>
      <c r="HL152" s="928"/>
      <c r="HM152" s="928"/>
      <c r="HN152" s="928"/>
      <c r="HO152" s="928"/>
      <c r="HP152" s="928"/>
      <c r="HQ152" s="928"/>
      <c r="HR152" s="928"/>
      <c r="HS152" s="928"/>
      <c r="HT152" s="928"/>
      <c r="HU152" s="928"/>
      <c r="HV152" s="928"/>
      <c r="HW152" s="928"/>
      <c r="HX152" s="928"/>
      <c r="HY152" s="928"/>
      <c r="HZ152" s="928"/>
      <c r="IA152" s="928"/>
      <c r="IB152" s="928"/>
      <c r="IC152" s="928"/>
      <c r="ID152" s="928"/>
      <c r="IE152" s="928"/>
      <c r="IF152" s="928"/>
      <c r="IG152" s="928"/>
      <c r="IH152" s="928"/>
      <c r="II152" s="928"/>
      <c r="IJ152" s="928"/>
      <c r="IK152" s="928"/>
      <c r="IL152" s="928"/>
      <c r="IM152" s="928"/>
      <c r="IN152" s="928"/>
      <c r="IO152" s="928"/>
      <c r="IP152" s="928"/>
      <c r="IQ152" s="928"/>
      <c r="IR152" s="928"/>
      <c r="IS152" s="928"/>
      <c r="IT152" s="928"/>
      <c r="IU152" s="928"/>
      <c r="IV152" s="928"/>
      <c r="IW152" s="928"/>
    </row>
    <row r="153" spans="1:257" s="951" customFormat="1" ht="70">
      <c r="A153" s="2478"/>
      <c r="B153" s="993" t="s">
        <v>2227</v>
      </c>
      <c r="C153" s="985">
        <v>4</v>
      </c>
      <c r="D153" s="985">
        <v>5</v>
      </c>
      <c r="E153" s="986" t="s">
        <v>1540</v>
      </c>
      <c r="F153" s="968" t="str">
        <f>IF(Scoring!I162="","",Scoring!I162)</f>
        <v/>
      </c>
      <c r="G153" s="987"/>
      <c r="H153" s="987"/>
      <c r="I153" s="988" t="s">
        <v>2638</v>
      </c>
      <c r="J153" s="969"/>
      <c r="K153" s="969"/>
      <c r="L153" s="989"/>
      <c r="M153" s="990"/>
      <c r="N153" s="928"/>
      <c r="O153" s="945"/>
      <c r="P153" s="955"/>
      <c r="Q153" s="928"/>
      <c r="R153" s="928"/>
      <c r="S153" s="928"/>
      <c r="T153" s="928"/>
      <c r="U153" s="928"/>
      <c r="V153" s="928"/>
      <c r="W153" s="928"/>
      <c r="X153" s="928"/>
      <c r="Y153" s="928"/>
      <c r="Z153" s="928"/>
      <c r="AA153" s="928"/>
      <c r="AB153" s="928"/>
      <c r="AC153" s="928"/>
      <c r="AD153" s="928"/>
      <c r="AE153" s="928"/>
      <c r="AF153" s="928"/>
      <c r="AG153" s="928"/>
      <c r="AH153" s="928"/>
      <c r="AI153" s="928"/>
      <c r="AJ153" s="928"/>
      <c r="AK153" s="928"/>
      <c r="AL153" s="928"/>
      <c r="AM153" s="928"/>
      <c r="AN153" s="928"/>
      <c r="AO153" s="928"/>
      <c r="AP153" s="928"/>
      <c r="AQ153" s="928"/>
      <c r="AR153" s="928"/>
      <c r="AS153" s="928"/>
      <c r="AT153" s="928"/>
      <c r="AU153" s="928"/>
      <c r="AV153" s="928"/>
      <c r="AW153" s="928"/>
      <c r="AX153" s="928"/>
      <c r="AY153" s="928"/>
      <c r="AZ153" s="928"/>
      <c r="BA153" s="928"/>
      <c r="BB153" s="928"/>
      <c r="BC153" s="928"/>
      <c r="BD153" s="928"/>
      <c r="BE153" s="928"/>
      <c r="BF153" s="928"/>
      <c r="BG153" s="928"/>
      <c r="BH153" s="928"/>
      <c r="BI153" s="928"/>
      <c r="BJ153" s="928"/>
      <c r="BK153" s="928"/>
      <c r="BL153" s="928"/>
      <c r="BM153" s="928"/>
      <c r="BN153" s="928"/>
      <c r="BO153" s="928"/>
      <c r="BP153" s="928"/>
      <c r="BQ153" s="928"/>
      <c r="BR153" s="928"/>
      <c r="BS153" s="928"/>
      <c r="BT153" s="928"/>
      <c r="BU153" s="928"/>
      <c r="BV153" s="928"/>
      <c r="BW153" s="928"/>
      <c r="BX153" s="928"/>
      <c r="BY153" s="928"/>
      <c r="BZ153" s="928"/>
      <c r="CA153" s="928"/>
      <c r="CB153" s="928"/>
      <c r="CC153" s="928"/>
      <c r="CD153" s="928"/>
      <c r="CE153" s="928"/>
      <c r="CF153" s="928"/>
      <c r="CG153" s="928"/>
      <c r="CH153" s="928"/>
      <c r="CI153" s="928"/>
      <c r="CJ153" s="928"/>
      <c r="CK153" s="928"/>
      <c r="CL153" s="928"/>
      <c r="CM153" s="928"/>
      <c r="CN153" s="928"/>
      <c r="CO153" s="928"/>
      <c r="CP153" s="928"/>
      <c r="CQ153" s="928"/>
      <c r="CR153" s="928"/>
      <c r="CS153" s="928"/>
      <c r="CT153" s="928"/>
      <c r="CU153" s="928"/>
      <c r="CV153" s="928"/>
      <c r="CW153" s="928"/>
      <c r="CX153" s="928"/>
      <c r="CY153" s="928"/>
      <c r="CZ153" s="928"/>
      <c r="DA153" s="928"/>
      <c r="DB153" s="928"/>
      <c r="DC153" s="928"/>
      <c r="DD153" s="928"/>
      <c r="DE153" s="928"/>
      <c r="DF153" s="928"/>
      <c r="DG153" s="928"/>
      <c r="DH153" s="928"/>
      <c r="DI153" s="928"/>
      <c r="DJ153" s="928"/>
      <c r="DK153" s="928"/>
      <c r="DL153" s="928"/>
      <c r="DM153" s="928"/>
      <c r="DN153" s="928"/>
      <c r="DO153" s="928"/>
      <c r="DP153" s="928"/>
      <c r="DQ153" s="928"/>
      <c r="DR153" s="928"/>
      <c r="DS153" s="928"/>
      <c r="DT153" s="928"/>
      <c r="DU153" s="928"/>
      <c r="DV153" s="928"/>
      <c r="DW153" s="928"/>
      <c r="DX153" s="928"/>
      <c r="DY153" s="928"/>
      <c r="DZ153" s="928"/>
      <c r="EA153" s="928"/>
      <c r="EB153" s="928"/>
      <c r="EC153" s="928"/>
      <c r="ED153" s="928"/>
      <c r="EE153" s="928"/>
      <c r="EF153" s="928"/>
      <c r="EG153" s="928"/>
      <c r="EH153" s="928"/>
      <c r="EI153" s="928"/>
      <c r="EJ153" s="928"/>
      <c r="EK153" s="928"/>
      <c r="EL153" s="928"/>
      <c r="EM153" s="928"/>
      <c r="EN153" s="928"/>
      <c r="EO153" s="928"/>
      <c r="EP153" s="928"/>
      <c r="EQ153" s="928"/>
      <c r="ER153" s="928"/>
      <c r="ES153" s="928"/>
      <c r="ET153" s="928"/>
      <c r="EU153" s="928"/>
      <c r="EV153" s="928"/>
      <c r="EW153" s="928"/>
      <c r="EX153" s="928"/>
      <c r="EY153" s="928"/>
      <c r="EZ153" s="928"/>
      <c r="FA153" s="928"/>
      <c r="FB153" s="928"/>
      <c r="FC153" s="928"/>
      <c r="FD153" s="928"/>
      <c r="FE153" s="928"/>
      <c r="FF153" s="928"/>
      <c r="FG153" s="928"/>
      <c r="FH153" s="928"/>
      <c r="FI153" s="928"/>
      <c r="FJ153" s="928"/>
      <c r="FK153" s="928"/>
      <c r="FL153" s="928"/>
      <c r="FM153" s="928"/>
      <c r="FN153" s="928"/>
      <c r="FO153" s="928"/>
      <c r="FP153" s="928"/>
      <c r="FQ153" s="928"/>
      <c r="FR153" s="928"/>
      <c r="FS153" s="928"/>
      <c r="FT153" s="928"/>
      <c r="FU153" s="928"/>
      <c r="FV153" s="928"/>
      <c r="FW153" s="928"/>
      <c r="FX153" s="928"/>
      <c r="FY153" s="928"/>
      <c r="FZ153" s="928"/>
      <c r="GA153" s="928"/>
      <c r="GB153" s="928"/>
      <c r="GC153" s="928"/>
      <c r="GD153" s="928"/>
      <c r="GE153" s="928"/>
      <c r="GF153" s="928"/>
      <c r="GG153" s="928"/>
      <c r="GH153" s="928"/>
      <c r="GI153" s="928"/>
      <c r="GJ153" s="928"/>
      <c r="GK153" s="928"/>
      <c r="GL153" s="928"/>
      <c r="GM153" s="928"/>
      <c r="GN153" s="928"/>
      <c r="GO153" s="928"/>
      <c r="GP153" s="928"/>
      <c r="GQ153" s="928"/>
      <c r="GR153" s="928"/>
      <c r="GS153" s="928"/>
      <c r="GT153" s="928"/>
      <c r="GU153" s="928"/>
      <c r="GV153" s="928"/>
      <c r="GW153" s="928"/>
      <c r="GX153" s="928"/>
      <c r="GY153" s="928"/>
      <c r="GZ153" s="928"/>
      <c r="HA153" s="928"/>
      <c r="HB153" s="928"/>
      <c r="HC153" s="928"/>
      <c r="HD153" s="928"/>
      <c r="HE153" s="928"/>
      <c r="HF153" s="928"/>
      <c r="HG153" s="928"/>
      <c r="HH153" s="928"/>
      <c r="HI153" s="928"/>
      <c r="HJ153" s="928"/>
      <c r="HK153" s="928"/>
      <c r="HL153" s="928"/>
      <c r="HM153" s="928"/>
      <c r="HN153" s="928"/>
      <c r="HO153" s="928"/>
      <c r="HP153" s="928"/>
      <c r="HQ153" s="928"/>
      <c r="HR153" s="928"/>
      <c r="HS153" s="928"/>
      <c r="HT153" s="928"/>
      <c r="HU153" s="928"/>
      <c r="HV153" s="928"/>
      <c r="HW153" s="928"/>
      <c r="HX153" s="928"/>
      <c r="HY153" s="928"/>
      <c r="HZ153" s="928"/>
      <c r="IA153" s="928"/>
      <c r="IB153" s="928"/>
      <c r="IC153" s="928"/>
      <c r="ID153" s="928"/>
      <c r="IE153" s="928"/>
      <c r="IF153" s="928"/>
      <c r="IG153" s="928"/>
      <c r="IH153" s="928"/>
      <c r="II153" s="928"/>
      <c r="IJ153" s="928"/>
      <c r="IK153" s="928"/>
      <c r="IL153" s="928"/>
      <c r="IM153" s="928"/>
      <c r="IN153" s="928"/>
      <c r="IO153" s="928"/>
      <c r="IP153" s="928"/>
      <c r="IQ153" s="928"/>
      <c r="IR153" s="928"/>
      <c r="IS153" s="928"/>
      <c r="IT153" s="928"/>
      <c r="IU153" s="928"/>
      <c r="IV153" s="928"/>
      <c r="IW153" s="928"/>
    </row>
    <row r="154" spans="1:257" ht="70">
      <c r="A154" s="2479"/>
      <c r="B154" s="993" t="s">
        <v>2230</v>
      </c>
      <c r="C154" s="985">
        <v>4</v>
      </c>
      <c r="D154" s="985">
        <v>5</v>
      </c>
      <c r="E154" s="986" t="s">
        <v>1543</v>
      </c>
      <c r="F154" s="968" t="str">
        <f>IF(Scoring!I163="","",Scoring!I163)</f>
        <v/>
      </c>
      <c r="G154" s="987"/>
      <c r="H154" s="987"/>
      <c r="I154" s="988" t="s">
        <v>2637</v>
      </c>
      <c r="J154" s="969"/>
      <c r="K154" s="969"/>
      <c r="L154" s="989"/>
      <c r="M154" s="990"/>
      <c r="O154" s="947"/>
      <c r="P154" s="954"/>
    </row>
    <row r="155" spans="1:257" ht="57" thickBot="1">
      <c r="A155" s="2480"/>
      <c r="B155" s="996" t="s">
        <v>2232</v>
      </c>
      <c r="C155" s="997">
        <v>4</v>
      </c>
      <c r="D155" s="997">
        <v>5</v>
      </c>
      <c r="E155" s="998" t="s">
        <v>1545</v>
      </c>
      <c r="F155" s="973" t="str">
        <f>IF(Scoring!I164="","",Scoring!I164)</f>
        <v/>
      </c>
      <c r="G155" s="999"/>
      <c r="H155" s="999"/>
      <c r="I155" s="1000" t="s">
        <v>2636</v>
      </c>
      <c r="J155" s="974"/>
      <c r="K155" s="974">
        <f>COUNT(F151:F155)</f>
        <v>0</v>
      </c>
      <c r="L155" s="1207">
        <f>SUM(F151:F155)</f>
        <v>0</v>
      </c>
      <c r="M155" s="976">
        <f>IF(L155&lt;3,0,1)</f>
        <v>0</v>
      </c>
      <c r="O155" s="942"/>
      <c r="P155" s="956">
        <f>COUNTA(F151:F158)</f>
        <v>6</v>
      </c>
    </row>
    <row r="156" spans="1:257" ht="14" thickTop="1">
      <c r="A156" s="915"/>
      <c r="F156" s="915"/>
      <c r="J156" s="915"/>
      <c r="K156" s="915"/>
    </row>
    <row r="157" spans="1:257" ht="14" thickBot="1">
      <c r="A157" s="915"/>
      <c r="F157" s="915"/>
      <c r="J157" s="915"/>
      <c r="K157" s="915"/>
    </row>
    <row r="158" spans="1:257" s="951" customFormat="1" ht="57" thickTop="1">
      <c r="A158" s="2477" t="s">
        <v>2236</v>
      </c>
      <c r="B158" s="1212" t="s">
        <v>2237</v>
      </c>
      <c r="C158" s="1199">
        <v>4</v>
      </c>
      <c r="D158" s="1199">
        <v>6</v>
      </c>
      <c r="E158" s="1200" t="s">
        <v>1548</v>
      </c>
      <c r="F158" s="1201" t="str">
        <f>IF(Scoring!I167="","",Scoring!I167)</f>
        <v/>
      </c>
      <c r="G158" s="1202"/>
      <c r="H158" s="1202"/>
      <c r="I158" s="1203" t="s">
        <v>2563</v>
      </c>
      <c r="J158" s="1208"/>
      <c r="K158" s="1208"/>
      <c r="L158" s="1204"/>
      <c r="M158" s="1205"/>
      <c r="N158" s="928"/>
      <c r="O158" s="949"/>
      <c r="P158" s="948"/>
      <c r="Q158" s="928"/>
      <c r="R158" s="928"/>
      <c r="S158" s="928"/>
      <c r="T158" s="928"/>
      <c r="U158" s="928"/>
      <c r="V158" s="928"/>
      <c r="W158" s="928"/>
      <c r="X158" s="928"/>
      <c r="Y158" s="928"/>
      <c r="Z158" s="928"/>
      <c r="AA158" s="928"/>
      <c r="AB158" s="928"/>
      <c r="AC158" s="928"/>
      <c r="AD158" s="928"/>
      <c r="AE158" s="928"/>
      <c r="AF158" s="928"/>
      <c r="AG158" s="928"/>
      <c r="AH158" s="928"/>
      <c r="AI158" s="928"/>
      <c r="AJ158" s="928"/>
      <c r="AK158" s="928"/>
      <c r="AL158" s="928"/>
      <c r="AM158" s="928"/>
      <c r="AN158" s="928"/>
      <c r="AO158" s="928"/>
      <c r="AP158" s="928"/>
      <c r="AQ158" s="928"/>
      <c r="AR158" s="928"/>
      <c r="AS158" s="928"/>
      <c r="AT158" s="928"/>
      <c r="AU158" s="928"/>
      <c r="AV158" s="928"/>
      <c r="AW158" s="928"/>
      <c r="AX158" s="928"/>
      <c r="AY158" s="928"/>
      <c r="AZ158" s="928"/>
      <c r="BA158" s="928"/>
      <c r="BB158" s="928"/>
      <c r="BC158" s="928"/>
      <c r="BD158" s="928"/>
      <c r="BE158" s="928"/>
      <c r="BF158" s="928"/>
      <c r="BG158" s="928"/>
      <c r="BH158" s="928"/>
      <c r="BI158" s="928"/>
      <c r="BJ158" s="928"/>
      <c r="BK158" s="928"/>
      <c r="BL158" s="928"/>
      <c r="BM158" s="928"/>
      <c r="BN158" s="928"/>
      <c r="BO158" s="928"/>
      <c r="BP158" s="928"/>
      <c r="BQ158" s="928"/>
      <c r="BR158" s="928"/>
      <c r="BS158" s="928"/>
      <c r="BT158" s="928"/>
      <c r="BU158" s="928"/>
      <c r="BV158" s="928"/>
      <c r="BW158" s="928"/>
      <c r="BX158" s="928"/>
      <c r="BY158" s="928"/>
      <c r="BZ158" s="928"/>
      <c r="CA158" s="928"/>
      <c r="CB158" s="928"/>
      <c r="CC158" s="928"/>
      <c r="CD158" s="928"/>
      <c r="CE158" s="928"/>
      <c r="CF158" s="928"/>
      <c r="CG158" s="928"/>
      <c r="CH158" s="928"/>
      <c r="CI158" s="928"/>
      <c r="CJ158" s="928"/>
      <c r="CK158" s="928"/>
      <c r="CL158" s="928"/>
      <c r="CM158" s="928"/>
      <c r="CN158" s="928"/>
      <c r="CO158" s="928"/>
      <c r="CP158" s="928"/>
      <c r="CQ158" s="928"/>
      <c r="CR158" s="928"/>
      <c r="CS158" s="928"/>
      <c r="CT158" s="928"/>
      <c r="CU158" s="928"/>
      <c r="CV158" s="928"/>
      <c r="CW158" s="928"/>
      <c r="CX158" s="928"/>
      <c r="CY158" s="928"/>
      <c r="CZ158" s="928"/>
      <c r="DA158" s="928"/>
      <c r="DB158" s="928"/>
      <c r="DC158" s="928"/>
      <c r="DD158" s="928"/>
      <c r="DE158" s="928"/>
      <c r="DF158" s="928"/>
      <c r="DG158" s="928"/>
      <c r="DH158" s="928"/>
      <c r="DI158" s="928"/>
      <c r="DJ158" s="928"/>
      <c r="DK158" s="928"/>
      <c r="DL158" s="928"/>
      <c r="DM158" s="928"/>
      <c r="DN158" s="928"/>
      <c r="DO158" s="928"/>
      <c r="DP158" s="928"/>
      <c r="DQ158" s="928"/>
      <c r="DR158" s="928"/>
      <c r="DS158" s="928"/>
      <c r="DT158" s="928"/>
      <c r="DU158" s="928"/>
      <c r="DV158" s="928"/>
      <c r="DW158" s="928"/>
      <c r="DX158" s="928"/>
      <c r="DY158" s="928"/>
      <c r="DZ158" s="928"/>
      <c r="EA158" s="928"/>
      <c r="EB158" s="928"/>
      <c r="EC158" s="928"/>
      <c r="ED158" s="928"/>
      <c r="EE158" s="928"/>
      <c r="EF158" s="928"/>
      <c r="EG158" s="928"/>
      <c r="EH158" s="928"/>
      <c r="EI158" s="928"/>
      <c r="EJ158" s="928"/>
      <c r="EK158" s="928"/>
      <c r="EL158" s="928"/>
      <c r="EM158" s="928"/>
      <c r="EN158" s="928"/>
      <c r="EO158" s="928"/>
      <c r="EP158" s="928"/>
      <c r="EQ158" s="928"/>
      <c r="ER158" s="928"/>
      <c r="ES158" s="928"/>
      <c r="ET158" s="928"/>
      <c r="EU158" s="928"/>
      <c r="EV158" s="928"/>
      <c r="EW158" s="928"/>
      <c r="EX158" s="928"/>
      <c r="EY158" s="928"/>
      <c r="EZ158" s="928"/>
      <c r="FA158" s="928"/>
      <c r="FB158" s="928"/>
      <c r="FC158" s="928"/>
      <c r="FD158" s="928"/>
      <c r="FE158" s="928"/>
      <c r="FF158" s="928"/>
      <c r="FG158" s="928"/>
      <c r="FH158" s="928"/>
      <c r="FI158" s="928"/>
      <c r="FJ158" s="928"/>
      <c r="FK158" s="928"/>
      <c r="FL158" s="928"/>
      <c r="FM158" s="928"/>
      <c r="FN158" s="928"/>
      <c r="FO158" s="928"/>
      <c r="FP158" s="928"/>
      <c r="FQ158" s="928"/>
      <c r="FR158" s="928"/>
      <c r="FS158" s="928"/>
      <c r="FT158" s="928"/>
      <c r="FU158" s="928"/>
      <c r="FV158" s="928"/>
      <c r="FW158" s="928"/>
      <c r="FX158" s="928"/>
      <c r="FY158" s="928"/>
      <c r="FZ158" s="928"/>
      <c r="GA158" s="928"/>
      <c r="GB158" s="928"/>
      <c r="GC158" s="928"/>
      <c r="GD158" s="928"/>
      <c r="GE158" s="928"/>
      <c r="GF158" s="928"/>
      <c r="GG158" s="928"/>
      <c r="GH158" s="928"/>
      <c r="GI158" s="928"/>
      <c r="GJ158" s="928"/>
      <c r="GK158" s="928"/>
      <c r="GL158" s="928"/>
      <c r="GM158" s="928"/>
      <c r="GN158" s="928"/>
      <c r="GO158" s="928"/>
      <c r="GP158" s="928"/>
      <c r="GQ158" s="928"/>
      <c r="GR158" s="928"/>
      <c r="GS158" s="928"/>
      <c r="GT158" s="928"/>
      <c r="GU158" s="928"/>
      <c r="GV158" s="928"/>
      <c r="GW158" s="928"/>
      <c r="GX158" s="928"/>
      <c r="GY158" s="928"/>
      <c r="GZ158" s="928"/>
      <c r="HA158" s="928"/>
      <c r="HB158" s="928"/>
      <c r="HC158" s="928"/>
      <c r="HD158" s="928"/>
      <c r="HE158" s="928"/>
      <c r="HF158" s="928"/>
      <c r="HG158" s="928"/>
      <c r="HH158" s="928"/>
      <c r="HI158" s="928"/>
      <c r="HJ158" s="928"/>
      <c r="HK158" s="928"/>
      <c r="HL158" s="928"/>
      <c r="HM158" s="928"/>
      <c r="HN158" s="928"/>
      <c r="HO158" s="928"/>
      <c r="HP158" s="928"/>
      <c r="HQ158" s="928"/>
      <c r="HR158" s="928"/>
      <c r="HS158" s="928"/>
      <c r="HT158" s="928"/>
      <c r="HU158" s="928"/>
      <c r="HV158" s="928"/>
      <c r="HW158" s="928"/>
      <c r="HX158" s="928"/>
      <c r="HY158" s="928"/>
      <c r="HZ158" s="928"/>
      <c r="IA158" s="928"/>
      <c r="IB158" s="928"/>
      <c r="IC158" s="928"/>
      <c r="ID158" s="928"/>
      <c r="IE158" s="928"/>
      <c r="IF158" s="928"/>
      <c r="IG158" s="928"/>
      <c r="IH158" s="928"/>
      <c r="II158" s="928"/>
      <c r="IJ158" s="928"/>
      <c r="IK158" s="928"/>
      <c r="IL158" s="928"/>
      <c r="IM158" s="928"/>
      <c r="IN158" s="928"/>
      <c r="IO158" s="928"/>
      <c r="IP158" s="928"/>
      <c r="IQ158" s="928"/>
      <c r="IR158" s="928"/>
      <c r="IS158" s="928"/>
      <c r="IT158" s="928"/>
      <c r="IU158" s="928"/>
      <c r="IV158" s="928"/>
      <c r="IW158" s="928"/>
    </row>
    <row r="159" spans="1:257" s="951" customFormat="1" ht="42">
      <c r="A159" s="2472"/>
      <c r="B159" s="993" t="s">
        <v>2239</v>
      </c>
      <c r="C159" s="985">
        <v>4</v>
      </c>
      <c r="D159" s="985">
        <v>5</v>
      </c>
      <c r="E159" s="986" t="s">
        <v>1549</v>
      </c>
      <c r="F159" s="968" t="str">
        <f>IF(Scoring!I168="","",Scoring!I168)</f>
        <v/>
      </c>
      <c r="G159" s="987"/>
      <c r="H159" s="987"/>
      <c r="I159" s="988" t="s">
        <v>2240</v>
      </c>
      <c r="J159" s="969"/>
      <c r="K159" s="969"/>
      <c r="L159" s="989"/>
      <c r="M159" s="990"/>
      <c r="N159" s="928"/>
      <c r="O159" s="945"/>
      <c r="P159" s="955"/>
      <c r="Q159" s="928"/>
      <c r="R159" s="928"/>
      <c r="S159" s="928"/>
      <c r="T159" s="928"/>
      <c r="U159" s="928"/>
      <c r="V159" s="928"/>
      <c r="W159" s="928"/>
      <c r="X159" s="928"/>
      <c r="Y159" s="928"/>
      <c r="Z159" s="928"/>
      <c r="AA159" s="928"/>
      <c r="AB159" s="928"/>
      <c r="AC159" s="928"/>
      <c r="AD159" s="928"/>
      <c r="AE159" s="928"/>
      <c r="AF159" s="928"/>
      <c r="AG159" s="928"/>
      <c r="AH159" s="928"/>
      <c r="AI159" s="928"/>
      <c r="AJ159" s="928"/>
      <c r="AK159" s="928"/>
      <c r="AL159" s="928"/>
      <c r="AM159" s="928"/>
      <c r="AN159" s="928"/>
      <c r="AO159" s="928"/>
      <c r="AP159" s="928"/>
      <c r="AQ159" s="928"/>
      <c r="AR159" s="928"/>
      <c r="AS159" s="928"/>
      <c r="AT159" s="928"/>
      <c r="AU159" s="928"/>
      <c r="AV159" s="928"/>
      <c r="AW159" s="928"/>
      <c r="AX159" s="928"/>
      <c r="AY159" s="928"/>
      <c r="AZ159" s="928"/>
      <c r="BA159" s="928"/>
      <c r="BB159" s="928"/>
      <c r="BC159" s="928"/>
      <c r="BD159" s="928"/>
      <c r="BE159" s="928"/>
      <c r="BF159" s="928"/>
      <c r="BG159" s="928"/>
      <c r="BH159" s="928"/>
      <c r="BI159" s="928"/>
      <c r="BJ159" s="928"/>
      <c r="BK159" s="928"/>
      <c r="BL159" s="928"/>
      <c r="BM159" s="928"/>
      <c r="BN159" s="928"/>
      <c r="BO159" s="928"/>
      <c r="BP159" s="928"/>
      <c r="BQ159" s="928"/>
      <c r="BR159" s="928"/>
      <c r="BS159" s="928"/>
      <c r="BT159" s="928"/>
      <c r="BU159" s="928"/>
      <c r="BV159" s="928"/>
      <c r="BW159" s="928"/>
      <c r="BX159" s="928"/>
      <c r="BY159" s="928"/>
      <c r="BZ159" s="928"/>
      <c r="CA159" s="928"/>
      <c r="CB159" s="928"/>
      <c r="CC159" s="928"/>
      <c r="CD159" s="928"/>
      <c r="CE159" s="928"/>
      <c r="CF159" s="928"/>
      <c r="CG159" s="928"/>
      <c r="CH159" s="928"/>
      <c r="CI159" s="928"/>
      <c r="CJ159" s="928"/>
      <c r="CK159" s="928"/>
      <c r="CL159" s="928"/>
      <c r="CM159" s="928"/>
      <c r="CN159" s="928"/>
      <c r="CO159" s="928"/>
      <c r="CP159" s="928"/>
      <c r="CQ159" s="928"/>
      <c r="CR159" s="928"/>
      <c r="CS159" s="928"/>
      <c r="CT159" s="928"/>
      <c r="CU159" s="928"/>
      <c r="CV159" s="928"/>
      <c r="CW159" s="928"/>
      <c r="CX159" s="928"/>
      <c r="CY159" s="928"/>
      <c r="CZ159" s="928"/>
      <c r="DA159" s="928"/>
      <c r="DB159" s="928"/>
      <c r="DC159" s="928"/>
      <c r="DD159" s="928"/>
      <c r="DE159" s="928"/>
      <c r="DF159" s="928"/>
      <c r="DG159" s="928"/>
      <c r="DH159" s="928"/>
      <c r="DI159" s="928"/>
      <c r="DJ159" s="928"/>
      <c r="DK159" s="928"/>
      <c r="DL159" s="928"/>
      <c r="DM159" s="928"/>
      <c r="DN159" s="928"/>
      <c r="DO159" s="928"/>
      <c r="DP159" s="928"/>
      <c r="DQ159" s="928"/>
      <c r="DR159" s="928"/>
      <c r="DS159" s="928"/>
      <c r="DT159" s="928"/>
      <c r="DU159" s="928"/>
      <c r="DV159" s="928"/>
      <c r="DW159" s="928"/>
      <c r="DX159" s="928"/>
      <c r="DY159" s="928"/>
      <c r="DZ159" s="928"/>
      <c r="EA159" s="928"/>
      <c r="EB159" s="928"/>
      <c r="EC159" s="928"/>
      <c r="ED159" s="928"/>
      <c r="EE159" s="928"/>
      <c r="EF159" s="928"/>
      <c r="EG159" s="928"/>
      <c r="EH159" s="928"/>
      <c r="EI159" s="928"/>
      <c r="EJ159" s="928"/>
      <c r="EK159" s="928"/>
      <c r="EL159" s="928"/>
      <c r="EM159" s="928"/>
      <c r="EN159" s="928"/>
      <c r="EO159" s="928"/>
      <c r="EP159" s="928"/>
      <c r="EQ159" s="928"/>
      <c r="ER159" s="928"/>
      <c r="ES159" s="928"/>
      <c r="ET159" s="928"/>
      <c r="EU159" s="928"/>
      <c r="EV159" s="928"/>
      <c r="EW159" s="928"/>
      <c r="EX159" s="928"/>
      <c r="EY159" s="928"/>
      <c r="EZ159" s="928"/>
      <c r="FA159" s="928"/>
      <c r="FB159" s="928"/>
      <c r="FC159" s="928"/>
      <c r="FD159" s="928"/>
      <c r="FE159" s="928"/>
      <c r="FF159" s="928"/>
      <c r="FG159" s="928"/>
      <c r="FH159" s="928"/>
      <c r="FI159" s="928"/>
      <c r="FJ159" s="928"/>
      <c r="FK159" s="928"/>
      <c r="FL159" s="928"/>
      <c r="FM159" s="928"/>
      <c r="FN159" s="928"/>
      <c r="FO159" s="928"/>
      <c r="FP159" s="928"/>
      <c r="FQ159" s="928"/>
      <c r="FR159" s="928"/>
      <c r="FS159" s="928"/>
      <c r="FT159" s="928"/>
      <c r="FU159" s="928"/>
      <c r="FV159" s="928"/>
      <c r="FW159" s="928"/>
      <c r="FX159" s="928"/>
      <c r="FY159" s="928"/>
      <c r="FZ159" s="928"/>
      <c r="GA159" s="928"/>
      <c r="GB159" s="928"/>
      <c r="GC159" s="928"/>
      <c r="GD159" s="928"/>
      <c r="GE159" s="928"/>
      <c r="GF159" s="928"/>
      <c r="GG159" s="928"/>
      <c r="GH159" s="928"/>
      <c r="GI159" s="928"/>
      <c r="GJ159" s="928"/>
      <c r="GK159" s="928"/>
      <c r="GL159" s="928"/>
      <c r="GM159" s="928"/>
      <c r="GN159" s="928"/>
      <c r="GO159" s="928"/>
      <c r="GP159" s="928"/>
      <c r="GQ159" s="928"/>
      <c r="GR159" s="928"/>
      <c r="GS159" s="928"/>
      <c r="GT159" s="928"/>
      <c r="GU159" s="928"/>
      <c r="GV159" s="928"/>
      <c r="GW159" s="928"/>
      <c r="GX159" s="928"/>
      <c r="GY159" s="928"/>
      <c r="GZ159" s="928"/>
      <c r="HA159" s="928"/>
      <c r="HB159" s="928"/>
      <c r="HC159" s="928"/>
      <c r="HD159" s="928"/>
      <c r="HE159" s="928"/>
      <c r="HF159" s="928"/>
      <c r="HG159" s="928"/>
      <c r="HH159" s="928"/>
      <c r="HI159" s="928"/>
      <c r="HJ159" s="928"/>
      <c r="HK159" s="928"/>
      <c r="HL159" s="928"/>
      <c r="HM159" s="928"/>
      <c r="HN159" s="928"/>
      <c r="HO159" s="928"/>
      <c r="HP159" s="928"/>
      <c r="HQ159" s="928"/>
      <c r="HR159" s="928"/>
      <c r="HS159" s="928"/>
      <c r="HT159" s="928"/>
      <c r="HU159" s="928"/>
      <c r="HV159" s="928"/>
      <c r="HW159" s="928"/>
      <c r="HX159" s="928"/>
      <c r="HY159" s="928"/>
      <c r="HZ159" s="928"/>
      <c r="IA159" s="928"/>
      <c r="IB159" s="928"/>
      <c r="IC159" s="928"/>
      <c r="ID159" s="928"/>
      <c r="IE159" s="928"/>
      <c r="IF159" s="928"/>
      <c r="IG159" s="928"/>
      <c r="IH159" s="928"/>
      <c r="II159" s="928"/>
      <c r="IJ159" s="928"/>
      <c r="IK159" s="928"/>
      <c r="IL159" s="928"/>
      <c r="IM159" s="928"/>
      <c r="IN159" s="928"/>
      <c r="IO159" s="928"/>
      <c r="IP159" s="928"/>
      <c r="IQ159" s="928"/>
      <c r="IR159" s="928"/>
      <c r="IS159" s="928"/>
      <c r="IT159" s="928"/>
      <c r="IU159" s="928"/>
      <c r="IV159" s="928"/>
      <c r="IW159" s="928"/>
    </row>
    <row r="160" spans="1:257" ht="42">
      <c r="A160" s="2472"/>
      <c r="B160" s="993" t="s">
        <v>2241</v>
      </c>
      <c r="C160" s="985">
        <v>4</v>
      </c>
      <c r="D160" s="985">
        <v>5</v>
      </c>
      <c r="E160" s="986" t="s">
        <v>1550</v>
      </c>
      <c r="F160" s="968" t="str">
        <f>IF(Scoring!I169="","",Scoring!I169)</f>
        <v/>
      </c>
      <c r="G160" s="987"/>
      <c r="H160" s="987"/>
      <c r="I160" s="988" t="s">
        <v>2243</v>
      </c>
      <c r="J160" s="969"/>
      <c r="K160" s="969"/>
      <c r="L160" s="989"/>
      <c r="M160" s="990"/>
      <c r="O160" s="947"/>
      <c r="P160" s="954"/>
    </row>
    <row r="161" spans="1:257" ht="84">
      <c r="A161" s="2472"/>
      <c r="B161" s="993" t="s">
        <v>2244</v>
      </c>
      <c r="C161" s="985">
        <v>4</v>
      </c>
      <c r="D161" s="985">
        <v>6</v>
      </c>
      <c r="E161" s="986" t="s">
        <v>1551</v>
      </c>
      <c r="F161" s="968" t="str">
        <f>IF(Scoring!I170="","",Scoring!I170)</f>
        <v/>
      </c>
      <c r="G161" s="987"/>
      <c r="H161" s="987"/>
      <c r="I161" s="988" t="s">
        <v>2245</v>
      </c>
      <c r="J161" s="969"/>
      <c r="K161" s="969"/>
      <c r="L161" s="989"/>
      <c r="M161" s="990"/>
      <c r="O161" s="947"/>
      <c r="P161" s="954"/>
    </row>
    <row r="162" spans="1:257" ht="29" thickBot="1">
      <c r="A162" s="2473"/>
      <c r="B162" s="996" t="s">
        <v>2247</v>
      </c>
      <c r="C162" s="997">
        <v>4</v>
      </c>
      <c r="D162" s="997">
        <v>5</v>
      </c>
      <c r="E162" s="998" t="s">
        <v>1552</v>
      </c>
      <c r="F162" s="973" t="str">
        <f>IF(Scoring!I171="","",Scoring!I171)</f>
        <v/>
      </c>
      <c r="G162" s="999"/>
      <c r="H162" s="999"/>
      <c r="I162" s="1000" t="s">
        <v>2248</v>
      </c>
      <c r="J162" s="974"/>
      <c r="K162" s="974">
        <f>COUNT(F158:F162)</f>
        <v>0</v>
      </c>
      <c r="L162" s="1207">
        <f>SUM(F158:F162)</f>
        <v>0</v>
      </c>
      <c r="M162" s="976">
        <f>IF(L162&lt;3,0,1)</f>
        <v>0</v>
      </c>
      <c r="O162" s="942"/>
      <c r="P162" s="956">
        <f>COUNTA(F159:F164)</f>
        <v>5</v>
      </c>
    </row>
    <row r="163" spans="1:257" ht="15" thickTop="1" thickBot="1">
      <c r="A163" s="915"/>
      <c r="F163" s="915"/>
      <c r="J163" s="915"/>
      <c r="K163" s="915"/>
    </row>
    <row r="164" spans="1:257" s="951" customFormat="1" ht="85" thickTop="1">
      <c r="A164" s="2481" t="s">
        <v>1181</v>
      </c>
      <c r="B164" s="1212" t="s">
        <v>2249</v>
      </c>
      <c r="C164" s="1199">
        <v>4</v>
      </c>
      <c r="D164" s="1199">
        <v>5</v>
      </c>
      <c r="E164" s="1200" t="s">
        <v>1553</v>
      </c>
      <c r="F164" s="1201" t="str">
        <f>IF(Scoring!I173="","",Scoring!I173)</f>
        <v/>
      </c>
      <c r="G164" s="1202"/>
      <c r="H164" s="1202"/>
      <c r="I164" s="1203" t="s">
        <v>2250</v>
      </c>
      <c r="J164" s="1208"/>
      <c r="K164" s="1208"/>
      <c r="L164" s="1204"/>
      <c r="M164" s="1205"/>
      <c r="N164" s="928"/>
      <c r="O164" s="949"/>
      <c r="P164" s="948"/>
      <c r="Q164" s="928"/>
      <c r="R164" s="928"/>
      <c r="S164" s="928"/>
      <c r="T164" s="928"/>
      <c r="U164" s="928"/>
      <c r="V164" s="928"/>
      <c r="W164" s="928"/>
      <c r="X164" s="928"/>
      <c r="Y164" s="928"/>
      <c r="Z164" s="928"/>
      <c r="AA164" s="928"/>
      <c r="AB164" s="928"/>
      <c r="AC164" s="928"/>
      <c r="AD164" s="928"/>
      <c r="AE164" s="928"/>
      <c r="AF164" s="928"/>
      <c r="AG164" s="928"/>
      <c r="AH164" s="928"/>
      <c r="AI164" s="928"/>
      <c r="AJ164" s="928"/>
      <c r="AK164" s="928"/>
      <c r="AL164" s="928"/>
      <c r="AM164" s="928"/>
      <c r="AN164" s="928"/>
      <c r="AO164" s="928"/>
      <c r="AP164" s="928"/>
      <c r="AQ164" s="928"/>
      <c r="AR164" s="928"/>
      <c r="AS164" s="928"/>
      <c r="AT164" s="928"/>
      <c r="AU164" s="928"/>
      <c r="AV164" s="928"/>
      <c r="AW164" s="928"/>
      <c r="AX164" s="928"/>
      <c r="AY164" s="928"/>
      <c r="AZ164" s="928"/>
      <c r="BA164" s="928"/>
      <c r="BB164" s="928"/>
      <c r="BC164" s="928"/>
      <c r="BD164" s="928"/>
      <c r="BE164" s="928"/>
      <c r="BF164" s="928"/>
      <c r="BG164" s="928"/>
      <c r="BH164" s="928"/>
      <c r="BI164" s="928"/>
      <c r="BJ164" s="928"/>
      <c r="BK164" s="928"/>
      <c r="BL164" s="928"/>
      <c r="BM164" s="928"/>
      <c r="BN164" s="928"/>
      <c r="BO164" s="928"/>
      <c r="BP164" s="928"/>
      <c r="BQ164" s="928"/>
      <c r="BR164" s="928"/>
      <c r="BS164" s="928"/>
      <c r="BT164" s="928"/>
      <c r="BU164" s="928"/>
      <c r="BV164" s="928"/>
      <c r="BW164" s="928"/>
      <c r="BX164" s="928"/>
      <c r="BY164" s="928"/>
      <c r="BZ164" s="928"/>
      <c r="CA164" s="928"/>
      <c r="CB164" s="928"/>
      <c r="CC164" s="928"/>
      <c r="CD164" s="928"/>
      <c r="CE164" s="928"/>
      <c r="CF164" s="928"/>
      <c r="CG164" s="928"/>
      <c r="CH164" s="928"/>
      <c r="CI164" s="928"/>
      <c r="CJ164" s="928"/>
      <c r="CK164" s="928"/>
      <c r="CL164" s="928"/>
      <c r="CM164" s="928"/>
      <c r="CN164" s="928"/>
      <c r="CO164" s="928"/>
      <c r="CP164" s="928"/>
      <c r="CQ164" s="928"/>
      <c r="CR164" s="928"/>
      <c r="CS164" s="928"/>
      <c r="CT164" s="928"/>
      <c r="CU164" s="928"/>
      <c r="CV164" s="928"/>
      <c r="CW164" s="928"/>
      <c r="CX164" s="928"/>
      <c r="CY164" s="928"/>
      <c r="CZ164" s="928"/>
      <c r="DA164" s="928"/>
      <c r="DB164" s="928"/>
      <c r="DC164" s="928"/>
      <c r="DD164" s="928"/>
      <c r="DE164" s="928"/>
      <c r="DF164" s="928"/>
      <c r="DG164" s="928"/>
      <c r="DH164" s="928"/>
      <c r="DI164" s="928"/>
      <c r="DJ164" s="928"/>
      <c r="DK164" s="928"/>
      <c r="DL164" s="928"/>
      <c r="DM164" s="928"/>
      <c r="DN164" s="928"/>
      <c r="DO164" s="928"/>
      <c r="DP164" s="928"/>
      <c r="DQ164" s="928"/>
      <c r="DR164" s="928"/>
      <c r="DS164" s="928"/>
      <c r="DT164" s="928"/>
      <c r="DU164" s="928"/>
      <c r="DV164" s="928"/>
      <c r="DW164" s="928"/>
      <c r="DX164" s="928"/>
      <c r="DY164" s="928"/>
      <c r="DZ164" s="928"/>
      <c r="EA164" s="928"/>
      <c r="EB164" s="928"/>
      <c r="EC164" s="928"/>
      <c r="ED164" s="928"/>
      <c r="EE164" s="928"/>
      <c r="EF164" s="928"/>
      <c r="EG164" s="928"/>
      <c r="EH164" s="928"/>
      <c r="EI164" s="928"/>
      <c r="EJ164" s="928"/>
      <c r="EK164" s="928"/>
      <c r="EL164" s="928"/>
      <c r="EM164" s="928"/>
      <c r="EN164" s="928"/>
      <c r="EO164" s="928"/>
      <c r="EP164" s="928"/>
      <c r="EQ164" s="928"/>
      <c r="ER164" s="928"/>
      <c r="ES164" s="928"/>
      <c r="ET164" s="928"/>
      <c r="EU164" s="928"/>
      <c r="EV164" s="928"/>
      <c r="EW164" s="928"/>
      <c r="EX164" s="928"/>
      <c r="EY164" s="928"/>
      <c r="EZ164" s="928"/>
      <c r="FA164" s="928"/>
      <c r="FB164" s="928"/>
      <c r="FC164" s="928"/>
      <c r="FD164" s="928"/>
      <c r="FE164" s="928"/>
      <c r="FF164" s="928"/>
      <c r="FG164" s="928"/>
      <c r="FH164" s="928"/>
      <c r="FI164" s="928"/>
      <c r="FJ164" s="928"/>
      <c r="FK164" s="928"/>
      <c r="FL164" s="928"/>
      <c r="FM164" s="928"/>
      <c r="FN164" s="928"/>
      <c r="FO164" s="928"/>
      <c r="FP164" s="928"/>
      <c r="FQ164" s="928"/>
      <c r="FR164" s="928"/>
      <c r="FS164" s="928"/>
      <c r="FT164" s="928"/>
      <c r="FU164" s="928"/>
      <c r="FV164" s="928"/>
      <c r="FW164" s="928"/>
      <c r="FX164" s="928"/>
      <c r="FY164" s="928"/>
      <c r="FZ164" s="928"/>
      <c r="GA164" s="928"/>
      <c r="GB164" s="928"/>
      <c r="GC164" s="928"/>
      <c r="GD164" s="928"/>
      <c r="GE164" s="928"/>
      <c r="GF164" s="928"/>
      <c r="GG164" s="928"/>
      <c r="GH164" s="928"/>
      <c r="GI164" s="928"/>
      <c r="GJ164" s="928"/>
      <c r="GK164" s="928"/>
      <c r="GL164" s="928"/>
      <c r="GM164" s="928"/>
      <c r="GN164" s="928"/>
      <c r="GO164" s="928"/>
      <c r="GP164" s="928"/>
      <c r="GQ164" s="928"/>
      <c r="GR164" s="928"/>
      <c r="GS164" s="928"/>
      <c r="GT164" s="928"/>
      <c r="GU164" s="928"/>
      <c r="GV164" s="928"/>
      <c r="GW164" s="928"/>
      <c r="GX164" s="928"/>
      <c r="GY164" s="928"/>
      <c r="GZ164" s="928"/>
      <c r="HA164" s="928"/>
      <c r="HB164" s="928"/>
      <c r="HC164" s="928"/>
      <c r="HD164" s="928"/>
      <c r="HE164" s="928"/>
      <c r="HF164" s="928"/>
      <c r="HG164" s="928"/>
      <c r="HH164" s="928"/>
      <c r="HI164" s="928"/>
      <c r="HJ164" s="928"/>
      <c r="HK164" s="928"/>
      <c r="HL164" s="928"/>
      <c r="HM164" s="928"/>
      <c r="HN164" s="928"/>
      <c r="HO164" s="928"/>
      <c r="HP164" s="928"/>
      <c r="HQ164" s="928"/>
      <c r="HR164" s="928"/>
      <c r="HS164" s="928"/>
      <c r="HT164" s="928"/>
      <c r="HU164" s="928"/>
      <c r="HV164" s="928"/>
      <c r="HW164" s="928"/>
      <c r="HX164" s="928"/>
      <c r="HY164" s="928"/>
      <c r="HZ164" s="928"/>
      <c r="IA164" s="928"/>
      <c r="IB164" s="928"/>
      <c r="IC164" s="928"/>
      <c r="ID164" s="928"/>
      <c r="IE164" s="928"/>
      <c r="IF164" s="928"/>
      <c r="IG164" s="928"/>
      <c r="IH164" s="928"/>
      <c r="II164" s="928"/>
      <c r="IJ164" s="928"/>
      <c r="IK164" s="928"/>
      <c r="IL164" s="928"/>
      <c r="IM164" s="928"/>
      <c r="IN164" s="928"/>
      <c r="IO164" s="928"/>
      <c r="IP164" s="928"/>
      <c r="IQ164" s="928"/>
      <c r="IR164" s="928"/>
      <c r="IS164" s="928"/>
      <c r="IT164" s="928"/>
      <c r="IU164" s="928"/>
      <c r="IV164" s="928"/>
      <c r="IW164" s="928"/>
    </row>
    <row r="165" spans="1:257" s="951" customFormat="1" ht="112">
      <c r="A165" s="2482"/>
      <c r="B165" s="993" t="s">
        <v>2251</v>
      </c>
      <c r="C165" s="985">
        <v>4</v>
      </c>
      <c r="D165" s="985">
        <v>5</v>
      </c>
      <c r="E165" s="986" t="s">
        <v>1555</v>
      </c>
      <c r="F165" s="968" t="str">
        <f>IF(Scoring!I174="","",Scoring!I174)</f>
        <v/>
      </c>
      <c r="G165" s="987"/>
      <c r="H165" s="987"/>
      <c r="I165" s="988" t="s">
        <v>2564</v>
      </c>
      <c r="J165" s="969"/>
      <c r="K165" s="969"/>
      <c r="L165" s="989"/>
      <c r="M165" s="990"/>
      <c r="N165" s="928"/>
      <c r="O165" s="945"/>
      <c r="P165" s="955"/>
      <c r="Q165" s="928"/>
      <c r="R165" s="928"/>
      <c r="S165" s="928"/>
      <c r="T165" s="928"/>
      <c r="U165" s="928"/>
      <c r="V165" s="928"/>
      <c r="W165" s="928"/>
      <c r="X165" s="928"/>
      <c r="Y165" s="928"/>
      <c r="Z165" s="928"/>
      <c r="AA165" s="928"/>
      <c r="AB165" s="928"/>
      <c r="AC165" s="928"/>
      <c r="AD165" s="928"/>
      <c r="AE165" s="928"/>
      <c r="AF165" s="928"/>
      <c r="AG165" s="928"/>
      <c r="AH165" s="928"/>
      <c r="AI165" s="928"/>
      <c r="AJ165" s="928"/>
      <c r="AK165" s="928"/>
      <c r="AL165" s="928"/>
      <c r="AM165" s="928"/>
      <c r="AN165" s="928"/>
      <c r="AO165" s="928"/>
      <c r="AP165" s="928"/>
      <c r="AQ165" s="928"/>
      <c r="AR165" s="928"/>
      <c r="AS165" s="928"/>
      <c r="AT165" s="928"/>
      <c r="AU165" s="928"/>
      <c r="AV165" s="928"/>
      <c r="AW165" s="928"/>
      <c r="AX165" s="928"/>
      <c r="AY165" s="928"/>
      <c r="AZ165" s="928"/>
      <c r="BA165" s="928"/>
      <c r="BB165" s="928"/>
      <c r="BC165" s="928"/>
      <c r="BD165" s="928"/>
      <c r="BE165" s="928"/>
      <c r="BF165" s="928"/>
      <c r="BG165" s="928"/>
      <c r="BH165" s="928"/>
      <c r="BI165" s="928"/>
      <c r="BJ165" s="928"/>
      <c r="BK165" s="928"/>
      <c r="BL165" s="928"/>
      <c r="BM165" s="928"/>
      <c r="BN165" s="928"/>
      <c r="BO165" s="928"/>
      <c r="BP165" s="928"/>
      <c r="BQ165" s="928"/>
      <c r="BR165" s="928"/>
      <c r="BS165" s="928"/>
      <c r="BT165" s="928"/>
      <c r="BU165" s="928"/>
      <c r="BV165" s="928"/>
      <c r="BW165" s="928"/>
      <c r="BX165" s="928"/>
      <c r="BY165" s="928"/>
      <c r="BZ165" s="928"/>
      <c r="CA165" s="928"/>
      <c r="CB165" s="928"/>
      <c r="CC165" s="928"/>
      <c r="CD165" s="928"/>
      <c r="CE165" s="928"/>
      <c r="CF165" s="928"/>
      <c r="CG165" s="928"/>
      <c r="CH165" s="928"/>
      <c r="CI165" s="928"/>
      <c r="CJ165" s="928"/>
      <c r="CK165" s="928"/>
      <c r="CL165" s="928"/>
      <c r="CM165" s="928"/>
      <c r="CN165" s="928"/>
      <c r="CO165" s="928"/>
      <c r="CP165" s="928"/>
      <c r="CQ165" s="928"/>
      <c r="CR165" s="928"/>
      <c r="CS165" s="928"/>
      <c r="CT165" s="928"/>
      <c r="CU165" s="928"/>
      <c r="CV165" s="928"/>
      <c r="CW165" s="928"/>
      <c r="CX165" s="928"/>
      <c r="CY165" s="928"/>
      <c r="CZ165" s="928"/>
      <c r="DA165" s="928"/>
      <c r="DB165" s="928"/>
      <c r="DC165" s="928"/>
      <c r="DD165" s="928"/>
      <c r="DE165" s="928"/>
      <c r="DF165" s="928"/>
      <c r="DG165" s="928"/>
      <c r="DH165" s="928"/>
      <c r="DI165" s="928"/>
      <c r="DJ165" s="928"/>
      <c r="DK165" s="928"/>
      <c r="DL165" s="928"/>
      <c r="DM165" s="928"/>
      <c r="DN165" s="928"/>
      <c r="DO165" s="928"/>
      <c r="DP165" s="928"/>
      <c r="DQ165" s="928"/>
      <c r="DR165" s="928"/>
      <c r="DS165" s="928"/>
      <c r="DT165" s="928"/>
      <c r="DU165" s="928"/>
      <c r="DV165" s="928"/>
      <c r="DW165" s="928"/>
      <c r="DX165" s="928"/>
      <c r="DY165" s="928"/>
      <c r="DZ165" s="928"/>
      <c r="EA165" s="928"/>
      <c r="EB165" s="928"/>
      <c r="EC165" s="928"/>
      <c r="ED165" s="928"/>
      <c r="EE165" s="928"/>
      <c r="EF165" s="928"/>
      <c r="EG165" s="928"/>
      <c r="EH165" s="928"/>
      <c r="EI165" s="928"/>
      <c r="EJ165" s="928"/>
      <c r="EK165" s="928"/>
      <c r="EL165" s="928"/>
      <c r="EM165" s="928"/>
      <c r="EN165" s="928"/>
      <c r="EO165" s="928"/>
      <c r="EP165" s="928"/>
      <c r="EQ165" s="928"/>
      <c r="ER165" s="928"/>
      <c r="ES165" s="928"/>
      <c r="ET165" s="928"/>
      <c r="EU165" s="928"/>
      <c r="EV165" s="928"/>
      <c r="EW165" s="928"/>
      <c r="EX165" s="928"/>
      <c r="EY165" s="928"/>
      <c r="EZ165" s="928"/>
      <c r="FA165" s="928"/>
      <c r="FB165" s="928"/>
      <c r="FC165" s="928"/>
      <c r="FD165" s="928"/>
      <c r="FE165" s="928"/>
      <c r="FF165" s="928"/>
      <c r="FG165" s="928"/>
      <c r="FH165" s="928"/>
      <c r="FI165" s="928"/>
      <c r="FJ165" s="928"/>
      <c r="FK165" s="928"/>
      <c r="FL165" s="928"/>
      <c r="FM165" s="928"/>
      <c r="FN165" s="928"/>
      <c r="FO165" s="928"/>
      <c r="FP165" s="928"/>
      <c r="FQ165" s="928"/>
      <c r="FR165" s="928"/>
      <c r="FS165" s="928"/>
      <c r="FT165" s="928"/>
      <c r="FU165" s="928"/>
      <c r="FV165" s="928"/>
      <c r="FW165" s="928"/>
      <c r="FX165" s="928"/>
      <c r="FY165" s="928"/>
      <c r="FZ165" s="928"/>
      <c r="GA165" s="928"/>
      <c r="GB165" s="928"/>
      <c r="GC165" s="928"/>
      <c r="GD165" s="928"/>
      <c r="GE165" s="928"/>
      <c r="GF165" s="928"/>
      <c r="GG165" s="928"/>
      <c r="GH165" s="928"/>
      <c r="GI165" s="928"/>
      <c r="GJ165" s="928"/>
      <c r="GK165" s="928"/>
      <c r="GL165" s="928"/>
      <c r="GM165" s="928"/>
      <c r="GN165" s="928"/>
      <c r="GO165" s="928"/>
      <c r="GP165" s="928"/>
      <c r="GQ165" s="928"/>
      <c r="GR165" s="928"/>
      <c r="GS165" s="928"/>
      <c r="GT165" s="928"/>
      <c r="GU165" s="928"/>
      <c r="GV165" s="928"/>
      <c r="GW165" s="928"/>
      <c r="GX165" s="928"/>
      <c r="GY165" s="928"/>
      <c r="GZ165" s="928"/>
      <c r="HA165" s="928"/>
      <c r="HB165" s="928"/>
      <c r="HC165" s="928"/>
      <c r="HD165" s="928"/>
      <c r="HE165" s="928"/>
      <c r="HF165" s="928"/>
      <c r="HG165" s="928"/>
      <c r="HH165" s="928"/>
      <c r="HI165" s="928"/>
      <c r="HJ165" s="928"/>
      <c r="HK165" s="928"/>
      <c r="HL165" s="928"/>
      <c r="HM165" s="928"/>
      <c r="HN165" s="928"/>
      <c r="HO165" s="928"/>
      <c r="HP165" s="928"/>
      <c r="HQ165" s="928"/>
      <c r="HR165" s="928"/>
      <c r="HS165" s="928"/>
      <c r="HT165" s="928"/>
      <c r="HU165" s="928"/>
      <c r="HV165" s="928"/>
      <c r="HW165" s="928"/>
      <c r="HX165" s="928"/>
      <c r="HY165" s="928"/>
      <c r="HZ165" s="928"/>
      <c r="IA165" s="928"/>
      <c r="IB165" s="928"/>
      <c r="IC165" s="928"/>
      <c r="ID165" s="928"/>
      <c r="IE165" s="928"/>
      <c r="IF165" s="928"/>
      <c r="IG165" s="928"/>
      <c r="IH165" s="928"/>
      <c r="II165" s="928"/>
      <c r="IJ165" s="928"/>
      <c r="IK165" s="928"/>
      <c r="IL165" s="928"/>
      <c r="IM165" s="928"/>
      <c r="IN165" s="928"/>
      <c r="IO165" s="928"/>
      <c r="IP165" s="928"/>
      <c r="IQ165" s="928"/>
      <c r="IR165" s="928"/>
      <c r="IS165" s="928"/>
      <c r="IT165" s="928"/>
      <c r="IU165" s="928"/>
      <c r="IV165" s="928"/>
      <c r="IW165" s="928"/>
    </row>
    <row r="166" spans="1:257" ht="42">
      <c r="A166" s="2482"/>
      <c r="B166" s="993" t="s">
        <v>2253</v>
      </c>
      <c r="C166" s="985">
        <v>4</v>
      </c>
      <c r="D166" s="985">
        <v>5</v>
      </c>
      <c r="E166" s="986" t="s">
        <v>1557</v>
      </c>
      <c r="F166" s="968" t="str">
        <f>IF(Scoring!I175="","",Scoring!I175)</f>
        <v/>
      </c>
      <c r="G166" s="987"/>
      <c r="H166" s="987"/>
      <c r="I166" s="988" t="s">
        <v>2254</v>
      </c>
      <c r="J166" s="969"/>
      <c r="K166" s="969"/>
      <c r="L166" s="989"/>
      <c r="M166" s="990"/>
      <c r="O166" s="947"/>
      <c r="P166" s="954"/>
    </row>
    <row r="167" spans="1:257" ht="57" thickBot="1">
      <c r="A167" s="2482"/>
      <c r="B167" s="993" t="s">
        <v>2255</v>
      </c>
      <c r="C167" s="985">
        <v>4</v>
      </c>
      <c r="D167" s="985">
        <v>6</v>
      </c>
      <c r="E167" s="986" t="s">
        <v>1559</v>
      </c>
      <c r="F167" s="968" t="str">
        <f>IF(Scoring!I176="","",Scoring!I176)</f>
        <v/>
      </c>
      <c r="G167" s="987"/>
      <c r="H167" s="987"/>
      <c r="I167" s="988" t="s">
        <v>2565</v>
      </c>
      <c r="J167" s="969"/>
      <c r="K167" s="969"/>
      <c r="L167" s="989"/>
      <c r="M167" s="990"/>
      <c r="O167" s="947"/>
      <c r="P167" s="954"/>
    </row>
    <row r="168" spans="1:257" ht="72" thickTop="1" thickBot="1">
      <c r="A168" s="2483"/>
      <c r="B168" s="996" t="s">
        <v>2257</v>
      </c>
      <c r="C168" s="997">
        <v>3</v>
      </c>
      <c r="D168" s="997">
        <v>6</v>
      </c>
      <c r="E168" s="998" t="s">
        <v>1561</v>
      </c>
      <c r="F168" s="973" t="str">
        <f>IF(Scoring!I177="","",Scoring!I177)</f>
        <v/>
      </c>
      <c r="G168" s="999"/>
      <c r="H168" s="999"/>
      <c r="I168" s="1000" t="s">
        <v>2566</v>
      </c>
      <c r="J168" s="974"/>
      <c r="K168" s="974">
        <f>COUNT(F164:F168)</f>
        <v>0</v>
      </c>
      <c r="L168" s="1207">
        <f>SUM(F164:F168)</f>
        <v>0</v>
      </c>
      <c r="M168" s="976">
        <f>IF(L168&lt;3,0,1)</f>
        <v>0</v>
      </c>
      <c r="O168" s="942"/>
      <c r="P168" s="950">
        <f>COUNTA(F164:F168)</f>
        <v>5</v>
      </c>
    </row>
    <row r="169" spans="1:257" ht="15" thickTop="1" thickBot="1">
      <c r="A169" s="915"/>
      <c r="F169" s="915"/>
      <c r="J169" s="915"/>
      <c r="K169" s="915"/>
    </row>
    <row r="170" spans="1:257" s="951" customFormat="1" ht="85" thickTop="1">
      <c r="A170" s="2471" t="s">
        <v>1206</v>
      </c>
      <c r="B170" s="1210" t="s">
        <v>1893</v>
      </c>
      <c r="C170" s="1199" t="s">
        <v>2031</v>
      </c>
      <c r="D170" s="1199" t="s">
        <v>2090</v>
      </c>
      <c r="E170" s="1200" t="s">
        <v>1563</v>
      </c>
      <c r="F170" s="1201" t="str">
        <f>IF(Scoring!I179="","",Scoring!I179)</f>
        <v/>
      </c>
      <c r="G170" s="1202"/>
      <c r="H170" s="1202"/>
      <c r="I170" s="1203" t="s">
        <v>2260</v>
      </c>
      <c r="J170" s="1208"/>
      <c r="K170" s="1208"/>
      <c r="L170" s="1217"/>
      <c r="M170" s="1218"/>
      <c r="N170" s="928"/>
      <c r="O170" s="949"/>
      <c r="P170" s="948"/>
      <c r="Q170" s="928"/>
      <c r="R170" s="928"/>
      <c r="S170" s="928"/>
      <c r="T170" s="928"/>
      <c r="U170" s="928"/>
      <c r="V170" s="928"/>
      <c r="W170" s="928"/>
      <c r="X170" s="928"/>
      <c r="Y170" s="928"/>
      <c r="Z170" s="928"/>
      <c r="AA170" s="928"/>
      <c r="AB170" s="928"/>
      <c r="AC170" s="928"/>
      <c r="AD170" s="928"/>
      <c r="AE170" s="928"/>
      <c r="AF170" s="928"/>
      <c r="AG170" s="928"/>
      <c r="AH170" s="928"/>
      <c r="AI170" s="928"/>
      <c r="AJ170" s="928"/>
      <c r="AK170" s="928"/>
      <c r="AL170" s="928"/>
      <c r="AM170" s="928"/>
      <c r="AN170" s="928"/>
      <c r="AO170" s="928"/>
      <c r="AP170" s="928"/>
      <c r="AQ170" s="928"/>
      <c r="AR170" s="928"/>
      <c r="AS170" s="928"/>
      <c r="AT170" s="928"/>
      <c r="AU170" s="928"/>
      <c r="AV170" s="928"/>
      <c r="AW170" s="928"/>
      <c r="AX170" s="928"/>
      <c r="AY170" s="928"/>
      <c r="AZ170" s="928"/>
      <c r="BA170" s="928"/>
      <c r="BB170" s="928"/>
      <c r="BC170" s="928"/>
      <c r="BD170" s="928"/>
      <c r="BE170" s="928"/>
      <c r="BF170" s="928"/>
      <c r="BG170" s="928"/>
      <c r="BH170" s="928"/>
      <c r="BI170" s="928"/>
      <c r="BJ170" s="928"/>
      <c r="BK170" s="928"/>
      <c r="BL170" s="928"/>
      <c r="BM170" s="928"/>
      <c r="BN170" s="928"/>
      <c r="BO170" s="928"/>
      <c r="BP170" s="928"/>
      <c r="BQ170" s="928"/>
      <c r="BR170" s="928"/>
      <c r="BS170" s="928"/>
      <c r="BT170" s="928"/>
      <c r="BU170" s="928"/>
      <c r="BV170" s="928"/>
      <c r="BW170" s="928"/>
      <c r="BX170" s="928"/>
      <c r="BY170" s="928"/>
      <c r="BZ170" s="928"/>
      <c r="CA170" s="928"/>
      <c r="CB170" s="928"/>
      <c r="CC170" s="928"/>
      <c r="CD170" s="928"/>
      <c r="CE170" s="928"/>
      <c r="CF170" s="928"/>
      <c r="CG170" s="928"/>
      <c r="CH170" s="928"/>
      <c r="CI170" s="928"/>
      <c r="CJ170" s="928"/>
      <c r="CK170" s="928"/>
      <c r="CL170" s="928"/>
      <c r="CM170" s="928"/>
      <c r="CN170" s="928"/>
      <c r="CO170" s="928"/>
      <c r="CP170" s="928"/>
      <c r="CQ170" s="928"/>
      <c r="CR170" s="928"/>
      <c r="CS170" s="928"/>
      <c r="CT170" s="928"/>
      <c r="CU170" s="928"/>
      <c r="CV170" s="928"/>
      <c r="CW170" s="928"/>
      <c r="CX170" s="928"/>
      <c r="CY170" s="928"/>
      <c r="CZ170" s="928"/>
      <c r="DA170" s="928"/>
      <c r="DB170" s="928"/>
      <c r="DC170" s="928"/>
      <c r="DD170" s="928"/>
      <c r="DE170" s="928"/>
      <c r="DF170" s="928"/>
      <c r="DG170" s="928"/>
      <c r="DH170" s="928"/>
      <c r="DI170" s="928"/>
      <c r="DJ170" s="928"/>
      <c r="DK170" s="928"/>
      <c r="DL170" s="928"/>
      <c r="DM170" s="928"/>
      <c r="DN170" s="928"/>
      <c r="DO170" s="928"/>
      <c r="DP170" s="928"/>
      <c r="DQ170" s="928"/>
      <c r="DR170" s="928"/>
      <c r="DS170" s="928"/>
      <c r="DT170" s="928"/>
      <c r="DU170" s="928"/>
      <c r="DV170" s="928"/>
      <c r="DW170" s="928"/>
      <c r="DX170" s="928"/>
      <c r="DY170" s="928"/>
      <c r="DZ170" s="928"/>
      <c r="EA170" s="928"/>
      <c r="EB170" s="928"/>
      <c r="EC170" s="928"/>
      <c r="ED170" s="928"/>
      <c r="EE170" s="928"/>
      <c r="EF170" s="928"/>
      <c r="EG170" s="928"/>
      <c r="EH170" s="928"/>
      <c r="EI170" s="928"/>
      <c r="EJ170" s="928"/>
      <c r="EK170" s="928"/>
      <c r="EL170" s="928"/>
      <c r="EM170" s="928"/>
      <c r="EN170" s="928"/>
      <c r="EO170" s="928"/>
      <c r="EP170" s="928"/>
      <c r="EQ170" s="928"/>
      <c r="ER170" s="928"/>
      <c r="ES170" s="928"/>
      <c r="ET170" s="928"/>
      <c r="EU170" s="928"/>
      <c r="EV170" s="928"/>
      <c r="EW170" s="928"/>
      <c r="EX170" s="928"/>
      <c r="EY170" s="928"/>
      <c r="EZ170" s="928"/>
      <c r="FA170" s="928"/>
      <c r="FB170" s="928"/>
      <c r="FC170" s="928"/>
      <c r="FD170" s="928"/>
      <c r="FE170" s="928"/>
      <c r="FF170" s="928"/>
      <c r="FG170" s="928"/>
      <c r="FH170" s="928"/>
      <c r="FI170" s="928"/>
      <c r="FJ170" s="928"/>
      <c r="FK170" s="928"/>
      <c r="FL170" s="928"/>
      <c r="FM170" s="928"/>
      <c r="FN170" s="928"/>
      <c r="FO170" s="928"/>
      <c r="FP170" s="928"/>
      <c r="FQ170" s="928"/>
      <c r="FR170" s="928"/>
      <c r="FS170" s="928"/>
      <c r="FT170" s="928"/>
      <c r="FU170" s="928"/>
      <c r="FV170" s="928"/>
      <c r="FW170" s="928"/>
      <c r="FX170" s="928"/>
      <c r="FY170" s="928"/>
      <c r="FZ170" s="928"/>
      <c r="GA170" s="928"/>
      <c r="GB170" s="928"/>
      <c r="GC170" s="928"/>
      <c r="GD170" s="928"/>
      <c r="GE170" s="928"/>
      <c r="GF170" s="928"/>
      <c r="GG170" s="928"/>
      <c r="GH170" s="928"/>
      <c r="GI170" s="928"/>
      <c r="GJ170" s="928"/>
      <c r="GK170" s="928"/>
      <c r="GL170" s="928"/>
      <c r="GM170" s="928"/>
      <c r="GN170" s="928"/>
      <c r="GO170" s="928"/>
      <c r="GP170" s="928"/>
      <c r="GQ170" s="928"/>
      <c r="GR170" s="928"/>
      <c r="GS170" s="928"/>
      <c r="GT170" s="928"/>
      <c r="GU170" s="928"/>
      <c r="GV170" s="928"/>
      <c r="GW170" s="928"/>
      <c r="GX170" s="928"/>
      <c r="GY170" s="928"/>
      <c r="GZ170" s="928"/>
      <c r="HA170" s="928"/>
      <c r="HB170" s="928"/>
      <c r="HC170" s="928"/>
      <c r="HD170" s="928"/>
      <c r="HE170" s="928"/>
      <c r="HF170" s="928"/>
      <c r="HG170" s="928"/>
      <c r="HH170" s="928"/>
      <c r="HI170" s="928"/>
      <c r="HJ170" s="928"/>
      <c r="HK170" s="928"/>
      <c r="HL170" s="928"/>
      <c r="HM170" s="928"/>
      <c r="HN170" s="928"/>
      <c r="HO170" s="928"/>
      <c r="HP170" s="928"/>
      <c r="HQ170" s="928"/>
      <c r="HR170" s="928"/>
      <c r="HS170" s="928"/>
      <c r="HT170" s="928"/>
      <c r="HU170" s="928"/>
      <c r="HV170" s="928"/>
      <c r="HW170" s="928"/>
      <c r="HX170" s="928"/>
      <c r="HY170" s="928"/>
      <c r="HZ170" s="928"/>
      <c r="IA170" s="928"/>
      <c r="IB170" s="928"/>
      <c r="IC170" s="928"/>
      <c r="ID170" s="928"/>
      <c r="IE170" s="928"/>
      <c r="IF170" s="928"/>
      <c r="IG170" s="928"/>
      <c r="IH170" s="928"/>
      <c r="II170" s="928"/>
      <c r="IJ170" s="928"/>
      <c r="IK170" s="928"/>
      <c r="IL170" s="928"/>
      <c r="IM170" s="928"/>
      <c r="IN170" s="928"/>
      <c r="IO170" s="928"/>
      <c r="IP170" s="928"/>
      <c r="IQ170" s="928"/>
      <c r="IR170" s="928"/>
      <c r="IS170" s="928"/>
      <c r="IT170" s="928"/>
      <c r="IU170" s="928"/>
      <c r="IV170" s="928"/>
      <c r="IW170" s="928"/>
    </row>
    <row r="171" spans="1:257" s="951" customFormat="1" ht="56">
      <c r="A171" s="2479"/>
      <c r="B171" s="1102" t="s">
        <v>1895</v>
      </c>
      <c r="C171" s="985" t="s">
        <v>2031</v>
      </c>
      <c r="D171" s="985" t="s">
        <v>2031</v>
      </c>
      <c r="E171" s="986" t="s">
        <v>1565</v>
      </c>
      <c r="F171" s="968" t="str">
        <f>IF(Scoring!I180="","",Scoring!I180)</f>
        <v/>
      </c>
      <c r="G171" s="987"/>
      <c r="H171" s="987"/>
      <c r="I171" s="988" t="s">
        <v>2261</v>
      </c>
      <c r="J171" s="969"/>
      <c r="K171" s="969"/>
      <c r="L171" s="994"/>
      <c r="M171" s="995"/>
      <c r="N171" s="928"/>
      <c r="O171" s="953"/>
      <c r="P171" s="952"/>
      <c r="Q171" s="928"/>
      <c r="R171" s="928"/>
      <c r="S171" s="928"/>
      <c r="T171" s="928"/>
      <c r="U171" s="928"/>
      <c r="V171" s="928"/>
      <c r="W171" s="928"/>
      <c r="X171" s="928"/>
      <c r="Y171" s="928"/>
      <c r="Z171" s="928"/>
      <c r="AA171" s="928"/>
      <c r="AB171" s="928"/>
      <c r="AC171" s="928"/>
      <c r="AD171" s="928"/>
      <c r="AE171" s="928"/>
      <c r="AF171" s="928"/>
      <c r="AG171" s="928"/>
      <c r="AH171" s="928"/>
      <c r="AI171" s="928"/>
      <c r="AJ171" s="928"/>
      <c r="AK171" s="928"/>
      <c r="AL171" s="928"/>
      <c r="AM171" s="928"/>
      <c r="AN171" s="928"/>
      <c r="AO171" s="928"/>
      <c r="AP171" s="928"/>
      <c r="AQ171" s="928"/>
      <c r="AR171" s="928"/>
      <c r="AS171" s="928"/>
      <c r="AT171" s="928"/>
      <c r="AU171" s="928"/>
      <c r="AV171" s="928"/>
      <c r="AW171" s="928"/>
      <c r="AX171" s="928"/>
      <c r="AY171" s="928"/>
      <c r="AZ171" s="928"/>
      <c r="BA171" s="928"/>
      <c r="BB171" s="928"/>
      <c r="BC171" s="928"/>
      <c r="BD171" s="928"/>
      <c r="BE171" s="928"/>
      <c r="BF171" s="928"/>
      <c r="BG171" s="928"/>
      <c r="BH171" s="928"/>
      <c r="BI171" s="928"/>
      <c r="BJ171" s="928"/>
      <c r="BK171" s="928"/>
      <c r="BL171" s="928"/>
      <c r="BM171" s="928"/>
      <c r="BN171" s="928"/>
      <c r="BO171" s="928"/>
      <c r="BP171" s="928"/>
      <c r="BQ171" s="928"/>
      <c r="BR171" s="928"/>
      <c r="BS171" s="928"/>
      <c r="BT171" s="928"/>
      <c r="BU171" s="928"/>
      <c r="BV171" s="928"/>
      <c r="BW171" s="928"/>
      <c r="BX171" s="928"/>
      <c r="BY171" s="928"/>
      <c r="BZ171" s="928"/>
      <c r="CA171" s="928"/>
      <c r="CB171" s="928"/>
      <c r="CC171" s="928"/>
      <c r="CD171" s="928"/>
      <c r="CE171" s="928"/>
      <c r="CF171" s="928"/>
      <c r="CG171" s="928"/>
      <c r="CH171" s="928"/>
      <c r="CI171" s="928"/>
      <c r="CJ171" s="928"/>
      <c r="CK171" s="928"/>
      <c r="CL171" s="928"/>
      <c r="CM171" s="928"/>
      <c r="CN171" s="928"/>
      <c r="CO171" s="928"/>
      <c r="CP171" s="928"/>
      <c r="CQ171" s="928"/>
      <c r="CR171" s="928"/>
      <c r="CS171" s="928"/>
      <c r="CT171" s="928"/>
      <c r="CU171" s="928"/>
      <c r="CV171" s="928"/>
      <c r="CW171" s="928"/>
      <c r="CX171" s="928"/>
      <c r="CY171" s="928"/>
      <c r="CZ171" s="928"/>
      <c r="DA171" s="928"/>
      <c r="DB171" s="928"/>
      <c r="DC171" s="928"/>
      <c r="DD171" s="928"/>
      <c r="DE171" s="928"/>
      <c r="DF171" s="928"/>
      <c r="DG171" s="928"/>
      <c r="DH171" s="928"/>
      <c r="DI171" s="928"/>
      <c r="DJ171" s="928"/>
      <c r="DK171" s="928"/>
      <c r="DL171" s="928"/>
      <c r="DM171" s="928"/>
      <c r="DN171" s="928"/>
      <c r="DO171" s="928"/>
      <c r="DP171" s="928"/>
      <c r="DQ171" s="928"/>
      <c r="DR171" s="928"/>
      <c r="DS171" s="928"/>
      <c r="DT171" s="928"/>
      <c r="DU171" s="928"/>
      <c r="DV171" s="928"/>
      <c r="DW171" s="928"/>
      <c r="DX171" s="928"/>
      <c r="DY171" s="928"/>
      <c r="DZ171" s="928"/>
      <c r="EA171" s="928"/>
      <c r="EB171" s="928"/>
      <c r="EC171" s="928"/>
      <c r="ED171" s="928"/>
      <c r="EE171" s="928"/>
      <c r="EF171" s="928"/>
      <c r="EG171" s="928"/>
      <c r="EH171" s="928"/>
      <c r="EI171" s="928"/>
      <c r="EJ171" s="928"/>
      <c r="EK171" s="928"/>
      <c r="EL171" s="928"/>
      <c r="EM171" s="928"/>
      <c r="EN171" s="928"/>
      <c r="EO171" s="928"/>
      <c r="EP171" s="928"/>
      <c r="EQ171" s="928"/>
      <c r="ER171" s="928"/>
      <c r="ES171" s="928"/>
      <c r="ET171" s="928"/>
      <c r="EU171" s="928"/>
      <c r="EV171" s="928"/>
      <c r="EW171" s="928"/>
      <c r="EX171" s="928"/>
      <c r="EY171" s="928"/>
      <c r="EZ171" s="928"/>
      <c r="FA171" s="928"/>
      <c r="FB171" s="928"/>
      <c r="FC171" s="928"/>
      <c r="FD171" s="928"/>
      <c r="FE171" s="928"/>
      <c r="FF171" s="928"/>
      <c r="FG171" s="928"/>
      <c r="FH171" s="928"/>
      <c r="FI171" s="928"/>
      <c r="FJ171" s="928"/>
      <c r="FK171" s="928"/>
      <c r="FL171" s="928"/>
      <c r="FM171" s="928"/>
      <c r="FN171" s="928"/>
      <c r="FO171" s="928"/>
      <c r="FP171" s="928"/>
      <c r="FQ171" s="928"/>
      <c r="FR171" s="928"/>
      <c r="FS171" s="928"/>
      <c r="FT171" s="928"/>
      <c r="FU171" s="928"/>
      <c r="FV171" s="928"/>
      <c r="FW171" s="928"/>
      <c r="FX171" s="928"/>
      <c r="FY171" s="928"/>
      <c r="FZ171" s="928"/>
      <c r="GA171" s="928"/>
      <c r="GB171" s="928"/>
      <c r="GC171" s="928"/>
      <c r="GD171" s="928"/>
      <c r="GE171" s="928"/>
      <c r="GF171" s="928"/>
      <c r="GG171" s="928"/>
      <c r="GH171" s="928"/>
      <c r="GI171" s="928"/>
      <c r="GJ171" s="928"/>
      <c r="GK171" s="928"/>
      <c r="GL171" s="928"/>
      <c r="GM171" s="928"/>
      <c r="GN171" s="928"/>
      <c r="GO171" s="928"/>
      <c r="GP171" s="928"/>
      <c r="GQ171" s="928"/>
      <c r="GR171" s="928"/>
      <c r="GS171" s="928"/>
      <c r="GT171" s="928"/>
      <c r="GU171" s="928"/>
      <c r="GV171" s="928"/>
      <c r="GW171" s="928"/>
      <c r="GX171" s="928"/>
      <c r="GY171" s="928"/>
      <c r="GZ171" s="928"/>
      <c r="HA171" s="928"/>
      <c r="HB171" s="928"/>
      <c r="HC171" s="928"/>
      <c r="HD171" s="928"/>
      <c r="HE171" s="928"/>
      <c r="HF171" s="928"/>
      <c r="HG171" s="928"/>
      <c r="HH171" s="928"/>
      <c r="HI171" s="928"/>
      <c r="HJ171" s="928"/>
      <c r="HK171" s="928"/>
      <c r="HL171" s="928"/>
      <c r="HM171" s="928"/>
      <c r="HN171" s="928"/>
      <c r="HO171" s="928"/>
      <c r="HP171" s="928"/>
      <c r="HQ171" s="928"/>
      <c r="HR171" s="928"/>
      <c r="HS171" s="928"/>
      <c r="HT171" s="928"/>
      <c r="HU171" s="928"/>
      <c r="HV171" s="928"/>
      <c r="HW171" s="928"/>
      <c r="HX171" s="928"/>
      <c r="HY171" s="928"/>
      <c r="HZ171" s="928"/>
      <c r="IA171" s="928"/>
      <c r="IB171" s="928"/>
      <c r="IC171" s="928"/>
      <c r="ID171" s="928"/>
      <c r="IE171" s="928"/>
      <c r="IF171" s="928"/>
      <c r="IG171" s="928"/>
      <c r="IH171" s="928"/>
      <c r="II171" s="928"/>
      <c r="IJ171" s="928"/>
      <c r="IK171" s="928"/>
      <c r="IL171" s="928"/>
      <c r="IM171" s="928"/>
      <c r="IN171" s="928"/>
      <c r="IO171" s="928"/>
      <c r="IP171" s="928"/>
      <c r="IQ171" s="928"/>
      <c r="IR171" s="928"/>
      <c r="IS171" s="928"/>
      <c r="IT171" s="928"/>
      <c r="IU171" s="928"/>
      <c r="IV171" s="928"/>
      <c r="IW171" s="928"/>
    </row>
    <row r="172" spans="1:257" s="951" customFormat="1" ht="113" thickBot="1">
      <c r="A172" s="2472"/>
      <c r="B172" s="1102" t="s">
        <v>2635</v>
      </c>
      <c r="C172" s="985">
        <v>4</v>
      </c>
      <c r="D172" s="985">
        <v>4</v>
      </c>
      <c r="E172" s="986" t="s">
        <v>1568</v>
      </c>
      <c r="F172" s="968" t="str">
        <f>IF(Scoring!I181="","",Scoring!I181)</f>
        <v/>
      </c>
      <c r="G172" s="987"/>
      <c r="H172" s="987"/>
      <c r="I172" s="988" t="s">
        <v>2262</v>
      </c>
      <c r="J172" s="969"/>
      <c r="K172" s="969"/>
      <c r="L172" s="994"/>
      <c r="M172" s="995"/>
      <c r="N172" s="928"/>
      <c r="O172" s="945"/>
      <c r="P172" s="944"/>
      <c r="Q172" s="928"/>
      <c r="R172" s="928"/>
      <c r="S172" s="928"/>
      <c r="T172" s="928"/>
      <c r="U172" s="928"/>
      <c r="V172" s="928"/>
      <c r="W172" s="928"/>
      <c r="X172" s="928"/>
      <c r="Y172" s="928"/>
      <c r="Z172" s="928"/>
      <c r="AA172" s="928"/>
      <c r="AB172" s="928"/>
      <c r="AC172" s="928"/>
      <c r="AD172" s="928"/>
      <c r="AE172" s="928"/>
      <c r="AF172" s="928"/>
      <c r="AG172" s="928"/>
      <c r="AH172" s="928"/>
      <c r="AI172" s="928"/>
      <c r="AJ172" s="928"/>
      <c r="AK172" s="928"/>
      <c r="AL172" s="928"/>
      <c r="AM172" s="928"/>
      <c r="AN172" s="928"/>
      <c r="AO172" s="928"/>
      <c r="AP172" s="928"/>
      <c r="AQ172" s="928"/>
      <c r="AR172" s="928"/>
      <c r="AS172" s="928"/>
      <c r="AT172" s="928"/>
      <c r="AU172" s="928"/>
      <c r="AV172" s="928"/>
      <c r="AW172" s="928"/>
      <c r="AX172" s="928"/>
      <c r="AY172" s="928"/>
      <c r="AZ172" s="928"/>
      <c r="BA172" s="928"/>
      <c r="BB172" s="928"/>
      <c r="BC172" s="928"/>
      <c r="BD172" s="928"/>
      <c r="BE172" s="928"/>
      <c r="BF172" s="928"/>
      <c r="BG172" s="928"/>
      <c r="BH172" s="928"/>
      <c r="BI172" s="928"/>
      <c r="BJ172" s="928"/>
      <c r="BK172" s="928"/>
      <c r="BL172" s="928"/>
      <c r="BM172" s="928"/>
      <c r="BN172" s="928"/>
      <c r="BO172" s="928"/>
      <c r="BP172" s="928"/>
      <c r="BQ172" s="928"/>
      <c r="BR172" s="928"/>
      <c r="BS172" s="928"/>
      <c r="BT172" s="928"/>
      <c r="BU172" s="928"/>
      <c r="BV172" s="928"/>
      <c r="BW172" s="928"/>
      <c r="BX172" s="928"/>
      <c r="BY172" s="928"/>
      <c r="BZ172" s="928"/>
      <c r="CA172" s="928"/>
      <c r="CB172" s="928"/>
      <c r="CC172" s="928"/>
      <c r="CD172" s="928"/>
      <c r="CE172" s="928"/>
      <c r="CF172" s="928"/>
      <c r="CG172" s="928"/>
      <c r="CH172" s="928"/>
      <c r="CI172" s="928"/>
      <c r="CJ172" s="928"/>
      <c r="CK172" s="928"/>
      <c r="CL172" s="928"/>
      <c r="CM172" s="928"/>
      <c r="CN172" s="928"/>
      <c r="CO172" s="928"/>
      <c r="CP172" s="928"/>
      <c r="CQ172" s="928"/>
      <c r="CR172" s="928"/>
      <c r="CS172" s="928"/>
      <c r="CT172" s="928"/>
      <c r="CU172" s="928"/>
      <c r="CV172" s="928"/>
      <c r="CW172" s="928"/>
      <c r="CX172" s="928"/>
      <c r="CY172" s="928"/>
      <c r="CZ172" s="928"/>
      <c r="DA172" s="928"/>
      <c r="DB172" s="928"/>
      <c r="DC172" s="928"/>
      <c r="DD172" s="928"/>
      <c r="DE172" s="928"/>
      <c r="DF172" s="928"/>
      <c r="DG172" s="928"/>
      <c r="DH172" s="928"/>
      <c r="DI172" s="928"/>
      <c r="DJ172" s="928"/>
      <c r="DK172" s="928"/>
      <c r="DL172" s="928"/>
      <c r="DM172" s="928"/>
      <c r="DN172" s="928"/>
      <c r="DO172" s="928"/>
      <c r="DP172" s="928"/>
      <c r="DQ172" s="928"/>
      <c r="DR172" s="928"/>
      <c r="DS172" s="928"/>
      <c r="DT172" s="928"/>
      <c r="DU172" s="928"/>
      <c r="DV172" s="928"/>
      <c r="DW172" s="928"/>
      <c r="DX172" s="928"/>
      <c r="DY172" s="928"/>
      <c r="DZ172" s="928"/>
      <c r="EA172" s="928"/>
      <c r="EB172" s="928"/>
      <c r="EC172" s="928"/>
      <c r="ED172" s="928"/>
      <c r="EE172" s="928"/>
      <c r="EF172" s="928"/>
      <c r="EG172" s="928"/>
      <c r="EH172" s="928"/>
      <c r="EI172" s="928"/>
      <c r="EJ172" s="928"/>
      <c r="EK172" s="928"/>
      <c r="EL172" s="928"/>
      <c r="EM172" s="928"/>
      <c r="EN172" s="928"/>
      <c r="EO172" s="928"/>
      <c r="EP172" s="928"/>
      <c r="EQ172" s="928"/>
      <c r="ER172" s="928"/>
      <c r="ES172" s="928"/>
      <c r="ET172" s="928"/>
      <c r="EU172" s="928"/>
      <c r="EV172" s="928"/>
      <c r="EW172" s="928"/>
      <c r="EX172" s="928"/>
      <c r="EY172" s="928"/>
      <c r="EZ172" s="928"/>
      <c r="FA172" s="928"/>
      <c r="FB172" s="928"/>
      <c r="FC172" s="928"/>
      <c r="FD172" s="928"/>
      <c r="FE172" s="928"/>
      <c r="FF172" s="928"/>
      <c r="FG172" s="928"/>
      <c r="FH172" s="928"/>
      <c r="FI172" s="928"/>
      <c r="FJ172" s="928"/>
      <c r="FK172" s="928"/>
      <c r="FL172" s="928"/>
      <c r="FM172" s="928"/>
      <c r="FN172" s="928"/>
      <c r="FO172" s="928"/>
      <c r="FP172" s="928"/>
      <c r="FQ172" s="928"/>
      <c r="FR172" s="928"/>
      <c r="FS172" s="928"/>
      <c r="FT172" s="928"/>
      <c r="FU172" s="928"/>
      <c r="FV172" s="928"/>
      <c r="FW172" s="928"/>
      <c r="FX172" s="928"/>
      <c r="FY172" s="928"/>
      <c r="FZ172" s="928"/>
      <c r="GA172" s="928"/>
      <c r="GB172" s="928"/>
      <c r="GC172" s="928"/>
      <c r="GD172" s="928"/>
      <c r="GE172" s="928"/>
      <c r="GF172" s="928"/>
      <c r="GG172" s="928"/>
      <c r="GH172" s="928"/>
      <c r="GI172" s="928"/>
      <c r="GJ172" s="928"/>
      <c r="GK172" s="928"/>
      <c r="GL172" s="928"/>
      <c r="GM172" s="928"/>
      <c r="GN172" s="928"/>
      <c r="GO172" s="928"/>
      <c r="GP172" s="928"/>
      <c r="GQ172" s="928"/>
      <c r="GR172" s="928"/>
      <c r="GS172" s="928"/>
      <c r="GT172" s="928"/>
      <c r="GU172" s="928"/>
      <c r="GV172" s="928"/>
      <c r="GW172" s="928"/>
      <c r="GX172" s="928"/>
      <c r="GY172" s="928"/>
      <c r="GZ172" s="928"/>
      <c r="HA172" s="928"/>
      <c r="HB172" s="928"/>
      <c r="HC172" s="928"/>
      <c r="HD172" s="928"/>
      <c r="HE172" s="928"/>
      <c r="HF172" s="928"/>
      <c r="HG172" s="928"/>
      <c r="HH172" s="928"/>
      <c r="HI172" s="928"/>
      <c r="HJ172" s="928"/>
      <c r="HK172" s="928"/>
      <c r="HL172" s="928"/>
      <c r="HM172" s="928"/>
      <c r="HN172" s="928"/>
      <c r="HO172" s="928"/>
      <c r="HP172" s="928"/>
      <c r="HQ172" s="928"/>
      <c r="HR172" s="928"/>
      <c r="HS172" s="928"/>
      <c r="HT172" s="928"/>
      <c r="HU172" s="928"/>
      <c r="HV172" s="928"/>
      <c r="HW172" s="928"/>
      <c r="HX172" s="928"/>
      <c r="HY172" s="928"/>
      <c r="HZ172" s="928"/>
      <c r="IA172" s="928"/>
      <c r="IB172" s="928"/>
      <c r="IC172" s="928"/>
      <c r="ID172" s="928"/>
      <c r="IE172" s="928"/>
      <c r="IF172" s="928"/>
      <c r="IG172" s="928"/>
      <c r="IH172" s="928"/>
      <c r="II172" s="928"/>
      <c r="IJ172" s="928"/>
      <c r="IK172" s="928"/>
      <c r="IL172" s="928"/>
      <c r="IM172" s="928"/>
      <c r="IN172" s="928"/>
      <c r="IO172" s="928"/>
      <c r="IP172" s="928"/>
      <c r="IQ172" s="928"/>
      <c r="IR172" s="928"/>
      <c r="IS172" s="928"/>
      <c r="IT172" s="928"/>
      <c r="IU172" s="928"/>
      <c r="IV172" s="928"/>
      <c r="IW172" s="928"/>
    </row>
    <row r="173" spans="1:257" ht="86" thickTop="1" thickBot="1">
      <c r="A173" s="2473"/>
      <c r="B173" s="1211" t="s">
        <v>1897</v>
      </c>
      <c r="C173" s="997" t="s">
        <v>2033</v>
      </c>
      <c r="D173" s="997" t="s">
        <v>2031</v>
      </c>
      <c r="E173" s="998" t="s">
        <v>1570</v>
      </c>
      <c r="F173" s="973" t="str">
        <f>IF(Scoring!I182="","",Scoring!I182)</f>
        <v/>
      </c>
      <c r="G173" s="999"/>
      <c r="H173" s="999"/>
      <c r="I173" s="1000" t="s">
        <v>2263</v>
      </c>
      <c r="J173" s="974">
        <f>COUNT(F170:F173)</f>
        <v>0</v>
      </c>
      <c r="K173" s="974"/>
      <c r="L173" s="1207">
        <f>SUM(F170:F173)</f>
        <v>0</v>
      </c>
      <c r="M173" s="976">
        <f>IF(L173&lt;2,0,1)</f>
        <v>0</v>
      </c>
      <c r="O173" s="942"/>
      <c r="P173" s="950">
        <f>COUNTA(F171:F173)</f>
        <v>3</v>
      </c>
    </row>
    <row r="174" spans="1:257" ht="15" thickTop="1" thickBot="1">
      <c r="A174" s="915"/>
      <c r="F174" s="915"/>
      <c r="J174" s="915"/>
      <c r="K174" s="915"/>
    </row>
    <row r="175" spans="1:257" ht="71" thickTop="1">
      <c r="A175" s="2471" t="s">
        <v>2569</v>
      </c>
      <c r="B175" s="1212" t="s">
        <v>2570</v>
      </c>
      <c r="C175" s="1199">
        <v>4</v>
      </c>
      <c r="D175" s="1199">
        <v>5</v>
      </c>
      <c r="E175" s="1200" t="s">
        <v>2571</v>
      </c>
      <c r="F175" s="1201" t="str">
        <f>IF(Scoring!I184="","",Scoring!I184)</f>
        <v/>
      </c>
      <c r="G175" s="1202"/>
      <c r="H175" s="1202"/>
      <c r="I175" s="1203" t="s">
        <v>2572</v>
      </c>
      <c r="J175" s="1208"/>
      <c r="K175" s="1208"/>
      <c r="L175" s="1217"/>
      <c r="M175" s="1218"/>
      <c r="O175" s="949"/>
      <c r="P175" s="948"/>
    </row>
    <row r="176" spans="1:257" ht="140">
      <c r="A176" s="2472"/>
      <c r="B176" s="993" t="s">
        <v>1919</v>
      </c>
      <c r="C176" s="985">
        <v>4</v>
      </c>
      <c r="D176" s="985">
        <v>5</v>
      </c>
      <c r="E176" s="986" t="s">
        <v>1905</v>
      </c>
      <c r="F176" s="968" t="str">
        <f>IF(Scoring!I185="","",Scoring!I185)</f>
        <v/>
      </c>
      <c r="G176" s="987"/>
      <c r="H176" s="987"/>
      <c r="I176" s="988" t="s">
        <v>2573</v>
      </c>
      <c r="J176" s="969"/>
      <c r="K176" s="969"/>
      <c r="L176" s="994"/>
      <c r="M176" s="995"/>
      <c r="O176" s="947"/>
      <c r="P176" s="946"/>
    </row>
    <row r="177" spans="1:257" ht="98">
      <c r="A177" s="2472"/>
      <c r="B177" s="993" t="s">
        <v>2574</v>
      </c>
      <c r="C177" s="985">
        <v>4</v>
      </c>
      <c r="D177" s="985">
        <v>5</v>
      </c>
      <c r="E177" s="986" t="s">
        <v>2575</v>
      </c>
      <c r="F177" s="968" t="str">
        <f>IF(Scoring!I186="","",Scoring!I186)</f>
        <v/>
      </c>
      <c r="G177" s="987"/>
      <c r="H177" s="987"/>
      <c r="I177" s="988" t="s">
        <v>2576</v>
      </c>
      <c r="J177" s="969"/>
      <c r="K177" s="969"/>
      <c r="L177" s="994"/>
      <c r="M177" s="995"/>
      <c r="O177" s="945"/>
      <c r="P177" s="944"/>
    </row>
    <row r="178" spans="1:257" ht="113" thickBot="1">
      <c r="A178" s="2473"/>
      <c r="B178" s="996" t="s">
        <v>2577</v>
      </c>
      <c r="C178" s="997">
        <v>3</v>
      </c>
      <c r="D178" s="997">
        <v>4</v>
      </c>
      <c r="E178" s="998" t="s">
        <v>2578</v>
      </c>
      <c r="F178" s="973" t="str">
        <f>IF(Scoring!I187="","",Scoring!I187)</f>
        <v/>
      </c>
      <c r="G178" s="999"/>
      <c r="H178" s="999"/>
      <c r="I178" s="1000" t="s">
        <v>2579</v>
      </c>
      <c r="J178" s="974"/>
      <c r="K178" s="974">
        <f>COUNT(F175:F178)</f>
        <v>0</v>
      </c>
      <c r="L178" s="975">
        <f>SUM(F175:F178)</f>
        <v>0</v>
      </c>
      <c r="M178" s="976">
        <f>IF(L178&lt;2,0,1)</f>
        <v>0</v>
      </c>
      <c r="N178" s="943"/>
      <c r="O178" s="942"/>
      <c r="P178" s="941"/>
    </row>
    <row r="179" spans="1:257" ht="21" hidden="1" thickTop="1">
      <c r="A179" s="1252"/>
      <c r="B179" s="1253"/>
      <c r="C179" s="1254"/>
      <c r="D179" s="1254"/>
      <c r="E179" s="1255"/>
      <c r="F179" s="1256"/>
      <c r="G179" s="1257"/>
      <c r="H179" s="1257"/>
      <c r="I179" s="1258"/>
      <c r="J179" s="1259"/>
      <c r="K179" s="1259"/>
      <c r="L179" s="1260"/>
      <c r="M179" s="1261"/>
      <c r="N179" s="928"/>
      <c r="O179" s="1262"/>
      <c r="P179" s="1263"/>
    </row>
    <row r="180" spans="1:257" ht="20" hidden="1">
      <c r="A180" s="1252"/>
      <c r="B180" s="1253"/>
      <c r="C180" s="1254"/>
      <c r="D180" s="1254"/>
      <c r="E180" s="1255"/>
      <c r="F180" s="1256"/>
      <c r="G180" s="1257"/>
      <c r="H180" s="1257"/>
      <c r="I180" s="1258"/>
      <c r="J180" s="1259"/>
      <c r="K180" s="1259"/>
      <c r="L180" s="1260"/>
      <c r="M180" s="1261"/>
      <c r="N180" s="928"/>
      <c r="O180" s="1262"/>
      <c r="P180" s="1263"/>
    </row>
    <row r="181" spans="1:257" ht="20" hidden="1">
      <c r="A181" s="1252"/>
      <c r="B181" s="1253"/>
      <c r="C181" s="1254"/>
      <c r="D181" s="1254"/>
      <c r="E181" s="1255"/>
      <c r="F181" s="1256"/>
      <c r="G181" s="1257"/>
      <c r="H181" s="1257"/>
      <c r="I181" s="1258"/>
      <c r="J181" s="1259"/>
      <c r="K181" s="1259"/>
      <c r="L181" s="1260"/>
      <c r="M181" s="1261"/>
      <c r="N181" s="928"/>
      <c r="O181" s="1262"/>
      <c r="P181" s="1263"/>
    </row>
    <row r="182" spans="1:257" s="923" customFormat="1" ht="21" thickTop="1">
      <c r="A182" s="938"/>
      <c r="B182" s="937"/>
      <c r="C182" s="940"/>
      <c r="D182" s="940"/>
      <c r="E182" s="939"/>
      <c r="F182" s="1219">
        <f>SUM(F5:F178)</f>
        <v>0</v>
      </c>
      <c r="G182" s="1231" t="s">
        <v>2264</v>
      </c>
      <c r="H182" s="1231"/>
      <c r="I182" s="1232" t="s">
        <v>2265</v>
      </c>
      <c r="J182" s="1233"/>
      <c r="K182" s="1233"/>
      <c r="L182" s="1234"/>
      <c r="M182" s="1235">
        <f>SUM(M5:M178)</f>
        <v>0</v>
      </c>
      <c r="N182" s="924"/>
      <c r="O182" s="924"/>
      <c r="P182" s="924"/>
      <c r="Q182" s="924"/>
      <c r="R182" s="924"/>
      <c r="S182" s="924"/>
      <c r="T182" s="924"/>
      <c r="U182" s="924"/>
      <c r="V182" s="924"/>
      <c r="W182" s="924"/>
      <c r="X182" s="924"/>
      <c r="Y182" s="924"/>
      <c r="Z182" s="924"/>
      <c r="AA182" s="924"/>
      <c r="AB182" s="924"/>
      <c r="AC182" s="924"/>
      <c r="AD182" s="924"/>
      <c r="AE182" s="924"/>
      <c r="AF182" s="924"/>
      <c r="AG182" s="924"/>
      <c r="AH182" s="924"/>
      <c r="AI182" s="924"/>
      <c r="AJ182" s="924"/>
      <c r="AK182" s="924"/>
      <c r="AL182" s="924"/>
      <c r="AM182" s="924"/>
      <c r="AN182" s="924"/>
      <c r="AO182" s="924"/>
      <c r="AP182" s="924"/>
      <c r="AQ182" s="924"/>
      <c r="AR182" s="924"/>
      <c r="AS182" s="924"/>
      <c r="AT182" s="924"/>
      <c r="AU182" s="924"/>
      <c r="AV182" s="924"/>
      <c r="AW182" s="924"/>
      <c r="AX182" s="924"/>
      <c r="AY182" s="924"/>
      <c r="AZ182" s="924"/>
      <c r="BA182" s="924"/>
      <c r="BB182" s="924"/>
      <c r="BC182" s="924"/>
      <c r="BD182" s="924"/>
      <c r="BE182" s="924"/>
      <c r="BF182" s="924"/>
      <c r="BG182" s="924"/>
      <c r="BH182" s="924"/>
      <c r="BI182" s="924"/>
      <c r="BJ182" s="924"/>
      <c r="BK182" s="924"/>
      <c r="BL182" s="924"/>
      <c r="BM182" s="924"/>
      <c r="BN182" s="924"/>
      <c r="BO182" s="924"/>
      <c r="BP182" s="924"/>
      <c r="BQ182" s="924"/>
      <c r="BR182" s="924"/>
      <c r="BS182" s="924"/>
      <c r="BT182" s="924"/>
      <c r="BU182" s="924"/>
      <c r="BV182" s="924"/>
      <c r="BW182" s="924"/>
      <c r="BX182" s="924"/>
      <c r="BY182" s="924"/>
      <c r="BZ182" s="924"/>
      <c r="CA182" s="924"/>
      <c r="CB182" s="924"/>
      <c r="CC182" s="924"/>
      <c r="CD182" s="924"/>
      <c r="CE182" s="924"/>
      <c r="CF182" s="924"/>
      <c r="CG182" s="924"/>
      <c r="CH182" s="924"/>
      <c r="CI182" s="924"/>
      <c r="CJ182" s="924"/>
      <c r="CK182" s="924"/>
      <c r="CL182" s="924"/>
      <c r="CM182" s="924"/>
      <c r="CN182" s="924"/>
      <c r="CO182" s="924"/>
      <c r="CP182" s="924"/>
      <c r="CQ182" s="924"/>
      <c r="CR182" s="924"/>
      <c r="CS182" s="924"/>
      <c r="CT182" s="924"/>
      <c r="CU182" s="924"/>
      <c r="CV182" s="924"/>
      <c r="CW182" s="924"/>
      <c r="CX182" s="924"/>
      <c r="CY182" s="924"/>
      <c r="CZ182" s="924"/>
      <c r="DA182" s="924"/>
      <c r="DB182" s="924"/>
      <c r="DC182" s="924"/>
      <c r="DD182" s="924"/>
      <c r="DE182" s="924"/>
      <c r="DF182" s="924"/>
      <c r="DG182" s="924"/>
      <c r="DH182" s="924"/>
      <c r="DI182" s="924"/>
      <c r="DJ182" s="924"/>
      <c r="DK182" s="924"/>
      <c r="DL182" s="924"/>
      <c r="DM182" s="924"/>
      <c r="DN182" s="924"/>
      <c r="DO182" s="924"/>
      <c r="DP182" s="924"/>
      <c r="DQ182" s="924"/>
      <c r="DR182" s="924"/>
      <c r="DS182" s="924"/>
      <c r="DT182" s="924"/>
      <c r="DU182" s="924"/>
      <c r="DV182" s="924"/>
      <c r="DW182" s="924"/>
      <c r="DX182" s="924"/>
      <c r="DY182" s="924"/>
      <c r="DZ182" s="924"/>
      <c r="EA182" s="924"/>
      <c r="EB182" s="924"/>
      <c r="EC182" s="924"/>
      <c r="ED182" s="924"/>
      <c r="EE182" s="924"/>
      <c r="EF182" s="924"/>
      <c r="EG182" s="924"/>
      <c r="EH182" s="924"/>
      <c r="EI182" s="924"/>
      <c r="EJ182" s="924"/>
      <c r="EK182" s="924"/>
      <c r="EL182" s="924"/>
      <c r="EM182" s="924"/>
      <c r="EN182" s="924"/>
      <c r="EO182" s="924"/>
      <c r="EP182" s="924"/>
      <c r="EQ182" s="924"/>
      <c r="ER182" s="924"/>
      <c r="ES182" s="924"/>
      <c r="ET182" s="924"/>
      <c r="EU182" s="924"/>
      <c r="EV182" s="924"/>
      <c r="EW182" s="924"/>
      <c r="EX182" s="924"/>
      <c r="EY182" s="924"/>
      <c r="EZ182" s="924"/>
      <c r="FA182" s="924"/>
      <c r="FB182" s="924"/>
      <c r="FC182" s="924"/>
      <c r="FD182" s="924"/>
      <c r="FE182" s="924"/>
      <c r="FF182" s="924"/>
      <c r="FG182" s="924"/>
      <c r="FH182" s="924"/>
      <c r="FI182" s="924"/>
      <c r="FJ182" s="924"/>
      <c r="FK182" s="924"/>
      <c r="FL182" s="924"/>
      <c r="FM182" s="924"/>
      <c r="FN182" s="924"/>
      <c r="FO182" s="924"/>
      <c r="FP182" s="924"/>
      <c r="FQ182" s="924"/>
      <c r="FR182" s="924"/>
      <c r="FS182" s="924"/>
      <c r="FT182" s="924"/>
      <c r="FU182" s="924"/>
      <c r="FV182" s="924"/>
      <c r="FW182" s="924"/>
      <c r="FX182" s="924"/>
      <c r="FY182" s="924"/>
      <c r="FZ182" s="924"/>
      <c r="GA182" s="924"/>
      <c r="GB182" s="924"/>
      <c r="GC182" s="924"/>
      <c r="GD182" s="924"/>
      <c r="GE182" s="924"/>
      <c r="GF182" s="924"/>
      <c r="GG182" s="924"/>
      <c r="GH182" s="924"/>
      <c r="GI182" s="924"/>
      <c r="GJ182" s="924"/>
      <c r="GK182" s="924"/>
      <c r="GL182" s="924"/>
      <c r="GM182" s="924"/>
      <c r="GN182" s="924"/>
      <c r="GO182" s="924"/>
      <c r="GP182" s="924"/>
      <c r="GQ182" s="924"/>
      <c r="GR182" s="924"/>
      <c r="GS182" s="924"/>
      <c r="GT182" s="924"/>
      <c r="GU182" s="924"/>
      <c r="GV182" s="924"/>
      <c r="GW182" s="924"/>
      <c r="GX182" s="924"/>
      <c r="GY182" s="924"/>
      <c r="GZ182" s="924"/>
      <c r="HA182" s="924"/>
      <c r="HB182" s="924"/>
      <c r="HC182" s="924"/>
      <c r="HD182" s="924"/>
      <c r="HE182" s="924"/>
      <c r="HF182" s="924"/>
      <c r="HG182" s="924"/>
      <c r="HH182" s="924"/>
      <c r="HI182" s="924"/>
      <c r="HJ182" s="924"/>
      <c r="HK182" s="924"/>
      <c r="HL182" s="924"/>
      <c r="HM182" s="924"/>
      <c r="HN182" s="924"/>
      <c r="HO182" s="924"/>
      <c r="HP182" s="924"/>
      <c r="HQ182" s="924"/>
      <c r="HR182" s="924"/>
      <c r="HS182" s="924"/>
      <c r="HT182" s="924"/>
      <c r="HU182" s="924"/>
      <c r="HV182" s="924"/>
      <c r="HW182" s="924"/>
      <c r="HX182" s="924"/>
      <c r="HY182" s="924"/>
      <c r="HZ182" s="924"/>
      <c r="IA182" s="924"/>
      <c r="IB182" s="924"/>
      <c r="IC182" s="924"/>
      <c r="ID182" s="924"/>
      <c r="IE182" s="924"/>
      <c r="IF182" s="924"/>
      <c r="IG182" s="924"/>
      <c r="IH182" s="924"/>
      <c r="II182" s="924"/>
      <c r="IJ182" s="924"/>
      <c r="IK182" s="924"/>
      <c r="IL182" s="924"/>
      <c r="IM182" s="924"/>
      <c r="IN182" s="924"/>
      <c r="IO182" s="924"/>
      <c r="IP182" s="924"/>
      <c r="IQ182" s="924"/>
      <c r="IR182" s="924"/>
      <c r="IS182" s="924"/>
      <c r="IT182" s="924"/>
      <c r="IU182" s="924"/>
      <c r="IV182" s="924"/>
      <c r="IW182" s="924"/>
    </row>
    <row r="183" spans="1:257" s="923" customFormat="1" ht="20">
      <c r="A183" s="938"/>
      <c r="B183" s="937"/>
      <c r="C183" s="936"/>
      <c r="D183" s="936"/>
      <c r="E183" s="936"/>
      <c r="F183" s="977">
        <f>COUNT(F5:F178)</f>
        <v>0</v>
      </c>
      <c r="G183" s="1236" t="s">
        <v>2266</v>
      </c>
      <c r="H183" s="1236"/>
      <c r="I183" s="1237" t="s">
        <v>2267</v>
      </c>
      <c r="J183" s="1236"/>
      <c r="K183" s="1236"/>
      <c r="L183" s="1236"/>
      <c r="M183" s="1238">
        <f>COUNTIF(P5:P178,"&gt;0")</f>
        <v>28</v>
      </c>
      <c r="N183" s="924"/>
      <c r="O183" s="924"/>
      <c r="P183" s="924"/>
      <c r="Q183" s="924"/>
      <c r="R183" s="924"/>
      <c r="S183" s="924"/>
      <c r="T183" s="924"/>
      <c r="U183" s="924"/>
      <c r="V183" s="924"/>
      <c r="W183" s="924"/>
      <c r="X183" s="924"/>
      <c r="Y183" s="924"/>
      <c r="Z183" s="924"/>
      <c r="AA183" s="924"/>
      <c r="AB183" s="924"/>
      <c r="AC183" s="924"/>
      <c r="AD183" s="924"/>
      <c r="AE183" s="924"/>
      <c r="AF183" s="924"/>
      <c r="AG183" s="924"/>
      <c r="AH183" s="924"/>
      <c r="AI183" s="924"/>
      <c r="AJ183" s="924"/>
      <c r="AK183" s="924"/>
      <c r="AL183" s="924"/>
      <c r="AM183" s="924"/>
      <c r="AN183" s="924"/>
      <c r="AO183" s="924"/>
      <c r="AP183" s="924"/>
      <c r="AQ183" s="924"/>
      <c r="AR183" s="924"/>
      <c r="AS183" s="924"/>
      <c r="AT183" s="924"/>
      <c r="AU183" s="924"/>
      <c r="AV183" s="924"/>
      <c r="AW183" s="924"/>
      <c r="AX183" s="924"/>
      <c r="AY183" s="924"/>
      <c r="AZ183" s="924"/>
      <c r="BA183" s="924"/>
      <c r="BB183" s="924"/>
      <c r="BC183" s="924"/>
      <c r="BD183" s="924"/>
      <c r="BE183" s="924"/>
      <c r="BF183" s="924"/>
      <c r="BG183" s="924"/>
      <c r="BH183" s="924"/>
      <c r="BI183" s="924"/>
      <c r="BJ183" s="924"/>
      <c r="BK183" s="924"/>
      <c r="BL183" s="924"/>
      <c r="BM183" s="924"/>
      <c r="BN183" s="924"/>
      <c r="BO183" s="924"/>
      <c r="BP183" s="924"/>
      <c r="BQ183" s="924"/>
      <c r="BR183" s="924"/>
      <c r="BS183" s="924"/>
      <c r="BT183" s="924"/>
      <c r="BU183" s="924"/>
      <c r="BV183" s="924"/>
      <c r="BW183" s="924"/>
      <c r="BX183" s="924"/>
      <c r="BY183" s="924"/>
      <c r="BZ183" s="924"/>
      <c r="CA183" s="924"/>
      <c r="CB183" s="924"/>
      <c r="CC183" s="924"/>
      <c r="CD183" s="924"/>
      <c r="CE183" s="924"/>
      <c r="CF183" s="924"/>
      <c r="CG183" s="924"/>
      <c r="CH183" s="924"/>
      <c r="CI183" s="924"/>
      <c r="CJ183" s="924"/>
      <c r="CK183" s="924"/>
      <c r="CL183" s="924"/>
      <c r="CM183" s="924"/>
      <c r="CN183" s="924"/>
      <c r="CO183" s="924"/>
      <c r="CP183" s="924"/>
      <c r="CQ183" s="924"/>
      <c r="CR183" s="924"/>
      <c r="CS183" s="924"/>
      <c r="CT183" s="924"/>
      <c r="CU183" s="924"/>
      <c r="CV183" s="924"/>
      <c r="CW183" s="924"/>
      <c r="CX183" s="924"/>
      <c r="CY183" s="924"/>
      <c r="CZ183" s="924"/>
      <c r="DA183" s="924"/>
      <c r="DB183" s="924"/>
      <c r="DC183" s="924"/>
      <c r="DD183" s="924"/>
      <c r="DE183" s="924"/>
      <c r="DF183" s="924"/>
      <c r="DG183" s="924"/>
      <c r="DH183" s="924"/>
      <c r="DI183" s="924"/>
      <c r="DJ183" s="924"/>
      <c r="DK183" s="924"/>
      <c r="DL183" s="924"/>
      <c r="DM183" s="924"/>
      <c r="DN183" s="924"/>
      <c r="DO183" s="924"/>
      <c r="DP183" s="924"/>
      <c r="DQ183" s="924"/>
      <c r="DR183" s="924"/>
      <c r="DS183" s="924"/>
      <c r="DT183" s="924"/>
      <c r="DU183" s="924"/>
      <c r="DV183" s="924"/>
      <c r="DW183" s="924"/>
      <c r="DX183" s="924"/>
      <c r="DY183" s="924"/>
      <c r="DZ183" s="924"/>
      <c r="EA183" s="924"/>
      <c r="EB183" s="924"/>
      <c r="EC183" s="924"/>
      <c r="ED183" s="924"/>
      <c r="EE183" s="924"/>
      <c r="EF183" s="924"/>
      <c r="EG183" s="924"/>
      <c r="EH183" s="924"/>
      <c r="EI183" s="924"/>
      <c r="EJ183" s="924"/>
      <c r="EK183" s="924"/>
      <c r="EL183" s="924"/>
      <c r="EM183" s="924"/>
      <c r="EN183" s="924"/>
      <c r="EO183" s="924"/>
      <c r="EP183" s="924"/>
      <c r="EQ183" s="924"/>
      <c r="ER183" s="924"/>
      <c r="ES183" s="924"/>
      <c r="ET183" s="924"/>
      <c r="EU183" s="924"/>
      <c r="EV183" s="924"/>
      <c r="EW183" s="924"/>
      <c r="EX183" s="924"/>
      <c r="EY183" s="924"/>
      <c r="EZ183" s="924"/>
      <c r="FA183" s="924"/>
      <c r="FB183" s="924"/>
      <c r="FC183" s="924"/>
      <c r="FD183" s="924"/>
      <c r="FE183" s="924"/>
      <c r="FF183" s="924"/>
      <c r="FG183" s="924"/>
      <c r="FH183" s="924"/>
      <c r="FI183" s="924"/>
      <c r="FJ183" s="924"/>
      <c r="FK183" s="924"/>
      <c r="FL183" s="924"/>
      <c r="FM183" s="924"/>
      <c r="FN183" s="924"/>
      <c r="FO183" s="924"/>
      <c r="FP183" s="924"/>
      <c r="FQ183" s="924"/>
      <c r="FR183" s="924"/>
      <c r="FS183" s="924"/>
      <c r="FT183" s="924"/>
      <c r="FU183" s="924"/>
      <c r="FV183" s="924"/>
      <c r="FW183" s="924"/>
      <c r="FX183" s="924"/>
      <c r="FY183" s="924"/>
      <c r="FZ183" s="924"/>
      <c r="GA183" s="924"/>
      <c r="GB183" s="924"/>
      <c r="GC183" s="924"/>
      <c r="GD183" s="924"/>
      <c r="GE183" s="924"/>
      <c r="GF183" s="924"/>
      <c r="GG183" s="924"/>
      <c r="GH183" s="924"/>
      <c r="GI183" s="924"/>
      <c r="GJ183" s="924"/>
      <c r="GK183" s="924"/>
      <c r="GL183" s="924"/>
      <c r="GM183" s="924"/>
      <c r="GN183" s="924"/>
      <c r="GO183" s="924"/>
      <c r="GP183" s="924"/>
      <c r="GQ183" s="924"/>
      <c r="GR183" s="924"/>
      <c r="GS183" s="924"/>
      <c r="GT183" s="924"/>
      <c r="GU183" s="924"/>
      <c r="GV183" s="924"/>
      <c r="GW183" s="924"/>
      <c r="GX183" s="924"/>
      <c r="GY183" s="924"/>
      <c r="GZ183" s="924"/>
      <c r="HA183" s="924"/>
      <c r="HB183" s="924"/>
      <c r="HC183" s="924"/>
      <c r="HD183" s="924"/>
      <c r="HE183" s="924"/>
      <c r="HF183" s="924"/>
      <c r="HG183" s="924"/>
      <c r="HH183" s="924"/>
      <c r="HI183" s="924"/>
      <c r="HJ183" s="924"/>
      <c r="HK183" s="924"/>
      <c r="HL183" s="924"/>
      <c r="HM183" s="924"/>
      <c r="HN183" s="924"/>
      <c r="HO183" s="924"/>
      <c r="HP183" s="924"/>
      <c r="HQ183" s="924"/>
      <c r="HR183" s="924"/>
      <c r="HS183" s="924"/>
      <c r="HT183" s="924"/>
      <c r="HU183" s="924"/>
      <c r="HV183" s="924"/>
      <c r="HW183" s="924"/>
      <c r="HX183" s="924"/>
      <c r="HY183" s="924"/>
      <c r="HZ183" s="924"/>
      <c r="IA183" s="924"/>
      <c r="IB183" s="924"/>
      <c r="IC183" s="924"/>
      <c r="ID183" s="924"/>
      <c r="IE183" s="924"/>
      <c r="IF183" s="924"/>
      <c r="IG183" s="924"/>
      <c r="IH183" s="924"/>
      <c r="II183" s="924"/>
      <c r="IJ183" s="924"/>
      <c r="IK183" s="924"/>
      <c r="IL183" s="924"/>
      <c r="IM183" s="924"/>
      <c r="IN183" s="924"/>
      <c r="IO183" s="924"/>
      <c r="IP183" s="924"/>
      <c r="IQ183" s="924"/>
      <c r="IR183" s="924"/>
      <c r="IS183" s="924"/>
      <c r="IT183" s="924"/>
      <c r="IU183" s="924"/>
      <c r="IV183" s="924"/>
      <c r="IW183" s="924"/>
    </row>
    <row r="184" spans="1:257" ht="36.75" customHeight="1">
      <c r="C184" s="2474" t="s">
        <v>2268</v>
      </c>
      <c r="D184" s="2475"/>
      <c r="E184" s="2476"/>
      <c r="F184" s="934"/>
      <c r="G184" s="933"/>
      <c r="H184" s="933"/>
      <c r="I184" s="933"/>
      <c r="J184" s="935"/>
      <c r="K184" s="935"/>
      <c r="L184" s="933"/>
      <c r="M184" s="934"/>
    </row>
    <row r="185" spans="1:257" ht="34">
      <c r="C185" s="1002">
        <v>16</v>
      </c>
      <c r="D185" s="1003">
        <v>16</v>
      </c>
      <c r="E185" s="982" t="s">
        <v>2269</v>
      </c>
      <c r="F185" s="1220">
        <f>COUNTIF(K5:K178,"&gt;0")</f>
        <v>0</v>
      </c>
      <c r="G185" s="1221" t="s">
        <v>2270</v>
      </c>
      <c r="H185" s="933"/>
      <c r="I185" s="1222" t="s">
        <v>2274</v>
      </c>
      <c r="J185" s="1223"/>
      <c r="K185" s="1223"/>
      <c r="L185" s="1224"/>
      <c r="M185" s="1225">
        <v>11</v>
      </c>
    </row>
    <row r="186" spans="1:257" ht="34">
      <c r="C186" s="1004">
        <v>6</v>
      </c>
      <c r="D186" s="1005">
        <v>6</v>
      </c>
      <c r="E186" s="978" t="s">
        <v>2272</v>
      </c>
      <c r="F186" s="983">
        <f>COUNTIF(J5:J178,"&gt;0")</f>
        <v>0</v>
      </c>
      <c r="G186" s="1006" t="s">
        <v>2273</v>
      </c>
      <c r="H186" s="933"/>
      <c r="I186" s="979" t="s">
        <v>2582</v>
      </c>
      <c r="J186" s="980"/>
      <c r="K186" s="980"/>
      <c r="L186" s="1001"/>
      <c r="M186" s="981">
        <v>11</v>
      </c>
    </row>
    <row r="187" spans="1:257" ht="20">
      <c r="C187" s="932"/>
      <c r="D187" s="932"/>
      <c r="E187" s="930"/>
      <c r="F187" s="931"/>
      <c r="I187" s="930"/>
      <c r="J187" s="929"/>
      <c r="K187" s="929"/>
      <c r="L187" s="928"/>
      <c r="M187" s="927"/>
    </row>
    <row r="188" spans="1:257" ht="15">
      <c r="G188" s="926" t="s">
        <v>2275</v>
      </c>
      <c r="H188" s="926"/>
    </row>
    <row r="189" spans="1:257" ht="15">
      <c r="E189" s="926" t="s">
        <v>2276</v>
      </c>
    </row>
    <row r="190" spans="1:257" s="923" customFormat="1" ht="28">
      <c r="A190" s="925"/>
      <c r="B190" s="915"/>
      <c r="C190" s="924"/>
      <c r="D190" s="924"/>
      <c r="E190" s="920" t="s">
        <v>2277</v>
      </c>
      <c r="F190" s="917"/>
      <c r="G190" s="921" t="s">
        <v>2278</v>
      </c>
      <c r="H190" s="922"/>
      <c r="I190" s="924"/>
      <c r="J190" s="916"/>
      <c r="K190" s="916"/>
      <c r="L190" s="924"/>
      <c r="M190" s="924"/>
      <c r="N190" s="924"/>
      <c r="O190" s="924"/>
      <c r="P190" s="924"/>
      <c r="Q190" s="924"/>
      <c r="R190" s="924"/>
      <c r="S190" s="924"/>
      <c r="T190" s="924"/>
      <c r="U190" s="924"/>
      <c r="V190" s="924"/>
      <c r="W190" s="924"/>
      <c r="X190" s="924"/>
      <c r="Y190" s="924"/>
      <c r="Z190" s="924"/>
      <c r="AA190" s="924"/>
      <c r="AB190" s="924"/>
      <c r="AC190" s="924"/>
      <c r="AD190" s="924"/>
      <c r="AE190" s="924"/>
      <c r="AF190" s="924"/>
      <c r="AG190" s="924"/>
      <c r="AH190" s="924"/>
      <c r="AI190" s="924"/>
      <c r="AJ190" s="924"/>
      <c r="AK190" s="924"/>
      <c r="AL190" s="924"/>
      <c r="AM190" s="924"/>
      <c r="AN190" s="924"/>
      <c r="AO190" s="924"/>
      <c r="AP190" s="924"/>
      <c r="AQ190" s="924"/>
      <c r="AR190" s="924"/>
      <c r="AS190" s="924"/>
      <c r="AT190" s="924"/>
      <c r="AU190" s="924"/>
      <c r="AV190" s="924"/>
      <c r="AW190" s="924"/>
      <c r="AX190" s="924"/>
      <c r="AY190" s="924"/>
      <c r="AZ190" s="924"/>
      <c r="BA190" s="924"/>
      <c r="BB190" s="924"/>
      <c r="BC190" s="924"/>
      <c r="BD190" s="924"/>
      <c r="BE190" s="924"/>
      <c r="BF190" s="924"/>
      <c r="BG190" s="924"/>
      <c r="BH190" s="924"/>
      <c r="BI190" s="924"/>
      <c r="BJ190" s="924"/>
      <c r="BK190" s="924"/>
      <c r="BL190" s="924"/>
      <c r="BM190" s="924"/>
      <c r="BN190" s="924"/>
      <c r="BO190" s="924"/>
      <c r="BP190" s="924"/>
      <c r="BQ190" s="924"/>
      <c r="BR190" s="924"/>
      <c r="BS190" s="924"/>
      <c r="BT190" s="924"/>
      <c r="BU190" s="924"/>
      <c r="BV190" s="924"/>
      <c r="BW190" s="924"/>
      <c r="BX190" s="924"/>
      <c r="BY190" s="924"/>
      <c r="BZ190" s="924"/>
      <c r="CA190" s="924"/>
      <c r="CB190" s="924"/>
      <c r="CC190" s="924"/>
      <c r="CD190" s="924"/>
      <c r="CE190" s="924"/>
      <c r="CF190" s="924"/>
      <c r="CG190" s="924"/>
      <c r="CH190" s="924"/>
      <c r="CI190" s="924"/>
      <c r="CJ190" s="924"/>
      <c r="CK190" s="924"/>
      <c r="CL190" s="924"/>
      <c r="CM190" s="924"/>
      <c r="CN190" s="924"/>
      <c r="CO190" s="924"/>
      <c r="CP190" s="924"/>
      <c r="CQ190" s="924"/>
      <c r="CR190" s="924"/>
      <c r="CS190" s="924"/>
      <c r="CT190" s="924"/>
      <c r="CU190" s="924"/>
      <c r="CV190" s="924"/>
      <c r="CW190" s="924"/>
      <c r="CX190" s="924"/>
      <c r="CY190" s="924"/>
      <c r="CZ190" s="924"/>
      <c r="DA190" s="924"/>
      <c r="DB190" s="924"/>
      <c r="DC190" s="924"/>
      <c r="DD190" s="924"/>
      <c r="DE190" s="924"/>
      <c r="DF190" s="924"/>
      <c r="DG190" s="924"/>
      <c r="DH190" s="924"/>
      <c r="DI190" s="924"/>
      <c r="DJ190" s="924"/>
      <c r="DK190" s="924"/>
      <c r="DL190" s="924"/>
      <c r="DM190" s="924"/>
      <c r="DN190" s="924"/>
      <c r="DO190" s="924"/>
      <c r="DP190" s="924"/>
      <c r="DQ190" s="924"/>
      <c r="DR190" s="924"/>
      <c r="DS190" s="924"/>
      <c r="DT190" s="924"/>
      <c r="DU190" s="924"/>
      <c r="DV190" s="924"/>
      <c r="DW190" s="924"/>
      <c r="DX190" s="924"/>
      <c r="DY190" s="924"/>
      <c r="DZ190" s="924"/>
      <c r="EA190" s="924"/>
      <c r="EB190" s="924"/>
      <c r="EC190" s="924"/>
      <c r="ED190" s="924"/>
      <c r="EE190" s="924"/>
      <c r="EF190" s="924"/>
      <c r="EG190" s="924"/>
      <c r="EH190" s="924"/>
      <c r="EI190" s="924"/>
      <c r="EJ190" s="924"/>
      <c r="EK190" s="924"/>
      <c r="EL190" s="924"/>
      <c r="EM190" s="924"/>
      <c r="EN190" s="924"/>
      <c r="EO190" s="924"/>
      <c r="EP190" s="924"/>
      <c r="EQ190" s="924"/>
      <c r="ER190" s="924"/>
      <c r="ES190" s="924"/>
      <c r="ET190" s="924"/>
      <c r="EU190" s="924"/>
      <c r="EV190" s="924"/>
      <c r="EW190" s="924"/>
      <c r="EX190" s="924"/>
      <c r="EY190" s="924"/>
      <c r="EZ190" s="924"/>
      <c r="FA190" s="924"/>
      <c r="FB190" s="924"/>
      <c r="FC190" s="924"/>
      <c r="FD190" s="924"/>
      <c r="FE190" s="924"/>
      <c r="FF190" s="924"/>
      <c r="FG190" s="924"/>
      <c r="FH190" s="924"/>
      <c r="FI190" s="924"/>
      <c r="FJ190" s="924"/>
      <c r="FK190" s="924"/>
      <c r="FL190" s="924"/>
      <c r="FM190" s="924"/>
      <c r="FN190" s="924"/>
      <c r="FO190" s="924"/>
      <c r="FP190" s="924"/>
      <c r="FQ190" s="924"/>
      <c r="FR190" s="924"/>
      <c r="FS190" s="924"/>
      <c r="FT190" s="924"/>
      <c r="FU190" s="924"/>
      <c r="FV190" s="924"/>
      <c r="FW190" s="924"/>
      <c r="FX190" s="924"/>
      <c r="FY190" s="924"/>
      <c r="FZ190" s="924"/>
      <c r="GA190" s="924"/>
      <c r="GB190" s="924"/>
      <c r="GC190" s="924"/>
      <c r="GD190" s="924"/>
      <c r="GE190" s="924"/>
      <c r="GF190" s="924"/>
      <c r="GG190" s="924"/>
      <c r="GH190" s="924"/>
      <c r="GI190" s="924"/>
      <c r="GJ190" s="924"/>
      <c r="GK190" s="924"/>
      <c r="GL190" s="924"/>
      <c r="GM190" s="924"/>
      <c r="GN190" s="924"/>
      <c r="GO190" s="924"/>
      <c r="GP190" s="924"/>
      <c r="GQ190" s="924"/>
      <c r="GR190" s="924"/>
      <c r="GS190" s="924"/>
      <c r="GT190" s="924"/>
      <c r="GU190" s="924"/>
      <c r="GV190" s="924"/>
      <c r="GW190" s="924"/>
      <c r="GX190" s="924"/>
      <c r="GY190" s="924"/>
      <c r="GZ190" s="924"/>
      <c r="HA190" s="924"/>
      <c r="HB190" s="924"/>
      <c r="HC190" s="924"/>
      <c r="HD190" s="924"/>
      <c r="HE190" s="924"/>
      <c r="HF190" s="924"/>
      <c r="HG190" s="924"/>
      <c r="HH190" s="924"/>
      <c r="HI190" s="924"/>
      <c r="HJ190" s="924"/>
      <c r="HK190" s="924"/>
      <c r="HL190" s="924"/>
      <c r="HM190" s="924"/>
      <c r="HN190" s="924"/>
      <c r="HO190" s="924"/>
      <c r="HP190" s="924"/>
      <c r="HQ190" s="924"/>
      <c r="HR190" s="924"/>
      <c r="HS190" s="924"/>
      <c r="HT190" s="924"/>
      <c r="HU190" s="924"/>
      <c r="HV190" s="924"/>
      <c r="HW190" s="924"/>
      <c r="HX190" s="924"/>
      <c r="HY190" s="924"/>
      <c r="HZ190" s="924"/>
      <c r="IA190" s="924"/>
      <c r="IB190" s="924"/>
      <c r="IC190" s="924"/>
      <c r="ID190" s="924"/>
      <c r="IE190" s="924"/>
      <c r="IF190" s="924"/>
      <c r="IG190" s="924"/>
      <c r="IH190" s="924"/>
      <c r="II190" s="924"/>
      <c r="IJ190" s="924"/>
      <c r="IK190" s="924"/>
      <c r="IL190" s="924"/>
      <c r="IM190" s="924"/>
      <c r="IN190" s="924"/>
      <c r="IO190" s="924"/>
      <c r="IP190" s="924"/>
      <c r="IQ190" s="924"/>
      <c r="IR190" s="924"/>
      <c r="IS190" s="924"/>
      <c r="IT190" s="924"/>
      <c r="IU190" s="924"/>
      <c r="IV190" s="924"/>
      <c r="IW190" s="924"/>
    </row>
    <row r="191" spans="1:257" s="923" customFormat="1" ht="56">
      <c r="A191" s="925"/>
      <c r="B191" s="915"/>
      <c r="C191" s="924"/>
      <c r="D191" s="924"/>
      <c r="E191" s="920" t="s">
        <v>2279</v>
      </c>
      <c r="F191" s="917"/>
      <c r="G191" s="921" t="s">
        <v>2280</v>
      </c>
      <c r="H191" s="922"/>
      <c r="I191" s="924"/>
      <c r="J191" s="916"/>
      <c r="K191" s="916"/>
      <c r="L191" s="924"/>
      <c r="M191" s="924"/>
      <c r="N191" s="924"/>
      <c r="O191" s="924"/>
      <c r="P191" s="924"/>
      <c r="Q191" s="924"/>
      <c r="R191" s="924"/>
      <c r="S191" s="924"/>
      <c r="T191" s="924"/>
      <c r="U191" s="924"/>
      <c r="V191" s="924"/>
      <c r="W191" s="924"/>
      <c r="X191" s="924"/>
      <c r="Y191" s="924"/>
      <c r="Z191" s="924"/>
      <c r="AA191" s="924"/>
      <c r="AB191" s="924"/>
      <c r="AC191" s="924"/>
      <c r="AD191" s="924"/>
      <c r="AE191" s="924"/>
      <c r="AF191" s="924"/>
      <c r="AG191" s="924"/>
      <c r="AH191" s="924"/>
      <c r="AI191" s="924"/>
      <c r="AJ191" s="924"/>
      <c r="AK191" s="924"/>
      <c r="AL191" s="924"/>
      <c r="AM191" s="924"/>
      <c r="AN191" s="924"/>
      <c r="AO191" s="924"/>
      <c r="AP191" s="924"/>
      <c r="AQ191" s="924"/>
      <c r="AR191" s="924"/>
      <c r="AS191" s="924"/>
      <c r="AT191" s="924"/>
      <c r="AU191" s="924"/>
      <c r="AV191" s="924"/>
      <c r="AW191" s="924"/>
      <c r="AX191" s="924"/>
      <c r="AY191" s="924"/>
      <c r="AZ191" s="924"/>
      <c r="BA191" s="924"/>
      <c r="BB191" s="924"/>
      <c r="BC191" s="924"/>
      <c r="BD191" s="924"/>
      <c r="BE191" s="924"/>
      <c r="BF191" s="924"/>
      <c r="BG191" s="924"/>
      <c r="BH191" s="924"/>
      <c r="BI191" s="924"/>
      <c r="BJ191" s="924"/>
      <c r="BK191" s="924"/>
      <c r="BL191" s="924"/>
      <c r="BM191" s="924"/>
      <c r="BN191" s="924"/>
      <c r="BO191" s="924"/>
      <c r="BP191" s="924"/>
      <c r="BQ191" s="924"/>
      <c r="BR191" s="924"/>
      <c r="BS191" s="924"/>
      <c r="BT191" s="924"/>
      <c r="BU191" s="924"/>
      <c r="BV191" s="924"/>
      <c r="BW191" s="924"/>
      <c r="BX191" s="924"/>
      <c r="BY191" s="924"/>
      <c r="BZ191" s="924"/>
      <c r="CA191" s="924"/>
      <c r="CB191" s="924"/>
      <c r="CC191" s="924"/>
      <c r="CD191" s="924"/>
      <c r="CE191" s="924"/>
      <c r="CF191" s="924"/>
      <c r="CG191" s="924"/>
      <c r="CH191" s="924"/>
      <c r="CI191" s="924"/>
      <c r="CJ191" s="924"/>
      <c r="CK191" s="924"/>
      <c r="CL191" s="924"/>
      <c r="CM191" s="924"/>
      <c r="CN191" s="924"/>
      <c r="CO191" s="924"/>
      <c r="CP191" s="924"/>
      <c r="CQ191" s="924"/>
      <c r="CR191" s="924"/>
      <c r="CS191" s="924"/>
      <c r="CT191" s="924"/>
      <c r="CU191" s="924"/>
      <c r="CV191" s="924"/>
      <c r="CW191" s="924"/>
      <c r="CX191" s="924"/>
      <c r="CY191" s="924"/>
      <c r="CZ191" s="924"/>
      <c r="DA191" s="924"/>
      <c r="DB191" s="924"/>
      <c r="DC191" s="924"/>
      <c r="DD191" s="924"/>
      <c r="DE191" s="924"/>
      <c r="DF191" s="924"/>
      <c r="DG191" s="924"/>
      <c r="DH191" s="924"/>
      <c r="DI191" s="924"/>
      <c r="DJ191" s="924"/>
      <c r="DK191" s="924"/>
      <c r="DL191" s="924"/>
      <c r="DM191" s="924"/>
      <c r="DN191" s="924"/>
      <c r="DO191" s="924"/>
      <c r="DP191" s="924"/>
      <c r="DQ191" s="924"/>
      <c r="DR191" s="924"/>
      <c r="DS191" s="924"/>
      <c r="DT191" s="924"/>
      <c r="DU191" s="924"/>
      <c r="DV191" s="924"/>
      <c r="DW191" s="924"/>
      <c r="DX191" s="924"/>
      <c r="DY191" s="924"/>
      <c r="DZ191" s="924"/>
      <c r="EA191" s="924"/>
      <c r="EB191" s="924"/>
      <c r="EC191" s="924"/>
      <c r="ED191" s="924"/>
      <c r="EE191" s="924"/>
      <c r="EF191" s="924"/>
      <c r="EG191" s="924"/>
      <c r="EH191" s="924"/>
      <c r="EI191" s="924"/>
      <c r="EJ191" s="924"/>
      <c r="EK191" s="924"/>
      <c r="EL191" s="924"/>
      <c r="EM191" s="924"/>
      <c r="EN191" s="924"/>
      <c r="EO191" s="924"/>
      <c r="EP191" s="924"/>
      <c r="EQ191" s="924"/>
      <c r="ER191" s="924"/>
      <c r="ES191" s="924"/>
      <c r="ET191" s="924"/>
      <c r="EU191" s="924"/>
      <c r="EV191" s="924"/>
      <c r="EW191" s="924"/>
      <c r="EX191" s="924"/>
      <c r="EY191" s="924"/>
      <c r="EZ191" s="924"/>
      <c r="FA191" s="924"/>
      <c r="FB191" s="924"/>
      <c r="FC191" s="924"/>
      <c r="FD191" s="924"/>
      <c r="FE191" s="924"/>
      <c r="FF191" s="924"/>
      <c r="FG191" s="924"/>
      <c r="FH191" s="924"/>
      <c r="FI191" s="924"/>
      <c r="FJ191" s="924"/>
      <c r="FK191" s="924"/>
      <c r="FL191" s="924"/>
      <c r="FM191" s="924"/>
      <c r="FN191" s="924"/>
      <c r="FO191" s="924"/>
      <c r="FP191" s="924"/>
      <c r="FQ191" s="924"/>
      <c r="FR191" s="924"/>
      <c r="FS191" s="924"/>
      <c r="FT191" s="924"/>
      <c r="FU191" s="924"/>
      <c r="FV191" s="924"/>
      <c r="FW191" s="924"/>
      <c r="FX191" s="924"/>
      <c r="FY191" s="924"/>
      <c r="FZ191" s="924"/>
      <c r="GA191" s="924"/>
      <c r="GB191" s="924"/>
      <c r="GC191" s="924"/>
      <c r="GD191" s="924"/>
      <c r="GE191" s="924"/>
      <c r="GF191" s="924"/>
      <c r="GG191" s="924"/>
      <c r="GH191" s="924"/>
      <c r="GI191" s="924"/>
      <c r="GJ191" s="924"/>
      <c r="GK191" s="924"/>
      <c r="GL191" s="924"/>
      <c r="GM191" s="924"/>
      <c r="GN191" s="924"/>
      <c r="GO191" s="924"/>
      <c r="GP191" s="924"/>
      <c r="GQ191" s="924"/>
      <c r="GR191" s="924"/>
      <c r="GS191" s="924"/>
      <c r="GT191" s="924"/>
      <c r="GU191" s="924"/>
      <c r="GV191" s="924"/>
      <c r="GW191" s="924"/>
      <c r="GX191" s="924"/>
      <c r="GY191" s="924"/>
      <c r="GZ191" s="924"/>
      <c r="HA191" s="924"/>
      <c r="HB191" s="924"/>
      <c r="HC191" s="924"/>
      <c r="HD191" s="924"/>
      <c r="HE191" s="924"/>
      <c r="HF191" s="924"/>
      <c r="HG191" s="924"/>
      <c r="HH191" s="924"/>
      <c r="HI191" s="924"/>
      <c r="HJ191" s="924"/>
      <c r="HK191" s="924"/>
      <c r="HL191" s="924"/>
      <c r="HM191" s="924"/>
      <c r="HN191" s="924"/>
      <c r="HO191" s="924"/>
      <c r="HP191" s="924"/>
      <c r="HQ191" s="924"/>
      <c r="HR191" s="924"/>
      <c r="HS191" s="924"/>
      <c r="HT191" s="924"/>
      <c r="HU191" s="924"/>
      <c r="HV191" s="924"/>
      <c r="HW191" s="924"/>
      <c r="HX191" s="924"/>
      <c r="HY191" s="924"/>
      <c r="HZ191" s="924"/>
      <c r="IA191" s="924"/>
      <c r="IB191" s="924"/>
      <c r="IC191" s="924"/>
      <c r="ID191" s="924"/>
      <c r="IE191" s="924"/>
      <c r="IF191" s="924"/>
      <c r="IG191" s="924"/>
      <c r="IH191" s="924"/>
      <c r="II191" s="924"/>
      <c r="IJ191" s="924"/>
      <c r="IK191" s="924"/>
      <c r="IL191" s="924"/>
      <c r="IM191" s="924"/>
      <c r="IN191" s="924"/>
      <c r="IO191" s="924"/>
      <c r="IP191" s="924"/>
      <c r="IQ191" s="924"/>
      <c r="IR191" s="924"/>
      <c r="IS191" s="924"/>
      <c r="IT191" s="924"/>
      <c r="IU191" s="924"/>
      <c r="IV191" s="924"/>
      <c r="IW191" s="924"/>
    </row>
    <row r="192" spans="1:257" s="923" customFormat="1" ht="42">
      <c r="A192" s="925"/>
      <c r="B192" s="915"/>
      <c r="C192" s="924"/>
      <c r="D192" s="924"/>
      <c r="E192" s="920" t="s">
        <v>2281</v>
      </c>
      <c r="F192" s="917"/>
      <c r="G192" s="921" t="s">
        <v>2282</v>
      </c>
      <c r="H192" s="922"/>
      <c r="I192" s="924"/>
      <c r="J192" s="916"/>
      <c r="K192" s="916"/>
      <c r="L192" s="924"/>
      <c r="M192" s="924"/>
      <c r="N192" s="924"/>
      <c r="O192" s="924"/>
      <c r="P192" s="924"/>
      <c r="Q192" s="924"/>
      <c r="R192" s="924"/>
      <c r="S192" s="924"/>
      <c r="T192" s="924"/>
      <c r="U192" s="924"/>
      <c r="V192" s="924"/>
      <c r="W192" s="924"/>
      <c r="X192" s="924"/>
      <c r="Y192" s="924"/>
      <c r="Z192" s="924"/>
      <c r="AA192" s="924"/>
      <c r="AB192" s="924"/>
      <c r="AC192" s="924"/>
      <c r="AD192" s="924"/>
      <c r="AE192" s="924"/>
      <c r="AF192" s="924"/>
      <c r="AG192" s="924"/>
      <c r="AH192" s="924"/>
      <c r="AI192" s="924"/>
      <c r="AJ192" s="924"/>
      <c r="AK192" s="924"/>
      <c r="AL192" s="924"/>
      <c r="AM192" s="924"/>
      <c r="AN192" s="924"/>
      <c r="AO192" s="924"/>
      <c r="AP192" s="924"/>
      <c r="AQ192" s="924"/>
      <c r="AR192" s="924"/>
      <c r="AS192" s="924"/>
      <c r="AT192" s="924"/>
      <c r="AU192" s="924"/>
      <c r="AV192" s="924"/>
      <c r="AW192" s="924"/>
      <c r="AX192" s="924"/>
      <c r="AY192" s="924"/>
      <c r="AZ192" s="924"/>
      <c r="BA192" s="924"/>
      <c r="BB192" s="924"/>
      <c r="BC192" s="924"/>
      <c r="BD192" s="924"/>
      <c r="BE192" s="924"/>
      <c r="BF192" s="924"/>
      <c r="BG192" s="924"/>
      <c r="BH192" s="924"/>
      <c r="BI192" s="924"/>
      <c r="BJ192" s="924"/>
      <c r="BK192" s="924"/>
      <c r="BL192" s="924"/>
      <c r="BM192" s="924"/>
      <c r="BN192" s="924"/>
      <c r="BO192" s="924"/>
      <c r="BP192" s="924"/>
      <c r="BQ192" s="924"/>
      <c r="BR192" s="924"/>
      <c r="BS192" s="924"/>
      <c r="BT192" s="924"/>
      <c r="BU192" s="924"/>
      <c r="BV192" s="924"/>
      <c r="BW192" s="924"/>
      <c r="BX192" s="924"/>
      <c r="BY192" s="924"/>
      <c r="BZ192" s="924"/>
      <c r="CA192" s="924"/>
      <c r="CB192" s="924"/>
      <c r="CC192" s="924"/>
      <c r="CD192" s="924"/>
      <c r="CE192" s="924"/>
      <c r="CF192" s="924"/>
      <c r="CG192" s="924"/>
      <c r="CH192" s="924"/>
      <c r="CI192" s="924"/>
      <c r="CJ192" s="924"/>
      <c r="CK192" s="924"/>
      <c r="CL192" s="924"/>
      <c r="CM192" s="924"/>
      <c r="CN192" s="924"/>
      <c r="CO192" s="924"/>
      <c r="CP192" s="924"/>
      <c r="CQ192" s="924"/>
      <c r="CR192" s="924"/>
      <c r="CS192" s="924"/>
      <c r="CT192" s="924"/>
      <c r="CU192" s="924"/>
      <c r="CV192" s="924"/>
      <c r="CW192" s="924"/>
      <c r="CX192" s="924"/>
      <c r="CY192" s="924"/>
      <c r="CZ192" s="924"/>
      <c r="DA192" s="924"/>
      <c r="DB192" s="924"/>
      <c r="DC192" s="924"/>
      <c r="DD192" s="924"/>
      <c r="DE192" s="924"/>
      <c r="DF192" s="924"/>
      <c r="DG192" s="924"/>
      <c r="DH192" s="924"/>
      <c r="DI192" s="924"/>
      <c r="DJ192" s="924"/>
      <c r="DK192" s="924"/>
      <c r="DL192" s="924"/>
      <c r="DM192" s="924"/>
      <c r="DN192" s="924"/>
      <c r="DO192" s="924"/>
      <c r="DP192" s="924"/>
      <c r="DQ192" s="924"/>
      <c r="DR192" s="924"/>
      <c r="DS192" s="924"/>
      <c r="DT192" s="924"/>
      <c r="DU192" s="924"/>
      <c r="DV192" s="924"/>
      <c r="DW192" s="924"/>
      <c r="DX192" s="924"/>
      <c r="DY192" s="924"/>
      <c r="DZ192" s="924"/>
      <c r="EA192" s="924"/>
      <c r="EB192" s="924"/>
      <c r="EC192" s="924"/>
      <c r="ED192" s="924"/>
      <c r="EE192" s="924"/>
      <c r="EF192" s="924"/>
      <c r="EG192" s="924"/>
      <c r="EH192" s="924"/>
      <c r="EI192" s="924"/>
      <c r="EJ192" s="924"/>
      <c r="EK192" s="924"/>
      <c r="EL192" s="924"/>
      <c r="EM192" s="924"/>
      <c r="EN192" s="924"/>
      <c r="EO192" s="924"/>
      <c r="EP192" s="924"/>
      <c r="EQ192" s="924"/>
      <c r="ER192" s="924"/>
      <c r="ES192" s="924"/>
      <c r="ET192" s="924"/>
      <c r="EU192" s="924"/>
      <c r="EV192" s="924"/>
      <c r="EW192" s="924"/>
      <c r="EX192" s="924"/>
      <c r="EY192" s="924"/>
      <c r="EZ192" s="924"/>
      <c r="FA192" s="924"/>
      <c r="FB192" s="924"/>
      <c r="FC192" s="924"/>
      <c r="FD192" s="924"/>
      <c r="FE192" s="924"/>
      <c r="FF192" s="924"/>
      <c r="FG192" s="924"/>
      <c r="FH192" s="924"/>
      <c r="FI192" s="924"/>
      <c r="FJ192" s="924"/>
      <c r="FK192" s="924"/>
      <c r="FL192" s="924"/>
      <c r="FM192" s="924"/>
      <c r="FN192" s="924"/>
      <c r="FO192" s="924"/>
      <c r="FP192" s="924"/>
      <c r="FQ192" s="924"/>
      <c r="FR192" s="924"/>
      <c r="FS192" s="924"/>
      <c r="FT192" s="924"/>
      <c r="FU192" s="924"/>
      <c r="FV192" s="924"/>
      <c r="FW192" s="924"/>
      <c r="FX192" s="924"/>
      <c r="FY192" s="924"/>
      <c r="FZ192" s="924"/>
      <c r="GA192" s="924"/>
      <c r="GB192" s="924"/>
      <c r="GC192" s="924"/>
      <c r="GD192" s="924"/>
      <c r="GE192" s="924"/>
      <c r="GF192" s="924"/>
      <c r="GG192" s="924"/>
      <c r="GH192" s="924"/>
      <c r="GI192" s="924"/>
      <c r="GJ192" s="924"/>
      <c r="GK192" s="924"/>
      <c r="GL192" s="924"/>
      <c r="GM192" s="924"/>
      <c r="GN192" s="924"/>
      <c r="GO192" s="924"/>
      <c r="GP192" s="924"/>
      <c r="GQ192" s="924"/>
      <c r="GR192" s="924"/>
      <c r="GS192" s="924"/>
      <c r="GT192" s="924"/>
      <c r="GU192" s="924"/>
      <c r="GV192" s="924"/>
      <c r="GW192" s="924"/>
      <c r="GX192" s="924"/>
      <c r="GY192" s="924"/>
      <c r="GZ192" s="924"/>
      <c r="HA192" s="924"/>
      <c r="HB192" s="924"/>
      <c r="HC192" s="924"/>
      <c r="HD192" s="924"/>
      <c r="HE192" s="924"/>
      <c r="HF192" s="924"/>
      <c r="HG192" s="924"/>
      <c r="HH192" s="924"/>
      <c r="HI192" s="924"/>
      <c r="HJ192" s="924"/>
      <c r="HK192" s="924"/>
      <c r="HL192" s="924"/>
      <c r="HM192" s="924"/>
      <c r="HN192" s="924"/>
      <c r="HO192" s="924"/>
      <c r="HP192" s="924"/>
      <c r="HQ192" s="924"/>
      <c r="HR192" s="924"/>
      <c r="HS192" s="924"/>
      <c r="HT192" s="924"/>
      <c r="HU192" s="924"/>
      <c r="HV192" s="924"/>
      <c r="HW192" s="924"/>
      <c r="HX192" s="924"/>
      <c r="HY192" s="924"/>
      <c r="HZ192" s="924"/>
      <c r="IA192" s="924"/>
      <c r="IB192" s="924"/>
      <c r="IC192" s="924"/>
      <c r="ID192" s="924"/>
      <c r="IE192" s="924"/>
      <c r="IF192" s="924"/>
      <c r="IG192" s="924"/>
      <c r="IH192" s="924"/>
      <c r="II192" s="924"/>
      <c r="IJ192" s="924"/>
      <c r="IK192" s="924"/>
      <c r="IL192" s="924"/>
      <c r="IM192" s="924"/>
      <c r="IN192" s="924"/>
      <c r="IO192" s="924"/>
      <c r="IP192" s="924"/>
      <c r="IQ192" s="924"/>
      <c r="IR192" s="924"/>
      <c r="IS192" s="924"/>
      <c r="IT192" s="924"/>
      <c r="IU192" s="924"/>
      <c r="IV192" s="924"/>
      <c r="IW192" s="924"/>
    </row>
    <row r="193" spans="1:257" s="923" customFormat="1" ht="70">
      <c r="A193" s="925"/>
      <c r="B193" s="915"/>
      <c r="C193" s="924"/>
      <c r="D193" s="924"/>
      <c r="E193" s="920" t="s">
        <v>2283</v>
      </c>
      <c r="F193" s="917"/>
      <c r="G193" s="921" t="s">
        <v>2284</v>
      </c>
      <c r="H193" s="922"/>
      <c r="I193" s="924"/>
      <c r="J193" s="916"/>
      <c r="K193" s="916"/>
      <c r="L193" s="924"/>
      <c r="M193" s="924"/>
      <c r="N193" s="924"/>
      <c r="O193" s="924"/>
      <c r="P193" s="924"/>
      <c r="Q193" s="924"/>
      <c r="R193" s="924"/>
      <c r="S193" s="924"/>
      <c r="T193" s="924"/>
      <c r="U193" s="924"/>
      <c r="V193" s="924"/>
      <c r="W193" s="924"/>
      <c r="X193" s="924"/>
      <c r="Y193" s="924"/>
      <c r="Z193" s="924"/>
      <c r="AA193" s="924"/>
      <c r="AB193" s="924"/>
      <c r="AC193" s="924"/>
      <c r="AD193" s="924"/>
      <c r="AE193" s="924"/>
      <c r="AF193" s="924"/>
      <c r="AG193" s="924"/>
      <c r="AH193" s="924"/>
      <c r="AI193" s="924"/>
      <c r="AJ193" s="924"/>
      <c r="AK193" s="924"/>
      <c r="AL193" s="924"/>
      <c r="AM193" s="924"/>
      <c r="AN193" s="924"/>
      <c r="AO193" s="924"/>
      <c r="AP193" s="924"/>
      <c r="AQ193" s="924"/>
      <c r="AR193" s="924"/>
      <c r="AS193" s="924"/>
      <c r="AT193" s="924"/>
      <c r="AU193" s="924"/>
      <c r="AV193" s="924"/>
      <c r="AW193" s="924"/>
      <c r="AX193" s="924"/>
      <c r="AY193" s="924"/>
      <c r="AZ193" s="924"/>
      <c r="BA193" s="924"/>
      <c r="BB193" s="924"/>
      <c r="BC193" s="924"/>
      <c r="BD193" s="924"/>
      <c r="BE193" s="924"/>
      <c r="BF193" s="924"/>
      <c r="BG193" s="924"/>
      <c r="BH193" s="924"/>
      <c r="BI193" s="924"/>
      <c r="BJ193" s="924"/>
      <c r="BK193" s="924"/>
      <c r="BL193" s="924"/>
      <c r="BM193" s="924"/>
      <c r="BN193" s="924"/>
      <c r="BO193" s="924"/>
      <c r="BP193" s="924"/>
      <c r="BQ193" s="924"/>
      <c r="BR193" s="924"/>
      <c r="BS193" s="924"/>
      <c r="BT193" s="924"/>
      <c r="BU193" s="924"/>
      <c r="BV193" s="924"/>
      <c r="BW193" s="924"/>
      <c r="BX193" s="924"/>
      <c r="BY193" s="924"/>
      <c r="BZ193" s="924"/>
      <c r="CA193" s="924"/>
      <c r="CB193" s="924"/>
      <c r="CC193" s="924"/>
      <c r="CD193" s="924"/>
      <c r="CE193" s="924"/>
      <c r="CF193" s="924"/>
      <c r="CG193" s="924"/>
      <c r="CH193" s="924"/>
      <c r="CI193" s="924"/>
      <c r="CJ193" s="924"/>
      <c r="CK193" s="924"/>
      <c r="CL193" s="924"/>
      <c r="CM193" s="924"/>
      <c r="CN193" s="924"/>
      <c r="CO193" s="924"/>
      <c r="CP193" s="924"/>
      <c r="CQ193" s="924"/>
      <c r="CR193" s="924"/>
      <c r="CS193" s="924"/>
      <c r="CT193" s="924"/>
      <c r="CU193" s="924"/>
      <c r="CV193" s="924"/>
      <c r="CW193" s="924"/>
      <c r="CX193" s="924"/>
      <c r="CY193" s="924"/>
      <c r="CZ193" s="924"/>
      <c r="DA193" s="924"/>
      <c r="DB193" s="924"/>
      <c r="DC193" s="924"/>
      <c r="DD193" s="924"/>
      <c r="DE193" s="924"/>
      <c r="DF193" s="924"/>
      <c r="DG193" s="924"/>
      <c r="DH193" s="924"/>
      <c r="DI193" s="924"/>
      <c r="DJ193" s="924"/>
      <c r="DK193" s="924"/>
      <c r="DL193" s="924"/>
      <c r="DM193" s="924"/>
      <c r="DN193" s="924"/>
      <c r="DO193" s="924"/>
      <c r="DP193" s="924"/>
      <c r="DQ193" s="924"/>
      <c r="DR193" s="924"/>
      <c r="DS193" s="924"/>
      <c r="DT193" s="924"/>
      <c r="DU193" s="924"/>
      <c r="DV193" s="924"/>
      <c r="DW193" s="924"/>
      <c r="DX193" s="924"/>
      <c r="DY193" s="924"/>
      <c r="DZ193" s="924"/>
      <c r="EA193" s="924"/>
      <c r="EB193" s="924"/>
      <c r="EC193" s="924"/>
      <c r="ED193" s="924"/>
      <c r="EE193" s="924"/>
      <c r="EF193" s="924"/>
      <c r="EG193" s="924"/>
      <c r="EH193" s="924"/>
      <c r="EI193" s="924"/>
      <c r="EJ193" s="924"/>
      <c r="EK193" s="924"/>
      <c r="EL193" s="924"/>
      <c r="EM193" s="924"/>
      <c r="EN193" s="924"/>
      <c r="EO193" s="924"/>
      <c r="EP193" s="924"/>
      <c r="EQ193" s="924"/>
      <c r="ER193" s="924"/>
      <c r="ES193" s="924"/>
      <c r="ET193" s="924"/>
      <c r="EU193" s="924"/>
      <c r="EV193" s="924"/>
      <c r="EW193" s="924"/>
      <c r="EX193" s="924"/>
      <c r="EY193" s="924"/>
      <c r="EZ193" s="924"/>
      <c r="FA193" s="924"/>
      <c r="FB193" s="924"/>
      <c r="FC193" s="924"/>
      <c r="FD193" s="924"/>
      <c r="FE193" s="924"/>
      <c r="FF193" s="924"/>
      <c r="FG193" s="924"/>
      <c r="FH193" s="924"/>
      <c r="FI193" s="924"/>
      <c r="FJ193" s="924"/>
      <c r="FK193" s="924"/>
      <c r="FL193" s="924"/>
      <c r="FM193" s="924"/>
      <c r="FN193" s="924"/>
      <c r="FO193" s="924"/>
      <c r="FP193" s="924"/>
      <c r="FQ193" s="924"/>
      <c r="FR193" s="924"/>
      <c r="FS193" s="924"/>
      <c r="FT193" s="924"/>
      <c r="FU193" s="924"/>
      <c r="FV193" s="924"/>
      <c r="FW193" s="924"/>
      <c r="FX193" s="924"/>
      <c r="FY193" s="924"/>
      <c r="FZ193" s="924"/>
      <c r="GA193" s="924"/>
      <c r="GB193" s="924"/>
      <c r="GC193" s="924"/>
      <c r="GD193" s="924"/>
      <c r="GE193" s="924"/>
      <c r="GF193" s="924"/>
      <c r="GG193" s="924"/>
      <c r="GH193" s="924"/>
      <c r="GI193" s="924"/>
      <c r="GJ193" s="924"/>
      <c r="GK193" s="924"/>
      <c r="GL193" s="924"/>
      <c r="GM193" s="924"/>
      <c r="GN193" s="924"/>
      <c r="GO193" s="924"/>
      <c r="GP193" s="924"/>
      <c r="GQ193" s="924"/>
      <c r="GR193" s="924"/>
      <c r="GS193" s="924"/>
      <c r="GT193" s="924"/>
      <c r="GU193" s="924"/>
      <c r="GV193" s="924"/>
      <c r="GW193" s="924"/>
      <c r="GX193" s="924"/>
      <c r="GY193" s="924"/>
      <c r="GZ193" s="924"/>
      <c r="HA193" s="924"/>
      <c r="HB193" s="924"/>
      <c r="HC193" s="924"/>
      <c r="HD193" s="924"/>
      <c r="HE193" s="924"/>
      <c r="HF193" s="924"/>
      <c r="HG193" s="924"/>
      <c r="HH193" s="924"/>
      <c r="HI193" s="924"/>
      <c r="HJ193" s="924"/>
      <c r="HK193" s="924"/>
      <c r="HL193" s="924"/>
      <c r="HM193" s="924"/>
      <c r="HN193" s="924"/>
      <c r="HO193" s="924"/>
      <c r="HP193" s="924"/>
      <c r="HQ193" s="924"/>
      <c r="HR193" s="924"/>
      <c r="HS193" s="924"/>
      <c r="HT193" s="924"/>
      <c r="HU193" s="924"/>
      <c r="HV193" s="924"/>
      <c r="HW193" s="924"/>
      <c r="HX193" s="924"/>
      <c r="HY193" s="924"/>
      <c r="HZ193" s="924"/>
      <c r="IA193" s="924"/>
      <c r="IB193" s="924"/>
      <c r="IC193" s="924"/>
      <c r="ID193" s="924"/>
      <c r="IE193" s="924"/>
      <c r="IF193" s="924"/>
      <c r="IG193" s="924"/>
      <c r="IH193" s="924"/>
      <c r="II193" s="924"/>
      <c r="IJ193" s="924"/>
      <c r="IK193" s="924"/>
      <c r="IL193" s="924"/>
      <c r="IM193" s="924"/>
      <c r="IN193" s="924"/>
      <c r="IO193" s="924"/>
      <c r="IP193" s="924"/>
      <c r="IQ193" s="924"/>
      <c r="IR193" s="924"/>
      <c r="IS193" s="924"/>
      <c r="IT193" s="924"/>
      <c r="IU193" s="924"/>
      <c r="IV193" s="924"/>
      <c r="IW193" s="924"/>
    </row>
    <row r="194" spans="1:257" s="923" customFormat="1" ht="56">
      <c r="A194" s="925"/>
      <c r="B194" s="915"/>
      <c r="C194" s="924"/>
      <c r="D194" s="924"/>
      <c r="E194" s="920" t="s">
        <v>2285</v>
      </c>
      <c r="F194" s="917"/>
      <c r="G194" s="921" t="s">
        <v>2286</v>
      </c>
      <c r="H194" s="922"/>
      <c r="I194" s="924"/>
      <c r="J194" s="916"/>
      <c r="K194" s="916"/>
      <c r="L194" s="924"/>
      <c r="M194" s="924"/>
      <c r="N194" s="924"/>
      <c r="O194" s="924"/>
      <c r="P194" s="924"/>
      <c r="Q194" s="924"/>
      <c r="R194" s="924"/>
      <c r="S194" s="924"/>
      <c r="T194" s="924"/>
      <c r="U194" s="924"/>
      <c r="V194" s="924"/>
      <c r="W194" s="924"/>
      <c r="X194" s="924"/>
      <c r="Y194" s="924"/>
      <c r="Z194" s="924"/>
      <c r="AA194" s="924"/>
      <c r="AB194" s="924"/>
      <c r="AC194" s="924"/>
      <c r="AD194" s="924"/>
      <c r="AE194" s="924"/>
      <c r="AF194" s="924"/>
      <c r="AG194" s="924"/>
      <c r="AH194" s="924"/>
      <c r="AI194" s="924"/>
      <c r="AJ194" s="924"/>
      <c r="AK194" s="924"/>
      <c r="AL194" s="924"/>
      <c r="AM194" s="924"/>
      <c r="AN194" s="924"/>
      <c r="AO194" s="924"/>
      <c r="AP194" s="924"/>
      <c r="AQ194" s="924"/>
      <c r="AR194" s="924"/>
      <c r="AS194" s="924"/>
      <c r="AT194" s="924"/>
      <c r="AU194" s="924"/>
      <c r="AV194" s="924"/>
      <c r="AW194" s="924"/>
      <c r="AX194" s="924"/>
      <c r="AY194" s="924"/>
      <c r="AZ194" s="924"/>
      <c r="BA194" s="924"/>
      <c r="BB194" s="924"/>
      <c r="BC194" s="924"/>
      <c r="BD194" s="924"/>
      <c r="BE194" s="924"/>
      <c r="BF194" s="924"/>
      <c r="BG194" s="924"/>
      <c r="BH194" s="924"/>
      <c r="BI194" s="924"/>
      <c r="BJ194" s="924"/>
      <c r="BK194" s="924"/>
      <c r="BL194" s="924"/>
      <c r="BM194" s="924"/>
      <c r="BN194" s="924"/>
      <c r="BO194" s="924"/>
      <c r="BP194" s="924"/>
      <c r="BQ194" s="924"/>
      <c r="BR194" s="924"/>
      <c r="BS194" s="924"/>
      <c r="BT194" s="924"/>
      <c r="BU194" s="924"/>
      <c r="BV194" s="924"/>
      <c r="BW194" s="924"/>
      <c r="BX194" s="924"/>
      <c r="BY194" s="924"/>
      <c r="BZ194" s="924"/>
      <c r="CA194" s="924"/>
      <c r="CB194" s="924"/>
      <c r="CC194" s="924"/>
      <c r="CD194" s="924"/>
      <c r="CE194" s="924"/>
      <c r="CF194" s="924"/>
      <c r="CG194" s="924"/>
      <c r="CH194" s="924"/>
      <c r="CI194" s="924"/>
      <c r="CJ194" s="924"/>
      <c r="CK194" s="924"/>
      <c r="CL194" s="924"/>
      <c r="CM194" s="924"/>
      <c r="CN194" s="924"/>
      <c r="CO194" s="924"/>
      <c r="CP194" s="924"/>
      <c r="CQ194" s="924"/>
      <c r="CR194" s="924"/>
      <c r="CS194" s="924"/>
      <c r="CT194" s="924"/>
      <c r="CU194" s="924"/>
      <c r="CV194" s="924"/>
      <c r="CW194" s="924"/>
      <c r="CX194" s="924"/>
      <c r="CY194" s="924"/>
      <c r="CZ194" s="924"/>
      <c r="DA194" s="924"/>
      <c r="DB194" s="924"/>
      <c r="DC194" s="924"/>
      <c r="DD194" s="924"/>
      <c r="DE194" s="924"/>
      <c r="DF194" s="924"/>
      <c r="DG194" s="924"/>
      <c r="DH194" s="924"/>
      <c r="DI194" s="924"/>
      <c r="DJ194" s="924"/>
      <c r="DK194" s="924"/>
      <c r="DL194" s="924"/>
      <c r="DM194" s="924"/>
      <c r="DN194" s="924"/>
      <c r="DO194" s="924"/>
      <c r="DP194" s="924"/>
      <c r="DQ194" s="924"/>
      <c r="DR194" s="924"/>
      <c r="DS194" s="924"/>
      <c r="DT194" s="924"/>
      <c r="DU194" s="924"/>
      <c r="DV194" s="924"/>
      <c r="DW194" s="924"/>
      <c r="DX194" s="924"/>
      <c r="DY194" s="924"/>
      <c r="DZ194" s="924"/>
      <c r="EA194" s="924"/>
      <c r="EB194" s="924"/>
      <c r="EC194" s="924"/>
      <c r="ED194" s="924"/>
      <c r="EE194" s="924"/>
      <c r="EF194" s="924"/>
      <c r="EG194" s="924"/>
      <c r="EH194" s="924"/>
      <c r="EI194" s="924"/>
      <c r="EJ194" s="924"/>
      <c r="EK194" s="924"/>
      <c r="EL194" s="924"/>
      <c r="EM194" s="924"/>
      <c r="EN194" s="924"/>
      <c r="EO194" s="924"/>
      <c r="EP194" s="924"/>
      <c r="EQ194" s="924"/>
      <c r="ER194" s="924"/>
      <c r="ES194" s="924"/>
      <c r="ET194" s="924"/>
      <c r="EU194" s="924"/>
      <c r="EV194" s="924"/>
      <c r="EW194" s="924"/>
      <c r="EX194" s="924"/>
      <c r="EY194" s="924"/>
      <c r="EZ194" s="924"/>
      <c r="FA194" s="924"/>
      <c r="FB194" s="924"/>
      <c r="FC194" s="924"/>
      <c r="FD194" s="924"/>
      <c r="FE194" s="924"/>
      <c r="FF194" s="924"/>
      <c r="FG194" s="924"/>
      <c r="FH194" s="924"/>
      <c r="FI194" s="924"/>
      <c r="FJ194" s="924"/>
      <c r="FK194" s="924"/>
      <c r="FL194" s="924"/>
      <c r="FM194" s="924"/>
      <c r="FN194" s="924"/>
      <c r="FO194" s="924"/>
      <c r="FP194" s="924"/>
      <c r="FQ194" s="924"/>
      <c r="FR194" s="924"/>
      <c r="FS194" s="924"/>
      <c r="FT194" s="924"/>
      <c r="FU194" s="924"/>
      <c r="FV194" s="924"/>
      <c r="FW194" s="924"/>
      <c r="FX194" s="924"/>
      <c r="FY194" s="924"/>
      <c r="FZ194" s="924"/>
      <c r="GA194" s="924"/>
      <c r="GB194" s="924"/>
      <c r="GC194" s="924"/>
      <c r="GD194" s="924"/>
      <c r="GE194" s="924"/>
      <c r="GF194" s="924"/>
      <c r="GG194" s="924"/>
      <c r="GH194" s="924"/>
      <c r="GI194" s="924"/>
      <c r="GJ194" s="924"/>
      <c r="GK194" s="924"/>
      <c r="GL194" s="924"/>
      <c r="GM194" s="924"/>
      <c r="GN194" s="924"/>
      <c r="GO194" s="924"/>
      <c r="GP194" s="924"/>
      <c r="GQ194" s="924"/>
      <c r="GR194" s="924"/>
      <c r="GS194" s="924"/>
      <c r="GT194" s="924"/>
      <c r="GU194" s="924"/>
      <c r="GV194" s="924"/>
      <c r="GW194" s="924"/>
      <c r="GX194" s="924"/>
      <c r="GY194" s="924"/>
      <c r="GZ194" s="924"/>
      <c r="HA194" s="924"/>
      <c r="HB194" s="924"/>
      <c r="HC194" s="924"/>
      <c r="HD194" s="924"/>
      <c r="HE194" s="924"/>
      <c r="HF194" s="924"/>
      <c r="HG194" s="924"/>
      <c r="HH194" s="924"/>
      <c r="HI194" s="924"/>
      <c r="HJ194" s="924"/>
      <c r="HK194" s="924"/>
      <c r="HL194" s="924"/>
      <c r="HM194" s="924"/>
      <c r="HN194" s="924"/>
      <c r="HO194" s="924"/>
      <c r="HP194" s="924"/>
      <c r="HQ194" s="924"/>
      <c r="HR194" s="924"/>
      <c r="HS194" s="924"/>
      <c r="HT194" s="924"/>
      <c r="HU194" s="924"/>
      <c r="HV194" s="924"/>
      <c r="HW194" s="924"/>
      <c r="HX194" s="924"/>
      <c r="HY194" s="924"/>
      <c r="HZ194" s="924"/>
      <c r="IA194" s="924"/>
      <c r="IB194" s="924"/>
      <c r="IC194" s="924"/>
      <c r="ID194" s="924"/>
      <c r="IE194" s="924"/>
      <c r="IF194" s="924"/>
      <c r="IG194" s="924"/>
      <c r="IH194" s="924"/>
      <c r="II194" s="924"/>
      <c r="IJ194" s="924"/>
      <c r="IK194" s="924"/>
      <c r="IL194" s="924"/>
      <c r="IM194" s="924"/>
      <c r="IN194" s="924"/>
      <c r="IO194" s="924"/>
      <c r="IP194" s="924"/>
      <c r="IQ194" s="924"/>
      <c r="IR194" s="924"/>
      <c r="IS194" s="924"/>
      <c r="IT194" s="924"/>
      <c r="IU194" s="924"/>
      <c r="IV194" s="924"/>
      <c r="IW194" s="924"/>
    </row>
    <row r="195" spans="1:257" s="923" customFormat="1" ht="70">
      <c r="A195" s="925"/>
      <c r="B195" s="915"/>
      <c r="C195" s="924"/>
      <c r="D195" s="924"/>
      <c r="E195" s="920" t="s">
        <v>2287</v>
      </c>
      <c r="F195" s="917"/>
      <c r="G195" s="921" t="s">
        <v>2288</v>
      </c>
      <c r="H195" s="922"/>
      <c r="I195" s="924"/>
      <c r="J195" s="916"/>
      <c r="K195" s="916"/>
      <c r="L195" s="924"/>
      <c r="M195" s="924"/>
      <c r="N195" s="924"/>
      <c r="O195" s="924"/>
      <c r="P195" s="924"/>
      <c r="Q195" s="924"/>
      <c r="R195" s="924"/>
      <c r="S195" s="924"/>
      <c r="T195" s="924"/>
      <c r="U195" s="924"/>
      <c r="V195" s="924"/>
      <c r="W195" s="924"/>
      <c r="X195" s="924"/>
      <c r="Y195" s="924"/>
      <c r="Z195" s="924"/>
      <c r="AA195" s="924"/>
      <c r="AB195" s="924"/>
      <c r="AC195" s="924"/>
      <c r="AD195" s="924"/>
      <c r="AE195" s="924"/>
      <c r="AF195" s="924"/>
      <c r="AG195" s="924"/>
      <c r="AH195" s="924"/>
      <c r="AI195" s="924"/>
      <c r="AJ195" s="924"/>
      <c r="AK195" s="924"/>
      <c r="AL195" s="924"/>
      <c r="AM195" s="924"/>
      <c r="AN195" s="924"/>
      <c r="AO195" s="924"/>
      <c r="AP195" s="924"/>
      <c r="AQ195" s="924"/>
      <c r="AR195" s="924"/>
      <c r="AS195" s="924"/>
      <c r="AT195" s="924"/>
      <c r="AU195" s="924"/>
      <c r="AV195" s="924"/>
      <c r="AW195" s="924"/>
      <c r="AX195" s="924"/>
      <c r="AY195" s="924"/>
      <c r="AZ195" s="924"/>
      <c r="BA195" s="924"/>
      <c r="BB195" s="924"/>
      <c r="BC195" s="924"/>
      <c r="BD195" s="924"/>
      <c r="BE195" s="924"/>
      <c r="BF195" s="924"/>
      <c r="BG195" s="924"/>
      <c r="BH195" s="924"/>
      <c r="BI195" s="924"/>
      <c r="BJ195" s="924"/>
      <c r="BK195" s="924"/>
      <c r="BL195" s="924"/>
      <c r="BM195" s="924"/>
      <c r="BN195" s="924"/>
      <c r="BO195" s="924"/>
      <c r="BP195" s="924"/>
      <c r="BQ195" s="924"/>
      <c r="BR195" s="924"/>
      <c r="BS195" s="924"/>
      <c r="BT195" s="924"/>
      <c r="BU195" s="924"/>
      <c r="BV195" s="924"/>
      <c r="BW195" s="924"/>
      <c r="BX195" s="924"/>
      <c r="BY195" s="924"/>
      <c r="BZ195" s="924"/>
      <c r="CA195" s="924"/>
      <c r="CB195" s="924"/>
      <c r="CC195" s="924"/>
      <c r="CD195" s="924"/>
      <c r="CE195" s="924"/>
      <c r="CF195" s="924"/>
      <c r="CG195" s="924"/>
      <c r="CH195" s="924"/>
      <c r="CI195" s="924"/>
      <c r="CJ195" s="924"/>
      <c r="CK195" s="924"/>
      <c r="CL195" s="924"/>
      <c r="CM195" s="924"/>
      <c r="CN195" s="924"/>
      <c r="CO195" s="924"/>
      <c r="CP195" s="924"/>
      <c r="CQ195" s="924"/>
      <c r="CR195" s="924"/>
      <c r="CS195" s="924"/>
      <c r="CT195" s="924"/>
      <c r="CU195" s="924"/>
      <c r="CV195" s="924"/>
      <c r="CW195" s="924"/>
      <c r="CX195" s="924"/>
      <c r="CY195" s="924"/>
      <c r="CZ195" s="924"/>
      <c r="DA195" s="924"/>
      <c r="DB195" s="924"/>
      <c r="DC195" s="924"/>
      <c r="DD195" s="924"/>
      <c r="DE195" s="924"/>
      <c r="DF195" s="924"/>
      <c r="DG195" s="924"/>
      <c r="DH195" s="924"/>
      <c r="DI195" s="924"/>
      <c r="DJ195" s="924"/>
      <c r="DK195" s="924"/>
      <c r="DL195" s="924"/>
      <c r="DM195" s="924"/>
      <c r="DN195" s="924"/>
      <c r="DO195" s="924"/>
      <c r="DP195" s="924"/>
      <c r="DQ195" s="924"/>
      <c r="DR195" s="924"/>
      <c r="DS195" s="924"/>
      <c r="DT195" s="924"/>
      <c r="DU195" s="924"/>
      <c r="DV195" s="924"/>
      <c r="DW195" s="924"/>
      <c r="DX195" s="924"/>
      <c r="DY195" s="924"/>
      <c r="DZ195" s="924"/>
      <c r="EA195" s="924"/>
      <c r="EB195" s="924"/>
      <c r="EC195" s="924"/>
      <c r="ED195" s="924"/>
      <c r="EE195" s="924"/>
      <c r="EF195" s="924"/>
      <c r="EG195" s="924"/>
      <c r="EH195" s="924"/>
      <c r="EI195" s="924"/>
      <c r="EJ195" s="924"/>
      <c r="EK195" s="924"/>
      <c r="EL195" s="924"/>
      <c r="EM195" s="924"/>
      <c r="EN195" s="924"/>
      <c r="EO195" s="924"/>
      <c r="EP195" s="924"/>
      <c r="EQ195" s="924"/>
      <c r="ER195" s="924"/>
      <c r="ES195" s="924"/>
      <c r="ET195" s="924"/>
      <c r="EU195" s="924"/>
      <c r="EV195" s="924"/>
      <c r="EW195" s="924"/>
      <c r="EX195" s="924"/>
      <c r="EY195" s="924"/>
      <c r="EZ195" s="924"/>
      <c r="FA195" s="924"/>
      <c r="FB195" s="924"/>
      <c r="FC195" s="924"/>
      <c r="FD195" s="924"/>
      <c r="FE195" s="924"/>
      <c r="FF195" s="924"/>
      <c r="FG195" s="924"/>
      <c r="FH195" s="924"/>
      <c r="FI195" s="924"/>
      <c r="FJ195" s="924"/>
      <c r="FK195" s="924"/>
      <c r="FL195" s="924"/>
      <c r="FM195" s="924"/>
      <c r="FN195" s="924"/>
      <c r="FO195" s="924"/>
      <c r="FP195" s="924"/>
      <c r="FQ195" s="924"/>
      <c r="FR195" s="924"/>
      <c r="FS195" s="924"/>
      <c r="FT195" s="924"/>
      <c r="FU195" s="924"/>
      <c r="FV195" s="924"/>
      <c r="FW195" s="924"/>
      <c r="FX195" s="924"/>
      <c r="FY195" s="924"/>
      <c r="FZ195" s="924"/>
      <c r="GA195" s="924"/>
      <c r="GB195" s="924"/>
      <c r="GC195" s="924"/>
      <c r="GD195" s="924"/>
      <c r="GE195" s="924"/>
      <c r="GF195" s="924"/>
      <c r="GG195" s="924"/>
      <c r="GH195" s="924"/>
      <c r="GI195" s="924"/>
      <c r="GJ195" s="924"/>
      <c r="GK195" s="924"/>
      <c r="GL195" s="924"/>
      <c r="GM195" s="924"/>
      <c r="GN195" s="924"/>
      <c r="GO195" s="924"/>
      <c r="GP195" s="924"/>
      <c r="GQ195" s="924"/>
      <c r="GR195" s="924"/>
      <c r="GS195" s="924"/>
      <c r="GT195" s="924"/>
      <c r="GU195" s="924"/>
      <c r="GV195" s="924"/>
      <c r="GW195" s="924"/>
      <c r="GX195" s="924"/>
      <c r="GY195" s="924"/>
      <c r="GZ195" s="924"/>
      <c r="HA195" s="924"/>
      <c r="HB195" s="924"/>
      <c r="HC195" s="924"/>
      <c r="HD195" s="924"/>
      <c r="HE195" s="924"/>
      <c r="HF195" s="924"/>
      <c r="HG195" s="924"/>
      <c r="HH195" s="924"/>
      <c r="HI195" s="924"/>
      <c r="HJ195" s="924"/>
      <c r="HK195" s="924"/>
      <c r="HL195" s="924"/>
      <c r="HM195" s="924"/>
      <c r="HN195" s="924"/>
      <c r="HO195" s="924"/>
      <c r="HP195" s="924"/>
      <c r="HQ195" s="924"/>
      <c r="HR195" s="924"/>
      <c r="HS195" s="924"/>
      <c r="HT195" s="924"/>
      <c r="HU195" s="924"/>
      <c r="HV195" s="924"/>
      <c r="HW195" s="924"/>
      <c r="HX195" s="924"/>
      <c r="HY195" s="924"/>
      <c r="HZ195" s="924"/>
      <c r="IA195" s="924"/>
      <c r="IB195" s="924"/>
      <c r="IC195" s="924"/>
      <c r="ID195" s="924"/>
      <c r="IE195" s="924"/>
      <c r="IF195" s="924"/>
      <c r="IG195" s="924"/>
      <c r="IH195" s="924"/>
      <c r="II195" s="924"/>
      <c r="IJ195" s="924"/>
      <c r="IK195" s="924"/>
      <c r="IL195" s="924"/>
      <c r="IM195" s="924"/>
      <c r="IN195" s="924"/>
      <c r="IO195" s="924"/>
      <c r="IP195" s="924"/>
      <c r="IQ195" s="924"/>
      <c r="IR195" s="924"/>
      <c r="IS195" s="924"/>
      <c r="IT195" s="924"/>
      <c r="IU195" s="924"/>
      <c r="IV195" s="924"/>
      <c r="IW195" s="924"/>
    </row>
    <row r="196" spans="1:257" s="923" customFormat="1" ht="28">
      <c r="A196" s="925"/>
      <c r="B196" s="915"/>
      <c r="C196" s="924"/>
      <c r="D196" s="924"/>
      <c r="E196" s="920" t="s">
        <v>2289</v>
      </c>
      <c r="F196" s="917"/>
      <c r="G196" s="921" t="s">
        <v>2290</v>
      </c>
      <c r="H196" s="922"/>
      <c r="I196" s="924"/>
      <c r="J196" s="916"/>
      <c r="K196" s="916"/>
      <c r="L196" s="924"/>
      <c r="M196" s="924"/>
      <c r="N196" s="924"/>
      <c r="O196" s="924"/>
      <c r="P196" s="924"/>
      <c r="Q196" s="924"/>
      <c r="R196" s="924"/>
      <c r="S196" s="924"/>
      <c r="T196" s="924"/>
      <c r="U196" s="924"/>
      <c r="V196" s="924"/>
      <c r="W196" s="924"/>
      <c r="X196" s="924"/>
      <c r="Y196" s="924"/>
      <c r="Z196" s="924"/>
      <c r="AA196" s="924"/>
      <c r="AB196" s="924"/>
      <c r="AC196" s="924"/>
      <c r="AD196" s="924"/>
      <c r="AE196" s="924"/>
      <c r="AF196" s="924"/>
      <c r="AG196" s="924"/>
      <c r="AH196" s="924"/>
      <c r="AI196" s="924"/>
      <c r="AJ196" s="924"/>
      <c r="AK196" s="924"/>
      <c r="AL196" s="924"/>
      <c r="AM196" s="924"/>
      <c r="AN196" s="924"/>
      <c r="AO196" s="924"/>
      <c r="AP196" s="924"/>
      <c r="AQ196" s="924"/>
      <c r="AR196" s="924"/>
      <c r="AS196" s="924"/>
      <c r="AT196" s="924"/>
      <c r="AU196" s="924"/>
      <c r="AV196" s="924"/>
      <c r="AW196" s="924"/>
      <c r="AX196" s="924"/>
      <c r="AY196" s="924"/>
      <c r="AZ196" s="924"/>
      <c r="BA196" s="924"/>
      <c r="BB196" s="924"/>
      <c r="BC196" s="924"/>
      <c r="BD196" s="924"/>
      <c r="BE196" s="924"/>
      <c r="BF196" s="924"/>
      <c r="BG196" s="924"/>
      <c r="BH196" s="924"/>
      <c r="BI196" s="924"/>
      <c r="BJ196" s="924"/>
      <c r="BK196" s="924"/>
      <c r="BL196" s="924"/>
      <c r="BM196" s="924"/>
      <c r="BN196" s="924"/>
      <c r="BO196" s="924"/>
      <c r="BP196" s="924"/>
      <c r="BQ196" s="924"/>
      <c r="BR196" s="924"/>
      <c r="BS196" s="924"/>
      <c r="BT196" s="924"/>
      <c r="BU196" s="924"/>
      <c r="BV196" s="924"/>
      <c r="BW196" s="924"/>
      <c r="BX196" s="924"/>
      <c r="BY196" s="924"/>
      <c r="BZ196" s="924"/>
      <c r="CA196" s="924"/>
      <c r="CB196" s="924"/>
      <c r="CC196" s="924"/>
      <c r="CD196" s="924"/>
      <c r="CE196" s="924"/>
      <c r="CF196" s="924"/>
      <c r="CG196" s="924"/>
      <c r="CH196" s="924"/>
      <c r="CI196" s="924"/>
      <c r="CJ196" s="924"/>
      <c r="CK196" s="924"/>
      <c r="CL196" s="924"/>
      <c r="CM196" s="924"/>
      <c r="CN196" s="924"/>
      <c r="CO196" s="924"/>
      <c r="CP196" s="924"/>
      <c r="CQ196" s="924"/>
      <c r="CR196" s="924"/>
      <c r="CS196" s="924"/>
      <c r="CT196" s="924"/>
      <c r="CU196" s="924"/>
      <c r="CV196" s="924"/>
      <c r="CW196" s="924"/>
      <c r="CX196" s="924"/>
      <c r="CY196" s="924"/>
      <c r="CZ196" s="924"/>
      <c r="DA196" s="924"/>
      <c r="DB196" s="924"/>
      <c r="DC196" s="924"/>
      <c r="DD196" s="924"/>
      <c r="DE196" s="924"/>
      <c r="DF196" s="924"/>
      <c r="DG196" s="924"/>
      <c r="DH196" s="924"/>
      <c r="DI196" s="924"/>
      <c r="DJ196" s="924"/>
      <c r="DK196" s="924"/>
      <c r="DL196" s="924"/>
      <c r="DM196" s="924"/>
      <c r="DN196" s="924"/>
      <c r="DO196" s="924"/>
      <c r="DP196" s="924"/>
      <c r="DQ196" s="924"/>
      <c r="DR196" s="924"/>
      <c r="DS196" s="924"/>
      <c r="DT196" s="924"/>
      <c r="DU196" s="924"/>
      <c r="DV196" s="924"/>
      <c r="DW196" s="924"/>
      <c r="DX196" s="924"/>
      <c r="DY196" s="924"/>
      <c r="DZ196" s="924"/>
      <c r="EA196" s="924"/>
      <c r="EB196" s="924"/>
      <c r="EC196" s="924"/>
      <c r="ED196" s="924"/>
      <c r="EE196" s="924"/>
      <c r="EF196" s="924"/>
      <c r="EG196" s="924"/>
      <c r="EH196" s="924"/>
      <c r="EI196" s="924"/>
      <c r="EJ196" s="924"/>
      <c r="EK196" s="924"/>
      <c r="EL196" s="924"/>
      <c r="EM196" s="924"/>
      <c r="EN196" s="924"/>
      <c r="EO196" s="924"/>
      <c r="EP196" s="924"/>
      <c r="EQ196" s="924"/>
      <c r="ER196" s="924"/>
      <c r="ES196" s="924"/>
      <c r="ET196" s="924"/>
      <c r="EU196" s="924"/>
      <c r="EV196" s="924"/>
      <c r="EW196" s="924"/>
      <c r="EX196" s="924"/>
      <c r="EY196" s="924"/>
      <c r="EZ196" s="924"/>
      <c r="FA196" s="924"/>
      <c r="FB196" s="924"/>
      <c r="FC196" s="924"/>
      <c r="FD196" s="924"/>
      <c r="FE196" s="924"/>
      <c r="FF196" s="924"/>
      <c r="FG196" s="924"/>
      <c r="FH196" s="924"/>
      <c r="FI196" s="924"/>
      <c r="FJ196" s="924"/>
      <c r="FK196" s="924"/>
      <c r="FL196" s="924"/>
      <c r="FM196" s="924"/>
      <c r="FN196" s="924"/>
      <c r="FO196" s="924"/>
      <c r="FP196" s="924"/>
      <c r="FQ196" s="924"/>
      <c r="FR196" s="924"/>
      <c r="FS196" s="924"/>
      <c r="FT196" s="924"/>
      <c r="FU196" s="924"/>
      <c r="FV196" s="924"/>
      <c r="FW196" s="924"/>
      <c r="FX196" s="924"/>
      <c r="FY196" s="924"/>
      <c r="FZ196" s="924"/>
      <c r="GA196" s="924"/>
      <c r="GB196" s="924"/>
      <c r="GC196" s="924"/>
      <c r="GD196" s="924"/>
      <c r="GE196" s="924"/>
      <c r="GF196" s="924"/>
      <c r="GG196" s="924"/>
      <c r="GH196" s="924"/>
      <c r="GI196" s="924"/>
      <c r="GJ196" s="924"/>
      <c r="GK196" s="924"/>
      <c r="GL196" s="924"/>
      <c r="GM196" s="924"/>
      <c r="GN196" s="924"/>
      <c r="GO196" s="924"/>
      <c r="GP196" s="924"/>
      <c r="GQ196" s="924"/>
      <c r="GR196" s="924"/>
      <c r="GS196" s="924"/>
      <c r="GT196" s="924"/>
      <c r="GU196" s="924"/>
      <c r="GV196" s="924"/>
      <c r="GW196" s="924"/>
      <c r="GX196" s="924"/>
      <c r="GY196" s="924"/>
      <c r="GZ196" s="924"/>
      <c r="HA196" s="924"/>
      <c r="HB196" s="924"/>
      <c r="HC196" s="924"/>
      <c r="HD196" s="924"/>
      <c r="HE196" s="924"/>
      <c r="HF196" s="924"/>
      <c r="HG196" s="924"/>
      <c r="HH196" s="924"/>
      <c r="HI196" s="924"/>
      <c r="HJ196" s="924"/>
      <c r="HK196" s="924"/>
      <c r="HL196" s="924"/>
      <c r="HM196" s="924"/>
      <c r="HN196" s="924"/>
      <c r="HO196" s="924"/>
      <c r="HP196" s="924"/>
      <c r="HQ196" s="924"/>
      <c r="HR196" s="924"/>
      <c r="HS196" s="924"/>
      <c r="HT196" s="924"/>
      <c r="HU196" s="924"/>
      <c r="HV196" s="924"/>
      <c r="HW196" s="924"/>
      <c r="HX196" s="924"/>
      <c r="HY196" s="924"/>
      <c r="HZ196" s="924"/>
      <c r="IA196" s="924"/>
      <c r="IB196" s="924"/>
      <c r="IC196" s="924"/>
      <c r="ID196" s="924"/>
      <c r="IE196" s="924"/>
      <c r="IF196" s="924"/>
      <c r="IG196" s="924"/>
      <c r="IH196" s="924"/>
      <c r="II196" s="924"/>
      <c r="IJ196" s="924"/>
      <c r="IK196" s="924"/>
      <c r="IL196" s="924"/>
      <c r="IM196" s="924"/>
      <c r="IN196" s="924"/>
      <c r="IO196" s="924"/>
      <c r="IP196" s="924"/>
      <c r="IQ196" s="924"/>
      <c r="IR196" s="924"/>
      <c r="IS196" s="924"/>
      <c r="IT196" s="924"/>
      <c r="IU196" s="924"/>
      <c r="IV196" s="924"/>
      <c r="IW196" s="924"/>
    </row>
    <row r="197" spans="1:257" s="923" customFormat="1" ht="42">
      <c r="A197" s="925"/>
      <c r="B197" s="915"/>
      <c r="C197" s="924"/>
      <c r="D197" s="924"/>
      <c r="E197" s="920" t="s">
        <v>2291</v>
      </c>
      <c r="F197" s="917"/>
      <c r="G197" s="921" t="s">
        <v>2292</v>
      </c>
      <c r="H197" s="922"/>
      <c r="I197" s="924"/>
      <c r="J197" s="916"/>
      <c r="K197" s="916"/>
      <c r="L197" s="924"/>
      <c r="M197" s="924"/>
      <c r="N197" s="924"/>
      <c r="O197" s="924"/>
      <c r="P197" s="924"/>
      <c r="Q197" s="924"/>
      <c r="R197" s="924"/>
      <c r="S197" s="924"/>
      <c r="T197" s="924"/>
      <c r="U197" s="924"/>
      <c r="V197" s="924"/>
      <c r="W197" s="924"/>
      <c r="X197" s="924"/>
      <c r="Y197" s="924"/>
      <c r="Z197" s="924"/>
      <c r="AA197" s="924"/>
      <c r="AB197" s="924"/>
      <c r="AC197" s="924"/>
      <c r="AD197" s="924"/>
      <c r="AE197" s="924"/>
      <c r="AF197" s="924"/>
      <c r="AG197" s="924"/>
      <c r="AH197" s="924"/>
      <c r="AI197" s="924"/>
      <c r="AJ197" s="924"/>
      <c r="AK197" s="924"/>
      <c r="AL197" s="924"/>
      <c r="AM197" s="924"/>
      <c r="AN197" s="924"/>
      <c r="AO197" s="924"/>
      <c r="AP197" s="924"/>
      <c r="AQ197" s="924"/>
      <c r="AR197" s="924"/>
      <c r="AS197" s="924"/>
      <c r="AT197" s="924"/>
      <c r="AU197" s="924"/>
      <c r="AV197" s="924"/>
      <c r="AW197" s="924"/>
      <c r="AX197" s="924"/>
      <c r="AY197" s="924"/>
      <c r="AZ197" s="924"/>
      <c r="BA197" s="924"/>
      <c r="BB197" s="924"/>
      <c r="BC197" s="924"/>
      <c r="BD197" s="924"/>
      <c r="BE197" s="924"/>
      <c r="BF197" s="924"/>
      <c r="BG197" s="924"/>
      <c r="BH197" s="924"/>
      <c r="BI197" s="924"/>
      <c r="BJ197" s="924"/>
      <c r="BK197" s="924"/>
      <c r="BL197" s="924"/>
      <c r="BM197" s="924"/>
      <c r="BN197" s="924"/>
      <c r="BO197" s="924"/>
      <c r="BP197" s="924"/>
      <c r="BQ197" s="924"/>
      <c r="BR197" s="924"/>
      <c r="BS197" s="924"/>
      <c r="BT197" s="924"/>
      <c r="BU197" s="924"/>
      <c r="BV197" s="924"/>
      <c r="BW197" s="924"/>
      <c r="BX197" s="924"/>
      <c r="BY197" s="924"/>
      <c r="BZ197" s="924"/>
      <c r="CA197" s="924"/>
      <c r="CB197" s="924"/>
      <c r="CC197" s="924"/>
      <c r="CD197" s="924"/>
      <c r="CE197" s="924"/>
      <c r="CF197" s="924"/>
      <c r="CG197" s="924"/>
      <c r="CH197" s="924"/>
      <c r="CI197" s="924"/>
      <c r="CJ197" s="924"/>
      <c r="CK197" s="924"/>
      <c r="CL197" s="924"/>
      <c r="CM197" s="924"/>
      <c r="CN197" s="924"/>
      <c r="CO197" s="924"/>
      <c r="CP197" s="924"/>
      <c r="CQ197" s="924"/>
      <c r="CR197" s="924"/>
      <c r="CS197" s="924"/>
      <c r="CT197" s="924"/>
      <c r="CU197" s="924"/>
      <c r="CV197" s="924"/>
      <c r="CW197" s="924"/>
      <c r="CX197" s="924"/>
      <c r="CY197" s="924"/>
      <c r="CZ197" s="924"/>
      <c r="DA197" s="924"/>
      <c r="DB197" s="924"/>
      <c r="DC197" s="924"/>
      <c r="DD197" s="924"/>
      <c r="DE197" s="924"/>
      <c r="DF197" s="924"/>
      <c r="DG197" s="924"/>
      <c r="DH197" s="924"/>
      <c r="DI197" s="924"/>
      <c r="DJ197" s="924"/>
      <c r="DK197" s="924"/>
      <c r="DL197" s="924"/>
      <c r="DM197" s="924"/>
      <c r="DN197" s="924"/>
      <c r="DO197" s="924"/>
      <c r="DP197" s="924"/>
      <c r="DQ197" s="924"/>
      <c r="DR197" s="924"/>
      <c r="DS197" s="924"/>
      <c r="DT197" s="924"/>
      <c r="DU197" s="924"/>
      <c r="DV197" s="924"/>
      <c r="DW197" s="924"/>
      <c r="DX197" s="924"/>
      <c r="DY197" s="924"/>
      <c r="DZ197" s="924"/>
      <c r="EA197" s="924"/>
      <c r="EB197" s="924"/>
      <c r="EC197" s="924"/>
      <c r="ED197" s="924"/>
      <c r="EE197" s="924"/>
      <c r="EF197" s="924"/>
      <c r="EG197" s="924"/>
      <c r="EH197" s="924"/>
      <c r="EI197" s="924"/>
      <c r="EJ197" s="924"/>
      <c r="EK197" s="924"/>
      <c r="EL197" s="924"/>
      <c r="EM197" s="924"/>
      <c r="EN197" s="924"/>
      <c r="EO197" s="924"/>
      <c r="EP197" s="924"/>
      <c r="EQ197" s="924"/>
      <c r="ER197" s="924"/>
      <c r="ES197" s="924"/>
      <c r="ET197" s="924"/>
      <c r="EU197" s="924"/>
      <c r="EV197" s="924"/>
      <c r="EW197" s="924"/>
      <c r="EX197" s="924"/>
      <c r="EY197" s="924"/>
      <c r="EZ197" s="924"/>
      <c r="FA197" s="924"/>
      <c r="FB197" s="924"/>
      <c r="FC197" s="924"/>
      <c r="FD197" s="924"/>
      <c r="FE197" s="924"/>
      <c r="FF197" s="924"/>
      <c r="FG197" s="924"/>
      <c r="FH197" s="924"/>
      <c r="FI197" s="924"/>
      <c r="FJ197" s="924"/>
      <c r="FK197" s="924"/>
      <c r="FL197" s="924"/>
      <c r="FM197" s="924"/>
      <c r="FN197" s="924"/>
      <c r="FO197" s="924"/>
      <c r="FP197" s="924"/>
      <c r="FQ197" s="924"/>
      <c r="FR197" s="924"/>
      <c r="FS197" s="924"/>
      <c r="FT197" s="924"/>
      <c r="FU197" s="924"/>
      <c r="FV197" s="924"/>
      <c r="FW197" s="924"/>
      <c r="FX197" s="924"/>
      <c r="FY197" s="924"/>
      <c r="FZ197" s="924"/>
      <c r="GA197" s="924"/>
      <c r="GB197" s="924"/>
      <c r="GC197" s="924"/>
      <c r="GD197" s="924"/>
      <c r="GE197" s="924"/>
      <c r="GF197" s="924"/>
      <c r="GG197" s="924"/>
      <c r="GH197" s="924"/>
      <c r="GI197" s="924"/>
      <c r="GJ197" s="924"/>
      <c r="GK197" s="924"/>
      <c r="GL197" s="924"/>
      <c r="GM197" s="924"/>
      <c r="GN197" s="924"/>
      <c r="GO197" s="924"/>
      <c r="GP197" s="924"/>
      <c r="GQ197" s="924"/>
      <c r="GR197" s="924"/>
      <c r="GS197" s="924"/>
      <c r="GT197" s="924"/>
      <c r="GU197" s="924"/>
      <c r="GV197" s="924"/>
      <c r="GW197" s="924"/>
      <c r="GX197" s="924"/>
      <c r="GY197" s="924"/>
      <c r="GZ197" s="924"/>
      <c r="HA197" s="924"/>
      <c r="HB197" s="924"/>
      <c r="HC197" s="924"/>
      <c r="HD197" s="924"/>
      <c r="HE197" s="924"/>
      <c r="HF197" s="924"/>
      <c r="HG197" s="924"/>
      <c r="HH197" s="924"/>
      <c r="HI197" s="924"/>
      <c r="HJ197" s="924"/>
      <c r="HK197" s="924"/>
      <c r="HL197" s="924"/>
      <c r="HM197" s="924"/>
      <c r="HN197" s="924"/>
      <c r="HO197" s="924"/>
      <c r="HP197" s="924"/>
      <c r="HQ197" s="924"/>
      <c r="HR197" s="924"/>
      <c r="HS197" s="924"/>
      <c r="HT197" s="924"/>
      <c r="HU197" s="924"/>
      <c r="HV197" s="924"/>
      <c r="HW197" s="924"/>
      <c r="HX197" s="924"/>
      <c r="HY197" s="924"/>
      <c r="HZ197" s="924"/>
      <c r="IA197" s="924"/>
      <c r="IB197" s="924"/>
      <c r="IC197" s="924"/>
      <c r="ID197" s="924"/>
      <c r="IE197" s="924"/>
      <c r="IF197" s="924"/>
      <c r="IG197" s="924"/>
      <c r="IH197" s="924"/>
      <c r="II197" s="924"/>
      <c r="IJ197" s="924"/>
      <c r="IK197" s="924"/>
      <c r="IL197" s="924"/>
      <c r="IM197" s="924"/>
      <c r="IN197" s="924"/>
      <c r="IO197" s="924"/>
      <c r="IP197" s="924"/>
      <c r="IQ197" s="924"/>
      <c r="IR197" s="924"/>
      <c r="IS197" s="924"/>
      <c r="IT197" s="924"/>
      <c r="IU197" s="924"/>
      <c r="IV197" s="924"/>
      <c r="IW197" s="924"/>
    </row>
    <row r="198" spans="1:257" ht="70">
      <c r="E198" s="920" t="s">
        <v>2293</v>
      </c>
      <c r="G198" s="919" t="s">
        <v>2294</v>
      </c>
      <c r="H198" s="922"/>
    </row>
    <row r="199" spans="1:257" ht="70">
      <c r="E199" s="921" t="s">
        <v>2295</v>
      </c>
      <c r="G199" s="919" t="s">
        <v>2296</v>
      </c>
    </row>
    <row r="200" spans="1:257" ht="28">
      <c r="E200" s="920" t="s">
        <v>2297</v>
      </c>
      <c r="G200" s="919"/>
    </row>
    <row r="201" spans="1:257">
      <c r="G201" s="919"/>
    </row>
    <row r="205" spans="1:257" ht="28" hidden="1">
      <c r="B205" s="915" t="s">
        <v>2298</v>
      </c>
    </row>
    <row r="206" spans="1:257" ht="14" hidden="1">
      <c r="C206" s="915" t="s">
        <v>7</v>
      </c>
    </row>
    <row r="207" spans="1:257" ht="14" hidden="1">
      <c r="B207" s="915">
        <v>0</v>
      </c>
      <c r="C207" s="915" t="s">
        <v>229</v>
      </c>
    </row>
    <row r="208" spans="1:257" hidden="1">
      <c r="B208" s="915">
        <v>1</v>
      </c>
    </row>
    <row r="209" hidden="1"/>
    <row r="210" hidden="1"/>
  </sheetData>
  <sheetProtection algorithmName="SHA-512" hashValue="NygIrhzOQERRY5oF3QhAZgqdDNG1dHyKuPr3VwHVMfQyn06O5xlwMSnf5KGroGinsdWXY7jfWaKtTPxRiOyKgg==" saltValue="0GeMp2X8UukV9jGBewC0lg==" spinCount="100000" sheet="1" objects="1" scenarios="1" selectLockedCells="1"/>
  <mergeCells count="37">
    <mergeCell ref="F2:G2"/>
    <mergeCell ref="A2:B2"/>
    <mergeCell ref="C2:D2"/>
    <mergeCell ref="A3:D3"/>
    <mergeCell ref="I2:M2"/>
    <mergeCell ref="H3:I3"/>
    <mergeCell ref="A66:A70"/>
    <mergeCell ref="C4:D4"/>
    <mergeCell ref="A5:A9"/>
    <mergeCell ref="A11:A17"/>
    <mergeCell ref="A19:A24"/>
    <mergeCell ref="A26:A28"/>
    <mergeCell ref="A30:A32"/>
    <mergeCell ref="A36:A40"/>
    <mergeCell ref="A42:A46"/>
    <mergeCell ref="A48:A52"/>
    <mergeCell ref="A54:A58"/>
    <mergeCell ref="A60:A64"/>
    <mergeCell ref="A140:A144"/>
    <mergeCell ref="A72:A75"/>
    <mergeCell ref="A77:A81"/>
    <mergeCell ref="A83:A87"/>
    <mergeCell ref="A89:A93"/>
    <mergeCell ref="A112:A115"/>
    <mergeCell ref="A123:A126"/>
    <mergeCell ref="A134:A138"/>
    <mergeCell ref="A97:A104"/>
    <mergeCell ref="A106:A110"/>
    <mergeCell ref="A117:A119"/>
    <mergeCell ref="A128:A129"/>
    <mergeCell ref="A146:A148"/>
    <mergeCell ref="C184:E184"/>
    <mergeCell ref="A151:A155"/>
    <mergeCell ref="A158:A162"/>
    <mergeCell ref="A164:A168"/>
    <mergeCell ref="A170:A173"/>
    <mergeCell ref="A175:A178"/>
  </mergeCells>
  <dataValidations count="2">
    <dataValidation type="list" allowBlank="1" showInputMessage="1" showErrorMessage="1" promptTitle="Standardbegründungen" sqref="G190:G201" xr:uid="{00000000-0002-0000-5000-000000000000}">
      <formula1>$G$189:$G$201</formula1>
    </dataValidation>
    <dataValidation type="list" allowBlank="1" showInputMessage="1" showErrorMessage="1" promptTitle="Standardbegründungen" sqref="G189 H189:H198" xr:uid="{00000000-0002-0000-5000-000001000000}">
      <formula1>$G$189:$G$198</formula1>
    </dataValidation>
  </dataValidations>
  <pageMargins left="0.7" right="0.7" top="0.78740157499999996" bottom="0.78740157499999996" header="0.3" footer="0.3"/>
  <pageSetup fitToHeight="0" orientation="portrait" r:id="rId1"/>
  <headerFooter>
    <oddFooter>&amp;LDok.-Nr /Rev./Datum
AH06 / 01 / 02.12.2019
&amp;F&amp;CReportbewertung Level C, B, A&amp;RSeite &amp;P</oddFooter>
  </headerFooter>
  <cellWatches>
    <cellWatch r="D4"/>
    <cellWatch r="E4"/>
    <cellWatch r="E3"/>
  </cellWatches>
  <legacyDrawing r:id="rId2"/>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66183-15CB-44C2-9699-B13403A587A3}">
  <sheetPr codeName="Support_Sheet72"/>
  <dimension ref="A1:IW200"/>
  <sheetViews>
    <sheetView showGridLines="0" zoomScale="73" zoomScaleNormal="73" workbookViewId="0">
      <pane xSplit="4" ySplit="4" topLeftCell="E177" activePane="bottomRight" state="frozen"/>
      <selection pane="topRight" activeCell="C53" sqref="C53"/>
      <selection pane="bottomLeft" activeCell="C53" sqref="C53"/>
      <selection pane="bottomRight" activeCell="K142" sqref="K142"/>
    </sheetView>
  </sheetViews>
  <sheetFormatPr baseColWidth="10" defaultColWidth="16.33203125" defaultRowHeight="13"/>
  <cols>
    <col min="1" max="1" width="8" style="893" customWidth="1"/>
    <col min="2" max="2" width="10.83203125" style="861" customWidth="1"/>
    <col min="3" max="3" width="11.1640625" style="861" customWidth="1"/>
    <col min="4" max="4" width="12.6640625" style="861" customWidth="1"/>
    <col min="5" max="5" width="37.6640625" style="861" customWidth="1"/>
    <col min="6" max="6" width="20.5" style="902" customWidth="1"/>
    <col min="7" max="7" width="26" style="861" customWidth="1"/>
    <col min="8" max="8" width="21.6640625" style="861" customWidth="1"/>
    <col min="9" max="9" width="53.5" style="861" customWidth="1"/>
    <col min="10" max="10" width="20.5" style="904" customWidth="1"/>
    <col min="11" max="11" width="22.83203125" style="904" customWidth="1"/>
    <col min="12" max="12" width="15.33203125" style="861" customWidth="1"/>
    <col min="13" max="13" width="13.6640625" style="861" customWidth="1"/>
    <col min="14" max="14" width="5.33203125" style="861" hidden="1" customWidth="1"/>
    <col min="15" max="15" width="50.6640625" style="861" hidden="1" customWidth="1"/>
    <col min="16" max="16" width="2.1640625" style="861" hidden="1" customWidth="1"/>
    <col min="17" max="257" width="16.33203125" style="861" customWidth="1"/>
    <col min="258" max="16384" width="16.33203125" style="862"/>
  </cols>
  <sheetData>
    <row r="1" spans="1:257" ht="42">
      <c r="A1" s="861" t="s">
        <v>3709</v>
      </c>
    </row>
    <row r="2" spans="1:257" ht="37.5" customHeight="1">
      <c r="A2" s="2457" t="s">
        <v>2017</v>
      </c>
      <c r="B2" s="2458"/>
      <c r="C2" s="2458" t="str">
        <f>Scoring!R3</f>
        <v>Zert. Nummer:</v>
      </c>
      <c r="D2" s="2458"/>
      <c r="E2" s="1012" t="s">
        <v>288</v>
      </c>
      <c r="F2" s="2459" t="str">
        <f>Scoring!L2</f>
        <v>Lead Assessor:</v>
      </c>
      <c r="G2" s="2458"/>
      <c r="H2" s="1111"/>
      <c r="I2" s="2489"/>
      <c r="J2" s="2489"/>
      <c r="K2" s="2489"/>
      <c r="L2" s="2489"/>
      <c r="M2" s="2490"/>
    </row>
    <row r="3" spans="1:257" ht="37.5" customHeight="1" thickBot="1">
      <c r="A3" s="2462"/>
      <c r="B3" s="2463"/>
      <c r="C3" s="2463"/>
      <c r="D3" s="2463"/>
      <c r="E3" s="1014" t="s">
        <v>2018</v>
      </c>
      <c r="F3" s="1015" t="str">
        <f>Scoring!R2</f>
        <v>A, PJM</v>
      </c>
      <c r="G3" s="1015" t="str">
        <f>Scoring_Cand_Name</f>
        <v xml:space="preserve">, </v>
      </c>
      <c r="H3" s="2504" t="s">
        <v>2634</v>
      </c>
      <c r="I3" s="2504"/>
      <c r="J3" s="1067"/>
      <c r="K3" s="1067"/>
      <c r="L3" s="1068"/>
      <c r="M3" s="1112">
        <f>M181</f>
        <v>0</v>
      </c>
      <c r="P3" s="863"/>
    </row>
    <row r="4" spans="1:257" ht="34">
      <c r="A4" s="1069" t="s">
        <v>742</v>
      </c>
      <c r="B4" s="1070" t="s">
        <v>2019</v>
      </c>
      <c r="C4" s="2505" t="s">
        <v>2516</v>
      </c>
      <c r="D4" s="2506"/>
      <c r="E4" s="1113" t="s">
        <v>2021</v>
      </c>
      <c r="F4" s="1113" t="s">
        <v>2022</v>
      </c>
      <c r="G4" s="1113" t="s">
        <v>2023</v>
      </c>
      <c r="H4" s="1113" t="s">
        <v>2024</v>
      </c>
      <c r="I4" s="1113" t="s">
        <v>2025</v>
      </c>
      <c r="J4" s="1114" t="s">
        <v>2026</v>
      </c>
      <c r="K4" s="1114" t="s">
        <v>2027</v>
      </c>
      <c r="L4" s="1113" t="s">
        <v>2028</v>
      </c>
      <c r="M4" s="1115"/>
      <c r="O4" s="910" t="s">
        <v>2029</v>
      </c>
      <c r="P4" s="864"/>
    </row>
    <row r="5" spans="1:257" ht="140">
      <c r="A5" s="2498" t="s">
        <v>1190</v>
      </c>
      <c r="B5" s="1116" t="s">
        <v>1293</v>
      </c>
      <c r="C5" s="1117">
        <v>4</v>
      </c>
      <c r="D5" s="1117">
        <v>6</v>
      </c>
      <c r="E5" s="1118" t="s">
        <v>1302</v>
      </c>
      <c r="F5" s="1119" t="str">
        <f>IF(Scoring!I14="","",Scoring!I14)</f>
        <v/>
      </c>
      <c r="G5" s="1120"/>
      <c r="H5" s="1120"/>
      <c r="I5" s="1121" t="s">
        <v>2583</v>
      </c>
      <c r="J5" s="1122"/>
      <c r="K5" s="1122"/>
      <c r="L5" s="1123"/>
      <c r="M5" s="1124"/>
      <c r="O5" s="865"/>
      <c r="P5" s="866"/>
    </row>
    <row r="6" spans="1:257" ht="126">
      <c r="A6" s="2499"/>
      <c r="B6" s="1125" t="s">
        <v>1303</v>
      </c>
      <c r="C6" s="1126">
        <v>4</v>
      </c>
      <c r="D6" s="1126">
        <v>6</v>
      </c>
      <c r="E6" s="1127" t="s">
        <v>2518</v>
      </c>
      <c r="F6" s="1128" t="str">
        <f>IF(Scoring!I15="","",Scoring!I15)</f>
        <v/>
      </c>
      <c r="G6" s="1129"/>
      <c r="H6" s="1129"/>
      <c r="I6" s="1130" t="s">
        <v>2519</v>
      </c>
      <c r="J6" s="1131"/>
      <c r="K6" s="1131"/>
      <c r="L6" s="1132"/>
      <c r="M6" s="1133"/>
      <c r="O6" s="867"/>
      <c r="P6" s="868"/>
    </row>
    <row r="7" spans="1:257" ht="224">
      <c r="A7" s="2499"/>
      <c r="B7" s="1125" t="s">
        <v>1598</v>
      </c>
      <c r="C7" s="1126">
        <v>4</v>
      </c>
      <c r="D7" s="1126">
        <v>5</v>
      </c>
      <c r="E7" s="1127" t="s">
        <v>2584</v>
      </c>
      <c r="F7" s="1128" t="str">
        <f>IF(Scoring!I16="","",Scoring!I16)</f>
        <v/>
      </c>
      <c r="G7" s="1129"/>
      <c r="H7" s="1129"/>
      <c r="I7" s="1130" t="s">
        <v>2585</v>
      </c>
      <c r="J7" s="1131"/>
      <c r="K7" s="1131"/>
      <c r="L7" s="1132"/>
      <c r="M7" s="1133"/>
      <c r="O7" s="867"/>
      <c r="P7" s="868"/>
    </row>
    <row r="8" spans="1:257" ht="210">
      <c r="A8" s="2499"/>
      <c r="B8" s="1125" t="s">
        <v>1599</v>
      </c>
      <c r="C8" s="1126">
        <v>4</v>
      </c>
      <c r="D8" s="1126">
        <v>5</v>
      </c>
      <c r="E8" s="1127" t="s">
        <v>1337</v>
      </c>
      <c r="F8" s="1128" t="str">
        <f>IF(Scoring!I17="","",Scoring!I17)</f>
        <v/>
      </c>
      <c r="G8" s="1129"/>
      <c r="H8" s="1129"/>
      <c r="I8" s="1130" t="s">
        <v>2586</v>
      </c>
      <c r="J8" s="1131"/>
      <c r="K8" s="1131"/>
      <c r="L8" s="1132"/>
      <c r="M8" s="1133"/>
      <c r="O8" s="867"/>
      <c r="P8" s="868"/>
    </row>
    <row r="9" spans="1:257" ht="169" thickBot="1">
      <c r="A9" s="2500"/>
      <c r="B9" s="1134" t="s">
        <v>1600</v>
      </c>
      <c r="C9" s="1135">
        <v>4</v>
      </c>
      <c r="D9" s="1135">
        <v>6</v>
      </c>
      <c r="E9" s="1136" t="s">
        <v>2523</v>
      </c>
      <c r="F9" s="1137" t="str">
        <f>IF(Scoring!I18="","",Scoring!I18)</f>
        <v/>
      </c>
      <c r="G9" s="1138"/>
      <c r="H9" s="1138"/>
      <c r="I9" s="1139" t="s">
        <v>2524</v>
      </c>
      <c r="J9" s="1140"/>
      <c r="K9" s="1140">
        <f>COUNT(F5:F9)</f>
        <v>0</v>
      </c>
      <c r="L9" s="1141">
        <f>SUM(F5:F9)</f>
        <v>0</v>
      </c>
      <c r="M9" s="1142">
        <f>IF(L9&lt;3,0,1)</f>
        <v>0</v>
      </c>
      <c r="O9" s="869"/>
      <c r="P9" s="870">
        <f>COUNTA(F5:F9)</f>
        <v>5</v>
      </c>
    </row>
    <row r="10" spans="1:257" ht="16" thickTop="1" thickBot="1">
      <c r="A10" s="861"/>
      <c r="F10" s="1107" t="str">
        <f>IF(Scoring!I19="","",Scoring!I19)</f>
        <v/>
      </c>
      <c r="J10" s="861"/>
      <c r="K10" s="861"/>
    </row>
    <row r="11" spans="1:257" ht="169" thickTop="1">
      <c r="A11" s="2498" t="s">
        <v>1191</v>
      </c>
      <c r="B11" s="1116" t="s">
        <v>2038</v>
      </c>
      <c r="C11" s="1117">
        <v>4</v>
      </c>
      <c r="D11" s="1117">
        <v>5</v>
      </c>
      <c r="E11" s="1118" t="s">
        <v>1931</v>
      </c>
      <c r="F11" s="1119" t="str">
        <f>IF(Scoring!I20="","",Scoring!I20)</f>
        <v/>
      </c>
      <c r="G11" s="1120"/>
      <c r="H11" s="1120"/>
      <c r="I11" s="1121" t="s">
        <v>2587</v>
      </c>
      <c r="J11" s="1122"/>
      <c r="K11" s="1122"/>
      <c r="L11" s="1123"/>
      <c r="M11" s="1124"/>
      <c r="O11" s="871"/>
      <c r="P11" s="872"/>
    </row>
    <row r="12" spans="1:257" ht="112">
      <c r="A12" s="2499"/>
      <c r="B12" s="1125" t="s">
        <v>2041</v>
      </c>
      <c r="C12" s="1126">
        <v>4</v>
      </c>
      <c r="D12" s="1126">
        <v>4</v>
      </c>
      <c r="E12" s="1127" t="s">
        <v>1938</v>
      </c>
      <c r="F12" s="1128" t="str">
        <f>IF(Scoring!I21="","",Scoring!I21)</f>
        <v/>
      </c>
      <c r="G12" s="1129"/>
      <c r="H12" s="1129"/>
      <c r="I12" s="1130" t="s">
        <v>2588</v>
      </c>
      <c r="J12" s="1131"/>
      <c r="K12" s="1131"/>
      <c r="L12" s="1132"/>
      <c r="M12" s="1133"/>
      <c r="O12" s="867"/>
      <c r="P12" s="868"/>
    </row>
    <row r="13" spans="1:257" ht="154">
      <c r="A13" s="2499"/>
      <c r="B13" s="1125" t="s">
        <v>2043</v>
      </c>
      <c r="C13" s="1126">
        <v>4</v>
      </c>
      <c r="D13" s="1126">
        <v>5</v>
      </c>
      <c r="E13" s="1127" t="s">
        <v>2589</v>
      </c>
      <c r="F13" s="1128" t="str">
        <f>IF(Scoring!I22="","",Scoring!I22)</f>
        <v/>
      </c>
      <c r="G13" s="1129"/>
      <c r="H13" s="1129"/>
      <c r="I13" s="1130" t="s">
        <v>2590</v>
      </c>
      <c r="J13" s="1131"/>
      <c r="K13" s="1131"/>
      <c r="L13" s="1132"/>
      <c r="M13" s="1133"/>
      <c r="O13" s="867"/>
      <c r="P13" s="868"/>
    </row>
    <row r="14" spans="1:257" ht="126">
      <c r="A14" s="2499"/>
      <c r="B14" s="1125" t="s">
        <v>2045</v>
      </c>
      <c r="C14" s="1126">
        <v>4</v>
      </c>
      <c r="D14" s="1126">
        <v>4</v>
      </c>
      <c r="E14" s="1127" t="s">
        <v>1605</v>
      </c>
      <c r="F14" s="1128" t="str">
        <f>IF(Scoring!I23="","",Scoring!I23)</f>
        <v/>
      </c>
      <c r="G14" s="1129"/>
      <c r="H14" s="1129"/>
      <c r="I14" s="1130" t="s">
        <v>2591</v>
      </c>
      <c r="J14" s="1131"/>
      <c r="K14" s="1131"/>
      <c r="L14" s="1132"/>
      <c r="M14" s="1133"/>
      <c r="O14" s="867"/>
      <c r="P14" s="868"/>
    </row>
    <row r="15" spans="1:257" s="876" customFormat="1" ht="112">
      <c r="A15" s="2500"/>
      <c r="B15" s="1134" t="s">
        <v>2047</v>
      </c>
      <c r="C15" s="1135">
        <v>4</v>
      </c>
      <c r="D15" s="1135">
        <v>6</v>
      </c>
      <c r="E15" s="1136" t="s">
        <v>1343</v>
      </c>
      <c r="F15" s="1137" t="str">
        <f>IF(Scoring!I24="","",Scoring!I24)</f>
        <v/>
      </c>
      <c r="G15" s="1138"/>
      <c r="H15" s="1138"/>
      <c r="I15" s="1139" t="s">
        <v>2592</v>
      </c>
      <c r="J15" s="1140"/>
      <c r="K15" s="1140">
        <f>COUNT(F11:F15)</f>
        <v>0</v>
      </c>
      <c r="L15" s="1141">
        <f>SUM(F11:F15)</f>
        <v>0</v>
      </c>
      <c r="M15" s="1142">
        <f>IF(L15&lt;3,0,1)</f>
        <v>0</v>
      </c>
      <c r="N15" s="873"/>
      <c r="O15" s="874"/>
      <c r="P15" s="875">
        <f>COUNTA(F11:F15)</f>
        <v>5</v>
      </c>
      <c r="Q15" s="873"/>
      <c r="R15" s="873"/>
      <c r="S15" s="873"/>
      <c r="T15" s="873"/>
      <c r="U15" s="873"/>
      <c r="V15" s="873"/>
      <c r="W15" s="873"/>
      <c r="X15" s="873"/>
      <c r="Y15" s="873"/>
      <c r="Z15" s="873"/>
      <c r="AA15" s="873"/>
      <c r="AB15" s="873"/>
      <c r="AC15" s="873"/>
      <c r="AD15" s="873"/>
      <c r="AE15" s="873"/>
      <c r="AF15" s="873"/>
      <c r="AG15" s="873"/>
      <c r="AH15" s="873"/>
      <c r="AI15" s="873"/>
      <c r="AJ15" s="873"/>
      <c r="AK15" s="873"/>
      <c r="AL15" s="873"/>
      <c r="AM15" s="873"/>
      <c r="AN15" s="873"/>
      <c r="AO15" s="873"/>
      <c r="AP15" s="873"/>
      <c r="AQ15" s="873"/>
      <c r="AR15" s="873"/>
      <c r="AS15" s="873"/>
      <c r="AT15" s="873"/>
      <c r="AU15" s="873"/>
      <c r="AV15" s="873"/>
      <c r="AW15" s="873"/>
      <c r="AX15" s="873"/>
      <c r="AY15" s="873"/>
      <c r="AZ15" s="873"/>
      <c r="BA15" s="873"/>
      <c r="BB15" s="873"/>
      <c r="BC15" s="873"/>
      <c r="BD15" s="873"/>
      <c r="BE15" s="873"/>
      <c r="BF15" s="873"/>
      <c r="BG15" s="873"/>
      <c r="BH15" s="873"/>
      <c r="BI15" s="873"/>
      <c r="BJ15" s="873"/>
      <c r="BK15" s="873"/>
      <c r="BL15" s="873"/>
      <c r="BM15" s="873"/>
      <c r="BN15" s="873"/>
      <c r="BO15" s="873"/>
      <c r="BP15" s="873"/>
      <c r="BQ15" s="873"/>
      <c r="BR15" s="873"/>
      <c r="BS15" s="873"/>
      <c r="BT15" s="873"/>
      <c r="BU15" s="873"/>
      <c r="BV15" s="873"/>
      <c r="BW15" s="873"/>
      <c r="BX15" s="873"/>
      <c r="BY15" s="873"/>
      <c r="BZ15" s="873"/>
      <c r="CA15" s="873"/>
      <c r="CB15" s="873"/>
      <c r="CC15" s="873"/>
      <c r="CD15" s="873"/>
      <c r="CE15" s="873"/>
      <c r="CF15" s="873"/>
      <c r="CG15" s="873"/>
      <c r="CH15" s="873"/>
      <c r="CI15" s="873"/>
      <c r="CJ15" s="873"/>
      <c r="CK15" s="873"/>
      <c r="CL15" s="873"/>
      <c r="CM15" s="873"/>
      <c r="CN15" s="873"/>
      <c r="CO15" s="873"/>
      <c r="CP15" s="873"/>
      <c r="CQ15" s="873"/>
      <c r="CR15" s="873"/>
      <c r="CS15" s="873"/>
      <c r="CT15" s="873"/>
      <c r="CU15" s="873"/>
      <c r="CV15" s="873"/>
      <c r="CW15" s="873"/>
      <c r="CX15" s="873"/>
      <c r="CY15" s="873"/>
      <c r="CZ15" s="873"/>
      <c r="DA15" s="873"/>
      <c r="DB15" s="873"/>
      <c r="DC15" s="873"/>
      <c r="DD15" s="873"/>
      <c r="DE15" s="873"/>
      <c r="DF15" s="873"/>
      <c r="DG15" s="873"/>
      <c r="DH15" s="873"/>
      <c r="DI15" s="873"/>
      <c r="DJ15" s="873"/>
      <c r="DK15" s="873"/>
      <c r="DL15" s="873"/>
      <c r="DM15" s="873"/>
      <c r="DN15" s="873"/>
      <c r="DO15" s="873"/>
      <c r="DP15" s="873"/>
      <c r="DQ15" s="873"/>
      <c r="DR15" s="873"/>
      <c r="DS15" s="873"/>
      <c r="DT15" s="873"/>
      <c r="DU15" s="873"/>
      <c r="DV15" s="873"/>
      <c r="DW15" s="873"/>
      <c r="DX15" s="873"/>
      <c r="DY15" s="873"/>
      <c r="DZ15" s="873"/>
      <c r="EA15" s="873"/>
      <c r="EB15" s="873"/>
      <c r="EC15" s="873"/>
      <c r="ED15" s="873"/>
      <c r="EE15" s="873"/>
      <c r="EF15" s="873"/>
      <c r="EG15" s="873"/>
      <c r="EH15" s="873"/>
      <c r="EI15" s="873"/>
      <c r="EJ15" s="873"/>
      <c r="EK15" s="873"/>
      <c r="EL15" s="873"/>
      <c r="EM15" s="873"/>
      <c r="EN15" s="873"/>
      <c r="EO15" s="873"/>
      <c r="EP15" s="873"/>
      <c r="EQ15" s="873"/>
      <c r="ER15" s="873"/>
      <c r="ES15" s="873"/>
      <c r="ET15" s="873"/>
      <c r="EU15" s="873"/>
      <c r="EV15" s="873"/>
      <c r="EW15" s="873"/>
      <c r="EX15" s="873"/>
      <c r="EY15" s="873"/>
      <c r="EZ15" s="873"/>
      <c r="FA15" s="873"/>
      <c r="FB15" s="873"/>
      <c r="FC15" s="873"/>
      <c r="FD15" s="873"/>
      <c r="FE15" s="873"/>
      <c r="FF15" s="873"/>
      <c r="FG15" s="873"/>
      <c r="FH15" s="873"/>
      <c r="FI15" s="873"/>
      <c r="FJ15" s="873"/>
      <c r="FK15" s="873"/>
      <c r="FL15" s="873"/>
      <c r="FM15" s="873"/>
      <c r="FN15" s="873"/>
      <c r="FO15" s="873"/>
      <c r="FP15" s="873"/>
      <c r="FQ15" s="873"/>
      <c r="FR15" s="873"/>
      <c r="FS15" s="873"/>
      <c r="FT15" s="873"/>
      <c r="FU15" s="873"/>
      <c r="FV15" s="873"/>
      <c r="FW15" s="873"/>
      <c r="FX15" s="873"/>
      <c r="FY15" s="873"/>
      <c r="FZ15" s="873"/>
      <c r="GA15" s="873"/>
      <c r="GB15" s="873"/>
      <c r="GC15" s="873"/>
      <c r="GD15" s="873"/>
      <c r="GE15" s="873"/>
      <c r="GF15" s="873"/>
      <c r="GG15" s="873"/>
      <c r="GH15" s="873"/>
      <c r="GI15" s="873"/>
      <c r="GJ15" s="873"/>
      <c r="GK15" s="873"/>
      <c r="GL15" s="873"/>
      <c r="GM15" s="873"/>
      <c r="GN15" s="873"/>
      <c r="GO15" s="873"/>
      <c r="GP15" s="873"/>
      <c r="GQ15" s="873"/>
      <c r="GR15" s="873"/>
      <c r="GS15" s="873"/>
      <c r="GT15" s="873"/>
      <c r="GU15" s="873"/>
      <c r="GV15" s="873"/>
      <c r="GW15" s="873"/>
      <c r="GX15" s="873"/>
      <c r="GY15" s="873"/>
      <c r="GZ15" s="873"/>
      <c r="HA15" s="873"/>
      <c r="HB15" s="873"/>
      <c r="HC15" s="873"/>
      <c r="HD15" s="873"/>
      <c r="HE15" s="873"/>
      <c r="HF15" s="873"/>
      <c r="HG15" s="873"/>
      <c r="HH15" s="873"/>
      <c r="HI15" s="873"/>
      <c r="HJ15" s="873"/>
      <c r="HK15" s="873"/>
      <c r="HL15" s="873"/>
      <c r="HM15" s="873"/>
      <c r="HN15" s="873"/>
      <c r="HO15" s="873"/>
      <c r="HP15" s="873"/>
      <c r="HQ15" s="873"/>
      <c r="HR15" s="873"/>
      <c r="HS15" s="873"/>
      <c r="HT15" s="873"/>
      <c r="HU15" s="873"/>
      <c r="HV15" s="873"/>
      <c r="HW15" s="873"/>
      <c r="HX15" s="873"/>
      <c r="HY15" s="873"/>
      <c r="HZ15" s="873"/>
      <c r="IA15" s="873"/>
      <c r="IB15" s="873"/>
      <c r="IC15" s="873"/>
      <c r="ID15" s="873"/>
      <c r="IE15" s="873"/>
      <c r="IF15" s="873"/>
      <c r="IG15" s="873"/>
      <c r="IH15" s="873"/>
      <c r="II15" s="873"/>
      <c r="IJ15" s="873"/>
      <c r="IK15" s="873"/>
      <c r="IL15" s="873"/>
      <c r="IM15" s="873"/>
      <c r="IN15" s="873"/>
      <c r="IO15" s="873"/>
      <c r="IP15" s="873"/>
      <c r="IQ15" s="873"/>
      <c r="IR15" s="873"/>
      <c r="IS15" s="873"/>
      <c r="IT15" s="873"/>
      <c r="IU15" s="873"/>
      <c r="IV15" s="873"/>
      <c r="IW15" s="873"/>
    </row>
    <row r="16" spans="1:257" s="876" customFormat="1">
      <c r="A16" s="873"/>
      <c r="B16" s="873"/>
      <c r="C16" s="873"/>
      <c r="D16" s="873"/>
      <c r="E16" s="873"/>
      <c r="F16" s="873"/>
      <c r="G16" s="873"/>
      <c r="H16" s="873"/>
      <c r="I16" s="873"/>
      <c r="J16" s="873"/>
      <c r="K16" s="873"/>
      <c r="L16" s="873"/>
      <c r="M16" s="873"/>
      <c r="N16" s="873"/>
      <c r="O16" s="873"/>
      <c r="P16" s="873"/>
      <c r="Q16" s="873"/>
      <c r="R16" s="873"/>
      <c r="S16" s="873"/>
      <c r="T16" s="873"/>
      <c r="U16" s="873"/>
      <c r="V16" s="873"/>
      <c r="W16" s="873"/>
      <c r="X16" s="873"/>
      <c r="Y16" s="873"/>
      <c r="Z16" s="873"/>
      <c r="AA16" s="873"/>
      <c r="AB16" s="873"/>
      <c r="AC16" s="873"/>
      <c r="AD16" s="873"/>
      <c r="AE16" s="873"/>
      <c r="AF16" s="873"/>
      <c r="AG16" s="873"/>
      <c r="AH16" s="873"/>
      <c r="AI16" s="873"/>
      <c r="AJ16" s="873"/>
      <c r="AK16" s="873"/>
      <c r="AL16" s="873"/>
      <c r="AM16" s="873"/>
      <c r="AN16" s="873"/>
      <c r="AO16" s="873"/>
      <c r="AP16" s="873"/>
      <c r="AQ16" s="873"/>
      <c r="AR16" s="873"/>
      <c r="AS16" s="873"/>
      <c r="AT16" s="873"/>
      <c r="AU16" s="873"/>
      <c r="AV16" s="873"/>
      <c r="AW16" s="873"/>
      <c r="AX16" s="873"/>
      <c r="AY16" s="873"/>
      <c r="AZ16" s="873"/>
      <c r="BA16" s="873"/>
      <c r="BB16" s="873"/>
      <c r="BC16" s="873"/>
      <c r="BD16" s="873"/>
      <c r="BE16" s="873"/>
      <c r="BF16" s="873"/>
      <c r="BG16" s="873"/>
      <c r="BH16" s="873"/>
      <c r="BI16" s="873"/>
      <c r="BJ16" s="873"/>
      <c r="BK16" s="873"/>
      <c r="BL16" s="873"/>
      <c r="BM16" s="873"/>
      <c r="BN16" s="873"/>
      <c r="BO16" s="873"/>
      <c r="BP16" s="873"/>
      <c r="BQ16" s="873"/>
      <c r="BR16" s="873"/>
      <c r="BS16" s="873"/>
      <c r="BT16" s="873"/>
      <c r="BU16" s="873"/>
      <c r="BV16" s="873"/>
      <c r="BW16" s="873"/>
      <c r="BX16" s="873"/>
      <c r="BY16" s="873"/>
      <c r="BZ16" s="873"/>
      <c r="CA16" s="873"/>
      <c r="CB16" s="873"/>
      <c r="CC16" s="873"/>
      <c r="CD16" s="873"/>
      <c r="CE16" s="873"/>
      <c r="CF16" s="873"/>
      <c r="CG16" s="873"/>
      <c r="CH16" s="873"/>
      <c r="CI16" s="873"/>
      <c r="CJ16" s="873"/>
      <c r="CK16" s="873"/>
      <c r="CL16" s="873"/>
      <c r="CM16" s="873"/>
      <c r="CN16" s="873"/>
      <c r="CO16" s="873"/>
      <c r="CP16" s="873"/>
      <c r="CQ16" s="873"/>
      <c r="CR16" s="873"/>
      <c r="CS16" s="873"/>
      <c r="CT16" s="873"/>
      <c r="CU16" s="873"/>
      <c r="CV16" s="873"/>
      <c r="CW16" s="873"/>
      <c r="CX16" s="873"/>
      <c r="CY16" s="873"/>
      <c r="CZ16" s="873"/>
      <c r="DA16" s="873"/>
      <c r="DB16" s="873"/>
      <c r="DC16" s="873"/>
      <c r="DD16" s="873"/>
      <c r="DE16" s="873"/>
      <c r="DF16" s="873"/>
      <c r="DG16" s="873"/>
      <c r="DH16" s="873"/>
      <c r="DI16" s="873"/>
      <c r="DJ16" s="873"/>
      <c r="DK16" s="873"/>
      <c r="DL16" s="873"/>
      <c r="DM16" s="873"/>
      <c r="DN16" s="873"/>
      <c r="DO16" s="873"/>
      <c r="DP16" s="873"/>
      <c r="DQ16" s="873"/>
      <c r="DR16" s="873"/>
      <c r="DS16" s="873"/>
      <c r="DT16" s="873"/>
      <c r="DU16" s="873"/>
      <c r="DV16" s="873"/>
      <c r="DW16" s="873"/>
      <c r="DX16" s="873"/>
      <c r="DY16" s="873"/>
      <c r="DZ16" s="873"/>
      <c r="EA16" s="873"/>
      <c r="EB16" s="873"/>
      <c r="EC16" s="873"/>
      <c r="ED16" s="873"/>
      <c r="EE16" s="873"/>
      <c r="EF16" s="873"/>
      <c r="EG16" s="873"/>
      <c r="EH16" s="873"/>
      <c r="EI16" s="873"/>
      <c r="EJ16" s="873"/>
      <c r="EK16" s="873"/>
      <c r="EL16" s="873"/>
      <c r="EM16" s="873"/>
      <c r="EN16" s="873"/>
      <c r="EO16" s="873"/>
      <c r="EP16" s="873"/>
      <c r="EQ16" s="873"/>
      <c r="ER16" s="873"/>
      <c r="ES16" s="873"/>
      <c r="ET16" s="873"/>
      <c r="EU16" s="873"/>
      <c r="EV16" s="873"/>
      <c r="EW16" s="873"/>
      <c r="EX16" s="873"/>
      <c r="EY16" s="873"/>
      <c r="EZ16" s="873"/>
      <c r="FA16" s="873"/>
      <c r="FB16" s="873"/>
      <c r="FC16" s="873"/>
      <c r="FD16" s="873"/>
      <c r="FE16" s="873"/>
      <c r="FF16" s="873"/>
      <c r="FG16" s="873"/>
      <c r="FH16" s="873"/>
      <c r="FI16" s="873"/>
      <c r="FJ16" s="873"/>
      <c r="FK16" s="873"/>
      <c r="FL16" s="873"/>
      <c r="FM16" s="873"/>
      <c r="FN16" s="873"/>
      <c r="FO16" s="873"/>
      <c r="FP16" s="873"/>
      <c r="FQ16" s="873"/>
      <c r="FR16" s="873"/>
      <c r="FS16" s="873"/>
      <c r="FT16" s="873"/>
      <c r="FU16" s="873"/>
      <c r="FV16" s="873"/>
      <c r="FW16" s="873"/>
      <c r="FX16" s="873"/>
      <c r="FY16" s="873"/>
      <c r="FZ16" s="873"/>
      <c r="GA16" s="873"/>
      <c r="GB16" s="873"/>
      <c r="GC16" s="873"/>
      <c r="GD16" s="873"/>
      <c r="GE16" s="873"/>
      <c r="GF16" s="873"/>
      <c r="GG16" s="873"/>
      <c r="GH16" s="873"/>
      <c r="GI16" s="873"/>
      <c r="GJ16" s="873"/>
      <c r="GK16" s="873"/>
      <c r="GL16" s="873"/>
      <c r="GM16" s="873"/>
      <c r="GN16" s="873"/>
      <c r="GO16" s="873"/>
      <c r="GP16" s="873"/>
      <c r="GQ16" s="873"/>
      <c r="GR16" s="873"/>
      <c r="GS16" s="873"/>
      <c r="GT16" s="873"/>
      <c r="GU16" s="873"/>
      <c r="GV16" s="873"/>
      <c r="GW16" s="873"/>
      <c r="GX16" s="873"/>
      <c r="GY16" s="873"/>
      <c r="GZ16" s="873"/>
      <c r="HA16" s="873"/>
      <c r="HB16" s="873"/>
      <c r="HC16" s="873"/>
      <c r="HD16" s="873"/>
      <c r="HE16" s="873"/>
      <c r="HF16" s="873"/>
      <c r="HG16" s="873"/>
      <c r="HH16" s="873"/>
      <c r="HI16" s="873"/>
      <c r="HJ16" s="873"/>
      <c r="HK16" s="873"/>
      <c r="HL16" s="873"/>
      <c r="HM16" s="873"/>
      <c r="HN16" s="873"/>
      <c r="HO16" s="873"/>
      <c r="HP16" s="873"/>
      <c r="HQ16" s="873"/>
      <c r="HR16" s="873"/>
      <c r="HS16" s="873"/>
      <c r="HT16" s="873"/>
      <c r="HU16" s="873"/>
      <c r="HV16" s="873"/>
      <c r="HW16" s="873"/>
      <c r="HX16" s="873"/>
      <c r="HY16" s="873"/>
      <c r="HZ16" s="873"/>
      <c r="IA16" s="873"/>
      <c r="IB16" s="873"/>
      <c r="IC16" s="873"/>
      <c r="ID16" s="873"/>
      <c r="IE16" s="873"/>
      <c r="IF16" s="873"/>
      <c r="IG16" s="873"/>
      <c r="IH16" s="873"/>
      <c r="II16" s="873"/>
      <c r="IJ16" s="873"/>
      <c r="IK16" s="873"/>
      <c r="IL16" s="873"/>
      <c r="IM16" s="873"/>
      <c r="IN16" s="873"/>
      <c r="IO16" s="873"/>
      <c r="IP16" s="873"/>
      <c r="IQ16" s="873"/>
      <c r="IR16" s="873"/>
      <c r="IS16" s="873"/>
      <c r="IT16" s="873"/>
      <c r="IU16" s="873"/>
      <c r="IV16" s="873"/>
      <c r="IW16" s="873"/>
    </row>
    <row r="17" spans="1:257" s="876" customFormat="1">
      <c r="A17" s="873"/>
      <c r="B17" s="873"/>
      <c r="C17" s="873"/>
      <c r="D17" s="873"/>
      <c r="E17" s="873"/>
      <c r="F17" s="873"/>
      <c r="G17" s="873"/>
      <c r="H17" s="873"/>
      <c r="I17" s="873"/>
      <c r="J17" s="873"/>
      <c r="K17" s="873"/>
      <c r="L17" s="873"/>
      <c r="M17" s="873"/>
      <c r="N17" s="873"/>
      <c r="O17" s="873"/>
      <c r="P17" s="873"/>
      <c r="Q17" s="873"/>
      <c r="R17" s="873"/>
      <c r="S17" s="873"/>
      <c r="T17" s="873"/>
      <c r="U17" s="873"/>
      <c r="V17" s="873"/>
      <c r="W17" s="873"/>
      <c r="X17" s="873"/>
      <c r="Y17" s="873"/>
      <c r="Z17" s="873"/>
      <c r="AA17" s="873"/>
      <c r="AB17" s="873"/>
      <c r="AC17" s="873"/>
      <c r="AD17" s="873"/>
      <c r="AE17" s="873"/>
      <c r="AF17" s="873"/>
      <c r="AG17" s="873"/>
      <c r="AH17" s="873"/>
      <c r="AI17" s="873"/>
      <c r="AJ17" s="873"/>
      <c r="AK17" s="873"/>
      <c r="AL17" s="873"/>
      <c r="AM17" s="873"/>
      <c r="AN17" s="873"/>
      <c r="AO17" s="873"/>
      <c r="AP17" s="873"/>
      <c r="AQ17" s="873"/>
      <c r="AR17" s="873"/>
      <c r="AS17" s="873"/>
      <c r="AT17" s="873"/>
      <c r="AU17" s="873"/>
      <c r="AV17" s="873"/>
      <c r="AW17" s="873"/>
      <c r="AX17" s="873"/>
      <c r="AY17" s="873"/>
      <c r="AZ17" s="873"/>
      <c r="BA17" s="873"/>
      <c r="BB17" s="873"/>
      <c r="BC17" s="873"/>
      <c r="BD17" s="873"/>
      <c r="BE17" s="873"/>
      <c r="BF17" s="873"/>
      <c r="BG17" s="873"/>
      <c r="BH17" s="873"/>
      <c r="BI17" s="873"/>
      <c r="BJ17" s="873"/>
      <c r="BK17" s="873"/>
      <c r="BL17" s="873"/>
      <c r="BM17" s="873"/>
      <c r="BN17" s="873"/>
      <c r="BO17" s="873"/>
      <c r="BP17" s="873"/>
      <c r="BQ17" s="873"/>
      <c r="BR17" s="873"/>
      <c r="BS17" s="873"/>
      <c r="BT17" s="873"/>
      <c r="BU17" s="873"/>
      <c r="BV17" s="873"/>
      <c r="BW17" s="873"/>
      <c r="BX17" s="873"/>
      <c r="BY17" s="873"/>
      <c r="BZ17" s="873"/>
      <c r="CA17" s="873"/>
      <c r="CB17" s="873"/>
      <c r="CC17" s="873"/>
      <c r="CD17" s="873"/>
      <c r="CE17" s="873"/>
      <c r="CF17" s="873"/>
      <c r="CG17" s="873"/>
      <c r="CH17" s="873"/>
      <c r="CI17" s="873"/>
      <c r="CJ17" s="873"/>
      <c r="CK17" s="873"/>
      <c r="CL17" s="873"/>
      <c r="CM17" s="873"/>
      <c r="CN17" s="873"/>
      <c r="CO17" s="873"/>
      <c r="CP17" s="873"/>
      <c r="CQ17" s="873"/>
      <c r="CR17" s="873"/>
      <c r="CS17" s="873"/>
      <c r="CT17" s="873"/>
      <c r="CU17" s="873"/>
      <c r="CV17" s="873"/>
      <c r="CW17" s="873"/>
      <c r="CX17" s="873"/>
      <c r="CY17" s="873"/>
      <c r="CZ17" s="873"/>
      <c r="DA17" s="873"/>
      <c r="DB17" s="873"/>
      <c r="DC17" s="873"/>
      <c r="DD17" s="873"/>
      <c r="DE17" s="873"/>
      <c r="DF17" s="873"/>
      <c r="DG17" s="873"/>
      <c r="DH17" s="873"/>
      <c r="DI17" s="873"/>
      <c r="DJ17" s="873"/>
      <c r="DK17" s="873"/>
      <c r="DL17" s="873"/>
      <c r="DM17" s="873"/>
      <c r="DN17" s="873"/>
      <c r="DO17" s="873"/>
      <c r="DP17" s="873"/>
      <c r="DQ17" s="873"/>
      <c r="DR17" s="873"/>
      <c r="DS17" s="873"/>
      <c r="DT17" s="873"/>
      <c r="DU17" s="873"/>
      <c r="DV17" s="873"/>
      <c r="DW17" s="873"/>
      <c r="DX17" s="873"/>
      <c r="DY17" s="873"/>
      <c r="DZ17" s="873"/>
      <c r="EA17" s="873"/>
      <c r="EB17" s="873"/>
      <c r="EC17" s="873"/>
      <c r="ED17" s="873"/>
      <c r="EE17" s="873"/>
      <c r="EF17" s="873"/>
      <c r="EG17" s="873"/>
      <c r="EH17" s="873"/>
      <c r="EI17" s="873"/>
      <c r="EJ17" s="873"/>
      <c r="EK17" s="873"/>
      <c r="EL17" s="873"/>
      <c r="EM17" s="873"/>
      <c r="EN17" s="873"/>
      <c r="EO17" s="873"/>
      <c r="EP17" s="873"/>
      <c r="EQ17" s="873"/>
      <c r="ER17" s="873"/>
      <c r="ES17" s="873"/>
      <c r="ET17" s="873"/>
      <c r="EU17" s="873"/>
      <c r="EV17" s="873"/>
      <c r="EW17" s="873"/>
      <c r="EX17" s="873"/>
      <c r="EY17" s="873"/>
      <c r="EZ17" s="873"/>
      <c r="FA17" s="873"/>
      <c r="FB17" s="873"/>
      <c r="FC17" s="873"/>
      <c r="FD17" s="873"/>
      <c r="FE17" s="873"/>
      <c r="FF17" s="873"/>
      <c r="FG17" s="873"/>
      <c r="FH17" s="873"/>
      <c r="FI17" s="873"/>
      <c r="FJ17" s="873"/>
      <c r="FK17" s="873"/>
      <c r="FL17" s="873"/>
      <c r="FM17" s="873"/>
      <c r="FN17" s="873"/>
      <c r="FO17" s="873"/>
      <c r="FP17" s="873"/>
      <c r="FQ17" s="873"/>
      <c r="FR17" s="873"/>
      <c r="FS17" s="873"/>
      <c r="FT17" s="873"/>
      <c r="FU17" s="873"/>
      <c r="FV17" s="873"/>
      <c r="FW17" s="873"/>
      <c r="FX17" s="873"/>
      <c r="FY17" s="873"/>
      <c r="FZ17" s="873"/>
      <c r="GA17" s="873"/>
      <c r="GB17" s="873"/>
      <c r="GC17" s="873"/>
      <c r="GD17" s="873"/>
      <c r="GE17" s="873"/>
      <c r="GF17" s="873"/>
      <c r="GG17" s="873"/>
      <c r="GH17" s="873"/>
      <c r="GI17" s="873"/>
      <c r="GJ17" s="873"/>
      <c r="GK17" s="873"/>
      <c r="GL17" s="873"/>
      <c r="GM17" s="873"/>
      <c r="GN17" s="873"/>
      <c r="GO17" s="873"/>
      <c r="GP17" s="873"/>
      <c r="GQ17" s="873"/>
      <c r="GR17" s="873"/>
      <c r="GS17" s="873"/>
      <c r="GT17" s="873"/>
      <c r="GU17" s="873"/>
      <c r="GV17" s="873"/>
      <c r="GW17" s="873"/>
      <c r="GX17" s="873"/>
      <c r="GY17" s="873"/>
      <c r="GZ17" s="873"/>
      <c r="HA17" s="873"/>
      <c r="HB17" s="873"/>
      <c r="HC17" s="873"/>
      <c r="HD17" s="873"/>
      <c r="HE17" s="873"/>
      <c r="HF17" s="873"/>
      <c r="HG17" s="873"/>
      <c r="HH17" s="873"/>
      <c r="HI17" s="873"/>
      <c r="HJ17" s="873"/>
      <c r="HK17" s="873"/>
      <c r="HL17" s="873"/>
      <c r="HM17" s="873"/>
      <c r="HN17" s="873"/>
      <c r="HO17" s="873"/>
      <c r="HP17" s="873"/>
      <c r="HQ17" s="873"/>
      <c r="HR17" s="873"/>
      <c r="HS17" s="873"/>
      <c r="HT17" s="873"/>
      <c r="HU17" s="873"/>
      <c r="HV17" s="873"/>
      <c r="HW17" s="873"/>
      <c r="HX17" s="873"/>
      <c r="HY17" s="873"/>
      <c r="HZ17" s="873"/>
      <c r="IA17" s="873"/>
      <c r="IB17" s="873"/>
      <c r="IC17" s="873"/>
      <c r="ID17" s="873"/>
      <c r="IE17" s="873"/>
      <c r="IF17" s="873"/>
      <c r="IG17" s="873"/>
      <c r="IH17" s="873"/>
      <c r="II17" s="873"/>
      <c r="IJ17" s="873"/>
      <c r="IK17" s="873"/>
      <c r="IL17" s="873"/>
      <c r="IM17" s="873"/>
      <c r="IN17" s="873"/>
      <c r="IO17" s="873"/>
      <c r="IP17" s="873"/>
      <c r="IQ17" s="873"/>
      <c r="IR17" s="873"/>
      <c r="IS17" s="873"/>
      <c r="IT17" s="873"/>
      <c r="IU17" s="873"/>
      <c r="IV17" s="873"/>
      <c r="IW17" s="873"/>
    </row>
    <row r="18" spans="1:257" s="876" customFormat="1">
      <c r="A18" s="873"/>
      <c r="B18" s="873"/>
      <c r="C18" s="873"/>
      <c r="D18" s="873"/>
      <c r="E18" s="873"/>
      <c r="F18" s="873"/>
      <c r="G18" s="873"/>
      <c r="H18" s="873"/>
      <c r="I18" s="873"/>
      <c r="J18" s="873"/>
      <c r="K18" s="873"/>
      <c r="L18" s="873"/>
      <c r="M18" s="873"/>
      <c r="N18" s="873"/>
      <c r="O18" s="873"/>
      <c r="P18" s="873"/>
      <c r="Q18" s="873"/>
      <c r="R18" s="873"/>
      <c r="S18" s="873"/>
      <c r="T18" s="873"/>
      <c r="U18" s="873"/>
      <c r="V18" s="873"/>
      <c r="W18" s="873"/>
      <c r="X18" s="873"/>
      <c r="Y18" s="873"/>
      <c r="Z18" s="873"/>
      <c r="AA18" s="873"/>
      <c r="AB18" s="873"/>
      <c r="AC18" s="873"/>
      <c r="AD18" s="873"/>
      <c r="AE18" s="873"/>
      <c r="AF18" s="873"/>
      <c r="AG18" s="873"/>
      <c r="AH18" s="873"/>
      <c r="AI18" s="873"/>
      <c r="AJ18" s="873"/>
      <c r="AK18" s="873"/>
      <c r="AL18" s="873"/>
      <c r="AM18" s="873"/>
      <c r="AN18" s="873"/>
      <c r="AO18" s="873"/>
      <c r="AP18" s="873"/>
      <c r="AQ18" s="873"/>
      <c r="AR18" s="873"/>
      <c r="AS18" s="873"/>
      <c r="AT18" s="873"/>
      <c r="AU18" s="873"/>
      <c r="AV18" s="873"/>
      <c r="AW18" s="873"/>
      <c r="AX18" s="873"/>
      <c r="AY18" s="873"/>
      <c r="AZ18" s="873"/>
      <c r="BA18" s="873"/>
      <c r="BB18" s="873"/>
      <c r="BC18" s="873"/>
      <c r="BD18" s="873"/>
      <c r="BE18" s="873"/>
      <c r="BF18" s="873"/>
      <c r="BG18" s="873"/>
      <c r="BH18" s="873"/>
      <c r="BI18" s="873"/>
      <c r="BJ18" s="873"/>
      <c r="BK18" s="873"/>
      <c r="BL18" s="873"/>
      <c r="BM18" s="873"/>
      <c r="BN18" s="873"/>
      <c r="BO18" s="873"/>
      <c r="BP18" s="873"/>
      <c r="BQ18" s="873"/>
      <c r="BR18" s="873"/>
      <c r="BS18" s="873"/>
      <c r="BT18" s="873"/>
      <c r="BU18" s="873"/>
      <c r="BV18" s="873"/>
      <c r="BW18" s="873"/>
      <c r="BX18" s="873"/>
      <c r="BY18" s="873"/>
      <c r="BZ18" s="873"/>
      <c r="CA18" s="873"/>
      <c r="CB18" s="873"/>
      <c r="CC18" s="873"/>
      <c r="CD18" s="873"/>
      <c r="CE18" s="873"/>
      <c r="CF18" s="873"/>
      <c r="CG18" s="873"/>
      <c r="CH18" s="873"/>
      <c r="CI18" s="873"/>
      <c r="CJ18" s="873"/>
      <c r="CK18" s="873"/>
      <c r="CL18" s="873"/>
      <c r="CM18" s="873"/>
      <c r="CN18" s="873"/>
      <c r="CO18" s="873"/>
      <c r="CP18" s="873"/>
      <c r="CQ18" s="873"/>
      <c r="CR18" s="873"/>
      <c r="CS18" s="873"/>
      <c r="CT18" s="873"/>
      <c r="CU18" s="873"/>
      <c r="CV18" s="873"/>
      <c r="CW18" s="873"/>
      <c r="CX18" s="873"/>
      <c r="CY18" s="873"/>
      <c r="CZ18" s="873"/>
      <c r="DA18" s="873"/>
      <c r="DB18" s="873"/>
      <c r="DC18" s="873"/>
      <c r="DD18" s="873"/>
      <c r="DE18" s="873"/>
      <c r="DF18" s="873"/>
      <c r="DG18" s="873"/>
      <c r="DH18" s="873"/>
      <c r="DI18" s="873"/>
      <c r="DJ18" s="873"/>
      <c r="DK18" s="873"/>
      <c r="DL18" s="873"/>
      <c r="DM18" s="873"/>
      <c r="DN18" s="873"/>
      <c r="DO18" s="873"/>
      <c r="DP18" s="873"/>
      <c r="DQ18" s="873"/>
      <c r="DR18" s="873"/>
      <c r="DS18" s="873"/>
      <c r="DT18" s="873"/>
      <c r="DU18" s="873"/>
      <c r="DV18" s="873"/>
      <c r="DW18" s="873"/>
      <c r="DX18" s="873"/>
      <c r="DY18" s="873"/>
      <c r="DZ18" s="873"/>
      <c r="EA18" s="873"/>
      <c r="EB18" s="873"/>
      <c r="EC18" s="873"/>
      <c r="ED18" s="873"/>
      <c r="EE18" s="873"/>
      <c r="EF18" s="873"/>
      <c r="EG18" s="873"/>
      <c r="EH18" s="873"/>
      <c r="EI18" s="873"/>
      <c r="EJ18" s="873"/>
      <c r="EK18" s="873"/>
      <c r="EL18" s="873"/>
      <c r="EM18" s="873"/>
      <c r="EN18" s="873"/>
      <c r="EO18" s="873"/>
      <c r="EP18" s="873"/>
      <c r="EQ18" s="873"/>
      <c r="ER18" s="873"/>
      <c r="ES18" s="873"/>
      <c r="ET18" s="873"/>
      <c r="EU18" s="873"/>
      <c r="EV18" s="873"/>
      <c r="EW18" s="873"/>
      <c r="EX18" s="873"/>
      <c r="EY18" s="873"/>
      <c r="EZ18" s="873"/>
      <c r="FA18" s="873"/>
      <c r="FB18" s="873"/>
      <c r="FC18" s="873"/>
      <c r="FD18" s="873"/>
      <c r="FE18" s="873"/>
      <c r="FF18" s="873"/>
      <c r="FG18" s="873"/>
      <c r="FH18" s="873"/>
      <c r="FI18" s="873"/>
      <c r="FJ18" s="873"/>
      <c r="FK18" s="873"/>
      <c r="FL18" s="873"/>
      <c r="FM18" s="873"/>
      <c r="FN18" s="873"/>
      <c r="FO18" s="873"/>
      <c r="FP18" s="873"/>
      <c r="FQ18" s="873"/>
      <c r="FR18" s="873"/>
      <c r="FS18" s="873"/>
      <c r="FT18" s="873"/>
      <c r="FU18" s="873"/>
      <c r="FV18" s="873"/>
      <c r="FW18" s="873"/>
      <c r="FX18" s="873"/>
      <c r="FY18" s="873"/>
      <c r="FZ18" s="873"/>
      <c r="GA18" s="873"/>
      <c r="GB18" s="873"/>
      <c r="GC18" s="873"/>
      <c r="GD18" s="873"/>
      <c r="GE18" s="873"/>
      <c r="GF18" s="873"/>
      <c r="GG18" s="873"/>
      <c r="GH18" s="873"/>
      <c r="GI18" s="873"/>
      <c r="GJ18" s="873"/>
      <c r="GK18" s="873"/>
      <c r="GL18" s="873"/>
      <c r="GM18" s="873"/>
      <c r="GN18" s="873"/>
      <c r="GO18" s="873"/>
      <c r="GP18" s="873"/>
      <c r="GQ18" s="873"/>
      <c r="GR18" s="873"/>
      <c r="GS18" s="873"/>
      <c r="GT18" s="873"/>
      <c r="GU18" s="873"/>
      <c r="GV18" s="873"/>
      <c r="GW18" s="873"/>
      <c r="GX18" s="873"/>
      <c r="GY18" s="873"/>
      <c r="GZ18" s="873"/>
      <c r="HA18" s="873"/>
      <c r="HB18" s="873"/>
      <c r="HC18" s="873"/>
      <c r="HD18" s="873"/>
      <c r="HE18" s="873"/>
      <c r="HF18" s="873"/>
      <c r="HG18" s="873"/>
      <c r="HH18" s="873"/>
      <c r="HI18" s="873"/>
      <c r="HJ18" s="873"/>
      <c r="HK18" s="873"/>
      <c r="HL18" s="873"/>
      <c r="HM18" s="873"/>
      <c r="HN18" s="873"/>
      <c r="HO18" s="873"/>
      <c r="HP18" s="873"/>
      <c r="HQ18" s="873"/>
      <c r="HR18" s="873"/>
      <c r="HS18" s="873"/>
      <c r="HT18" s="873"/>
      <c r="HU18" s="873"/>
      <c r="HV18" s="873"/>
      <c r="HW18" s="873"/>
      <c r="HX18" s="873"/>
      <c r="HY18" s="873"/>
      <c r="HZ18" s="873"/>
      <c r="IA18" s="873"/>
      <c r="IB18" s="873"/>
      <c r="IC18" s="873"/>
      <c r="ID18" s="873"/>
      <c r="IE18" s="873"/>
      <c r="IF18" s="873"/>
      <c r="IG18" s="873"/>
      <c r="IH18" s="873"/>
      <c r="II18" s="873"/>
      <c r="IJ18" s="873"/>
      <c r="IK18" s="873"/>
      <c r="IL18" s="873"/>
      <c r="IM18" s="873"/>
      <c r="IN18" s="873"/>
      <c r="IO18" s="873"/>
      <c r="IP18" s="873"/>
      <c r="IQ18" s="873"/>
      <c r="IR18" s="873"/>
      <c r="IS18" s="873"/>
      <c r="IT18" s="873"/>
      <c r="IU18" s="873"/>
      <c r="IV18" s="873"/>
      <c r="IW18" s="873"/>
    </row>
    <row r="19" spans="1:257" s="876" customFormat="1" ht="168">
      <c r="A19" s="2498" t="s">
        <v>1192</v>
      </c>
      <c r="B19" s="1116" t="s">
        <v>2054</v>
      </c>
      <c r="C19" s="1117">
        <v>3</v>
      </c>
      <c r="D19" s="1117">
        <v>3</v>
      </c>
      <c r="E19" s="1118" t="s">
        <v>1349</v>
      </c>
      <c r="F19" s="1119" t="str">
        <f>IF(Scoring!I28="","",Scoring!I28)</f>
        <v/>
      </c>
      <c r="G19" s="1120"/>
      <c r="H19" s="1120"/>
      <c r="I19" s="1121" t="s">
        <v>2593</v>
      </c>
      <c r="J19" s="1122"/>
      <c r="K19" s="1122"/>
      <c r="L19" s="1123"/>
      <c r="M19" s="1124"/>
      <c r="N19" s="873"/>
      <c r="O19" s="877"/>
      <c r="P19" s="878"/>
      <c r="Q19" s="873"/>
      <c r="R19" s="873"/>
      <c r="S19" s="873"/>
      <c r="T19" s="873"/>
      <c r="U19" s="873"/>
      <c r="V19" s="873"/>
      <c r="W19" s="873"/>
      <c r="X19" s="873"/>
      <c r="Y19" s="873"/>
      <c r="Z19" s="873"/>
      <c r="AA19" s="873"/>
      <c r="AB19" s="873"/>
      <c r="AC19" s="873"/>
      <c r="AD19" s="873"/>
      <c r="AE19" s="873"/>
      <c r="AF19" s="873"/>
      <c r="AG19" s="873"/>
      <c r="AH19" s="873"/>
      <c r="AI19" s="873"/>
      <c r="AJ19" s="873"/>
      <c r="AK19" s="873"/>
      <c r="AL19" s="873"/>
      <c r="AM19" s="873"/>
      <c r="AN19" s="873"/>
      <c r="AO19" s="873"/>
      <c r="AP19" s="873"/>
      <c r="AQ19" s="873"/>
      <c r="AR19" s="873"/>
      <c r="AS19" s="873"/>
      <c r="AT19" s="873"/>
      <c r="AU19" s="873"/>
      <c r="AV19" s="873"/>
      <c r="AW19" s="873"/>
      <c r="AX19" s="873"/>
      <c r="AY19" s="873"/>
      <c r="AZ19" s="873"/>
      <c r="BA19" s="873"/>
      <c r="BB19" s="873"/>
      <c r="BC19" s="873"/>
      <c r="BD19" s="873"/>
      <c r="BE19" s="873"/>
      <c r="BF19" s="873"/>
      <c r="BG19" s="873"/>
      <c r="BH19" s="873"/>
      <c r="BI19" s="873"/>
      <c r="BJ19" s="873"/>
      <c r="BK19" s="873"/>
      <c r="BL19" s="873"/>
      <c r="BM19" s="873"/>
      <c r="BN19" s="873"/>
      <c r="BO19" s="873"/>
      <c r="BP19" s="873"/>
      <c r="BQ19" s="873"/>
      <c r="BR19" s="873"/>
      <c r="BS19" s="873"/>
      <c r="BT19" s="873"/>
      <c r="BU19" s="873"/>
      <c r="BV19" s="873"/>
      <c r="BW19" s="873"/>
      <c r="BX19" s="873"/>
      <c r="BY19" s="873"/>
      <c r="BZ19" s="873"/>
      <c r="CA19" s="873"/>
      <c r="CB19" s="873"/>
      <c r="CC19" s="873"/>
      <c r="CD19" s="873"/>
      <c r="CE19" s="873"/>
      <c r="CF19" s="873"/>
      <c r="CG19" s="873"/>
      <c r="CH19" s="873"/>
      <c r="CI19" s="873"/>
      <c r="CJ19" s="873"/>
      <c r="CK19" s="873"/>
      <c r="CL19" s="873"/>
      <c r="CM19" s="873"/>
      <c r="CN19" s="873"/>
      <c r="CO19" s="873"/>
      <c r="CP19" s="873"/>
      <c r="CQ19" s="873"/>
      <c r="CR19" s="873"/>
      <c r="CS19" s="873"/>
      <c r="CT19" s="873"/>
      <c r="CU19" s="873"/>
      <c r="CV19" s="873"/>
      <c r="CW19" s="873"/>
      <c r="CX19" s="873"/>
      <c r="CY19" s="873"/>
      <c r="CZ19" s="873"/>
      <c r="DA19" s="873"/>
      <c r="DB19" s="873"/>
      <c r="DC19" s="873"/>
      <c r="DD19" s="873"/>
      <c r="DE19" s="873"/>
      <c r="DF19" s="873"/>
      <c r="DG19" s="873"/>
      <c r="DH19" s="873"/>
      <c r="DI19" s="873"/>
      <c r="DJ19" s="873"/>
      <c r="DK19" s="873"/>
      <c r="DL19" s="873"/>
      <c r="DM19" s="873"/>
      <c r="DN19" s="873"/>
      <c r="DO19" s="873"/>
      <c r="DP19" s="873"/>
      <c r="DQ19" s="873"/>
      <c r="DR19" s="873"/>
      <c r="DS19" s="873"/>
      <c r="DT19" s="873"/>
      <c r="DU19" s="873"/>
      <c r="DV19" s="873"/>
      <c r="DW19" s="873"/>
      <c r="DX19" s="873"/>
      <c r="DY19" s="873"/>
      <c r="DZ19" s="873"/>
      <c r="EA19" s="873"/>
      <c r="EB19" s="873"/>
      <c r="EC19" s="873"/>
      <c r="ED19" s="873"/>
      <c r="EE19" s="873"/>
      <c r="EF19" s="873"/>
      <c r="EG19" s="873"/>
      <c r="EH19" s="873"/>
      <c r="EI19" s="873"/>
      <c r="EJ19" s="873"/>
      <c r="EK19" s="873"/>
      <c r="EL19" s="873"/>
      <c r="EM19" s="873"/>
      <c r="EN19" s="873"/>
      <c r="EO19" s="873"/>
      <c r="EP19" s="873"/>
      <c r="EQ19" s="873"/>
      <c r="ER19" s="873"/>
      <c r="ES19" s="873"/>
      <c r="ET19" s="873"/>
      <c r="EU19" s="873"/>
      <c r="EV19" s="873"/>
      <c r="EW19" s="873"/>
      <c r="EX19" s="873"/>
      <c r="EY19" s="873"/>
      <c r="EZ19" s="873"/>
      <c r="FA19" s="873"/>
      <c r="FB19" s="873"/>
      <c r="FC19" s="873"/>
      <c r="FD19" s="873"/>
      <c r="FE19" s="873"/>
      <c r="FF19" s="873"/>
      <c r="FG19" s="873"/>
      <c r="FH19" s="873"/>
      <c r="FI19" s="873"/>
      <c r="FJ19" s="873"/>
      <c r="FK19" s="873"/>
      <c r="FL19" s="873"/>
      <c r="FM19" s="873"/>
      <c r="FN19" s="873"/>
      <c r="FO19" s="873"/>
      <c r="FP19" s="873"/>
      <c r="FQ19" s="873"/>
      <c r="FR19" s="873"/>
      <c r="FS19" s="873"/>
      <c r="FT19" s="873"/>
      <c r="FU19" s="873"/>
      <c r="FV19" s="873"/>
      <c r="FW19" s="873"/>
      <c r="FX19" s="873"/>
      <c r="FY19" s="873"/>
      <c r="FZ19" s="873"/>
      <c r="GA19" s="873"/>
      <c r="GB19" s="873"/>
      <c r="GC19" s="873"/>
      <c r="GD19" s="873"/>
      <c r="GE19" s="873"/>
      <c r="GF19" s="873"/>
      <c r="GG19" s="873"/>
      <c r="GH19" s="873"/>
      <c r="GI19" s="873"/>
      <c r="GJ19" s="873"/>
      <c r="GK19" s="873"/>
      <c r="GL19" s="873"/>
      <c r="GM19" s="873"/>
      <c r="GN19" s="873"/>
      <c r="GO19" s="873"/>
      <c r="GP19" s="873"/>
      <c r="GQ19" s="873"/>
      <c r="GR19" s="873"/>
      <c r="GS19" s="873"/>
      <c r="GT19" s="873"/>
      <c r="GU19" s="873"/>
      <c r="GV19" s="873"/>
      <c r="GW19" s="873"/>
      <c r="GX19" s="873"/>
      <c r="GY19" s="873"/>
      <c r="GZ19" s="873"/>
      <c r="HA19" s="873"/>
      <c r="HB19" s="873"/>
      <c r="HC19" s="873"/>
      <c r="HD19" s="873"/>
      <c r="HE19" s="873"/>
      <c r="HF19" s="873"/>
      <c r="HG19" s="873"/>
      <c r="HH19" s="873"/>
      <c r="HI19" s="873"/>
      <c r="HJ19" s="873"/>
      <c r="HK19" s="873"/>
      <c r="HL19" s="873"/>
      <c r="HM19" s="873"/>
      <c r="HN19" s="873"/>
      <c r="HO19" s="873"/>
      <c r="HP19" s="873"/>
      <c r="HQ19" s="873"/>
      <c r="HR19" s="873"/>
      <c r="HS19" s="873"/>
      <c r="HT19" s="873"/>
      <c r="HU19" s="873"/>
      <c r="HV19" s="873"/>
      <c r="HW19" s="873"/>
      <c r="HX19" s="873"/>
      <c r="HY19" s="873"/>
      <c r="HZ19" s="873"/>
      <c r="IA19" s="873"/>
      <c r="IB19" s="873"/>
      <c r="IC19" s="873"/>
      <c r="ID19" s="873"/>
      <c r="IE19" s="873"/>
      <c r="IF19" s="873"/>
      <c r="IG19" s="873"/>
      <c r="IH19" s="873"/>
      <c r="II19" s="873"/>
      <c r="IJ19" s="873"/>
      <c r="IK19" s="873"/>
      <c r="IL19" s="873"/>
      <c r="IM19" s="873"/>
      <c r="IN19" s="873"/>
      <c r="IO19" s="873"/>
      <c r="IP19" s="873"/>
      <c r="IQ19" s="873"/>
      <c r="IR19" s="873"/>
      <c r="IS19" s="873"/>
      <c r="IT19" s="873"/>
      <c r="IU19" s="873"/>
      <c r="IV19" s="873"/>
      <c r="IW19" s="873"/>
    </row>
    <row r="20" spans="1:257" ht="154">
      <c r="A20" s="2507"/>
      <c r="B20" s="1125" t="s">
        <v>2058</v>
      </c>
      <c r="C20" s="1126">
        <v>3</v>
      </c>
      <c r="D20" s="1126">
        <v>3</v>
      </c>
      <c r="E20" s="1127" t="s">
        <v>2594</v>
      </c>
      <c r="F20" s="1128" t="str">
        <f>IF(Scoring!I29="","",Scoring!I29)</f>
        <v/>
      </c>
      <c r="G20" s="1129"/>
      <c r="H20" s="1129"/>
      <c r="I20" s="1130" t="s">
        <v>2595</v>
      </c>
      <c r="J20" s="1131"/>
      <c r="K20" s="1131"/>
      <c r="L20" s="1132"/>
      <c r="M20" s="1133"/>
      <c r="O20" s="867"/>
      <c r="P20" s="868"/>
    </row>
    <row r="21" spans="1:257" ht="154">
      <c r="A21" s="2507"/>
      <c r="B21" s="1125" t="s">
        <v>2060</v>
      </c>
      <c r="C21" s="1126">
        <v>3</v>
      </c>
      <c r="D21" s="1126">
        <v>3</v>
      </c>
      <c r="E21" s="1127" t="s">
        <v>1355</v>
      </c>
      <c r="F21" s="1128" t="str">
        <f>IF(Scoring!I30="","",Scoring!I30)</f>
        <v/>
      </c>
      <c r="G21" s="1129"/>
      <c r="H21" s="1129"/>
      <c r="I21" s="1130" t="s">
        <v>2596</v>
      </c>
      <c r="J21" s="1131"/>
      <c r="K21" s="1131"/>
      <c r="L21" s="1132"/>
      <c r="M21" s="1133"/>
      <c r="O21" s="867"/>
      <c r="P21" s="879"/>
    </row>
    <row r="22" spans="1:257" ht="154">
      <c r="A22" s="2507"/>
      <c r="B22" s="1125" t="s">
        <v>2062</v>
      </c>
      <c r="C22" s="1126">
        <v>4</v>
      </c>
      <c r="D22" s="1126">
        <v>5</v>
      </c>
      <c r="E22" s="1127" t="s">
        <v>1358</v>
      </c>
      <c r="F22" s="1128" t="str">
        <f>IF(Scoring!I31="","",Scoring!I31)</f>
        <v/>
      </c>
      <c r="G22" s="1129"/>
      <c r="H22" s="1129"/>
      <c r="I22" s="1130" t="s">
        <v>2597</v>
      </c>
      <c r="J22" s="1131"/>
      <c r="K22" s="1131"/>
      <c r="L22" s="1132"/>
      <c r="M22" s="1133"/>
      <c r="O22" s="867"/>
      <c r="P22" s="868"/>
    </row>
    <row r="23" spans="1:257" ht="210">
      <c r="A23" s="2507"/>
      <c r="B23" s="1125" t="s">
        <v>2064</v>
      </c>
      <c r="C23" s="1126">
        <v>4</v>
      </c>
      <c r="D23" s="1126">
        <v>5</v>
      </c>
      <c r="E23" s="1127" t="s">
        <v>1361</v>
      </c>
      <c r="F23" s="1128" t="str">
        <f>IF(Scoring!I32="","",Scoring!I32)</f>
        <v/>
      </c>
      <c r="G23" s="1129"/>
      <c r="H23" s="1129"/>
      <c r="I23" s="1130" t="s">
        <v>2598</v>
      </c>
      <c r="J23" s="1131"/>
      <c r="K23" s="1131"/>
      <c r="L23" s="1132"/>
      <c r="M23" s="1133"/>
      <c r="O23" s="867"/>
      <c r="P23" s="868"/>
    </row>
    <row r="24" spans="1:257" ht="169" thickBot="1">
      <c r="A24" s="2508"/>
      <c r="B24" s="1134" t="s">
        <v>2066</v>
      </c>
      <c r="C24" s="1143">
        <v>5</v>
      </c>
      <c r="D24" s="1143">
        <v>6</v>
      </c>
      <c r="E24" s="1136" t="s">
        <v>1364</v>
      </c>
      <c r="F24" s="1137" t="str">
        <f>IF(Scoring!I33="","",Scoring!I33)</f>
        <v/>
      </c>
      <c r="G24" s="1138"/>
      <c r="H24" s="1138"/>
      <c r="I24" s="1139" t="s">
        <v>2599</v>
      </c>
      <c r="J24" s="1140"/>
      <c r="K24" s="1140">
        <f>COUNT(F19:F24)</f>
        <v>0</v>
      </c>
      <c r="L24" s="1141">
        <f>SUM(F19:F24)</f>
        <v>0</v>
      </c>
      <c r="M24" s="1142">
        <f>IF(L24&lt;3,0,1)</f>
        <v>0</v>
      </c>
      <c r="O24" s="880"/>
      <c r="P24" s="870">
        <f>COUNTA(F19:F24)</f>
        <v>6</v>
      </c>
    </row>
    <row r="25" spans="1:257" ht="15" thickTop="1" thickBot="1">
      <c r="A25" s="861"/>
      <c r="F25" s="861"/>
      <c r="J25" s="861"/>
      <c r="K25" s="861"/>
    </row>
    <row r="26" spans="1:257" ht="71" thickTop="1">
      <c r="A26" s="2498" t="s">
        <v>1193</v>
      </c>
      <c r="B26" s="1116" t="s">
        <v>2068</v>
      </c>
      <c r="C26" s="1117">
        <v>4</v>
      </c>
      <c r="D26" s="1117">
        <v>5</v>
      </c>
      <c r="E26" s="1118" t="s">
        <v>1367</v>
      </c>
      <c r="F26" s="1119" t="str">
        <f>IF(Scoring!I35="","",Scoring!I35)</f>
        <v/>
      </c>
      <c r="G26" s="1120"/>
      <c r="H26" s="1120"/>
      <c r="I26" s="1121" t="s">
        <v>2069</v>
      </c>
      <c r="J26" s="1122"/>
      <c r="K26" s="1122"/>
      <c r="L26" s="1123"/>
      <c r="M26" s="1124"/>
      <c r="O26" s="881"/>
      <c r="P26" s="872"/>
    </row>
    <row r="27" spans="1:257" ht="84">
      <c r="A27" s="2507"/>
      <c r="B27" s="1125" t="s">
        <v>2070</v>
      </c>
      <c r="C27" s="1126">
        <v>5</v>
      </c>
      <c r="D27" s="1126">
        <v>5</v>
      </c>
      <c r="E27" s="1127" t="s">
        <v>1370</v>
      </c>
      <c r="F27" s="1128" t="str">
        <f>IF(Scoring!I36="","",Scoring!I36)</f>
        <v/>
      </c>
      <c r="G27" s="1129"/>
      <c r="H27" s="1129"/>
      <c r="I27" s="1130" t="s">
        <v>2071</v>
      </c>
      <c r="J27" s="1131"/>
      <c r="K27" s="1131"/>
      <c r="L27" s="1132"/>
      <c r="M27" s="1133"/>
      <c r="O27" s="867"/>
      <c r="P27" s="868"/>
    </row>
    <row r="28" spans="1:257" ht="57" thickBot="1">
      <c r="A28" s="2508"/>
      <c r="B28" s="1134" t="s">
        <v>2072</v>
      </c>
      <c r="C28" s="1135">
        <v>4</v>
      </c>
      <c r="D28" s="1135">
        <v>4</v>
      </c>
      <c r="E28" s="1136" t="s">
        <v>1373</v>
      </c>
      <c r="F28" s="1137" t="str">
        <f>IF(Scoring!I37="","",Scoring!I37)</f>
        <v/>
      </c>
      <c r="G28" s="1138"/>
      <c r="H28" s="1138"/>
      <c r="I28" s="1139" t="s">
        <v>2073</v>
      </c>
      <c r="J28" s="1140"/>
      <c r="K28" s="1140">
        <f>COUNT(F26:F28)</f>
        <v>0</v>
      </c>
      <c r="L28" s="1141">
        <f>SUM(F26:F28)</f>
        <v>0</v>
      </c>
      <c r="M28" s="1142">
        <f>IF(L28&lt;2,0,1)</f>
        <v>0</v>
      </c>
      <c r="O28" s="880"/>
      <c r="P28" s="870">
        <f>COUNTA(F26:F28)</f>
        <v>3</v>
      </c>
    </row>
    <row r="29" spans="1:257" ht="15" thickTop="1" thickBot="1">
      <c r="A29" s="861"/>
      <c r="F29" s="861"/>
      <c r="J29" s="861"/>
      <c r="K29" s="861"/>
    </row>
    <row r="30" spans="1:257" ht="85" thickTop="1">
      <c r="A30" s="2498" t="s">
        <v>1194</v>
      </c>
      <c r="B30" s="1144" t="s">
        <v>1617</v>
      </c>
      <c r="C30" s="1117">
        <v>4</v>
      </c>
      <c r="D30" s="1117">
        <v>5</v>
      </c>
      <c r="E30" s="1118" t="s">
        <v>1376</v>
      </c>
      <c r="F30" s="1119" t="str">
        <f>IF(Scoring!I39="","",Scoring!I39)</f>
        <v/>
      </c>
      <c r="G30" s="1120"/>
      <c r="H30" s="1120"/>
      <c r="I30" s="1121" t="s">
        <v>2600</v>
      </c>
      <c r="J30" s="1122"/>
      <c r="K30" s="1122"/>
      <c r="L30" s="1123"/>
      <c r="M30" s="1124"/>
      <c r="O30" s="881"/>
      <c r="P30" s="872"/>
    </row>
    <row r="31" spans="1:257" ht="140">
      <c r="A31" s="2499"/>
      <c r="B31" s="1145" t="s">
        <v>1618</v>
      </c>
      <c r="C31" s="1126">
        <v>3</v>
      </c>
      <c r="D31" s="1126">
        <v>4</v>
      </c>
      <c r="E31" s="1127" t="s">
        <v>1379</v>
      </c>
      <c r="F31" s="1128" t="str">
        <f>IF(Scoring!I40="","",Scoring!I40)</f>
        <v/>
      </c>
      <c r="G31" s="1129"/>
      <c r="H31" s="1129"/>
      <c r="I31" s="1130" t="s">
        <v>2601</v>
      </c>
      <c r="J31" s="1131"/>
      <c r="K31" s="1131"/>
      <c r="L31" s="1132"/>
      <c r="M31" s="1133"/>
      <c r="O31" s="867"/>
      <c r="P31" s="868"/>
    </row>
    <row r="32" spans="1:257" s="876" customFormat="1" ht="84">
      <c r="A32" s="2500"/>
      <c r="B32" s="1146" t="s">
        <v>1619</v>
      </c>
      <c r="C32" s="1135">
        <v>4</v>
      </c>
      <c r="D32" s="1135">
        <v>4</v>
      </c>
      <c r="E32" s="1136" t="s">
        <v>1382</v>
      </c>
      <c r="F32" s="1137" t="str">
        <f>IF(Scoring!I41="","",Scoring!I41)</f>
        <v/>
      </c>
      <c r="G32" s="1138"/>
      <c r="H32" s="1138"/>
      <c r="I32" s="1139" t="s">
        <v>2602</v>
      </c>
      <c r="J32" s="1140">
        <f>COUNT(F30:F32)</f>
        <v>0</v>
      </c>
      <c r="K32" s="1140"/>
      <c r="L32" s="1141">
        <f>SUM(F30:F32)</f>
        <v>0</v>
      </c>
      <c r="M32" s="1142">
        <f>IF(L32&lt;2,0,1)</f>
        <v>0</v>
      </c>
      <c r="N32" s="873"/>
      <c r="O32" s="874"/>
      <c r="P32" s="875">
        <f>COUNTA(F30:F32)</f>
        <v>3</v>
      </c>
      <c r="Q32" s="873"/>
      <c r="R32" s="873"/>
      <c r="S32" s="873"/>
      <c r="T32" s="873"/>
      <c r="U32" s="873"/>
      <c r="V32" s="873"/>
      <c r="W32" s="873"/>
      <c r="X32" s="873"/>
      <c r="Y32" s="873"/>
      <c r="Z32" s="873"/>
      <c r="AA32" s="873"/>
      <c r="AB32" s="873"/>
      <c r="AC32" s="873"/>
      <c r="AD32" s="873"/>
      <c r="AE32" s="873"/>
      <c r="AF32" s="873"/>
      <c r="AG32" s="873"/>
      <c r="AH32" s="873"/>
      <c r="AI32" s="873"/>
      <c r="AJ32" s="873"/>
      <c r="AK32" s="873"/>
      <c r="AL32" s="873"/>
      <c r="AM32" s="873"/>
      <c r="AN32" s="873"/>
      <c r="AO32" s="873"/>
      <c r="AP32" s="873"/>
      <c r="AQ32" s="873"/>
      <c r="AR32" s="873"/>
      <c r="AS32" s="873"/>
      <c r="AT32" s="873"/>
      <c r="AU32" s="873"/>
      <c r="AV32" s="873"/>
      <c r="AW32" s="873"/>
      <c r="AX32" s="873"/>
      <c r="AY32" s="873"/>
      <c r="AZ32" s="873"/>
      <c r="BA32" s="873"/>
      <c r="BB32" s="873"/>
      <c r="BC32" s="873"/>
      <c r="BD32" s="873"/>
      <c r="BE32" s="873"/>
      <c r="BF32" s="873"/>
      <c r="BG32" s="873"/>
      <c r="BH32" s="873"/>
      <c r="BI32" s="873"/>
      <c r="BJ32" s="873"/>
      <c r="BK32" s="873"/>
      <c r="BL32" s="873"/>
      <c r="BM32" s="873"/>
      <c r="BN32" s="873"/>
      <c r="BO32" s="873"/>
      <c r="BP32" s="873"/>
      <c r="BQ32" s="873"/>
      <c r="BR32" s="873"/>
      <c r="BS32" s="873"/>
      <c r="BT32" s="873"/>
      <c r="BU32" s="873"/>
      <c r="BV32" s="873"/>
      <c r="BW32" s="873"/>
      <c r="BX32" s="873"/>
      <c r="BY32" s="873"/>
      <c r="BZ32" s="873"/>
      <c r="CA32" s="873"/>
      <c r="CB32" s="873"/>
      <c r="CC32" s="873"/>
      <c r="CD32" s="873"/>
      <c r="CE32" s="873"/>
      <c r="CF32" s="873"/>
      <c r="CG32" s="873"/>
      <c r="CH32" s="873"/>
      <c r="CI32" s="873"/>
      <c r="CJ32" s="873"/>
      <c r="CK32" s="873"/>
      <c r="CL32" s="873"/>
      <c r="CM32" s="873"/>
      <c r="CN32" s="873"/>
      <c r="CO32" s="873"/>
      <c r="CP32" s="873"/>
      <c r="CQ32" s="873"/>
      <c r="CR32" s="873"/>
      <c r="CS32" s="873"/>
      <c r="CT32" s="873"/>
      <c r="CU32" s="873"/>
      <c r="CV32" s="873"/>
      <c r="CW32" s="873"/>
      <c r="CX32" s="873"/>
      <c r="CY32" s="873"/>
      <c r="CZ32" s="873"/>
      <c r="DA32" s="873"/>
      <c r="DB32" s="873"/>
      <c r="DC32" s="873"/>
      <c r="DD32" s="873"/>
      <c r="DE32" s="873"/>
      <c r="DF32" s="873"/>
      <c r="DG32" s="873"/>
      <c r="DH32" s="873"/>
      <c r="DI32" s="873"/>
      <c r="DJ32" s="873"/>
      <c r="DK32" s="873"/>
      <c r="DL32" s="873"/>
      <c r="DM32" s="873"/>
      <c r="DN32" s="873"/>
      <c r="DO32" s="873"/>
      <c r="DP32" s="873"/>
      <c r="DQ32" s="873"/>
      <c r="DR32" s="873"/>
      <c r="DS32" s="873"/>
      <c r="DT32" s="873"/>
      <c r="DU32" s="873"/>
      <c r="DV32" s="873"/>
      <c r="DW32" s="873"/>
      <c r="DX32" s="873"/>
      <c r="DY32" s="873"/>
      <c r="DZ32" s="873"/>
      <c r="EA32" s="873"/>
      <c r="EB32" s="873"/>
      <c r="EC32" s="873"/>
      <c r="ED32" s="873"/>
      <c r="EE32" s="873"/>
      <c r="EF32" s="873"/>
      <c r="EG32" s="873"/>
      <c r="EH32" s="873"/>
      <c r="EI32" s="873"/>
      <c r="EJ32" s="873"/>
      <c r="EK32" s="873"/>
      <c r="EL32" s="873"/>
      <c r="EM32" s="873"/>
      <c r="EN32" s="873"/>
      <c r="EO32" s="873"/>
      <c r="EP32" s="873"/>
      <c r="EQ32" s="873"/>
      <c r="ER32" s="873"/>
      <c r="ES32" s="873"/>
      <c r="ET32" s="873"/>
      <c r="EU32" s="873"/>
      <c r="EV32" s="873"/>
      <c r="EW32" s="873"/>
      <c r="EX32" s="873"/>
      <c r="EY32" s="873"/>
      <c r="EZ32" s="873"/>
      <c r="FA32" s="873"/>
      <c r="FB32" s="873"/>
      <c r="FC32" s="873"/>
      <c r="FD32" s="873"/>
      <c r="FE32" s="873"/>
      <c r="FF32" s="873"/>
      <c r="FG32" s="873"/>
      <c r="FH32" s="873"/>
      <c r="FI32" s="873"/>
      <c r="FJ32" s="873"/>
      <c r="FK32" s="873"/>
      <c r="FL32" s="873"/>
      <c r="FM32" s="873"/>
      <c r="FN32" s="873"/>
      <c r="FO32" s="873"/>
      <c r="FP32" s="873"/>
      <c r="FQ32" s="873"/>
      <c r="FR32" s="873"/>
      <c r="FS32" s="873"/>
      <c r="FT32" s="873"/>
      <c r="FU32" s="873"/>
      <c r="FV32" s="873"/>
      <c r="FW32" s="873"/>
      <c r="FX32" s="873"/>
      <c r="FY32" s="873"/>
      <c r="FZ32" s="873"/>
      <c r="GA32" s="873"/>
      <c r="GB32" s="873"/>
      <c r="GC32" s="873"/>
      <c r="GD32" s="873"/>
      <c r="GE32" s="873"/>
      <c r="GF32" s="873"/>
      <c r="GG32" s="873"/>
      <c r="GH32" s="873"/>
      <c r="GI32" s="873"/>
      <c r="GJ32" s="873"/>
      <c r="GK32" s="873"/>
      <c r="GL32" s="873"/>
      <c r="GM32" s="873"/>
      <c r="GN32" s="873"/>
      <c r="GO32" s="873"/>
      <c r="GP32" s="873"/>
      <c r="GQ32" s="873"/>
      <c r="GR32" s="873"/>
      <c r="GS32" s="873"/>
      <c r="GT32" s="873"/>
      <c r="GU32" s="873"/>
      <c r="GV32" s="873"/>
      <c r="GW32" s="873"/>
      <c r="GX32" s="873"/>
      <c r="GY32" s="873"/>
      <c r="GZ32" s="873"/>
      <c r="HA32" s="873"/>
      <c r="HB32" s="873"/>
      <c r="HC32" s="873"/>
      <c r="HD32" s="873"/>
      <c r="HE32" s="873"/>
      <c r="HF32" s="873"/>
      <c r="HG32" s="873"/>
      <c r="HH32" s="873"/>
      <c r="HI32" s="873"/>
      <c r="HJ32" s="873"/>
      <c r="HK32" s="873"/>
      <c r="HL32" s="873"/>
      <c r="HM32" s="873"/>
      <c r="HN32" s="873"/>
      <c r="HO32" s="873"/>
      <c r="HP32" s="873"/>
      <c r="HQ32" s="873"/>
      <c r="HR32" s="873"/>
      <c r="HS32" s="873"/>
      <c r="HT32" s="873"/>
      <c r="HU32" s="873"/>
      <c r="HV32" s="873"/>
      <c r="HW32" s="873"/>
      <c r="HX32" s="873"/>
      <c r="HY32" s="873"/>
      <c r="HZ32" s="873"/>
      <c r="IA32" s="873"/>
      <c r="IB32" s="873"/>
      <c r="IC32" s="873"/>
      <c r="ID32" s="873"/>
      <c r="IE32" s="873"/>
      <c r="IF32" s="873"/>
      <c r="IG32" s="873"/>
      <c r="IH32" s="873"/>
      <c r="II32" s="873"/>
      <c r="IJ32" s="873"/>
      <c r="IK32" s="873"/>
      <c r="IL32" s="873"/>
      <c r="IM32" s="873"/>
      <c r="IN32" s="873"/>
      <c r="IO32" s="873"/>
      <c r="IP32" s="873"/>
      <c r="IQ32" s="873"/>
      <c r="IR32" s="873"/>
      <c r="IS32" s="873"/>
      <c r="IT32" s="873"/>
      <c r="IU32" s="873"/>
      <c r="IV32" s="873"/>
      <c r="IW32" s="873"/>
    </row>
    <row r="33" spans="1:257" s="876" customFormat="1" ht="14">
      <c r="A33" s="873"/>
      <c r="B33" s="873"/>
      <c r="C33" s="873"/>
      <c r="D33" s="873"/>
      <c r="E33" s="873"/>
      <c r="F33" s="912" t="str">
        <f>IF(Scoring!I42="","",Scoring!I42)</f>
        <v/>
      </c>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73"/>
      <c r="AG33" s="873"/>
      <c r="AH33" s="873"/>
      <c r="AI33" s="873"/>
      <c r="AJ33" s="873"/>
      <c r="AK33" s="873"/>
      <c r="AL33" s="873"/>
      <c r="AM33" s="873"/>
      <c r="AN33" s="873"/>
      <c r="AO33" s="873"/>
      <c r="AP33" s="873"/>
      <c r="AQ33" s="873"/>
      <c r="AR33" s="873"/>
      <c r="AS33" s="873"/>
      <c r="AT33" s="873"/>
      <c r="AU33" s="873"/>
      <c r="AV33" s="873"/>
      <c r="AW33" s="873"/>
      <c r="AX33" s="873"/>
      <c r="AY33" s="873"/>
      <c r="AZ33" s="873"/>
      <c r="BA33" s="873"/>
      <c r="BB33" s="873"/>
      <c r="BC33" s="873"/>
      <c r="BD33" s="873"/>
      <c r="BE33" s="873"/>
      <c r="BF33" s="873"/>
      <c r="BG33" s="873"/>
      <c r="BH33" s="873"/>
      <c r="BI33" s="873"/>
      <c r="BJ33" s="873"/>
      <c r="BK33" s="873"/>
      <c r="BL33" s="873"/>
      <c r="BM33" s="873"/>
      <c r="BN33" s="873"/>
      <c r="BO33" s="873"/>
      <c r="BP33" s="873"/>
      <c r="BQ33" s="873"/>
      <c r="BR33" s="873"/>
      <c r="BS33" s="873"/>
      <c r="BT33" s="873"/>
      <c r="BU33" s="873"/>
      <c r="BV33" s="873"/>
      <c r="BW33" s="873"/>
      <c r="BX33" s="873"/>
      <c r="BY33" s="873"/>
      <c r="BZ33" s="873"/>
      <c r="CA33" s="873"/>
      <c r="CB33" s="873"/>
      <c r="CC33" s="873"/>
      <c r="CD33" s="873"/>
      <c r="CE33" s="873"/>
      <c r="CF33" s="873"/>
      <c r="CG33" s="873"/>
      <c r="CH33" s="873"/>
      <c r="CI33" s="873"/>
      <c r="CJ33" s="873"/>
      <c r="CK33" s="873"/>
      <c r="CL33" s="873"/>
      <c r="CM33" s="873"/>
      <c r="CN33" s="873"/>
      <c r="CO33" s="873"/>
      <c r="CP33" s="873"/>
      <c r="CQ33" s="873"/>
      <c r="CR33" s="873"/>
      <c r="CS33" s="873"/>
      <c r="CT33" s="873"/>
      <c r="CU33" s="873"/>
      <c r="CV33" s="873"/>
      <c r="CW33" s="873"/>
      <c r="CX33" s="873"/>
      <c r="CY33" s="873"/>
      <c r="CZ33" s="873"/>
      <c r="DA33" s="873"/>
      <c r="DB33" s="873"/>
      <c r="DC33" s="873"/>
      <c r="DD33" s="873"/>
      <c r="DE33" s="873"/>
      <c r="DF33" s="873"/>
      <c r="DG33" s="873"/>
      <c r="DH33" s="873"/>
      <c r="DI33" s="873"/>
      <c r="DJ33" s="873"/>
      <c r="DK33" s="873"/>
      <c r="DL33" s="873"/>
      <c r="DM33" s="873"/>
      <c r="DN33" s="873"/>
      <c r="DO33" s="873"/>
      <c r="DP33" s="873"/>
      <c r="DQ33" s="873"/>
      <c r="DR33" s="873"/>
      <c r="DS33" s="873"/>
      <c r="DT33" s="873"/>
      <c r="DU33" s="873"/>
      <c r="DV33" s="873"/>
      <c r="DW33" s="873"/>
      <c r="DX33" s="873"/>
      <c r="DY33" s="873"/>
      <c r="DZ33" s="873"/>
      <c r="EA33" s="873"/>
      <c r="EB33" s="873"/>
      <c r="EC33" s="873"/>
      <c r="ED33" s="873"/>
      <c r="EE33" s="873"/>
      <c r="EF33" s="873"/>
      <c r="EG33" s="873"/>
      <c r="EH33" s="873"/>
      <c r="EI33" s="873"/>
      <c r="EJ33" s="873"/>
      <c r="EK33" s="873"/>
      <c r="EL33" s="873"/>
      <c r="EM33" s="873"/>
      <c r="EN33" s="873"/>
      <c r="EO33" s="873"/>
      <c r="EP33" s="873"/>
      <c r="EQ33" s="873"/>
      <c r="ER33" s="873"/>
      <c r="ES33" s="873"/>
      <c r="ET33" s="873"/>
      <c r="EU33" s="873"/>
      <c r="EV33" s="873"/>
      <c r="EW33" s="873"/>
      <c r="EX33" s="873"/>
      <c r="EY33" s="873"/>
      <c r="EZ33" s="873"/>
      <c r="FA33" s="873"/>
      <c r="FB33" s="873"/>
      <c r="FC33" s="873"/>
      <c r="FD33" s="873"/>
      <c r="FE33" s="873"/>
      <c r="FF33" s="873"/>
      <c r="FG33" s="873"/>
      <c r="FH33" s="873"/>
      <c r="FI33" s="873"/>
      <c r="FJ33" s="873"/>
      <c r="FK33" s="873"/>
      <c r="FL33" s="873"/>
      <c r="FM33" s="873"/>
      <c r="FN33" s="873"/>
      <c r="FO33" s="873"/>
      <c r="FP33" s="873"/>
      <c r="FQ33" s="873"/>
      <c r="FR33" s="873"/>
      <c r="FS33" s="873"/>
      <c r="FT33" s="873"/>
      <c r="FU33" s="873"/>
      <c r="FV33" s="873"/>
      <c r="FW33" s="873"/>
      <c r="FX33" s="873"/>
      <c r="FY33" s="873"/>
      <c r="FZ33" s="873"/>
      <c r="GA33" s="873"/>
      <c r="GB33" s="873"/>
      <c r="GC33" s="873"/>
      <c r="GD33" s="873"/>
      <c r="GE33" s="873"/>
      <c r="GF33" s="873"/>
      <c r="GG33" s="873"/>
      <c r="GH33" s="873"/>
      <c r="GI33" s="873"/>
      <c r="GJ33" s="873"/>
      <c r="GK33" s="873"/>
      <c r="GL33" s="873"/>
      <c r="GM33" s="873"/>
      <c r="GN33" s="873"/>
      <c r="GO33" s="873"/>
      <c r="GP33" s="873"/>
      <c r="GQ33" s="873"/>
      <c r="GR33" s="873"/>
      <c r="GS33" s="873"/>
      <c r="GT33" s="873"/>
      <c r="GU33" s="873"/>
      <c r="GV33" s="873"/>
      <c r="GW33" s="873"/>
      <c r="GX33" s="873"/>
      <c r="GY33" s="873"/>
      <c r="GZ33" s="873"/>
      <c r="HA33" s="873"/>
      <c r="HB33" s="873"/>
      <c r="HC33" s="873"/>
      <c r="HD33" s="873"/>
      <c r="HE33" s="873"/>
      <c r="HF33" s="873"/>
      <c r="HG33" s="873"/>
      <c r="HH33" s="873"/>
      <c r="HI33" s="873"/>
      <c r="HJ33" s="873"/>
      <c r="HK33" s="873"/>
      <c r="HL33" s="873"/>
      <c r="HM33" s="873"/>
      <c r="HN33" s="873"/>
      <c r="HO33" s="873"/>
      <c r="HP33" s="873"/>
      <c r="HQ33" s="873"/>
      <c r="HR33" s="873"/>
      <c r="HS33" s="873"/>
      <c r="HT33" s="873"/>
      <c r="HU33" s="873"/>
      <c r="HV33" s="873"/>
      <c r="HW33" s="873"/>
      <c r="HX33" s="873"/>
      <c r="HY33" s="873"/>
      <c r="HZ33" s="873"/>
      <c r="IA33" s="873"/>
      <c r="IB33" s="873"/>
      <c r="IC33" s="873"/>
      <c r="ID33" s="873"/>
      <c r="IE33" s="873"/>
      <c r="IF33" s="873"/>
      <c r="IG33" s="873"/>
      <c r="IH33" s="873"/>
      <c r="II33" s="873"/>
      <c r="IJ33" s="873"/>
      <c r="IK33" s="873"/>
      <c r="IL33" s="873"/>
      <c r="IM33" s="873"/>
      <c r="IN33" s="873"/>
      <c r="IO33" s="873"/>
      <c r="IP33" s="873"/>
      <c r="IQ33" s="873"/>
      <c r="IR33" s="873"/>
      <c r="IS33" s="873"/>
      <c r="IT33" s="873"/>
      <c r="IU33" s="873"/>
      <c r="IV33" s="873"/>
      <c r="IW33" s="873"/>
    </row>
    <row r="34" spans="1:257" s="876" customFormat="1" ht="14">
      <c r="A34" s="873"/>
      <c r="B34" s="873"/>
      <c r="C34" s="873"/>
      <c r="D34" s="873"/>
      <c r="E34" s="873"/>
      <c r="F34" s="911" t="str">
        <f>IF(Scoring!I43="","",Scoring!I43)</f>
        <v/>
      </c>
      <c r="G34" s="873"/>
      <c r="H34" s="873"/>
      <c r="I34" s="873"/>
      <c r="J34" s="873"/>
      <c r="K34" s="873"/>
      <c r="L34" s="873"/>
      <c r="M34" s="873"/>
      <c r="N34" s="873"/>
      <c r="O34" s="873"/>
      <c r="P34" s="873"/>
      <c r="Q34" s="873"/>
      <c r="R34" s="873"/>
      <c r="S34" s="873"/>
      <c r="T34" s="873"/>
      <c r="U34" s="873"/>
      <c r="V34" s="873"/>
      <c r="W34" s="873"/>
      <c r="X34" s="873"/>
      <c r="Y34" s="873"/>
      <c r="Z34" s="873"/>
      <c r="AA34" s="873"/>
      <c r="AB34" s="873"/>
      <c r="AC34" s="873"/>
      <c r="AD34" s="873"/>
      <c r="AE34" s="873"/>
      <c r="AF34" s="873"/>
      <c r="AG34" s="873"/>
      <c r="AH34" s="873"/>
      <c r="AI34" s="873"/>
      <c r="AJ34" s="873"/>
      <c r="AK34" s="873"/>
      <c r="AL34" s="873"/>
      <c r="AM34" s="873"/>
      <c r="AN34" s="873"/>
      <c r="AO34" s="873"/>
      <c r="AP34" s="873"/>
      <c r="AQ34" s="873"/>
      <c r="AR34" s="873"/>
      <c r="AS34" s="873"/>
      <c r="AT34" s="873"/>
      <c r="AU34" s="873"/>
      <c r="AV34" s="873"/>
      <c r="AW34" s="873"/>
      <c r="AX34" s="873"/>
      <c r="AY34" s="873"/>
      <c r="AZ34" s="873"/>
      <c r="BA34" s="873"/>
      <c r="BB34" s="873"/>
      <c r="BC34" s="873"/>
      <c r="BD34" s="873"/>
      <c r="BE34" s="873"/>
      <c r="BF34" s="873"/>
      <c r="BG34" s="873"/>
      <c r="BH34" s="873"/>
      <c r="BI34" s="873"/>
      <c r="BJ34" s="873"/>
      <c r="BK34" s="873"/>
      <c r="BL34" s="873"/>
      <c r="BM34" s="873"/>
      <c r="BN34" s="873"/>
      <c r="BO34" s="873"/>
      <c r="BP34" s="873"/>
      <c r="BQ34" s="873"/>
      <c r="BR34" s="873"/>
      <c r="BS34" s="873"/>
      <c r="BT34" s="873"/>
      <c r="BU34" s="873"/>
      <c r="BV34" s="873"/>
      <c r="BW34" s="873"/>
      <c r="BX34" s="873"/>
      <c r="BY34" s="873"/>
      <c r="BZ34" s="873"/>
      <c r="CA34" s="873"/>
      <c r="CB34" s="873"/>
      <c r="CC34" s="873"/>
      <c r="CD34" s="873"/>
      <c r="CE34" s="873"/>
      <c r="CF34" s="873"/>
      <c r="CG34" s="873"/>
      <c r="CH34" s="873"/>
      <c r="CI34" s="873"/>
      <c r="CJ34" s="873"/>
      <c r="CK34" s="873"/>
      <c r="CL34" s="873"/>
      <c r="CM34" s="873"/>
      <c r="CN34" s="873"/>
      <c r="CO34" s="873"/>
      <c r="CP34" s="873"/>
      <c r="CQ34" s="873"/>
      <c r="CR34" s="873"/>
      <c r="CS34" s="873"/>
      <c r="CT34" s="873"/>
      <c r="CU34" s="873"/>
      <c r="CV34" s="873"/>
      <c r="CW34" s="873"/>
      <c r="CX34" s="873"/>
      <c r="CY34" s="873"/>
      <c r="CZ34" s="873"/>
      <c r="DA34" s="873"/>
      <c r="DB34" s="873"/>
      <c r="DC34" s="873"/>
      <c r="DD34" s="873"/>
      <c r="DE34" s="873"/>
      <c r="DF34" s="873"/>
      <c r="DG34" s="873"/>
      <c r="DH34" s="873"/>
      <c r="DI34" s="873"/>
      <c r="DJ34" s="873"/>
      <c r="DK34" s="873"/>
      <c r="DL34" s="873"/>
      <c r="DM34" s="873"/>
      <c r="DN34" s="873"/>
      <c r="DO34" s="873"/>
      <c r="DP34" s="873"/>
      <c r="DQ34" s="873"/>
      <c r="DR34" s="873"/>
      <c r="DS34" s="873"/>
      <c r="DT34" s="873"/>
      <c r="DU34" s="873"/>
      <c r="DV34" s="873"/>
      <c r="DW34" s="873"/>
      <c r="DX34" s="873"/>
      <c r="DY34" s="873"/>
      <c r="DZ34" s="873"/>
      <c r="EA34" s="873"/>
      <c r="EB34" s="873"/>
      <c r="EC34" s="873"/>
      <c r="ED34" s="873"/>
      <c r="EE34" s="873"/>
      <c r="EF34" s="873"/>
      <c r="EG34" s="873"/>
      <c r="EH34" s="873"/>
      <c r="EI34" s="873"/>
      <c r="EJ34" s="873"/>
      <c r="EK34" s="873"/>
      <c r="EL34" s="873"/>
      <c r="EM34" s="873"/>
      <c r="EN34" s="873"/>
      <c r="EO34" s="873"/>
      <c r="EP34" s="873"/>
      <c r="EQ34" s="873"/>
      <c r="ER34" s="873"/>
      <c r="ES34" s="873"/>
      <c r="ET34" s="873"/>
      <c r="EU34" s="873"/>
      <c r="EV34" s="873"/>
      <c r="EW34" s="873"/>
      <c r="EX34" s="873"/>
      <c r="EY34" s="873"/>
      <c r="EZ34" s="873"/>
      <c r="FA34" s="873"/>
      <c r="FB34" s="873"/>
      <c r="FC34" s="873"/>
      <c r="FD34" s="873"/>
      <c r="FE34" s="873"/>
      <c r="FF34" s="873"/>
      <c r="FG34" s="873"/>
      <c r="FH34" s="873"/>
      <c r="FI34" s="873"/>
      <c r="FJ34" s="873"/>
      <c r="FK34" s="873"/>
      <c r="FL34" s="873"/>
      <c r="FM34" s="873"/>
      <c r="FN34" s="873"/>
      <c r="FO34" s="873"/>
      <c r="FP34" s="873"/>
      <c r="FQ34" s="873"/>
      <c r="FR34" s="873"/>
      <c r="FS34" s="873"/>
      <c r="FT34" s="873"/>
      <c r="FU34" s="873"/>
      <c r="FV34" s="873"/>
      <c r="FW34" s="873"/>
      <c r="FX34" s="873"/>
      <c r="FY34" s="873"/>
      <c r="FZ34" s="873"/>
      <c r="GA34" s="873"/>
      <c r="GB34" s="873"/>
      <c r="GC34" s="873"/>
      <c r="GD34" s="873"/>
      <c r="GE34" s="873"/>
      <c r="GF34" s="873"/>
      <c r="GG34" s="873"/>
      <c r="GH34" s="873"/>
      <c r="GI34" s="873"/>
      <c r="GJ34" s="873"/>
      <c r="GK34" s="873"/>
      <c r="GL34" s="873"/>
      <c r="GM34" s="873"/>
      <c r="GN34" s="873"/>
      <c r="GO34" s="873"/>
      <c r="GP34" s="873"/>
      <c r="GQ34" s="873"/>
      <c r="GR34" s="873"/>
      <c r="GS34" s="873"/>
      <c r="GT34" s="873"/>
      <c r="GU34" s="873"/>
      <c r="GV34" s="873"/>
      <c r="GW34" s="873"/>
      <c r="GX34" s="873"/>
      <c r="GY34" s="873"/>
      <c r="GZ34" s="873"/>
      <c r="HA34" s="873"/>
      <c r="HB34" s="873"/>
      <c r="HC34" s="873"/>
      <c r="HD34" s="873"/>
      <c r="HE34" s="873"/>
      <c r="HF34" s="873"/>
      <c r="HG34" s="873"/>
      <c r="HH34" s="873"/>
      <c r="HI34" s="873"/>
      <c r="HJ34" s="873"/>
      <c r="HK34" s="873"/>
      <c r="HL34" s="873"/>
      <c r="HM34" s="873"/>
      <c r="HN34" s="873"/>
      <c r="HO34" s="873"/>
      <c r="HP34" s="873"/>
      <c r="HQ34" s="873"/>
      <c r="HR34" s="873"/>
      <c r="HS34" s="873"/>
      <c r="HT34" s="873"/>
      <c r="HU34" s="873"/>
      <c r="HV34" s="873"/>
      <c r="HW34" s="873"/>
      <c r="HX34" s="873"/>
      <c r="HY34" s="873"/>
      <c r="HZ34" s="873"/>
      <c r="IA34" s="873"/>
      <c r="IB34" s="873"/>
      <c r="IC34" s="873"/>
      <c r="ID34" s="873"/>
      <c r="IE34" s="873"/>
      <c r="IF34" s="873"/>
      <c r="IG34" s="873"/>
      <c r="IH34" s="873"/>
      <c r="II34" s="873"/>
      <c r="IJ34" s="873"/>
      <c r="IK34" s="873"/>
      <c r="IL34" s="873"/>
      <c r="IM34" s="873"/>
      <c r="IN34" s="873"/>
      <c r="IO34" s="873"/>
      <c r="IP34" s="873"/>
      <c r="IQ34" s="873"/>
      <c r="IR34" s="873"/>
      <c r="IS34" s="873"/>
      <c r="IT34" s="873"/>
      <c r="IU34" s="873"/>
      <c r="IV34" s="873"/>
      <c r="IW34" s="873"/>
    </row>
    <row r="35" spans="1:257" s="876" customFormat="1" ht="14">
      <c r="A35" s="873"/>
      <c r="B35" s="873"/>
      <c r="C35" s="873"/>
      <c r="D35" s="873"/>
      <c r="E35" s="873"/>
      <c r="F35" s="1108" t="str">
        <f>IF(Scoring!I44="","",Scoring!I44)</f>
        <v/>
      </c>
      <c r="G35" s="873"/>
      <c r="H35" s="873"/>
      <c r="I35" s="873"/>
      <c r="J35" s="873"/>
      <c r="K35" s="873"/>
      <c r="L35" s="873"/>
      <c r="M35" s="873"/>
      <c r="N35" s="873"/>
      <c r="O35" s="873"/>
      <c r="P35" s="873"/>
      <c r="Q35" s="873"/>
      <c r="R35" s="873"/>
      <c r="S35" s="873"/>
      <c r="T35" s="873"/>
      <c r="U35" s="873"/>
      <c r="V35" s="873"/>
      <c r="W35" s="873"/>
      <c r="X35" s="873"/>
      <c r="Y35" s="873"/>
      <c r="Z35" s="873"/>
      <c r="AA35" s="873"/>
      <c r="AB35" s="873"/>
      <c r="AC35" s="873"/>
      <c r="AD35" s="873"/>
      <c r="AE35" s="873"/>
      <c r="AF35" s="873"/>
      <c r="AG35" s="873"/>
      <c r="AH35" s="873"/>
      <c r="AI35" s="873"/>
      <c r="AJ35" s="873"/>
      <c r="AK35" s="873"/>
      <c r="AL35" s="873"/>
      <c r="AM35" s="873"/>
      <c r="AN35" s="873"/>
      <c r="AO35" s="873"/>
      <c r="AP35" s="873"/>
      <c r="AQ35" s="873"/>
      <c r="AR35" s="873"/>
      <c r="AS35" s="873"/>
      <c r="AT35" s="873"/>
      <c r="AU35" s="873"/>
      <c r="AV35" s="873"/>
      <c r="AW35" s="873"/>
      <c r="AX35" s="873"/>
      <c r="AY35" s="873"/>
      <c r="AZ35" s="873"/>
      <c r="BA35" s="873"/>
      <c r="BB35" s="873"/>
      <c r="BC35" s="873"/>
      <c r="BD35" s="873"/>
      <c r="BE35" s="873"/>
      <c r="BF35" s="873"/>
      <c r="BG35" s="873"/>
      <c r="BH35" s="873"/>
      <c r="BI35" s="873"/>
      <c r="BJ35" s="873"/>
      <c r="BK35" s="873"/>
      <c r="BL35" s="873"/>
      <c r="BM35" s="873"/>
      <c r="BN35" s="873"/>
      <c r="BO35" s="873"/>
      <c r="BP35" s="873"/>
      <c r="BQ35" s="873"/>
      <c r="BR35" s="873"/>
      <c r="BS35" s="873"/>
      <c r="BT35" s="873"/>
      <c r="BU35" s="873"/>
      <c r="BV35" s="873"/>
      <c r="BW35" s="873"/>
      <c r="BX35" s="873"/>
      <c r="BY35" s="873"/>
      <c r="BZ35" s="873"/>
      <c r="CA35" s="873"/>
      <c r="CB35" s="873"/>
      <c r="CC35" s="873"/>
      <c r="CD35" s="873"/>
      <c r="CE35" s="873"/>
      <c r="CF35" s="873"/>
      <c r="CG35" s="873"/>
      <c r="CH35" s="873"/>
      <c r="CI35" s="873"/>
      <c r="CJ35" s="873"/>
      <c r="CK35" s="873"/>
      <c r="CL35" s="873"/>
      <c r="CM35" s="873"/>
      <c r="CN35" s="873"/>
      <c r="CO35" s="873"/>
      <c r="CP35" s="873"/>
      <c r="CQ35" s="873"/>
      <c r="CR35" s="873"/>
      <c r="CS35" s="873"/>
      <c r="CT35" s="873"/>
      <c r="CU35" s="873"/>
      <c r="CV35" s="873"/>
      <c r="CW35" s="873"/>
      <c r="CX35" s="873"/>
      <c r="CY35" s="873"/>
      <c r="CZ35" s="873"/>
      <c r="DA35" s="873"/>
      <c r="DB35" s="873"/>
      <c r="DC35" s="873"/>
      <c r="DD35" s="873"/>
      <c r="DE35" s="873"/>
      <c r="DF35" s="873"/>
      <c r="DG35" s="873"/>
      <c r="DH35" s="873"/>
      <c r="DI35" s="873"/>
      <c r="DJ35" s="873"/>
      <c r="DK35" s="873"/>
      <c r="DL35" s="873"/>
      <c r="DM35" s="873"/>
      <c r="DN35" s="873"/>
      <c r="DO35" s="873"/>
      <c r="DP35" s="873"/>
      <c r="DQ35" s="873"/>
      <c r="DR35" s="873"/>
      <c r="DS35" s="873"/>
      <c r="DT35" s="873"/>
      <c r="DU35" s="873"/>
      <c r="DV35" s="873"/>
      <c r="DW35" s="873"/>
      <c r="DX35" s="873"/>
      <c r="DY35" s="873"/>
      <c r="DZ35" s="873"/>
      <c r="EA35" s="873"/>
      <c r="EB35" s="873"/>
      <c r="EC35" s="873"/>
      <c r="ED35" s="873"/>
      <c r="EE35" s="873"/>
      <c r="EF35" s="873"/>
      <c r="EG35" s="873"/>
      <c r="EH35" s="873"/>
      <c r="EI35" s="873"/>
      <c r="EJ35" s="873"/>
      <c r="EK35" s="873"/>
      <c r="EL35" s="873"/>
      <c r="EM35" s="873"/>
      <c r="EN35" s="873"/>
      <c r="EO35" s="873"/>
      <c r="EP35" s="873"/>
      <c r="EQ35" s="873"/>
      <c r="ER35" s="873"/>
      <c r="ES35" s="873"/>
      <c r="ET35" s="873"/>
      <c r="EU35" s="873"/>
      <c r="EV35" s="873"/>
      <c r="EW35" s="873"/>
      <c r="EX35" s="873"/>
      <c r="EY35" s="873"/>
      <c r="EZ35" s="873"/>
      <c r="FA35" s="873"/>
      <c r="FB35" s="873"/>
      <c r="FC35" s="873"/>
      <c r="FD35" s="873"/>
      <c r="FE35" s="873"/>
      <c r="FF35" s="873"/>
      <c r="FG35" s="873"/>
      <c r="FH35" s="873"/>
      <c r="FI35" s="873"/>
      <c r="FJ35" s="873"/>
      <c r="FK35" s="873"/>
      <c r="FL35" s="873"/>
      <c r="FM35" s="873"/>
      <c r="FN35" s="873"/>
      <c r="FO35" s="873"/>
      <c r="FP35" s="873"/>
      <c r="FQ35" s="873"/>
      <c r="FR35" s="873"/>
      <c r="FS35" s="873"/>
      <c r="FT35" s="873"/>
      <c r="FU35" s="873"/>
      <c r="FV35" s="873"/>
      <c r="FW35" s="873"/>
      <c r="FX35" s="873"/>
      <c r="FY35" s="873"/>
      <c r="FZ35" s="873"/>
      <c r="GA35" s="873"/>
      <c r="GB35" s="873"/>
      <c r="GC35" s="873"/>
      <c r="GD35" s="873"/>
      <c r="GE35" s="873"/>
      <c r="GF35" s="873"/>
      <c r="GG35" s="873"/>
      <c r="GH35" s="873"/>
      <c r="GI35" s="873"/>
      <c r="GJ35" s="873"/>
      <c r="GK35" s="873"/>
      <c r="GL35" s="873"/>
      <c r="GM35" s="873"/>
      <c r="GN35" s="873"/>
      <c r="GO35" s="873"/>
      <c r="GP35" s="873"/>
      <c r="GQ35" s="873"/>
      <c r="GR35" s="873"/>
      <c r="GS35" s="873"/>
      <c r="GT35" s="873"/>
      <c r="GU35" s="873"/>
      <c r="GV35" s="873"/>
      <c r="GW35" s="873"/>
      <c r="GX35" s="873"/>
      <c r="GY35" s="873"/>
      <c r="GZ35" s="873"/>
      <c r="HA35" s="873"/>
      <c r="HB35" s="873"/>
      <c r="HC35" s="873"/>
      <c r="HD35" s="873"/>
      <c r="HE35" s="873"/>
      <c r="HF35" s="873"/>
      <c r="HG35" s="873"/>
      <c r="HH35" s="873"/>
      <c r="HI35" s="873"/>
      <c r="HJ35" s="873"/>
      <c r="HK35" s="873"/>
      <c r="HL35" s="873"/>
      <c r="HM35" s="873"/>
      <c r="HN35" s="873"/>
      <c r="HO35" s="873"/>
      <c r="HP35" s="873"/>
      <c r="HQ35" s="873"/>
      <c r="HR35" s="873"/>
      <c r="HS35" s="873"/>
      <c r="HT35" s="873"/>
      <c r="HU35" s="873"/>
      <c r="HV35" s="873"/>
      <c r="HW35" s="873"/>
      <c r="HX35" s="873"/>
      <c r="HY35" s="873"/>
      <c r="HZ35" s="873"/>
      <c r="IA35" s="873"/>
      <c r="IB35" s="873"/>
      <c r="IC35" s="873"/>
      <c r="ID35" s="873"/>
      <c r="IE35" s="873"/>
      <c r="IF35" s="873"/>
      <c r="IG35" s="873"/>
      <c r="IH35" s="873"/>
      <c r="II35" s="873"/>
      <c r="IJ35" s="873"/>
      <c r="IK35" s="873"/>
      <c r="IL35" s="873"/>
      <c r="IM35" s="873"/>
      <c r="IN35" s="873"/>
      <c r="IO35" s="873"/>
      <c r="IP35" s="873"/>
      <c r="IQ35" s="873"/>
      <c r="IR35" s="873"/>
      <c r="IS35" s="873"/>
      <c r="IT35" s="873"/>
      <c r="IU35" s="873"/>
      <c r="IV35" s="873"/>
      <c r="IW35" s="873"/>
    </row>
    <row r="36" spans="1:257" s="876" customFormat="1" ht="112">
      <c r="A36" s="2498" t="s">
        <v>2077</v>
      </c>
      <c r="B36" s="1144" t="s">
        <v>1620</v>
      </c>
      <c r="C36" s="1117">
        <v>4</v>
      </c>
      <c r="D36" s="1117">
        <v>6</v>
      </c>
      <c r="E36" s="1118" t="s">
        <v>1383</v>
      </c>
      <c r="F36" s="1119" t="str">
        <f>IF(Scoring!I45="","",Scoring!I45)</f>
        <v/>
      </c>
      <c r="G36" s="1120"/>
      <c r="H36" s="1120"/>
      <c r="I36" s="1121" t="s">
        <v>2078</v>
      </c>
      <c r="J36" s="1122"/>
      <c r="K36" s="1122"/>
      <c r="L36" s="1123"/>
      <c r="M36" s="1124"/>
      <c r="N36" s="873"/>
      <c r="O36" s="877"/>
      <c r="P36" s="878"/>
      <c r="Q36" s="873"/>
      <c r="R36" s="873"/>
      <c r="S36" s="873"/>
      <c r="T36" s="873"/>
      <c r="U36" s="873"/>
      <c r="V36" s="873"/>
      <c r="W36" s="873"/>
      <c r="X36" s="873"/>
      <c r="Y36" s="873"/>
      <c r="Z36" s="873"/>
      <c r="AA36" s="873"/>
      <c r="AB36" s="873"/>
      <c r="AC36" s="873"/>
      <c r="AD36" s="873"/>
      <c r="AE36" s="873"/>
      <c r="AF36" s="873"/>
      <c r="AG36" s="873"/>
      <c r="AH36" s="873"/>
      <c r="AI36" s="873"/>
      <c r="AJ36" s="873"/>
      <c r="AK36" s="873"/>
      <c r="AL36" s="873"/>
      <c r="AM36" s="873"/>
      <c r="AN36" s="873"/>
      <c r="AO36" s="873"/>
      <c r="AP36" s="873"/>
      <c r="AQ36" s="873"/>
      <c r="AR36" s="873"/>
      <c r="AS36" s="873"/>
      <c r="AT36" s="873"/>
      <c r="AU36" s="873"/>
      <c r="AV36" s="873"/>
      <c r="AW36" s="873"/>
      <c r="AX36" s="873"/>
      <c r="AY36" s="873"/>
      <c r="AZ36" s="873"/>
      <c r="BA36" s="873"/>
      <c r="BB36" s="873"/>
      <c r="BC36" s="873"/>
      <c r="BD36" s="873"/>
      <c r="BE36" s="873"/>
      <c r="BF36" s="873"/>
      <c r="BG36" s="873"/>
      <c r="BH36" s="873"/>
      <c r="BI36" s="873"/>
      <c r="BJ36" s="873"/>
      <c r="BK36" s="873"/>
      <c r="BL36" s="873"/>
      <c r="BM36" s="873"/>
      <c r="BN36" s="873"/>
      <c r="BO36" s="873"/>
      <c r="BP36" s="873"/>
      <c r="BQ36" s="873"/>
      <c r="BR36" s="873"/>
      <c r="BS36" s="873"/>
      <c r="BT36" s="873"/>
      <c r="BU36" s="873"/>
      <c r="BV36" s="873"/>
      <c r="BW36" s="873"/>
      <c r="BX36" s="873"/>
      <c r="BY36" s="873"/>
      <c r="BZ36" s="873"/>
      <c r="CA36" s="873"/>
      <c r="CB36" s="873"/>
      <c r="CC36" s="873"/>
      <c r="CD36" s="873"/>
      <c r="CE36" s="873"/>
      <c r="CF36" s="873"/>
      <c r="CG36" s="873"/>
      <c r="CH36" s="873"/>
      <c r="CI36" s="873"/>
      <c r="CJ36" s="873"/>
      <c r="CK36" s="873"/>
      <c r="CL36" s="873"/>
      <c r="CM36" s="873"/>
      <c r="CN36" s="873"/>
      <c r="CO36" s="873"/>
      <c r="CP36" s="873"/>
      <c r="CQ36" s="873"/>
      <c r="CR36" s="873"/>
      <c r="CS36" s="873"/>
      <c r="CT36" s="873"/>
      <c r="CU36" s="873"/>
      <c r="CV36" s="873"/>
      <c r="CW36" s="873"/>
      <c r="CX36" s="873"/>
      <c r="CY36" s="873"/>
      <c r="CZ36" s="873"/>
      <c r="DA36" s="873"/>
      <c r="DB36" s="873"/>
      <c r="DC36" s="873"/>
      <c r="DD36" s="873"/>
      <c r="DE36" s="873"/>
      <c r="DF36" s="873"/>
      <c r="DG36" s="873"/>
      <c r="DH36" s="873"/>
      <c r="DI36" s="873"/>
      <c r="DJ36" s="873"/>
      <c r="DK36" s="873"/>
      <c r="DL36" s="873"/>
      <c r="DM36" s="873"/>
      <c r="DN36" s="873"/>
      <c r="DO36" s="873"/>
      <c r="DP36" s="873"/>
      <c r="DQ36" s="873"/>
      <c r="DR36" s="873"/>
      <c r="DS36" s="873"/>
      <c r="DT36" s="873"/>
      <c r="DU36" s="873"/>
      <c r="DV36" s="873"/>
      <c r="DW36" s="873"/>
      <c r="DX36" s="873"/>
      <c r="DY36" s="873"/>
      <c r="DZ36" s="873"/>
      <c r="EA36" s="873"/>
      <c r="EB36" s="873"/>
      <c r="EC36" s="873"/>
      <c r="ED36" s="873"/>
      <c r="EE36" s="873"/>
      <c r="EF36" s="873"/>
      <c r="EG36" s="873"/>
      <c r="EH36" s="873"/>
      <c r="EI36" s="873"/>
      <c r="EJ36" s="873"/>
      <c r="EK36" s="873"/>
      <c r="EL36" s="873"/>
      <c r="EM36" s="873"/>
      <c r="EN36" s="873"/>
      <c r="EO36" s="873"/>
      <c r="EP36" s="873"/>
      <c r="EQ36" s="873"/>
      <c r="ER36" s="873"/>
      <c r="ES36" s="873"/>
      <c r="ET36" s="873"/>
      <c r="EU36" s="873"/>
      <c r="EV36" s="873"/>
      <c r="EW36" s="873"/>
      <c r="EX36" s="873"/>
      <c r="EY36" s="873"/>
      <c r="EZ36" s="873"/>
      <c r="FA36" s="873"/>
      <c r="FB36" s="873"/>
      <c r="FC36" s="873"/>
      <c r="FD36" s="873"/>
      <c r="FE36" s="873"/>
      <c r="FF36" s="873"/>
      <c r="FG36" s="873"/>
      <c r="FH36" s="873"/>
      <c r="FI36" s="873"/>
      <c r="FJ36" s="873"/>
      <c r="FK36" s="873"/>
      <c r="FL36" s="873"/>
      <c r="FM36" s="873"/>
      <c r="FN36" s="873"/>
      <c r="FO36" s="873"/>
      <c r="FP36" s="873"/>
      <c r="FQ36" s="873"/>
      <c r="FR36" s="873"/>
      <c r="FS36" s="873"/>
      <c r="FT36" s="873"/>
      <c r="FU36" s="873"/>
      <c r="FV36" s="873"/>
      <c r="FW36" s="873"/>
      <c r="FX36" s="873"/>
      <c r="FY36" s="873"/>
      <c r="FZ36" s="873"/>
      <c r="GA36" s="873"/>
      <c r="GB36" s="873"/>
      <c r="GC36" s="873"/>
      <c r="GD36" s="873"/>
      <c r="GE36" s="873"/>
      <c r="GF36" s="873"/>
      <c r="GG36" s="873"/>
      <c r="GH36" s="873"/>
      <c r="GI36" s="873"/>
      <c r="GJ36" s="873"/>
      <c r="GK36" s="873"/>
      <c r="GL36" s="873"/>
      <c r="GM36" s="873"/>
      <c r="GN36" s="873"/>
      <c r="GO36" s="873"/>
      <c r="GP36" s="873"/>
      <c r="GQ36" s="873"/>
      <c r="GR36" s="873"/>
      <c r="GS36" s="873"/>
      <c r="GT36" s="873"/>
      <c r="GU36" s="873"/>
      <c r="GV36" s="873"/>
      <c r="GW36" s="873"/>
      <c r="GX36" s="873"/>
      <c r="GY36" s="873"/>
      <c r="GZ36" s="873"/>
      <c r="HA36" s="873"/>
      <c r="HB36" s="873"/>
      <c r="HC36" s="873"/>
      <c r="HD36" s="873"/>
      <c r="HE36" s="873"/>
      <c r="HF36" s="873"/>
      <c r="HG36" s="873"/>
      <c r="HH36" s="873"/>
      <c r="HI36" s="873"/>
      <c r="HJ36" s="873"/>
      <c r="HK36" s="873"/>
      <c r="HL36" s="873"/>
      <c r="HM36" s="873"/>
      <c r="HN36" s="873"/>
      <c r="HO36" s="873"/>
      <c r="HP36" s="873"/>
      <c r="HQ36" s="873"/>
      <c r="HR36" s="873"/>
      <c r="HS36" s="873"/>
      <c r="HT36" s="873"/>
      <c r="HU36" s="873"/>
      <c r="HV36" s="873"/>
      <c r="HW36" s="873"/>
      <c r="HX36" s="873"/>
      <c r="HY36" s="873"/>
      <c r="HZ36" s="873"/>
      <c r="IA36" s="873"/>
      <c r="IB36" s="873"/>
      <c r="IC36" s="873"/>
      <c r="ID36" s="873"/>
      <c r="IE36" s="873"/>
      <c r="IF36" s="873"/>
      <c r="IG36" s="873"/>
      <c r="IH36" s="873"/>
      <c r="II36" s="873"/>
      <c r="IJ36" s="873"/>
      <c r="IK36" s="873"/>
      <c r="IL36" s="873"/>
      <c r="IM36" s="873"/>
      <c r="IN36" s="873"/>
      <c r="IO36" s="873"/>
      <c r="IP36" s="873"/>
      <c r="IQ36" s="873"/>
      <c r="IR36" s="873"/>
      <c r="IS36" s="873"/>
      <c r="IT36" s="873"/>
      <c r="IU36" s="873"/>
      <c r="IV36" s="873"/>
      <c r="IW36" s="873"/>
    </row>
    <row r="37" spans="1:257" ht="126">
      <c r="A37" s="2499"/>
      <c r="B37" s="1145" t="s">
        <v>1621</v>
      </c>
      <c r="C37" s="1126">
        <v>3</v>
      </c>
      <c r="D37" s="1126">
        <v>3</v>
      </c>
      <c r="E37" s="1127" t="s">
        <v>1384</v>
      </c>
      <c r="F37" s="1128" t="str">
        <f>IF(Scoring!I46="","",Scoring!I46)</f>
        <v/>
      </c>
      <c r="G37" s="1129"/>
      <c r="H37" s="1129"/>
      <c r="I37" s="1130" t="s">
        <v>2080</v>
      </c>
      <c r="J37" s="1131"/>
      <c r="K37" s="1131"/>
      <c r="L37" s="1132"/>
      <c r="M37" s="1133"/>
      <c r="O37" s="867"/>
      <c r="P37" s="868"/>
    </row>
    <row r="38" spans="1:257" ht="154">
      <c r="A38" s="2499"/>
      <c r="B38" s="1145" t="s">
        <v>1622</v>
      </c>
      <c r="C38" s="1126">
        <v>4</v>
      </c>
      <c r="D38" s="1126">
        <v>4</v>
      </c>
      <c r="E38" s="1127" t="s">
        <v>1385</v>
      </c>
      <c r="F38" s="1128" t="str">
        <f>IF(Scoring!I47="","",Scoring!I47)</f>
        <v/>
      </c>
      <c r="G38" s="1129"/>
      <c r="H38" s="1129"/>
      <c r="I38" s="1130" t="s">
        <v>2081</v>
      </c>
      <c r="J38" s="1131"/>
      <c r="K38" s="1131"/>
      <c r="L38" s="1132"/>
      <c r="M38" s="1133"/>
      <c r="O38" s="867"/>
      <c r="P38" s="868"/>
    </row>
    <row r="39" spans="1:257" ht="84">
      <c r="A39" s="2499"/>
      <c r="B39" s="1145" t="s">
        <v>1623</v>
      </c>
      <c r="C39" s="1126">
        <v>4</v>
      </c>
      <c r="D39" s="1126">
        <v>4</v>
      </c>
      <c r="E39" s="1127" t="s">
        <v>1386</v>
      </c>
      <c r="F39" s="1128" t="str">
        <f>IF(Scoring!I48="","",Scoring!I48)</f>
        <v/>
      </c>
      <c r="G39" s="1129"/>
      <c r="H39" s="1129"/>
      <c r="I39" s="1130" t="s">
        <v>2082</v>
      </c>
      <c r="J39" s="1131"/>
      <c r="K39" s="1131"/>
      <c r="L39" s="1132"/>
      <c r="M39" s="1133"/>
      <c r="O39" s="867"/>
      <c r="P39" s="868"/>
    </row>
    <row r="40" spans="1:257" s="876" customFormat="1" ht="98">
      <c r="A40" s="2500"/>
      <c r="B40" s="1146" t="s">
        <v>1624</v>
      </c>
      <c r="C40" s="1135">
        <v>4</v>
      </c>
      <c r="D40" s="1135">
        <v>6</v>
      </c>
      <c r="E40" s="1136" t="s">
        <v>1387</v>
      </c>
      <c r="F40" s="1137" t="str">
        <f>IF(Scoring!I49="","",Scoring!I49)</f>
        <v/>
      </c>
      <c r="G40" s="1138"/>
      <c r="H40" s="1138"/>
      <c r="I40" s="1139" t="s">
        <v>2083</v>
      </c>
      <c r="J40" s="1140">
        <f>COUNT(F36:F40)</f>
        <v>0</v>
      </c>
      <c r="K40" s="1140"/>
      <c r="L40" s="1141">
        <f>SUM(F36:F40)</f>
        <v>0</v>
      </c>
      <c r="M40" s="1142">
        <f>IF(L40&lt;3,0,1)</f>
        <v>0</v>
      </c>
      <c r="N40" s="873"/>
      <c r="O40" s="874"/>
      <c r="P40" s="875">
        <f>COUNTA(F36:F40)</f>
        <v>5</v>
      </c>
      <c r="Q40" s="873"/>
      <c r="R40" s="873"/>
      <c r="S40" s="873"/>
      <c r="T40" s="873"/>
      <c r="U40" s="873"/>
      <c r="V40" s="873"/>
      <c r="W40" s="873"/>
      <c r="X40" s="873"/>
      <c r="Y40" s="873"/>
      <c r="Z40" s="873"/>
      <c r="AA40" s="873"/>
      <c r="AB40" s="873"/>
      <c r="AC40" s="873"/>
      <c r="AD40" s="873"/>
      <c r="AE40" s="873"/>
      <c r="AF40" s="873"/>
      <c r="AG40" s="873"/>
      <c r="AH40" s="873"/>
      <c r="AI40" s="873"/>
      <c r="AJ40" s="873"/>
      <c r="AK40" s="873"/>
      <c r="AL40" s="873"/>
      <c r="AM40" s="873"/>
      <c r="AN40" s="873"/>
      <c r="AO40" s="873"/>
      <c r="AP40" s="873"/>
      <c r="AQ40" s="873"/>
      <c r="AR40" s="873"/>
      <c r="AS40" s="873"/>
      <c r="AT40" s="873"/>
      <c r="AU40" s="873"/>
      <c r="AV40" s="873"/>
      <c r="AW40" s="873"/>
      <c r="AX40" s="873"/>
      <c r="AY40" s="873"/>
      <c r="AZ40" s="873"/>
      <c r="BA40" s="873"/>
      <c r="BB40" s="873"/>
      <c r="BC40" s="873"/>
      <c r="BD40" s="873"/>
      <c r="BE40" s="873"/>
      <c r="BF40" s="873"/>
      <c r="BG40" s="873"/>
      <c r="BH40" s="873"/>
      <c r="BI40" s="873"/>
      <c r="BJ40" s="873"/>
      <c r="BK40" s="873"/>
      <c r="BL40" s="873"/>
      <c r="BM40" s="873"/>
      <c r="BN40" s="873"/>
      <c r="BO40" s="873"/>
      <c r="BP40" s="873"/>
      <c r="BQ40" s="873"/>
      <c r="BR40" s="873"/>
      <c r="BS40" s="873"/>
      <c r="BT40" s="873"/>
      <c r="BU40" s="873"/>
      <c r="BV40" s="873"/>
      <c r="BW40" s="873"/>
      <c r="BX40" s="873"/>
      <c r="BY40" s="873"/>
      <c r="BZ40" s="873"/>
      <c r="CA40" s="873"/>
      <c r="CB40" s="873"/>
      <c r="CC40" s="873"/>
      <c r="CD40" s="873"/>
      <c r="CE40" s="873"/>
      <c r="CF40" s="873"/>
      <c r="CG40" s="873"/>
      <c r="CH40" s="873"/>
      <c r="CI40" s="873"/>
      <c r="CJ40" s="873"/>
      <c r="CK40" s="873"/>
      <c r="CL40" s="873"/>
      <c r="CM40" s="873"/>
      <c r="CN40" s="873"/>
      <c r="CO40" s="873"/>
      <c r="CP40" s="873"/>
      <c r="CQ40" s="873"/>
      <c r="CR40" s="873"/>
      <c r="CS40" s="873"/>
      <c r="CT40" s="873"/>
      <c r="CU40" s="873"/>
      <c r="CV40" s="873"/>
      <c r="CW40" s="873"/>
      <c r="CX40" s="873"/>
      <c r="CY40" s="873"/>
      <c r="CZ40" s="873"/>
      <c r="DA40" s="873"/>
      <c r="DB40" s="873"/>
      <c r="DC40" s="873"/>
      <c r="DD40" s="873"/>
      <c r="DE40" s="873"/>
      <c r="DF40" s="873"/>
      <c r="DG40" s="873"/>
      <c r="DH40" s="873"/>
      <c r="DI40" s="873"/>
      <c r="DJ40" s="873"/>
      <c r="DK40" s="873"/>
      <c r="DL40" s="873"/>
      <c r="DM40" s="873"/>
      <c r="DN40" s="873"/>
      <c r="DO40" s="873"/>
      <c r="DP40" s="873"/>
      <c r="DQ40" s="873"/>
      <c r="DR40" s="873"/>
      <c r="DS40" s="873"/>
      <c r="DT40" s="873"/>
      <c r="DU40" s="873"/>
      <c r="DV40" s="873"/>
      <c r="DW40" s="873"/>
      <c r="DX40" s="873"/>
      <c r="DY40" s="873"/>
      <c r="DZ40" s="873"/>
      <c r="EA40" s="873"/>
      <c r="EB40" s="873"/>
      <c r="EC40" s="873"/>
      <c r="ED40" s="873"/>
      <c r="EE40" s="873"/>
      <c r="EF40" s="873"/>
      <c r="EG40" s="873"/>
      <c r="EH40" s="873"/>
      <c r="EI40" s="873"/>
      <c r="EJ40" s="873"/>
      <c r="EK40" s="873"/>
      <c r="EL40" s="873"/>
      <c r="EM40" s="873"/>
      <c r="EN40" s="873"/>
      <c r="EO40" s="873"/>
      <c r="EP40" s="873"/>
      <c r="EQ40" s="873"/>
      <c r="ER40" s="873"/>
      <c r="ES40" s="873"/>
      <c r="ET40" s="873"/>
      <c r="EU40" s="873"/>
      <c r="EV40" s="873"/>
      <c r="EW40" s="873"/>
      <c r="EX40" s="873"/>
      <c r="EY40" s="873"/>
      <c r="EZ40" s="873"/>
      <c r="FA40" s="873"/>
      <c r="FB40" s="873"/>
      <c r="FC40" s="873"/>
      <c r="FD40" s="873"/>
      <c r="FE40" s="873"/>
      <c r="FF40" s="873"/>
      <c r="FG40" s="873"/>
      <c r="FH40" s="873"/>
      <c r="FI40" s="873"/>
      <c r="FJ40" s="873"/>
      <c r="FK40" s="873"/>
      <c r="FL40" s="873"/>
      <c r="FM40" s="873"/>
      <c r="FN40" s="873"/>
      <c r="FO40" s="873"/>
      <c r="FP40" s="873"/>
      <c r="FQ40" s="873"/>
      <c r="FR40" s="873"/>
      <c r="FS40" s="873"/>
      <c r="FT40" s="873"/>
      <c r="FU40" s="873"/>
      <c r="FV40" s="873"/>
      <c r="FW40" s="873"/>
      <c r="FX40" s="873"/>
      <c r="FY40" s="873"/>
      <c r="FZ40" s="873"/>
      <c r="GA40" s="873"/>
      <c r="GB40" s="873"/>
      <c r="GC40" s="873"/>
      <c r="GD40" s="873"/>
      <c r="GE40" s="873"/>
      <c r="GF40" s="873"/>
      <c r="GG40" s="873"/>
      <c r="GH40" s="873"/>
      <c r="GI40" s="873"/>
      <c r="GJ40" s="873"/>
      <c r="GK40" s="873"/>
      <c r="GL40" s="873"/>
      <c r="GM40" s="873"/>
      <c r="GN40" s="873"/>
      <c r="GO40" s="873"/>
      <c r="GP40" s="873"/>
      <c r="GQ40" s="873"/>
      <c r="GR40" s="873"/>
      <c r="GS40" s="873"/>
      <c r="GT40" s="873"/>
      <c r="GU40" s="873"/>
      <c r="GV40" s="873"/>
      <c r="GW40" s="873"/>
      <c r="GX40" s="873"/>
      <c r="GY40" s="873"/>
      <c r="GZ40" s="873"/>
      <c r="HA40" s="873"/>
      <c r="HB40" s="873"/>
      <c r="HC40" s="873"/>
      <c r="HD40" s="873"/>
      <c r="HE40" s="873"/>
      <c r="HF40" s="873"/>
      <c r="HG40" s="873"/>
      <c r="HH40" s="873"/>
      <c r="HI40" s="873"/>
      <c r="HJ40" s="873"/>
      <c r="HK40" s="873"/>
      <c r="HL40" s="873"/>
      <c r="HM40" s="873"/>
      <c r="HN40" s="873"/>
      <c r="HO40" s="873"/>
      <c r="HP40" s="873"/>
      <c r="HQ40" s="873"/>
      <c r="HR40" s="873"/>
      <c r="HS40" s="873"/>
      <c r="HT40" s="873"/>
      <c r="HU40" s="873"/>
      <c r="HV40" s="873"/>
      <c r="HW40" s="873"/>
      <c r="HX40" s="873"/>
      <c r="HY40" s="873"/>
      <c r="HZ40" s="873"/>
      <c r="IA40" s="873"/>
      <c r="IB40" s="873"/>
      <c r="IC40" s="873"/>
      <c r="ID40" s="873"/>
      <c r="IE40" s="873"/>
      <c r="IF40" s="873"/>
      <c r="IG40" s="873"/>
      <c r="IH40" s="873"/>
      <c r="II40" s="873"/>
      <c r="IJ40" s="873"/>
      <c r="IK40" s="873"/>
      <c r="IL40" s="873"/>
      <c r="IM40" s="873"/>
      <c r="IN40" s="873"/>
      <c r="IO40" s="873"/>
      <c r="IP40" s="873"/>
      <c r="IQ40" s="873"/>
      <c r="IR40" s="873"/>
      <c r="IS40" s="873"/>
      <c r="IT40" s="873"/>
      <c r="IU40" s="873"/>
      <c r="IV40" s="873"/>
      <c r="IW40" s="873"/>
    </row>
    <row r="41" spans="1:257" s="876" customFormat="1">
      <c r="A41" s="873"/>
      <c r="B41" s="873"/>
      <c r="C41" s="873"/>
      <c r="D41" s="873"/>
      <c r="E41" s="873"/>
      <c r="F41" s="873"/>
      <c r="G41" s="873"/>
      <c r="H41" s="873"/>
      <c r="I41" s="873"/>
      <c r="J41" s="873"/>
      <c r="K41" s="873"/>
      <c r="L41" s="873"/>
      <c r="M41" s="873"/>
      <c r="N41" s="873"/>
      <c r="O41" s="873"/>
      <c r="P41" s="873"/>
      <c r="Q41" s="873"/>
      <c r="R41" s="873"/>
      <c r="S41" s="873"/>
      <c r="T41" s="873"/>
      <c r="U41" s="873"/>
      <c r="V41" s="873"/>
      <c r="W41" s="873"/>
      <c r="X41" s="873"/>
      <c r="Y41" s="873"/>
      <c r="Z41" s="873"/>
      <c r="AA41" s="873"/>
      <c r="AB41" s="873"/>
      <c r="AC41" s="873"/>
      <c r="AD41" s="873"/>
      <c r="AE41" s="873"/>
      <c r="AF41" s="873"/>
      <c r="AG41" s="873"/>
      <c r="AH41" s="873"/>
      <c r="AI41" s="873"/>
      <c r="AJ41" s="873"/>
      <c r="AK41" s="873"/>
      <c r="AL41" s="873"/>
      <c r="AM41" s="873"/>
      <c r="AN41" s="873"/>
      <c r="AO41" s="873"/>
      <c r="AP41" s="873"/>
      <c r="AQ41" s="873"/>
      <c r="AR41" s="873"/>
      <c r="AS41" s="873"/>
      <c r="AT41" s="873"/>
      <c r="AU41" s="873"/>
      <c r="AV41" s="873"/>
      <c r="AW41" s="873"/>
      <c r="AX41" s="873"/>
      <c r="AY41" s="873"/>
      <c r="AZ41" s="873"/>
      <c r="BA41" s="873"/>
      <c r="BB41" s="873"/>
      <c r="BC41" s="873"/>
      <c r="BD41" s="873"/>
      <c r="BE41" s="873"/>
      <c r="BF41" s="873"/>
      <c r="BG41" s="873"/>
      <c r="BH41" s="873"/>
      <c r="BI41" s="873"/>
      <c r="BJ41" s="873"/>
      <c r="BK41" s="873"/>
      <c r="BL41" s="873"/>
      <c r="BM41" s="873"/>
      <c r="BN41" s="873"/>
      <c r="BO41" s="873"/>
      <c r="BP41" s="873"/>
      <c r="BQ41" s="873"/>
      <c r="BR41" s="873"/>
      <c r="BS41" s="873"/>
      <c r="BT41" s="873"/>
      <c r="BU41" s="873"/>
      <c r="BV41" s="873"/>
      <c r="BW41" s="873"/>
      <c r="BX41" s="873"/>
      <c r="BY41" s="873"/>
      <c r="BZ41" s="873"/>
      <c r="CA41" s="873"/>
      <c r="CB41" s="873"/>
      <c r="CC41" s="873"/>
      <c r="CD41" s="873"/>
      <c r="CE41" s="873"/>
      <c r="CF41" s="873"/>
      <c r="CG41" s="873"/>
      <c r="CH41" s="873"/>
      <c r="CI41" s="873"/>
      <c r="CJ41" s="873"/>
      <c r="CK41" s="873"/>
      <c r="CL41" s="873"/>
      <c r="CM41" s="873"/>
      <c r="CN41" s="873"/>
      <c r="CO41" s="873"/>
      <c r="CP41" s="873"/>
      <c r="CQ41" s="873"/>
      <c r="CR41" s="873"/>
      <c r="CS41" s="873"/>
      <c r="CT41" s="873"/>
      <c r="CU41" s="873"/>
      <c r="CV41" s="873"/>
      <c r="CW41" s="873"/>
      <c r="CX41" s="873"/>
      <c r="CY41" s="873"/>
      <c r="CZ41" s="873"/>
      <c r="DA41" s="873"/>
      <c r="DB41" s="873"/>
      <c r="DC41" s="873"/>
      <c r="DD41" s="873"/>
      <c r="DE41" s="873"/>
      <c r="DF41" s="873"/>
      <c r="DG41" s="873"/>
      <c r="DH41" s="873"/>
      <c r="DI41" s="873"/>
      <c r="DJ41" s="873"/>
      <c r="DK41" s="873"/>
      <c r="DL41" s="873"/>
      <c r="DM41" s="873"/>
      <c r="DN41" s="873"/>
      <c r="DO41" s="873"/>
      <c r="DP41" s="873"/>
      <c r="DQ41" s="873"/>
      <c r="DR41" s="873"/>
      <c r="DS41" s="873"/>
      <c r="DT41" s="873"/>
      <c r="DU41" s="873"/>
      <c r="DV41" s="873"/>
      <c r="DW41" s="873"/>
      <c r="DX41" s="873"/>
      <c r="DY41" s="873"/>
      <c r="DZ41" s="873"/>
      <c r="EA41" s="873"/>
      <c r="EB41" s="873"/>
      <c r="EC41" s="873"/>
      <c r="ED41" s="873"/>
      <c r="EE41" s="873"/>
      <c r="EF41" s="873"/>
      <c r="EG41" s="873"/>
      <c r="EH41" s="873"/>
      <c r="EI41" s="873"/>
      <c r="EJ41" s="873"/>
      <c r="EK41" s="873"/>
      <c r="EL41" s="873"/>
      <c r="EM41" s="873"/>
      <c r="EN41" s="873"/>
      <c r="EO41" s="873"/>
      <c r="EP41" s="873"/>
      <c r="EQ41" s="873"/>
      <c r="ER41" s="873"/>
      <c r="ES41" s="873"/>
      <c r="ET41" s="873"/>
      <c r="EU41" s="873"/>
      <c r="EV41" s="873"/>
      <c r="EW41" s="873"/>
      <c r="EX41" s="873"/>
      <c r="EY41" s="873"/>
      <c r="EZ41" s="873"/>
      <c r="FA41" s="873"/>
      <c r="FB41" s="873"/>
      <c r="FC41" s="873"/>
      <c r="FD41" s="873"/>
      <c r="FE41" s="873"/>
      <c r="FF41" s="873"/>
      <c r="FG41" s="873"/>
      <c r="FH41" s="873"/>
      <c r="FI41" s="873"/>
      <c r="FJ41" s="873"/>
      <c r="FK41" s="873"/>
      <c r="FL41" s="873"/>
      <c r="FM41" s="873"/>
      <c r="FN41" s="873"/>
      <c r="FO41" s="873"/>
      <c r="FP41" s="873"/>
      <c r="FQ41" s="873"/>
      <c r="FR41" s="873"/>
      <c r="FS41" s="873"/>
      <c r="FT41" s="873"/>
      <c r="FU41" s="873"/>
      <c r="FV41" s="873"/>
      <c r="FW41" s="873"/>
      <c r="FX41" s="873"/>
      <c r="FY41" s="873"/>
      <c r="FZ41" s="873"/>
      <c r="GA41" s="873"/>
      <c r="GB41" s="873"/>
      <c r="GC41" s="873"/>
      <c r="GD41" s="873"/>
      <c r="GE41" s="873"/>
      <c r="GF41" s="873"/>
      <c r="GG41" s="873"/>
      <c r="GH41" s="873"/>
      <c r="GI41" s="873"/>
      <c r="GJ41" s="873"/>
      <c r="GK41" s="873"/>
      <c r="GL41" s="873"/>
      <c r="GM41" s="873"/>
      <c r="GN41" s="873"/>
      <c r="GO41" s="873"/>
      <c r="GP41" s="873"/>
      <c r="GQ41" s="873"/>
      <c r="GR41" s="873"/>
      <c r="GS41" s="873"/>
      <c r="GT41" s="873"/>
      <c r="GU41" s="873"/>
      <c r="GV41" s="873"/>
      <c r="GW41" s="873"/>
      <c r="GX41" s="873"/>
      <c r="GY41" s="873"/>
      <c r="GZ41" s="873"/>
      <c r="HA41" s="873"/>
      <c r="HB41" s="873"/>
      <c r="HC41" s="873"/>
      <c r="HD41" s="873"/>
      <c r="HE41" s="873"/>
      <c r="HF41" s="873"/>
      <c r="HG41" s="873"/>
      <c r="HH41" s="873"/>
      <c r="HI41" s="873"/>
      <c r="HJ41" s="873"/>
      <c r="HK41" s="873"/>
      <c r="HL41" s="873"/>
      <c r="HM41" s="873"/>
      <c r="HN41" s="873"/>
      <c r="HO41" s="873"/>
      <c r="HP41" s="873"/>
      <c r="HQ41" s="873"/>
      <c r="HR41" s="873"/>
      <c r="HS41" s="873"/>
      <c r="HT41" s="873"/>
      <c r="HU41" s="873"/>
      <c r="HV41" s="873"/>
      <c r="HW41" s="873"/>
      <c r="HX41" s="873"/>
      <c r="HY41" s="873"/>
      <c r="HZ41" s="873"/>
      <c r="IA41" s="873"/>
      <c r="IB41" s="873"/>
      <c r="IC41" s="873"/>
      <c r="ID41" s="873"/>
      <c r="IE41" s="873"/>
      <c r="IF41" s="873"/>
      <c r="IG41" s="873"/>
      <c r="IH41" s="873"/>
      <c r="II41" s="873"/>
      <c r="IJ41" s="873"/>
      <c r="IK41" s="873"/>
      <c r="IL41" s="873"/>
      <c r="IM41" s="873"/>
      <c r="IN41" s="873"/>
      <c r="IO41" s="873"/>
      <c r="IP41" s="873"/>
      <c r="IQ41" s="873"/>
      <c r="IR41" s="873"/>
      <c r="IS41" s="873"/>
      <c r="IT41" s="873"/>
      <c r="IU41" s="873"/>
      <c r="IV41" s="873"/>
      <c r="IW41" s="873"/>
    </row>
    <row r="42" spans="1:257" s="876" customFormat="1" ht="42">
      <c r="A42" s="2498" t="s">
        <v>2084</v>
      </c>
      <c r="B42" s="1144" t="s">
        <v>1625</v>
      </c>
      <c r="C42" s="1117">
        <v>2</v>
      </c>
      <c r="D42" s="1117">
        <v>2</v>
      </c>
      <c r="E42" s="1118" t="s">
        <v>1388</v>
      </c>
      <c r="F42" s="1119" t="str">
        <f>IF(Scoring!I51="","",Scoring!I51)</f>
        <v/>
      </c>
      <c r="G42" s="1120"/>
      <c r="H42" s="1120"/>
      <c r="I42" s="1121" t="s">
        <v>2085</v>
      </c>
      <c r="J42" s="1122"/>
      <c r="K42" s="1122"/>
      <c r="L42" s="1123"/>
      <c r="M42" s="1124"/>
      <c r="N42" s="873"/>
      <c r="O42" s="877"/>
      <c r="P42" s="878"/>
      <c r="Q42" s="873"/>
      <c r="R42" s="873"/>
      <c r="S42" s="873"/>
      <c r="T42" s="873"/>
      <c r="U42" s="873"/>
      <c r="V42" s="873"/>
      <c r="W42" s="873"/>
      <c r="X42" s="873"/>
      <c r="Y42" s="873"/>
      <c r="Z42" s="873"/>
      <c r="AA42" s="873"/>
      <c r="AB42" s="873"/>
      <c r="AC42" s="873"/>
      <c r="AD42" s="873"/>
      <c r="AE42" s="873"/>
      <c r="AF42" s="873"/>
      <c r="AG42" s="873"/>
      <c r="AH42" s="873"/>
      <c r="AI42" s="873"/>
      <c r="AJ42" s="873"/>
      <c r="AK42" s="873"/>
      <c r="AL42" s="873"/>
      <c r="AM42" s="873"/>
      <c r="AN42" s="873"/>
      <c r="AO42" s="873"/>
      <c r="AP42" s="873"/>
      <c r="AQ42" s="873"/>
      <c r="AR42" s="873"/>
      <c r="AS42" s="873"/>
      <c r="AT42" s="873"/>
      <c r="AU42" s="873"/>
      <c r="AV42" s="873"/>
      <c r="AW42" s="873"/>
      <c r="AX42" s="873"/>
      <c r="AY42" s="873"/>
      <c r="AZ42" s="873"/>
      <c r="BA42" s="873"/>
      <c r="BB42" s="873"/>
      <c r="BC42" s="873"/>
      <c r="BD42" s="873"/>
      <c r="BE42" s="873"/>
      <c r="BF42" s="873"/>
      <c r="BG42" s="873"/>
      <c r="BH42" s="873"/>
      <c r="BI42" s="873"/>
      <c r="BJ42" s="873"/>
      <c r="BK42" s="873"/>
      <c r="BL42" s="873"/>
      <c r="BM42" s="873"/>
      <c r="BN42" s="873"/>
      <c r="BO42" s="873"/>
      <c r="BP42" s="873"/>
      <c r="BQ42" s="873"/>
      <c r="BR42" s="873"/>
      <c r="BS42" s="873"/>
      <c r="BT42" s="873"/>
      <c r="BU42" s="873"/>
      <c r="BV42" s="873"/>
      <c r="BW42" s="873"/>
      <c r="BX42" s="873"/>
      <c r="BY42" s="873"/>
      <c r="BZ42" s="873"/>
      <c r="CA42" s="873"/>
      <c r="CB42" s="873"/>
      <c r="CC42" s="873"/>
      <c r="CD42" s="873"/>
      <c r="CE42" s="873"/>
      <c r="CF42" s="873"/>
      <c r="CG42" s="873"/>
      <c r="CH42" s="873"/>
      <c r="CI42" s="873"/>
      <c r="CJ42" s="873"/>
      <c r="CK42" s="873"/>
      <c r="CL42" s="873"/>
      <c r="CM42" s="873"/>
      <c r="CN42" s="873"/>
      <c r="CO42" s="873"/>
      <c r="CP42" s="873"/>
      <c r="CQ42" s="873"/>
      <c r="CR42" s="873"/>
      <c r="CS42" s="873"/>
      <c r="CT42" s="873"/>
      <c r="CU42" s="873"/>
      <c r="CV42" s="873"/>
      <c r="CW42" s="873"/>
      <c r="CX42" s="873"/>
      <c r="CY42" s="873"/>
      <c r="CZ42" s="873"/>
      <c r="DA42" s="873"/>
      <c r="DB42" s="873"/>
      <c r="DC42" s="873"/>
      <c r="DD42" s="873"/>
      <c r="DE42" s="873"/>
      <c r="DF42" s="873"/>
      <c r="DG42" s="873"/>
      <c r="DH42" s="873"/>
      <c r="DI42" s="873"/>
      <c r="DJ42" s="873"/>
      <c r="DK42" s="873"/>
      <c r="DL42" s="873"/>
      <c r="DM42" s="873"/>
      <c r="DN42" s="873"/>
      <c r="DO42" s="873"/>
      <c r="DP42" s="873"/>
      <c r="DQ42" s="873"/>
      <c r="DR42" s="873"/>
      <c r="DS42" s="873"/>
      <c r="DT42" s="873"/>
      <c r="DU42" s="873"/>
      <c r="DV42" s="873"/>
      <c r="DW42" s="873"/>
      <c r="DX42" s="873"/>
      <c r="DY42" s="873"/>
      <c r="DZ42" s="873"/>
      <c r="EA42" s="873"/>
      <c r="EB42" s="873"/>
      <c r="EC42" s="873"/>
      <c r="ED42" s="873"/>
      <c r="EE42" s="873"/>
      <c r="EF42" s="873"/>
      <c r="EG42" s="873"/>
      <c r="EH42" s="873"/>
      <c r="EI42" s="873"/>
      <c r="EJ42" s="873"/>
      <c r="EK42" s="873"/>
      <c r="EL42" s="873"/>
      <c r="EM42" s="873"/>
      <c r="EN42" s="873"/>
      <c r="EO42" s="873"/>
      <c r="EP42" s="873"/>
      <c r="EQ42" s="873"/>
      <c r="ER42" s="873"/>
      <c r="ES42" s="873"/>
      <c r="ET42" s="873"/>
      <c r="EU42" s="873"/>
      <c r="EV42" s="873"/>
      <c r="EW42" s="873"/>
      <c r="EX42" s="873"/>
      <c r="EY42" s="873"/>
      <c r="EZ42" s="873"/>
      <c r="FA42" s="873"/>
      <c r="FB42" s="873"/>
      <c r="FC42" s="873"/>
      <c r="FD42" s="873"/>
      <c r="FE42" s="873"/>
      <c r="FF42" s="873"/>
      <c r="FG42" s="873"/>
      <c r="FH42" s="873"/>
      <c r="FI42" s="873"/>
      <c r="FJ42" s="873"/>
      <c r="FK42" s="873"/>
      <c r="FL42" s="873"/>
      <c r="FM42" s="873"/>
      <c r="FN42" s="873"/>
      <c r="FO42" s="873"/>
      <c r="FP42" s="873"/>
      <c r="FQ42" s="873"/>
      <c r="FR42" s="873"/>
      <c r="FS42" s="873"/>
      <c r="FT42" s="873"/>
      <c r="FU42" s="873"/>
      <c r="FV42" s="873"/>
      <c r="FW42" s="873"/>
      <c r="FX42" s="873"/>
      <c r="FY42" s="873"/>
      <c r="FZ42" s="873"/>
      <c r="GA42" s="873"/>
      <c r="GB42" s="873"/>
      <c r="GC42" s="873"/>
      <c r="GD42" s="873"/>
      <c r="GE42" s="873"/>
      <c r="GF42" s="873"/>
      <c r="GG42" s="873"/>
      <c r="GH42" s="873"/>
      <c r="GI42" s="873"/>
      <c r="GJ42" s="873"/>
      <c r="GK42" s="873"/>
      <c r="GL42" s="873"/>
      <c r="GM42" s="873"/>
      <c r="GN42" s="873"/>
      <c r="GO42" s="873"/>
      <c r="GP42" s="873"/>
      <c r="GQ42" s="873"/>
      <c r="GR42" s="873"/>
      <c r="GS42" s="873"/>
      <c r="GT42" s="873"/>
      <c r="GU42" s="873"/>
      <c r="GV42" s="873"/>
      <c r="GW42" s="873"/>
      <c r="GX42" s="873"/>
      <c r="GY42" s="873"/>
      <c r="GZ42" s="873"/>
      <c r="HA42" s="873"/>
      <c r="HB42" s="873"/>
      <c r="HC42" s="873"/>
      <c r="HD42" s="873"/>
      <c r="HE42" s="873"/>
      <c r="HF42" s="873"/>
      <c r="HG42" s="873"/>
      <c r="HH42" s="873"/>
      <c r="HI42" s="873"/>
      <c r="HJ42" s="873"/>
      <c r="HK42" s="873"/>
      <c r="HL42" s="873"/>
      <c r="HM42" s="873"/>
      <c r="HN42" s="873"/>
      <c r="HO42" s="873"/>
      <c r="HP42" s="873"/>
      <c r="HQ42" s="873"/>
      <c r="HR42" s="873"/>
      <c r="HS42" s="873"/>
      <c r="HT42" s="873"/>
      <c r="HU42" s="873"/>
      <c r="HV42" s="873"/>
      <c r="HW42" s="873"/>
      <c r="HX42" s="873"/>
      <c r="HY42" s="873"/>
      <c r="HZ42" s="873"/>
      <c r="IA42" s="873"/>
      <c r="IB42" s="873"/>
      <c r="IC42" s="873"/>
      <c r="ID42" s="873"/>
      <c r="IE42" s="873"/>
      <c r="IF42" s="873"/>
      <c r="IG42" s="873"/>
      <c r="IH42" s="873"/>
      <c r="II42" s="873"/>
      <c r="IJ42" s="873"/>
      <c r="IK42" s="873"/>
      <c r="IL42" s="873"/>
      <c r="IM42" s="873"/>
      <c r="IN42" s="873"/>
      <c r="IO42" s="873"/>
      <c r="IP42" s="873"/>
      <c r="IQ42" s="873"/>
      <c r="IR42" s="873"/>
      <c r="IS42" s="873"/>
      <c r="IT42" s="873"/>
      <c r="IU42" s="873"/>
      <c r="IV42" s="873"/>
      <c r="IW42" s="873"/>
    </row>
    <row r="43" spans="1:257" ht="42">
      <c r="A43" s="2499"/>
      <c r="B43" s="1145" t="s">
        <v>1626</v>
      </c>
      <c r="C43" s="1126">
        <v>2</v>
      </c>
      <c r="D43" s="1126">
        <v>2</v>
      </c>
      <c r="E43" s="1127" t="s">
        <v>1389</v>
      </c>
      <c r="F43" s="1128" t="str">
        <f>IF(Scoring!I52="","",Scoring!I52)</f>
        <v/>
      </c>
      <c r="G43" s="1129"/>
      <c r="H43" s="1129"/>
      <c r="I43" s="1130" t="s">
        <v>2086</v>
      </c>
      <c r="J43" s="1131"/>
      <c r="K43" s="1131"/>
      <c r="L43" s="1132"/>
      <c r="M43" s="1133"/>
      <c r="O43" s="867"/>
      <c r="P43" s="868"/>
    </row>
    <row r="44" spans="1:257" ht="84">
      <c r="A44" s="2499"/>
      <c r="B44" s="1145" t="s">
        <v>1627</v>
      </c>
      <c r="C44" s="1126">
        <v>4</v>
      </c>
      <c r="D44" s="1126">
        <v>4</v>
      </c>
      <c r="E44" s="1127" t="s">
        <v>1390</v>
      </c>
      <c r="F44" s="1128" t="str">
        <f>IF(Scoring!I53="","",Scoring!I53)</f>
        <v/>
      </c>
      <c r="G44" s="1129"/>
      <c r="H44" s="1129"/>
      <c r="I44" s="1130" t="s">
        <v>2087</v>
      </c>
      <c r="J44" s="1131"/>
      <c r="K44" s="1131"/>
      <c r="L44" s="1132"/>
      <c r="M44" s="1133"/>
      <c r="O44" s="867"/>
      <c r="P44" s="868"/>
    </row>
    <row r="45" spans="1:257" ht="42">
      <c r="A45" s="2499"/>
      <c r="B45" s="1145" t="s">
        <v>1628</v>
      </c>
      <c r="C45" s="1126">
        <v>4</v>
      </c>
      <c r="D45" s="1126">
        <v>4</v>
      </c>
      <c r="E45" s="1127" t="s">
        <v>1391</v>
      </c>
      <c r="F45" s="1128" t="str">
        <f>IF(Scoring!I54="","",Scoring!I54)</f>
        <v/>
      </c>
      <c r="G45" s="1129"/>
      <c r="H45" s="1129"/>
      <c r="I45" s="1130" t="s">
        <v>2088</v>
      </c>
      <c r="J45" s="1131"/>
      <c r="K45" s="1131"/>
      <c r="L45" s="1132"/>
      <c r="M45" s="1133"/>
      <c r="O45" s="867"/>
      <c r="P45" s="868"/>
    </row>
    <row r="46" spans="1:257" s="876" customFormat="1" ht="42">
      <c r="A46" s="2500"/>
      <c r="B46" s="1146" t="s">
        <v>1629</v>
      </c>
      <c r="C46" s="1135">
        <v>4</v>
      </c>
      <c r="D46" s="1135">
        <v>6</v>
      </c>
      <c r="E46" s="1136" t="s">
        <v>1392</v>
      </c>
      <c r="F46" s="1137" t="str">
        <f>IF(Scoring!I55="","",Scoring!I55)</f>
        <v/>
      </c>
      <c r="G46" s="1138"/>
      <c r="H46" s="1138"/>
      <c r="I46" s="1139" t="s">
        <v>2089</v>
      </c>
      <c r="J46" s="1140">
        <f>COUNT(F42:F46)</f>
        <v>0</v>
      </c>
      <c r="K46" s="1140"/>
      <c r="L46" s="1141">
        <f>SUM(F42:F46)</f>
        <v>0</v>
      </c>
      <c r="M46" s="1142">
        <f>IF(L46&lt;3,0,1)</f>
        <v>0</v>
      </c>
      <c r="N46" s="873"/>
      <c r="O46" s="874"/>
      <c r="P46" s="875">
        <f>COUNTA(F42:F46)</f>
        <v>5</v>
      </c>
      <c r="Q46" s="873"/>
      <c r="R46" s="873"/>
      <c r="S46" s="873"/>
      <c r="T46" s="873"/>
      <c r="U46" s="873"/>
      <c r="V46" s="873"/>
      <c r="W46" s="873"/>
      <c r="X46" s="873"/>
      <c r="Y46" s="873"/>
      <c r="Z46" s="873"/>
      <c r="AA46" s="873"/>
      <c r="AB46" s="873"/>
      <c r="AC46" s="873"/>
      <c r="AD46" s="873"/>
      <c r="AE46" s="873"/>
      <c r="AF46" s="873"/>
      <c r="AG46" s="873"/>
      <c r="AH46" s="873"/>
      <c r="AI46" s="873"/>
      <c r="AJ46" s="873"/>
      <c r="AK46" s="873"/>
      <c r="AL46" s="873"/>
      <c r="AM46" s="873"/>
      <c r="AN46" s="873"/>
      <c r="AO46" s="873"/>
      <c r="AP46" s="873"/>
      <c r="AQ46" s="873"/>
      <c r="AR46" s="873"/>
      <c r="AS46" s="873"/>
      <c r="AT46" s="873"/>
      <c r="AU46" s="873"/>
      <c r="AV46" s="873"/>
      <c r="AW46" s="873"/>
      <c r="AX46" s="873"/>
      <c r="AY46" s="873"/>
      <c r="AZ46" s="873"/>
      <c r="BA46" s="873"/>
      <c r="BB46" s="873"/>
      <c r="BC46" s="873"/>
      <c r="BD46" s="873"/>
      <c r="BE46" s="873"/>
      <c r="BF46" s="873"/>
      <c r="BG46" s="873"/>
      <c r="BH46" s="873"/>
      <c r="BI46" s="873"/>
      <c r="BJ46" s="873"/>
      <c r="BK46" s="873"/>
      <c r="BL46" s="873"/>
      <c r="BM46" s="873"/>
      <c r="BN46" s="873"/>
      <c r="BO46" s="873"/>
      <c r="BP46" s="873"/>
      <c r="BQ46" s="873"/>
      <c r="BR46" s="873"/>
      <c r="BS46" s="873"/>
      <c r="BT46" s="873"/>
      <c r="BU46" s="873"/>
      <c r="BV46" s="873"/>
      <c r="BW46" s="873"/>
      <c r="BX46" s="873"/>
      <c r="BY46" s="873"/>
      <c r="BZ46" s="873"/>
      <c r="CA46" s="873"/>
      <c r="CB46" s="873"/>
      <c r="CC46" s="873"/>
      <c r="CD46" s="873"/>
      <c r="CE46" s="873"/>
      <c r="CF46" s="873"/>
      <c r="CG46" s="873"/>
      <c r="CH46" s="873"/>
      <c r="CI46" s="873"/>
      <c r="CJ46" s="873"/>
      <c r="CK46" s="873"/>
      <c r="CL46" s="873"/>
      <c r="CM46" s="873"/>
      <c r="CN46" s="873"/>
      <c r="CO46" s="873"/>
      <c r="CP46" s="873"/>
      <c r="CQ46" s="873"/>
      <c r="CR46" s="873"/>
      <c r="CS46" s="873"/>
      <c r="CT46" s="873"/>
      <c r="CU46" s="873"/>
      <c r="CV46" s="873"/>
      <c r="CW46" s="873"/>
      <c r="CX46" s="873"/>
      <c r="CY46" s="873"/>
      <c r="CZ46" s="873"/>
      <c r="DA46" s="873"/>
      <c r="DB46" s="873"/>
      <c r="DC46" s="873"/>
      <c r="DD46" s="873"/>
      <c r="DE46" s="873"/>
      <c r="DF46" s="873"/>
      <c r="DG46" s="873"/>
      <c r="DH46" s="873"/>
      <c r="DI46" s="873"/>
      <c r="DJ46" s="873"/>
      <c r="DK46" s="873"/>
      <c r="DL46" s="873"/>
      <c r="DM46" s="873"/>
      <c r="DN46" s="873"/>
      <c r="DO46" s="873"/>
      <c r="DP46" s="873"/>
      <c r="DQ46" s="873"/>
      <c r="DR46" s="873"/>
      <c r="DS46" s="873"/>
      <c r="DT46" s="873"/>
      <c r="DU46" s="873"/>
      <c r="DV46" s="873"/>
      <c r="DW46" s="873"/>
      <c r="DX46" s="873"/>
      <c r="DY46" s="873"/>
      <c r="DZ46" s="873"/>
      <c r="EA46" s="873"/>
      <c r="EB46" s="873"/>
      <c r="EC46" s="873"/>
      <c r="ED46" s="873"/>
      <c r="EE46" s="873"/>
      <c r="EF46" s="873"/>
      <c r="EG46" s="873"/>
      <c r="EH46" s="873"/>
      <c r="EI46" s="873"/>
      <c r="EJ46" s="873"/>
      <c r="EK46" s="873"/>
      <c r="EL46" s="873"/>
      <c r="EM46" s="873"/>
      <c r="EN46" s="873"/>
      <c r="EO46" s="873"/>
      <c r="EP46" s="873"/>
      <c r="EQ46" s="873"/>
      <c r="ER46" s="873"/>
      <c r="ES46" s="873"/>
      <c r="ET46" s="873"/>
      <c r="EU46" s="873"/>
      <c r="EV46" s="873"/>
      <c r="EW46" s="873"/>
      <c r="EX46" s="873"/>
      <c r="EY46" s="873"/>
      <c r="EZ46" s="873"/>
      <c r="FA46" s="873"/>
      <c r="FB46" s="873"/>
      <c r="FC46" s="873"/>
      <c r="FD46" s="873"/>
      <c r="FE46" s="873"/>
      <c r="FF46" s="873"/>
      <c r="FG46" s="873"/>
      <c r="FH46" s="873"/>
      <c r="FI46" s="873"/>
      <c r="FJ46" s="873"/>
      <c r="FK46" s="873"/>
      <c r="FL46" s="873"/>
      <c r="FM46" s="873"/>
      <c r="FN46" s="873"/>
      <c r="FO46" s="873"/>
      <c r="FP46" s="873"/>
      <c r="FQ46" s="873"/>
      <c r="FR46" s="873"/>
      <c r="FS46" s="873"/>
      <c r="FT46" s="873"/>
      <c r="FU46" s="873"/>
      <c r="FV46" s="873"/>
      <c r="FW46" s="873"/>
      <c r="FX46" s="873"/>
      <c r="FY46" s="873"/>
      <c r="FZ46" s="873"/>
      <c r="GA46" s="873"/>
      <c r="GB46" s="873"/>
      <c r="GC46" s="873"/>
      <c r="GD46" s="873"/>
      <c r="GE46" s="873"/>
      <c r="GF46" s="873"/>
      <c r="GG46" s="873"/>
      <c r="GH46" s="873"/>
      <c r="GI46" s="873"/>
      <c r="GJ46" s="873"/>
      <c r="GK46" s="873"/>
      <c r="GL46" s="873"/>
      <c r="GM46" s="873"/>
      <c r="GN46" s="873"/>
      <c r="GO46" s="873"/>
      <c r="GP46" s="873"/>
      <c r="GQ46" s="873"/>
      <c r="GR46" s="873"/>
      <c r="GS46" s="873"/>
      <c r="GT46" s="873"/>
      <c r="GU46" s="873"/>
      <c r="GV46" s="873"/>
      <c r="GW46" s="873"/>
      <c r="GX46" s="873"/>
      <c r="GY46" s="873"/>
      <c r="GZ46" s="873"/>
      <c r="HA46" s="873"/>
      <c r="HB46" s="873"/>
      <c r="HC46" s="873"/>
      <c r="HD46" s="873"/>
      <c r="HE46" s="873"/>
      <c r="HF46" s="873"/>
      <c r="HG46" s="873"/>
      <c r="HH46" s="873"/>
      <c r="HI46" s="873"/>
      <c r="HJ46" s="873"/>
      <c r="HK46" s="873"/>
      <c r="HL46" s="873"/>
      <c r="HM46" s="873"/>
      <c r="HN46" s="873"/>
      <c r="HO46" s="873"/>
      <c r="HP46" s="873"/>
      <c r="HQ46" s="873"/>
      <c r="HR46" s="873"/>
      <c r="HS46" s="873"/>
      <c r="HT46" s="873"/>
      <c r="HU46" s="873"/>
      <c r="HV46" s="873"/>
      <c r="HW46" s="873"/>
      <c r="HX46" s="873"/>
      <c r="HY46" s="873"/>
      <c r="HZ46" s="873"/>
      <c r="IA46" s="873"/>
      <c r="IB46" s="873"/>
      <c r="IC46" s="873"/>
      <c r="ID46" s="873"/>
      <c r="IE46" s="873"/>
      <c r="IF46" s="873"/>
      <c r="IG46" s="873"/>
      <c r="IH46" s="873"/>
      <c r="II46" s="873"/>
      <c r="IJ46" s="873"/>
      <c r="IK46" s="873"/>
      <c r="IL46" s="873"/>
      <c r="IM46" s="873"/>
      <c r="IN46" s="873"/>
      <c r="IO46" s="873"/>
      <c r="IP46" s="873"/>
      <c r="IQ46" s="873"/>
      <c r="IR46" s="873"/>
      <c r="IS46" s="873"/>
      <c r="IT46" s="873"/>
      <c r="IU46" s="873"/>
      <c r="IV46" s="873"/>
      <c r="IW46" s="873"/>
    </row>
    <row r="47" spans="1:257" s="876" customFormat="1">
      <c r="A47" s="913"/>
      <c r="B47" s="873"/>
      <c r="C47" s="873"/>
      <c r="D47" s="873"/>
      <c r="E47" s="873"/>
      <c r="F47" s="873"/>
      <c r="G47" s="873"/>
      <c r="H47" s="873"/>
      <c r="I47" s="873"/>
      <c r="J47" s="873"/>
      <c r="K47" s="873"/>
      <c r="L47" s="873"/>
      <c r="M47" s="873"/>
      <c r="N47" s="873"/>
      <c r="O47" s="873"/>
      <c r="P47" s="873"/>
      <c r="Q47" s="873"/>
      <c r="R47" s="873"/>
      <c r="S47" s="873"/>
      <c r="T47" s="873"/>
      <c r="U47" s="873"/>
      <c r="V47" s="873"/>
      <c r="W47" s="873"/>
      <c r="X47" s="873"/>
      <c r="Y47" s="873"/>
      <c r="Z47" s="873"/>
      <c r="AA47" s="873"/>
      <c r="AB47" s="873"/>
      <c r="AC47" s="873"/>
      <c r="AD47" s="873"/>
      <c r="AE47" s="873"/>
      <c r="AF47" s="873"/>
      <c r="AG47" s="873"/>
      <c r="AH47" s="873"/>
      <c r="AI47" s="873"/>
      <c r="AJ47" s="873"/>
      <c r="AK47" s="873"/>
      <c r="AL47" s="873"/>
      <c r="AM47" s="873"/>
      <c r="AN47" s="873"/>
      <c r="AO47" s="873"/>
      <c r="AP47" s="873"/>
      <c r="AQ47" s="873"/>
      <c r="AR47" s="873"/>
      <c r="AS47" s="873"/>
      <c r="AT47" s="873"/>
      <c r="AU47" s="873"/>
      <c r="AV47" s="873"/>
      <c r="AW47" s="873"/>
      <c r="AX47" s="873"/>
      <c r="AY47" s="873"/>
      <c r="AZ47" s="873"/>
      <c r="BA47" s="873"/>
      <c r="BB47" s="873"/>
      <c r="BC47" s="873"/>
      <c r="BD47" s="873"/>
      <c r="BE47" s="873"/>
      <c r="BF47" s="873"/>
      <c r="BG47" s="873"/>
      <c r="BH47" s="873"/>
      <c r="BI47" s="873"/>
      <c r="BJ47" s="873"/>
      <c r="BK47" s="873"/>
      <c r="BL47" s="873"/>
      <c r="BM47" s="873"/>
      <c r="BN47" s="873"/>
      <c r="BO47" s="873"/>
      <c r="BP47" s="873"/>
      <c r="BQ47" s="873"/>
      <c r="BR47" s="873"/>
      <c r="BS47" s="873"/>
      <c r="BT47" s="873"/>
      <c r="BU47" s="873"/>
      <c r="BV47" s="873"/>
      <c r="BW47" s="873"/>
      <c r="BX47" s="873"/>
      <c r="BY47" s="873"/>
      <c r="BZ47" s="873"/>
      <c r="CA47" s="873"/>
      <c r="CB47" s="873"/>
      <c r="CC47" s="873"/>
      <c r="CD47" s="873"/>
      <c r="CE47" s="873"/>
      <c r="CF47" s="873"/>
      <c r="CG47" s="873"/>
      <c r="CH47" s="873"/>
      <c r="CI47" s="873"/>
      <c r="CJ47" s="873"/>
      <c r="CK47" s="873"/>
      <c r="CL47" s="873"/>
      <c r="CM47" s="873"/>
      <c r="CN47" s="873"/>
      <c r="CO47" s="873"/>
      <c r="CP47" s="873"/>
      <c r="CQ47" s="873"/>
      <c r="CR47" s="873"/>
      <c r="CS47" s="873"/>
      <c r="CT47" s="873"/>
      <c r="CU47" s="873"/>
      <c r="CV47" s="873"/>
      <c r="CW47" s="873"/>
      <c r="CX47" s="873"/>
      <c r="CY47" s="873"/>
      <c r="CZ47" s="873"/>
      <c r="DA47" s="873"/>
      <c r="DB47" s="873"/>
      <c r="DC47" s="873"/>
      <c r="DD47" s="873"/>
      <c r="DE47" s="873"/>
      <c r="DF47" s="873"/>
      <c r="DG47" s="873"/>
      <c r="DH47" s="873"/>
      <c r="DI47" s="873"/>
      <c r="DJ47" s="873"/>
      <c r="DK47" s="873"/>
      <c r="DL47" s="873"/>
      <c r="DM47" s="873"/>
      <c r="DN47" s="873"/>
      <c r="DO47" s="873"/>
      <c r="DP47" s="873"/>
      <c r="DQ47" s="873"/>
      <c r="DR47" s="873"/>
      <c r="DS47" s="873"/>
      <c r="DT47" s="873"/>
      <c r="DU47" s="873"/>
      <c r="DV47" s="873"/>
      <c r="DW47" s="873"/>
      <c r="DX47" s="873"/>
      <c r="DY47" s="873"/>
      <c r="DZ47" s="873"/>
      <c r="EA47" s="873"/>
      <c r="EB47" s="873"/>
      <c r="EC47" s="873"/>
      <c r="ED47" s="873"/>
      <c r="EE47" s="873"/>
      <c r="EF47" s="873"/>
      <c r="EG47" s="873"/>
      <c r="EH47" s="873"/>
      <c r="EI47" s="873"/>
      <c r="EJ47" s="873"/>
      <c r="EK47" s="873"/>
      <c r="EL47" s="873"/>
      <c r="EM47" s="873"/>
      <c r="EN47" s="873"/>
      <c r="EO47" s="873"/>
      <c r="EP47" s="873"/>
      <c r="EQ47" s="873"/>
      <c r="ER47" s="873"/>
      <c r="ES47" s="873"/>
      <c r="ET47" s="873"/>
      <c r="EU47" s="873"/>
      <c r="EV47" s="873"/>
      <c r="EW47" s="873"/>
      <c r="EX47" s="873"/>
      <c r="EY47" s="873"/>
      <c r="EZ47" s="873"/>
      <c r="FA47" s="873"/>
      <c r="FB47" s="873"/>
      <c r="FC47" s="873"/>
      <c r="FD47" s="873"/>
      <c r="FE47" s="873"/>
      <c r="FF47" s="873"/>
      <c r="FG47" s="873"/>
      <c r="FH47" s="873"/>
      <c r="FI47" s="873"/>
      <c r="FJ47" s="873"/>
      <c r="FK47" s="873"/>
      <c r="FL47" s="873"/>
      <c r="FM47" s="873"/>
      <c r="FN47" s="873"/>
      <c r="FO47" s="873"/>
      <c r="FP47" s="873"/>
      <c r="FQ47" s="873"/>
      <c r="FR47" s="873"/>
      <c r="FS47" s="873"/>
      <c r="FT47" s="873"/>
      <c r="FU47" s="873"/>
      <c r="FV47" s="873"/>
      <c r="FW47" s="873"/>
      <c r="FX47" s="873"/>
      <c r="FY47" s="873"/>
      <c r="FZ47" s="873"/>
      <c r="GA47" s="873"/>
      <c r="GB47" s="873"/>
      <c r="GC47" s="873"/>
      <c r="GD47" s="873"/>
      <c r="GE47" s="873"/>
      <c r="GF47" s="873"/>
      <c r="GG47" s="873"/>
      <c r="GH47" s="873"/>
      <c r="GI47" s="873"/>
      <c r="GJ47" s="873"/>
      <c r="GK47" s="873"/>
      <c r="GL47" s="873"/>
      <c r="GM47" s="873"/>
      <c r="GN47" s="873"/>
      <c r="GO47" s="873"/>
      <c r="GP47" s="873"/>
      <c r="GQ47" s="873"/>
      <c r="GR47" s="873"/>
      <c r="GS47" s="873"/>
      <c r="GT47" s="873"/>
      <c r="GU47" s="873"/>
      <c r="GV47" s="873"/>
      <c r="GW47" s="873"/>
      <c r="GX47" s="873"/>
      <c r="GY47" s="873"/>
      <c r="GZ47" s="873"/>
      <c r="HA47" s="873"/>
      <c r="HB47" s="873"/>
      <c r="HC47" s="873"/>
      <c r="HD47" s="873"/>
      <c r="HE47" s="873"/>
      <c r="HF47" s="873"/>
      <c r="HG47" s="873"/>
      <c r="HH47" s="873"/>
      <c r="HI47" s="873"/>
      <c r="HJ47" s="873"/>
      <c r="HK47" s="873"/>
      <c r="HL47" s="873"/>
      <c r="HM47" s="873"/>
      <c r="HN47" s="873"/>
      <c r="HO47" s="873"/>
      <c r="HP47" s="873"/>
      <c r="HQ47" s="873"/>
      <c r="HR47" s="873"/>
      <c r="HS47" s="873"/>
      <c r="HT47" s="873"/>
      <c r="HU47" s="873"/>
      <c r="HV47" s="873"/>
      <c r="HW47" s="873"/>
      <c r="HX47" s="873"/>
      <c r="HY47" s="873"/>
      <c r="HZ47" s="873"/>
      <c r="IA47" s="873"/>
      <c r="IB47" s="873"/>
      <c r="IC47" s="873"/>
      <c r="ID47" s="873"/>
      <c r="IE47" s="873"/>
      <c r="IF47" s="873"/>
      <c r="IG47" s="873"/>
      <c r="IH47" s="873"/>
      <c r="II47" s="873"/>
      <c r="IJ47" s="873"/>
      <c r="IK47" s="873"/>
      <c r="IL47" s="873"/>
      <c r="IM47" s="873"/>
      <c r="IN47" s="873"/>
      <c r="IO47" s="873"/>
      <c r="IP47" s="873"/>
      <c r="IQ47" s="873"/>
      <c r="IR47" s="873"/>
      <c r="IS47" s="873"/>
      <c r="IT47" s="873"/>
      <c r="IU47" s="873"/>
      <c r="IV47" s="873"/>
      <c r="IW47" s="873"/>
    </row>
    <row r="48" spans="1:257" s="876" customFormat="1" ht="140">
      <c r="A48" s="2498" t="s">
        <v>1197</v>
      </c>
      <c r="B48" s="1144" t="s">
        <v>1630</v>
      </c>
      <c r="C48" s="1117">
        <v>5</v>
      </c>
      <c r="D48" s="1117">
        <v>6</v>
      </c>
      <c r="E48" s="1118" t="s">
        <v>1393</v>
      </c>
      <c r="F48" s="1119" t="str">
        <f>IF(Scoring!I57="","",Scoring!I57)</f>
        <v/>
      </c>
      <c r="G48" s="1120"/>
      <c r="H48" s="1120"/>
      <c r="I48" s="1121" t="s">
        <v>2091</v>
      </c>
      <c r="J48" s="1122"/>
      <c r="K48" s="1122"/>
      <c r="L48" s="1123"/>
      <c r="M48" s="1124"/>
      <c r="N48" s="873"/>
      <c r="O48" s="877"/>
      <c r="P48" s="878"/>
      <c r="Q48" s="873"/>
      <c r="R48" s="873"/>
      <c r="S48" s="873"/>
      <c r="T48" s="873"/>
      <c r="U48" s="873"/>
      <c r="V48" s="873"/>
      <c r="W48" s="873"/>
      <c r="X48" s="873"/>
      <c r="Y48" s="873"/>
      <c r="Z48" s="873"/>
      <c r="AA48" s="873"/>
      <c r="AB48" s="873"/>
      <c r="AC48" s="873"/>
      <c r="AD48" s="873"/>
      <c r="AE48" s="873"/>
      <c r="AF48" s="873"/>
      <c r="AG48" s="873"/>
      <c r="AH48" s="873"/>
      <c r="AI48" s="873"/>
      <c r="AJ48" s="873"/>
      <c r="AK48" s="873"/>
      <c r="AL48" s="873"/>
      <c r="AM48" s="873"/>
      <c r="AN48" s="873"/>
      <c r="AO48" s="873"/>
      <c r="AP48" s="873"/>
      <c r="AQ48" s="873"/>
      <c r="AR48" s="873"/>
      <c r="AS48" s="873"/>
      <c r="AT48" s="873"/>
      <c r="AU48" s="873"/>
      <c r="AV48" s="873"/>
      <c r="AW48" s="873"/>
      <c r="AX48" s="873"/>
      <c r="AY48" s="873"/>
      <c r="AZ48" s="873"/>
      <c r="BA48" s="873"/>
      <c r="BB48" s="873"/>
      <c r="BC48" s="873"/>
      <c r="BD48" s="873"/>
      <c r="BE48" s="873"/>
      <c r="BF48" s="873"/>
      <c r="BG48" s="873"/>
      <c r="BH48" s="873"/>
      <c r="BI48" s="873"/>
      <c r="BJ48" s="873"/>
      <c r="BK48" s="873"/>
      <c r="BL48" s="873"/>
      <c r="BM48" s="873"/>
      <c r="BN48" s="873"/>
      <c r="BO48" s="873"/>
      <c r="BP48" s="873"/>
      <c r="BQ48" s="873"/>
      <c r="BR48" s="873"/>
      <c r="BS48" s="873"/>
      <c r="BT48" s="873"/>
      <c r="BU48" s="873"/>
      <c r="BV48" s="873"/>
      <c r="BW48" s="873"/>
      <c r="BX48" s="873"/>
      <c r="BY48" s="873"/>
      <c r="BZ48" s="873"/>
      <c r="CA48" s="873"/>
      <c r="CB48" s="873"/>
      <c r="CC48" s="873"/>
      <c r="CD48" s="873"/>
      <c r="CE48" s="873"/>
      <c r="CF48" s="873"/>
      <c r="CG48" s="873"/>
      <c r="CH48" s="873"/>
      <c r="CI48" s="873"/>
      <c r="CJ48" s="873"/>
      <c r="CK48" s="873"/>
      <c r="CL48" s="873"/>
      <c r="CM48" s="873"/>
      <c r="CN48" s="873"/>
      <c r="CO48" s="873"/>
      <c r="CP48" s="873"/>
      <c r="CQ48" s="873"/>
      <c r="CR48" s="873"/>
      <c r="CS48" s="873"/>
      <c r="CT48" s="873"/>
      <c r="CU48" s="873"/>
      <c r="CV48" s="873"/>
      <c r="CW48" s="873"/>
      <c r="CX48" s="873"/>
      <c r="CY48" s="873"/>
      <c r="CZ48" s="873"/>
      <c r="DA48" s="873"/>
      <c r="DB48" s="873"/>
      <c r="DC48" s="873"/>
      <c r="DD48" s="873"/>
      <c r="DE48" s="873"/>
      <c r="DF48" s="873"/>
      <c r="DG48" s="873"/>
      <c r="DH48" s="873"/>
      <c r="DI48" s="873"/>
      <c r="DJ48" s="873"/>
      <c r="DK48" s="873"/>
      <c r="DL48" s="873"/>
      <c r="DM48" s="873"/>
      <c r="DN48" s="873"/>
      <c r="DO48" s="873"/>
      <c r="DP48" s="873"/>
      <c r="DQ48" s="873"/>
      <c r="DR48" s="873"/>
      <c r="DS48" s="873"/>
      <c r="DT48" s="873"/>
      <c r="DU48" s="873"/>
      <c r="DV48" s="873"/>
      <c r="DW48" s="873"/>
      <c r="DX48" s="873"/>
      <c r="DY48" s="873"/>
      <c r="DZ48" s="873"/>
      <c r="EA48" s="873"/>
      <c r="EB48" s="873"/>
      <c r="EC48" s="873"/>
      <c r="ED48" s="873"/>
      <c r="EE48" s="873"/>
      <c r="EF48" s="873"/>
      <c r="EG48" s="873"/>
      <c r="EH48" s="873"/>
      <c r="EI48" s="873"/>
      <c r="EJ48" s="873"/>
      <c r="EK48" s="873"/>
      <c r="EL48" s="873"/>
      <c r="EM48" s="873"/>
      <c r="EN48" s="873"/>
      <c r="EO48" s="873"/>
      <c r="EP48" s="873"/>
      <c r="EQ48" s="873"/>
      <c r="ER48" s="873"/>
      <c r="ES48" s="873"/>
      <c r="ET48" s="873"/>
      <c r="EU48" s="873"/>
      <c r="EV48" s="873"/>
      <c r="EW48" s="873"/>
      <c r="EX48" s="873"/>
      <c r="EY48" s="873"/>
      <c r="EZ48" s="873"/>
      <c r="FA48" s="873"/>
      <c r="FB48" s="873"/>
      <c r="FC48" s="873"/>
      <c r="FD48" s="873"/>
      <c r="FE48" s="873"/>
      <c r="FF48" s="873"/>
      <c r="FG48" s="873"/>
      <c r="FH48" s="873"/>
      <c r="FI48" s="873"/>
      <c r="FJ48" s="873"/>
      <c r="FK48" s="873"/>
      <c r="FL48" s="873"/>
      <c r="FM48" s="873"/>
      <c r="FN48" s="873"/>
      <c r="FO48" s="873"/>
      <c r="FP48" s="873"/>
      <c r="FQ48" s="873"/>
      <c r="FR48" s="873"/>
      <c r="FS48" s="873"/>
      <c r="FT48" s="873"/>
      <c r="FU48" s="873"/>
      <c r="FV48" s="873"/>
      <c r="FW48" s="873"/>
      <c r="FX48" s="873"/>
      <c r="FY48" s="873"/>
      <c r="FZ48" s="873"/>
      <c r="GA48" s="873"/>
      <c r="GB48" s="873"/>
      <c r="GC48" s="873"/>
      <c r="GD48" s="873"/>
      <c r="GE48" s="873"/>
      <c r="GF48" s="873"/>
      <c r="GG48" s="873"/>
      <c r="GH48" s="873"/>
      <c r="GI48" s="873"/>
      <c r="GJ48" s="873"/>
      <c r="GK48" s="873"/>
      <c r="GL48" s="873"/>
      <c r="GM48" s="873"/>
      <c r="GN48" s="873"/>
      <c r="GO48" s="873"/>
      <c r="GP48" s="873"/>
      <c r="GQ48" s="873"/>
      <c r="GR48" s="873"/>
      <c r="GS48" s="873"/>
      <c r="GT48" s="873"/>
      <c r="GU48" s="873"/>
      <c r="GV48" s="873"/>
      <c r="GW48" s="873"/>
      <c r="GX48" s="873"/>
      <c r="GY48" s="873"/>
      <c r="GZ48" s="873"/>
      <c r="HA48" s="873"/>
      <c r="HB48" s="873"/>
      <c r="HC48" s="873"/>
      <c r="HD48" s="873"/>
      <c r="HE48" s="873"/>
      <c r="HF48" s="873"/>
      <c r="HG48" s="873"/>
      <c r="HH48" s="873"/>
      <c r="HI48" s="873"/>
      <c r="HJ48" s="873"/>
      <c r="HK48" s="873"/>
      <c r="HL48" s="873"/>
      <c r="HM48" s="873"/>
      <c r="HN48" s="873"/>
      <c r="HO48" s="873"/>
      <c r="HP48" s="873"/>
      <c r="HQ48" s="873"/>
      <c r="HR48" s="873"/>
      <c r="HS48" s="873"/>
      <c r="HT48" s="873"/>
      <c r="HU48" s="873"/>
      <c r="HV48" s="873"/>
      <c r="HW48" s="873"/>
      <c r="HX48" s="873"/>
      <c r="HY48" s="873"/>
      <c r="HZ48" s="873"/>
      <c r="IA48" s="873"/>
      <c r="IB48" s="873"/>
      <c r="IC48" s="873"/>
      <c r="ID48" s="873"/>
      <c r="IE48" s="873"/>
      <c r="IF48" s="873"/>
      <c r="IG48" s="873"/>
      <c r="IH48" s="873"/>
      <c r="II48" s="873"/>
      <c r="IJ48" s="873"/>
      <c r="IK48" s="873"/>
      <c r="IL48" s="873"/>
      <c r="IM48" s="873"/>
      <c r="IN48" s="873"/>
      <c r="IO48" s="873"/>
      <c r="IP48" s="873"/>
      <c r="IQ48" s="873"/>
      <c r="IR48" s="873"/>
      <c r="IS48" s="873"/>
      <c r="IT48" s="873"/>
      <c r="IU48" s="873"/>
      <c r="IV48" s="873"/>
      <c r="IW48" s="873"/>
    </row>
    <row r="49" spans="1:257" ht="168">
      <c r="A49" s="2499"/>
      <c r="B49" s="1145" t="s">
        <v>1631</v>
      </c>
      <c r="C49" s="1126">
        <v>5</v>
      </c>
      <c r="D49" s="1126">
        <v>6</v>
      </c>
      <c r="E49" s="1127" t="s">
        <v>1394</v>
      </c>
      <c r="F49" s="1128" t="str">
        <f>IF(Scoring!I58="","",Scoring!I58)</f>
        <v/>
      </c>
      <c r="G49" s="1129"/>
      <c r="H49" s="1129"/>
      <c r="I49" s="1130" t="s">
        <v>2092</v>
      </c>
      <c r="J49" s="1131"/>
      <c r="K49" s="1131"/>
      <c r="L49" s="1132"/>
      <c r="M49" s="1133"/>
      <c r="O49" s="867"/>
      <c r="P49" s="868"/>
    </row>
    <row r="50" spans="1:257" ht="84">
      <c r="A50" s="2499"/>
      <c r="B50" s="1145" t="s">
        <v>1632</v>
      </c>
      <c r="C50" s="1126">
        <v>5</v>
      </c>
      <c r="D50" s="1126">
        <v>6</v>
      </c>
      <c r="E50" s="1127" t="s">
        <v>1395</v>
      </c>
      <c r="F50" s="1128" t="str">
        <f>IF(Scoring!I59="","",Scoring!I59)</f>
        <v/>
      </c>
      <c r="G50" s="1129"/>
      <c r="H50" s="1129"/>
      <c r="I50" s="1130" t="s">
        <v>2093</v>
      </c>
      <c r="J50" s="1131"/>
      <c r="K50" s="1131"/>
      <c r="L50" s="1132"/>
      <c r="M50" s="1133"/>
      <c r="O50" s="867"/>
      <c r="P50" s="868"/>
    </row>
    <row r="51" spans="1:257" ht="70">
      <c r="A51" s="2499"/>
      <c r="B51" s="1145" t="s">
        <v>1633</v>
      </c>
      <c r="C51" s="1126">
        <v>6</v>
      </c>
      <c r="D51" s="1126">
        <v>6</v>
      </c>
      <c r="E51" s="1127" t="s">
        <v>1396</v>
      </c>
      <c r="F51" s="1128" t="str">
        <f>IF(Scoring!I60="","",Scoring!I60)</f>
        <v/>
      </c>
      <c r="G51" s="1129"/>
      <c r="H51" s="1129"/>
      <c r="I51" s="1130" t="s">
        <v>2095</v>
      </c>
      <c r="J51" s="1131"/>
      <c r="K51" s="1131"/>
      <c r="L51" s="1132"/>
      <c r="M51" s="1133"/>
      <c r="O51" s="867"/>
      <c r="P51" s="868"/>
    </row>
    <row r="52" spans="1:257" s="876" customFormat="1" ht="28">
      <c r="A52" s="2500"/>
      <c r="B52" s="1146" t="s">
        <v>1634</v>
      </c>
      <c r="C52" s="1135">
        <v>4</v>
      </c>
      <c r="D52" s="1135">
        <v>4</v>
      </c>
      <c r="E52" s="1136" t="s">
        <v>1397</v>
      </c>
      <c r="F52" s="1137" t="str">
        <f>IF(Scoring!I61="","",Scoring!I61)</f>
        <v/>
      </c>
      <c r="G52" s="1138"/>
      <c r="H52" s="1138"/>
      <c r="I52" s="1139" t="s">
        <v>2096</v>
      </c>
      <c r="J52" s="1140">
        <f>COUNT(F48:F52)</f>
        <v>0</v>
      </c>
      <c r="K52" s="1140"/>
      <c r="L52" s="1141">
        <f>SUM(F48:F52)</f>
        <v>0</v>
      </c>
      <c r="M52" s="1142">
        <f>IF(L52&lt;3,0,1)</f>
        <v>0</v>
      </c>
      <c r="N52" s="873"/>
      <c r="O52" s="874"/>
      <c r="P52" s="875">
        <f>COUNTA(F48:F52)</f>
        <v>5</v>
      </c>
      <c r="Q52" s="873"/>
      <c r="R52" s="873"/>
      <c r="S52" s="873"/>
      <c r="T52" s="873"/>
      <c r="U52" s="873"/>
      <c r="V52" s="873"/>
      <c r="W52" s="873"/>
      <c r="X52" s="873"/>
      <c r="Y52" s="873"/>
      <c r="Z52" s="873"/>
      <c r="AA52" s="873"/>
      <c r="AB52" s="873"/>
      <c r="AC52" s="873"/>
      <c r="AD52" s="873"/>
      <c r="AE52" s="873"/>
      <c r="AF52" s="873"/>
      <c r="AG52" s="873"/>
      <c r="AH52" s="873"/>
      <c r="AI52" s="873"/>
      <c r="AJ52" s="873"/>
      <c r="AK52" s="873"/>
      <c r="AL52" s="873"/>
      <c r="AM52" s="873"/>
      <c r="AN52" s="873"/>
      <c r="AO52" s="873"/>
      <c r="AP52" s="873"/>
      <c r="AQ52" s="873"/>
      <c r="AR52" s="873"/>
      <c r="AS52" s="873"/>
      <c r="AT52" s="873"/>
      <c r="AU52" s="873"/>
      <c r="AV52" s="873"/>
      <c r="AW52" s="873"/>
      <c r="AX52" s="873"/>
      <c r="AY52" s="873"/>
      <c r="AZ52" s="873"/>
      <c r="BA52" s="873"/>
      <c r="BB52" s="873"/>
      <c r="BC52" s="873"/>
      <c r="BD52" s="873"/>
      <c r="BE52" s="873"/>
      <c r="BF52" s="873"/>
      <c r="BG52" s="873"/>
      <c r="BH52" s="873"/>
      <c r="BI52" s="873"/>
      <c r="BJ52" s="873"/>
      <c r="BK52" s="873"/>
      <c r="BL52" s="873"/>
      <c r="BM52" s="873"/>
      <c r="BN52" s="873"/>
      <c r="BO52" s="873"/>
      <c r="BP52" s="873"/>
      <c r="BQ52" s="873"/>
      <c r="BR52" s="873"/>
      <c r="BS52" s="873"/>
      <c r="BT52" s="873"/>
      <c r="BU52" s="873"/>
      <c r="BV52" s="873"/>
      <c r="BW52" s="873"/>
      <c r="BX52" s="873"/>
      <c r="BY52" s="873"/>
      <c r="BZ52" s="873"/>
      <c r="CA52" s="873"/>
      <c r="CB52" s="873"/>
      <c r="CC52" s="873"/>
      <c r="CD52" s="873"/>
      <c r="CE52" s="873"/>
      <c r="CF52" s="873"/>
      <c r="CG52" s="873"/>
      <c r="CH52" s="873"/>
      <c r="CI52" s="873"/>
      <c r="CJ52" s="873"/>
      <c r="CK52" s="873"/>
      <c r="CL52" s="873"/>
      <c r="CM52" s="873"/>
      <c r="CN52" s="873"/>
      <c r="CO52" s="873"/>
      <c r="CP52" s="873"/>
      <c r="CQ52" s="873"/>
      <c r="CR52" s="873"/>
      <c r="CS52" s="873"/>
      <c r="CT52" s="873"/>
      <c r="CU52" s="873"/>
      <c r="CV52" s="873"/>
      <c r="CW52" s="873"/>
      <c r="CX52" s="873"/>
      <c r="CY52" s="873"/>
      <c r="CZ52" s="873"/>
      <c r="DA52" s="873"/>
      <c r="DB52" s="873"/>
      <c r="DC52" s="873"/>
      <c r="DD52" s="873"/>
      <c r="DE52" s="873"/>
      <c r="DF52" s="873"/>
      <c r="DG52" s="873"/>
      <c r="DH52" s="873"/>
      <c r="DI52" s="873"/>
      <c r="DJ52" s="873"/>
      <c r="DK52" s="873"/>
      <c r="DL52" s="873"/>
      <c r="DM52" s="873"/>
      <c r="DN52" s="873"/>
      <c r="DO52" s="873"/>
      <c r="DP52" s="873"/>
      <c r="DQ52" s="873"/>
      <c r="DR52" s="873"/>
      <c r="DS52" s="873"/>
      <c r="DT52" s="873"/>
      <c r="DU52" s="873"/>
      <c r="DV52" s="873"/>
      <c r="DW52" s="873"/>
      <c r="DX52" s="873"/>
      <c r="DY52" s="873"/>
      <c r="DZ52" s="873"/>
      <c r="EA52" s="873"/>
      <c r="EB52" s="873"/>
      <c r="EC52" s="873"/>
      <c r="ED52" s="873"/>
      <c r="EE52" s="873"/>
      <c r="EF52" s="873"/>
      <c r="EG52" s="873"/>
      <c r="EH52" s="873"/>
      <c r="EI52" s="873"/>
      <c r="EJ52" s="873"/>
      <c r="EK52" s="873"/>
      <c r="EL52" s="873"/>
      <c r="EM52" s="873"/>
      <c r="EN52" s="873"/>
      <c r="EO52" s="873"/>
      <c r="EP52" s="873"/>
      <c r="EQ52" s="873"/>
      <c r="ER52" s="873"/>
      <c r="ES52" s="873"/>
      <c r="ET52" s="873"/>
      <c r="EU52" s="873"/>
      <c r="EV52" s="873"/>
      <c r="EW52" s="873"/>
      <c r="EX52" s="873"/>
      <c r="EY52" s="873"/>
      <c r="EZ52" s="873"/>
      <c r="FA52" s="873"/>
      <c r="FB52" s="873"/>
      <c r="FC52" s="873"/>
      <c r="FD52" s="873"/>
      <c r="FE52" s="873"/>
      <c r="FF52" s="873"/>
      <c r="FG52" s="873"/>
      <c r="FH52" s="873"/>
      <c r="FI52" s="873"/>
      <c r="FJ52" s="873"/>
      <c r="FK52" s="873"/>
      <c r="FL52" s="873"/>
      <c r="FM52" s="873"/>
      <c r="FN52" s="873"/>
      <c r="FO52" s="873"/>
      <c r="FP52" s="873"/>
      <c r="FQ52" s="873"/>
      <c r="FR52" s="873"/>
      <c r="FS52" s="873"/>
      <c r="FT52" s="873"/>
      <c r="FU52" s="873"/>
      <c r="FV52" s="873"/>
      <c r="FW52" s="873"/>
      <c r="FX52" s="873"/>
      <c r="FY52" s="873"/>
      <c r="FZ52" s="873"/>
      <c r="GA52" s="873"/>
      <c r="GB52" s="873"/>
      <c r="GC52" s="873"/>
      <c r="GD52" s="873"/>
      <c r="GE52" s="873"/>
      <c r="GF52" s="873"/>
      <c r="GG52" s="873"/>
      <c r="GH52" s="873"/>
      <c r="GI52" s="873"/>
      <c r="GJ52" s="873"/>
      <c r="GK52" s="873"/>
      <c r="GL52" s="873"/>
      <c r="GM52" s="873"/>
      <c r="GN52" s="873"/>
      <c r="GO52" s="873"/>
      <c r="GP52" s="873"/>
      <c r="GQ52" s="873"/>
      <c r="GR52" s="873"/>
      <c r="GS52" s="873"/>
      <c r="GT52" s="873"/>
      <c r="GU52" s="873"/>
      <c r="GV52" s="873"/>
      <c r="GW52" s="873"/>
      <c r="GX52" s="873"/>
      <c r="GY52" s="873"/>
      <c r="GZ52" s="873"/>
      <c r="HA52" s="873"/>
      <c r="HB52" s="873"/>
      <c r="HC52" s="873"/>
      <c r="HD52" s="873"/>
      <c r="HE52" s="873"/>
      <c r="HF52" s="873"/>
      <c r="HG52" s="873"/>
      <c r="HH52" s="873"/>
      <c r="HI52" s="873"/>
      <c r="HJ52" s="873"/>
      <c r="HK52" s="873"/>
      <c r="HL52" s="873"/>
      <c r="HM52" s="873"/>
      <c r="HN52" s="873"/>
      <c r="HO52" s="873"/>
      <c r="HP52" s="873"/>
      <c r="HQ52" s="873"/>
      <c r="HR52" s="873"/>
      <c r="HS52" s="873"/>
      <c r="HT52" s="873"/>
      <c r="HU52" s="873"/>
      <c r="HV52" s="873"/>
      <c r="HW52" s="873"/>
      <c r="HX52" s="873"/>
      <c r="HY52" s="873"/>
      <c r="HZ52" s="873"/>
      <c r="IA52" s="873"/>
      <c r="IB52" s="873"/>
      <c r="IC52" s="873"/>
      <c r="ID52" s="873"/>
      <c r="IE52" s="873"/>
      <c r="IF52" s="873"/>
      <c r="IG52" s="873"/>
      <c r="IH52" s="873"/>
      <c r="II52" s="873"/>
      <c r="IJ52" s="873"/>
      <c r="IK52" s="873"/>
      <c r="IL52" s="873"/>
      <c r="IM52" s="873"/>
      <c r="IN52" s="873"/>
      <c r="IO52" s="873"/>
      <c r="IP52" s="873"/>
      <c r="IQ52" s="873"/>
      <c r="IR52" s="873"/>
      <c r="IS52" s="873"/>
      <c r="IT52" s="873"/>
      <c r="IU52" s="873"/>
      <c r="IV52" s="873"/>
      <c r="IW52" s="873"/>
    </row>
    <row r="53" spans="1:257" s="876" customFormat="1">
      <c r="A53" s="913"/>
      <c r="B53" s="873"/>
      <c r="C53" s="873"/>
      <c r="D53" s="873"/>
      <c r="E53" s="873"/>
      <c r="F53" s="873"/>
      <c r="G53" s="873"/>
      <c r="H53" s="873"/>
      <c r="I53" s="873"/>
      <c r="J53" s="873"/>
      <c r="K53" s="873"/>
      <c r="L53" s="873"/>
      <c r="M53" s="873"/>
      <c r="N53" s="873"/>
      <c r="O53" s="873"/>
      <c r="P53" s="873"/>
      <c r="Q53" s="873"/>
      <c r="R53" s="873"/>
      <c r="S53" s="873"/>
      <c r="T53" s="873"/>
      <c r="U53" s="873"/>
      <c r="V53" s="873"/>
      <c r="W53" s="873"/>
      <c r="X53" s="873"/>
      <c r="Y53" s="873"/>
      <c r="Z53" s="873"/>
      <c r="AA53" s="873"/>
      <c r="AB53" s="873"/>
      <c r="AC53" s="873"/>
      <c r="AD53" s="873"/>
      <c r="AE53" s="873"/>
      <c r="AF53" s="873"/>
      <c r="AG53" s="873"/>
      <c r="AH53" s="873"/>
      <c r="AI53" s="873"/>
      <c r="AJ53" s="873"/>
      <c r="AK53" s="873"/>
      <c r="AL53" s="873"/>
      <c r="AM53" s="873"/>
      <c r="AN53" s="873"/>
      <c r="AO53" s="873"/>
      <c r="AP53" s="873"/>
      <c r="AQ53" s="873"/>
      <c r="AR53" s="873"/>
      <c r="AS53" s="873"/>
      <c r="AT53" s="873"/>
      <c r="AU53" s="873"/>
      <c r="AV53" s="873"/>
      <c r="AW53" s="873"/>
      <c r="AX53" s="873"/>
      <c r="AY53" s="873"/>
      <c r="AZ53" s="873"/>
      <c r="BA53" s="873"/>
      <c r="BB53" s="873"/>
      <c r="BC53" s="873"/>
      <c r="BD53" s="873"/>
      <c r="BE53" s="873"/>
      <c r="BF53" s="873"/>
      <c r="BG53" s="873"/>
      <c r="BH53" s="873"/>
      <c r="BI53" s="873"/>
      <c r="BJ53" s="873"/>
      <c r="BK53" s="873"/>
      <c r="BL53" s="873"/>
      <c r="BM53" s="873"/>
      <c r="BN53" s="873"/>
      <c r="BO53" s="873"/>
      <c r="BP53" s="873"/>
      <c r="BQ53" s="873"/>
      <c r="BR53" s="873"/>
      <c r="BS53" s="873"/>
      <c r="BT53" s="873"/>
      <c r="BU53" s="873"/>
      <c r="BV53" s="873"/>
      <c r="BW53" s="873"/>
      <c r="BX53" s="873"/>
      <c r="BY53" s="873"/>
      <c r="BZ53" s="873"/>
      <c r="CA53" s="873"/>
      <c r="CB53" s="873"/>
      <c r="CC53" s="873"/>
      <c r="CD53" s="873"/>
      <c r="CE53" s="873"/>
      <c r="CF53" s="873"/>
      <c r="CG53" s="873"/>
      <c r="CH53" s="873"/>
      <c r="CI53" s="873"/>
      <c r="CJ53" s="873"/>
      <c r="CK53" s="873"/>
      <c r="CL53" s="873"/>
      <c r="CM53" s="873"/>
      <c r="CN53" s="873"/>
      <c r="CO53" s="873"/>
      <c r="CP53" s="873"/>
      <c r="CQ53" s="873"/>
      <c r="CR53" s="873"/>
      <c r="CS53" s="873"/>
      <c r="CT53" s="873"/>
      <c r="CU53" s="873"/>
      <c r="CV53" s="873"/>
      <c r="CW53" s="873"/>
      <c r="CX53" s="873"/>
      <c r="CY53" s="873"/>
      <c r="CZ53" s="873"/>
      <c r="DA53" s="873"/>
      <c r="DB53" s="873"/>
      <c r="DC53" s="873"/>
      <c r="DD53" s="873"/>
      <c r="DE53" s="873"/>
      <c r="DF53" s="873"/>
      <c r="DG53" s="873"/>
      <c r="DH53" s="873"/>
      <c r="DI53" s="873"/>
      <c r="DJ53" s="873"/>
      <c r="DK53" s="873"/>
      <c r="DL53" s="873"/>
      <c r="DM53" s="873"/>
      <c r="DN53" s="873"/>
      <c r="DO53" s="873"/>
      <c r="DP53" s="873"/>
      <c r="DQ53" s="873"/>
      <c r="DR53" s="873"/>
      <c r="DS53" s="873"/>
      <c r="DT53" s="873"/>
      <c r="DU53" s="873"/>
      <c r="DV53" s="873"/>
      <c r="DW53" s="873"/>
      <c r="DX53" s="873"/>
      <c r="DY53" s="873"/>
      <c r="DZ53" s="873"/>
      <c r="EA53" s="873"/>
      <c r="EB53" s="873"/>
      <c r="EC53" s="873"/>
      <c r="ED53" s="873"/>
      <c r="EE53" s="873"/>
      <c r="EF53" s="873"/>
      <c r="EG53" s="873"/>
      <c r="EH53" s="873"/>
      <c r="EI53" s="873"/>
      <c r="EJ53" s="873"/>
      <c r="EK53" s="873"/>
      <c r="EL53" s="873"/>
      <c r="EM53" s="873"/>
      <c r="EN53" s="873"/>
      <c r="EO53" s="873"/>
      <c r="EP53" s="873"/>
      <c r="EQ53" s="873"/>
      <c r="ER53" s="873"/>
      <c r="ES53" s="873"/>
      <c r="ET53" s="873"/>
      <c r="EU53" s="873"/>
      <c r="EV53" s="873"/>
      <c r="EW53" s="873"/>
      <c r="EX53" s="873"/>
      <c r="EY53" s="873"/>
      <c r="EZ53" s="873"/>
      <c r="FA53" s="873"/>
      <c r="FB53" s="873"/>
      <c r="FC53" s="873"/>
      <c r="FD53" s="873"/>
      <c r="FE53" s="873"/>
      <c r="FF53" s="873"/>
      <c r="FG53" s="873"/>
      <c r="FH53" s="873"/>
      <c r="FI53" s="873"/>
      <c r="FJ53" s="873"/>
      <c r="FK53" s="873"/>
      <c r="FL53" s="873"/>
      <c r="FM53" s="873"/>
      <c r="FN53" s="873"/>
      <c r="FO53" s="873"/>
      <c r="FP53" s="873"/>
      <c r="FQ53" s="873"/>
      <c r="FR53" s="873"/>
      <c r="FS53" s="873"/>
      <c r="FT53" s="873"/>
      <c r="FU53" s="873"/>
      <c r="FV53" s="873"/>
      <c r="FW53" s="873"/>
      <c r="FX53" s="873"/>
      <c r="FY53" s="873"/>
      <c r="FZ53" s="873"/>
      <c r="GA53" s="873"/>
      <c r="GB53" s="873"/>
      <c r="GC53" s="873"/>
      <c r="GD53" s="873"/>
      <c r="GE53" s="873"/>
      <c r="GF53" s="873"/>
      <c r="GG53" s="873"/>
      <c r="GH53" s="873"/>
      <c r="GI53" s="873"/>
      <c r="GJ53" s="873"/>
      <c r="GK53" s="873"/>
      <c r="GL53" s="873"/>
      <c r="GM53" s="873"/>
      <c r="GN53" s="873"/>
      <c r="GO53" s="873"/>
      <c r="GP53" s="873"/>
      <c r="GQ53" s="873"/>
      <c r="GR53" s="873"/>
      <c r="GS53" s="873"/>
      <c r="GT53" s="873"/>
      <c r="GU53" s="873"/>
      <c r="GV53" s="873"/>
      <c r="GW53" s="873"/>
      <c r="GX53" s="873"/>
      <c r="GY53" s="873"/>
      <c r="GZ53" s="873"/>
      <c r="HA53" s="873"/>
      <c r="HB53" s="873"/>
      <c r="HC53" s="873"/>
      <c r="HD53" s="873"/>
      <c r="HE53" s="873"/>
      <c r="HF53" s="873"/>
      <c r="HG53" s="873"/>
      <c r="HH53" s="873"/>
      <c r="HI53" s="873"/>
      <c r="HJ53" s="873"/>
      <c r="HK53" s="873"/>
      <c r="HL53" s="873"/>
      <c r="HM53" s="873"/>
      <c r="HN53" s="873"/>
      <c r="HO53" s="873"/>
      <c r="HP53" s="873"/>
      <c r="HQ53" s="873"/>
      <c r="HR53" s="873"/>
      <c r="HS53" s="873"/>
      <c r="HT53" s="873"/>
      <c r="HU53" s="873"/>
      <c r="HV53" s="873"/>
      <c r="HW53" s="873"/>
      <c r="HX53" s="873"/>
      <c r="HY53" s="873"/>
      <c r="HZ53" s="873"/>
      <c r="IA53" s="873"/>
      <c r="IB53" s="873"/>
      <c r="IC53" s="873"/>
      <c r="ID53" s="873"/>
      <c r="IE53" s="873"/>
      <c r="IF53" s="873"/>
      <c r="IG53" s="873"/>
      <c r="IH53" s="873"/>
      <c r="II53" s="873"/>
      <c r="IJ53" s="873"/>
      <c r="IK53" s="873"/>
      <c r="IL53" s="873"/>
      <c r="IM53" s="873"/>
      <c r="IN53" s="873"/>
      <c r="IO53" s="873"/>
      <c r="IP53" s="873"/>
      <c r="IQ53" s="873"/>
      <c r="IR53" s="873"/>
      <c r="IS53" s="873"/>
      <c r="IT53" s="873"/>
      <c r="IU53" s="873"/>
      <c r="IV53" s="873"/>
      <c r="IW53" s="873"/>
    </row>
    <row r="54" spans="1:257" s="876" customFormat="1" ht="112">
      <c r="A54" s="2498" t="s">
        <v>1198</v>
      </c>
      <c r="B54" s="1144" t="s">
        <v>1635</v>
      </c>
      <c r="C54" s="1117">
        <v>4</v>
      </c>
      <c r="D54" s="1117">
        <v>4</v>
      </c>
      <c r="E54" s="1118" t="s">
        <v>1398</v>
      </c>
      <c r="F54" s="1119" t="str">
        <f>IF(Scoring!I63="","",Scoring!I63)</f>
        <v/>
      </c>
      <c r="G54" s="1120"/>
      <c r="H54" s="1120"/>
      <c r="I54" s="1121" t="s">
        <v>2097</v>
      </c>
      <c r="J54" s="1122"/>
      <c r="K54" s="1122"/>
      <c r="L54" s="1123"/>
      <c r="M54" s="1124"/>
      <c r="N54" s="873"/>
      <c r="O54" s="877"/>
      <c r="P54" s="878"/>
      <c r="Q54" s="873"/>
      <c r="R54" s="873"/>
      <c r="S54" s="873"/>
      <c r="T54" s="873"/>
      <c r="U54" s="873"/>
      <c r="V54" s="873"/>
      <c r="W54" s="873"/>
      <c r="X54" s="873"/>
      <c r="Y54" s="873"/>
      <c r="Z54" s="873"/>
      <c r="AA54" s="873"/>
      <c r="AB54" s="873"/>
      <c r="AC54" s="873"/>
      <c r="AD54" s="873"/>
      <c r="AE54" s="873"/>
      <c r="AF54" s="873"/>
      <c r="AG54" s="873"/>
      <c r="AH54" s="873"/>
      <c r="AI54" s="873"/>
      <c r="AJ54" s="873"/>
      <c r="AK54" s="873"/>
      <c r="AL54" s="873"/>
      <c r="AM54" s="873"/>
      <c r="AN54" s="873"/>
      <c r="AO54" s="873"/>
      <c r="AP54" s="873"/>
      <c r="AQ54" s="873"/>
      <c r="AR54" s="873"/>
      <c r="AS54" s="873"/>
      <c r="AT54" s="873"/>
      <c r="AU54" s="873"/>
      <c r="AV54" s="873"/>
      <c r="AW54" s="873"/>
      <c r="AX54" s="873"/>
      <c r="AY54" s="873"/>
      <c r="AZ54" s="873"/>
      <c r="BA54" s="873"/>
      <c r="BB54" s="873"/>
      <c r="BC54" s="873"/>
      <c r="BD54" s="873"/>
      <c r="BE54" s="873"/>
      <c r="BF54" s="873"/>
      <c r="BG54" s="873"/>
      <c r="BH54" s="873"/>
      <c r="BI54" s="873"/>
      <c r="BJ54" s="873"/>
      <c r="BK54" s="873"/>
      <c r="BL54" s="873"/>
      <c r="BM54" s="873"/>
      <c r="BN54" s="873"/>
      <c r="BO54" s="873"/>
      <c r="BP54" s="873"/>
      <c r="BQ54" s="873"/>
      <c r="BR54" s="873"/>
      <c r="BS54" s="873"/>
      <c r="BT54" s="873"/>
      <c r="BU54" s="873"/>
      <c r="BV54" s="873"/>
      <c r="BW54" s="873"/>
      <c r="BX54" s="873"/>
      <c r="BY54" s="873"/>
      <c r="BZ54" s="873"/>
      <c r="CA54" s="873"/>
      <c r="CB54" s="873"/>
      <c r="CC54" s="873"/>
      <c r="CD54" s="873"/>
      <c r="CE54" s="873"/>
      <c r="CF54" s="873"/>
      <c r="CG54" s="873"/>
      <c r="CH54" s="873"/>
      <c r="CI54" s="873"/>
      <c r="CJ54" s="873"/>
      <c r="CK54" s="873"/>
      <c r="CL54" s="873"/>
      <c r="CM54" s="873"/>
      <c r="CN54" s="873"/>
      <c r="CO54" s="873"/>
      <c r="CP54" s="873"/>
      <c r="CQ54" s="873"/>
      <c r="CR54" s="873"/>
      <c r="CS54" s="873"/>
      <c r="CT54" s="873"/>
      <c r="CU54" s="873"/>
      <c r="CV54" s="873"/>
      <c r="CW54" s="873"/>
      <c r="CX54" s="873"/>
      <c r="CY54" s="873"/>
      <c r="CZ54" s="873"/>
      <c r="DA54" s="873"/>
      <c r="DB54" s="873"/>
      <c r="DC54" s="873"/>
      <c r="DD54" s="873"/>
      <c r="DE54" s="873"/>
      <c r="DF54" s="873"/>
      <c r="DG54" s="873"/>
      <c r="DH54" s="873"/>
      <c r="DI54" s="873"/>
      <c r="DJ54" s="873"/>
      <c r="DK54" s="873"/>
      <c r="DL54" s="873"/>
      <c r="DM54" s="873"/>
      <c r="DN54" s="873"/>
      <c r="DO54" s="873"/>
      <c r="DP54" s="873"/>
      <c r="DQ54" s="873"/>
      <c r="DR54" s="873"/>
      <c r="DS54" s="873"/>
      <c r="DT54" s="873"/>
      <c r="DU54" s="873"/>
      <c r="DV54" s="873"/>
      <c r="DW54" s="873"/>
      <c r="DX54" s="873"/>
      <c r="DY54" s="873"/>
      <c r="DZ54" s="873"/>
      <c r="EA54" s="873"/>
      <c r="EB54" s="873"/>
      <c r="EC54" s="873"/>
      <c r="ED54" s="873"/>
      <c r="EE54" s="873"/>
      <c r="EF54" s="873"/>
      <c r="EG54" s="873"/>
      <c r="EH54" s="873"/>
      <c r="EI54" s="873"/>
      <c r="EJ54" s="873"/>
      <c r="EK54" s="873"/>
      <c r="EL54" s="873"/>
      <c r="EM54" s="873"/>
      <c r="EN54" s="873"/>
      <c r="EO54" s="873"/>
      <c r="EP54" s="873"/>
      <c r="EQ54" s="873"/>
      <c r="ER54" s="873"/>
      <c r="ES54" s="873"/>
      <c r="ET54" s="873"/>
      <c r="EU54" s="873"/>
      <c r="EV54" s="873"/>
      <c r="EW54" s="873"/>
      <c r="EX54" s="873"/>
      <c r="EY54" s="873"/>
      <c r="EZ54" s="873"/>
      <c r="FA54" s="873"/>
      <c r="FB54" s="873"/>
      <c r="FC54" s="873"/>
      <c r="FD54" s="873"/>
      <c r="FE54" s="873"/>
      <c r="FF54" s="873"/>
      <c r="FG54" s="873"/>
      <c r="FH54" s="873"/>
      <c r="FI54" s="873"/>
      <c r="FJ54" s="873"/>
      <c r="FK54" s="873"/>
      <c r="FL54" s="873"/>
      <c r="FM54" s="873"/>
      <c r="FN54" s="873"/>
      <c r="FO54" s="873"/>
      <c r="FP54" s="873"/>
      <c r="FQ54" s="873"/>
      <c r="FR54" s="873"/>
      <c r="FS54" s="873"/>
      <c r="FT54" s="873"/>
      <c r="FU54" s="873"/>
      <c r="FV54" s="873"/>
      <c r="FW54" s="873"/>
      <c r="FX54" s="873"/>
      <c r="FY54" s="873"/>
      <c r="FZ54" s="873"/>
      <c r="GA54" s="873"/>
      <c r="GB54" s="873"/>
      <c r="GC54" s="873"/>
      <c r="GD54" s="873"/>
      <c r="GE54" s="873"/>
      <c r="GF54" s="873"/>
      <c r="GG54" s="873"/>
      <c r="GH54" s="873"/>
      <c r="GI54" s="873"/>
      <c r="GJ54" s="873"/>
      <c r="GK54" s="873"/>
      <c r="GL54" s="873"/>
      <c r="GM54" s="873"/>
      <c r="GN54" s="873"/>
      <c r="GO54" s="873"/>
      <c r="GP54" s="873"/>
      <c r="GQ54" s="873"/>
      <c r="GR54" s="873"/>
      <c r="GS54" s="873"/>
      <c r="GT54" s="873"/>
      <c r="GU54" s="873"/>
      <c r="GV54" s="873"/>
      <c r="GW54" s="873"/>
      <c r="GX54" s="873"/>
      <c r="GY54" s="873"/>
      <c r="GZ54" s="873"/>
      <c r="HA54" s="873"/>
      <c r="HB54" s="873"/>
      <c r="HC54" s="873"/>
      <c r="HD54" s="873"/>
      <c r="HE54" s="873"/>
      <c r="HF54" s="873"/>
      <c r="HG54" s="873"/>
      <c r="HH54" s="873"/>
      <c r="HI54" s="873"/>
      <c r="HJ54" s="873"/>
      <c r="HK54" s="873"/>
      <c r="HL54" s="873"/>
      <c r="HM54" s="873"/>
      <c r="HN54" s="873"/>
      <c r="HO54" s="873"/>
      <c r="HP54" s="873"/>
      <c r="HQ54" s="873"/>
      <c r="HR54" s="873"/>
      <c r="HS54" s="873"/>
      <c r="HT54" s="873"/>
      <c r="HU54" s="873"/>
      <c r="HV54" s="873"/>
      <c r="HW54" s="873"/>
      <c r="HX54" s="873"/>
      <c r="HY54" s="873"/>
      <c r="HZ54" s="873"/>
      <c r="IA54" s="873"/>
      <c r="IB54" s="873"/>
      <c r="IC54" s="873"/>
      <c r="ID54" s="873"/>
      <c r="IE54" s="873"/>
      <c r="IF54" s="873"/>
      <c r="IG54" s="873"/>
      <c r="IH54" s="873"/>
      <c r="II54" s="873"/>
      <c r="IJ54" s="873"/>
      <c r="IK54" s="873"/>
      <c r="IL54" s="873"/>
      <c r="IM54" s="873"/>
      <c r="IN54" s="873"/>
      <c r="IO54" s="873"/>
      <c r="IP54" s="873"/>
      <c r="IQ54" s="873"/>
      <c r="IR54" s="873"/>
      <c r="IS54" s="873"/>
      <c r="IT54" s="873"/>
      <c r="IU54" s="873"/>
      <c r="IV54" s="873"/>
      <c r="IW54" s="873"/>
    </row>
    <row r="55" spans="1:257" ht="56">
      <c r="A55" s="2499"/>
      <c r="B55" s="1145" t="s">
        <v>1636</v>
      </c>
      <c r="C55" s="1126">
        <v>2</v>
      </c>
      <c r="D55" s="1126">
        <v>2</v>
      </c>
      <c r="E55" s="1127" t="s">
        <v>1399</v>
      </c>
      <c r="F55" s="1128" t="str">
        <f>IF(Scoring!I64="","",Scoring!I64)</f>
        <v/>
      </c>
      <c r="G55" s="1129"/>
      <c r="H55" s="1129"/>
      <c r="I55" s="1130" t="s">
        <v>2098</v>
      </c>
      <c r="J55" s="1131"/>
      <c r="K55" s="1131"/>
      <c r="L55" s="1132"/>
      <c r="M55" s="1133"/>
      <c r="O55" s="867"/>
      <c r="P55" s="868"/>
    </row>
    <row r="56" spans="1:257" ht="84">
      <c r="A56" s="2499"/>
      <c r="B56" s="1145" t="s">
        <v>1637</v>
      </c>
      <c r="C56" s="1126">
        <v>4</v>
      </c>
      <c r="D56" s="1126">
        <v>4</v>
      </c>
      <c r="E56" s="1127" t="s">
        <v>1400</v>
      </c>
      <c r="F56" s="1128" t="str">
        <f>IF(Scoring!I65="","",Scoring!I65)</f>
        <v/>
      </c>
      <c r="G56" s="1129"/>
      <c r="H56" s="1129"/>
      <c r="I56" s="1130" t="s">
        <v>2099</v>
      </c>
      <c r="J56" s="1131"/>
      <c r="K56" s="1131"/>
      <c r="L56" s="1132"/>
      <c r="M56" s="1133"/>
      <c r="O56" s="867"/>
      <c r="P56" s="868"/>
    </row>
    <row r="57" spans="1:257" ht="140">
      <c r="A57" s="2499"/>
      <c r="B57" s="1145" t="s">
        <v>1638</v>
      </c>
      <c r="C57" s="1126">
        <v>4</v>
      </c>
      <c r="D57" s="1126">
        <v>4</v>
      </c>
      <c r="E57" s="1127" t="s">
        <v>1401</v>
      </c>
      <c r="F57" s="1128" t="str">
        <f>IF(Scoring!I66="","",Scoring!I66)</f>
        <v/>
      </c>
      <c r="G57" s="1129"/>
      <c r="H57" s="1129"/>
      <c r="I57" s="1130" t="s">
        <v>2100</v>
      </c>
      <c r="J57" s="1131"/>
      <c r="K57" s="1131"/>
      <c r="L57" s="1132"/>
      <c r="M57" s="1133"/>
      <c r="O57" s="882"/>
      <c r="P57" s="868"/>
    </row>
    <row r="58" spans="1:257" s="876" customFormat="1" ht="140">
      <c r="A58" s="2500"/>
      <c r="B58" s="1146" t="s">
        <v>1639</v>
      </c>
      <c r="C58" s="1135">
        <v>4</v>
      </c>
      <c r="D58" s="1135">
        <v>4</v>
      </c>
      <c r="E58" s="1136" t="s">
        <v>1402</v>
      </c>
      <c r="F58" s="1137" t="str">
        <f>IF(Scoring!I67="","",Scoring!I67)</f>
        <v/>
      </c>
      <c r="G58" s="1138"/>
      <c r="H58" s="1138"/>
      <c r="I58" s="1139" t="s">
        <v>2102</v>
      </c>
      <c r="J58" s="1140">
        <f>COUNT(F54:F58)</f>
        <v>0</v>
      </c>
      <c r="K58" s="1140"/>
      <c r="L58" s="1141">
        <f>SUM(F54:F58)</f>
        <v>0</v>
      </c>
      <c r="M58" s="1142">
        <f>IF(L58&lt;3,0,1)</f>
        <v>0</v>
      </c>
      <c r="N58" s="873"/>
      <c r="O58" s="874"/>
      <c r="P58" s="875">
        <f>COUNTA(F54:F58)</f>
        <v>5</v>
      </c>
      <c r="Q58" s="873"/>
      <c r="R58" s="873"/>
      <c r="S58" s="873"/>
      <c r="T58" s="873"/>
      <c r="U58" s="873"/>
      <c r="V58" s="873"/>
      <c r="W58" s="873"/>
      <c r="X58" s="873"/>
      <c r="Y58" s="873"/>
      <c r="Z58" s="873"/>
      <c r="AA58" s="873"/>
      <c r="AB58" s="873"/>
      <c r="AC58" s="873"/>
      <c r="AD58" s="873"/>
      <c r="AE58" s="873"/>
      <c r="AF58" s="873"/>
      <c r="AG58" s="873"/>
      <c r="AH58" s="873"/>
      <c r="AI58" s="873"/>
      <c r="AJ58" s="873"/>
      <c r="AK58" s="873"/>
      <c r="AL58" s="873"/>
      <c r="AM58" s="873"/>
      <c r="AN58" s="873"/>
      <c r="AO58" s="873"/>
      <c r="AP58" s="873"/>
      <c r="AQ58" s="873"/>
      <c r="AR58" s="873"/>
      <c r="AS58" s="873"/>
      <c r="AT58" s="873"/>
      <c r="AU58" s="873"/>
      <c r="AV58" s="873"/>
      <c r="AW58" s="873"/>
      <c r="AX58" s="873"/>
      <c r="AY58" s="873"/>
      <c r="AZ58" s="873"/>
      <c r="BA58" s="873"/>
      <c r="BB58" s="873"/>
      <c r="BC58" s="873"/>
      <c r="BD58" s="873"/>
      <c r="BE58" s="873"/>
      <c r="BF58" s="873"/>
      <c r="BG58" s="873"/>
      <c r="BH58" s="873"/>
      <c r="BI58" s="873"/>
      <c r="BJ58" s="873"/>
      <c r="BK58" s="873"/>
      <c r="BL58" s="873"/>
      <c r="BM58" s="873"/>
      <c r="BN58" s="873"/>
      <c r="BO58" s="873"/>
      <c r="BP58" s="873"/>
      <c r="BQ58" s="873"/>
      <c r="BR58" s="873"/>
      <c r="BS58" s="873"/>
      <c r="BT58" s="873"/>
      <c r="BU58" s="873"/>
      <c r="BV58" s="873"/>
      <c r="BW58" s="873"/>
      <c r="BX58" s="873"/>
      <c r="BY58" s="873"/>
      <c r="BZ58" s="873"/>
      <c r="CA58" s="873"/>
      <c r="CB58" s="873"/>
      <c r="CC58" s="873"/>
      <c r="CD58" s="873"/>
      <c r="CE58" s="873"/>
      <c r="CF58" s="873"/>
      <c r="CG58" s="873"/>
      <c r="CH58" s="873"/>
      <c r="CI58" s="873"/>
      <c r="CJ58" s="873"/>
      <c r="CK58" s="873"/>
      <c r="CL58" s="873"/>
      <c r="CM58" s="873"/>
      <c r="CN58" s="873"/>
      <c r="CO58" s="873"/>
      <c r="CP58" s="873"/>
      <c r="CQ58" s="873"/>
      <c r="CR58" s="873"/>
      <c r="CS58" s="873"/>
      <c r="CT58" s="873"/>
      <c r="CU58" s="873"/>
      <c r="CV58" s="873"/>
      <c r="CW58" s="873"/>
      <c r="CX58" s="873"/>
      <c r="CY58" s="873"/>
      <c r="CZ58" s="873"/>
      <c r="DA58" s="873"/>
      <c r="DB58" s="873"/>
      <c r="DC58" s="873"/>
      <c r="DD58" s="873"/>
      <c r="DE58" s="873"/>
      <c r="DF58" s="873"/>
      <c r="DG58" s="873"/>
      <c r="DH58" s="873"/>
      <c r="DI58" s="873"/>
      <c r="DJ58" s="873"/>
      <c r="DK58" s="873"/>
      <c r="DL58" s="873"/>
      <c r="DM58" s="873"/>
      <c r="DN58" s="873"/>
      <c r="DO58" s="873"/>
      <c r="DP58" s="873"/>
      <c r="DQ58" s="873"/>
      <c r="DR58" s="873"/>
      <c r="DS58" s="873"/>
      <c r="DT58" s="873"/>
      <c r="DU58" s="873"/>
      <c r="DV58" s="873"/>
      <c r="DW58" s="873"/>
      <c r="DX58" s="873"/>
      <c r="DY58" s="873"/>
      <c r="DZ58" s="873"/>
      <c r="EA58" s="873"/>
      <c r="EB58" s="873"/>
      <c r="EC58" s="873"/>
      <c r="ED58" s="873"/>
      <c r="EE58" s="873"/>
      <c r="EF58" s="873"/>
      <c r="EG58" s="873"/>
      <c r="EH58" s="873"/>
      <c r="EI58" s="873"/>
      <c r="EJ58" s="873"/>
      <c r="EK58" s="873"/>
      <c r="EL58" s="873"/>
      <c r="EM58" s="873"/>
      <c r="EN58" s="873"/>
      <c r="EO58" s="873"/>
      <c r="EP58" s="873"/>
      <c r="EQ58" s="873"/>
      <c r="ER58" s="873"/>
      <c r="ES58" s="873"/>
      <c r="ET58" s="873"/>
      <c r="EU58" s="873"/>
      <c r="EV58" s="873"/>
      <c r="EW58" s="873"/>
      <c r="EX58" s="873"/>
      <c r="EY58" s="873"/>
      <c r="EZ58" s="873"/>
      <c r="FA58" s="873"/>
      <c r="FB58" s="873"/>
      <c r="FC58" s="873"/>
      <c r="FD58" s="873"/>
      <c r="FE58" s="873"/>
      <c r="FF58" s="873"/>
      <c r="FG58" s="873"/>
      <c r="FH58" s="873"/>
      <c r="FI58" s="873"/>
      <c r="FJ58" s="873"/>
      <c r="FK58" s="873"/>
      <c r="FL58" s="873"/>
      <c r="FM58" s="873"/>
      <c r="FN58" s="873"/>
      <c r="FO58" s="873"/>
      <c r="FP58" s="873"/>
      <c r="FQ58" s="873"/>
      <c r="FR58" s="873"/>
      <c r="FS58" s="873"/>
      <c r="FT58" s="873"/>
      <c r="FU58" s="873"/>
      <c r="FV58" s="873"/>
      <c r="FW58" s="873"/>
      <c r="FX58" s="873"/>
      <c r="FY58" s="873"/>
      <c r="FZ58" s="873"/>
      <c r="GA58" s="873"/>
      <c r="GB58" s="873"/>
      <c r="GC58" s="873"/>
      <c r="GD58" s="873"/>
      <c r="GE58" s="873"/>
      <c r="GF58" s="873"/>
      <c r="GG58" s="873"/>
      <c r="GH58" s="873"/>
      <c r="GI58" s="873"/>
      <c r="GJ58" s="873"/>
      <c r="GK58" s="873"/>
      <c r="GL58" s="873"/>
      <c r="GM58" s="873"/>
      <c r="GN58" s="873"/>
      <c r="GO58" s="873"/>
      <c r="GP58" s="873"/>
      <c r="GQ58" s="873"/>
      <c r="GR58" s="873"/>
      <c r="GS58" s="873"/>
      <c r="GT58" s="873"/>
      <c r="GU58" s="873"/>
      <c r="GV58" s="873"/>
      <c r="GW58" s="873"/>
      <c r="GX58" s="873"/>
      <c r="GY58" s="873"/>
      <c r="GZ58" s="873"/>
      <c r="HA58" s="873"/>
      <c r="HB58" s="873"/>
      <c r="HC58" s="873"/>
      <c r="HD58" s="873"/>
      <c r="HE58" s="873"/>
      <c r="HF58" s="873"/>
      <c r="HG58" s="873"/>
      <c r="HH58" s="873"/>
      <c r="HI58" s="873"/>
      <c r="HJ58" s="873"/>
      <c r="HK58" s="873"/>
      <c r="HL58" s="873"/>
      <c r="HM58" s="873"/>
      <c r="HN58" s="873"/>
      <c r="HO58" s="873"/>
      <c r="HP58" s="873"/>
      <c r="HQ58" s="873"/>
      <c r="HR58" s="873"/>
      <c r="HS58" s="873"/>
      <c r="HT58" s="873"/>
      <c r="HU58" s="873"/>
      <c r="HV58" s="873"/>
      <c r="HW58" s="873"/>
      <c r="HX58" s="873"/>
      <c r="HY58" s="873"/>
      <c r="HZ58" s="873"/>
      <c r="IA58" s="873"/>
      <c r="IB58" s="873"/>
      <c r="IC58" s="873"/>
      <c r="ID58" s="873"/>
      <c r="IE58" s="873"/>
      <c r="IF58" s="873"/>
      <c r="IG58" s="873"/>
      <c r="IH58" s="873"/>
      <c r="II58" s="873"/>
      <c r="IJ58" s="873"/>
      <c r="IK58" s="873"/>
      <c r="IL58" s="873"/>
      <c r="IM58" s="873"/>
      <c r="IN58" s="873"/>
      <c r="IO58" s="873"/>
      <c r="IP58" s="873"/>
      <c r="IQ58" s="873"/>
      <c r="IR58" s="873"/>
      <c r="IS58" s="873"/>
      <c r="IT58" s="873"/>
      <c r="IU58" s="873"/>
      <c r="IV58" s="873"/>
      <c r="IW58" s="873"/>
    </row>
    <row r="59" spans="1:257" s="876" customFormat="1">
      <c r="A59" s="873"/>
      <c r="B59" s="873"/>
      <c r="C59" s="873"/>
      <c r="D59" s="873"/>
      <c r="E59" s="873"/>
      <c r="F59" s="873"/>
      <c r="G59" s="873"/>
      <c r="H59" s="873"/>
      <c r="I59" s="873"/>
      <c r="J59" s="873"/>
      <c r="K59" s="873"/>
      <c r="L59" s="873"/>
      <c r="M59" s="873"/>
      <c r="N59" s="873"/>
      <c r="O59" s="873"/>
      <c r="P59" s="873"/>
      <c r="Q59" s="873"/>
      <c r="R59" s="873"/>
      <c r="S59" s="873"/>
      <c r="T59" s="873"/>
      <c r="U59" s="873"/>
      <c r="V59" s="873"/>
      <c r="W59" s="873"/>
      <c r="X59" s="873"/>
      <c r="Y59" s="873"/>
      <c r="Z59" s="873"/>
      <c r="AA59" s="873"/>
      <c r="AB59" s="873"/>
      <c r="AC59" s="873"/>
      <c r="AD59" s="873"/>
      <c r="AE59" s="873"/>
      <c r="AF59" s="873"/>
      <c r="AG59" s="873"/>
      <c r="AH59" s="873"/>
      <c r="AI59" s="873"/>
      <c r="AJ59" s="873"/>
      <c r="AK59" s="873"/>
      <c r="AL59" s="873"/>
      <c r="AM59" s="873"/>
      <c r="AN59" s="873"/>
      <c r="AO59" s="873"/>
      <c r="AP59" s="873"/>
      <c r="AQ59" s="873"/>
      <c r="AR59" s="873"/>
      <c r="AS59" s="873"/>
      <c r="AT59" s="873"/>
      <c r="AU59" s="873"/>
      <c r="AV59" s="873"/>
      <c r="AW59" s="873"/>
      <c r="AX59" s="873"/>
      <c r="AY59" s="873"/>
      <c r="AZ59" s="873"/>
      <c r="BA59" s="873"/>
      <c r="BB59" s="873"/>
      <c r="BC59" s="873"/>
      <c r="BD59" s="873"/>
      <c r="BE59" s="873"/>
      <c r="BF59" s="873"/>
      <c r="BG59" s="873"/>
      <c r="BH59" s="873"/>
      <c r="BI59" s="873"/>
      <c r="BJ59" s="873"/>
      <c r="BK59" s="873"/>
      <c r="BL59" s="873"/>
      <c r="BM59" s="873"/>
      <c r="BN59" s="873"/>
      <c r="BO59" s="873"/>
      <c r="BP59" s="873"/>
      <c r="BQ59" s="873"/>
      <c r="BR59" s="873"/>
      <c r="BS59" s="873"/>
      <c r="BT59" s="873"/>
      <c r="BU59" s="873"/>
      <c r="BV59" s="873"/>
      <c r="BW59" s="873"/>
      <c r="BX59" s="873"/>
      <c r="BY59" s="873"/>
      <c r="BZ59" s="873"/>
      <c r="CA59" s="873"/>
      <c r="CB59" s="873"/>
      <c r="CC59" s="873"/>
      <c r="CD59" s="873"/>
      <c r="CE59" s="873"/>
      <c r="CF59" s="873"/>
      <c r="CG59" s="873"/>
      <c r="CH59" s="873"/>
      <c r="CI59" s="873"/>
      <c r="CJ59" s="873"/>
      <c r="CK59" s="873"/>
      <c r="CL59" s="873"/>
      <c r="CM59" s="873"/>
      <c r="CN59" s="873"/>
      <c r="CO59" s="873"/>
      <c r="CP59" s="873"/>
      <c r="CQ59" s="873"/>
      <c r="CR59" s="873"/>
      <c r="CS59" s="873"/>
      <c r="CT59" s="873"/>
      <c r="CU59" s="873"/>
      <c r="CV59" s="873"/>
      <c r="CW59" s="873"/>
      <c r="CX59" s="873"/>
      <c r="CY59" s="873"/>
      <c r="CZ59" s="873"/>
      <c r="DA59" s="873"/>
      <c r="DB59" s="873"/>
      <c r="DC59" s="873"/>
      <c r="DD59" s="873"/>
      <c r="DE59" s="873"/>
      <c r="DF59" s="873"/>
      <c r="DG59" s="873"/>
      <c r="DH59" s="873"/>
      <c r="DI59" s="873"/>
      <c r="DJ59" s="873"/>
      <c r="DK59" s="873"/>
      <c r="DL59" s="873"/>
      <c r="DM59" s="873"/>
      <c r="DN59" s="873"/>
      <c r="DO59" s="873"/>
      <c r="DP59" s="873"/>
      <c r="DQ59" s="873"/>
      <c r="DR59" s="873"/>
      <c r="DS59" s="873"/>
      <c r="DT59" s="873"/>
      <c r="DU59" s="873"/>
      <c r="DV59" s="873"/>
      <c r="DW59" s="873"/>
      <c r="DX59" s="873"/>
      <c r="DY59" s="873"/>
      <c r="DZ59" s="873"/>
      <c r="EA59" s="873"/>
      <c r="EB59" s="873"/>
      <c r="EC59" s="873"/>
      <c r="ED59" s="873"/>
      <c r="EE59" s="873"/>
      <c r="EF59" s="873"/>
      <c r="EG59" s="873"/>
      <c r="EH59" s="873"/>
      <c r="EI59" s="873"/>
      <c r="EJ59" s="873"/>
      <c r="EK59" s="873"/>
      <c r="EL59" s="873"/>
      <c r="EM59" s="873"/>
      <c r="EN59" s="873"/>
      <c r="EO59" s="873"/>
      <c r="EP59" s="873"/>
      <c r="EQ59" s="873"/>
      <c r="ER59" s="873"/>
      <c r="ES59" s="873"/>
      <c r="ET59" s="873"/>
      <c r="EU59" s="873"/>
      <c r="EV59" s="873"/>
      <c r="EW59" s="873"/>
      <c r="EX59" s="873"/>
      <c r="EY59" s="873"/>
      <c r="EZ59" s="873"/>
      <c r="FA59" s="873"/>
      <c r="FB59" s="873"/>
      <c r="FC59" s="873"/>
      <c r="FD59" s="873"/>
      <c r="FE59" s="873"/>
      <c r="FF59" s="873"/>
      <c r="FG59" s="873"/>
      <c r="FH59" s="873"/>
      <c r="FI59" s="873"/>
      <c r="FJ59" s="873"/>
      <c r="FK59" s="873"/>
      <c r="FL59" s="873"/>
      <c r="FM59" s="873"/>
      <c r="FN59" s="873"/>
      <c r="FO59" s="873"/>
      <c r="FP59" s="873"/>
      <c r="FQ59" s="873"/>
      <c r="FR59" s="873"/>
      <c r="FS59" s="873"/>
      <c r="FT59" s="873"/>
      <c r="FU59" s="873"/>
      <c r="FV59" s="873"/>
      <c r="FW59" s="873"/>
      <c r="FX59" s="873"/>
      <c r="FY59" s="873"/>
      <c r="FZ59" s="873"/>
      <c r="GA59" s="873"/>
      <c r="GB59" s="873"/>
      <c r="GC59" s="873"/>
      <c r="GD59" s="873"/>
      <c r="GE59" s="873"/>
      <c r="GF59" s="873"/>
      <c r="GG59" s="873"/>
      <c r="GH59" s="873"/>
      <c r="GI59" s="873"/>
      <c r="GJ59" s="873"/>
      <c r="GK59" s="873"/>
      <c r="GL59" s="873"/>
      <c r="GM59" s="873"/>
      <c r="GN59" s="873"/>
      <c r="GO59" s="873"/>
      <c r="GP59" s="873"/>
      <c r="GQ59" s="873"/>
      <c r="GR59" s="873"/>
      <c r="GS59" s="873"/>
      <c r="GT59" s="873"/>
      <c r="GU59" s="873"/>
      <c r="GV59" s="873"/>
      <c r="GW59" s="873"/>
      <c r="GX59" s="873"/>
      <c r="GY59" s="873"/>
      <c r="GZ59" s="873"/>
      <c r="HA59" s="873"/>
      <c r="HB59" s="873"/>
      <c r="HC59" s="873"/>
      <c r="HD59" s="873"/>
      <c r="HE59" s="873"/>
      <c r="HF59" s="873"/>
      <c r="HG59" s="873"/>
      <c r="HH59" s="873"/>
      <c r="HI59" s="873"/>
      <c r="HJ59" s="873"/>
      <c r="HK59" s="873"/>
      <c r="HL59" s="873"/>
      <c r="HM59" s="873"/>
      <c r="HN59" s="873"/>
      <c r="HO59" s="873"/>
      <c r="HP59" s="873"/>
      <c r="HQ59" s="873"/>
      <c r="HR59" s="873"/>
      <c r="HS59" s="873"/>
      <c r="HT59" s="873"/>
      <c r="HU59" s="873"/>
      <c r="HV59" s="873"/>
      <c r="HW59" s="873"/>
      <c r="HX59" s="873"/>
      <c r="HY59" s="873"/>
      <c r="HZ59" s="873"/>
      <c r="IA59" s="873"/>
      <c r="IB59" s="873"/>
      <c r="IC59" s="873"/>
      <c r="ID59" s="873"/>
      <c r="IE59" s="873"/>
      <c r="IF59" s="873"/>
      <c r="IG59" s="873"/>
      <c r="IH59" s="873"/>
      <c r="II59" s="873"/>
      <c r="IJ59" s="873"/>
      <c r="IK59" s="873"/>
      <c r="IL59" s="873"/>
      <c r="IM59" s="873"/>
      <c r="IN59" s="873"/>
      <c r="IO59" s="873"/>
      <c r="IP59" s="873"/>
      <c r="IQ59" s="873"/>
      <c r="IR59" s="873"/>
      <c r="IS59" s="873"/>
      <c r="IT59" s="873"/>
      <c r="IU59" s="873"/>
      <c r="IV59" s="873"/>
      <c r="IW59" s="873"/>
    </row>
    <row r="60" spans="1:257" s="876" customFormat="1" ht="70">
      <c r="A60" s="2498" t="s">
        <v>1199</v>
      </c>
      <c r="B60" s="1144" t="s">
        <v>1640</v>
      </c>
      <c r="C60" s="1117">
        <v>3</v>
      </c>
      <c r="D60" s="1117">
        <v>3</v>
      </c>
      <c r="E60" s="1118" t="s">
        <v>1403</v>
      </c>
      <c r="F60" s="1119" t="str">
        <f>IF(Scoring!I69="","",Scoring!I69)</f>
        <v/>
      </c>
      <c r="G60" s="1120"/>
      <c r="H60" s="1120"/>
      <c r="I60" s="1121" t="s">
        <v>2103</v>
      </c>
      <c r="J60" s="1122"/>
      <c r="K60" s="1122"/>
      <c r="L60" s="1123"/>
      <c r="M60" s="1124"/>
      <c r="N60" s="873"/>
      <c r="O60" s="877"/>
      <c r="P60" s="878"/>
      <c r="Q60" s="873"/>
      <c r="R60" s="873"/>
      <c r="S60" s="873"/>
      <c r="T60" s="873"/>
      <c r="U60" s="873"/>
      <c r="V60" s="873"/>
      <c r="W60" s="873"/>
      <c r="X60" s="873"/>
      <c r="Y60" s="873"/>
      <c r="Z60" s="873"/>
      <c r="AA60" s="873"/>
      <c r="AB60" s="873"/>
      <c r="AC60" s="873"/>
      <c r="AD60" s="873"/>
      <c r="AE60" s="873"/>
      <c r="AF60" s="873"/>
      <c r="AG60" s="873"/>
      <c r="AH60" s="873"/>
      <c r="AI60" s="873"/>
      <c r="AJ60" s="873"/>
      <c r="AK60" s="873"/>
      <c r="AL60" s="873"/>
      <c r="AM60" s="873"/>
      <c r="AN60" s="873"/>
      <c r="AO60" s="873"/>
      <c r="AP60" s="873"/>
      <c r="AQ60" s="873"/>
      <c r="AR60" s="873"/>
      <c r="AS60" s="873"/>
      <c r="AT60" s="873"/>
      <c r="AU60" s="873"/>
      <c r="AV60" s="873"/>
      <c r="AW60" s="873"/>
      <c r="AX60" s="873"/>
      <c r="AY60" s="873"/>
      <c r="AZ60" s="873"/>
      <c r="BA60" s="873"/>
      <c r="BB60" s="873"/>
      <c r="BC60" s="873"/>
      <c r="BD60" s="873"/>
      <c r="BE60" s="873"/>
      <c r="BF60" s="873"/>
      <c r="BG60" s="873"/>
      <c r="BH60" s="873"/>
      <c r="BI60" s="873"/>
      <c r="BJ60" s="873"/>
      <c r="BK60" s="873"/>
      <c r="BL60" s="873"/>
      <c r="BM60" s="873"/>
      <c r="BN60" s="873"/>
      <c r="BO60" s="873"/>
      <c r="BP60" s="873"/>
      <c r="BQ60" s="873"/>
      <c r="BR60" s="873"/>
      <c r="BS60" s="873"/>
      <c r="BT60" s="873"/>
      <c r="BU60" s="873"/>
      <c r="BV60" s="873"/>
      <c r="BW60" s="873"/>
      <c r="BX60" s="873"/>
      <c r="BY60" s="873"/>
      <c r="BZ60" s="873"/>
      <c r="CA60" s="873"/>
      <c r="CB60" s="873"/>
      <c r="CC60" s="873"/>
      <c r="CD60" s="873"/>
      <c r="CE60" s="873"/>
      <c r="CF60" s="873"/>
      <c r="CG60" s="873"/>
      <c r="CH60" s="873"/>
      <c r="CI60" s="873"/>
      <c r="CJ60" s="873"/>
      <c r="CK60" s="873"/>
      <c r="CL60" s="873"/>
      <c r="CM60" s="873"/>
      <c r="CN60" s="873"/>
      <c r="CO60" s="873"/>
      <c r="CP60" s="873"/>
      <c r="CQ60" s="873"/>
      <c r="CR60" s="873"/>
      <c r="CS60" s="873"/>
      <c r="CT60" s="873"/>
      <c r="CU60" s="873"/>
      <c r="CV60" s="873"/>
      <c r="CW60" s="873"/>
      <c r="CX60" s="873"/>
      <c r="CY60" s="873"/>
      <c r="CZ60" s="873"/>
      <c r="DA60" s="873"/>
      <c r="DB60" s="873"/>
      <c r="DC60" s="873"/>
      <c r="DD60" s="873"/>
      <c r="DE60" s="873"/>
      <c r="DF60" s="873"/>
      <c r="DG60" s="873"/>
      <c r="DH60" s="873"/>
      <c r="DI60" s="873"/>
      <c r="DJ60" s="873"/>
      <c r="DK60" s="873"/>
      <c r="DL60" s="873"/>
      <c r="DM60" s="873"/>
      <c r="DN60" s="873"/>
      <c r="DO60" s="873"/>
      <c r="DP60" s="873"/>
      <c r="DQ60" s="873"/>
      <c r="DR60" s="873"/>
      <c r="DS60" s="873"/>
      <c r="DT60" s="873"/>
      <c r="DU60" s="873"/>
      <c r="DV60" s="873"/>
      <c r="DW60" s="873"/>
      <c r="DX60" s="873"/>
      <c r="DY60" s="873"/>
      <c r="DZ60" s="873"/>
      <c r="EA60" s="873"/>
      <c r="EB60" s="873"/>
      <c r="EC60" s="873"/>
      <c r="ED60" s="873"/>
      <c r="EE60" s="873"/>
      <c r="EF60" s="873"/>
      <c r="EG60" s="873"/>
      <c r="EH60" s="873"/>
      <c r="EI60" s="873"/>
      <c r="EJ60" s="873"/>
      <c r="EK60" s="873"/>
      <c r="EL60" s="873"/>
      <c r="EM60" s="873"/>
      <c r="EN60" s="873"/>
      <c r="EO60" s="873"/>
      <c r="EP60" s="873"/>
      <c r="EQ60" s="873"/>
      <c r="ER60" s="873"/>
      <c r="ES60" s="873"/>
      <c r="ET60" s="873"/>
      <c r="EU60" s="873"/>
      <c r="EV60" s="873"/>
      <c r="EW60" s="873"/>
      <c r="EX60" s="873"/>
      <c r="EY60" s="873"/>
      <c r="EZ60" s="873"/>
      <c r="FA60" s="873"/>
      <c r="FB60" s="873"/>
      <c r="FC60" s="873"/>
      <c r="FD60" s="873"/>
      <c r="FE60" s="873"/>
      <c r="FF60" s="873"/>
      <c r="FG60" s="873"/>
      <c r="FH60" s="873"/>
      <c r="FI60" s="873"/>
      <c r="FJ60" s="873"/>
      <c r="FK60" s="873"/>
      <c r="FL60" s="873"/>
      <c r="FM60" s="873"/>
      <c r="FN60" s="873"/>
      <c r="FO60" s="873"/>
      <c r="FP60" s="873"/>
      <c r="FQ60" s="873"/>
      <c r="FR60" s="873"/>
      <c r="FS60" s="873"/>
      <c r="FT60" s="873"/>
      <c r="FU60" s="873"/>
      <c r="FV60" s="873"/>
      <c r="FW60" s="873"/>
      <c r="FX60" s="873"/>
      <c r="FY60" s="873"/>
      <c r="FZ60" s="873"/>
      <c r="GA60" s="873"/>
      <c r="GB60" s="873"/>
      <c r="GC60" s="873"/>
      <c r="GD60" s="873"/>
      <c r="GE60" s="873"/>
      <c r="GF60" s="873"/>
      <c r="GG60" s="873"/>
      <c r="GH60" s="873"/>
      <c r="GI60" s="873"/>
      <c r="GJ60" s="873"/>
      <c r="GK60" s="873"/>
      <c r="GL60" s="873"/>
      <c r="GM60" s="873"/>
      <c r="GN60" s="873"/>
      <c r="GO60" s="873"/>
      <c r="GP60" s="873"/>
      <c r="GQ60" s="873"/>
      <c r="GR60" s="873"/>
      <c r="GS60" s="873"/>
      <c r="GT60" s="873"/>
      <c r="GU60" s="873"/>
      <c r="GV60" s="873"/>
      <c r="GW60" s="873"/>
      <c r="GX60" s="873"/>
      <c r="GY60" s="873"/>
      <c r="GZ60" s="873"/>
      <c r="HA60" s="873"/>
      <c r="HB60" s="873"/>
      <c r="HC60" s="873"/>
      <c r="HD60" s="873"/>
      <c r="HE60" s="873"/>
      <c r="HF60" s="873"/>
      <c r="HG60" s="873"/>
      <c r="HH60" s="873"/>
      <c r="HI60" s="873"/>
      <c r="HJ60" s="873"/>
      <c r="HK60" s="873"/>
      <c r="HL60" s="873"/>
      <c r="HM60" s="873"/>
      <c r="HN60" s="873"/>
      <c r="HO60" s="873"/>
      <c r="HP60" s="873"/>
      <c r="HQ60" s="873"/>
      <c r="HR60" s="873"/>
      <c r="HS60" s="873"/>
      <c r="HT60" s="873"/>
      <c r="HU60" s="873"/>
      <c r="HV60" s="873"/>
      <c r="HW60" s="873"/>
      <c r="HX60" s="873"/>
      <c r="HY60" s="873"/>
      <c r="HZ60" s="873"/>
      <c r="IA60" s="873"/>
      <c r="IB60" s="873"/>
      <c r="IC60" s="873"/>
      <c r="ID60" s="873"/>
      <c r="IE60" s="873"/>
      <c r="IF60" s="873"/>
      <c r="IG60" s="873"/>
      <c r="IH60" s="873"/>
      <c r="II60" s="873"/>
      <c r="IJ60" s="873"/>
      <c r="IK60" s="873"/>
      <c r="IL60" s="873"/>
      <c r="IM60" s="873"/>
      <c r="IN60" s="873"/>
      <c r="IO60" s="873"/>
      <c r="IP60" s="873"/>
      <c r="IQ60" s="873"/>
      <c r="IR60" s="873"/>
      <c r="IS60" s="873"/>
      <c r="IT60" s="873"/>
      <c r="IU60" s="873"/>
      <c r="IV60" s="873"/>
      <c r="IW60" s="873"/>
    </row>
    <row r="61" spans="1:257" ht="112">
      <c r="A61" s="2499"/>
      <c r="B61" s="1145" t="s">
        <v>1641</v>
      </c>
      <c r="C61" s="1126">
        <v>5</v>
      </c>
      <c r="D61" s="1126">
        <v>6</v>
      </c>
      <c r="E61" s="1127" t="s">
        <v>1404</v>
      </c>
      <c r="F61" s="1128" t="str">
        <f>IF(Scoring!I70="","",Scoring!I70)</f>
        <v/>
      </c>
      <c r="G61" s="1129"/>
      <c r="H61" s="1129"/>
      <c r="I61" s="1130" t="s">
        <v>2603</v>
      </c>
      <c r="J61" s="1131"/>
      <c r="K61" s="1131"/>
      <c r="L61" s="1132"/>
      <c r="M61" s="1133"/>
      <c r="O61" s="867"/>
      <c r="P61" s="868"/>
    </row>
    <row r="62" spans="1:257" ht="84">
      <c r="A62" s="2499"/>
      <c r="B62" s="1145" t="s">
        <v>1642</v>
      </c>
      <c r="C62" s="1126">
        <v>5</v>
      </c>
      <c r="D62" s="1126">
        <v>5</v>
      </c>
      <c r="E62" s="1127" t="s">
        <v>1405</v>
      </c>
      <c r="F62" s="1128" t="str">
        <f>IF(Scoring!I71="","",Scoring!I71)</f>
        <v/>
      </c>
      <c r="G62" s="1129"/>
      <c r="H62" s="1129"/>
      <c r="I62" s="1130" t="s">
        <v>2543</v>
      </c>
      <c r="J62" s="1131"/>
      <c r="K62" s="1131"/>
      <c r="L62" s="1132"/>
      <c r="M62" s="1133"/>
      <c r="O62" s="867"/>
      <c r="P62" s="868"/>
    </row>
    <row r="63" spans="1:257" ht="56">
      <c r="A63" s="2499"/>
      <c r="B63" s="1145" t="s">
        <v>1643</v>
      </c>
      <c r="C63" s="1126">
        <v>5</v>
      </c>
      <c r="D63" s="1126">
        <v>6</v>
      </c>
      <c r="E63" s="1127" t="s">
        <v>1406</v>
      </c>
      <c r="F63" s="1128" t="str">
        <f>IF(Scoring!I72="","",Scoring!I72)</f>
        <v/>
      </c>
      <c r="G63" s="1129"/>
      <c r="H63" s="1129"/>
      <c r="I63" s="1130" t="s">
        <v>2106</v>
      </c>
      <c r="J63" s="1131"/>
      <c r="K63" s="1131"/>
      <c r="L63" s="1132"/>
      <c r="M63" s="1133"/>
      <c r="O63" s="867"/>
      <c r="P63" s="868"/>
    </row>
    <row r="64" spans="1:257" s="876" customFormat="1" ht="154">
      <c r="A64" s="2500"/>
      <c r="B64" s="1146" t="s">
        <v>1644</v>
      </c>
      <c r="C64" s="1135">
        <v>5</v>
      </c>
      <c r="D64" s="1135">
        <v>6</v>
      </c>
      <c r="E64" s="1136" t="s">
        <v>1407</v>
      </c>
      <c r="F64" s="1137" t="str">
        <f>IF(Scoring!I73="","",Scoring!I73)</f>
        <v/>
      </c>
      <c r="G64" s="1138"/>
      <c r="H64" s="1138"/>
      <c r="I64" s="1139" t="s">
        <v>2107</v>
      </c>
      <c r="J64" s="1140">
        <f>COUNT(F60:F64)</f>
        <v>0</v>
      </c>
      <c r="K64" s="1140"/>
      <c r="L64" s="1141">
        <f>SUM(F60:F64)</f>
        <v>0</v>
      </c>
      <c r="M64" s="1142">
        <f>IF(L64&lt;3,0,1)</f>
        <v>0</v>
      </c>
      <c r="N64" s="873"/>
      <c r="O64" s="874"/>
      <c r="P64" s="875">
        <f>COUNTA(F60:F64)</f>
        <v>5</v>
      </c>
      <c r="Q64" s="873"/>
      <c r="R64" s="873"/>
      <c r="S64" s="873"/>
      <c r="T64" s="873"/>
      <c r="U64" s="873"/>
      <c r="V64" s="873"/>
      <c r="W64" s="873"/>
      <c r="X64" s="873"/>
      <c r="Y64" s="873"/>
      <c r="Z64" s="873"/>
      <c r="AA64" s="873"/>
      <c r="AB64" s="873"/>
      <c r="AC64" s="873"/>
      <c r="AD64" s="873"/>
      <c r="AE64" s="873"/>
      <c r="AF64" s="873"/>
      <c r="AG64" s="873"/>
      <c r="AH64" s="873"/>
      <c r="AI64" s="873"/>
      <c r="AJ64" s="873"/>
      <c r="AK64" s="873"/>
      <c r="AL64" s="873"/>
      <c r="AM64" s="873"/>
      <c r="AN64" s="873"/>
      <c r="AO64" s="873"/>
      <c r="AP64" s="873"/>
      <c r="AQ64" s="873"/>
      <c r="AR64" s="873"/>
      <c r="AS64" s="873"/>
      <c r="AT64" s="873"/>
      <c r="AU64" s="873"/>
      <c r="AV64" s="873"/>
      <c r="AW64" s="873"/>
      <c r="AX64" s="873"/>
      <c r="AY64" s="873"/>
      <c r="AZ64" s="873"/>
      <c r="BA64" s="873"/>
      <c r="BB64" s="873"/>
      <c r="BC64" s="873"/>
      <c r="BD64" s="873"/>
      <c r="BE64" s="873"/>
      <c r="BF64" s="873"/>
      <c r="BG64" s="873"/>
      <c r="BH64" s="873"/>
      <c r="BI64" s="873"/>
      <c r="BJ64" s="873"/>
      <c r="BK64" s="873"/>
      <c r="BL64" s="873"/>
      <c r="BM64" s="873"/>
      <c r="BN64" s="873"/>
      <c r="BO64" s="873"/>
      <c r="BP64" s="873"/>
      <c r="BQ64" s="873"/>
      <c r="BR64" s="873"/>
      <c r="BS64" s="873"/>
      <c r="BT64" s="873"/>
      <c r="BU64" s="873"/>
      <c r="BV64" s="873"/>
      <c r="BW64" s="873"/>
      <c r="BX64" s="873"/>
      <c r="BY64" s="873"/>
      <c r="BZ64" s="873"/>
      <c r="CA64" s="873"/>
      <c r="CB64" s="873"/>
      <c r="CC64" s="873"/>
      <c r="CD64" s="873"/>
      <c r="CE64" s="873"/>
      <c r="CF64" s="873"/>
      <c r="CG64" s="873"/>
      <c r="CH64" s="873"/>
      <c r="CI64" s="873"/>
      <c r="CJ64" s="873"/>
      <c r="CK64" s="873"/>
      <c r="CL64" s="873"/>
      <c r="CM64" s="873"/>
      <c r="CN64" s="873"/>
      <c r="CO64" s="873"/>
      <c r="CP64" s="873"/>
      <c r="CQ64" s="873"/>
      <c r="CR64" s="873"/>
      <c r="CS64" s="873"/>
      <c r="CT64" s="873"/>
      <c r="CU64" s="873"/>
      <c r="CV64" s="873"/>
      <c r="CW64" s="873"/>
      <c r="CX64" s="873"/>
      <c r="CY64" s="873"/>
      <c r="CZ64" s="873"/>
      <c r="DA64" s="873"/>
      <c r="DB64" s="873"/>
      <c r="DC64" s="873"/>
      <c r="DD64" s="873"/>
      <c r="DE64" s="873"/>
      <c r="DF64" s="873"/>
      <c r="DG64" s="873"/>
      <c r="DH64" s="873"/>
      <c r="DI64" s="873"/>
      <c r="DJ64" s="873"/>
      <c r="DK64" s="873"/>
      <c r="DL64" s="873"/>
      <c r="DM64" s="873"/>
      <c r="DN64" s="873"/>
      <c r="DO64" s="873"/>
      <c r="DP64" s="873"/>
      <c r="DQ64" s="873"/>
      <c r="DR64" s="873"/>
      <c r="DS64" s="873"/>
      <c r="DT64" s="873"/>
      <c r="DU64" s="873"/>
      <c r="DV64" s="873"/>
      <c r="DW64" s="873"/>
      <c r="DX64" s="873"/>
      <c r="DY64" s="873"/>
      <c r="DZ64" s="873"/>
      <c r="EA64" s="873"/>
      <c r="EB64" s="873"/>
      <c r="EC64" s="873"/>
      <c r="ED64" s="873"/>
      <c r="EE64" s="873"/>
      <c r="EF64" s="873"/>
      <c r="EG64" s="873"/>
      <c r="EH64" s="873"/>
      <c r="EI64" s="873"/>
      <c r="EJ64" s="873"/>
      <c r="EK64" s="873"/>
      <c r="EL64" s="873"/>
      <c r="EM64" s="873"/>
      <c r="EN64" s="873"/>
      <c r="EO64" s="873"/>
      <c r="EP64" s="873"/>
      <c r="EQ64" s="873"/>
      <c r="ER64" s="873"/>
      <c r="ES64" s="873"/>
      <c r="ET64" s="873"/>
      <c r="EU64" s="873"/>
      <c r="EV64" s="873"/>
      <c r="EW64" s="873"/>
      <c r="EX64" s="873"/>
      <c r="EY64" s="873"/>
      <c r="EZ64" s="873"/>
      <c r="FA64" s="873"/>
      <c r="FB64" s="873"/>
      <c r="FC64" s="873"/>
      <c r="FD64" s="873"/>
      <c r="FE64" s="873"/>
      <c r="FF64" s="873"/>
      <c r="FG64" s="873"/>
      <c r="FH64" s="873"/>
      <c r="FI64" s="873"/>
      <c r="FJ64" s="873"/>
      <c r="FK64" s="873"/>
      <c r="FL64" s="873"/>
      <c r="FM64" s="873"/>
      <c r="FN64" s="873"/>
      <c r="FO64" s="873"/>
      <c r="FP64" s="873"/>
      <c r="FQ64" s="873"/>
      <c r="FR64" s="873"/>
      <c r="FS64" s="873"/>
      <c r="FT64" s="873"/>
      <c r="FU64" s="873"/>
      <c r="FV64" s="873"/>
      <c r="FW64" s="873"/>
      <c r="FX64" s="873"/>
      <c r="FY64" s="873"/>
      <c r="FZ64" s="873"/>
      <c r="GA64" s="873"/>
      <c r="GB64" s="873"/>
      <c r="GC64" s="873"/>
      <c r="GD64" s="873"/>
      <c r="GE64" s="873"/>
      <c r="GF64" s="873"/>
      <c r="GG64" s="873"/>
      <c r="GH64" s="873"/>
      <c r="GI64" s="873"/>
      <c r="GJ64" s="873"/>
      <c r="GK64" s="873"/>
      <c r="GL64" s="873"/>
      <c r="GM64" s="873"/>
      <c r="GN64" s="873"/>
      <c r="GO64" s="873"/>
      <c r="GP64" s="873"/>
      <c r="GQ64" s="873"/>
      <c r="GR64" s="873"/>
      <c r="GS64" s="873"/>
      <c r="GT64" s="873"/>
      <c r="GU64" s="873"/>
      <c r="GV64" s="873"/>
      <c r="GW64" s="873"/>
      <c r="GX64" s="873"/>
      <c r="GY64" s="873"/>
      <c r="GZ64" s="873"/>
      <c r="HA64" s="873"/>
      <c r="HB64" s="873"/>
      <c r="HC64" s="873"/>
      <c r="HD64" s="873"/>
      <c r="HE64" s="873"/>
      <c r="HF64" s="873"/>
      <c r="HG64" s="873"/>
      <c r="HH64" s="873"/>
      <c r="HI64" s="873"/>
      <c r="HJ64" s="873"/>
      <c r="HK64" s="873"/>
      <c r="HL64" s="873"/>
      <c r="HM64" s="873"/>
      <c r="HN64" s="873"/>
      <c r="HO64" s="873"/>
      <c r="HP64" s="873"/>
      <c r="HQ64" s="873"/>
      <c r="HR64" s="873"/>
      <c r="HS64" s="873"/>
      <c r="HT64" s="873"/>
      <c r="HU64" s="873"/>
      <c r="HV64" s="873"/>
      <c r="HW64" s="873"/>
      <c r="HX64" s="873"/>
      <c r="HY64" s="873"/>
      <c r="HZ64" s="873"/>
      <c r="IA64" s="873"/>
      <c r="IB64" s="873"/>
      <c r="IC64" s="873"/>
      <c r="ID64" s="873"/>
      <c r="IE64" s="873"/>
      <c r="IF64" s="873"/>
      <c r="IG64" s="873"/>
      <c r="IH64" s="873"/>
      <c r="II64" s="873"/>
      <c r="IJ64" s="873"/>
      <c r="IK64" s="873"/>
      <c r="IL64" s="873"/>
      <c r="IM64" s="873"/>
      <c r="IN64" s="873"/>
      <c r="IO64" s="873"/>
      <c r="IP64" s="873"/>
      <c r="IQ64" s="873"/>
      <c r="IR64" s="873"/>
      <c r="IS64" s="873"/>
      <c r="IT64" s="873"/>
      <c r="IU64" s="873"/>
      <c r="IV64" s="873"/>
      <c r="IW64" s="873"/>
    </row>
    <row r="65" spans="1:257" s="876" customFormat="1">
      <c r="A65" s="873"/>
      <c r="B65" s="873"/>
      <c r="C65" s="873"/>
      <c r="D65" s="873"/>
      <c r="E65" s="873"/>
      <c r="F65" s="873"/>
      <c r="G65" s="873"/>
      <c r="H65" s="873"/>
      <c r="I65" s="873"/>
      <c r="J65" s="873"/>
      <c r="K65" s="873"/>
      <c r="L65" s="873"/>
      <c r="M65" s="873"/>
      <c r="N65" s="873"/>
      <c r="O65" s="873"/>
      <c r="P65" s="873"/>
      <c r="Q65" s="873"/>
      <c r="R65" s="873"/>
      <c r="S65" s="873"/>
      <c r="T65" s="873"/>
      <c r="U65" s="873"/>
      <c r="V65" s="873"/>
      <c r="W65" s="873"/>
      <c r="X65" s="873"/>
      <c r="Y65" s="873"/>
      <c r="Z65" s="873"/>
      <c r="AA65" s="873"/>
      <c r="AB65" s="873"/>
      <c r="AC65" s="873"/>
      <c r="AD65" s="873"/>
      <c r="AE65" s="873"/>
      <c r="AF65" s="873"/>
      <c r="AG65" s="873"/>
      <c r="AH65" s="873"/>
      <c r="AI65" s="873"/>
      <c r="AJ65" s="873"/>
      <c r="AK65" s="873"/>
      <c r="AL65" s="873"/>
      <c r="AM65" s="873"/>
      <c r="AN65" s="873"/>
      <c r="AO65" s="873"/>
      <c r="AP65" s="873"/>
      <c r="AQ65" s="873"/>
      <c r="AR65" s="873"/>
      <c r="AS65" s="873"/>
      <c r="AT65" s="873"/>
      <c r="AU65" s="873"/>
      <c r="AV65" s="873"/>
      <c r="AW65" s="873"/>
      <c r="AX65" s="873"/>
      <c r="AY65" s="873"/>
      <c r="AZ65" s="873"/>
      <c r="BA65" s="873"/>
      <c r="BB65" s="873"/>
      <c r="BC65" s="873"/>
      <c r="BD65" s="873"/>
      <c r="BE65" s="873"/>
      <c r="BF65" s="873"/>
      <c r="BG65" s="873"/>
      <c r="BH65" s="873"/>
      <c r="BI65" s="873"/>
      <c r="BJ65" s="873"/>
      <c r="BK65" s="873"/>
      <c r="BL65" s="873"/>
      <c r="BM65" s="873"/>
      <c r="BN65" s="873"/>
      <c r="BO65" s="873"/>
      <c r="BP65" s="873"/>
      <c r="BQ65" s="873"/>
      <c r="BR65" s="873"/>
      <c r="BS65" s="873"/>
      <c r="BT65" s="873"/>
      <c r="BU65" s="873"/>
      <c r="BV65" s="873"/>
      <c r="BW65" s="873"/>
      <c r="BX65" s="873"/>
      <c r="BY65" s="873"/>
      <c r="BZ65" s="873"/>
      <c r="CA65" s="873"/>
      <c r="CB65" s="873"/>
      <c r="CC65" s="873"/>
      <c r="CD65" s="873"/>
      <c r="CE65" s="873"/>
      <c r="CF65" s="873"/>
      <c r="CG65" s="873"/>
      <c r="CH65" s="873"/>
      <c r="CI65" s="873"/>
      <c r="CJ65" s="873"/>
      <c r="CK65" s="873"/>
      <c r="CL65" s="873"/>
      <c r="CM65" s="873"/>
      <c r="CN65" s="873"/>
      <c r="CO65" s="873"/>
      <c r="CP65" s="873"/>
      <c r="CQ65" s="873"/>
      <c r="CR65" s="873"/>
      <c r="CS65" s="873"/>
      <c r="CT65" s="873"/>
      <c r="CU65" s="873"/>
      <c r="CV65" s="873"/>
      <c r="CW65" s="873"/>
      <c r="CX65" s="873"/>
      <c r="CY65" s="873"/>
      <c r="CZ65" s="873"/>
      <c r="DA65" s="873"/>
      <c r="DB65" s="873"/>
      <c r="DC65" s="873"/>
      <c r="DD65" s="873"/>
      <c r="DE65" s="873"/>
      <c r="DF65" s="873"/>
      <c r="DG65" s="873"/>
      <c r="DH65" s="873"/>
      <c r="DI65" s="873"/>
      <c r="DJ65" s="873"/>
      <c r="DK65" s="873"/>
      <c r="DL65" s="873"/>
      <c r="DM65" s="873"/>
      <c r="DN65" s="873"/>
      <c r="DO65" s="873"/>
      <c r="DP65" s="873"/>
      <c r="DQ65" s="873"/>
      <c r="DR65" s="873"/>
      <c r="DS65" s="873"/>
      <c r="DT65" s="873"/>
      <c r="DU65" s="873"/>
      <c r="DV65" s="873"/>
      <c r="DW65" s="873"/>
      <c r="DX65" s="873"/>
      <c r="DY65" s="873"/>
      <c r="DZ65" s="873"/>
      <c r="EA65" s="873"/>
      <c r="EB65" s="873"/>
      <c r="EC65" s="873"/>
      <c r="ED65" s="873"/>
      <c r="EE65" s="873"/>
      <c r="EF65" s="873"/>
      <c r="EG65" s="873"/>
      <c r="EH65" s="873"/>
      <c r="EI65" s="873"/>
      <c r="EJ65" s="873"/>
      <c r="EK65" s="873"/>
      <c r="EL65" s="873"/>
      <c r="EM65" s="873"/>
      <c r="EN65" s="873"/>
      <c r="EO65" s="873"/>
      <c r="EP65" s="873"/>
      <c r="EQ65" s="873"/>
      <c r="ER65" s="873"/>
      <c r="ES65" s="873"/>
      <c r="ET65" s="873"/>
      <c r="EU65" s="873"/>
      <c r="EV65" s="873"/>
      <c r="EW65" s="873"/>
      <c r="EX65" s="873"/>
      <c r="EY65" s="873"/>
      <c r="EZ65" s="873"/>
      <c r="FA65" s="873"/>
      <c r="FB65" s="873"/>
      <c r="FC65" s="873"/>
      <c r="FD65" s="873"/>
      <c r="FE65" s="873"/>
      <c r="FF65" s="873"/>
      <c r="FG65" s="873"/>
      <c r="FH65" s="873"/>
      <c r="FI65" s="873"/>
      <c r="FJ65" s="873"/>
      <c r="FK65" s="873"/>
      <c r="FL65" s="873"/>
      <c r="FM65" s="873"/>
      <c r="FN65" s="873"/>
      <c r="FO65" s="873"/>
      <c r="FP65" s="873"/>
      <c r="FQ65" s="873"/>
      <c r="FR65" s="873"/>
      <c r="FS65" s="873"/>
      <c r="FT65" s="873"/>
      <c r="FU65" s="873"/>
      <c r="FV65" s="873"/>
      <c r="FW65" s="873"/>
      <c r="FX65" s="873"/>
      <c r="FY65" s="873"/>
      <c r="FZ65" s="873"/>
      <c r="GA65" s="873"/>
      <c r="GB65" s="873"/>
      <c r="GC65" s="873"/>
      <c r="GD65" s="873"/>
      <c r="GE65" s="873"/>
      <c r="GF65" s="873"/>
      <c r="GG65" s="873"/>
      <c r="GH65" s="873"/>
      <c r="GI65" s="873"/>
      <c r="GJ65" s="873"/>
      <c r="GK65" s="873"/>
      <c r="GL65" s="873"/>
      <c r="GM65" s="873"/>
      <c r="GN65" s="873"/>
      <c r="GO65" s="873"/>
      <c r="GP65" s="873"/>
      <c r="GQ65" s="873"/>
      <c r="GR65" s="873"/>
      <c r="GS65" s="873"/>
      <c r="GT65" s="873"/>
      <c r="GU65" s="873"/>
      <c r="GV65" s="873"/>
      <c r="GW65" s="873"/>
      <c r="GX65" s="873"/>
      <c r="GY65" s="873"/>
      <c r="GZ65" s="873"/>
      <c r="HA65" s="873"/>
      <c r="HB65" s="873"/>
      <c r="HC65" s="873"/>
      <c r="HD65" s="873"/>
      <c r="HE65" s="873"/>
      <c r="HF65" s="873"/>
      <c r="HG65" s="873"/>
      <c r="HH65" s="873"/>
      <c r="HI65" s="873"/>
      <c r="HJ65" s="873"/>
      <c r="HK65" s="873"/>
      <c r="HL65" s="873"/>
      <c r="HM65" s="873"/>
      <c r="HN65" s="873"/>
      <c r="HO65" s="873"/>
      <c r="HP65" s="873"/>
      <c r="HQ65" s="873"/>
      <c r="HR65" s="873"/>
      <c r="HS65" s="873"/>
      <c r="HT65" s="873"/>
      <c r="HU65" s="873"/>
      <c r="HV65" s="873"/>
      <c r="HW65" s="873"/>
      <c r="HX65" s="873"/>
      <c r="HY65" s="873"/>
      <c r="HZ65" s="873"/>
      <c r="IA65" s="873"/>
      <c r="IB65" s="873"/>
      <c r="IC65" s="873"/>
      <c r="ID65" s="873"/>
      <c r="IE65" s="873"/>
      <c r="IF65" s="873"/>
      <c r="IG65" s="873"/>
      <c r="IH65" s="873"/>
      <c r="II65" s="873"/>
      <c r="IJ65" s="873"/>
      <c r="IK65" s="873"/>
      <c r="IL65" s="873"/>
      <c r="IM65" s="873"/>
      <c r="IN65" s="873"/>
      <c r="IO65" s="873"/>
      <c r="IP65" s="873"/>
      <c r="IQ65" s="873"/>
      <c r="IR65" s="873"/>
      <c r="IS65" s="873"/>
      <c r="IT65" s="873"/>
      <c r="IU65" s="873"/>
      <c r="IV65" s="873"/>
      <c r="IW65" s="873"/>
    </row>
    <row r="66" spans="1:257" s="876" customFormat="1" ht="98">
      <c r="A66" s="2498" t="s">
        <v>251</v>
      </c>
      <c r="B66" s="1144" t="s">
        <v>1645</v>
      </c>
      <c r="C66" s="1117">
        <v>4</v>
      </c>
      <c r="D66" s="1117">
        <v>4</v>
      </c>
      <c r="E66" s="1118" t="s">
        <v>1408</v>
      </c>
      <c r="F66" s="1119" t="str">
        <f>IF(Scoring!I75="","",Scoring!I75)</f>
        <v/>
      </c>
      <c r="G66" s="1120"/>
      <c r="H66" s="1120"/>
      <c r="I66" s="1121" t="s">
        <v>2108</v>
      </c>
      <c r="J66" s="1122"/>
      <c r="K66" s="1122"/>
      <c r="L66" s="1123"/>
      <c r="M66" s="1124"/>
      <c r="N66" s="873"/>
      <c r="O66" s="877"/>
      <c r="P66" s="878"/>
      <c r="Q66" s="873"/>
      <c r="R66" s="873"/>
      <c r="S66" s="873"/>
      <c r="T66" s="873"/>
      <c r="U66" s="873"/>
      <c r="V66" s="873"/>
      <c r="W66" s="873"/>
      <c r="X66" s="873"/>
      <c r="Y66" s="873"/>
      <c r="Z66" s="873"/>
      <c r="AA66" s="873"/>
      <c r="AB66" s="873"/>
      <c r="AC66" s="873"/>
      <c r="AD66" s="873"/>
      <c r="AE66" s="873"/>
      <c r="AF66" s="873"/>
      <c r="AG66" s="873"/>
      <c r="AH66" s="873"/>
      <c r="AI66" s="873"/>
      <c r="AJ66" s="873"/>
      <c r="AK66" s="873"/>
      <c r="AL66" s="873"/>
      <c r="AM66" s="873"/>
      <c r="AN66" s="873"/>
      <c r="AO66" s="873"/>
      <c r="AP66" s="873"/>
      <c r="AQ66" s="873"/>
      <c r="AR66" s="873"/>
      <c r="AS66" s="873"/>
      <c r="AT66" s="873"/>
      <c r="AU66" s="873"/>
      <c r="AV66" s="873"/>
      <c r="AW66" s="873"/>
      <c r="AX66" s="873"/>
      <c r="AY66" s="873"/>
      <c r="AZ66" s="873"/>
      <c r="BA66" s="873"/>
      <c r="BB66" s="873"/>
      <c r="BC66" s="873"/>
      <c r="BD66" s="873"/>
      <c r="BE66" s="873"/>
      <c r="BF66" s="873"/>
      <c r="BG66" s="873"/>
      <c r="BH66" s="873"/>
      <c r="BI66" s="873"/>
      <c r="BJ66" s="873"/>
      <c r="BK66" s="873"/>
      <c r="BL66" s="873"/>
      <c r="BM66" s="873"/>
      <c r="BN66" s="873"/>
      <c r="BO66" s="873"/>
      <c r="BP66" s="873"/>
      <c r="BQ66" s="873"/>
      <c r="BR66" s="873"/>
      <c r="BS66" s="873"/>
      <c r="BT66" s="873"/>
      <c r="BU66" s="873"/>
      <c r="BV66" s="873"/>
      <c r="BW66" s="873"/>
      <c r="BX66" s="873"/>
      <c r="BY66" s="873"/>
      <c r="BZ66" s="873"/>
      <c r="CA66" s="873"/>
      <c r="CB66" s="873"/>
      <c r="CC66" s="873"/>
      <c r="CD66" s="873"/>
      <c r="CE66" s="873"/>
      <c r="CF66" s="873"/>
      <c r="CG66" s="873"/>
      <c r="CH66" s="873"/>
      <c r="CI66" s="873"/>
      <c r="CJ66" s="873"/>
      <c r="CK66" s="873"/>
      <c r="CL66" s="873"/>
      <c r="CM66" s="873"/>
      <c r="CN66" s="873"/>
      <c r="CO66" s="873"/>
      <c r="CP66" s="873"/>
      <c r="CQ66" s="873"/>
      <c r="CR66" s="873"/>
      <c r="CS66" s="873"/>
      <c r="CT66" s="873"/>
      <c r="CU66" s="873"/>
      <c r="CV66" s="873"/>
      <c r="CW66" s="873"/>
      <c r="CX66" s="873"/>
      <c r="CY66" s="873"/>
      <c r="CZ66" s="873"/>
      <c r="DA66" s="873"/>
      <c r="DB66" s="873"/>
      <c r="DC66" s="873"/>
      <c r="DD66" s="873"/>
      <c r="DE66" s="873"/>
      <c r="DF66" s="873"/>
      <c r="DG66" s="873"/>
      <c r="DH66" s="873"/>
      <c r="DI66" s="873"/>
      <c r="DJ66" s="873"/>
      <c r="DK66" s="873"/>
      <c r="DL66" s="873"/>
      <c r="DM66" s="873"/>
      <c r="DN66" s="873"/>
      <c r="DO66" s="873"/>
      <c r="DP66" s="873"/>
      <c r="DQ66" s="873"/>
      <c r="DR66" s="873"/>
      <c r="DS66" s="873"/>
      <c r="DT66" s="873"/>
      <c r="DU66" s="873"/>
      <c r="DV66" s="873"/>
      <c r="DW66" s="873"/>
      <c r="DX66" s="873"/>
      <c r="DY66" s="873"/>
      <c r="DZ66" s="873"/>
      <c r="EA66" s="873"/>
      <c r="EB66" s="873"/>
      <c r="EC66" s="873"/>
      <c r="ED66" s="873"/>
      <c r="EE66" s="873"/>
      <c r="EF66" s="873"/>
      <c r="EG66" s="873"/>
      <c r="EH66" s="873"/>
      <c r="EI66" s="873"/>
      <c r="EJ66" s="873"/>
      <c r="EK66" s="873"/>
      <c r="EL66" s="873"/>
      <c r="EM66" s="873"/>
      <c r="EN66" s="873"/>
      <c r="EO66" s="873"/>
      <c r="EP66" s="873"/>
      <c r="EQ66" s="873"/>
      <c r="ER66" s="873"/>
      <c r="ES66" s="873"/>
      <c r="ET66" s="873"/>
      <c r="EU66" s="873"/>
      <c r="EV66" s="873"/>
      <c r="EW66" s="873"/>
      <c r="EX66" s="873"/>
      <c r="EY66" s="873"/>
      <c r="EZ66" s="873"/>
      <c r="FA66" s="873"/>
      <c r="FB66" s="873"/>
      <c r="FC66" s="873"/>
      <c r="FD66" s="873"/>
      <c r="FE66" s="873"/>
      <c r="FF66" s="873"/>
      <c r="FG66" s="873"/>
      <c r="FH66" s="873"/>
      <c r="FI66" s="873"/>
      <c r="FJ66" s="873"/>
      <c r="FK66" s="873"/>
      <c r="FL66" s="873"/>
      <c r="FM66" s="873"/>
      <c r="FN66" s="873"/>
      <c r="FO66" s="873"/>
      <c r="FP66" s="873"/>
      <c r="FQ66" s="873"/>
      <c r="FR66" s="873"/>
      <c r="FS66" s="873"/>
      <c r="FT66" s="873"/>
      <c r="FU66" s="873"/>
      <c r="FV66" s="873"/>
      <c r="FW66" s="873"/>
      <c r="FX66" s="873"/>
      <c r="FY66" s="873"/>
      <c r="FZ66" s="873"/>
      <c r="GA66" s="873"/>
      <c r="GB66" s="873"/>
      <c r="GC66" s="873"/>
      <c r="GD66" s="873"/>
      <c r="GE66" s="873"/>
      <c r="GF66" s="873"/>
      <c r="GG66" s="873"/>
      <c r="GH66" s="873"/>
      <c r="GI66" s="873"/>
      <c r="GJ66" s="873"/>
      <c r="GK66" s="873"/>
      <c r="GL66" s="873"/>
      <c r="GM66" s="873"/>
      <c r="GN66" s="873"/>
      <c r="GO66" s="873"/>
      <c r="GP66" s="873"/>
      <c r="GQ66" s="873"/>
      <c r="GR66" s="873"/>
      <c r="GS66" s="873"/>
      <c r="GT66" s="873"/>
      <c r="GU66" s="873"/>
      <c r="GV66" s="873"/>
      <c r="GW66" s="873"/>
      <c r="GX66" s="873"/>
      <c r="GY66" s="873"/>
      <c r="GZ66" s="873"/>
      <c r="HA66" s="873"/>
      <c r="HB66" s="873"/>
      <c r="HC66" s="873"/>
      <c r="HD66" s="873"/>
      <c r="HE66" s="873"/>
      <c r="HF66" s="873"/>
      <c r="HG66" s="873"/>
      <c r="HH66" s="873"/>
      <c r="HI66" s="873"/>
      <c r="HJ66" s="873"/>
      <c r="HK66" s="873"/>
      <c r="HL66" s="873"/>
      <c r="HM66" s="873"/>
      <c r="HN66" s="873"/>
      <c r="HO66" s="873"/>
      <c r="HP66" s="873"/>
      <c r="HQ66" s="873"/>
      <c r="HR66" s="873"/>
      <c r="HS66" s="873"/>
      <c r="HT66" s="873"/>
      <c r="HU66" s="873"/>
      <c r="HV66" s="873"/>
      <c r="HW66" s="873"/>
      <c r="HX66" s="873"/>
      <c r="HY66" s="873"/>
      <c r="HZ66" s="873"/>
      <c r="IA66" s="873"/>
      <c r="IB66" s="873"/>
      <c r="IC66" s="873"/>
      <c r="ID66" s="873"/>
      <c r="IE66" s="873"/>
      <c r="IF66" s="873"/>
      <c r="IG66" s="873"/>
      <c r="IH66" s="873"/>
      <c r="II66" s="873"/>
      <c r="IJ66" s="873"/>
      <c r="IK66" s="873"/>
      <c r="IL66" s="873"/>
      <c r="IM66" s="873"/>
      <c r="IN66" s="873"/>
      <c r="IO66" s="873"/>
      <c r="IP66" s="873"/>
      <c r="IQ66" s="873"/>
      <c r="IR66" s="873"/>
      <c r="IS66" s="873"/>
      <c r="IT66" s="873"/>
      <c r="IU66" s="873"/>
      <c r="IV66" s="873"/>
      <c r="IW66" s="873"/>
    </row>
    <row r="67" spans="1:257" ht="140">
      <c r="A67" s="2499"/>
      <c r="B67" s="1145" t="s">
        <v>1646</v>
      </c>
      <c r="C67" s="1126">
        <v>4</v>
      </c>
      <c r="D67" s="1126">
        <v>4</v>
      </c>
      <c r="E67" s="1127" t="s">
        <v>1409</v>
      </c>
      <c r="F67" s="1128" t="str">
        <f>IF(Scoring!I76="","",Scoring!I76)</f>
        <v/>
      </c>
      <c r="G67" s="1129"/>
      <c r="H67" s="1129"/>
      <c r="I67" s="1130" t="s">
        <v>2109</v>
      </c>
      <c r="J67" s="1131"/>
      <c r="K67" s="1131"/>
      <c r="L67" s="1132"/>
      <c r="M67" s="1133"/>
      <c r="O67" s="867"/>
      <c r="P67" s="868"/>
    </row>
    <row r="68" spans="1:257" ht="126">
      <c r="A68" s="2499"/>
      <c r="B68" s="1145" t="s">
        <v>1647</v>
      </c>
      <c r="C68" s="1147">
        <v>4</v>
      </c>
      <c r="D68" s="1126">
        <v>4</v>
      </c>
      <c r="E68" s="1127" t="s">
        <v>1410</v>
      </c>
      <c r="F68" s="1128" t="str">
        <f>IF(Scoring!I77="","",Scoring!I77)</f>
        <v/>
      </c>
      <c r="G68" s="1129"/>
      <c r="H68" s="1129"/>
      <c r="I68" s="1130" t="s">
        <v>2544</v>
      </c>
      <c r="J68" s="1131"/>
      <c r="K68" s="1131"/>
      <c r="L68" s="1132"/>
      <c r="M68" s="1133"/>
      <c r="O68" s="867"/>
      <c r="P68" s="868"/>
    </row>
    <row r="69" spans="1:257" ht="84">
      <c r="A69" s="2499"/>
      <c r="B69" s="1145" t="s">
        <v>1648</v>
      </c>
      <c r="C69" s="1147">
        <v>5</v>
      </c>
      <c r="D69" s="1126">
        <v>6</v>
      </c>
      <c r="E69" s="1127" t="s">
        <v>1411</v>
      </c>
      <c r="F69" s="1128" t="str">
        <f>IF(Scoring!I78="","",Scoring!I78)</f>
        <v/>
      </c>
      <c r="G69" s="1129"/>
      <c r="H69" s="1129"/>
      <c r="I69" s="1130" t="s">
        <v>2112</v>
      </c>
      <c r="J69" s="1131"/>
      <c r="K69" s="1131"/>
      <c r="L69" s="1132"/>
      <c r="M69" s="1133"/>
      <c r="O69" s="867"/>
      <c r="P69" s="868"/>
    </row>
    <row r="70" spans="1:257" s="876" customFormat="1" ht="126">
      <c r="A70" s="2500"/>
      <c r="B70" s="1146" t="s">
        <v>1649</v>
      </c>
      <c r="C70" s="1135">
        <v>4</v>
      </c>
      <c r="D70" s="1135">
        <v>6</v>
      </c>
      <c r="E70" s="1136" t="s">
        <v>1412</v>
      </c>
      <c r="F70" s="1137" t="str">
        <f>IF(Scoring!I79="","",Scoring!I79)</f>
        <v/>
      </c>
      <c r="G70" s="1138"/>
      <c r="H70" s="1138"/>
      <c r="I70" s="1139" t="s">
        <v>2113</v>
      </c>
      <c r="J70" s="1140">
        <f>COUNT(F66:F70)</f>
        <v>0</v>
      </c>
      <c r="K70" s="1140"/>
      <c r="L70" s="1141">
        <f>SUM(F66:F70)</f>
        <v>0</v>
      </c>
      <c r="M70" s="1142">
        <f>IF(L70&lt;3,0,1)</f>
        <v>0</v>
      </c>
      <c r="N70" s="873"/>
      <c r="O70" s="874"/>
      <c r="P70" s="875">
        <f>COUNTA(F66:F70)</f>
        <v>5</v>
      </c>
      <c r="Q70" s="873"/>
      <c r="R70" s="873"/>
      <c r="S70" s="873"/>
      <c r="T70" s="873"/>
      <c r="U70" s="873"/>
      <c r="V70" s="873"/>
      <c r="W70" s="873"/>
      <c r="X70" s="873"/>
      <c r="Y70" s="873"/>
      <c r="Z70" s="873"/>
      <c r="AA70" s="873"/>
      <c r="AB70" s="873"/>
      <c r="AC70" s="873"/>
      <c r="AD70" s="873"/>
      <c r="AE70" s="873"/>
      <c r="AF70" s="873"/>
      <c r="AG70" s="873"/>
      <c r="AH70" s="873"/>
      <c r="AI70" s="873"/>
      <c r="AJ70" s="873"/>
      <c r="AK70" s="873"/>
      <c r="AL70" s="873"/>
      <c r="AM70" s="873"/>
      <c r="AN70" s="873"/>
      <c r="AO70" s="873"/>
      <c r="AP70" s="873"/>
      <c r="AQ70" s="873"/>
      <c r="AR70" s="873"/>
      <c r="AS70" s="873"/>
      <c r="AT70" s="873"/>
      <c r="AU70" s="873"/>
      <c r="AV70" s="873"/>
      <c r="AW70" s="873"/>
      <c r="AX70" s="873"/>
      <c r="AY70" s="873"/>
      <c r="AZ70" s="873"/>
      <c r="BA70" s="873"/>
      <c r="BB70" s="873"/>
      <c r="BC70" s="873"/>
      <c r="BD70" s="873"/>
      <c r="BE70" s="873"/>
      <c r="BF70" s="873"/>
      <c r="BG70" s="873"/>
      <c r="BH70" s="873"/>
      <c r="BI70" s="873"/>
      <c r="BJ70" s="873"/>
      <c r="BK70" s="873"/>
      <c r="BL70" s="873"/>
      <c r="BM70" s="873"/>
      <c r="BN70" s="873"/>
      <c r="BO70" s="873"/>
      <c r="BP70" s="873"/>
      <c r="BQ70" s="873"/>
      <c r="BR70" s="873"/>
      <c r="BS70" s="873"/>
      <c r="BT70" s="873"/>
      <c r="BU70" s="873"/>
      <c r="BV70" s="873"/>
      <c r="BW70" s="873"/>
      <c r="BX70" s="873"/>
      <c r="BY70" s="873"/>
      <c r="BZ70" s="873"/>
      <c r="CA70" s="873"/>
      <c r="CB70" s="873"/>
      <c r="CC70" s="873"/>
      <c r="CD70" s="873"/>
      <c r="CE70" s="873"/>
      <c r="CF70" s="873"/>
      <c r="CG70" s="873"/>
      <c r="CH70" s="873"/>
      <c r="CI70" s="873"/>
      <c r="CJ70" s="873"/>
      <c r="CK70" s="873"/>
      <c r="CL70" s="873"/>
      <c r="CM70" s="873"/>
      <c r="CN70" s="873"/>
      <c r="CO70" s="873"/>
      <c r="CP70" s="873"/>
      <c r="CQ70" s="873"/>
      <c r="CR70" s="873"/>
      <c r="CS70" s="873"/>
      <c r="CT70" s="873"/>
      <c r="CU70" s="873"/>
      <c r="CV70" s="873"/>
      <c r="CW70" s="873"/>
      <c r="CX70" s="873"/>
      <c r="CY70" s="873"/>
      <c r="CZ70" s="873"/>
      <c r="DA70" s="873"/>
      <c r="DB70" s="873"/>
      <c r="DC70" s="873"/>
      <c r="DD70" s="873"/>
      <c r="DE70" s="873"/>
      <c r="DF70" s="873"/>
      <c r="DG70" s="873"/>
      <c r="DH70" s="873"/>
      <c r="DI70" s="873"/>
      <c r="DJ70" s="873"/>
      <c r="DK70" s="873"/>
      <c r="DL70" s="873"/>
      <c r="DM70" s="873"/>
      <c r="DN70" s="873"/>
      <c r="DO70" s="873"/>
      <c r="DP70" s="873"/>
      <c r="DQ70" s="873"/>
      <c r="DR70" s="873"/>
      <c r="DS70" s="873"/>
      <c r="DT70" s="873"/>
      <c r="DU70" s="873"/>
      <c r="DV70" s="873"/>
      <c r="DW70" s="873"/>
      <c r="DX70" s="873"/>
      <c r="DY70" s="873"/>
      <c r="DZ70" s="873"/>
      <c r="EA70" s="873"/>
      <c r="EB70" s="873"/>
      <c r="EC70" s="873"/>
      <c r="ED70" s="873"/>
      <c r="EE70" s="873"/>
      <c r="EF70" s="873"/>
      <c r="EG70" s="873"/>
      <c r="EH70" s="873"/>
      <c r="EI70" s="873"/>
      <c r="EJ70" s="873"/>
      <c r="EK70" s="873"/>
      <c r="EL70" s="873"/>
      <c r="EM70" s="873"/>
      <c r="EN70" s="873"/>
      <c r="EO70" s="873"/>
      <c r="EP70" s="873"/>
      <c r="EQ70" s="873"/>
      <c r="ER70" s="873"/>
      <c r="ES70" s="873"/>
      <c r="ET70" s="873"/>
      <c r="EU70" s="873"/>
      <c r="EV70" s="873"/>
      <c r="EW70" s="873"/>
      <c r="EX70" s="873"/>
      <c r="EY70" s="873"/>
      <c r="EZ70" s="873"/>
      <c r="FA70" s="873"/>
      <c r="FB70" s="873"/>
      <c r="FC70" s="873"/>
      <c r="FD70" s="873"/>
      <c r="FE70" s="873"/>
      <c r="FF70" s="873"/>
      <c r="FG70" s="873"/>
      <c r="FH70" s="873"/>
      <c r="FI70" s="873"/>
      <c r="FJ70" s="873"/>
      <c r="FK70" s="873"/>
      <c r="FL70" s="873"/>
      <c r="FM70" s="873"/>
      <c r="FN70" s="873"/>
      <c r="FO70" s="873"/>
      <c r="FP70" s="873"/>
      <c r="FQ70" s="873"/>
      <c r="FR70" s="873"/>
      <c r="FS70" s="873"/>
      <c r="FT70" s="873"/>
      <c r="FU70" s="873"/>
      <c r="FV70" s="873"/>
      <c r="FW70" s="873"/>
      <c r="FX70" s="873"/>
      <c r="FY70" s="873"/>
      <c r="FZ70" s="873"/>
      <c r="GA70" s="873"/>
      <c r="GB70" s="873"/>
      <c r="GC70" s="873"/>
      <c r="GD70" s="873"/>
      <c r="GE70" s="873"/>
      <c r="GF70" s="873"/>
      <c r="GG70" s="873"/>
      <c r="GH70" s="873"/>
      <c r="GI70" s="873"/>
      <c r="GJ70" s="873"/>
      <c r="GK70" s="873"/>
      <c r="GL70" s="873"/>
      <c r="GM70" s="873"/>
      <c r="GN70" s="873"/>
      <c r="GO70" s="873"/>
      <c r="GP70" s="873"/>
      <c r="GQ70" s="873"/>
      <c r="GR70" s="873"/>
      <c r="GS70" s="873"/>
      <c r="GT70" s="873"/>
      <c r="GU70" s="873"/>
      <c r="GV70" s="873"/>
      <c r="GW70" s="873"/>
      <c r="GX70" s="873"/>
      <c r="GY70" s="873"/>
      <c r="GZ70" s="873"/>
      <c r="HA70" s="873"/>
      <c r="HB70" s="873"/>
      <c r="HC70" s="873"/>
      <c r="HD70" s="873"/>
      <c r="HE70" s="873"/>
      <c r="HF70" s="873"/>
      <c r="HG70" s="873"/>
      <c r="HH70" s="873"/>
      <c r="HI70" s="873"/>
      <c r="HJ70" s="873"/>
      <c r="HK70" s="873"/>
      <c r="HL70" s="873"/>
      <c r="HM70" s="873"/>
      <c r="HN70" s="873"/>
      <c r="HO70" s="873"/>
      <c r="HP70" s="873"/>
      <c r="HQ70" s="873"/>
      <c r="HR70" s="873"/>
      <c r="HS70" s="873"/>
      <c r="HT70" s="873"/>
      <c r="HU70" s="873"/>
      <c r="HV70" s="873"/>
      <c r="HW70" s="873"/>
      <c r="HX70" s="873"/>
      <c r="HY70" s="873"/>
      <c r="HZ70" s="873"/>
      <c r="IA70" s="873"/>
      <c r="IB70" s="873"/>
      <c r="IC70" s="873"/>
      <c r="ID70" s="873"/>
      <c r="IE70" s="873"/>
      <c r="IF70" s="873"/>
      <c r="IG70" s="873"/>
      <c r="IH70" s="873"/>
      <c r="II70" s="873"/>
      <c r="IJ70" s="873"/>
      <c r="IK70" s="873"/>
      <c r="IL70" s="873"/>
      <c r="IM70" s="873"/>
      <c r="IN70" s="873"/>
      <c r="IO70" s="873"/>
      <c r="IP70" s="873"/>
      <c r="IQ70" s="873"/>
      <c r="IR70" s="873"/>
      <c r="IS70" s="873"/>
      <c r="IT70" s="873"/>
      <c r="IU70" s="873"/>
      <c r="IV70" s="873"/>
      <c r="IW70" s="873"/>
    </row>
    <row r="71" spans="1:257" s="876" customFormat="1">
      <c r="A71" s="873"/>
      <c r="B71" s="873"/>
      <c r="C71" s="873"/>
      <c r="D71" s="873"/>
      <c r="E71" s="873"/>
      <c r="F71" s="873"/>
      <c r="G71" s="873"/>
      <c r="H71" s="873"/>
      <c r="I71" s="873"/>
      <c r="J71" s="873"/>
      <c r="K71" s="873"/>
      <c r="L71" s="873"/>
      <c r="M71" s="873"/>
      <c r="N71" s="873"/>
      <c r="O71" s="873"/>
      <c r="P71" s="873"/>
      <c r="Q71" s="873"/>
      <c r="R71" s="873"/>
      <c r="S71" s="873"/>
      <c r="T71" s="873"/>
      <c r="U71" s="873"/>
      <c r="V71" s="873"/>
      <c r="W71" s="873"/>
      <c r="X71" s="873"/>
      <c r="Y71" s="873"/>
      <c r="Z71" s="873"/>
      <c r="AA71" s="873"/>
      <c r="AB71" s="873"/>
      <c r="AC71" s="873"/>
      <c r="AD71" s="873"/>
      <c r="AE71" s="873"/>
      <c r="AF71" s="873"/>
      <c r="AG71" s="873"/>
      <c r="AH71" s="873"/>
      <c r="AI71" s="873"/>
      <c r="AJ71" s="873"/>
      <c r="AK71" s="873"/>
      <c r="AL71" s="873"/>
      <c r="AM71" s="873"/>
      <c r="AN71" s="873"/>
      <c r="AO71" s="873"/>
      <c r="AP71" s="873"/>
      <c r="AQ71" s="873"/>
      <c r="AR71" s="873"/>
      <c r="AS71" s="873"/>
      <c r="AT71" s="873"/>
      <c r="AU71" s="873"/>
      <c r="AV71" s="873"/>
      <c r="AW71" s="873"/>
      <c r="AX71" s="873"/>
      <c r="AY71" s="873"/>
      <c r="AZ71" s="873"/>
      <c r="BA71" s="873"/>
      <c r="BB71" s="873"/>
      <c r="BC71" s="873"/>
      <c r="BD71" s="873"/>
      <c r="BE71" s="873"/>
      <c r="BF71" s="873"/>
      <c r="BG71" s="873"/>
      <c r="BH71" s="873"/>
      <c r="BI71" s="873"/>
      <c r="BJ71" s="873"/>
      <c r="BK71" s="873"/>
      <c r="BL71" s="873"/>
      <c r="BM71" s="873"/>
      <c r="BN71" s="873"/>
      <c r="BO71" s="873"/>
      <c r="BP71" s="873"/>
      <c r="BQ71" s="873"/>
      <c r="BR71" s="873"/>
      <c r="BS71" s="873"/>
      <c r="BT71" s="873"/>
      <c r="BU71" s="873"/>
      <c r="BV71" s="873"/>
      <c r="BW71" s="873"/>
      <c r="BX71" s="873"/>
      <c r="BY71" s="873"/>
      <c r="BZ71" s="873"/>
      <c r="CA71" s="873"/>
      <c r="CB71" s="873"/>
      <c r="CC71" s="873"/>
      <c r="CD71" s="873"/>
      <c r="CE71" s="873"/>
      <c r="CF71" s="873"/>
      <c r="CG71" s="873"/>
      <c r="CH71" s="873"/>
      <c r="CI71" s="873"/>
      <c r="CJ71" s="873"/>
      <c r="CK71" s="873"/>
      <c r="CL71" s="873"/>
      <c r="CM71" s="873"/>
      <c r="CN71" s="873"/>
      <c r="CO71" s="873"/>
      <c r="CP71" s="873"/>
      <c r="CQ71" s="873"/>
      <c r="CR71" s="873"/>
      <c r="CS71" s="873"/>
      <c r="CT71" s="873"/>
      <c r="CU71" s="873"/>
      <c r="CV71" s="873"/>
      <c r="CW71" s="873"/>
      <c r="CX71" s="873"/>
      <c r="CY71" s="873"/>
      <c r="CZ71" s="873"/>
      <c r="DA71" s="873"/>
      <c r="DB71" s="873"/>
      <c r="DC71" s="873"/>
      <c r="DD71" s="873"/>
      <c r="DE71" s="873"/>
      <c r="DF71" s="873"/>
      <c r="DG71" s="873"/>
      <c r="DH71" s="873"/>
      <c r="DI71" s="873"/>
      <c r="DJ71" s="873"/>
      <c r="DK71" s="873"/>
      <c r="DL71" s="873"/>
      <c r="DM71" s="873"/>
      <c r="DN71" s="873"/>
      <c r="DO71" s="873"/>
      <c r="DP71" s="873"/>
      <c r="DQ71" s="873"/>
      <c r="DR71" s="873"/>
      <c r="DS71" s="873"/>
      <c r="DT71" s="873"/>
      <c r="DU71" s="873"/>
      <c r="DV71" s="873"/>
      <c r="DW71" s="873"/>
      <c r="DX71" s="873"/>
      <c r="DY71" s="873"/>
      <c r="DZ71" s="873"/>
      <c r="EA71" s="873"/>
      <c r="EB71" s="873"/>
      <c r="EC71" s="873"/>
      <c r="ED71" s="873"/>
      <c r="EE71" s="873"/>
      <c r="EF71" s="873"/>
      <c r="EG71" s="873"/>
      <c r="EH71" s="873"/>
      <c r="EI71" s="873"/>
      <c r="EJ71" s="873"/>
      <c r="EK71" s="873"/>
      <c r="EL71" s="873"/>
      <c r="EM71" s="873"/>
      <c r="EN71" s="873"/>
      <c r="EO71" s="873"/>
      <c r="EP71" s="873"/>
      <c r="EQ71" s="873"/>
      <c r="ER71" s="873"/>
      <c r="ES71" s="873"/>
      <c r="ET71" s="873"/>
      <c r="EU71" s="873"/>
      <c r="EV71" s="873"/>
      <c r="EW71" s="873"/>
      <c r="EX71" s="873"/>
      <c r="EY71" s="873"/>
      <c r="EZ71" s="873"/>
      <c r="FA71" s="873"/>
      <c r="FB71" s="873"/>
      <c r="FC71" s="873"/>
      <c r="FD71" s="873"/>
      <c r="FE71" s="873"/>
      <c r="FF71" s="873"/>
      <c r="FG71" s="873"/>
      <c r="FH71" s="873"/>
      <c r="FI71" s="873"/>
      <c r="FJ71" s="873"/>
      <c r="FK71" s="873"/>
      <c r="FL71" s="873"/>
      <c r="FM71" s="873"/>
      <c r="FN71" s="873"/>
      <c r="FO71" s="873"/>
      <c r="FP71" s="873"/>
      <c r="FQ71" s="873"/>
      <c r="FR71" s="873"/>
      <c r="FS71" s="873"/>
      <c r="FT71" s="873"/>
      <c r="FU71" s="873"/>
      <c r="FV71" s="873"/>
      <c r="FW71" s="873"/>
      <c r="FX71" s="873"/>
      <c r="FY71" s="873"/>
      <c r="FZ71" s="873"/>
      <c r="GA71" s="873"/>
      <c r="GB71" s="873"/>
      <c r="GC71" s="873"/>
      <c r="GD71" s="873"/>
      <c r="GE71" s="873"/>
      <c r="GF71" s="873"/>
      <c r="GG71" s="873"/>
      <c r="GH71" s="873"/>
      <c r="GI71" s="873"/>
      <c r="GJ71" s="873"/>
      <c r="GK71" s="873"/>
      <c r="GL71" s="873"/>
      <c r="GM71" s="873"/>
      <c r="GN71" s="873"/>
      <c r="GO71" s="873"/>
      <c r="GP71" s="873"/>
      <c r="GQ71" s="873"/>
      <c r="GR71" s="873"/>
      <c r="GS71" s="873"/>
      <c r="GT71" s="873"/>
      <c r="GU71" s="873"/>
      <c r="GV71" s="873"/>
      <c r="GW71" s="873"/>
      <c r="GX71" s="873"/>
      <c r="GY71" s="873"/>
      <c r="GZ71" s="873"/>
      <c r="HA71" s="873"/>
      <c r="HB71" s="873"/>
      <c r="HC71" s="873"/>
      <c r="HD71" s="873"/>
      <c r="HE71" s="873"/>
      <c r="HF71" s="873"/>
      <c r="HG71" s="873"/>
      <c r="HH71" s="873"/>
      <c r="HI71" s="873"/>
      <c r="HJ71" s="873"/>
      <c r="HK71" s="873"/>
      <c r="HL71" s="873"/>
      <c r="HM71" s="873"/>
      <c r="HN71" s="873"/>
      <c r="HO71" s="873"/>
      <c r="HP71" s="873"/>
      <c r="HQ71" s="873"/>
      <c r="HR71" s="873"/>
      <c r="HS71" s="873"/>
      <c r="HT71" s="873"/>
      <c r="HU71" s="873"/>
      <c r="HV71" s="873"/>
      <c r="HW71" s="873"/>
      <c r="HX71" s="873"/>
      <c r="HY71" s="873"/>
      <c r="HZ71" s="873"/>
      <c r="IA71" s="873"/>
      <c r="IB71" s="873"/>
      <c r="IC71" s="873"/>
      <c r="ID71" s="873"/>
      <c r="IE71" s="873"/>
      <c r="IF71" s="873"/>
      <c r="IG71" s="873"/>
      <c r="IH71" s="873"/>
      <c r="II71" s="873"/>
      <c r="IJ71" s="873"/>
      <c r="IK71" s="873"/>
      <c r="IL71" s="873"/>
      <c r="IM71" s="873"/>
      <c r="IN71" s="873"/>
      <c r="IO71" s="873"/>
      <c r="IP71" s="873"/>
      <c r="IQ71" s="873"/>
      <c r="IR71" s="873"/>
      <c r="IS71" s="873"/>
      <c r="IT71" s="873"/>
      <c r="IU71" s="873"/>
      <c r="IV71" s="873"/>
      <c r="IW71" s="873"/>
    </row>
    <row r="72" spans="1:257" s="876" customFormat="1" ht="112">
      <c r="A72" s="2498" t="s">
        <v>1201</v>
      </c>
      <c r="B72" s="1144" t="s">
        <v>1650</v>
      </c>
      <c r="C72" s="1117">
        <v>5</v>
      </c>
      <c r="D72" s="1117">
        <v>6</v>
      </c>
      <c r="E72" s="1118" t="s">
        <v>1413</v>
      </c>
      <c r="F72" s="1119" t="str">
        <f>IF(Scoring!I81="","",Scoring!I81)</f>
        <v/>
      </c>
      <c r="G72" s="1120"/>
      <c r="H72" s="1120"/>
      <c r="I72" s="1121" t="s">
        <v>2114</v>
      </c>
      <c r="J72" s="1122"/>
      <c r="K72" s="1122"/>
      <c r="L72" s="1123"/>
      <c r="M72" s="1124"/>
      <c r="N72" s="873"/>
      <c r="O72" s="877"/>
      <c r="P72" s="878"/>
      <c r="Q72" s="873"/>
      <c r="R72" s="873"/>
      <c r="S72" s="873"/>
      <c r="T72" s="873"/>
      <c r="U72" s="873"/>
      <c r="V72" s="873"/>
      <c r="W72" s="873"/>
      <c r="X72" s="873"/>
      <c r="Y72" s="873"/>
      <c r="Z72" s="873"/>
      <c r="AA72" s="873"/>
      <c r="AB72" s="873"/>
      <c r="AC72" s="873"/>
      <c r="AD72" s="873"/>
      <c r="AE72" s="873"/>
      <c r="AF72" s="873"/>
      <c r="AG72" s="873"/>
      <c r="AH72" s="873"/>
      <c r="AI72" s="873"/>
      <c r="AJ72" s="873"/>
      <c r="AK72" s="873"/>
      <c r="AL72" s="873"/>
      <c r="AM72" s="873"/>
      <c r="AN72" s="873"/>
      <c r="AO72" s="873"/>
      <c r="AP72" s="873"/>
      <c r="AQ72" s="873"/>
      <c r="AR72" s="873"/>
      <c r="AS72" s="873"/>
      <c r="AT72" s="873"/>
      <c r="AU72" s="873"/>
      <c r="AV72" s="873"/>
      <c r="AW72" s="873"/>
      <c r="AX72" s="873"/>
      <c r="AY72" s="873"/>
      <c r="AZ72" s="873"/>
      <c r="BA72" s="873"/>
      <c r="BB72" s="873"/>
      <c r="BC72" s="873"/>
      <c r="BD72" s="873"/>
      <c r="BE72" s="873"/>
      <c r="BF72" s="873"/>
      <c r="BG72" s="873"/>
      <c r="BH72" s="873"/>
      <c r="BI72" s="873"/>
      <c r="BJ72" s="873"/>
      <c r="BK72" s="873"/>
      <c r="BL72" s="873"/>
      <c r="BM72" s="873"/>
      <c r="BN72" s="873"/>
      <c r="BO72" s="873"/>
      <c r="BP72" s="873"/>
      <c r="BQ72" s="873"/>
      <c r="BR72" s="873"/>
      <c r="BS72" s="873"/>
      <c r="BT72" s="873"/>
      <c r="BU72" s="873"/>
      <c r="BV72" s="873"/>
      <c r="BW72" s="873"/>
      <c r="BX72" s="873"/>
      <c r="BY72" s="873"/>
      <c r="BZ72" s="873"/>
      <c r="CA72" s="873"/>
      <c r="CB72" s="873"/>
      <c r="CC72" s="873"/>
      <c r="CD72" s="873"/>
      <c r="CE72" s="873"/>
      <c r="CF72" s="873"/>
      <c r="CG72" s="873"/>
      <c r="CH72" s="873"/>
      <c r="CI72" s="873"/>
      <c r="CJ72" s="873"/>
      <c r="CK72" s="873"/>
      <c r="CL72" s="873"/>
      <c r="CM72" s="873"/>
      <c r="CN72" s="873"/>
      <c r="CO72" s="873"/>
      <c r="CP72" s="873"/>
      <c r="CQ72" s="873"/>
      <c r="CR72" s="873"/>
      <c r="CS72" s="873"/>
      <c r="CT72" s="873"/>
      <c r="CU72" s="873"/>
      <c r="CV72" s="873"/>
      <c r="CW72" s="873"/>
      <c r="CX72" s="873"/>
      <c r="CY72" s="873"/>
      <c r="CZ72" s="873"/>
      <c r="DA72" s="873"/>
      <c r="DB72" s="873"/>
      <c r="DC72" s="873"/>
      <c r="DD72" s="873"/>
      <c r="DE72" s="873"/>
      <c r="DF72" s="873"/>
      <c r="DG72" s="873"/>
      <c r="DH72" s="873"/>
      <c r="DI72" s="873"/>
      <c r="DJ72" s="873"/>
      <c r="DK72" s="873"/>
      <c r="DL72" s="873"/>
      <c r="DM72" s="873"/>
      <c r="DN72" s="873"/>
      <c r="DO72" s="873"/>
      <c r="DP72" s="873"/>
      <c r="DQ72" s="873"/>
      <c r="DR72" s="873"/>
      <c r="DS72" s="873"/>
      <c r="DT72" s="873"/>
      <c r="DU72" s="873"/>
      <c r="DV72" s="873"/>
      <c r="DW72" s="873"/>
      <c r="DX72" s="873"/>
      <c r="DY72" s="873"/>
      <c r="DZ72" s="873"/>
      <c r="EA72" s="873"/>
      <c r="EB72" s="873"/>
      <c r="EC72" s="873"/>
      <c r="ED72" s="873"/>
      <c r="EE72" s="873"/>
      <c r="EF72" s="873"/>
      <c r="EG72" s="873"/>
      <c r="EH72" s="873"/>
      <c r="EI72" s="873"/>
      <c r="EJ72" s="873"/>
      <c r="EK72" s="873"/>
      <c r="EL72" s="873"/>
      <c r="EM72" s="873"/>
      <c r="EN72" s="873"/>
      <c r="EO72" s="873"/>
      <c r="EP72" s="873"/>
      <c r="EQ72" s="873"/>
      <c r="ER72" s="873"/>
      <c r="ES72" s="873"/>
      <c r="ET72" s="873"/>
      <c r="EU72" s="873"/>
      <c r="EV72" s="873"/>
      <c r="EW72" s="873"/>
      <c r="EX72" s="873"/>
      <c r="EY72" s="873"/>
      <c r="EZ72" s="873"/>
      <c r="FA72" s="873"/>
      <c r="FB72" s="873"/>
      <c r="FC72" s="873"/>
      <c r="FD72" s="873"/>
      <c r="FE72" s="873"/>
      <c r="FF72" s="873"/>
      <c r="FG72" s="873"/>
      <c r="FH72" s="873"/>
      <c r="FI72" s="873"/>
      <c r="FJ72" s="873"/>
      <c r="FK72" s="873"/>
      <c r="FL72" s="873"/>
      <c r="FM72" s="873"/>
      <c r="FN72" s="873"/>
      <c r="FO72" s="873"/>
      <c r="FP72" s="873"/>
      <c r="FQ72" s="873"/>
      <c r="FR72" s="873"/>
      <c r="FS72" s="873"/>
      <c r="FT72" s="873"/>
      <c r="FU72" s="873"/>
      <c r="FV72" s="873"/>
      <c r="FW72" s="873"/>
      <c r="FX72" s="873"/>
      <c r="FY72" s="873"/>
      <c r="FZ72" s="873"/>
      <c r="GA72" s="873"/>
      <c r="GB72" s="873"/>
      <c r="GC72" s="873"/>
      <c r="GD72" s="873"/>
      <c r="GE72" s="873"/>
      <c r="GF72" s="873"/>
      <c r="GG72" s="873"/>
      <c r="GH72" s="873"/>
      <c r="GI72" s="873"/>
      <c r="GJ72" s="873"/>
      <c r="GK72" s="873"/>
      <c r="GL72" s="873"/>
      <c r="GM72" s="873"/>
      <c r="GN72" s="873"/>
      <c r="GO72" s="873"/>
      <c r="GP72" s="873"/>
      <c r="GQ72" s="873"/>
      <c r="GR72" s="873"/>
      <c r="GS72" s="873"/>
      <c r="GT72" s="873"/>
      <c r="GU72" s="873"/>
      <c r="GV72" s="873"/>
      <c r="GW72" s="873"/>
      <c r="GX72" s="873"/>
      <c r="GY72" s="873"/>
      <c r="GZ72" s="873"/>
      <c r="HA72" s="873"/>
      <c r="HB72" s="873"/>
      <c r="HC72" s="873"/>
      <c r="HD72" s="873"/>
      <c r="HE72" s="873"/>
      <c r="HF72" s="873"/>
      <c r="HG72" s="873"/>
      <c r="HH72" s="873"/>
      <c r="HI72" s="873"/>
      <c r="HJ72" s="873"/>
      <c r="HK72" s="873"/>
      <c r="HL72" s="873"/>
      <c r="HM72" s="873"/>
      <c r="HN72" s="873"/>
      <c r="HO72" s="873"/>
      <c r="HP72" s="873"/>
      <c r="HQ72" s="873"/>
      <c r="HR72" s="873"/>
      <c r="HS72" s="873"/>
      <c r="HT72" s="873"/>
      <c r="HU72" s="873"/>
      <c r="HV72" s="873"/>
      <c r="HW72" s="873"/>
      <c r="HX72" s="873"/>
      <c r="HY72" s="873"/>
      <c r="HZ72" s="873"/>
      <c r="IA72" s="873"/>
      <c r="IB72" s="873"/>
      <c r="IC72" s="873"/>
      <c r="ID72" s="873"/>
      <c r="IE72" s="873"/>
      <c r="IF72" s="873"/>
      <c r="IG72" s="873"/>
      <c r="IH72" s="873"/>
      <c r="II72" s="873"/>
      <c r="IJ72" s="873"/>
      <c r="IK72" s="873"/>
      <c r="IL72" s="873"/>
      <c r="IM72" s="873"/>
      <c r="IN72" s="873"/>
      <c r="IO72" s="873"/>
      <c r="IP72" s="873"/>
      <c r="IQ72" s="873"/>
      <c r="IR72" s="873"/>
      <c r="IS72" s="873"/>
      <c r="IT72" s="873"/>
      <c r="IU72" s="873"/>
      <c r="IV72" s="873"/>
      <c r="IW72" s="873"/>
    </row>
    <row r="73" spans="1:257" ht="84">
      <c r="A73" s="2499"/>
      <c r="B73" s="1145" t="s">
        <v>1651</v>
      </c>
      <c r="C73" s="1126">
        <v>5</v>
      </c>
      <c r="D73" s="1126">
        <v>6</v>
      </c>
      <c r="E73" s="1127" t="s">
        <v>1414</v>
      </c>
      <c r="F73" s="1128" t="str">
        <f>IF(Scoring!I82="","",Scoring!I82)</f>
        <v/>
      </c>
      <c r="G73" s="1129"/>
      <c r="H73" s="1129"/>
      <c r="I73" s="1130" t="s">
        <v>2115</v>
      </c>
      <c r="J73" s="1131"/>
      <c r="K73" s="1131"/>
      <c r="L73" s="1132"/>
      <c r="M73" s="1133"/>
      <c r="O73" s="867"/>
      <c r="P73" s="868"/>
    </row>
    <row r="74" spans="1:257" ht="84">
      <c r="A74" s="2499"/>
      <c r="B74" s="1145" t="s">
        <v>1652</v>
      </c>
      <c r="C74" s="1126">
        <v>5</v>
      </c>
      <c r="D74" s="1126">
        <v>6</v>
      </c>
      <c r="E74" s="1127" t="s">
        <v>1415</v>
      </c>
      <c r="F74" s="1128" t="str">
        <f>IF(Scoring!I83="","",Scoring!I83)</f>
        <v/>
      </c>
      <c r="G74" s="1129"/>
      <c r="H74" s="1129"/>
      <c r="I74" s="1130" t="s">
        <v>2116</v>
      </c>
      <c r="J74" s="1131"/>
      <c r="K74" s="1131"/>
      <c r="L74" s="1132"/>
      <c r="M74" s="1133"/>
      <c r="O74" s="867"/>
      <c r="P74" s="868"/>
    </row>
    <row r="75" spans="1:257" s="876" customFormat="1" ht="112">
      <c r="A75" s="2500"/>
      <c r="B75" s="1146" t="s">
        <v>1653</v>
      </c>
      <c r="C75" s="1135">
        <v>4</v>
      </c>
      <c r="D75" s="1135">
        <v>6</v>
      </c>
      <c r="E75" s="1136" t="s">
        <v>1416</v>
      </c>
      <c r="F75" s="1137" t="str">
        <f>IF(Scoring!I84="","",Scoring!I84)</f>
        <v/>
      </c>
      <c r="G75" s="1138"/>
      <c r="H75" s="1138"/>
      <c r="I75" s="1139" t="s">
        <v>2117</v>
      </c>
      <c r="J75" s="1140">
        <f>COUNT(F72:F75)</f>
        <v>0</v>
      </c>
      <c r="K75" s="1140"/>
      <c r="L75" s="1141">
        <f>SUM(F72:F75)</f>
        <v>0</v>
      </c>
      <c r="M75" s="1142">
        <f>IF(L75&lt;2,0,1)</f>
        <v>0</v>
      </c>
      <c r="N75" s="873"/>
      <c r="O75" s="874"/>
      <c r="P75" s="875">
        <f>COUNTA(F72:F75)</f>
        <v>4</v>
      </c>
      <c r="Q75" s="873"/>
      <c r="R75" s="873"/>
      <c r="S75" s="873"/>
      <c r="T75" s="873"/>
      <c r="U75" s="873"/>
      <c r="V75" s="873"/>
      <c r="W75" s="873"/>
      <c r="X75" s="873"/>
      <c r="Y75" s="873"/>
      <c r="Z75" s="873"/>
      <c r="AA75" s="873"/>
      <c r="AB75" s="873"/>
      <c r="AC75" s="873"/>
      <c r="AD75" s="873"/>
      <c r="AE75" s="873"/>
      <c r="AF75" s="873"/>
      <c r="AG75" s="873"/>
      <c r="AH75" s="873"/>
      <c r="AI75" s="873"/>
      <c r="AJ75" s="873"/>
      <c r="AK75" s="873"/>
      <c r="AL75" s="873"/>
      <c r="AM75" s="873"/>
      <c r="AN75" s="873"/>
      <c r="AO75" s="873"/>
      <c r="AP75" s="873"/>
      <c r="AQ75" s="873"/>
      <c r="AR75" s="873"/>
      <c r="AS75" s="873"/>
      <c r="AT75" s="873"/>
      <c r="AU75" s="873"/>
      <c r="AV75" s="873"/>
      <c r="AW75" s="873"/>
      <c r="AX75" s="873"/>
      <c r="AY75" s="873"/>
      <c r="AZ75" s="873"/>
      <c r="BA75" s="873"/>
      <c r="BB75" s="873"/>
      <c r="BC75" s="873"/>
      <c r="BD75" s="873"/>
      <c r="BE75" s="873"/>
      <c r="BF75" s="873"/>
      <c r="BG75" s="873"/>
      <c r="BH75" s="873"/>
      <c r="BI75" s="873"/>
      <c r="BJ75" s="873"/>
      <c r="BK75" s="873"/>
      <c r="BL75" s="873"/>
      <c r="BM75" s="873"/>
      <c r="BN75" s="873"/>
      <c r="BO75" s="873"/>
      <c r="BP75" s="873"/>
      <c r="BQ75" s="873"/>
      <c r="BR75" s="873"/>
      <c r="BS75" s="873"/>
      <c r="BT75" s="873"/>
      <c r="BU75" s="873"/>
      <c r="BV75" s="873"/>
      <c r="BW75" s="873"/>
      <c r="BX75" s="873"/>
      <c r="BY75" s="873"/>
      <c r="BZ75" s="873"/>
      <c r="CA75" s="873"/>
      <c r="CB75" s="873"/>
      <c r="CC75" s="873"/>
      <c r="CD75" s="873"/>
      <c r="CE75" s="873"/>
      <c r="CF75" s="873"/>
      <c r="CG75" s="873"/>
      <c r="CH75" s="873"/>
      <c r="CI75" s="873"/>
      <c r="CJ75" s="873"/>
      <c r="CK75" s="873"/>
      <c r="CL75" s="873"/>
      <c r="CM75" s="873"/>
      <c r="CN75" s="873"/>
      <c r="CO75" s="873"/>
      <c r="CP75" s="873"/>
      <c r="CQ75" s="873"/>
      <c r="CR75" s="873"/>
      <c r="CS75" s="873"/>
      <c r="CT75" s="873"/>
      <c r="CU75" s="873"/>
      <c r="CV75" s="873"/>
      <c r="CW75" s="873"/>
      <c r="CX75" s="873"/>
      <c r="CY75" s="873"/>
      <c r="CZ75" s="873"/>
      <c r="DA75" s="873"/>
      <c r="DB75" s="873"/>
      <c r="DC75" s="873"/>
      <c r="DD75" s="873"/>
      <c r="DE75" s="873"/>
      <c r="DF75" s="873"/>
      <c r="DG75" s="873"/>
      <c r="DH75" s="873"/>
      <c r="DI75" s="873"/>
      <c r="DJ75" s="873"/>
      <c r="DK75" s="873"/>
      <c r="DL75" s="873"/>
      <c r="DM75" s="873"/>
      <c r="DN75" s="873"/>
      <c r="DO75" s="873"/>
      <c r="DP75" s="873"/>
      <c r="DQ75" s="873"/>
      <c r="DR75" s="873"/>
      <c r="DS75" s="873"/>
      <c r="DT75" s="873"/>
      <c r="DU75" s="873"/>
      <c r="DV75" s="873"/>
      <c r="DW75" s="873"/>
      <c r="DX75" s="873"/>
      <c r="DY75" s="873"/>
      <c r="DZ75" s="873"/>
      <c r="EA75" s="873"/>
      <c r="EB75" s="873"/>
      <c r="EC75" s="873"/>
      <c r="ED75" s="873"/>
      <c r="EE75" s="873"/>
      <c r="EF75" s="873"/>
      <c r="EG75" s="873"/>
      <c r="EH75" s="873"/>
      <c r="EI75" s="873"/>
      <c r="EJ75" s="873"/>
      <c r="EK75" s="873"/>
      <c r="EL75" s="873"/>
      <c r="EM75" s="873"/>
      <c r="EN75" s="873"/>
      <c r="EO75" s="873"/>
      <c r="EP75" s="873"/>
      <c r="EQ75" s="873"/>
      <c r="ER75" s="873"/>
      <c r="ES75" s="873"/>
      <c r="ET75" s="873"/>
      <c r="EU75" s="873"/>
      <c r="EV75" s="873"/>
      <c r="EW75" s="873"/>
      <c r="EX75" s="873"/>
      <c r="EY75" s="873"/>
      <c r="EZ75" s="873"/>
      <c r="FA75" s="873"/>
      <c r="FB75" s="873"/>
      <c r="FC75" s="873"/>
      <c r="FD75" s="873"/>
      <c r="FE75" s="873"/>
      <c r="FF75" s="873"/>
      <c r="FG75" s="873"/>
      <c r="FH75" s="873"/>
      <c r="FI75" s="873"/>
      <c r="FJ75" s="873"/>
      <c r="FK75" s="873"/>
      <c r="FL75" s="873"/>
      <c r="FM75" s="873"/>
      <c r="FN75" s="873"/>
      <c r="FO75" s="873"/>
      <c r="FP75" s="873"/>
      <c r="FQ75" s="873"/>
      <c r="FR75" s="873"/>
      <c r="FS75" s="873"/>
      <c r="FT75" s="873"/>
      <c r="FU75" s="873"/>
      <c r="FV75" s="873"/>
      <c r="FW75" s="873"/>
      <c r="FX75" s="873"/>
      <c r="FY75" s="873"/>
      <c r="FZ75" s="873"/>
      <c r="GA75" s="873"/>
      <c r="GB75" s="873"/>
      <c r="GC75" s="873"/>
      <c r="GD75" s="873"/>
      <c r="GE75" s="873"/>
      <c r="GF75" s="873"/>
      <c r="GG75" s="873"/>
      <c r="GH75" s="873"/>
      <c r="GI75" s="873"/>
      <c r="GJ75" s="873"/>
      <c r="GK75" s="873"/>
      <c r="GL75" s="873"/>
      <c r="GM75" s="873"/>
      <c r="GN75" s="873"/>
      <c r="GO75" s="873"/>
      <c r="GP75" s="873"/>
      <c r="GQ75" s="873"/>
      <c r="GR75" s="873"/>
      <c r="GS75" s="873"/>
      <c r="GT75" s="873"/>
      <c r="GU75" s="873"/>
      <c r="GV75" s="873"/>
      <c r="GW75" s="873"/>
      <c r="GX75" s="873"/>
      <c r="GY75" s="873"/>
      <c r="GZ75" s="873"/>
      <c r="HA75" s="873"/>
      <c r="HB75" s="873"/>
      <c r="HC75" s="873"/>
      <c r="HD75" s="873"/>
      <c r="HE75" s="873"/>
      <c r="HF75" s="873"/>
      <c r="HG75" s="873"/>
      <c r="HH75" s="873"/>
      <c r="HI75" s="873"/>
      <c r="HJ75" s="873"/>
      <c r="HK75" s="873"/>
      <c r="HL75" s="873"/>
      <c r="HM75" s="873"/>
      <c r="HN75" s="873"/>
      <c r="HO75" s="873"/>
      <c r="HP75" s="873"/>
      <c r="HQ75" s="873"/>
      <c r="HR75" s="873"/>
      <c r="HS75" s="873"/>
      <c r="HT75" s="873"/>
      <c r="HU75" s="873"/>
      <c r="HV75" s="873"/>
      <c r="HW75" s="873"/>
      <c r="HX75" s="873"/>
      <c r="HY75" s="873"/>
      <c r="HZ75" s="873"/>
      <c r="IA75" s="873"/>
      <c r="IB75" s="873"/>
      <c r="IC75" s="873"/>
      <c r="ID75" s="873"/>
      <c r="IE75" s="873"/>
      <c r="IF75" s="873"/>
      <c r="IG75" s="873"/>
      <c r="IH75" s="873"/>
      <c r="II75" s="873"/>
      <c r="IJ75" s="873"/>
      <c r="IK75" s="873"/>
      <c r="IL75" s="873"/>
      <c r="IM75" s="873"/>
      <c r="IN75" s="873"/>
      <c r="IO75" s="873"/>
      <c r="IP75" s="873"/>
      <c r="IQ75" s="873"/>
      <c r="IR75" s="873"/>
      <c r="IS75" s="873"/>
      <c r="IT75" s="873"/>
      <c r="IU75" s="873"/>
      <c r="IV75" s="873"/>
      <c r="IW75" s="873"/>
    </row>
    <row r="76" spans="1:257" s="876" customFormat="1">
      <c r="A76" s="873"/>
      <c r="B76" s="873"/>
      <c r="C76" s="873"/>
      <c r="D76" s="873"/>
      <c r="E76" s="873"/>
      <c r="F76" s="873"/>
      <c r="G76" s="873"/>
      <c r="H76" s="873"/>
      <c r="I76" s="873"/>
      <c r="J76" s="873"/>
      <c r="K76" s="873"/>
      <c r="L76" s="873"/>
      <c r="M76" s="873"/>
      <c r="N76" s="873"/>
      <c r="O76" s="873"/>
      <c r="P76" s="873"/>
      <c r="Q76" s="873"/>
      <c r="R76" s="873"/>
      <c r="S76" s="873"/>
      <c r="T76" s="873"/>
      <c r="U76" s="873"/>
      <c r="V76" s="873"/>
      <c r="W76" s="873"/>
      <c r="X76" s="873"/>
      <c r="Y76" s="873"/>
      <c r="Z76" s="873"/>
      <c r="AA76" s="873"/>
      <c r="AB76" s="873"/>
      <c r="AC76" s="873"/>
      <c r="AD76" s="873"/>
      <c r="AE76" s="873"/>
      <c r="AF76" s="873"/>
      <c r="AG76" s="873"/>
      <c r="AH76" s="873"/>
      <c r="AI76" s="873"/>
      <c r="AJ76" s="873"/>
      <c r="AK76" s="873"/>
      <c r="AL76" s="873"/>
      <c r="AM76" s="873"/>
      <c r="AN76" s="873"/>
      <c r="AO76" s="873"/>
      <c r="AP76" s="873"/>
      <c r="AQ76" s="873"/>
      <c r="AR76" s="873"/>
      <c r="AS76" s="873"/>
      <c r="AT76" s="873"/>
      <c r="AU76" s="873"/>
      <c r="AV76" s="873"/>
      <c r="AW76" s="873"/>
      <c r="AX76" s="873"/>
      <c r="AY76" s="873"/>
      <c r="AZ76" s="873"/>
      <c r="BA76" s="873"/>
      <c r="BB76" s="873"/>
      <c r="BC76" s="873"/>
      <c r="BD76" s="873"/>
      <c r="BE76" s="873"/>
      <c r="BF76" s="873"/>
      <c r="BG76" s="873"/>
      <c r="BH76" s="873"/>
      <c r="BI76" s="873"/>
      <c r="BJ76" s="873"/>
      <c r="BK76" s="873"/>
      <c r="BL76" s="873"/>
      <c r="BM76" s="873"/>
      <c r="BN76" s="873"/>
      <c r="BO76" s="873"/>
      <c r="BP76" s="873"/>
      <c r="BQ76" s="873"/>
      <c r="BR76" s="873"/>
      <c r="BS76" s="873"/>
      <c r="BT76" s="873"/>
      <c r="BU76" s="873"/>
      <c r="BV76" s="873"/>
      <c r="BW76" s="873"/>
      <c r="BX76" s="873"/>
      <c r="BY76" s="873"/>
      <c r="BZ76" s="873"/>
      <c r="CA76" s="873"/>
      <c r="CB76" s="873"/>
      <c r="CC76" s="873"/>
      <c r="CD76" s="873"/>
      <c r="CE76" s="873"/>
      <c r="CF76" s="873"/>
      <c r="CG76" s="873"/>
      <c r="CH76" s="873"/>
      <c r="CI76" s="873"/>
      <c r="CJ76" s="873"/>
      <c r="CK76" s="873"/>
      <c r="CL76" s="873"/>
      <c r="CM76" s="873"/>
      <c r="CN76" s="873"/>
      <c r="CO76" s="873"/>
      <c r="CP76" s="873"/>
      <c r="CQ76" s="873"/>
      <c r="CR76" s="873"/>
      <c r="CS76" s="873"/>
      <c r="CT76" s="873"/>
      <c r="CU76" s="873"/>
      <c r="CV76" s="873"/>
      <c r="CW76" s="873"/>
      <c r="CX76" s="873"/>
      <c r="CY76" s="873"/>
      <c r="CZ76" s="873"/>
      <c r="DA76" s="873"/>
      <c r="DB76" s="873"/>
      <c r="DC76" s="873"/>
      <c r="DD76" s="873"/>
      <c r="DE76" s="873"/>
      <c r="DF76" s="873"/>
      <c r="DG76" s="873"/>
      <c r="DH76" s="873"/>
      <c r="DI76" s="873"/>
      <c r="DJ76" s="873"/>
      <c r="DK76" s="873"/>
      <c r="DL76" s="873"/>
      <c r="DM76" s="873"/>
      <c r="DN76" s="873"/>
      <c r="DO76" s="873"/>
      <c r="DP76" s="873"/>
      <c r="DQ76" s="873"/>
      <c r="DR76" s="873"/>
      <c r="DS76" s="873"/>
      <c r="DT76" s="873"/>
      <c r="DU76" s="873"/>
      <c r="DV76" s="873"/>
      <c r="DW76" s="873"/>
      <c r="DX76" s="873"/>
      <c r="DY76" s="873"/>
      <c r="DZ76" s="873"/>
      <c r="EA76" s="873"/>
      <c r="EB76" s="873"/>
      <c r="EC76" s="873"/>
      <c r="ED76" s="873"/>
      <c r="EE76" s="873"/>
      <c r="EF76" s="873"/>
      <c r="EG76" s="873"/>
      <c r="EH76" s="873"/>
      <c r="EI76" s="873"/>
      <c r="EJ76" s="873"/>
      <c r="EK76" s="873"/>
      <c r="EL76" s="873"/>
      <c r="EM76" s="873"/>
      <c r="EN76" s="873"/>
      <c r="EO76" s="873"/>
      <c r="EP76" s="873"/>
      <c r="EQ76" s="873"/>
      <c r="ER76" s="873"/>
      <c r="ES76" s="873"/>
      <c r="ET76" s="873"/>
      <c r="EU76" s="873"/>
      <c r="EV76" s="873"/>
      <c r="EW76" s="873"/>
      <c r="EX76" s="873"/>
      <c r="EY76" s="873"/>
      <c r="EZ76" s="873"/>
      <c r="FA76" s="873"/>
      <c r="FB76" s="873"/>
      <c r="FC76" s="873"/>
      <c r="FD76" s="873"/>
      <c r="FE76" s="873"/>
      <c r="FF76" s="873"/>
      <c r="FG76" s="873"/>
      <c r="FH76" s="873"/>
      <c r="FI76" s="873"/>
      <c r="FJ76" s="873"/>
      <c r="FK76" s="873"/>
      <c r="FL76" s="873"/>
      <c r="FM76" s="873"/>
      <c r="FN76" s="873"/>
      <c r="FO76" s="873"/>
      <c r="FP76" s="873"/>
      <c r="FQ76" s="873"/>
      <c r="FR76" s="873"/>
      <c r="FS76" s="873"/>
      <c r="FT76" s="873"/>
      <c r="FU76" s="873"/>
      <c r="FV76" s="873"/>
      <c r="FW76" s="873"/>
      <c r="FX76" s="873"/>
      <c r="FY76" s="873"/>
      <c r="FZ76" s="873"/>
      <c r="GA76" s="873"/>
      <c r="GB76" s="873"/>
      <c r="GC76" s="873"/>
      <c r="GD76" s="873"/>
      <c r="GE76" s="873"/>
      <c r="GF76" s="873"/>
      <c r="GG76" s="873"/>
      <c r="GH76" s="873"/>
      <c r="GI76" s="873"/>
      <c r="GJ76" s="873"/>
      <c r="GK76" s="873"/>
      <c r="GL76" s="873"/>
      <c r="GM76" s="873"/>
      <c r="GN76" s="873"/>
      <c r="GO76" s="873"/>
      <c r="GP76" s="873"/>
      <c r="GQ76" s="873"/>
      <c r="GR76" s="873"/>
      <c r="GS76" s="873"/>
      <c r="GT76" s="873"/>
      <c r="GU76" s="873"/>
      <c r="GV76" s="873"/>
      <c r="GW76" s="873"/>
      <c r="GX76" s="873"/>
      <c r="GY76" s="873"/>
      <c r="GZ76" s="873"/>
      <c r="HA76" s="873"/>
      <c r="HB76" s="873"/>
      <c r="HC76" s="873"/>
      <c r="HD76" s="873"/>
      <c r="HE76" s="873"/>
      <c r="HF76" s="873"/>
      <c r="HG76" s="873"/>
      <c r="HH76" s="873"/>
      <c r="HI76" s="873"/>
      <c r="HJ76" s="873"/>
      <c r="HK76" s="873"/>
      <c r="HL76" s="873"/>
      <c r="HM76" s="873"/>
      <c r="HN76" s="873"/>
      <c r="HO76" s="873"/>
      <c r="HP76" s="873"/>
      <c r="HQ76" s="873"/>
      <c r="HR76" s="873"/>
      <c r="HS76" s="873"/>
      <c r="HT76" s="873"/>
      <c r="HU76" s="873"/>
      <c r="HV76" s="873"/>
      <c r="HW76" s="873"/>
      <c r="HX76" s="873"/>
      <c r="HY76" s="873"/>
      <c r="HZ76" s="873"/>
      <c r="IA76" s="873"/>
      <c r="IB76" s="873"/>
      <c r="IC76" s="873"/>
      <c r="ID76" s="873"/>
      <c r="IE76" s="873"/>
      <c r="IF76" s="873"/>
      <c r="IG76" s="873"/>
      <c r="IH76" s="873"/>
      <c r="II76" s="873"/>
      <c r="IJ76" s="873"/>
      <c r="IK76" s="873"/>
      <c r="IL76" s="873"/>
      <c r="IM76" s="873"/>
      <c r="IN76" s="873"/>
      <c r="IO76" s="873"/>
      <c r="IP76" s="873"/>
      <c r="IQ76" s="873"/>
      <c r="IR76" s="873"/>
      <c r="IS76" s="873"/>
      <c r="IT76" s="873"/>
      <c r="IU76" s="873"/>
      <c r="IV76" s="873"/>
      <c r="IW76" s="873"/>
    </row>
    <row r="77" spans="1:257" s="876" customFormat="1" ht="112">
      <c r="A77" s="2498" t="s">
        <v>1202</v>
      </c>
      <c r="B77" s="1144" t="s">
        <v>1654</v>
      </c>
      <c r="C77" s="1117">
        <v>4</v>
      </c>
      <c r="D77" s="1117">
        <v>4</v>
      </c>
      <c r="E77" s="1118" t="s">
        <v>1417</v>
      </c>
      <c r="F77" s="1119" t="str">
        <f>IF(Scoring!I86="","",Scoring!I86)</f>
        <v/>
      </c>
      <c r="G77" s="1120"/>
      <c r="H77" s="1120"/>
      <c r="I77" s="1121" t="s">
        <v>2118</v>
      </c>
      <c r="J77" s="1122"/>
      <c r="K77" s="1122"/>
      <c r="L77" s="1123"/>
      <c r="M77" s="1124"/>
      <c r="N77" s="873"/>
      <c r="O77" s="877"/>
      <c r="P77" s="878"/>
      <c r="Q77" s="873"/>
      <c r="R77" s="873"/>
      <c r="S77" s="873"/>
      <c r="T77" s="873"/>
      <c r="U77" s="873"/>
      <c r="V77" s="873"/>
      <c r="W77" s="873"/>
      <c r="X77" s="873"/>
      <c r="Y77" s="873"/>
      <c r="Z77" s="873"/>
      <c r="AA77" s="873"/>
      <c r="AB77" s="873"/>
      <c r="AC77" s="873"/>
      <c r="AD77" s="873"/>
      <c r="AE77" s="873"/>
      <c r="AF77" s="873"/>
      <c r="AG77" s="873"/>
      <c r="AH77" s="873"/>
      <c r="AI77" s="873"/>
      <c r="AJ77" s="873"/>
      <c r="AK77" s="873"/>
      <c r="AL77" s="873"/>
      <c r="AM77" s="873"/>
      <c r="AN77" s="873"/>
      <c r="AO77" s="873"/>
      <c r="AP77" s="873"/>
      <c r="AQ77" s="873"/>
      <c r="AR77" s="873"/>
      <c r="AS77" s="873"/>
      <c r="AT77" s="873"/>
      <c r="AU77" s="873"/>
      <c r="AV77" s="873"/>
      <c r="AW77" s="873"/>
      <c r="AX77" s="873"/>
      <c r="AY77" s="873"/>
      <c r="AZ77" s="873"/>
      <c r="BA77" s="873"/>
      <c r="BB77" s="873"/>
      <c r="BC77" s="873"/>
      <c r="BD77" s="873"/>
      <c r="BE77" s="873"/>
      <c r="BF77" s="873"/>
      <c r="BG77" s="873"/>
      <c r="BH77" s="873"/>
      <c r="BI77" s="873"/>
      <c r="BJ77" s="873"/>
      <c r="BK77" s="873"/>
      <c r="BL77" s="873"/>
      <c r="BM77" s="873"/>
      <c r="BN77" s="873"/>
      <c r="BO77" s="873"/>
      <c r="BP77" s="873"/>
      <c r="BQ77" s="873"/>
      <c r="BR77" s="873"/>
      <c r="BS77" s="873"/>
      <c r="BT77" s="873"/>
      <c r="BU77" s="873"/>
      <c r="BV77" s="873"/>
      <c r="BW77" s="873"/>
      <c r="BX77" s="873"/>
      <c r="BY77" s="873"/>
      <c r="BZ77" s="873"/>
      <c r="CA77" s="873"/>
      <c r="CB77" s="873"/>
      <c r="CC77" s="873"/>
      <c r="CD77" s="873"/>
      <c r="CE77" s="873"/>
      <c r="CF77" s="873"/>
      <c r="CG77" s="873"/>
      <c r="CH77" s="873"/>
      <c r="CI77" s="873"/>
      <c r="CJ77" s="873"/>
      <c r="CK77" s="873"/>
      <c r="CL77" s="873"/>
      <c r="CM77" s="873"/>
      <c r="CN77" s="873"/>
      <c r="CO77" s="873"/>
      <c r="CP77" s="873"/>
      <c r="CQ77" s="873"/>
      <c r="CR77" s="873"/>
      <c r="CS77" s="873"/>
      <c r="CT77" s="873"/>
      <c r="CU77" s="873"/>
      <c r="CV77" s="873"/>
      <c r="CW77" s="873"/>
      <c r="CX77" s="873"/>
      <c r="CY77" s="873"/>
      <c r="CZ77" s="873"/>
      <c r="DA77" s="873"/>
      <c r="DB77" s="873"/>
      <c r="DC77" s="873"/>
      <c r="DD77" s="873"/>
      <c r="DE77" s="873"/>
      <c r="DF77" s="873"/>
      <c r="DG77" s="873"/>
      <c r="DH77" s="873"/>
      <c r="DI77" s="873"/>
      <c r="DJ77" s="873"/>
      <c r="DK77" s="873"/>
      <c r="DL77" s="873"/>
      <c r="DM77" s="873"/>
      <c r="DN77" s="873"/>
      <c r="DO77" s="873"/>
      <c r="DP77" s="873"/>
      <c r="DQ77" s="873"/>
      <c r="DR77" s="873"/>
      <c r="DS77" s="873"/>
      <c r="DT77" s="873"/>
      <c r="DU77" s="873"/>
      <c r="DV77" s="873"/>
      <c r="DW77" s="873"/>
      <c r="DX77" s="873"/>
      <c r="DY77" s="873"/>
      <c r="DZ77" s="873"/>
      <c r="EA77" s="873"/>
      <c r="EB77" s="873"/>
      <c r="EC77" s="873"/>
      <c r="ED77" s="873"/>
      <c r="EE77" s="873"/>
      <c r="EF77" s="873"/>
      <c r="EG77" s="873"/>
      <c r="EH77" s="873"/>
      <c r="EI77" s="873"/>
      <c r="EJ77" s="873"/>
      <c r="EK77" s="873"/>
      <c r="EL77" s="873"/>
      <c r="EM77" s="873"/>
      <c r="EN77" s="873"/>
      <c r="EO77" s="873"/>
      <c r="EP77" s="873"/>
      <c r="EQ77" s="873"/>
      <c r="ER77" s="873"/>
      <c r="ES77" s="873"/>
      <c r="ET77" s="873"/>
      <c r="EU77" s="873"/>
      <c r="EV77" s="873"/>
      <c r="EW77" s="873"/>
      <c r="EX77" s="873"/>
      <c r="EY77" s="873"/>
      <c r="EZ77" s="873"/>
      <c r="FA77" s="873"/>
      <c r="FB77" s="873"/>
      <c r="FC77" s="873"/>
      <c r="FD77" s="873"/>
      <c r="FE77" s="873"/>
      <c r="FF77" s="873"/>
      <c r="FG77" s="873"/>
      <c r="FH77" s="873"/>
      <c r="FI77" s="873"/>
      <c r="FJ77" s="873"/>
      <c r="FK77" s="873"/>
      <c r="FL77" s="873"/>
      <c r="FM77" s="873"/>
      <c r="FN77" s="873"/>
      <c r="FO77" s="873"/>
      <c r="FP77" s="873"/>
      <c r="FQ77" s="873"/>
      <c r="FR77" s="873"/>
      <c r="FS77" s="873"/>
      <c r="FT77" s="873"/>
      <c r="FU77" s="873"/>
      <c r="FV77" s="873"/>
      <c r="FW77" s="873"/>
      <c r="FX77" s="873"/>
      <c r="FY77" s="873"/>
      <c r="FZ77" s="873"/>
      <c r="GA77" s="873"/>
      <c r="GB77" s="873"/>
      <c r="GC77" s="873"/>
      <c r="GD77" s="873"/>
      <c r="GE77" s="873"/>
      <c r="GF77" s="873"/>
      <c r="GG77" s="873"/>
      <c r="GH77" s="873"/>
      <c r="GI77" s="873"/>
      <c r="GJ77" s="873"/>
      <c r="GK77" s="873"/>
      <c r="GL77" s="873"/>
      <c r="GM77" s="873"/>
      <c r="GN77" s="873"/>
      <c r="GO77" s="873"/>
      <c r="GP77" s="873"/>
      <c r="GQ77" s="873"/>
      <c r="GR77" s="873"/>
      <c r="GS77" s="873"/>
      <c r="GT77" s="873"/>
      <c r="GU77" s="873"/>
      <c r="GV77" s="873"/>
      <c r="GW77" s="873"/>
      <c r="GX77" s="873"/>
      <c r="GY77" s="873"/>
      <c r="GZ77" s="873"/>
      <c r="HA77" s="873"/>
      <c r="HB77" s="873"/>
      <c r="HC77" s="873"/>
      <c r="HD77" s="873"/>
      <c r="HE77" s="873"/>
      <c r="HF77" s="873"/>
      <c r="HG77" s="873"/>
      <c r="HH77" s="873"/>
      <c r="HI77" s="873"/>
      <c r="HJ77" s="873"/>
      <c r="HK77" s="873"/>
      <c r="HL77" s="873"/>
      <c r="HM77" s="873"/>
      <c r="HN77" s="873"/>
      <c r="HO77" s="873"/>
      <c r="HP77" s="873"/>
      <c r="HQ77" s="873"/>
      <c r="HR77" s="873"/>
      <c r="HS77" s="873"/>
      <c r="HT77" s="873"/>
      <c r="HU77" s="873"/>
      <c r="HV77" s="873"/>
      <c r="HW77" s="873"/>
      <c r="HX77" s="873"/>
      <c r="HY77" s="873"/>
      <c r="HZ77" s="873"/>
      <c r="IA77" s="873"/>
      <c r="IB77" s="873"/>
      <c r="IC77" s="873"/>
      <c r="ID77" s="873"/>
      <c r="IE77" s="873"/>
      <c r="IF77" s="873"/>
      <c r="IG77" s="873"/>
      <c r="IH77" s="873"/>
      <c r="II77" s="873"/>
      <c r="IJ77" s="873"/>
      <c r="IK77" s="873"/>
      <c r="IL77" s="873"/>
      <c r="IM77" s="873"/>
      <c r="IN77" s="873"/>
      <c r="IO77" s="873"/>
      <c r="IP77" s="873"/>
      <c r="IQ77" s="873"/>
      <c r="IR77" s="873"/>
      <c r="IS77" s="873"/>
      <c r="IT77" s="873"/>
      <c r="IU77" s="873"/>
      <c r="IV77" s="873"/>
      <c r="IW77" s="873"/>
    </row>
    <row r="78" spans="1:257" ht="56">
      <c r="A78" s="2499"/>
      <c r="B78" s="1145" t="s">
        <v>1655</v>
      </c>
      <c r="C78" s="1126">
        <v>5</v>
      </c>
      <c r="D78" s="1126">
        <v>5</v>
      </c>
      <c r="E78" s="1127" t="s">
        <v>1418</v>
      </c>
      <c r="F78" s="1128" t="str">
        <f>IF(Scoring!I87="","",Scoring!I87)</f>
        <v/>
      </c>
      <c r="G78" s="1129"/>
      <c r="H78" s="1129"/>
      <c r="I78" s="1130" t="s">
        <v>2119</v>
      </c>
      <c r="J78" s="1131"/>
      <c r="K78" s="1131"/>
      <c r="L78" s="1132"/>
      <c r="M78" s="1133"/>
      <c r="O78" s="867"/>
      <c r="P78" s="868"/>
    </row>
    <row r="79" spans="1:257" ht="98">
      <c r="A79" s="2499"/>
      <c r="B79" s="1145" t="s">
        <v>1656</v>
      </c>
      <c r="C79" s="1126">
        <v>5</v>
      </c>
      <c r="D79" s="1126">
        <v>6</v>
      </c>
      <c r="E79" s="1127" t="s">
        <v>1419</v>
      </c>
      <c r="F79" s="1128" t="str">
        <f>IF(Scoring!I88="","",Scoring!I88)</f>
        <v/>
      </c>
      <c r="G79" s="1129"/>
      <c r="H79" s="1129"/>
      <c r="I79" s="1130" t="s">
        <v>2120</v>
      </c>
      <c r="J79" s="1131"/>
      <c r="K79" s="1131"/>
      <c r="L79" s="1132"/>
      <c r="M79" s="1133"/>
      <c r="O79" s="867" t="s">
        <v>2121</v>
      </c>
      <c r="P79" s="868"/>
    </row>
    <row r="80" spans="1:257" ht="70">
      <c r="A80" s="2499"/>
      <c r="B80" s="1145" t="s">
        <v>1657</v>
      </c>
      <c r="C80" s="1126">
        <v>3</v>
      </c>
      <c r="D80" s="1126">
        <v>3</v>
      </c>
      <c r="E80" s="1127" t="s">
        <v>1420</v>
      </c>
      <c r="F80" s="1128" t="str">
        <f>IF(Scoring!I89="","",Scoring!I89)</f>
        <v/>
      </c>
      <c r="G80" s="1129"/>
      <c r="H80" s="1129"/>
      <c r="I80" s="1130" t="s">
        <v>2122</v>
      </c>
      <c r="J80" s="1131"/>
      <c r="K80" s="1131"/>
      <c r="L80" s="1132"/>
      <c r="M80" s="1133"/>
      <c r="O80" s="867"/>
      <c r="P80" s="868"/>
    </row>
    <row r="81" spans="1:257" s="876" customFormat="1" ht="84">
      <c r="A81" s="2500"/>
      <c r="B81" s="1146" t="s">
        <v>1658</v>
      </c>
      <c r="C81" s="1135">
        <v>3</v>
      </c>
      <c r="D81" s="1135">
        <v>3</v>
      </c>
      <c r="E81" s="1136" t="s">
        <v>1421</v>
      </c>
      <c r="F81" s="1137" t="str">
        <f>IF(Scoring!I90="","",Scoring!I90)</f>
        <v/>
      </c>
      <c r="G81" s="1138"/>
      <c r="H81" s="1138"/>
      <c r="I81" s="1139" t="s">
        <v>2123</v>
      </c>
      <c r="J81" s="1140">
        <f>COUNT(F77:F81)</f>
        <v>0</v>
      </c>
      <c r="K81" s="1140"/>
      <c r="L81" s="1141">
        <f>SUM(F77:F81)</f>
        <v>0</v>
      </c>
      <c r="M81" s="1142">
        <f>IF(L81&lt;3,0,1)</f>
        <v>0</v>
      </c>
      <c r="N81" s="873"/>
      <c r="O81" s="874"/>
      <c r="P81" s="875">
        <f>COUNTA(F77:F81)</f>
        <v>5</v>
      </c>
      <c r="Q81" s="873"/>
      <c r="R81" s="873"/>
      <c r="S81" s="873"/>
      <c r="T81" s="873"/>
      <c r="U81" s="873"/>
      <c r="V81" s="873"/>
      <c r="W81" s="873"/>
      <c r="X81" s="873"/>
      <c r="Y81" s="873"/>
      <c r="Z81" s="873"/>
      <c r="AA81" s="873"/>
      <c r="AB81" s="873"/>
      <c r="AC81" s="873"/>
      <c r="AD81" s="873"/>
      <c r="AE81" s="873"/>
      <c r="AF81" s="873"/>
      <c r="AG81" s="873"/>
      <c r="AH81" s="873"/>
      <c r="AI81" s="873"/>
      <c r="AJ81" s="873"/>
      <c r="AK81" s="873"/>
      <c r="AL81" s="873"/>
      <c r="AM81" s="873"/>
      <c r="AN81" s="873"/>
      <c r="AO81" s="873"/>
      <c r="AP81" s="873"/>
      <c r="AQ81" s="873"/>
      <c r="AR81" s="873"/>
      <c r="AS81" s="873"/>
      <c r="AT81" s="873"/>
      <c r="AU81" s="873"/>
      <c r="AV81" s="873"/>
      <c r="AW81" s="873"/>
      <c r="AX81" s="873"/>
      <c r="AY81" s="873"/>
      <c r="AZ81" s="873"/>
      <c r="BA81" s="873"/>
      <c r="BB81" s="873"/>
      <c r="BC81" s="873"/>
      <c r="BD81" s="873"/>
      <c r="BE81" s="873"/>
      <c r="BF81" s="873"/>
      <c r="BG81" s="873"/>
      <c r="BH81" s="873"/>
      <c r="BI81" s="873"/>
      <c r="BJ81" s="873"/>
      <c r="BK81" s="873"/>
      <c r="BL81" s="873"/>
      <c r="BM81" s="873"/>
      <c r="BN81" s="873"/>
      <c r="BO81" s="873"/>
      <c r="BP81" s="873"/>
      <c r="BQ81" s="873"/>
      <c r="BR81" s="873"/>
      <c r="BS81" s="873"/>
      <c r="BT81" s="873"/>
      <c r="BU81" s="873"/>
      <c r="BV81" s="873"/>
      <c r="BW81" s="873"/>
      <c r="BX81" s="873"/>
      <c r="BY81" s="873"/>
      <c r="BZ81" s="873"/>
      <c r="CA81" s="873"/>
      <c r="CB81" s="873"/>
      <c r="CC81" s="873"/>
      <c r="CD81" s="873"/>
      <c r="CE81" s="873"/>
      <c r="CF81" s="873"/>
      <c r="CG81" s="873"/>
      <c r="CH81" s="873"/>
      <c r="CI81" s="873"/>
      <c r="CJ81" s="873"/>
      <c r="CK81" s="873"/>
      <c r="CL81" s="873"/>
      <c r="CM81" s="873"/>
      <c r="CN81" s="873"/>
      <c r="CO81" s="873"/>
      <c r="CP81" s="873"/>
      <c r="CQ81" s="873"/>
      <c r="CR81" s="873"/>
      <c r="CS81" s="873"/>
      <c r="CT81" s="873"/>
      <c r="CU81" s="873"/>
      <c r="CV81" s="873"/>
      <c r="CW81" s="873"/>
      <c r="CX81" s="873"/>
      <c r="CY81" s="873"/>
      <c r="CZ81" s="873"/>
      <c r="DA81" s="873"/>
      <c r="DB81" s="873"/>
      <c r="DC81" s="873"/>
      <c r="DD81" s="873"/>
      <c r="DE81" s="873"/>
      <c r="DF81" s="873"/>
      <c r="DG81" s="873"/>
      <c r="DH81" s="873"/>
      <c r="DI81" s="873"/>
      <c r="DJ81" s="873"/>
      <c r="DK81" s="873"/>
      <c r="DL81" s="873"/>
      <c r="DM81" s="873"/>
      <c r="DN81" s="873"/>
      <c r="DO81" s="873"/>
      <c r="DP81" s="873"/>
      <c r="DQ81" s="873"/>
      <c r="DR81" s="873"/>
      <c r="DS81" s="873"/>
      <c r="DT81" s="873"/>
      <c r="DU81" s="873"/>
      <c r="DV81" s="873"/>
      <c r="DW81" s="873"/>
      <c r="DX81" s="873"/>
      <c r="DY81" s="873"/>
      <c r="DZ81" s="873"/>
      <c r="EA81" s="873"/>
      <c r="EB81" s="873"/>
      <c r="EC81" s="873"/>
      <c r="ED81" s="873"/>
      <c r="EE81" s="873"/>
      <c r="EF81" s="873"/>
      <c r="EG81" s="873"/>
      <c r="EH81" s="873"/>
      <c r="EI81" s="873"/>
      <c r="EJ81" s="873"/>
      <c r="EK81" s="873"/>
      <c r="EL81" s="873"/>
      <c r="EM81" s="873"/>
      <c r="EN81" s="873"/>
      <c r="EO81" s="873"/>
      <c r="EP81" s="873"/>
      <c r="EQ81" s="873"/>
      <c r="ER81" s="873"/>
      <c r="ES81" s="873"/>
      <c r="ET81" s="873"/>
      <c r="EU81" s="873"/>
      <c r="EV81" s="873"/>
      <c r="EW81" s="873"/>
      <c r="EX81" s="873"/>
      <c r="EY81" s="873"/>
      <c r="EZ81" s="873"/>
      <c r="FA81" s="873"/>
      <c r="FB81" s="873"/>
      <c r="FC81" s="873"/>
      <c r="FD81" s="873"/>
      <c r="FE81" s="873"/>
      <c r="FF81" s="873"/>
      <c r="FG81" s="873"/>
      <c r="FH81" s="873"/>
      <c r="FI81" s="873"/>
      <c r="FJ81" s="873"/>
      <c r="FK81" s="873"/>
      <c r="FL81" s="873"/>
      <c r="FM81" s="873"/>
      <c r="FN81" s="873"/>
      <c r="FO81" s="873"/>
      <c r="FP81" s="873"/>
      <c r="FQ81" s="873"/>
      <c r="FR81" s="873"/>
      <c r="FS81" s="873"/>
      <c r="FT81" s="873"/>
      <c r="FU81" s="873"/>
      <c r="FV81" s="873"/>
      <c r="FW81" s="873"/>
      <c r="FX81" s="873"/>
      <c r="FY81" s="873"/>
      <c r="FZ81" s="873"/>
      <c r="GA81" s="873"/>
      <c r="GB81" s="873"/>
      <c r="GC81" s="873"/>
      <c r="GD81" s="873"/>
      <c r="GE81" s="873"/>
      <c r="GF81" s="873"/>
      <c r="GG81" s="873"/>
      <c r="GH81" s="873"/>
      <c r="GI81" s="873"/>
      <c r="GJ81" s="873"/>
      <c r="GK81" s="873"/>
      <c r="GL81" s="873"/>
      <c r="GM81" s="873"/>
      <c r="GN81" s="873"/>
      <c r="GO81" s="873"/>
      <c r="GP81" s="873"/>
      <c r="GQ81" s="873"/>
      <c r="GR81" s="873"/>
      <c r="GS81" s="873"/>
      <c r="GT81" s="873"/>
      <c r="GU81" s="873"/>
      <c r="GV81" s="873"/>
      <c r="GW81" s="873"/>
      <c r="GX81" s="873"/>
      <c r="GY81" s="873"/>
      <c r="GZ81" s="873"/>
      <c r="HA81" s="873"/>
      <c r="HB81" s="873"/>
      <c r="HC81" s="873"/>
      <c r="HD81" s="873"/>
      <c r="HE81" s="873"/>
      <c r="HF81" s="873"/>
      <c r="HG81" s="873"/>
      <c r="HH81" s="873"/>
      <c r="HI81" s="873"/>
      <c r="HJ81" s="873"/>
      <c r="HK81" s="873"/>
      <c r="HL81" s="873"/>
      <c r="HM81" s="873"/>
      <c r="HN81" s="873"/>
      <c r="HO81" s="873"/>
      <c r="HP81" s="873"/>
      <c r="HQ81" s="873"/>
      <c r="HR81" s="873"/>
      <c r="HS81" s="873"/>
      <c r="HT81" s="873"/>
      <c r="HU81" s="873"/>
      <c r="HV81" s="873"/>
      <c r="HW81" s="873"/>
      <c r="HX81" s="873"/>
      <c r="HY81" s="873"/>
      <c r="HZ81" s="873"/>
      <c r="IA81" s="873"/>
      <c r="IB81" s="873"/>
      <c r="IC81" s="873"/>
      <c r="ID81" s="873"/>
      <c r="IE81" s="873"/>
      <c r="IF81" s="873"/>
      <c r="IG81" s="873"/>
      <c r="IH81" s="873"/>
      <c r="II81" s="873"/>
      <c r="IJ81" s="873"/>
      <c r="IK81" s="873"/>
      <c r="IL81" s="873"/>
      <c r="IM81" s="873"/>
      <c r="IN81" s="873"/>
      <c r="IO81" s="873"/>
      <c r="IP81" s="873"/>
      <c r="IQ81" s="873"/>
      <c r="IR81" s="873"/>
      <c r="IS81" s="873"/>
      <c r="IT81" s="873"/>
      <c r="IU81" s="873"/>
      <c r="IV81" s="873"/>
      <c r="IW81" s="873"/>
    </row>
    <row r="82" spans="1:257" s="876" customFormat="1">
      <c r="A82" s="873"/>
      <c r="B82" s="873"/>
      <c r="C82" s="873"/>
      <c r="D82" s="873"/>
      <c r="E82" s="873"/>
      <c r="F82" s="873"/>
      <c r="G82" s="873"/>
      <c r="H82" s="873"/>
      <c r="I82" s="873"/>
      <c r="J82" s="873"/>
      <c r="K82" s="873"/>
      <c r="L82" s="873"/>
      <c r="M82" s="873"/>
      <c r="N82" s="873"/>
      <c r="O82" s="873"/>
      <c r="P82" s="873"/>
      <c r="Q82" s="873"/>
      <c r="R82" s="873"/>
      <c r="S82" s="873"/>
      <c r="T82" s="873"/>
      <c r="U82" s="873"/>
      <c r="V82" s="873"/>
      <c r="W82" s="873"/>
      <c r="X82" s="873"/>
      <c r="Y82" s="873"/>
      <c r="Z82" s="873"/>
      <c r="AA82" s="873"/>
      <c r="AB82" s="873"/>
      <c r="AC82" s="873"/>
      <c r="AD82" s="873"/>
      <c r="AE82" s="873"/>
      <c r="AF82" s="873"/>
      <c r="AG82" s="873"/>
      <c r="AH82" s="873"/>
      <c r="AI82" s="873"/>
      <c r="AJ82" s="873"/>
      <c r="AK82" s="873"/>
      <c r="AL82" s="873"/>
      <c r="AM82" s="873"/>
      <c r="AN82" s="873"/>
      <c r="AO82" s="873"/>
      <c r="AP82" s="873"/>
      <c r="AQ82" s="873"/>
      <c r="AR82" s="873"/>
      <c r="AS82" s="873"/>
      <c r="AT82" s="873"/>
      <c r="AU82" s="873"/>
      <c r="AV82" s="873"/>
      <c r="AW82" s="873"/>
      <c r="AX82" s="873"/>
      <c r="AY82" s="873"/>
      <c r="AZ82" s="873"/>
      <c r="BA82" s="873"/>
      <c r="BB82" s="873"/>
      <c r="BC82" s="873"/>
      <c r="BD82" s="873"/>
      <c r="BE82" s="873"/>
      <c r="BF82" s="873"/>
      <c r="BG82" s="873"/>
      <c r="BH82" s="873"/>
      <c r="BI82" s="873"/>
      <c r="BJ82" s="873"/>
      <c r="BK82" s="873"/>
      <c r="BL82" s="873"/>
      <c r="BM82" s="873"/>
      <c r="BN82" s="873"/>
      <c r="BO82" s="873"/>
      <c r="BP82" s="873"/>
      <c r="BQ82" s="873"/>
      <c r="BR82" s="873"/>
      <c r="BS82" s="873"/>
      <c r="BT82" s="873"/>
      <c r="BU82" s="873"/>
      <c r="BV82" s="873"/>
      <c r="BW82" s="873"/>
      <c r="BX82" s="873"/>
      <c r="BY82" s="873"/>
      <c r="BZ82" s="873"/>
      <c r="CA82" s="873"/>
      <c r="CB82" s="873"/>
      <c r="CC82" s="873"/>
      <c r="CD82" s="873"/>
      <c r="CE82" s="873"/>
      <c r="CF82" s="873"/>
      <c r="CG82" s="873"/>
      <c r="CH82" s="873"/>
      <c r="CI82" s="873"/>
      <c r="CJ82" s="873"/>
      <c r="CK82" s="873"/>
      <c r="CL82" s="873"/>
      <c r="CM82" s="873"/>
      <c r="CN82" s="873"/>
      <c r="CO82" s="873"/>
      <c r="CP82" s="873"/>
      <c r="CQ82" s="873"/>
      <c r="CR82" s="873"/>
      <c r="CS82" s="873"/>
      <c r="CT82" s="873"/>
      <c r="CU82" s="873"/>
      <c r="CV82" s="873"/>
      <c r="CW82" s="873"/>
      <c r="CX82" s="873"/>
      <c r="CY82" s="873"/>
      <c r="CZ82" s="873"/>
      <c r="DA82" s="873"/>
      <c r="DB82" s="873"/>
      <c r="DC82" s="873"/>
      <c r="DD82" s="873"/>
      <c r="DE82" s="873"/>
      <c r="DF82" s="873"/>
      <c r="DG82" s="873"/>
      <c r="DH82" s="873"/>
      <c r="DI82" s="873"/>
      <c r="DJ82" s="873"/>
      <c r="DK82" s="873"/>
      <c r="DL82" s="873"/>
      <c r="DM82" s="873"/>
      <c r="DN82" s="873"/>
      <c r="DO82" s="873"/>
      <c r="DP82" s="873"/>
      <c r="DQ82" s="873"/>
      <c r="DR82" s="873"/>
      <c r="DS82" s="873"/>
      <c r="DT82" s="873"/>
      <c r="DU82" s="873"/>
      <c r="DV82" s="873"/>
      <c r="DW82" s="873"/>
      <c r="DX82" s="873"/>
      <c r="DY82" s="873"/>
      <c r="DZ82" s="873"/>
      <c r="EA82" s="873"/>
      <c r="EB82" s="873"/>
      <c r="EC82" s="873"/>
      <c r="ED82" s="873"/>
      <c r="EE82" s="873"/>
      <c r="EF82" s="873"/>
      <c r="EG82" s="873"/>
      <c r="EH82" s="873"/>
      <c r="EI82" s="873"/>
      <c r="EJ82" s="873"/>
      <c r="EK82" s="873"/>
      <c r="EL82" s="873"/>
      <c r="EM82" s="873"/>
      <c r="EN82" s="873"/>
      <c r="EO82" s="873"/>
      <c r="EP82" s="873"/>
      <c r="EQ82" s="873"/>
      <c r="ER82" s="873"/>
      <c r="ES82" s="873"/>
      <c r="ET82" s="873"/>
      <c r="EU82" s="873"/>
      <c r="EV82" s="873"/>
      <c r="EW82" s="873"/>
      <c r="EX82" s="873"/>
      <c r="EY82" s="873"/>
      <c r="EZ82" s="873"/>
      <c r="FA82" s="873"/>
      <c r="FB82" s="873"/>
      <c r="FC82" s="873"/>
      <c r="FD82" s="873"/>
      <c r="FE82" s="873"/>
      <c r="FF82" s="873"/>
      <c r="FG82" s="873"/>
      <c r="FH82" s="873"/>
      <c r="FI82" s="873"/>
      <c r="FJ82" s="873"/>
      <c r="FK82" s="873"/>
      <c r="FL82" s="873"/>
      <c r="FM82" s="873"/>
      <c r="FN82" s="873"/>
      <c r="FO82" s="873"/>
      <c r="FP82" s="873"/>
      <c r="FQ82" s="873"/>
      <c r="FR82" s="873"/>
      <c r="FS82" s="873"/>
      <c r="FT82" s="873"/>
      <c r="FU82" s="873"/>
      <c r="FV82" s="873"/>
      <c r="FW82" s="873"/>
      <c r="FX82" s="873"/>
      <c r="FY82" s="873"/>
      <c r="FZ82" s="873"/>
      <c r="GA82" s="873"/>
      <c r="GB82" s="873"/>
      <c r="GC82" s="873"/>
      <c r="GD82" s="873"/>
      <c r="GE82" s="873"/>
      <c r="GF82" s="873"/>
      <c r="GG82" s="873"/>
      <c r="GH82" s="873"/>
      <c r="GI82" s="873"/>
      <c r="GJ82" s="873"/>
      <c r="GK82" s="873"/>
      <c r="GL82" s="873"/>
      <c r="GM82" s="873"/>
      <c r="GN82" s="873"/>
      <c r="GO82" s="873"/>
      <c r="GP82" s="873"/>
      <c r="GQ82" s="873"/>
      <c r="GR82" s="873"/>
      <c r="GS82" s="873"/>
      <c r="GT82" s="873"/>
      <c r="GU82" s="873"/>
      <c r="GV82" s="873"/>
      <c r="GW82" s="873"/>
      <c r="GX82" s="873"/>
      <c r="GY82" s="873"/>
      <c r="GZ82" s="873"/>
      <c r="HA82" s="873"/>
      <c r="HB82" s="873"/>
      <c r="HC82" s="873"/>
      <c r="HD82" s="873"/>
      <c r="HE82" s="873"/>
      <c r="HF82" s="873"/>
      <c r="HG82" s="873"/>
      <c r="HH82" s="873"/>
      <c r="HI82" s="873"/>
      <c r="HJ82" s="873"/>
      <c r="HK82" s="873"/>
      <c r="HL82" s="873"/>
      <c r="HM82" s="873"/>
      <c r="HN82" s="873"/>
      <c r="HO82" s="873"/>
      <c r="HP82" s="873"/>
      <c r="HQ82" s="873"/>
      <c r="HR82" s="873"/>
      <c r="HS82" s="873"/>
      <c r="HT82" s="873"/>
      <c r="HU82" s="873"/>
      <c r="HV82" s="873"/>
      <c r="HW82" s="873"/>
      <c r="HX82" s="873"/>
      <c r="HY82" s="873"/>
      <c r="HZ82" s="873"/>
      <c r="IA82" s="873"/>
      <c r="IB82" s="873"/>
      <c r="IC82" s="873"/>
      <c r="ID82" s="873"/>
      <c r="IE82" s="873"/>
      <c r="IF82" s="873"/>
      <c r="IG82" s="873"/>
      <c r="IH82" s="873"/>
      <c r="II82" s="873"/>
      <c r="IJ82" s="873"/>
      <c r="IK82" s="873"/>
      <c r="IL82" s="873"/>
      <c r="IM82" s="873"/>
      <c r="IN82" s="873"/>
      <c r="IO82" s="873"/>
      <c r="IP82" s="873"/>
      <c r="IQ82" s="873"/>
      <c r="IR82" s="873"/>
      <c r="IS82" s="873"/>
      <c r="IT82" s="873"/>
      <c r="IU82" s="873"/>
      <c r="IV82" s="873"/>
      <c r="IW82" s="873"/>
    </row>
    <row r="83" spans="1:257" s="876" customFormat="1" ht="112">
      <c r="A83" s="2498" t="s">
        <v>1203</v>
      </c>
      <c r="B83" s="1144" t="s">
        <v>1659</v>
      </c>
      <c r="C83" s="1117">
        <v>4</v>
      </c>
      <c r="D83" s="1117">
        <v>4</v>
      </c>
      <c r="E83" s="1118" t="s">
        <v>1424</v>
      </c>
      <c r="F83" s="1119" t="str">
        <f>IF(Scoring!I92="","",Scoring!I92)</f>
        <v/>
      </c>
      <c r="G83" s="1120"/>
      <c r="H83" s="1120"/>
      <c r="I83" s="1121" t="s">
        <v>2124</v>
      </c>
      <c r="J83" s="1122"/>
      <c r="K83" s="1122"/>
      <c r="L83" s="1123"/>
      <c r="M83" s="1124"/>
      <c r="N83" s="873"/>
      <c r="O83" s="877"/>
      <c r="P83" s="878"/>
      <c r="Q83" s="873"/>
      <c r="R83" s="873"/>
      <c r="S83" s="873"/>
      <c r="T83" s="873"/>
      <c r="U83" s="873"/>
      <c r="V83" s="873"/>
      <c r="W83" s="873"/>
      <c r="X83" s="873"/>
      <c r="Y83" s="873"/>
      <c r="Z83" s="873"/>
      <c r="AA83" s="873"/>
      <c r="AB83" s="873"/>
      <c r="AC83" s="873"/>
      <c r="AD83" s="873"/>
      <c r="AE83" s="873"/>
      <c r="AF83" s="873"/>
      <c r="AG83" s="873"/>
      <c r="AH83" s="873"/>
      <c r="AI83" s="873"/>
      <c r="AJ83" s="873"/>
      <c r="AK83" s="873"/>
      <c r="AL83" s="873"/>
      <c r="AM83" s="873"/>
      <c r="AN83" s="873"/>
      <c r="AO83" s="873"/>
      <c r="AP83" s="873"/>
      <c r="AQ83" s="873"/>
      <c r="AR83" s="873"/>
      <c r="AS83" s="873"/>
      <c r="AT83" s="873"/>
      <c r="AU83" s="873"/>
      <c r="AV83" s="873"/>
      <c r="AW83" s="873"/>
      <c r="AX83" s="873"/>
      <c r="AY83" s="873"/>
      <c r="AZ83" s="873"/>
      <c r="BA83" s="873"/>
      <c r="BB83" s="873"/>
      <c r="BC83" s="873"/>
      <c r="BD83" s="873"/>
      <c r="BE83" s="873"/>
      <c r="BF83" s="873"/>
      <c r="BG83" s="873"/>
      <c r="BH83" s="873"/>
      <c r="BI83" s="873"/>
      <c r="BJ83" s="873"/>
      <c r="BK83" s="873"/>
      <c r="BL83" s="873"/>
      <c r="BM83" s="873"/>
      <c r="BN83" s="873"/>
      <c r="BO83" s="873"/>
      <c r="BP83" s="873"/>
      <c r="BQ83" s="873"/>
      <c r="BR83" s="873"/>
      <c r="BS83" s="873"/>
      <c r="BT83" s="873"/>
      <c r="BU83" s="873"/>
      <c r="BV83" s="873"/>
      <c r="BW83" s="873"/>
      <c r="BX83" s="873"/>
      <c r="BY83" s="873"/>
      <c r="BZ83" s="873"/>
      <c r="CA83" s="873"/>
      <c r="CB83" s="873"/>
      <c r="CC83" s="873"/>
      <c r="CD83" s="873"/>
      <c r="CE83" s="873"/>
      <c r="CF83" s="873"/>
      <c r="CG83" s="873"/>
      <c r="CH83" s="873"/>
      <c r="CI83" s="873"/>
      <c r="CJ83" s="873"/>
      <c r="CK83" s="873"/>
      <c r="CL83" s="873"/>
      <c r="CM83" s="873"/>
      <c r="CN83" s="873"/>
      <c r="CO83" s="873"/>
      <c r="CP83" s="873"/>
      <c r="CQ83" s="873"/>
      <c r="CR83" s="873"/>
      <c r="CS83" s="873"/>
      <c r="CT83" s="873"/>
      <c r="CU83" s="873"/>
      <c r="CV83" s="873"/>
      <c r="CW83" s="873"/>
      <c r="CX83" s="873"/>
      <c r="CY83" s="873"/>
      <c r="CZ83" s="873"/>
      <c r="DA83" s="873"/>
      <c r="DB83" s="873"/>
      <c r="DC83" s="873"/>
      <c r="DD83" s="873"/>
      <c r="DE83" s="873"/>
      <c r="DF83" s="873"/>
      <c r="DG83" s="873"/>
      <c r="DH83" s="873"/>
      <c r="DI83" s="873"/>
      <c r="DJ83" s="873"/>
      <c r="DK83" s="873"/>
      <c r="DL83" s="873"/>
      <c r="DM83" s="873"/>
      <c r="DN83" s="873"/>
      <c r="DO83" s="873"/>
      <c r="DP83" s="873"/>
      <c r="DQ83" s="873"/>
      <c r="DR83" s="873"/>
      <c r="DS83" s="873"/>
      <c r="DT83" s="873"/>
      <c r="DU83" s="873"/>
      <c r="DV83" s="873"/>
      <c r="DW83" s="873"/>
      <c r="DX83" s="873"/>
      <c r="DY83" s="873"/>
      <c r="DZ83" s="873"/>
      <c r="EA83" s="873"/>
      <c r="EB83" s="873"/>
      <c r="EC83" s="873"/>
      <c r="ED83" s="873"/>
      <c r="EE83" s="873"/>
      <c r="EF83" s="873"/>
      <c r="EG83" s="873"/>
      <c r="EH83" s="873"/>
      <c r="EI83" s="873"/>
      <c r="EJ83" s="873"/>
      <c r="EK83" s="873"/>
      <c r="EL83" s="873"/>
      <c r="EM83" s="873"/>
      <c r="EN83" s="873"/>
      <c r="EO83" s="873"/>
      <c r="EP83" s="873"/>
      <c r="EQ83" s="873"/>
      <c r="ER83" s="873"/>
      <c r="ES83" s="873"/>
      <c r="ET83" s="873"/>
      <c r="EU83" s="873"/>
      <c r="EV83" s="873"/>
      <c r="EW83" s="873"/>
      <c r="EX83" s="873"/>
      <c r="EY83" s="873"/>
      <c r="EZ83" s="873"/>
      <c r="FA83" s="873"/>
      <c r="FB83" s="873"/>
      <c r="FC83" s="873"/>
      <c r="FD83" s="873"/>
      <c r="FE83" s="873"/>
      <c r="FF83" s="873"/>
      <c r="FG83" s="873"/>
      <c r="FH83" s="873"/>
      <c r="FI83" s="873"/>
      <c r="FJ83" s="873"/>
      <c r="FK83" s="873"/>
      <c r="FL83" s="873"/>
      <c r="FM83" s="873"/>
      <c r="FN83" s="873"/>
      <c r="FO83" s="873"/>
      <c r="FP83" s="873"/>
      <c r="FQ83" s="873"/>
      <c r="FR83" s="873"/>
      <c r="FS83" s="873"/>
      <c r="FT83" s="873"/>
      <c r="FU83" s="873"/>
      <c r="FV83" s="873"/>
      <c r="FW83" s="873"/>
      <c r="FX83" s="873"/>
      <c r="FY83" s="873"/>
      <c r="FZ83" s="873"/>
      <c r="GA83" s="873"/>
      <c r="GB83" s="873"/>
      <c r="GC83" s="873"/>
      <c r="GD83" s="873"/>
      <c r="GE83" s="873"/>
      <c r="GF83" s="873"/>
      <c r="GG83" s="873"/>
      <c r="GH83" s="873"/>
      <c r="GI83" s="873"/>
      <c r="GJ83" s="873"/>
      <c r="GK83" s="873"/>
      <c r="GL83" s="873"/>
      <c r="GM83" s="873"/>
      <c r="GN83" s="873"/>
      <c r="GO83" s="873"/>
      <c r="GP83" s="873"/>
      <c r="GQ83" s="873"/>
      <c r="GR83" s="873"/>
      <c r="GS83" s="873"/>
      <c r="GT83" s="873"/>
      <c r="GU83" s="873"/>
      <c r="GV83" s="873"/>
      <c r="GW83" s="873"/>
      <c r="GX83" s="873"/>
      <c r="GY83" s="873"/>
      <c r="GZ83" s="873"/>
      <c r="HA83" s="873"/>
      <c r="HB83" s="873"/>
      <c r="HC83" s="873"/>
      <c r="HD83" s="873"/>
      <c r="HE83" s="873"/>
      <c r="HF83" s="873"/>
      <c r="HG83" s="873"/>
      <c r="HH83" s="873"/>
      <c r="HI83" s="873"/>
      <c r="HJ83" s="873"/>
      <c r="HK83" s="873"/>
      <c r="HL83" s="873"/>
      <c r="HM83" s="873"/>
      <c r="HN83" s="873"/>
      <c r="HO83" s="873"/>
      <c r="HP83" s="873"/>
      <c r="HQ83" s="873"/>
      <c r="HR83" s="873"/>
      <c r="HS83" s="873"/>
      <c r="HT83" s="873"/>
      <c r="HU83" s="873"/>
      <c r="HV83" s="873"/>
      <c r="HW83" s="873"/>
      <c r="HX83" s="873"/>
      <c r="HY83" s="873"/>
      <c r="HZ83" s="873"/>
      <c r="IA83" s="873"/>
      <c r="IB83" s="873"/>
      <c r="IC83" s="873"/>
      <c r="ID83" s="873"/>
      <c r="IE83" s="873"/>
      <c r="IF83" s="873"/>
      <c r="IG83" s="873"/>
      <c r="IH83" s="873"/>
      <c r="II83" s="873"/>
      <c r="IJ83" s="873"/>
      <c r="IK83" s="873"/>
      <c r="IL83" s="873"/>
      <c r="IM83" s="873"/>
      <c r="IN83" s="873"/>
      <c r="IO83" s="873"/>
      <c r="IP83" s="873"/>
      <c r="IQ83" s="873"/>
      <c r="IR83" s="873"/>
      <c r="IS83" s="873"/>
      <c r="IT83" s="873"/>
      <c r="IU83" s="873"/>
      <c r="IV83" s="873"/>
      <c r="IW83" s="873"/>
    </row>
    <row r="84" spans="1:257" ht="70">
      <c r="A84" s="2499"/>
      <c r="B84" s="1145" t="s">
        <v>1660</v>
      </c>
      <c r="C84" s="1126">
        <v>3</v>
      </c>
      <c r="D84" s="1126">
        <v>4</v>
      </c>
      <c r="E84" s="1127" t="s">
        <v>1425</v>
      </c>
      <c r="F84" s="1128" t="str">
        <f>IF(Scoring!I93="","",Scoring!I93)</f>
        <v/>
      </c>
      <c r="G84" s="1129"/>
      <c r="H84" s="1129"/>
      <c r="I84" s="1130" t="s">
        <v>2125</v>
      </c>
      <c r="J84" s="1131"/>
      <c r="K84" s="1131"/>
      <c r="L84" s="1132"/>
      <c r="M84" s="1133"/>
      <c r="O84" s="867"/>
      <c r="P84" s="868"/>
    </row>
    <row r="85" spans="1:257" ht="140">
      <c r="A85" s="2499"/>
      <c r="B85" s="1145" t="s">
        <v>1661</v>
      </c>
      <c r="C85" s="1126">
        <v>3</v>
      </c>
      <c r="D85" s="1126">
        <v>6</v>
      </c>
      <c r="E85" s="1127" t="s">
        <v>1426</v>
      </c>
      <c r="F85" s="1128" t="str">
        <f>IF(Scoring!I94="","",Scoring!I94)</f>
        <v/>
      </c>
      <c r="G85" s="1129"/>
      <c r="H85" s="1129"/>
      <c r="I85" s="1130" t="s">
        <v>2545</v>
      </c>
      <c r="J85" s="1131"/>
      <c r="K85" s="1131"/>
      <c r="L85" s="1132"/>
      <c r="M85" s="1133"/>
      <c r="O85" s="867"/>
      <c r="P85" s="868"/>
    </row>
    <row r="86" spans="1:257" ht="126">
      <c r="A86" s="2499"/>
      <c r="B86" s="1145" t="s">
        <v>1662</v>
      </c>
      <c r="C86" s="1126">
        <v>3</v>
      </c>
      <c r="D86" s="1126">
        <v>6</v>
      </c>
      <c r="E86" s="1127" t="s">
        <v>1427</v>
      </c>
      <c r="F86" s="1128" t="str">
        <f>IF(Scoring!I95="","",Scoring!I95)</f>
        <v/>
      </c>
      <c r="G86" s="1129"/>
      <c r="H86" s="1129"/>
      <c r="I86" s="1130" t="s">
        <v>2127</v>
      </c>
      <c r="J86" s="1131"/>
      <c r="K86" s="1131"/>
      <c r="L86" s="1132"/>
      <c r="M86" s="1133"/>
      <c r="O86" s="867"/>
      <c r="P86" s="868"/>
    </row>
    <row r="87" spans="1:257" s="876" customFormat="1" ht="98">
      <c r="A87" s="2500"/>
      <c r="B87" s="1146" t="s">
        <v>1663</v>
      </c>
      <c r="C87" s="1135">
        <v>4</v>
      </c>
      <c r="D87" s="1135">
        <v>5</v>
      </c>
      <c r="E87" s="1136" t="s">
        <v>1428</v>
      </c>
      <c r="F87" s="1137" t="str">
        <f>IF(Scoring!I96="","",Scoring!I96)</f>
        <v/>
      </c>
      <c r="G87" s="1138"/>
      <c r="H87" s="1138"/>
      <c r="I87" s="1139" t="s">
        <v>2128</v>
      </c>
      <c r="J87" s="1140">
        <f>COUNT(F83:F87)</f>
        <v>0</v>
      </c>
      <c r="K87" s="1140"/>
      <c r="L87" s="1141">
        <f>SUM(F83:F87)</f>
        <v>0</v>
      </c>
      <c r="M87" s="1142">
        <f>IF(L87&lt;3,0,1)</f>
        <v>0</v>
      </c>
      <c r="N87" s="873"/>
      <c r="O87" s="874"/>
      <c r="P87" s="875">
        <f>COUNTA(F83:F87)</f>
        <v>5</v>
      </c>
      <c r="Q87" s="873"/>
      <c r="R87" s="873"/>
      <c r="S87" s="873"/>
      <c r="T87" s="873"/>
      <c r="U87" s="873"/>
      <c r="V87" s="873"/>
      <c r="W87" s="873"/>
      <c r="X87" s="873"/>
      <c r="Y87" s="873"/>
      <c r="Z87" s="873"/>
      <c r="AA87" s="873"/>
      <c r="AB87" s="873"/>
      <c r="AC87" s="873"/>
      <c r="AD87" s="873"/>
      <c r="AE87" s="873"/>
      <c r="AF87" s="873"/>
      <c r="AG87" s="873"/>
      <c r="AH87" s="873"/>
      <c r="AI87" s="873"/>
      <c r="AJ87" s="873"/>
      <c r="AK87" s="873"/>
      <c r="AL87" s="873"/>
      <c r="AM87" s="873"/>
      <c r="AN87" s="873"/>
      <c r="AO87" s="873"/>
      <c r="AP87" s="873"/>
      <c r="AQ87" s="873"/>
      <c r="AR87" s="873"/>
      <c r="AS87" s="873"/>
      <c r="AT87" s="873"/>
      <c r="AU87" s="873"/>
      <c r="AV87" s="873"/>
      <c r="AW87" s="873"/>
      <c r="AX87" s="873"/>
      <c r="AY87" s="873"/>
      <c r="AZ87" s="873"/>
      <c r="BA87" s="873"/>
      <c r="BB87" s="873"/>
      <c r="BC87" s="873"/>
      <c r="BD87" s="873"/>
      <c r="BE87" s="873"/>
      <c r="BF87" s="873"/>
      <c r="BG87" s="873"/>
      <c r="BH87" s="873"/>
      <c r="BI87" s="873"/>
      <c r="BJ87" s="873"/>
      <c r="BK87" s="873"/>
      <c r="BL87" s="873"/>
      <c r="BM87" s="873"/>
      <c r="BN87" s="873"/>
      <c r="BO87" s="873"/>
      <c r="BP87" s="873"/>
      <c r="BQ87" s="873"/>
      <c r="BR87" s="873"/>
      <c r="BS87" s="873"/>
      <c r="BT87" s="873"/>
      <c r="BU87" s="873"/>
      <c r="BV87" s="873"/>
      <c r="BW87" s="873"/>
      <c r="BX87" s="873"/>
      <c r="BY87" s="873"/>
      <c r="BZ87" s="873"/>
      <c r="CA87" s="873"/>
      <c r="CB87" s="873"/>
      <c r="CC87" s="873"/>
      <c r="CD87" s="873"/>
      <c r="CE87" s="873"/>
      <c r="CF87" s="873"/>
      <c r="CG87" s="873"/>
      <c r="CH87" s="873"/>
      <c r="CI87" s="873"/>
      <c r="CJ87" s="873"/>
      <c r="CK87" s="873"/>
      <c r="CL87" s="873"/>
      <c r="CM87" s="873"/>
      <c r="CN87" s="873"/>
      <c r="CO87" s="873"/>
      <c r="CP87" s="873"/>
      <c r="CQ87" s="873"/>
      <c r="CR87" s="873"/>
      <c r="CS87" s="873"/>
      <c r="CT87" s="873"/>
      <c r="CU87" s="873"/>
      <c r="CV87" s="873"/>
      <c r="CW87" s="873"/>
      <c r="CX87" s="873"/>
      <c r="CY87" s="873"/>
      <c r="CZ87" s="873"/>
      <c r="DA87" s="873"/>
      <c r="DB87" s="873"/>
      <c r="DC87" s="873"/>
      <c r="DD87" s="873"/>
      <c r="DE87" s="873"/>
      <c r="DF87" s="873"/>
      <c r="DG87" s="873"/>
      <c r="DH87" s="873"/>
      <c r="DI87" s="873"/>
      <c r="DJ87" s="873"/>
      <c r="DK87" s="873"/>
      <c r="DL87" s="873"/>
      <c r="DM87" s="873"/>
      <c r="DN87" s="873"/>
      <c r="DO87" s="873"/>
      <c r="DP87" s="873"/>
      <c r="DQ87" s="873"/>
      <c r="DR87" s="873"/>
      <c r="DS87" s="873"/>
      <c r="DT87" s="873"/>
      <c r="DU87" s="873"/>
      <c r="DV87" s="873"/>
      <c r="DW87" s="873"/>
      <c r="DX87" s="873"/>
      <c r="DY87" s="873"/>
      <c r="DZ87" s="873"/>
      <c r="EA87" s="873"/>
      <c r="EB87" s="873"/>
      <c r="EC87" s="873"/>
      <c r="ED87" s="873"/>
      <c r="EE87" s="873"/>
      <c r="EF87" s="873"/>
      <c r="EG87" s="873"/>
      <c r="EH87" s="873"/>
      <c r="EI87" s="873"/>
      <c r="EJ87" s="873"/>
      <c r="EK87" s="873"/>
      <c r="EL87" s="873"/>
      <c r="EM87" s="873"/>
      <c r="EN87" s="873"/>
      <c r="EO87" s="873"/>
      <c r="EP87" s="873"/>
      <c r="EQ87" s="873"/>
      <c r="ER87" s="873"/>
      <c r="ES87" s="873"/>
      <c r="ET87" s="873"/>
      <c r="EU87" s="873"/>
      <c r="EV87" s="873"/>
      <c r="EW87" s="873"/>
      <c r="EX87" s="873"/>
      <c r="EY87" s="873"/>
      <c r="EZ87" s="873"/>
      <c r="FA87" s="873"/>
      <c r="FB87" s="873"/>
      <c r="FC87" s="873"/>
      <c r="FD87" s="873"/>
      <c r="FE87" s="873"/>
      <c r="FF87" s="873"/>
      <c r="FG87" s="873"/>
      <c r="FH87" s="873"/>
      <c r="FI87" s="873"/>
      <c r="FJ87" s="873"/>
      <c r="FK87" s="873"/>
      <c r="FL87" s="873"/>
      <c r="FM87" s="873"/>
      <c r="FN87" s="873"/>
      <c r="FO87" s="873"/>
      <c r="FP87" s="873"/>
      <c r="FQ87" s="873"/>
      <c r="FR87" s="873"/>
      <c r="FS87" s="873"/>
      <c r="FT87" s="873"/>
      <c r="FU87" s="873"/>
      <c r="FV87" s="873"/>
      <c r="FW87" s="873"/>
      <c r="FX87" s="873"/>
      <c r="FY87" s="873"/>
      <c r="FZ87" s="873"/>
      <c r="GA87" s="873"/>
      <c r="GB87" s="873"/>
      <c r="GC87" s="873"/>
      <c r="GD87" s="873"/>
      <c r="GE87" s="873"/>
      <c r="GF87" s="873"/>
      <c r="GG87" s="873"/>
      <c r="GH87" s="873"/>
      <c r="GI87" s="873"/>
      <c r="GJ87" s="873"/>
      <c r="GK87" s="873"/>
      <c r="GL87" s="873"/>
      <c r="GM87" s="873"/>
      <c r="GN87" s="873"/>
      <c r="GO87" s="873"/>
      <c r="GP87" s="873"/>
      <c r="GQ87" s="873"/>
      <c r="GR87" s="873"/>
      <c r="GS87" s="873"/>
      <c r="GT87" s="873"/>
      <c r="GU87" s="873"/>
      <c r="GV87" s="873"/>
      <c r="GW87" s="873"/>
      <c r="GX87" s="873"/>
      <c r="GY87" s="873"/>
      <c r="GZ87" s="873"/>
      <c r="HA87" s="873"/>
      <c r="HB87" s="873"/>
      <c r="HC87" s="873"/>
      <c r="HD87" s="873"/>
      <c r="HE87" s="873"/>
      <c r="HF87" s="873"/>
      <c r="HG87" s="873"/>
      <c r="HH87" s="873"/>
      <c r="HI87" s="873"/>
      <c r="HJ87" s="873"/>
      <c r="HK87" s="873"/>
      <c r="HL87" s="873"/>
      <c r="HM87" s="873"/>
      <c r="HN87" s="873"/>
      <c r="HO87" s="873"/>
      <c r="HP87" s="873"/>
      <c r="HQ87" s="873"/>
      <c r="HR87" s="873"/>
      <c r="HS87" s="873"/>
      <c r="HT87" s="873"/>
      <c r="HU87" s="873"/>
      <c r="HV87" s="873"/>
      <c r="HW87" s="873"/>
      <c r="HX87" s="873"/>
      <c r="HY87" s="873"/>
      <c r="HZ87" s="873"/>
      <c r="IA87" s="873"/>
      <c r="IB87" s="873"/>
      <c r="IC87" s="873"/>
      <c r="ID87" s="873"/>
      <c r="IE87" s="873"/>
      <c r="IF87" s="873"/>
      <c r="IG87" s="873"/>
      <c r="IH87" s="873"/>
      <c r="II87" s="873"/>
      <c r="IJ87" s="873"/>
      <c r="IK87" s="873"/>
      <c r="IL87" s="873"/>
      <c r="IM87" s="873"/>
      <c r="IN87" s="873"/>
      <c r="IO87" s="873"/>
      <c r="IP87" s="873"/>
      <c r="IQ87" s="873"/>
      <c r="IR87" s="873"/>
      <c r="IS87" s="873"/>
      <c r="IT87" s="873"/>
      <c r="IU87" s="873"/>
      <c r="IV87" s="873"/>
      <c r="IW87" s="873"/>
    </row>
    <row r="88" spans="1:257" s="876" customFormat="1">
      <c r="A88" s="873"/>
      <c r="B88" s="873"/>
      <c r="C88" s="873"/>
      <c r="D88" s="873"/>
      <c r="E88" s="873"/>
      <c r="F88" s="873"/>
      <c r="G88" s="873"/>
      <c r="H88" s="873"/>
      <c r="I88" s="873"/>
      <c r="J88" s="873"/>
      <c r="K88" s="873"/>
      <c r="L88" s="873"/>
      <c r="M88" s="873"/>
      <c r="N88" s="873"/>
      <c r="O88" s="873"/>
      <c r="P88" s="873"/>
      <c r="Q88" s="873"/>
      <c r="R88" s="873"/>
      <c r="S88" s="873"/>
      <c r="T88" s="873"/>
      <c r="U88" s="873"/>
      <c r="V88" s="873"/>
      <c r="W88" s="873"/>
      <c r="X88" s="873"/>
      <c r="Y88" s="873"/>
      <c r="Z88" s="873"/>
      <c r="AA88" s="873"/>
      <c r="AB88" s="873"/>
      <c r="AC88" s="873"/>
      <c r="AD88" s="873"/>
      <c r="AE88" s="873"/>
      <c r="AF88" s="873"/>
      <c r="AG88" s="873"/>
      <c r="AH88" s="873"/>
      <c r="AI88" s="873"/>
      <c r="AJ88" s="873"/>
      <c r="AK88" s="873"/>
      <c r="AL88" s="873"/>
      <c r="AM88" s="873"/>
      <c r="AN88" s="873"/>
      <c r="AO88" s="873"/>
      <c r="AP88" s="873"/>
      <c r="AQ88" s="873"/>
      <c r="AR88" s="873"/>
      <c r="AS88" s="873"/>
      <c r="AT88" s="873"/>
      <c r="AU88" s="873"/>
      <c r="AV88" s="873"/>
      <c r="AW88" s="873"/>
      <c r="AX88" s="873"/>
      <c r="AY88" s="873"/>
      <c r="AZ88" s="873"/>
      <c r="BA88" s="873"/>
      <c r="BB88" s="873"/>
      <c r="BC88" s="873"/>
      <c r="BD88" s="873"/>
      <c r="BE88" s="873"/>
      <c r="BF88" s="873"/>
      <c r="BG88" s="873"/>
      <c r="BH88" s="873"/>
      <c r="BI88" s="873"/>
      <c r="BJ88" s="873"/>
      <c r="BK88" s="873"/>
      <c r="BL88" s="873"/>
      <c r="BM88" s="873"/>
      <c r="BN88" s="873"/>
      <c r="BO88" s="873"/>
      <c r="BP88" s="873"/>
      <c r="BQ88" s="873"/>
      <c r="BR88" s="873"/>
      <c r="BS88" s="873"/>
      <c r="BT88" s="873"/>
      <c r="BU88" s="873"/>
      <c r="BV88" s="873"/>
      <c r="BW88" s="873"/>
      <c r="BX88" s="873"/>
      <c r="BY88" s="873"/>
      <c r="BZ88" s="873"/>
      <c r="CA88" s="873"/>
      <c r="CB88" s="873"/>
      <c r="CC88" s="873"/>
      <c r="CD88" s="873"/>
      <c r="CE88" s="873"/>
      <c r="CF88" s="873"/>
      <c r="CG88" s="873"/>
      <c r="CH88" s="873"/>
      <c r="CI88" s="873"/>
      <c r="CJ88" s="873"/>
      <c r="CK88" s="873"/>
      <c r="CL88" s="873"/>
      <c r="CM88" s="873"/>
      <c r="CN88" s="873"/>
      <c r="CO88" s="873"/>
      <c r="CP88" s="873"/>
      <c r="CQ88" s="873"/>
      <c r="CR88" s="873"/>
      <c r="CS88" s="873"/>
      <c r="CT88" s="873"/>
      <c r="CU88" s="873"/>
      <c r="CV88" s="873"/>
      <c r="CW88" s="873"/>
      <c r="CX88" s="873"/>
      <c r="CY88" s="873"/>
      <c r="CZ88" s="873"/>
      <c r="DA88" s="873"/>
      <c r="DB88" s="873"/>
      <c r="DC88" s="873"/>
      <c r="DD88" s="873"/>
      <c r="DE88" s="873"/>
      <c r="DF88" s="873"/>
      <c r="DG88" s="873"/>
      <c r="DH88" s="873"/>
      <c r="DI88" s="873"/>
      <c r="DJ88" s="873"/>
      <c r="DK88" s="873"/>
      <c r="DL88" s="873"/>
      <c r="DM88" s="873"/>
      <c r="DN88" s="873"/>
      <c r="DO88" s="873"/>
      <c r="DP88" s="873"/>
      <c r="DQ88" s="873"/>
      <c r="DR88" s="873"/>
      <c r="DS88" s="873"/>
      <c r="DT88" s="873"/>
      <c r="DU88" s="873"/>
      <c r="DV88" s="873"/>
      <c r="DW88" s="873"/>
      <c r="DX88" s="873"/>
      <c r="DY88" s="873"/>
      <c r="DZ88" s="873"/>
      <c r="EA88" s="873"/>
      <c r="EB88" s="873"/>
      <c r="EC88" s="873"/>
      <c r="ED88" s="873"/>
      <c r="EE88" s="873"/>
      <c r="EF88" s="873"/>
      <c r="EG88" s="873"/>
      <c r="EH88" s="873"/>
      <c r="EI88" s="873"/>
      <c r="EJ88" s="873"/>
      <c r="EK88" s="873"/>
      <c r="EL88" s="873"/>
      <c r="EM88" s="873"/>
      <c r="EN88" s="873"/>
      <c r="EO88" s="873"/>
      <c r="EP88" s="873"/>
      <c r="EQ88" s="873"/>
      <c r="ER88" s="873"/>
      <c r="ES88" s="873"/>
      <c r="ET88" s="873"/>
      <c r="EU88" s="873"/>
      <c r="EV88" s="873"/>
      <c r="EW88" s="873"/>
      <c r="EX88" s="873"/>
      <c r="EY88" s="873"/>
      <c r="EZ88" s="873"/>
      <c r="FA88" s="873"/>
      <c r="FB88" s="873"/>
      <c r="FC88" s="873"/>
      <c r="FD88" s="873"/>
      <c r="FE88" s="873"/>
      <c r="FF88" s="873"/>
      <c r="FG88" s="873"/>
      <c r="FH88" s="873"/>
      <c r="FI88" s="873"/>
      <c r="FJ88" s="873"/>
      <c r="FK88" s="873"/>
      <c r="FL88" s="873"/>
      <c r="FM88" s="873"/>
      <c r="FN88" s="873"/>
      <c r="FO88" s="873"/>
      <c r="FP88" s="873"/>
      <c r="FQ88" s="873"/>
      <c r="FR88" s="873"/>
      <c r="FS88" s="873"/>
      <c r="FT88" s="873"/>
      <c r="FU88" s="873"/>
      <c r="FV88" s="873"/>
      <c r="FW88" s="873"/>
      <c r="FX88" s="873"/>
      <c r="FY88" s="873"/>
      <c r="FZ88" s="873"/>
      <c r="GA88" s="873"/>
      <c r="GB88" s="873"/>
      <c r="GC88" s="873"/>
      <c r="GD88" s="873"/>
      <c r="GE88" s="873"/>
      <c r="GF88" s="873"/>
      <c r="GG88" s="873"/>
      <c r="GH88" s="873"/>
      <c r="GI88" s="873"/>
      <c r="GJ88" s="873"/>
      <c r="GK88" s="873"/>
      <c r="GL88" s="873"/>
      <c r="GM88" s="873"/>
      <c r="GN88" s="873"/>
      <c r="GO88" s="873"/>
      <c r="GP88" s="873"/>
      <c r="GQ88" s="873"/>
      <c r="GR88" s="873"/>
      <c r="GS88" s="873"/>
      <c r="GT88" s="873"/>
      <c r="GU88" s="873"/>
      <c r="GV88" s="873"/>
      <c r="GW88" s="873"/>
      <c r="GX88" s="873"/>
      <c r="GY88" s="873"/>
      <c r="GZ88" s="873"/>
      <c r="HA88" s="873"/>
      <c r="HB88" s="873"/>
      <c r="HC88" s="873"/>
      <c r="HD88" s="873"/>
      <c r="HE88" s="873"/>
      <c r="HF88" s="873"/>
      <c r="HG88" s="873"/>
      <c r="HH88" s="873"/>
      <c r="HI88" s="873"/>
      <c r="HJ88" s="873"/>
      <c r="HK88" s="873"/>
      <c r="HL88" s="873"/>
      <c r="HM88" s="873"/>
      <c r="HN88" s="873"/>
      <c r="HO88" s="873"/>
      <c r="HP88" s="873"/>
      <c r="HQ88" s="873"/>
      <c r="HR88" s="873"/>
      <c r="HS88" s="873"/>
      <c r="HT88" s="873"/>
      <c r="HU88" s="873"/>
      <c r="HV88" s="873"/>
      <c r="HW88" s="873"/>
      <c r="HX88" s="873"/>
      <c r="HY88" s="873"/>
      <c r="HZ88" s="873"/>
      <c r="IA88" s="873"/>
      <c r="IB88" s="873"/>
      <c r="IC88" s="873"/>
      <c r="ID88" s="873"/>
      <c r="IE88" s="873"/>
      <c r="IF88" s="873"/>
      <c r="IG88" s="873"/>
      <c r="IH88" s="873"/>
      <c r="II88" s="873"/>
      <c r="IJ88" s="873"/>
      <c r="IK88" s="873"/>
      <c r="IL88" s="873"/>
      <c r="IM88" s="873"/>
      <c r="IN88" s="873"/>
      <c r="IO88" s="873"/>
      <c r="IP88" s="873"/>
      <c r="IQ88" s="873"/>
      <c r="IR88" s="873"/>
      <c r="IS88" s="873"/>
      <c r="IT88" s="873"/>
      <c r="IU88" s="873"/>
      <c r="IV88" s="873"/>
      <c r="IW88" s="873"/>
    </row>
    <row r="89" spans="1:257" s="876" customFormat="1" ht="84">
      <c r="A89" s="2498" t="s">
        <v>1204</v>
      </c>
      <c r="B89" s="1148" t="s">
        <v>1664</v>
      </c>
      <c r="C89" s="1117">
        <v>4</v>
      </c>
      <c r="D89" s="1117">
        <v>5</v>
      </c>
      <c r="E89" s="1118" t="s">
        <v>1429</v>
      </c>
      <c r="F89" s="1119" t="str">
        <f>IF(Scoring!I98="","",Scoring!I98)</f>
        <v/>
      </c>
      <c r="G89" s="1120"/>
      <c r="H89" s="1120"/>
      <c r="I89" s="1121" t="s">
        <v>2604</v>
      </c>
      <c r="J89" s="1122"/>
      <c r="K89" s="1122"/>
      <c r="L89" s="1123"/>
      <c r="M89" s="1124"/>
      <c r="N89" s="873"/>
      <c r="O89" s="877"/>
      <c r="P89" s="878"/>
      <c r="Q89" s="873"/>
      <c r="R89" s="873"/>
      <c r="S89" s="873"/>
      <c r="T89" s="873"/>
      <c r="U89" s="873"/>
      <c r="V89" s="873"/>
      <c r="W89" s="873"/>
      <c r="X89" s="873"/>
      <c r="Y89" s="873"/>
      <c r="Z89" s="873"/>
      <c r="AA89" s="873"/>
      <c r="AB89" s="873"/>
      <c r="AC89" s="873"/>
      <c r="AD89" s="873"/>
      <c r="AE89" s="873"/>
      <c r="AF89" s="873"/>
      <c r="AG89" s="873"/>
      <c r="AH89" s="873"/>
      <c r="AI89" s="873"/>
      <c r="AJ89" s="873"/>
      <c r="AK89" s="873"/>
      <c r="AL89" s="873"/>
      <c r="AM89" s="873"/>
      <c r="AN89" s="873"/>
      <c r="AO89" s="873"/>
      <c r="AP89" s="873"/>
      <c r="AQ89" s="873"/>
      <c r="AR89" s="873"/>
      <c r="AS89" s="873"/>
      <c r="AT89" s="873"/>
      <c r="AU89" s="873"/>
      <c r="AV89" s="873"/>
      <c r="AW89" s="873"/>
      <c r="AX89" s="873"/>
      <c r="AY89" s="873"/>
      <c r="AZ89" s="873"/>
      <c r="BA89" s="873"/>
      <c r="BB89" s="873"/>
      <c r="BC89" s="873"/>
      <c r="BD89" s="873"/>
      <c r="BE89" s="873"/>
      <c r="BF89" s="873"/>
      <c r="BG89" s="873"/>
      <c r="BH89" s="873"/>
      <c r="BI89" s="873"/>
      <c r="BJ89" s="873"/>
      <c r="BK89" s="873"/>
      <c r="BL89" s="873"/>
      <c r="BM89" s="873"/>
      <c r="BN89" s="873"/>
      <c r="BO89" s="873"/>
      <c r="BP89" s="873"/>
      <c r="BQ89" s="873"/>
      <c r="BR89" s="873"/>
      <c r="BS89" s="873"/>
      <c r="BT89" s="873"/>
      <c r="BU89" s="873"/>
      <c r="BV89" s="873"/>
      <c r="BW89" s="873"/>
      <c r="BX89" s="873"/>
      <c r="BY89" s="873"/>
      <c r="BZ89" s="873"/>
      <c r="CA89" s="873"/>
      <c r="CB89" s="873"/>
      <c r="CC89" s="873"/>
      <c r="CD89" s="873"/>
      <c r="CE89" s="873"/>
      <c r="CF89" s="873"/>
      <c r="CG89" s="873"/>
      <c r="CH89" s="873"/>
      <c r="CI89" s="873"/>
      <c r="CJ89" s="873"/>
      <c r="CK89" s="873"/>
      <c r="CL89" s="873"/>
      <c r="CM89" s="873"/>
      <c r="CN89" s="873"/>
      <c r="CO89" s="873"/>
      <c r="CP89" s="873"/>
      <c r="CQ89" s="873"/>
      <c r="CR89" s="873"/>
      <c r="CS89" s="873"/>
      <c r="CT89" s="873"/>
      <c r="CU89" s="873"/>
      <c r="CV89" s="873"/>
      <c r="CW89" s="873"/>
      <c r="CX89" s="873"/>
      <c r="CY89" s="873"/>
      <c r="CZ89" s="873"/>
      <c r="DA89" s="873"/>
      <c r="DB89" s="873"/>
      <c r="DC89" s="873"/>
      <c r="DD89" s="873"/>
      <c r="DE89" s="873"/>
      <c r="DF89" s="873"/>
      <c r="DG89" s="873"/>
      <c r="DH89" s="873"/>
      <c r="DI89" s="873"/>
      <c r="DJ89" s="873"/>
      <c r="DK89" s="873"/>
      <c r="DL89" s="873"/>
      <c r="DM89" s="873"/>
      <c r="DN89" s="873"/>
      <c r="DO89" s="873"/>
      <c r="DP89" s="873"/>
      <c r="DQ89" s="873"/>
      <c r="DR89" s="873"/>
      <c r="DS89" s="873"/>
      <c r="DT89" s="873"/>
      <c r="DU89" s="873"/>
      <c r="DV89" s="873"/>
      <c r="DW89" s="873"/>
      <c r="DX89" s="873"/>
      <c r="DY89" s="873"/>
      <c r="DZ89" s="873"/>
      <c r="EA89" s="873"/>
      <c r="EB89" s="873"/>
      <c r="EC89" s="873"/>
      <c r="ED89" s="873"/>
      <c r="EE89" s="873"/>
      <c r="EF89" s="873"/>
      <c r="EG89" s="873"/>
      <c r="EH89" s="873"/>
      <c r="EI89" s="873"/>
      <c r="EJ89" s="873"/>
      <c r="EK89" s="873"/>
      <c r="EL89" s="873"/>
      <c r="EM89" s="873"/>
      <c r="EN89" s="873"/>
      <c r="EO89" s="873"/>
      <c r="EP89" s="873"/>
      <c r="EQ89" s="873"/>
      <c r="ER89" s="873"/>
      <c r="ES89" s="873"/>
      <c r="ET89" s="873"/>
      <c r="EU89" s="873"/>
      <c r="EV89" s="873"/>
      <c r="EW89" s="873"/>
      <c r="EX89" s="873"/>
      <c r="EY89" s="873"/>
      <c r="EZ89" s="873"/>
      <c r="FA89" s="873"/>
      <c r="FB89" s="873"/>
      <c r="FC89" s="873"/>
      <c r="FD89" s="873"/>
      <c r="FE89" s="873"/>
      <c r="FF89" s="873"/>
      <c r="FG89" s="873"/>
      <c r="FH89" s="873"/>
      <c r="FI89" s="873"/>
      <c r="FJ89" s="873"/>
      <c r="FK89" s="873"/>
      <c r="FL89" s="873"/>
      <c r="FM89" s="873"/>
      <c r="FN89" s="873"/>
      <c r="FO89" s="873"/>
      <c r="FP89" s="873"/>
      <c r="FQ89" s="873"/>
      <c r="FR89" s="873"/>
      <c r="FS89" s="873"/>
      <c r="FT89" s="873"/>
      <c r="FU89" s="873"/>
      <c r="FV89" s="873"/>
      <c r="FW89" s="873"/>
      <c r="FX89" s="873"/>
      <c r="FY89" s="873"/>
      <c r="FZ89" s="873"/>
      <c r="GA89" s="873"/>
      <c r="GB89" s="873"/>
      <c r="GC89" s="873"/>
      <c r="GD89" s="873"/>
      <c r="GE89" s="873"/>
      <c r="GF89" s="873"/>
      <c r="GG89" s="873"/>
      <c r="GH89" s="873"/>
      <c r="GI89" s="873"/>
      <c r="GJ89" s="873"/>
      <c r="GK89" s="873"/>
      <c r="GL89" s="873"/>
      <c r="GM89" s="873"/>
      <c r="GN89" s="873"/>
      <c r="GO89" s="873"/>
      <c r="GP89" s="873"/>
      <c r="GQ89" s="873"/>
      <c r="GR89" s="873"/>
      <c r="GS89" s="873"/>
      <c r="GT89" s="873"/>
      <c r="GU89" s="873"/>
      <c r="GV89" s="873"/>
      <c r="GW89" s="873"/>
      <c r="GX89" s="873"/>
      <c r="GY89" s="873"/>
      <c r="GZ89" s="873"/>
      <c r="HA89" s="873"/>
      <c r="HB89" s="873"/>
      <c r="HC89" s="873"/>
      <c r="HD89" s="873"/>
      <c r="HE89" s="873"/>
      <c r="HF89" s="873"/>
      <c r="HG89" s="873"/>
      <c r="HH89" s="873"/>
      <c r="HI89" s="873"/>
      <c r="HJ89" s="873"/>
      <c r="HK89" s="873"/>
      <c r="HL89" s="873"/>
      <c r="HM89" s="873"/>
      <c r="HN89" s="873"/>
      <c r="HO89" s="873"/>
      <c r="HP89" s="873"/>
      <c r="HQ89" s="873"/>
      <c r="HR89" s="873"/>
      <c r="HS89" s="873"/>
      <c r="HT89" s="873"/>
      <c r="HU89" s="873"/>
      <c r="HV89" s="873"/>
      <c r="HW89" s="873"/>
      <c r="HX89" s="873"/>
      <c r="HY89" s="873"/>
      <c r="HZ89" s="873"/>
      <c r="IA89" s="873"/>
      <c r="IB89" s="873"/>
      <c r="IC89" s="873"/>
      <c r="ID89" s="873"/>
      <c r="IE89" s="873"/>
      <c r="IF89" s="873"/>
      <c r="IG89" s="873"/>
      <c r="IH89" s="873"/>
      <c r="II89" s="873"/>
      <c r="IJ89" s="873"/>
      <c r="IK89" s="873"/>
      <c r="IL89" s="873"/>
      <c r="IM89" s="873"/>
      <c r="IN89" s="873"/>
      <c r="IO89" s="873"/>
      <c r="IP89" s="873"/>
      <c r="IQ89" s="873"/>
      <c r="IR89" s="873"/>
      <c r="IS89" s="873"/>
      <c r="IT89" s="873"/>
      <c r="IU89" s="873"/>
      <c r="IV89" s="873"/>
      <c r="IW89" s="873"/>
    </row>
    <row r="90" spans="1:257" ht="56">
      <c r="A90" s="2499"/>
      <c r="B90" s="1149" t="s">
        <v>1665</v>
      </c>
      <c r="C90" s="1126">
        <v>6</v>
      </c>
      <c r="D90" s="1126">
        <v>6</v>
      </c>
      <c r="E90" s="1127" t="s">
        <v>2130</v>
      </c>
      <c r="F90" s="1128" t="str">
        <f>IF(Scoring!I99="","",Scoring!I99)</f>
        <v/>
      </c>
      <c r="G90" s="1129"/>
      <c r="H90" s="1129"/>
      <c r="I90" s="1130" t="s">
        <v>2547</v>
      </c>
      <c r="J90" s="1131"/>
      <c r="K90" s="1131"/>
      <c r="L90" s="1132"/>
      <c r="M90" s="1133"/>
      <c r="O90" s="867"/>
      <c r="P90" s="868"/>
    </row>
    <row r="91" spans="1:257" ht="70">
      <c r="A91" s="2499"/>
      <c r="B91" s="1149" t="s">
        <v>1666</v>
      </c>
      <c r="C91" s="1126">
        <v>4</v>
      </c>
      <c r="D91" s="1126">
        <v>6</v>
      </c>
      <c r="E91" s="1127" t="s">
        <v>1433</v>
      </c>
      <c r="F91" s="1128" t="str">
        <f>IF(Scoring!I100="","",Scoring!I100)</f>
        <v/>
      </c>
      <c r="G91" s="1129"/>
      <c r="H91" s="1129"/>
      <c r="I91" s="1130" t="s">
        <v>2132</v>
      </c>
      <c r="J91" s="1131"/>
      <c r="K91" s="1131"/>
      <c r="L91" s="1132"/>
      <c r="M91" s="1133"/>
      <c r="O91" s="867"/>
      <c r="P91" s="868"/>
    </row>
    <row r="92" spans="1:257" ht="56">
      <c r="A92" s="2499"/>
      <c r="B92" s="1149" t="s">
        <v>1667</v>
      </c>
      <c r="C92" s="1126">
        <v>6</v>
      </c>
      <c r="D92" s="1126">
        <v>6</v>
      </c>
      <c r="E92" s="1127" t="s">
        <v>1435</v>
      </c>
      <c r="F92" s="1128" t="str">
        <f>IF(Scoring!I101="","",Scoring!I101)</f>
        <v/>
      </c>
      <c r="G92" s="1129"/>
      <c r="H92" s="1129"/>
      <c r="I92" s="1130" t="s">
        <v>2605</v>
      </c>
      <c r="J92" s="1131"/>
      <c r="K92" s="1131"/>
      <c r="L92" s="1132"/>
      <c r="M92" s="1133"/>
      <c r="O92" s="867"/>
      <c r="P92" s="868"/>
    </row>
    <row r="93" spans="1:257" s="876" customFormat="1" ht="140">
      <c r="A93" s="2500"/>
      <c r="B93" s="1150" t="s">
        <v>1668</v>
      </c>
      <c r="C93" s="1135">
        <v>4</v>
      </c>
      <c r="D93" s="1135">
        <v>6</v>
      </c>
      <c r="E93" s="1136" t="s">
        <v>1437</v>
      </c>
      <c r="F93" s="1137" t="str">
        <f>IF(Scoring!I102="","",Scoring!I102)</f>
        <v/>
      </c>
      <c r="G93" s="1138"/>
      <c r="H93" s="1138"/>
      <c r="I93" s="1139" t="s">
        <v>2135</v>
      </c>
      <c r="J93" s="1140"/>
      <c r="K93" s="1140">
        <f>COUNT(F89:F93)</f>
        <v>0</v>
      </c>
      <c r="L93" s="1141">
        <f>SUM(F89:F93)</f>
        <v>0</v>
      </c>
      <c r="M93" s="1142">
        <f>IF(L93&lt;3,0,1)</f>
        <v>0</v>
      </c>
      <c r="N93" s="873"/>
      <c r="O93" s="874"/>
      <c r="P93" s="875">
        <f>COUNTA(F89:F93)</f>
        <v>5</v>
      </c>
      <c r="Q93" s="873"/>
      <c r="R93" s="873"/>
      <c r="S93" s="873"/>
      <c r="T93" s="873"/>
      <c r="U93" s="873"/>
      <c r="V93" s="873"/>
      <c r="W93" s="873"/>
      <c r="X93" s="873"/>
      <c r="Y93" s="873"/>
      <c r="Z93" s="873"/>
      <c r="AA93" s="873"/>
      <c r="AB93" s="873"/>
      <c r="AC93" s="873"/>
      <c r="AD93" s="873"/>
      <c r="AE93" s="873"/>
      <c r="AF93" s="873"/>
      <c r="AG93" s="873"/>
      <c r="AH93" s="873"/>
      <c r="AI93" s="873"/>
      <c r="AJ93" s="873"/>
      <c r="AK93" s="873"/>
      <c r="AL93" s="873"/>
      <c r="AM93" s="873"/>
      <c r="AN93" s="873"/>
      <c r="AO93" s="873"/>
      <c r="AP93" s="873"/>
      <c r="AQ93" s="873"/>
      <c r="AR93" s="873"/>
      <c r="AS93" s="873"/>
      <c r="AT93" s="873"/>
      <c r="AU93" s="873"/>
      <c r="AV93" s="873"/>
      <c r="AW93" s="873"/>
      <c r="AX93" s="873"/>
      <c r="AY93" s="873"/>
      <c r="AZ93" s="873"/>
      <c r="BA93" s="873"/>
      <c r="BB93" s="873"/>
      <c r="BC93" s="873"/>
      <c r="BD93" s="873"/>
      <c r="BE93" s="873"/>
      <c r="BF93" s="873"/>
      <c r="BG93" s="873"/>
      <c r="BH93" s="873"/>
      <c r="BI93" s="873"/>
      <c r="BJ93" s="873"/>
      <c r="BK93" s="873"/>
      <c r="BL93" s="873"/>
      <c r="BM93" s="873"/>
      <c r="BN93" s="873"/>
      <c r="BO93" s="873"/>
      <c r="BP93" s="873"/>
      <c r="BQ93" s="873"/>
      <c r="BR93" s="873"/>
      <c r="BS93" s="873"/>
      <c r="BT93" s="873"/>
      <c r="BU93" s="873"/>
      <c r="BV93" s="873"/>
      <c r="BW93" s="873"/>
      <c r="BX93" s="873"/>
      <c r="BY93" s="873"/>
      <c r="BZ93" s="873"/>
      <c r="CA93" s="873"/>
      <c r="CB93" s="873"/>
      <c r="CC93" s="873"/>
      <c r="CD93" s="873"/>
      <c r="CE93" s="873"/>
      <c r="CF93" s="873"/>
      <c r="CG93" s="873"/>
      <c r="CH93" s="873"/>
      <c r="CI93" s="873"/>
      <c r="CJ93" s="873"/>
      <c r="CK93" s="873"/>
      <c r="CL93" s="873"/>
      <c r="CM93" s="873"/>
      <c r="CN93" s="873"/>
      <c r="CO93" s="873"/>
      <c r="CP93" s="873"/>
      <c r="CQ93" s="873"/>
      <c r="CR93" s="873"/>
      <c r="CS93" s="873"/>
      <c r="CT93" s="873"/>
      <c r="CU93" s="873"/>
      <c r="CV93" s="873"/>
      <c r="CW93" s="873"/>
      <c r="CX93" s="873"/>
      <c r="CY93" s="873"/>
      <c r="CZ93" s="873"/>
      <c r="DA93" s="873"/>
      <c r="DB93" s="873"/>
      <c r="DC93" s="873"/>
      <c r="DD93" s="873"/>
      <c r="DE93" s="873"/>
      <c r="DF93" s="873"/>
      <c r="DG93" s="873"/>
      <c r="DH93" s="873"/>
      <c r="DI93" s="873"/>
      <c r="DJ93" s="873"/>
      <c r="DK93" s="873"/>
      <c r="DL93" s="873"/>
      <c r="DM93" s="873"/>
      <c r="DN93" s="873"/>
      <c r="DO93" s="873"/>
      <c r="DP93" s="873"/>
      <c r="DQ93" s="873"/>
      <c r="DR93" s="873"/>
      <c r="DS93" s="873"/>
      <c r="DT93" s="873"/>
      <c r="DU93" s="873"/>
      <c r="DV93" s="873"/>
      <c r="DW93" s="873"/>
      <c r="DX93" s="873"/>
      <c r="DY93" s="873"/>
      <c r="DZ93" s="873"/>
      <c r="EA93" s="873"/>
      <c r="EB93" s="873"/>
      <c r="EC93" s="873"/>
      <c r="ED93" s="873"/>
      <c r="EE93" s="873"/>
      <c r="EF93" s="873"/>
      <c r="EG93" s="873"/>
      <c r="EH93" s="873"/>
      <c r="EI93" s="873"/>
      <c r="EJ93" s="873"/>
      <c r="EK93" s="873"/>
      <c r="EL93" s="873"/>
      <c r="EM93" s="873"/>
      <c r="EN93" s="873"/>
      <c r="EO93" s="873"/>
      <c r="EP93" s="873"/>
      <c r="EQ93" s="873"/>
      <c r="ER93" s="873"/>
      <c r="ES93" s="873"/>
      <c r="ET93" s="873"/>
      <c r="EU93" s="873"/>
      <c r="EV93" s="873"/>
      <c r="EW93" s="873"/>
      <c r="EX93" s="873"/>
      <c r="EY93" s="873"/>
      <c r="EZ93" s="873"/>
      <c r="FA93" s="873"/>
      <c r="FB93" s="873"/>
      <c r="FC93" s="873"/>
      <c r="FD93" s="873"/>
      <c r="FE93" s="873"/>
      <c r="FF93" s="873"/>
      <c r="FG93" s="873"/>
      <c r="FH93" s="873"/>
      <c r="FI93" s="873"/>
      <c r="FJ93" s="873"/>
      <c r="FK93" s="873"/>
      <c r="FL93" s="873"/>
      <c r="FM93" s="873"/>
      <c r="FN93" s="873"/>
      <c r="FO93" s="873"/>
      <c r="FP93" s="873"/>
      <c r="FQ93" s="873"/>
      <c r="FR93" s="873"/>
      <c r="FS93" s="873"/>
      <c r="FT93" s="873"/>
      <c r="FU93" s="873"/>
      <c r="FV93" s="873"/>
      <c r="FW93" s="873"/>
      <c r="FX93" s="873"/>
      <c r="FY93" s="873"/>
      <c r="FZ93" s="873"/>
      <c r="GA93" s="873"/>
      <c r="GB93" s="873"/>
      <c r="GC93" s="873"/>
      <c r="GD93" s="873"/>
      <c r="GE93" s="873"/>
      <c r="GF93" s="873"/>
      <c r="GG93" s="873"/>
      <c r="GH93" s="873"/>
      <c r="GI93" s="873"/>
      <c r="GJ93" s="873"/>
      <c r="GK93" s="873"/>
      <c r="GL93" s="873"/>
      <c r="GM93" s="873"/>
      <c r="GN93" s="873"/>
      <c r="GO93" s="873"/>
      <c r="GP93" s="873"/>
      <c r="GQ93" s="873"/>
      <c r="GR93" s="873"/>
      <c r="GS93" s="873"/>
      <c r="GT93" s="873"/>
      <c r="GU93" s="873"/>
      <c r="GV93" s="873"/>
      <c r="GW93" s="873"/>
      <c r="GX93" s="873"/>
      <c r="GY93" s="873"/>
      <c r="GZ93" s="873"/>
      <c r="HA93" s="873"/>
      <c r="HB93" s="873"/>
      <c r="HC93" s="873"/>
      <c r="HD93" s="873"/>
      <c r="HE93" s="873"/>
      <c r="HF93" s="873"/>
      <c r="HG93" s="873"/>
      <c r="HH93" s="873"/>
      <c r="HI93" s="873"/>
      <c r="HJ93" s="873"/>
      <c r="HK93" s="873"/>
      <c r="HL93" s="873"/>
      <c r="HM93" s="873"/>
      <c r="HN93" s="873"/>
      <c r="HO93" s="873"/>
      <c r="HP93" s="873"/>
      <c r="HQ93" s="873"/>
      <c r="HR93" s="873"/>
      <c r="HS93" s="873"/>
      <c r="HT93" s="873"/>
      <c r="HU93" s="873"/>
      <c r="HV93" s="873"/>
      <c r="HW93" s="873"/>
      <c r="HX93" s="873"/>
      <c r="HY93" s="873"/>
      <c r="HZ93" s="873"/>
      <c r="IA93" s="873"/>
      <c r="IB93" s="873"/>
      <c r="IC93" s="873"/>
      <c r="ID93" s="873"/>
      <c r="IE93" s="873"/>
      <c r="IF93" s="873"/>
      <c r="IG93" s="873"/>
      <c r="IH93" s="873"/>
      <c r="II93" s="873"/>
      <c r="IJ93" s="873"/>
      <c r="IK93" s="873"/>
      <c r="IL93" s="873"/>
      <c r="IM93" s="873"/>
      <c r="IN93" s="873"/>
      <c r="IO93" s="873"/>
      <c r="IP93" s="873"/>
      <c r="IQ93" s="873"/>
      <c r="IR93" s="873"/>
      <c r="IS93" s="873"/>
      <c r="IT93" s="873"/>
      <c r="IU93" s="873"/>
      <c r="IV93" s="873"/>
      <c r="IW93" s="873"/>
    </row>
    <row r="94" spans="1:257" s="876" customFormat="1">
      <c r="A94" s="873"/>
      <c r="B94" s="873"/>
      <c r="C94" s="873"/>
      <c r="D94" s="873"/>
      <c r="E94" s="873"/>
      <c r="F94" s="873"/>
      <c r="G94" s="873"/>
      <c r="H94" s="873"/>
      <c r="I94" s="873"/>
      <c r="J94" s="873"/>
      <c r="K94" s="873"/>
      <c r="L94" s="873"/>
      <c r="M94" s="873"/>
      <c r="N94" s="873"/>
      <c r="O94" s="873"/>
      <c r="P94" s="873"/>
      <c r="Q94" s="873"/>
      <c r="R94" s="873"/>
      <c r="S94" s="873"/>
      <c r="T94" s="873"/>
      <c r="U94" s="873"/>
      <c r="V94" s="873"/>
      <c r="W94" s="873"/>
      <c r="X94" s="873"/>
      <c r="Y94" s="873"/>
      <c r="Z94" s="873"/>
      <c r="AA94" s="873"/>
      <c r="AB94" s="873"/>
      <c r="AC94" s="873"/>
      <c r="AD94" s="873"/>
      <c r="AE94" s="873"/>
      <c r="AF94" s="873"/>
      <c r="AG94" s="873"/>
      <c r="AH94" s="873"/>
      <c r="AI94" s="873"/>
      <c r="AJ94" s="873"/>
      <c r="AK94" s="873"/>
      <c r="AL94" s="873"/>
      <c r="AM94" s="873"/>
      <c r="AN94" s="873"/>
      <c r="AO94" s="873"/>
      <c r="AP94" s="873"/>
      <c r="AQ94" s="873"/>
      <c r="AR94" s="873"/>
      <c r="AS94" s="873"/>
      <c r="AT94" s="873"/>
      <c r="AU94" s="873"/>
      <c r="AV94" s="873"/>
      <c r="AW94" s="873"/>
      <c r="AX94" s="873"/>
      <c r="AY94" s="873"/>
      <c r="AZ94" s="873"/>
      <c r="BA94" s="873"/>
      <c r="BB94" s="873"/>
      <c r="BC94" s="873"/>
      <c r="BD94" s="873"/>
      <c r="BE94" s="873"/>
      <c r="BF94" s="873"/>
      <c r="BG94" s="873"/>
      <c r="BH94" s="873"/>
      <c r="BI94" s="873"/>
      <c r="BJ94" s="873"/>
      <c r="BK94" s="873"/>
      <c r="BL94" s="873"/>
      <c r="BM94" s="873"/>
      <c r="BN94" s="873"/>
      <c r="BO94" s="873"/>
      <c r="BP94" s="873"/>
      <c r="BQ94" s="873"/>
      <c r="BR94" s="873"/>
      <c r="BS94" s="873"/>
      <c r="BT94" s="873"/>
      <c r="BU94" s="873"/>
      <c r="BV94" s="873"/>
      <c r="BW94" s="873"/>
      <c r="BX94" s="873"/>
      <c r="BY94" s="873"/>
      <c r="BZ94" s="873"/>
      <c r="CA94" s="873"/>
      <c r="CB94" s="873"/>
      <c r="CC94" s="873"/>
      <c r="CD94" s="873"/>
      <c r="CE94" s="873"/>
      <c r="CF94" s="873"/>
      <c r="CG94" s="873"/>
      <c r="CH94" s="873"/>
      <c r="CI94" s="873"/>
      <c r="CJ94" s="873"/>
      <c r="CK94" s="873"/>
      <c r="CL94" s="873"/>
      <c r="CM94" s="873"/>
      <c r="CN94" s="873"/>
      <c r="CO94" s="873"/>
      <c r="CP94" s="873"/>
      <c r="CQ94" s="873"/>
      <c r="CR94" s="873"/>
      <c r="CS94" s="873"/>
      <c r="CT94" s="873"/>
      <c r="CU94" s="873"/>
      <c r="CV94" s="873"/>
      <c r="CW94" s="873"/>
      <c r="CX94" s="873"/>
      <c r="CY94" s="873"/>
      <c r="CZ94" s="873"/>
      <c r="DA94" s="873"/>
      <c r="DB94" s="873"/>
      <c r="DC94" s="873"/>
      <c r="DD94" s="873"/>
      <c r="DE94" s="873"/>
      <c r="DF94" s="873"/>
      <c r="DG94" s="873"/>
      <c r="DH94" s="873"/>
      <c r="DI94" s="873"/>
      <c r="DJ94" s="873"/>
      <c r="DK94" s="873"/>
      <c r="DL94" s="873"/>
      <c r="DM94" s="873"/>
      <c r="DN94" s="873"/>
      <c r="DO94" s="873"/>
      <c r="DP94" s="873"/>
      <c r="DQ94" s="873"/>
      <c r="DR94" s="873"/>
      <c r="DS94" s="873"/>
      <c r="DT94" s="873"/>
      <c r="DU94" s="873"/>
      <c r="DV94" s="873"/>
      <c r="DW94" s="873"/>
      <c r="DX94" s="873"/>
      <c r="DY94" s="873"/>
      <c r="DZ94" s="873"/>
      <c r="EA94" s="873"/>
      <c r="EB94" s="873"/>
      <c r="EC94" s="873"/>
      <c r="ED94" s="873"/>
      <c r="EE94" s="873"/>
      <c r="EF94" s="873"/>
      <c r="EG94" s="873"/>
      <c r="EH94" s="873"/>
      <c r="EI94" s="873"/>
      <c r="EJ94" s="873"/>
      <c r="EK94" s="873"/>
      <c r="EL94" s="873"/>
      <c r="EM94" s="873"/>
      <c r="EN94" s="873"/>
      <c r="EO94" s="873"/>
      <c r="EP94" s="873"/>
      <c r="EQ94" s="873"/>
      <c r="ER94" s="873"/>
      <c r="ES94" s="873"/>
      <c r="ET94" s="873"/>
      <c r="EU94" s="873"/>
      <c r="EV94" s="873"/>
      <c r="EW94" s="873"/>
      <c r="EX94" s="873"/>
      <c r="EY94" s="873"/>
      <c r="EZ94" s="873"/>
      <c r="FA94" s="873"/>
      <c r="FB94" s="873"/>
      <c r="FC94" s="873"/>
      <c r="FD94" s="873"/>
      <c r="FE94" s="873"/>
      <c r="FF94" s="873"/>
      <c r="FG94" s="873"/>
      <c r="FH94" s="873"/>
      <c r="FI94" s="873"/>
      <c r="FJ94" s="873"/>
      <c r="FK94" s="873"/>
      <c r="FL94" s="873"/>
      <c r="FM94" s="873"/>
      <c r="FN94" s="873"/>
      <c r="FO94" s="873"/>
      <c r="FP94" s="873"/>
      <c r="FQ94" s="873"/>
      <c r="FR94" s="873"/>
      <c r="FS94" s="873"/>
      <c r="FT94" s="873"/>
      <c r="FU94" s="873"/>
      <c r="FV94" s="873"/>
      <c r="FW94" s="873"/>
      <c r="FX94" s="873"/>
      <c r="FY94" s="873"/>
      <c r="FZ94" s="873"/>
      <c r="GA94" s="873"/>
      <c r="GB94" s="873"/>
      <c r="GC94" s="873"/>
      <c r="GD94" s="873"/>
      <c r="GE94" s="873"/>
      <c r="GF94" s="873"/>
      <c r="GG94" s="873"/>
      <c r="GH94" s="873"/>
      <c r="GI94" s="873"/>
      <c r="GJ94" s="873"/>
      <c r="GK94" s="873"/>
      <c r="GL94" s="873"/>
      <c r="GM94" s="873"/>
      <c r="GN94" s="873"/>
      <c r="GO94" s="873"/>
      <c r="GP94" s="873"/>
      <c r="GQ94" s="873"/>
      <c r="GR94" s="873"/>
      <c r="GS94" s="873"/>
      <c r="GT94" s="873"/>
      <c r="GU94" s="873"/>
      <c r="GV94" s="873"/>
      <c r="GW94" s="873"/>
      <c r="GX94" s="873"/>
      <c r="GY94" s="873"/>
      <c r="GZ94" s="873"/>
      <c r="HA94" s="873"/>
      <c r="HB94" s="873"/>
      <c r="HC94" s="873"/>
      <c r="HD94" s="873"/>
      <c r="HE94" s="873"/>
      <c r="HF94" s="873"/>
      <c r="HG94" s="873"/>
      <c r="HH94" s="873"/>
      <c r="HI94" s="873"/>
      <c r="HJ94" s="873"/>
      <c r="HK94" s="873"/>
      <c r="HL94" s="873"/>
      <c r="HM94" s="873"/>
      <c r="HN94" s="873"/>
      <c r="HO94" s="873"/>
      <c r="HP94" s="873"/>
      <c r="HQ94" s="873"/>
      <c r="HR94" s="873"/>
      <c r="HS94" s="873"/>
      <c r="HT94" s="873"/>
      <c r="HU94" s="873"/>
      <c r="HV94" s="873"/>
      <c r="HW94" s="873"/>
      <c r="HX94" s="873"/>
      <c r="HY94" s="873"/>
      <c r="HZ94" s="873"/>
      <c r="IA94" s="873"/>
      <c r="IB94" s="873"/>
      <c r="IC94" s="873"/>
      <c r="ID94" s="873"/>
      <c r="IE94" s="873"/>
      <c r="IF94" s="873"/>
      <c r="IG94" s="873"/>
      <c r="IH94" s="873"/>
      <c r="II94" s="873"/>
      <c r="IJ94" s="873"/>
      <c r="IK94" s="873"/>
      <c r="IL94" s="873"/>
      <c r="IM94" s="873"/>
      <c r="IN94" s="873"/>
      <c r="IO94" s="873"/>
      <c r="IP94" s="873"/>
      <c r="IQ94" s="873"/>
      <c r="IR94" s="873"/>
      <c r="IS94" s="873"/>
      <c r="IT94" s="873"/>
      <c r="IU94" s="873"/>
      <c r="IV94" s="873"/>
      <c r="IW94" s="873"/>
    </row>
    <row r="95" spans="1:257" s="876" customFormat="1">
      <c r="A95" s="873"/>
      <c r="B95" s="873"/>
      <c r="C95" s="873"/>
      <c r="D95" s="873"/>
      <c r="E95" s="873"/>
      <c r="F95" s="873"/>
      <c r="G95" s="873"/>
      <c r="H95" s="873"/>
      <c r="I95" s="873"/>
      <c r="J95" s="873"/>
      <c r="K95" s="873"/>
      <c r="L95" s="873"/>
      <c r="M95" s="873"/>
      <c r="N95" s="873"/>
      <c r="O95" s="873"/>
      <c r="P95" s="873"/>
      <c r="Q95" s="873"/>
      <c r="R95" s="873"/>
      <c r="S95" s="873"/>
      <c r="T95" s="873"/>
      <c r="U95" s="873"/>
      <c r="V95" s="873"/>
      <c r="W95" s="873"/>
      <c r="X95" s="873"/>
      <c r="Y95" s="873"/>
      <c r="Z95" s="873"/>
      <c r="AA95" s="873"/>
      <c r="AB95" s="873"/>
      <c r="AC95" s="873"/>
      <c r="AD95" s="873"/>
      <c r="AE95" s="873"/>
      <c r="AF95" s="873"/>
      <c r="AG95" s="873"/>
      <c r="AH95" s="873"/>
      <c r="AI95" s="873"/>
      <c r="AJ95" s="873"/>
      <c r="AK95" s="873"/>
      <c r="AL95" s="873"/>
      <c r="AM95" s="873"/>
      <c r="AN95" s="873"/>
      <c r="AO95" s="873"/>
      <c r="AP95" s="873"/>
      <c r="AQ95" s="873"/>
      <c r="AR95" s="873"/>
      <c r="AS95" s="873"/>
      <c r="AT95" s="873"/>
      <c r="AU95" s="873"/>
      <c r="AV95" s="873"/>
      <c r="AW95" s="873"/>
      <c r="AX95" s="873"/>
      <c r="AY95" s="873"/>
      <c r="AZ95" s="873"/>
      <c r="BA95" s="873"/>
      <c r="BB95" s="873"/>
      <c r="BC95" s="873"/>
      <c r="BD95" s="873"/>
      <c r="BE95" s="873"/>
      <c r="BF95" s="873"/>
      <c r="BG95" s="873"/>
      <c r="BH95" s="873"/>
      <c r="BI95" s="873"/>
      <c r="BJ95" s="873"/>
      <c r="BK95" s="873"/>
      <c r="BL95" s="873"/>
      <c r="BM95" s="873"/>
      <c r="BN95" s="873"/>
      <c r="BO95" s="873"/>
      <c r="BP95" s="873"/>
      <c r="BQ95" s="873"/>
      <c r="BR95" s="873"/>
      <c r="BS95" s="873"/>
      <c r="BT95" s="873"/>
      <c r="BU95" s="873"/>
      <c r="BV95" s="873"/>
      <c r="BW95" s="873"/>
      <c r="BX95" s="873"/>
      <c r="BY95" s="873"/>
      <c r="BZ95" s="873"/>
      <c r="CA95" s="873"/>
      <c r="CB95" s="873"/>
      <c r="CC95" s="873"/>
      <c r="CD95" s="873"/>
      <c r="CE95" s="873"/>
      <c r="CF95" s="873"/>
      <c r="CG95" s="873"/>
      <c r="CH95" s="873"/>
      <c r="CI95" s="873"/>
      <c r="CJ95" s="873"/>
      <c r="CK95" s="873"/>
      <c r="CL95" s="873"/>
      <c r="CM95" s="873"/>
      <c r="CN95" s="873"/>
      <c r="CO95" s="873"/>
      <c r="CP95" s="873"/>
      <c r="CQ95" s="873"/>
      <c r="CR95" s="873"/>
      <c r="CS95" s="873"/>
      <c r="CT95" s="873"/>
      <c r="CU95" s="873"/>
      <c r="CV95" s="873"/>
      <c r="CW95" s="873"/>
      <c r="CX95" s="873"/>
      <c r="CY95" s="873"/>
      <c r="CZ95" s="873"/>
      <c r="DA95" s="873"/>
      <c r="DB95" s="873"/>
      <c r="DC95" s="873"/>
      <c r="DD95" s="873"/>
      <c r="DE95" s="873"/>
      <c r="DF95" s="873"/>
      <c r="DG95" s="873"/>
      <c r="DH95" s="873"/>
      <c r="DI95" s="873"/>
      <c r="DJ95" s="873"/>
      <c r="DK95" s="873"/>
      <c r="DL95" s="873"/>
      <c r="DM95" s="873"/>
      <c r="DN95" s="873"/>
      <c r="DO95" s="873"/>
      <c r="DP95" s="873"/>
      <c r="DQ95" s="873"/>
      <c r="DR95" s="873"/>
      <c r="DS95" s="873"/>
      <c r="DT95" s="873"/>
      <c r="DU95" s="873"/>
      <c r="DV95" s="873"/>
      <c r="DW95" s="873"/>
      <c r="DX95" s="873"/>
      <c r="DY95" s="873"/>
      <c r="DZ95" s="873"/>
      <c r="EA95" s="873"/>
      <c r="EB95" s="873"/>
      <c r="EC95" s="873"/>
      <c r="ED95" s="873"/>
      <c r="EE95" s="873"/>
      <c r="EF95" s="873"/>
      <c r="EG95" s="873"/>
      <c r="EH95" s="873"/>
      <c r="EI95" s="873"/>
      <c r="EJ95" s="873"/>
      <c r="EK95" s="873"/>
      <c r="EL95" s="873"/>
      <c r="EM95" s="873"/>
      <c r="EN95" s="873"/>
      <c r="EO95" s="873"/>
      <c r="EP95" s="873"/>
      <c r="EQ95" s="873"/>
      <c r="ER95" s="873"/>
      <c r="ES95" s="873"/>
      <c r="ET95" s="873"/>
      <c r="EU95" s="873"/>
      <c r="EV95" s="873"/>
      <c r="EW95" s="873"/>
      <c r="EX95" s="873"/>
      <c r="EY95" s="873"/>
      <c r="EZ95" s="873"/>
      <c r="FA95" s="873"/>
      <c r="FB95" s="873"/>
      <c r="FC95" s="873"/>
      <c r="FD95" s="873"/>
      <c r="FE95" s="873"/>
      <c r="FF95" s="873"/>
      <c r="FG95" s="873"/>
      <c r="FH95" s="873"/>
      <c r="FI95" s="873"/>
      <c r="FJ95" s="873"/>
      <c r="FK95" s="873"/>
      <c r="FL95" s="873"/>
      <c r="FM95" s="873"/>
      <c r="FN95" s="873"/>
      <c r="FO95" s="873"/>
      <c r="FP95" s="873"/>
      <c r="FQ95" s="873"/>
      <c r="FR95" s="873"/>
      <c r="FS95" s="873"/>
      <c r="FT95" s="873"/>
      <c r="FU95" s="873"/>
      <c r="FV95" s="873"/>
      <c r="FW95" s="873"/>
      <c r="FX95" s="873"/>
      <c r="FY95" s="873"/>
      <c r="FZ95" s="873"/>
      <c r="GA95" s="873"/>
      <c r="GB95" s="873"/>
      <c r="GC95" s="873"/>
      <c r="GD95" s="873"/>
      <c r="GE95" s="873"/>
      <c r="GF95" s="873"/>
      <c r="GG95" s="873"/>
      <c r="GH95" s="873"/>
      <c r="GI95" s="873"/>
      <c r="GJ95" s="873"/>
      <c r="GK95" s="873"/>
      <c r="GL95" s="873"/>
      <c r="GM95" s="873"/>
      <c r="GN95" s="873"/>
      <c r="GO95" s="873"/>
      <c r="GP95" s="873"/>
      <c r="GQ95" s="873"/>
      <c r="GR95" s="873"/>
      <c r="GS95" s="873"/>
      <c r="GT95" s="873"/>
      <c r="GU95" s="873"/>
      <c r="GV95" s="873"/>
      <c r="GW95" s="873"/>
      <c r="GX95" s="873"/>
      <c r="GY95" s="873"/>
      <c r="GZ95" s="873"/>
      <c r="HA95" s="873"/>
      <c r="HB95" s="873"/>
      <c r="HC95" s="873"/>
      <c r="HD95" s="873"/>
      <c r="HE95" s="873"/>
      <c r="HF95" s="873"/>
      <c r="HG95" s="873"/>
      <c r="HH95" s="873"/>
      <c r="HI95" s="873"/>
      <c r="HJ95" s="873"/>
      <c r="HK95" s="873"/>
      <c r="HL95" s="873"/>
      <c r="HM95" s="873"/>
      <c r="HN95" s="873"/>
      <c r="HO95" s="873"/>
      <c r="HP95" s="873"/>
      <c r="HQ95" s="873"/>
      <c r="HR95" s="873"/>
      <c r="HS95" s="873"/>
      <c r="HT95" s="873"/>
      <c r="HU95" s="873"/>
      <c r="HV95" s="873"/>
      <c r="HW95" s="873"/>
      <c r="HX95" s="873"/>
      <c r="HY95" s="873"/>
      <c r="HZ95" s="873"/>
      <c r="IA95" s="873"/>
      <c r="IB95" s="873"/>
      <c r="IC95" s="873"/>
      <c r="ID95" s="873"/>
      <c r="IE95" s="873"/>
      <c r="IF95" s="873"/>
      <c r="IG95" s="873"/>
      <c r="IH95" s="873"/>
      <c r="II95" s="873"/>
      <c r="IJ95" s="873"/>
      <c r="IK95" s="873"/>
      <c r="IL95" s="873"/>
      <c r="IM95" s="873"/>
      <c r="IN95" s="873"/>
      <c r="IO95" s="873"/>
      <c r="IP95" s="873"/>
      <c r="IQ95" s="873"/>
      <c r="IR95" s="873"/>
      <c r="IS95" s="873"/>
      <c r="IT95" s="873"/>
      <c r="IU95" s="873"/>
      <c r="IV95" s="873"/>
      <c r="IW95" s="873"/>
    </row>
    <row r="96" spans="1:257" s="876" customFormat="1">
      <c r="A96" s="873"/>
      <c r="B96" s="873"/>
      <c r="C96" s="873"/>
      <c r="D96" s="873"/>
      <c r="E96" s="873"/>
      <c r="F96" s="873"/>
      <c r="G96" s="873"/>
      <c r="H96" s="873"/>
      <c r="I96" s="873"/>
      <c r="J96" s="873"/>
      <c r="K96" s="873"/>
      <c r="L96" s="873"/>
      <c r="M96" s="873"/>
      <c r="N96" s="873"/>
      <c r="O96" s="873"/>
      <c r="P96" s="873"/>
      <c r="Q96" s="873"/>
      <c r="R96" s="873"/>
      <c r="S96" s="873"/>
      <c r="T96" s="873"/>
      <c r="U96" s="873"/>
      <c r="V96" s="873"/>
      <c r="W96" s="873"/>
      <c r="X96" s="873"/>
      <c r="Y96" s="873"/>
      <c r="Z96" s="873"/>
      <c r="AA96" s="873"/>
      <c r="AB96" s="873"/>
      <c r="AC96" s="873"/>
      <c r="AD96" s="873"/>
      <c r="AE96" s="873"/>
      <c r="AF96" s="873"/>
      <c r="AG96" s="873"/>
      <c r="AH96" s="873"/>
      <c r="AI96" s="873"/>
      <c r="AJ96" s="873"/>
      <c r="AK96" s="873"/>
      <c r="AL96" s="873"/>
      <c r="AM96" s="873"/>
      <c r="AN96" s="873"/>
      <c r="AO96" s="873"/>
      <c r="AP96" s="873"/>
      <c r="AQ96" s="873"/>
      <c r="AR96" s="873"/>
      <c r="AS96" s="873"/>
      <c r="AT96" s="873"/>
      <c r="AU96" s="873"/>
      <c r="AV96" s="873"/>
      <c r="AW96" s="873"/>
      <c r="AX96" s="873"/>
      <c r="AY96" s="873"/>
      <c r="AZ96" s="873"/>
      <c r="BA96" s="873"/>
      <c r="BB96" s="873"/>
      <c r="BC96" s="873"/>
      <c r="BD96" s="873"/>
      <c r="BE96" s="873"/>
      <c r="BF96" s="873"/>
      <c r="BG96" s="873"/>
      <c r="BH96" s="873"/>
      <c r="BI96" s="873"/>
      <c r="BJ96" s="873"/>
      <c r="BK96" s="873"/>
      <c r="BL96" s="873"/>
      <c r="BM96" s="873"/>
      <c r="BN96" s="873"/>
      <c r="BO96" s="873"/>
      <c r="BP96" s="873"/>
      <c r="BQ96" s="873"/>
      <c r="BR96" s="873"/>
      <c r="BS96" s="873"/>
      <c r="BT96" s="873"/>
      <c r="BU96" s="873"/>
      <c r="BV96" s="873"/>
      <c r="BW96" s="873"/>
      <c r="BX96" s="873"/>
      <c r="BY96" s="873"/>
      <c r="BZ96" s="873"/>
      <c r="CA96" s="873"/>
      <c r="CB96" s="873"/>
      <c r="CC96" s="873"/>
      <c r="CD96" s="873"/>
      <c r="CE96" s="873"/>
      <c r="CF96" s="873"/>
      <c r="CG96" s="873"/>
      <c r="CH96" s="873"/>
      <c r="CI96" s="873"/>
      <c r="CJ96" s="873"/>
      <c r="CK96" s="873"/>
      <c r="CL96" s="873"/>
      <c r="CM96" s="873"/>
      <c r="CN96" s="873"/>
      <c r="CO96" s="873"/>
      <c r="CP96" s="873"/>
      <c r="CQ96" s="873"/>
      <c r="CR96" s="873"/>
      <c r="CS96" s="873"/>
      <c r="CT96" s="873"/>
      <c r="CU96" s="873"/>
      <c r="CV96" s="873"/>
      <c r="CW96" s="873"/>
      <c r="CX96" s="873"/>
      <c r="CY96" s="873"/>
      <c r="CZ96" s="873"/>
      <c r="DA96" s="873"/>
      <c r="DB96" s="873"/>
      <c r="DC96" s="873"/>
      <c r="DD96" s="873"/>
      <c r="DE96" s="873"/>
      <c r="DF96" s="873"/>
      <c r="DG96" s="873"/>
      <c r="DH96" s="873"/>
      <c r="DI96" s="873"/>
      <c r="DJ96" s="873"/>
      <c r="DK96" s="873"/>
      <c r="DL96" s="873"/>
      <c r="DM96" s="873"/>
      <c r="DN96" s="873"/>
      <c r="DO96" s="873"/>
      <c r="DP96" s="873"/>
      <c r="DQ96" s="873"/>
      <c r="DR96" s="873"/>
      <c r="DS96" s="873"/>
      <c r="DT96" s="873"/>
      <c r="DU96" s="873"/>
      <c r="DV96" s="873"/>
      <c r="DW96" s="873"/>
      <c r="DX96" s="873"/>
      <c r="DY96" s="873"/>
      <c r="DZ96" s="873"/>
      <c r="EA96" s="873"/>
      <c r="EB96" s="873"/>
      <c r="EC96" s="873"/>
      <c r="ED96" s="873"/>
      <c r="EE96" s="873"/>
      <c r="EF96" s="873"/>
      <c r="EG96" s="873"/>
      <c r="EH96" s="873"/>
      <c r="EI96" s="873"/>
      <c r="EJ96" s="873"/>
      <c r="EK96" s="873"/>
      <c r="EL96" s="873"/>
      <c r="EM96" s="873"/>
      <c r="EN96" s="873"/>
      <c r="EO96" s="873"/>
      <c r="EP96" s="873"/>
      <c r="EQ96" s="873"/>
      <c r="ER96" s="873"/>
      <c r="ES96" s="873"/>
      <c r="ET96" s="873"/>
      <c r="EU96" s="873"/>
      <c r="EV96" s="873"/>
      <c r="EW96" s="873"/>
      <c r="EX96" s="873"/>
      <c r="EY96" s="873"/>
      <c r="EZ96" s="873"/>
      <c r="FA96" s="873"/>
      <c r="FB96" s="873"/>
      <c r="FC96" s="873"/>
      <c r="FD96" s="873"/>
      <c r="FE96" s="873"/>
      <c r="FF96" s="873"/>
      <c r="FG96" s="873"/>
      <c r="FH96" s="873"/>
      <c r="FI96" s="873"/>
      <c r="FJ96" s="873"/>
      <c r="FK96" s="873"/>
      <c r="FL96" s="873"/>
      <c r="FM96" s="873"/>
      <c r="FN96" s="873"/>
      <c r="FO96" s="873"/>
      <c r="FP96" s="873"/>
      <c r="FQ96" s="873"/>
      <c r="FR96" s="873"/>
      <c r="FS96" s="873"/>
      <c r="FT96" s="873"/>
      <c r="FU96" s="873"/>
      <c r="FV96" s="873"/>
      <c r="FW96" s="873"/>
      <c r="FX96" s="873"/>
      <c r="FY96" s="873"/>
      <c r="FZ96" s="873"/>
      <c r="GA96" s="873"/>
      <c r="GB96" s="873"/>
      <c r="GC96" s="873"/>
      <c r="GD96" s="873"/>
      <c r="GE96" s="873"/>
      <c r="GF96" s="873"/>
      <c r="GG96" s="873"/>
      <c r="GH96" s="873"/>
      <c r="GI96" s="873"/>
      <c r="GJ96" s="873"/>
      <c r="GK96" s="873"/>
      <c r="GL96" s="873"/>
      <c r="GM96" s="873"/>
      <c r="GN96" s="873"/>
      <c r="GO96" s="873"/>
      <c r="GP96" s="873"/>
      <c r="GQ96" s="873"/>
      <c r="GR96" s="873"/>
      <c r="GS96" s="873"/>
      <c r="GT96" s="873"/>
      <c r="GU96" s="873"/>
      <c r="GV96" s="873"/>
      <c r="GW96" s="873"/>
      <c r="GX96" s="873"/>
      <c r="GY96" s="873"/>
      <c r="GZ96" s="873"/>
      <c r="HA96" s="873"/>
      <c r="HB96" s="873"/>
      <c r="HC96" s="873"/>
      <c r="HD96" s="873"/>
      <c r="HE96" s="873"/>
      <c r="HF96" s="873"/>
      <c r="HG96" s="873"/>
      <c r="HH96" s="873"/>
      <c r="HI96" s="873"/>
      <c r="HJ96" s="873"/>
      <c r="HK96" s="873"/>
      <c r="HL96" s="873"/>
      <c r="HM96" s="873"/>
      <c r="HN96" s="873"/>
      <c r="HO96" s="873"/>
      <c r="HP96" s="873"/>
      <c r="HQ96" s="873"/>
      <c r="HR96" s="873"/>
      <c r="HS96" s="873"/>
      <c r="HT96" s="873"/>
      <c r="HU96" s="873"/>
      <c r="HV96" s="873"/>
      <c r="HW96" s="873"/>
      <c r="HX96" s="873"/>
      <c r="HY96" s="873"/>
      <c r="HZ96" s="873"/>
      <c r="IA96" s="873"/>
      <c r="IB96" s="873"/>
      <c r="IC96" s="873"/>
      <c r="ID96" s="873"/>
      <c r="IE96" s="873"/>
      <c r="IF96" s="873"/>
      <c r="IG96" s="873"/>
      <c r="IH96" s="873"/>
      <c r="II96" s="873"/>
      <c r="IJ96" s="873"/>
      <c r="IK96" s="873"/>
      <c r="IL96" s="873"/>
      <c r="IM96" s="873"/>
      <c r="IN96" s="873"/>
      <c r="IO96" s="873"/>
      <c r="IP96" s="873"/>
      <c r="IQ96" s="873"/>
      <c r="IR96" s="873"/>
      <c r="IS96" s="873"/>
      <c r="IT96" s="873"/>
      <c r="IU96" s="873"/>
      <c r="IV96" s="873"/>
      <c r="IW96" s="873"/>
    </row>
    <row r="97" spans="1:257" s="876" customFormat="1" ht="154">
      <c r="A97" s="2498" t="s">
        <v>2606</v>
      </c>
      <c r="B97" s="1148" t="s">
        <v>2136</v>
      </c>
      <c r="C97" s="1117">
        <v>4</v>
      </c>
      <c r="D97" s="1117">
        <v>5</v>
      </c>
      <c r="E97" s="1118" t="s">
        <v>1438</v>
      </c>
      <c r="F97" s="1119" t="str">
        <f>IF(Scoring!I106="","",Scoring!I106)</f>
        <v/>
      </c>
      <c r="G97" s="1120"/>
      <c r="H97" s="1120"/>
      <c r="I97" s="1121" t="s">
        <v>2551</v>
      </c>
      <c r="J97" s="1122"/>
      <c r="K97" s="1122"/>
      <c r="L97" s="1123"/>
      <c r="M97" s="1124"/>
      <c r="N97" s="873"/>
      <c r="O97" s="877"/>
      <c r="P97" s="878"/>
      <c r="Q97" s="873"/>
      <c r="R97" s="873"/>
      <c r="S97" s="873"/>
      <c r="T97" s="873"/>
      <c r="U97" s="873"/>
      <c r="V97" s="873"/>
      <c r="W97" s="873"/>
      <c r="X97" s="873"/>
      <c r="Y97" s="873"/>
      <c r="Z97" s="873"/>
      <c r="AA97" s="873"/>
      <c r="AB97" s="873"/>
      <c r="AC97" s="873"/>
      <c r="AD97" s="873"/>
      <c r="AE97" s="873"/>
      <c r="AF97" s="873"/>
      <c r="AG97" s="873"/>
      <c r="AH97" s="873"/>
      <c r="AI97" s="873"/>
      <c r="AJ97" s="873"/>
      <c r="AK97" s="873"/>
      <c r="AL97" s="873"/>
      <c r="AM97" s="873"/>
      <c r="AN97" s="873"/>
      <c r="AO97" s="873"/>
      <c r="AP97" s="873"/>
      <c r="AQ97" s="873"/>
      <c r="AR97" s="873"/>
      <c r="AS97" s="873"/>
      <c r="AT97" s="873"/>
      <c r="AU97" s="873"/>
      <c r="AV97" s="873"/>
      <c r="AW97" s="873"/>
      <c r="AX97" s="873"/>
      <c r="AY97" s="873"/>
      <c r="AZ97" s="873"/>
      <c r="BA97" s="873"/>
      <c r="BB97" s="873"/>
      <c r="BC97" s="873"/>
      <c r="BD97" s="873"/>
      <c r="BE97" s="873"/>
      <c r="BF97" s="873"/>
      <c r="BG97" s="873"/>
      <c r="BH97" s="873"/>
      <c r="BI97" s="873"/>
      <c r="BJ97" s="873"/>
      <c r="BK97" s="873"/>
      <c r="BL97" s="873"/>
      <c r="BM97" s="873"/>
      <c r="BN97" s="873"/>
      <c r="BO97" s="873"/>
      <c r="BP97" s="873"/>
      <c r="BQ97" s="873"/>
      <c r="BR97" s="873"/>
      <c r="BS97" s="873"/>
      <c r="BT97" s="873"/>
      <c r="BU97" s="873"/>
      <c r="BV97" s="873"/>
      <c r="BW97" s="873"/>
      <c r="BX97" s="873"/>
      <c r="BY97" s="873"/>
      <c r="BZ97" s="873"/>
      <c r="CA97" s="873"/>
      <c r="CB97" s="873"/>
      <c r="CC97" s="873"/>
      <c r="CD97" s="873"/>
      <c r="CE97" s="873"/>
      <c r="CF97" s="873"/>
      <c r="CG97" s="873"/>
      <c r="CH97" s="873"/>
      <c r="CI97" s="873"/>
      <c r="CJ97" s="873"/>
      <c r="CK97" s="873"/>
      <c r="CL97" s="873"/>
      <c r="CM97" s="873"/>
      <c r="CN97" s="873"/>
      <c r="CO97" s="873"/>
      <c r="CP97" s="873"/>
      <c r="CQ97" s="873"/>
      <c r="CR97" s="873"/>
      <c r="CS97" s="873"/>
      <c r="CT97" s="873"/>
      <c r="CU97" s="873"/>
      <c r="CV97" s="873"/>
      <c r="CW97" s="873"/>
      <c r="CX97" s="873"/>
      <c r="CY97" s="873"/>
      <c r="CZ97" s="873"/>
      <c r="DA97" s="873"/>
      <c r="DB97" s="873"/>
      <c r="DC97" s="873"/>
      <c r="DD97" s="873"/>
      <c r="DE97" s="873"/>
      <c r="DF97" s="873"/>
      <c r="DG97" s="873"/>
      <c r="DH97" s="873"/>
      <c r="DI97" s="873"/>
      <c r="DJ97" s="873"/>
      <c r="DK97" s="873"/>
      <c r="DL97" s="873"/>
      <c r="DM97" s="873"/>
      <c r="DN97" s="873"/>
      <c r="DO97" s="873"/>
      <c r="DP97" s="873"/>
      <c r="DQ97" s="873"/>
      <c r="DR97" s="873"/>
      <c r="DS97" s="873"/>
      <c r="DT97" s="873"/>
      <c r="DU97" s="873"/>
      <c r="DV97" s="873"/>
      <c r="DW97" s="873"/>
      <c r="DX97" s="873"/>
      <c r="DY97" s="873"/>
      <c r="DZ97" s="873"/>
      <c r="EA97" s="873"/>
      <c r="EB97" s="873"/>
      <c r="EC97" s="873"/>
      <c r="ED97" s="873"/>
      <c r="EE97" s="873"/>
      <c r="EF97" s="873"/>
      <c r="EG97" s="873"/>
      <c r="EH97" s="873"/>
      <c r="EI97" s="873"/>
      <c r="EJ97" s="873"/>
      <c r="EK97" s="873"/>
      <c r="EL97" s="873"/>
      <c r="EM97" s="873"/>
      <c r="EN97" s="873"/>
      <c r="EO97" s="873"/>
      <c r="EP97" s="873"/>
      <c r="EQ97" s="873"/>
      <c r="ER97" s="873"/>
      <c r="ES97" s="873"/>
      <c r="ET97" s="873"/>
      <c r="EU97" s="873"/>
      <c r="EV97" s="873"/>
      <c r="EW97" s="873"/>
      <c r="EX97" s="873"/>
      <c r="EY97" s="873"/>
      <c r="EZ97" s="873"/>
      <c r="FA97" s="873"/>
      <c r="FB97" s="873"/>
      <c r="FC97" s="873"/>
      <c r="FD97" s="873"/>
      <c r="FE97" s="873"/>
      <c r="FF97" s="873"/>
      <c r="FG97" s="873"/>
      <c r="FH97" s="873"/>
      <c r="FI97" s="873"/>
      <c r="FJ97" s="873"/>
      <c r="FK97" s="873"/>
      <c r="FL97" s="873"/>
      <c r="FM97" s="873"/>
      <c r="FN97" s="873"/>
      <c r="FO97" s="873"/>
      <c r="FP97" s="873"/>
      <c r="FQ97" s="873"/>
      <c r="FR97" s="873"/>
      <c r="FS97" s="873"/>
      <c r="FT97" s="873"/>
      <c r="FU97" s="873"/>
      <c r="FV97" s="873"/>
      <c r="FW97" s="873"/>
      <c r="FX97" s="873"/>
      <c r="FY97" s="873"/>
      <c r="FZ97" s="873"/>
      <c r="GA97" s="873"/>
      <c r="GB97" s="873"/>
      <c r="GC97" s="873"/>
      <c r="GD97" s="873"/>
      <c r="GE97" s="873"/>
      <c r="GF97" s="873"/>
      <c r="GG97" s="873"/>
      <c r="GH97" s="873"/>
      <c r="GI97" s="873"/>
      <c r="GJ97" s="873"/>
      <c r="GK97" s="873"/>
      <c r="GL97" s="873"/>
      <c r="GM97" s="873"/>
      <c r="GN97" s="873"/>
      <c r="GO97" s="873"/>
      <c r="GP97" s="873"/>
      <c r="GQ97" s="873"/>
      <c r="GR97" s="873"/>
      <c r="GS97" s="873"/>
      <c r="GT97" s="873"/>
      <c r="GU97" s="873"/>
      <c r="GV97" s="873"/>
      <c r="GW97" s="873"/>
      <c r="GX97" s="873"/>
      <c r="GY97" s="873"/>
      <c r="GZ97" s="873"/>
      <c r="HA97" s="873"/>
      <c r="HB97" s="873"/>
      <c r="HC97" s="873"/>
      <c r="HD97" s="873"/>
      <c r="HE97" s="873"/>
      <c r="HF97" s="873"/>
      <c r="HG97" s="873"/>
      <c r="HH97" s="873"/>
      <c r="HI97" s="873"/>
      <c r="HJ97" s="873"/>
      <c r="HK97" s="873"/>
      <c r="HL97" s="873"/>
      <c r="HM97" s="873"/>
      <c r="HN97" s="873"/>
      <c r="HO97" s="873"/>
      <c r="HP97" s="873"/>
      <c r="HQ97" s="873"/>
      <c r="HR97" s="873"/>
      <c r="HS97" s="873"/>
      <c r="HT97" s="873"/>
      <c r="HU97" s="873"/>
      <c r="HV97" s="873"/>
      <c r="HW97" s="873"/>
      <c r="HX97" s="873"/>
      <c r="HY97" s="873"/>
      <c r="HZ97" s="873"/>
      <c r="IA97" s="873"/>
      <c r="IB97" s="873"/>
      <c r="IC97" s="873"/>
      <c r="ID97" s="873"/>
      <c r="IE97" s="873"/>
      <c r="IF97" s="873"/>
      <c r="IG97" s="873"/>
      <c r="IH97" s="873"/>
      <c r="II97" s="873"/>
      <c r="IJ97" s="873"/>
      <c r="IK97" s="873"/>
      <c r="IL97" s="873"/>
      <c r="IM97" s="873"/>
      <c r="IN97" s="873"/>
      <c r="IO97" s="873"/>
      <c r="IP97" s="873"/>
      <c r="IQ97" s="873"/>
      <c r="IR97" s="873"/>
      <c r="IS97" s="873"/>
      <c r="IT97" s="873"/>
      <c r="IU97" s="873"/>
      <c r="IV97" s="873"/>
      <c r="IW97" s="873"/>
    </row>
    <row r="98" spans="1:257" s="876" customFormat="1" ht="98">
      <c r="A98" s="2500"/>
      <c r="B98" s="1150" t="s">
        <v>2138</v>
      </c>
      <c r="C98" s="1143">
        <v>4</v>
      </c>
      <c r="D98" s="1143">
        <v>6</v>
      </c>
      <c r="E98" s="1136" t="s">
        <v>1441</v>
      </c>
      <c r="F98" s="1137" t="str">
        <f>IF(Scoring!I107="","",Scoring!I107)</f>
        <v/>
      </c>
      <c r="G98" s="1138"/>
      <c r="H98" s="1138"/>
      <c r="I98" s="1139" t="s">
        <v>2607</v>
      </c>
      <c r="J98" s="1140"/>
      <c r="K98" s="1140">
        <f>COUNT(F97:F98)</f>
        <v>0</v>
      </c>
      <c r="L98" s="1141">
        <f>SUM(F97:F98)</f>
        <v>0</v>
      </c>
      <c r="M98" s="1142">
        <f>IF(L98&lt;1,0,1)</f>
        <v>0</v>
      </c>
      <c r="N98" s="873"/>
      <c r="O98" s="874"/>
      <c r="P98" s="875">
        <f>COUNTA(F97:F98)</f>
        <v>2</v>
      </c>
      <c r="Q98" s="873"/>
      <c r="R98" s="873"/>
      <c r="S98" s="873"/>
      <c r="T98" s="873"/>
      <c r="U98" s="873"/>
      <c r="V98" s="873"/>
      <c r="W98" s="873"/>
      <c r="X98" s="873"/>
      <c r="Y98" s="873"/>
      <c r="Z98" s="873"/>
      <c r="AA98" s="873"/>
      <c r="AB98" s="873"/>
      <c r="AC98" s="873"/>
      <c r="AD98" s="873"/>
      <c r="AE98" s="873"/>
      <c r="AF98" s="873"/>
      <c r="AG98" s="873"/>
      <c r="AH98" s="873"/>
      <c r="AI98" s="873"/>
      <c r="AJ98" s="873"/>
      <c r="AK98" s="873"/>
      <c r="AL98" s="873"/>
      <c r="AM98" s="873"/>
      <c r="AN98" s="873"/>
      <c r="AO98" s="873"/>
      <c r="AP98" s="873"/>
      <c r="AQ98" s="873"/>
      <c r="AR98" s="873"/>
      <c r="AS98" s="873"/>
      <c r="AT98" s="873"/>
      <c r="AU98" s="873"/>
      <c r="AV98" s="873"/>
      <c r="AW98" s="873"/>
      <c r="AX98" s="873"/>
      <c r="AY98" s="873"/>
      <c r="AZ98" s="873"/>
      <c r="BA98" s="873"/>
      <c r="BB98" s="873"/>
      <c r="BC98" s="873"/>
      <c r="BD98" s="873"/>
      <c r="BE98" s="873"/>
      <c r="BF98" s="873"/>
      <c r="BG98" s="873"/>
      <c r="BH98" s="873"/>
      <c r="BI98" s="873"/>
      <c r="BJ98" s="873"/>
      <c r="BK98" s="873"/>
      <c r="BL98" s="873"/>
      <c r="BM98" s="873"/>
      <c r="BN98" s="873"/>
      <c r="BO98" s="873"/>
      <c r="BP98" s="873"/>
      <c r="BQ98" s="873"/>
      <c r="BR98" s="873"/>
      <c r="BS98" s="873"/>
      <c r="BT98" s="873"/>
      <c r="BU98" s="873"/>
      <c r="BV98" s="873"/>
      <c r="BW98" s="873"/>
      <c r="BX98" s="873"/>
      <c r="BY98" s="873"/>
      <c r="BZ98" s="873"/>
      <c r="CA98" s="873"/>
      <c r="CB98" s="873"/>
      <c r="CC98" s="873"/>
      <c r="CD98" s="873"/>
      <c r="CE98" s="873"/>
      <c r="CF98" s="873"/>
      <c r="CG98" s="873"/>
      <c r="CH98" s="873"/>
      <c r="CI98" s="873"/>
      <c r="CJ98" s="873"/>
      <c r="CK98" s="873"/>
      <c r="CL98" s="873"/>
      <c r="CM98" s="873"/>
      <c r="CN98" s="873"/>
      <c r="CO98" s="873"/>
      <c r="CP98" s="873"/>
      <c r="CQ98" s="873"/>
      <c r="CR98" s="873"/>
      <c r="CS98" s="873"/>
      <c r="CT98" s="873"/>
      <c r="CU98" s="873"/>
      <c r="CV98" s="873"/>
      <c r="CW98" s="873"/>
      <c r="CX98" s="873"/>
      <c r="CY98" s="873"/>
      <c r="CZ98" s="873"/>
      <c r="DA98" s="873"/>
      <c r="DB98" s="873"/>
      <c r="DC98" s="873"/>
      <c r="DD98" s="873"/>
      <c r="DE98" s="873"/>
      <c r="DF98" s="873"/>
      <c r="DG98" s="873"/>
      <c r="DH98" s="873"/>
      <c r="DI98" s="873"/>
      <c r="DJ98" s="873"/>
      <c r="DK98" s="873"/>
      <c r="DL98" s="873"/>
      <c r="DM98" s="873"/>
      <c r="DN98" s="873"/>
      <c r="DO98" s="873"/>
      <c r="DP98" s="873"/>
      <c r="DQ98" s="873"/>
      <c r="DR98" s="873"/>
      <c r="DS98" s="873"/>
      <c r="DT98" s="873"/>
      <c r="DU98" s="873"/>
      <c r="DV98" s="873"/>
      <c r="DW98" s="873"/>
      <c r="DX98" s="873"/>
      <c r="DY98" s="873"/>
      <c r="DZ98" s="873"/>
      <c r="EA98" s="873"/>
      <c r="EB98" s="873"/>
      <c r="EC98" s="873"/>
      <c r="ED98" s="873"/>
      <c r="EE98" s="873"/>
      <c r="EF98" s="873"/>
      <c r="EG98" s="873"/>
      <c r="EH98" s="873"/>
      <c r="EI98" s="873"/>
      <c r="EJ98" s="873"/>
      <c r="EK98" s="873"/>
      <c r="EL98" s="873"/>
      <c r="EM98" s="873"/>
      <c r="EN98" s="873"/>
      <c r="EO98" s="873"/>
      <c r="EP98" s="873"/>
      <c r="EQ98" s="873"/>
      <c r="ER98" s="873"/>
      <c r="ES98" s="873"/>
      <c r="ET98" s="873"/>
      <c r="EU98" s="873"/>
      <c r="EV98" s="873"/>
      <c r="EW98" s="873"/>
      <c r="EX98" s="873"/>
      <c r="EY98" s="873"/>
      <c r="EZ98" s="873"/>
      <c r="FA98" s="873"/>
      <c r="FB98" s="873"/>
      <c r="FC98" s="873"/>
      <c r="FD98" s="873"/>
      <c r="FE98" s="873"/>
      <c r="FF98" s="873"/>
      <c r="FG98" s="873"/>
      <c r="FH98" s="873"/>
      <c r="FI98" s="873"/>
      <c r="FJ98" s="873"/>
      <c r="FK98" s="873"/>
      <c r="FL98" s="873"/>
      <c r="FM98" s="873"/>
      <c r="FN98" s="873"/>
      <c r="FO98" s="873"/>
      <c r="FP98" s="873"/>
      <c r="FQ98" s="873"/>
      <c r="FR98" s="873"/>
      <c r="FS98" s="873"/>
      <c r="FT98" s="873"/>
      <c r="FU98" s="873"/>
      <c r="FV98" s="873"/>
      <c r="FW98" s="873"/>
      <c r="FX98" s="873"/>
      <c r="FY98" s="873"/>
      <c r="FZ98" s="873"/>
      <c r="GA98" s="873"/>
      <c r="GB98" s="873"/>
      <c r="GC98" s="873"/>
      <c r="GD98" s="873"/>
      <c r="GE98" s="873"/>
      <c r="GF98" s="873"/>
      <c r="GG98" s="873"/>
      <c r="GH98" s="873"/>
      <c r="GI98" s="873"/>
      <c r="GJ98" s="873"/>
      <c r="GK98" s="873"/>
      <c r="GL98" s="873"/>
      <c r="GM98" s="873"/>
      <c r="GN98" s="873"/>
      <c r="GO98" s="873"/>
      <c r="GP98" s="873"/>
      <c r="GQ98" s="873"/>
      <c r="GR98" s="873"/>
      <c r="GS98" s="873"/>
      <c r="GT98" s="873"/>
      <c r="GU98" s="873"/>
      <c r="GV98" s="873"/>
      <c r="GW98" s="873"/>
      <c r="GX98" s="873"/>
      <c r="GY98" s="873"/>
      <c r="GZ98" s="873"/>
      <c r="HA98" s="873"/>
      <c r="HB98" s="873"/>
      <c r="HC98" s="873"/>
      <c r="HD98" s="873"/>
      <c r="HE98" s="873"/>
      <c r="HF98" s="873"/>
      <c r="HG98" s="873"/>
      <c r="HH98" s="873"/>
      <c r="HI98" s="873"/>
      <c r="HJ98" s="873"/>
      <c r="HK98" s="873"/>
      <c r="HL98" s="873"/>
      <c r="HM98" s="873"/>
      <c r="HN98" s="873"/>
      <c r="HO98" s="873"/>
      <c r="HP98" s="873"/>
      <c r="HQ98" s="873"/>
      <c r="HR98" s="873"/>
      <c r="HS98" s="873"/>
      <c r="HT98" s="873"/>
      <c r="HU98" s="873"/>
      <c r="HV98" s="873"/>
      <c r="HW98" s="873"/>
      <c r="HX98" s="873"/>
      <c r="HY98" s="873"/>
      <c r="HZ98" s="873"/>
      <c r="IA98" s="873"/>
      <c r="IB98" s="873"/>
      <c r="IC98" s="873"/>
      <c r="ID98" s="873"/>
      <c r="IE98" s="873"/>
      <c r="IF98" s="873"/>
      <c r="IG98" s="873"/>
      <c r="IH98" s="873"/>
      <c r="II98" s="873"/>
      <c r="IJ98" s="873"/>
      <c r="IK98" s="873"/>
      <c r="IL98" s="873"/>
      <c r="IM98" s="873"/>
      <c r="IN98" s="873"/>
      <c r="IO98" s="873"/>
      <c r="IP98" s="873"/>
      <c r="IQ98" s="873"/>
      <c r="IR98" s="873"/>
      <c r="IS98" s="873"/>
      <c r="IT98" s="873"/>
      <c r="IU98" s="873"/>
      <c r="IV98" s="873"/>
      <c r="IW98" s="873"/>
    </row>
    <row r="99" spans="1:257" s="876" customFormat="1">
      <c r="A99" s="873"/>
      <c r="B99" s="873"/>
      <c r="C99" s="873"/>
      <c r="D99" s="873"/>
      <c r="E99" s="873"/>
      <c r="F99" s="873"/>
      <c r="G99" s="873"/>
      <c r="H99" s="873"/>
      <c r="I99" s="873"/>
      <c r="J99" s="873"/>
      <c r="K99" s="873"/>
      <c r="L99" s="873"/>
      <c r="M99" s="873"/>
      <c r="N99" s="873"/>
      <c r="O99" s="873"/>
      <c r="P99" s="873"/>
      <c r="Q99" s="873"/>
      <c r="R99" s="873"/>
      <c r="S99" s="873"/>
      <c r="T99" s="873"/>
      <c r="U99" s="873"/>
      <c r="V99" s="873"/>
      <c r="W99" s="873"/>
      <c r="X99" s="873"/>
      <c r="Y99" s="873"/>
      <c r="Z99" s="873"/>
      <c r="AA99" s="873"/>
      <c r="AB99" s="873"/>
      <c r="AC99" s="873"/>
      <c r="AD99" s="873"/>
      <c r="AE99" s="873"/>
      <c r="AF99" s="873"/>
      <c r="AG99" s="873"/>
      <c r="AH99" s="873"/>
      <c r="AI99" s="873"/>
      <c r="AJ99" s="873"/>
      <c r="AK99" s="873"/>
      <c r="AL99" s="873"/>
      <c r="AM99" s="873"/>
      <c r="AN99" s="873"/>
      <c r="AO99" s="873"/>
      <c r="AP99" s="873"/>
      <c r="AQ99" s="873"/>
      <c r="AR99" s="873"/>
      <c r="AS99" s="873"/>
      <c r="AT99" s="873"/>
      <c r="AU99" s="873"/>
      <c r="AV99" s="873"/>
      <c r="AW99" s="873"/>
      <c r="AX99" s="873"/>
      <c r="AY99" s="873"/>
      <c r="AZ99" s="873"/>
      <c r="BA99" s="873"/>
      <c r="BB99" s="873"/>
      <c r="BC99" s="873"/>
      <c r="BD99" s="873"/>
      <c r="BE99" s="873"/>
      <c r="BF99" s="873"/>
      <c r="BG99" s="873"/>
      <c r="BH99" s="873"/>
      <c r="BI99" s="873"/>
      <c r="BJ99" s="873"/>
      <c r="BK99" s="873"/>
      <c r="BL99" s="873"/>
      <c r="BM99" s="873"/>
      <c r="BN99" s="873"/>
      <c r="BO99" s="873"/>
      <c r="BP99" s="873"/>
      <c r="BQ99" s="873"/>
      <c r="BR99" s="873"/>
      <c r="BS99" s="873"/>
      <c r="BT99" s="873"/>
      <c r="BU99" s="873"/>
      <c r="BV99" s="873"/>
      <c r="BW99" s="873"/>
      <c r="BX99" s="873"/>
      <c r="BY99" s="873"/>
      <c r="BZ99" s="873"/>
      <c r="CA99" s="873"/>
      <c r="CB99" s="873"/>
      <c r="CC99" s="873"/>
      <c r="CD99" s="873"/>
      <c r="CE99" s="873"/>
      <c r="CF99" s="873"/>
      <c r="CG99" s="873"/>
      <c r="CH99" s="873"/>
      <c r="CI99" s="873"/>
      <c r="CJ99" s="873"/>
      <c r="CK99" s="873"/>
      <c r="CL99" s="873"/>
      <c r="CM99" s="873"/>
      <c r="CN99" s="873"/>
      <c r="CO99" s="873"/>
      <c r="CP99" s="873"/>
      <c r="CQ99" s="873"/>
      <c r="CR99" s="873"/>
      <c r="CS99" s="873"/>
      <c r="CT99" s="873"/>
      <c r="CU99" s="873"/>
      <c r="CV99" s="873"/>
      <c r="CW99" s="873"/>
      <c r="CX99" s="873"/>
      <c r="CY99" s="873"/>
      <c r="CZ99" s="873"/>
      <c r="DA99" s="873"/>
      <c r="DB99" s="873"/>
      <c r="DC99" s="873"/>
      <c r="DD99" s="873"/>
      <c r="DE99" s="873"/>
      <c r="DF99" s="873"/>
      <c r="DG99" s="873"/>
      <c r="DH99" s="873"/>
      <c r="DI99" s="873"/>
      <c r="DJ99" s="873"/>
      <c r="DK99" s="873"/>
      <c r="DL99" s="873"/>
      <c r="DM99" s="873"/>
      <c r="DN99" s="873"/>
      <c r="DO99" s="873"/>
      <c r="DP99" s="873"/>
      <c r="DQ99" s="873"/>
      <c r="DR99" s="873"/>
      <c r="DS99" s="873"/>
      <c r="DT99" s="873"/>
      <c r="DU99" s="873"/>
      <c r="DV99" s="873"/>
      <c r="DW99" s="873"/>
      <c r="DX99" s="873"/>
      <c r="DY99" s="873"/>
      <c r="DZ99" s="873"/>
      <c r="EA99" s="873"/>
      <c r="EB99" s="873"/>
      <c r="EC99" s="873"/>
      <c r="ED99" s="873"/>
      <c r="EE99" s="873"/>
      <c r="EF99" s="873"/>
      <c r="EG99" s="873"/>
      <c r="EH99" s="873"/>
      <c r="EI99" s="873"/>
      <c r="EJ99" s="873"/>
      <c r="EK99" s="873"/>
      <c r="EL99" s="873"/>
      <c r="EM99" s="873"/>
      <c r="EN99" s="873"/>
      <c r="EO99" s="873"/>
      <c r="EP99" s="873"/>
      <c r="EQ99" s="873"/>
      <c r="ER99" s="873"/>
      <c r="ES99" s="873"/>
      <c r="ET99" s="873"/>
      <c r="EU99" s="873"/>
      <c r="EV99" s="873"/>
      <c r="EW99" s="873"/>
      <c r="EX99" s="873"/>
      <c r="EY99" s="873"/>
      <c r="EZ99" s="873"/>
      <c r="FA99" s="873"/>
      <c r="FB99" s="873"/>
      <c r="FC99" s="873"/>
      <c r="FD99" s="873"/>
      <c r="FE99" s="873"/>
      <c r="FF99" s="873"/>
      <c r="FG99" s="873"/>
      <c r="FH99" s="873"/>
      <c r="FI99" s="873"/>
      <c r="FJ99" s="873"/>
      <c r="FK99" s="873"/>
      <c r="FL99" s="873"/>
      <c r="FM99" s="873"/>
      <c r="FN99" s="873"/>
      <c r="FO99" s="873"/>
      <c r="FP99" s="873"/>
      <c r="FQ99" s="873"/>
      <c r="FR99" s="873"/>
      <c r="FS99" s="873"/>
      <c r="FT99" s="873"/>
      <c r="FU99" s="873"/>
      <c r="FV99" s="873"/>
      <c r="FW99" s="873"/>
      <c r="FX99" s="873"/>
      <c r="FY99" s="873"/>
      <c r="FZ99" s="873"/>
      <c r="GA99" s="873"/>
      <c r="GB99" s="873"/>
      <c r="GC99" s="873"/>
      <c r="GD99" s="873"/>
      <c r="GE99" s="873"/>
      <c r="GF99" s="873"/>
      <c r="GG99" s="873"/>
      <c r="GH99" s="873"/>
      <c r="GI99" s="873"/>
      <c r="GJ99" s="873"/>
      <c r="GK99" s="873"/>
      <c r="GL99" s="873"/>
      <c r="GM99" s="873"/>
      <c r="GN99" s="873"/>
      <c r="GO99" s="873"/>
      <c r="GP99" s="873"/>
      <c r="GQ99" s="873"/>
      <c r="GR99" s="873"/>
      <c r="GS99" s="873"/>
      <c r="GT99" s="873"/>
      <c r="GU99" s="873"/>
      <c r="GV99" s="873"/>
      <c r="GW99" s="873"/>
      <c r="GX99" s="873"/>
      <c r="GY99" s="873"/>
      <c r="GZ99" s="873"/>
      <c r="HA99" s="873"/>
      <c r="HB99" s="873"/>
      <c r="HC99" s="873"/>
      <c r="HD99" s="873"/>
      <c r="HE99" s="873"/>
      <c r="HF99" s="873"/>
      <c r="HG99" s="873"/>
      <c r="HH99" s="873"/>
      <c r="HI99" s="873"/>
      <c r="HJ99" s="873"/>
      <c r="HK99" s="873"/>
      <c r="HL99" s="873"/>
      <c r="HM99" s="873"/>
      <c r="HN99" s="873"/>
      <c r="HO99" s="873"/>
      <c r="HP99" s="873"/>
      <c r="HQ99" s="873"/>
      <c r="HR99" s="873"/>
      <c r="HS99" s="873"/>
      <c r="HT99" s="873"/>
      <c r="HU99" s="873"/>
      <c r="HV99" s="873"/>
      <c r="HW99" s="873"/>
      <c r="HX99" s="873"/>
      <c r="HY99" s="873"/>
      <c r="HZ99" s="873"/>
      <c r="IA99" s="873"/>
      <c r="IB99" s="873"/>
      <c r="IC99" s="873"/>
      <c r="ID99" s="873"/>
      <c r="IE99" s="873"/>
      <c r="IF99" s="873"/>
      <c r="IG99" s="873"/>
      <c r="IH99" s="873"/>
      <c r="II99" s="873"/>
      <c r="IJ99" s="873"/>
      <c r="IK99" s="873"/>
      <c r="IL99" s="873"/>
      <c r="IM99" s="873"/>
      <c r="IN99" s="873"/>
      <c r="IO99" s="873"/>
      <c r="IP99" s="873"/>
      <c r="IQ99" s="873"/>
      <c r="IR99" s="873"/>
      <c r="IS99" s="873"/>
      <c r="IT99" s="873"/>
      <c r="IU99" s="873"/>
      <c r="IV99" s="873"/>
      <c r="IW99" s="873"/>
    </row>
    <row r="100" spans="1:257" s="876" customFormat="1">
      <c r="A100" s="873"/>
      <c r="B100" s="873"/>
      <c r="C100" s="873"/>
      <c r="D100" s="873"/>
      <c r="E100" s="873"/>
      <c r="F100" s="873"/>
      <c r="G100" s="873"/>
      <c r="H100" s="873"/>
      <c r="I100" s="873"/>
      <c r="J100" s="873"/>
      <c r="K100" s="873"/>
      <c r="L100" s="873"/>
      <c r="M100" s="873"/>
      <c r="N100" s="873"/>
      <c r="O100" s="873"/>
      <c r="P100" s="873"/>
      <c r="Q100" s="873"/>
      <c r="R100" s="873"/>
      <c r="S100" s="873"/>
      <c r="T100" s="873"/>
      <c r="U100" s="873"/>
      <c r="V100" s="873"/>
      <c r="W100" s="873"/>
      <c r="X100" s="873"/>
      <c r="Y100" s="873"/>
      <c r="Z100" s="873"/>
      <c r="AA100" s="873"/>
      <c r="AB100" s="873"/>
      <c r="AC100" s="873"/>
      <c r="AD100" s="873"/>
      <c r="AE100" s="873"/>
      <c r="AF100" s="873"/>
      <c r="AG100" s="873"/>
      <c r="AH100" s="873"/>
      <c r="AI100" s="873"/>
      <c r="AJ100" s="873"/>
      <c r="AK100" s="873"/>
      <c r="AL100" s="873"/>
      <c r="AM100" s="873"/>
      <c r="AN100" s="873"/>
      <c r="AO100" s="873"/>
      <c r="AP100" s="873"/>
      <c r="AQ100" s="873"/>
      <c r="AR100" s="873"/>
      <c r="AS100" s="873"/>
      <c r="AT100" s="873"/>
      <c r="AU100" s="873"/>
      <c r="AV100" s="873"/>
      <c r="AW100" s="873"/>
      <c r="AX100" s="873"/>
      <c r="AY100" s="873"/>
      <c r="AZ100" s="873"/>
      <c r="BA100" s="873"/>
      <c r="BB100" s="873"/>
      <c r="BC100" s="873"/>
      <c r="BD100" s="873"/>
      <c r="BE100" s="873"/>
      <c r="BF100" s="873"/>
      <c r="BG100" s="873"/>
      <c r="BH100" s="873"/>
      <c r="BI100" s="873"/>
      <c r="BJ100" s="873"/>
      <c r="BK100" s="873"/>
      <c r="BL100" s="873"/>
      <c r="BM100" s="873"/>
      <c r="BN100" s="873"/>
      <c r="BO100" s="873"/>
      <c r="BP100" s="873"/>
      <c r="BQ100" s="873"/>
      <c r="BR100" s="873"/>
      <c r="BS100" s="873"/>
      <c r="BT100" s="873"/>
      <c r="BU100" s="873"/>
      <c r="BV100" s="873"/>
      <c r="BW100" s="873"/>
      <c r="BX100" s="873"/>
      <c r="BY100" s="873"/>
      <c r="BZ100" s="873"/>
      <c r="CA100" s="873"/>
      <c r="CB100" s="873"/>
      <c r="CC100" s="873"/>
      <c r="CD100" s="873"/>
      <c r="CE100" s="873"/>
      <c r="CF100" s="873"/>
      <c r="CG100" s="873"/>
      <c r="CH100" s="873"/>
      <c r="CI100" s="873"/>
      <c r="CJ100" s="873"/>
      <c r="CK100" s="873"/>
      <c r="CL100" s="873"/>
      <c r="CM100" s="873"/>
      <c r="CN100" s="873"/>
      <c r="CO100" s="873"/>
      <c r="CP100" s="873"/>
      <c r="CQ100" s="873"/>
      <c r="CR100" s="873"/>
      <c r="CS100" s="873"/>
      <c r="CT100" s="873"/>
      <c r="CU100" s="873"/>
      <c r="CV100" s="873"/>
      <c r="CW100" s="873"/>
      <c r="CX100" s="873"/>
      <c r="CY100" s="873"/>
      <c r="CZ100" s="873"/>
      <c r="DA100" s="873"/>
      <c r="DB100" s="873"/>
      <c r="DC100" s="873"/>
      <c r="DD100" s="873"/>
      <c r="DE100" s="873"/>
      <c r="DF100" s="873"/>
      <c r="DG100" s="873"/>
      <c r="DH100" s="873"/>
      <c r="DI100" s="873"/>
      <c r="DJ100" s="873"/>
      <c r="DK100" s="873"/>
      <c r="DL100" s="873"/>
      <c r="DM100" s="873"/>
      <c r="DN100" s="873"/>
      <c r="DO100" s="873"/>
      <c r="DP100" s="873"/>
      <c r="DQ100" s="873"/>
      <c r="DR100" s="873"/>
      <c r="DS100" s="873"/>
      <c r="DT100" s="873"/>
      <c r="DU100" s="873"/>
      <c r="DV100" s="873"/>
      <c r="DW100" s="873"/>
      <c r="DX100" s="873"/>
      <c r="DY100" s="873"/>
      <c r="DZ100" s="873"/>
      <c r="EA100" s="873"/>
      <c r="EB100" s="873"/>
      <c r="EC100" s="873"/>
      <c r="ED100" s="873"/>
      <c r="EE100" s="873"/>
      <c r="EF100" s="873"/>
      <c r="EG100" s="873"/>
      <c r="EH100" s="873"/>
      <c r="EI100" s="873"/>
      <c r="EJ100" s="873"/>
      <c r="EK100" s="873"/>
      <c r="EL100" s="873"/>
      <c r="EM100" s="873"/>
      <c r="EN100" s="873"/>
      <c r="EO100" s="873"/>
      <c r="EP100" s="873"/>
      <c r="EQ100" s="873"/>
      <c r="ER100" s="873"/>
      <c r="ES100" s="873"/>
      <c r="ET100" s="873"/>
      <c r="EU100" s="873"/>
      <c r="EV100" s="873"/>
      <c r="EW100" s="873"/>
      <c r="EX100" s="873"/>
      <c r="EY100" s="873"/>
      <c r="EZ100" s="873"/>
      <c r="FA100" s="873"/>
      <c r="FB100" s="873"/>
      <c r="FC100" s="873"/>
      <c r="FD100" s="873"/>
      <c r="FE100" s="873"/>
      <c r="FF100" s="873"/>
      <c r="FG100" s="873"/>
      <c r="FH100" s="873"/>
      <c r="FI100" s="873"/>
      <c r="FJ100" s="873"/>
      <c r="FK100" s="873"/>
      <c r="FL100" s="873"/>
      <c r="FM100" s="873"/>
      <c r="FN100" s="873"/>
      <c r="FO100" s="873"/>
      <c r="FP100" s="873"/>
      <c r="FQ100" s="873"/>
      <c r="FR100" s="873"/>
      <c r="FS100" s="873"/>
      <c r="FT100" s="873"/>
      <c r="FU100" s="873"/>
      <c r="FV100" s="873"/>
      <c r="FW100" s="873"/>
      <c r="FX100" s="873"/>
      <c r="FY100" s="873"/>
      <c r="FZ100" s="873"/>
      <c r="GA100" s="873"/>
      <c r="GB100" s="873"/>
      <c r="GC100" s="873"/>
      <c r="GD100" s="873"/>
      <c r="GE100" s="873"/>
      <c r="GF100" s="873"/>
      <c r="GG100" s="873"/>
      <c r="GH100" s="873"/>
      <c r="GI100" s="873"/>
      <c r="GJ100" s="873"/>
      <c r="GK100" s="873"/>
      <c r="GL100" s="873"/>
      <c r="GM100" s="873"/>
      <c r="GN100" s="873"/>
      <c r="GO100" s="873"/>
      <c r="GP100" s="873"/>
      <c r="GQ100" s="873"/>
      <c r="GR100" s="873"/>
      <c r="GS100" s="873"/>
      <c r="GT100" s="873"/>
      <c r="GU100" s="873"/>
      <c r="GV100" s="873"/>
      <c r="GW100" s="873"/>
      <c r="GX100" s="873"/>
      <c r="GY100" s="873"/>
      <c r="GZ100" s="873"/>
      <c r="HA100" s="873"/>
      <c r="HB100" s="873"/>
      <c r="HC100" s="873"/>
      <c r="HD100" s="873"/>
      <c r="HE100" s="873"/>
      <c r="HF100" s="873"/>
      <c r="HG100" s="873"/>
      <c r="HH100" s="873"/>
      <c r="HI100" s="873"/>
      <c r="HJ100" s="873"/>
      <c r="HK100" s="873"/>
      <c r="HL100" s="873"/>
      <c r="HM100" s="873"/>
      <c r="HN100" s="873"/>
      <c r="HO100" s="873"/>
      <c r="HP100" s="873"/>
      <c r="HQ100" s="873"/>
      <c r="HR100" s="873"/>
      <c r="HS100" s="873"/>
      <c r="HT100" s="873"/>
      <c r="HU100" s="873"/>
      <c r="HV100" s="873"/>
      <c r="HW100" s="873"/>
      <c r="HX100" s="873"/>
      <c r="HY100" s="873"/>
      <c r="HZ100" s="873"/>
      <c r="IA100" s="873"/>
      <c r="IB100" s="873"/>
      <c r="IC100" s="873"/>
      <c r="ID100" s="873"/>
      <c r="IE100" s="873"/>
      <c r="IF100" s="873"/>
      <c r="IG100" s="873"/>
      <c r="IH100" s="873"/>
      <c r="II100" s="873"/>
      <c r="IJ100" s="873"/>
      <c r="IK100" s="873"/>
      <c r="IL100" s="873"/>
      <c r="IM100" s="873"/>
      <c r="IN100" s="873"/>
      <c r="IO100" s="873"/>
      <c r="IP100" s="873"/>
      <c r="IQ100" s="873"/>
      <c r="IR100" s="873"/>
      <c r="IS100" s="873"/>
      <c r="IT100" s="873"/>
      <c r="IU100" s="873"/>
      <c r="IV100" s="873"/>
      <c r="IW100" s="873"/>
    </row>
    <row r="101" spans="1:257" s="876" customFormat="1">
      <c r="A101" s="873"/>
      <c r="B101" s="873"/>
      <c r="C101" s="873"/>
      <c r="D101" s="873"/>
      <c r="E101" s="873"/>
      <c r="F101" s="873"/>
      <c r="G101" s="873"/>
      <c r="H101" s="873"/>
      <c r="I101" s="873"/>
      <c r="J101" s="873"/>
      <c r="K101" s="873"/>
      <c r="L101" s="873"/>
      <c r="M101" s="873"/>
      <c r="N101" s="873"/>
      <c r="O101" s="873"/>
      <c r="P101" s="873"/>
      <c r="Q101" s="873"/>
      <c r="R101" s="873"/>
      <c r="S101" s="873"/>
      <c r="T101" s="873"/>
      <c r="U101" s="873"/>
      <c r="V101" s="873"/>
      <c r="W101" s="873"/>
      <c r="X101" s="873"/>
      <c r="Y101" s="873"/>
      <c r="Z101" s="873"/>
      <c r="AA101" s="873"/>
      <c r="AB101" s="873"/>
      <c r="AC101" s="873"/>
      <c r="AD101" s="873"/>
      <c r="AE101" s="873"/>
      <c r="AF101" s="873"/>
      <c r="AG101" s="873"/>
      <c r="AH101" s="873"/>
      <c r="AI101" s="873"/>
      <c r="AJ101" s="873"/>
      <c r="AK101" s="873"/>
      <c r="AL101" s="873"/>
      <c r="AM101" s="873"/>
      <c r="AN101" s="873"/>
      <c r="AO101" s="873"/>
      <c r="AP101" s="873"/>
      <c r="AQ101" s="873"/>
      <c r="AR101" s="873"/>
      <c r="AS101" s="873"/>
      <c r="AT101" s="873"/>
      <c r="AU101" s="873"/>
      <c r="AV101" s="873"/>
      <c r="AW101" s="873"/>
      <c r="AX101" s="873"/>
      <c r="AY101" s="873"/>
      <c r="AZ101" s="873"/>
      <c r="BA101" s="873"/>
      <c r="BB101" s="873"/>
      <c r="BC101" s="873"/>
      <c r="BD101" s="873"/>
      <c r="BE101" s="873"/>
      <c r="BF101" s="873"/>
      <c r="BG101" s="873"/>
      <c r="BH101" s="873"/>
      <c r="BI101" s="873"/>
      <c r="BJ101" s="873"/>
      <c r="BK101" s="873"/>
      <c r="BL101" s="873"/>
      <c r="BM101" s="873"/>
      <c r="BN101" s="873"/>
      <c r="BO101" s="873"/>
      <c r="BP101" s="873"/>
      <c r="BQ101" s="873"/>
      <c r="BR101" s="873"/>
      <c r="BS101" s="873"/>
      <c r="BT101" s="873"/>
      <c r="BU101" s="873"/>
      <c r="BV101" s="873"/>
      <c r="BW101" s="873"/>
      <c r="BX101" s="873"/>
      <c r="BY101" s="873"/>
      <c r="BZ101" s="873"/>
      <c r="CA101" s="873"/>
      <c r="CB101" s="873"/>
      <c r="CC101" s="873"/>
      <c r="CD101" s="873"/>
      <c r="CE101" s="873"/>
      <c r="CF101" s="873"/>
      <c r="CG101" s="873"/>
      <c r="CH101" s="873"/>
      <c r="CI101" s="873"/>
      <c r="CJ101" s="873"/>
      <c r="CK101" s="873"/>
      <c r="CL101" s="873"/>
      <c r="CM101" s="873"/>
      <c r="CN101" s="873"/>
      <c r="CO101" s="873"/>
      <c r="CP101" s="873"/>
      <c r="CQ101" s="873"/>
      <c r="CR101" s="873"/>
      <c r="CS101" s="873"/>
      <c r="CT101" s="873"/>
      <c r="CU101" s="873"/>
      <c r="CV101" s="873"/>
      <c r="CW101" s="873"/>
      <c r="CX101" s="873"/>
      <c r="CY101" s="873"/>
      <c r="CZ101" s="873"/>
      <c r="DA101" s="873"/>
      <c r="DB101" s="873"/>
      <c r="DC101" s="873"/>
      <c r="DD101" s="873"/>
      <c r="DE101" s="873"/>
      <c r="DF101" s="873"/>
      <c r="DG101" s="873"/>
      <c r="DH101" s="873"/>
      <c r="DI101" s="873"/>
      <c r="DJ101" s="873"/>
      <c r="DK101" s="873"/>
      <c r="DL101" s="873"/>
      <c r="DM101" s="873"/>
      <c r="DN101" s="873"/>
      <c r="DO101" s="873"/>
      <c r="DP101" s="873"/>
      <c r="DQ101" s="873"/>
      <c r="DR101" s="873"/>
      <c r="DS101" s="873"/>
      <c r="DT101" s="873"/>
      <c r="DU101" s="873"/>
      <c r="DV101" s="873"/>
      <c r="DW101" s="873"/>
      <c r="DX101" s="873"/>
      <c r="DY101" s="873"/>
      <c r="DZ101" s="873"/>
      <c r="EA101" s="873"/>
      <c r="EB101" s="873"/>
      <c r="EC101" s="873"/>
      <c r="ED101" s="873"/>
      <c r="EE101" s="873"/>
      <c r="EF101" s="873"/>
      <c r="EG101" s="873"/>
      <c r="EH101" s="873"/>
      <c r="EI101" s="873"/>
      <c r="EJ101" s="873"/>
      <c r="EK101" s="873"/>
      <c r="EL101" s="873"/>
      <c r="EM101" s="873"/>
      <c r="EN101" s="873"/>
      <c r="EO101" s="873"/>
      <c r="EP101" s="873"/>
      <c r="EQ101" s="873"/>
      <c r="ER101" s="873"/>
      <c r="ES101" s="873"/>
      <c r="ET101" s="873"/>
      <c r="EU101" s="873"/>
      <c r="EV101" s="873"/>
      <c r="EW101" s="873"/>
      <c r="EX101" s="873"/>
      <c r="EY101" s="873"/>
      <c r="EZ101" s="873"/>
      <c r="FA101" s="873"/>
      <c r="FB101" s="873"/>
      <c r="FC101" s="873"/>
      <c r="FD101" s="873"/>
      <c r="FE101" s="873"/>
      <c r="FF101" s="873"/>
      <c r="FG101" s="873"/>
      <c r="FH101" s="873"/>
      <c r="FI101" s="873"/>
      <c r="FJ101" s="873"/>
      <c r="FK101" s="873"/>
      <c r="FL101" s="873"/>
      <c r="FM101" s="873"/>
      <c r="FN101" s="873"/>
      <c r="FO101" s="873"/>
      <c r="FP101" s="873"/>
      <c r="FQ101" s="873"/>
      <c r="FR101" s="873"/>
      <c r="FS101" s="873"/>
      <c r="FT101" s="873"/>
      <c r="FU101" s="873"/>
      <c r="FV101" s="873"/>
      <c r="FW101" s="873"/>
      <c r="FX101" s="873"/>
      <c r="FY101" s="873"/>
      <c r="FZ101" s="873"/>
      <c r="GA101" s="873"/>
      <c r="GB101" s="873"/>
      <c r="GC101" s="873"/>
      <c r="GD101" s="873"/>
      <c r="GE101" s="873"/>
      <c r="GF101" s="873"/>
      <c r="GG101" s="873"/>
      <c r="GH101" s="873"/>
      <c r="GI101" s="873"/>
      <c r="GJ101" s="873"/>
      <c r="GK101" s="873"/>
      <c r="GL101" s="873"/>
      <c r="GM101" s="873"/>
      <c r="GN101" s="873"/>
      <c r="GO101" s="873"/>
      <c r="GP101" s="873"/>
      <c r="GQ101" s="873"/>
      <c r="GR101" s="873"/>
      <c r="GS101" s="873"/>
      <c r="GT101" s="873"/>
      <c r="GU101" s="873"/>
      <c r="GV101" s="873"/>
      <c r="GW101" s="873"/>
      <c r="GX101" s="873"/>
      <c r="GY101" s="873"/>
      <c r="GZ101" s="873"/>
      <c r="HA101" s="873"/>
      <c r="HB101" s="873"/>
      <c r="HC101" s="873"/>
      <c r="HD101" s="873"/>
      <c r="HE101" s="873"/>
      <c r="HF101" s="873"/>
      <c r="HG101" s="873"/>
      <c r="HH101" s="873"/>
      <c r="HI101" s="873"/>
      <c r="HJ101" s="873"/>
      <c r="HK101" s="873"/>
      <c r="HL101" s="873"/>
      <c r="HM101" s="873"/>
      <c r="HN101" s="873"/>
      <c r="HO101" s="873"/>
      <c r="HP101" s="873"/>
      <c r="HQ101" s="873"/>
      <c r="HR101" s="873"/>
      <c r="HS101" s="873"/>
      <c r="HT101" s="873"/>
      <c r="HU101" s="873"/>
      <c r="HV101" s="873"/>
      <c r="HW101" s="873"/>
      <c r="HX101" s="873"/>
      <c r="HY101" s="873"/>
      <c r="HZ101" s="873"/>
      <c r="IA101" s="873"/>
      <c r="IB101" s="873"/>
      <c r="IC101" s="873"/>
      <c r="ID101" s="873"/>
      <c r="IE101" s="873"/>
      <c r="IF101" s="873"/>
      <c r="IG101" s="873"/>
      <c r="IH101" s="873"/>
      <c r="II101" s="873"/>
      <c r="IJ101" s="873"/>
      <c r="IK101" s="873"/>
      <c r="IL101" s="873"/>
      <c r="IM101" s="873"/>
      <c r="IN101" s="873"/>
      <c r="IO101" s="873"/>
      <c r="IP101" s="873"/>
      <c r="IQ101" s="873"/>
      <c r="IR101" s="873"/>
      <c r="IS101" s="873"/>
      <c r="IT101" s="873"/>
      <c r="IU101" s="873"/>
      <c r="IV101" s="873"/>
      <c r="IW101" s="873"/>
    </row>
    <row r="102" spans="1:257" s="876" customFormat="1">
      <c r="A102" s="873"/>
      <c r="B102" s="873"/>
      <c r="C102" s="873"/>
      <c r="D102" s="873"/>
      <c r="E102" s="873"/>
      <c r="F102" s="873"/>
      <c r="G102" s="873"/>
      <c r="H102" s="873"/>
      <c r="I102" s="873"/>
      <c r="J102" s="873"/>
      <c r="K102" s="873"/>
      <c r="L102" s="873"/>
      <c r="M102" s="873"/>
      <c r="N102" s="873"/>
      <c r="O102" s="873"/>
      <c r="P102" s="873"/>
      <c r="Q102" s="873"/>
      <c r="R102" s="873"/>
      <c r="S102" s="873"/>
      <c r="T102" s="873"/>
      <c r="U102" s="873"/>
      <c r="V102" s="873"/>
      <c r="W102" s="873"/>
      <c r="X102" s="873"/>
      <c r="Y102" s="873"/>
      <c r="Z102" s="873"/>
      <c r="AA102" s="873"/>
      <c r="AB102" s="873"/>
      <c r="AC102" s="873"/>
      <c r="AD102" s="873"/>
      <c r="AE102" s="873"/>
      <c r="AF102" s="873"/>
      <c r="AG102" s="873"/>
      <c r="AH102" s="873"/>
      <c r="AI102" s="873"/>
      <c r="AJ102" s="873"/>
      <c r="AK102" s="873"/>
      <c r="AL102" s="873"/>
      <c r="AM102" s="873"/>
      <c r="AN102" s="873"/>
      <c r="AO102" s="873"/>
      <c r="AP102" s="873"/>
      <c r="AQ102" s="873"/>
      <c r="AR102" s="873"/>
      <c r="AS102" s="873"/>
      <c r="AT102" s="873"/>
      <c r="AU102" s="873"/>
      <c r="AV102" s="873"/>
      <c r="AW102" s="873"/>
      <c r="AX102" s="873"/>
      <c r="AY102" s="873"/>
      <c r="AZ102" s="873"/>
      <c r="BA102" s="873"/>
      <c r="BB102" s="873"/>
      <c r="BC102" s="873"/>
      <c r="BD102" s="873"/>
      <c r="BE102" s="873"/>
      <c r="BF102" s="873"/>
      <c r="BG102" s="873"/>
      <c r="BH102" s="873"/>
      <c r="BI102" s="873"/>
      <c r="BJ102" s="873"/>
      <c r="BK102" s="873"/>
      <c r="BL102" s="873"/>
      <c r="BM102" s="873"/>
      <c r="BN102" s="873"/>
      <c r="BO102" s="873"/>
      <c r="BP102" s="873"/>
      <c r="BQ102" s="873"/>
      <c r="BR102" s="873"/>
      <c r="BS102" s="873"/>
      <c r="BT102" s="873"/>
      <c r="BU102" s="873"/>
      <c r="BV102" s="873"/>
      <c r="BW102" s="873"/>
      <c r="BX102" s="873"/>
      <c r="BY102" s="873"/>
      <c r="BZ102" s="873"/>
      <c r="CA102" s="873"/>
      <c r="CB102" s="873"/>
      <c r="CC102" s="873"/>
      <c r="CD102" s="873"/>
      <c r="CE102" s="873"/>
      <c r="CF102" s="873"/>
      <c r="CG102" s="873"/>
      <c r="CH102" s="873"/>
      <c r="CI102" s="873"/>
      <c r="CJ102" s="873"/>
      <c r="CK102" s="873"/>
      <c r="CL102" s="873"/>
      <c r="CM102" s="873"/>
      <c r="CN102" s="873"/>
      <c r="CO102" s="873"/>
      <c r="CP102" s="873"/>
      <c r="CQ102" s="873"/>
      <c r="CR102" s="873"/>
      <c r="CS102" s="873"/>
      <c r="CT102" s="873"/>
      <c r="CU102" s="873"/>
      <c r="CV102" s="873"/>
      <c r="CW102" s="873"/>
      <c r="CX102" s="873"/>
      <c r="CY102" s="873"/>
      <c r="CZ102" s="873"/>
      <c r="DA102" s="873"/>
      <c r="DB102" s="873"/>
      <c r="DC102" s="873"/>
      <c r="DD102" s="873"/>
      <c r="DE102" s="873"/>
      <c r="DF102" s="873"/>
      <c r="DG102" s="873"/>
      <c r="DH102" s="873"/>
      <c r="DI102" s="873"/>
      <c r="DJ102" s="873"/>
      <c r="DK102" s="873"/>
      <c r="DL102" s="873"/>
      <c r="DM102" s="873"/>
      <c r="DN102" s="873"/>
      <c r="DO102" s="873"/>
      <c r="DP102" s="873"/>
      <c r="DQ102" s="873"/>
      <c r="DR102" s="873"/>
      <c r="DS102" s="873"/>
      <c r="DT102" s="873"/>
      <c r="DU102" s="873"/>
      <c r="DV102" s="873"/>
      <c r="DW102" s="873"/>
      <c r="DX102" s="873"/>
      <c r="DY102" s="873"/>
      <c r="DZ102" s="873"/>
      <c r="EA102" s="873"/>
      <c r="EB102" s="873"/>
      <c r="EC102" s="873"/>
      <c r="ED102" s="873"/>
      <c r="EE102" s="873"/>
      <c r="EF102" s="873"/>
      <c r="EG102" s="873"/>
      <c r="EH102" s="873"/>
      <c r="EI102" s="873"/>
      <c r="EJ102" s="873"/>
      <c r="EK102" s="873"/>
      <c r="EL102" s="873"/>
      <c r="EM102" s="873"/>
      <c r="EN102" s="873"/>
      <c r="EO102" s="873"/>
      <c r="EP102" s="873"/>
      <c r="EQ102" s="873"/>
      <c r="ER102" s="873"/>
      <c r="ES102" s="873"/>
      <c r="ET102" s="873"/>
      <c r="EU102" s="873"/>
      <c r="EV102" s="873"/>
      <c r="EW102" s="873"/>
      <c r="EX102" s="873"/>
      <c r="EY102" s="873"/>
      <c r="EZ102" s="873"/>
      <c r="FA102" s="873"/>
      <c r="FB102" s="873"/>
      <c r="FC102" s="873"/>
      <c r="FD102" s="873"/>
      <c r="FE102" s="873"/>
      <c r="FF102" s="873"/>
      <c r="FG102" s="873"/>
      <c r="FH102" s="873"/>
      <c r="FI102" s="873"/>
      <c r="FJ102" s="873"/>
      <c r="FK102" s="873"/>
      <c r="FL102" s="873"/>
      <c r="FM102" s="873"/>
      <c r="FN102" s="873"/>
      <c r="FO102" s="873"/>
      <c r="FP102" s="873"/>
      <c r="FQ102" s="873"/>
      <c r="FR102" s="873"/>
      <c r="FS102" s="873"/>
      <c r="FT102" s="873"/>
      <c r="FU102" s="873"/>
      <c r="FV102" s="873"/>
      <c r="FW102" s="873"/>
      <c r="FX102" s="873"/>
      <c r="FY102" s="873"/>
      <c r="FZ102" s="873"/>
      <c r="GA102" s="873"/>
      <c r="GB102" s="873"/>
      <c r="GC102" s="873"/>
      <c r="GD102" s="873"/>
      <c r="GE102" s="873"/>
      <c r="GF102" s="873"/>
      <c r="GG102" s="873"/>
      <c r="GH102" s="873"/>
      <c r="GI102" s="873"/>
      <c r="GJ102" s="873"/>
      <c r="GK102" s="873"/>
      <c r="GL102" s="873"/>
      <c r="GM102" s="873"/>
      <c r="GN102" s="873"/>
      <c r="GO102" s="873"/>
      <c r="GP102" s="873"/>
      <c r="GQ102" s="873"/>
      <c r="GR102" s="873"/>
      <c r="GS102" s="873"/>
      <c r="GT102" s="873"/>
      <c r="GU102" s="873"/>
      <c r="GV102" s="873"/>
      <c r="GW102" s="873"/>
      <c r="GX102" s="873"/>
      <c r="GY102" s="873"/>
      <c r="GZ102" s="873"/>
      <c r="HA102" s="873"/>
      <c r="HB102" s="873"/>
      <c r="HC102" s="873"/>
      <c r="HD102" s="873"/>
      <c r="HE102" s="873"/>
      <c r="HF102" s="873"/>
      <c r="HG102" s="873"/>
      <c r="HH102" s="873"/>
      <c r="HI102" s="873"/>
      <c r="HJ102" s="873"/>
      <c r="HK102" s="873"/>
      <c r="HL102" s="873"/>
      <c r="HM102" s="873"/>
      <c r="HN102" s="873"/>
      <c r="HO102" s="873"/>
      <c r="HP102" s="873"/>
      <c r="HQ102" s="873"/>
      <c r="HR102" s="873"/>
      <c r="HS102" s="873"/>
      <c r="HT102" s="873"/>
      <c r="HU102" s="873"/>
      <c r="HV102" s="873"/>
      <c r="HW102" s="873"/>
      <c r="HX102" s="873"/>
      <c r="HY102" s="873"/>
      <c r="HZ102" s="873"/>
      <c r="IA102" s="873"/>
      <c r="IB102" s="873"/>
      <c r="IC102" s="873"/>
      <c r="ID102" s="873"/>
      <c r="IE102" s="873"/>
      <c r="IF102" s="873"/>
      <c r="IG102" s="873"/>
      <c r="IH102" s="873"/>
      <c r="II102" s="873"/>
      <c r="IJ102" s="873"/>
      <c r="IK102" s="873"/>
      <c r="IL102" s="873"/>
      <c r="IM102" s="873"/>
      <c r="IN102" s="873"/>
      <c r="IO102" s="873"/>
      <c r="IP102" s="873"/>
      <c r="IQ102" s="873"/>
      <c r="IR102" s="873"/>
      <c r="IS102" s="873"/>
      <c r="IT102" s="873"/>
      <c r="IU102" s="873"/>
      <c r="IV102" s="873"/>
      <c r="IW102" s="873"/>
    </row>
    <row r="103" spans="1:257" s="876" customFormat="1">
      <c r="A103" s="873"/>
      <c r="B103" s="873"/>
      <c r="C103" s="873"/>
      <c r="D103" s="873"/>
      <c r="E103" s="873"/>
      <c r="F103" s="873"/>
      <c r="G103" s="873"/>
      <c r="H103" s="873"/>
      <c r="I103" s="873"/>
      <c r="J103" s="873"/>
      <c r="K103" s="873"/>
      <c r="L103" s="873"/>
      <c r="M103" s="873"/>
      <c r="N103" s="873"/>
      <c r="O103" s="873"/>
      <c r="P103" s="873"/>
      <c r="Q103" s="873"/>
      <c r="R103" s="873"/>
      <c r="S103" s="873"/>
      <c r="T103" s="873"/>
      <c r="U103" s="873"/>
      <c r="V103" s="873"/>
      <c r="W103" s="873"/>
      <c r="X103" s="873"/>
      <c r="Y103" s="873"/>
      <c r="Z103" s="873"/>
      <c r="AA103" s="873"/>
      <c r="AB103" s="873"/>
      <c r="AC103" s="873"/>
      <c r="AD103" s="873"/>
      <c r="AE103" s="873"/>
      <c r="AF103" s="873"/>
      <c r="AG103" s="873"/>
      <c r="AH103" s="873"/>
      <c r="AI103" s="873"/>
      <c r="AJ103" s="873"/>
      <c r="AK103" s="873"/>
      <c r="AL103" s="873"/>
      <c r="AM103" s="873"/>
      <c r="AN103" s="873"/>
      <c r="AO103" s="873"/>
      <c r="AP103" s="873"/>
      <c r="AQ103" s="873"/>
      <c r="AR103" s="873"/>
      <c r="AS103" s="873"/>
      <c r="AT103" s="873"/>
      <c r="AU103" s="873"/>
      <c r="AV103" s="873"/>
      <c r="AW103" s="873"/>
      <c r="AX103" s="873"/>
      <c r="AY103" s="873"/>
      <c r="AZ103" s="873"/>
      <c r="BA103" s="873"/>
      <c r="BB103" s="873"/>
      <c r="BC103" s="873"/>
      <c r="BD103" s="873"/>
      <c r="BE103" s="873"/>
      <c r="BF103" s="873"/>
      <c r="BG103" s="873"/>
      <c r="BH103" s="873"/>
      <c r="BI103" s="873"/>
      <c r="BJ103" s="873"/>
      <c r="BK103" s="873"/>
      <c r="BL103" s="873"/>
      <c r="BM103" s="873"/>
      <c r="BN103" s="873"/>
      <c r="BO103" s="873"/>
      <c r="BP103" s="873"/>
      <c r="BQ103" s="873"/>
      <c r="BR103" s="873"/>
      <c r="BS103" s="873"/>
      <c r="BT103" s="873"/>
      <c r="BU103" s="873"/>
      <c r="BV103" s="873"/>
      <c r="BW103" s="873"/>
      <c r="BX103" s="873"/>
      <c r="BY103" s="873"/>
      <c r="BZ103" s="873"/>
      <c r="CA103" s="873"/>
      <c r="CB103" s="873"/>
      <c r="CC103" s="873"/>
      <c r="CD103" s="873"/>
      <c r="CE103" s="873"/>
      <c r="CF103" s="873"/>
      <c r="CG103" s="873"/>
      <c r="CH103" s="873"/>
      <c r="CI103" s="873"/>
      <c r="CJ103" s="873"/>
      <c r="CK103" s="873"/>
      <c r="CL103" s="873"/>
      <c r="CM103" s="873"/>
      <c r="CN103" s="873"/>
      <c r="CO103" s="873"/>
      <c r="CP103" s="873"/>
      <c r="CQ103" s="873"/>
      <c r="CR103" s="873"/>
      <c r="CS103" s="873"/>
      <c r="CT103" s="873"/>
      <c r="CU103" s="873"/>
      <c r="CV103" s="873"/>
      <c r="CW103" s="873"/>
      <c r="CX103" s="873"/>
      <c r="CY103" s="873"/>
      <c r="CZ103" s="873"/>
      <c r="DA103" s="873"/>
      <c r="DB103" s="873"/>
      <c r="DC103" s="873"/>
      <c r="DD103" s="873"/>
      <c r="DE103" s="873"/>
      <c r="DF103" s="873"/>
      <c r="DG103" s="873"/>
      <c r="DH103" s="873"/>
      <c r="DI103" s="873"/>
      <c r="DJ103" s="873"/>
      <c r="DK103" s="873"/>
      <c r="DL103" s="873"/>
      <c r="DM103" s="873"/>
      <c r="DN103" s="873"/>
      <c r="DO103" s="873"/>
      <c r="DP103" s="873"/>
      <c r="DQ103" s="873"/>
      <c r="DR103" s="873"/>
      <c r="DS103" s="873"/>
      <c r="DT103" s="873"/>
      <c r="DU103" s="873"/>
      <c r="DV103" s="873"/>
      <c r="DW103" s="873"/>
      <c r="DX103" s="873"/>
      <c r="DY103" s="873"/>
      <c r="DZ103" s="873"/>
      <c r="EA103" s="873"/>
      <c r="EB103" s="873"/>
      <c r="EC103" s="873"/>
      <c r="ED103" s="873"/>
      <c r="EE103" s="873"/>
      <c r="EF103" s="873"/>
      <c r="EG103" s="873"/>
      <c r="EH103" s="873"/>
      <c r="EI103" s="873"/>
      <c r="EJ103" s="873"/>
      <c r="EK103" s="873"/>
      <c r="EL103" s="873"/>
      <c r="EM103" s="873"/>
      <c r="EN103" s="873"/>
      <c r="EO103" s="873"/>
      <c r="EP103" s="873"/>
      <c r="EQ103" s="873"/>
      <c r="ER103" s="873"/>
      <c r="ES103" s="873"/>
      <c r="ET103" s="873"/>
      <c r="EU103" s="873"/>
      <c r="EV103" s="873"/>
      <c r="EW103" s="873"/>
      <c r="EX103" s="873"/>
      <c r="EY103" s="873"/>
      <c r="EZ103" s="873"/>
      <c r="FA103" s="873"/>
      <c r="FB103" s="873"/>
      <c r="FC103" s="873"/>
      <c r="FD103" s="873"/>
      <c r="FE103" s="873"/>
      <c r="FF103" s="873"/>
      <c r="FG103" s="873"/>
      <c r="FH103" s="873"/>
      <c r="FI103" s="873"/>
      <c r="FJ103" s="873"/>
      <c r="FK103" s="873"/>
      <c r="FL103" s="873"/>
      <c r="FM103" s="873"/>
      <c r="FN103" s="873"/>
      <c r="FO103" s="873"/>
      <c r="FP103" s="873"/>
      <c r="FQ103" s="873"/>
      <c r="FR103" s="873"/>
      <c r="FS103" s="873"/>
      <c r="FT103" s="873"/>
      <c r="FU103" s="873"/>
      <c r="FV103" s="873"/>
      <c r="FW103" s="873"/>
      <c r="FX103" s="873"/>
      <c r="FY103" s="873"/>
      <c r="FZ103" s="873"/>
      <c r="GA103" s="873"/>
      <c r="GB103" s="873"/>
      <c r="GC103" s="873"/>
      <c r="GD103" s="873"/>
      <c r="GE103" s="873"/>
      <c r="GF103" s="873"/>
      <c r="GG103" s="873"/>
      <c r="GH103" s="873"/>
      <c r="GI103" s="873"/>
      <c r="GJ103" s="873"/>
      <c r="GK103" s="873"/>
      <c r="GL103" s="873"/>
      <c r="GM103" s="873"/>
      <c r="GN103" s="873"/>
      <c r="GO103" s="873"/>
      <c r="GP103" s="873"/>
      <c r="GQ103" s="873"/>
      <c r="GR103" s="873"/>
      <c r="GS103" s="873"/>
      <c r="GT103" s="873"/>
      <c r="GU103" s="873"/>
      <c r="GV103" s="873"/>
      <c r="GW103" s="873"/>
      <c r="GX103" s="873"/>
      <c r="GY103" s="873"/>
      <c r="GZ103" s="873"/>
      <c r="HA103" s="873"/>
      <c r="HB103" s="873"/>
      <c r="HC103" s="873"/>
      <c r="HD103" s="873"/>
      <c r="HE103" s="873"/>
      <c r="HF103" s="873"/>
      <c r="HG103" s="873"/>
      <c r="HH103" s="873"/>
      <c r="HI103" s="873"/>
      <c r="HJ103" s="873"/>
      <c r="HK103" s="873"/>
      <c r="HL103" s="873"/>
      <c r="HM103" s="873"/>
      <c r="HN103" s="873"/>
      <c r="HO103" s="873"/>
      <c r="HP103" s="873"/>
      <c r="HQ103" s="873"/>
      <c r="HR103" s="873"/>
      <c r="HS103" s="873"/>
      <c r="HT103" s="873"/>
      <c r="HU103" s="873"/>
      <c r="HV103" s="873"/>
      <c r="HW103" s="873"/>
      <c r="HX103" s="873"/>
      <c r="HY103" s="873"/>
      <c r="HZ103" s="873"/>
      <c r="IA103" s="873"/>
      <c r="IB103" s="873"/>
      <c r="IC103" s="873"/>
      <c r="ID103" s="873"/>
      <c r="IE103" s="873"/>
      <c r="IF103" s="873"/>
      <c r="IG103" s="873"/>
      <c r="IH103" s="873"/>
      <c r="II103" s="873"/>
      <c r="IJ103" s="873"/>
      <c r="IK103" s="873"/>
      <c r="IL103" s="873"/>
      <c r="IM103" s="873"/>
      <c r="IN103" s="873"/>
      <c r="IO103" s="873"/>
      <c r="IP103" s="873"/>
      <c r="IQ103" s="873"/>
      <c r="IR103" s="873"/>
      <c r="IS103" s="873"/>
      <c r="IT103" s="873"/>
      <c r="IU103" s="873"/>
      <c r="IV103" s="873"/>
      <c r="IW103" s="873"/>
    </row>
    <row r="104" spans="1:257" s="876" customFormat="1">
      <c r="A104" s="873"/>
      <c r="B104" s="873"/>
      <c r="C104" s="873"/>
      <c r="D104" s="873"/>
      <c r="E104" s="873"/>
      <c r="F104" s="873"/>
      <c r="G104" s="873"/>
      <c r="H104" s="873"/>
      <c r="I104" s="873"/>
      <c r="J104" s="873"/>
      <c r="K104" s="873"/>
      <c r="L104" s="873"/>
      <c r="M104" s="873"/>
      <c r="N104" s="873"/>
      <c r="O104" s="873"/>
      <c r="P104" s="873"/>
      <c r="Q104" s="873"/>
      <c r="R104" s="873"/>
      <c r="S104" s="873"/>
      <c r="T104" s="873"/>
      <c r="U104" s="873"/>
      <c r="V104" s="873"/>
      <c r="W104" s="873"/>
      <c r="X104" s="873"/>
      <c r="Y104" s="873"/>
      <c r="Z104" s="873"/>
      <c r="AA104" s="873"/>
      <c r="AB104" s="873"/>
      <c r="AC104" s="873"/>
      <c r="AD104" s="873"/>
      <c r="AE104" s="873"/>
      <c r="AF104" s="873"/>
      <c r="AG104" s="873"/>
      <c r="AH104" s="873"/>
      <c r="AI104" s="873"/>
      <c r="AJ104" s="873"/>
      <c r="AK104" s="873"/>
      <c r="AL104" s="873"/>
      <c r="AM104" s="873"/>
      <c r="AN104" s="873"/>
      <c r="AO104" s="873"/>
      <c r="AP104" s="873"/>
      <c r="AQ104" s="873"/>
      <c r="AR104" s="873"/>
      <c r="AS104" s="873"/>
      <c r="AT104" s="873"/>
      <c r="AU104" s="873"/>
      <c r="AV104" s="873"/>
      <c r="AW104" s="873"/>
      <c r="AX104" s="873"/>
      <c r="AY104" s="873"/>
      <c r="AZ104" s="873"/>
      <c r="BA104" s="873"/>
      <c r="BB104" s="873"/>
      <c r="BC104" s="873"/>
      <c r="BD104" s="873"/>
      <c r="BE104" s="873"/>
      <c r="BF104" s="873"/>
      <c r="BG104" s="873"/>
      <c r="BH104" s="873"/>
      <c r="BI104" s="873"/>
      <c r="BJ104" s="873"/>
      <c r="BK104" s="873"/>
      <c r="BL104" s="873"/>
      <c r="BM104" s="873"/>
      <c r="BN104" s="873"/>
      <c r="BO104" s="873"/>
      <c r="BP104" s="873"/>
      <c r="BQ104" s="873"/>
      <c r="BR104" s="873"/>
      <c r="BS104" s="873"/>
      <c r="BT104" s="873"/>
      <c r="BU104" s="873"/>
      <c r="BV104" s="873"/>
      <c r="BW104" s="873"/>
      <c r="BX104" s="873"/>
      <c r="BY104" s="873"/>
      <c r="BZ104" s="873"/>
      <c r="CA104" s="873"/>
      <c r="CB104" s="873"/>
      <c r="CC104" s="873"/>
      <c r="CD104" s="873"/>
      <c r="CE104" s="873"/>
      <c r="CF104" s="873"/>
      <c r="CG104" s="873"/>
      <c r="CH104" s="873"/>
      <c r="CI104" s="873"/>
      <c r="CJ104" s="873"/>
      <c r="CK104" s="873"/>
      <c r="CL104" s="873"/>
      <c r="CM104" s="873"/>
      <c r="CN104" s="873"/>
      <c r="CO104" s="873"/>
      <c r="CP104" s="873"/>
      <c r="CQ104" s="873"/>
      <c r="CR104" s="873"/>
      <c r="CS104" s="873"/>
      <c r="CT104" s="873"/>
      <c r="CU104" s="873"/>
      <c r="CV104" s="873"/>
      <c r="CW104" s="873"/>
      <c r="CX104" s="873"/>
      <c r="CY104" s="873"/>
      <c r="CZ104" s="873"/>
      <c r="DA104" s="873"/>
      <c r="DB104" s="873"/>
      <c r="DC104" s="873"/>
      <c r="DD104" s="873"/>
      <c r="DE104" s="873"/>
      <c r="DF104" s="873"/>
      <c r="DG104" s="873"/>
      <c r="DH104" s="873"/>
      <c r="DI104" s="873"/>
      <c r="DJ104" s="873"/>
      <c r="DK104" s="873"/>
      <c r="DL104" s="873"/>
      <c r="DM104" s="873"/>
      <c r="DN104" s="873"/>
      <c r="DO104" s="873"/>
      <c r="DP104" s="873"/>
      <c r="DQ104" s="873"/>
      <c r="DR104" s="873"/>
      <c r="DS104" s="873"/>
      <c r="DT104" s="873"/>
      <c r="DU104" s="873"/>
      <c r="DV104" s="873"/>
      <c r="DW104" s="873"/>
      <c r="DX104" s="873"/>
      <c r="DY104" s="873"/>
      <c r="DZ104" s="873"/>
      <c r="EA104" s="873"/>
      <c r="EB104" s="873"/>
      <c r="EC104" s="873"/>
      <c r="ED104" s="873"/>
      <c r="EE104" s="873"/>
      <c r="EF104" s="873"/>
      <c r="EG104" s="873"/>
      <c r="EH104" s="873"/>
      <c r="EI104" s="873"/>
      <c r="EJ104" s="873"/>
      <c r="EK104" s="873"/>
      <c r="EL104" s="873"/>
      <c r="EM104" s="873"/>
      <c r="EN104" s="873"/>
      <c r="EO104" s="873"/>
      <c r="EP104" s="873"/>
      <c r="EQ104" s="873"/>
      <c r="ER104" s="873"/>
      <c r="ES104" s="873"/>
      <c r="ET104" s="873"/>
      <c r="EU104" s="873"/>
      <c r="EV104" s="873"/>
      <c r="EW104" s="873"/>
      <c r="EX104" s="873"/>
      <c r="EY104" s="873"/>
      <c r="EZ104" s="873"/>
      <c r="FA104" s="873"/>
      <c r="FB104" s="873"/>
      <c r="FC104" s="873"/>
      <c r="FD104" s="873"/>
      <c r="FE104" s="873"/>
      <c r="FF104" s="873"/>
      <c r="FG104" s="873"/>
      <c r="FH104" s="873"/>
      <c r="FI104" s="873"/>
      <c r="FJ104" s="873"/>
      <c r="FK104" s="873"/>
      <c r="FL104" s="873"/>
      <c r="FM104" s="873"/>
      <c r="FN104" s="873"/>
      <c r="FO104" s="873"/>
      <c r="FP104" s="873"/>
      <c r="FQ104" s="873"/>
      <c r="FR104" s="873"/>
      <c r="FS104" s="873"/>
      <c r="FT104" s="873"/>
      <c r="FU104" s="873"/>
      <c r="FV104" s="873"/>
      <c r="FW104" s="873"/>
      <c r="FX104" s="873"/>
      <c r="FY104" s="873"/>
      <c r="FZ104" s="873"/>
      <c r="GA104" s="873"/>
      <c r="GB104" s="873"/>
      <c r="GC104" s="873"/>
      <c r="GD104" s="873"/>
      <c r="GE104" s="873"/>
      <c r="GF104" s="873"/>
      <c r="GG104" s="873"/>
      <c r="GH104" s="873"/>
      <c r="GI104" s="873"/>
      <c r="GJ104" s="873"/>
      <c r="GK104" s="873"/>
      <c r="GL104" s="873"/>
      <c r="GM104" s="873"/>
      <c r="GN104" s="873"/>
      <c r="GO104" s="873"/>
      <c r="GP104" s="873"/>
      <c r="GQ104" s="873"/>
      <c r="GR104" s="873"/>
      <c r="GS104" s="873"/>
      <c r="GT104" s="873"/>
      <c r="GU104" s="873"/>
      <c r="GV104" s="873"/>
      <c r="GW104" s="873"/>
      <c r="GX104" s="873"/>
      <c r="GY104" s="873"/>
      <c r="GZ104" s="873"/>
      <c r="HA104" s="873"/>
      <c r="HB104" s="873"/>
      <c r="HC104" s="873"/>
      <c r="HD104" s="873"/>
      <c r="HE104" s="873"/>
      <c r="HF104" s="873"/>
      <c r="HG104" s="873"/>
      <c r="HH104" s="873"/>
      <c r="HI104" s="873"/>
      <c r="HJ104" s="873"/>
      <c r="HK104" s="873"/>
      <c r="HL104" s="873"/>
      <c r="HM104" s="873"/>
      <c r="HN104" s="873"/>
      <c r="HO104" s="873"/>
      <c r="HP104" s="873"/>
      <c r="HQ104" s="873"/>
      <c r="HR104" s="873"/>
      <c r="HS104" s="873"/>
      <c r="HT104" s="873"/>
      <c r="HU104" s="873"/>
      <c r="HV104" s="873"/>
      <c r="HW104" s="873"/>
      <c r="HX104" s="873"/>
      <c r="HY104" s="873"/>
      <c r="HZ104" s="873"/>
      <c r="IA104" s="873"/>
      <c r="IB104" s="873"/>
      <c r="IC104" s="873"/>
      <c r="ID104" s="873"/>
      <c r="IE104" s="873"/>
      <c r="IF104" s="873"/>
      <c r="IG104" s="873"/>
      <c r="IH104" s="873"/>
      <c r="II104" s="873"/>
      <c r="IJ104" s="873"/>
      <c r="IK104" s="873"/>
      <c r="IL104" s="873"/>
      <c r="IM104" s="873"/>
      <c r="IN104" s="873"/>
      <c r="IO104" s="873"/>
      <c r="IP104" s="873"/>
      <c r="IQ104" s="873"/>
      <c r="IR104" s="873"/>
      <c r="IS104" s="873"/>
      <c r="IT104" s="873"/>
      <c r="IU104" s="873"/>
      <c r="IV104" s="873"/>
      <c r="IW104" s="873"/>
    </row>
    <row r="105" spans="1:257" s="876" customFormat="1">
      <c r="A105" s="873"/>
      <c r="B105" s="873"/>
      <c r="C105" s="873"/>
      <c r="D105" s="873"/>
      <c r="E105" s="873"/>
      <c r="F105" s="873"/>
      <c r="G105" s="873"/>
      <c r="H105" s="873"/>
      <c r="I105" s="873"/>
      <c r="J105" s="873"/>
      <c r="K105" s="873"/>
      <c r="L105" s="873"/>
      <c r="M105" s="873"/>
      <c r="N105" s="873"/>
      <c r="O105" s="873"/>
      <c r="P105" s="873"/>
      <c r="Q105" s="873"/>
      <c r="R105" s="873"/>
      <c r="S105" s="873"/>
      <c r="T105" s="873"/>
      <c r="U105" s="873"/>
      <c r="V105" s="873"/>
      <c r="W105" s="873"/>
      <c r="X105" s="873"/>
      <c r="Y105" s="873"/>
      <c r="Z105" s="873"/>
      <c r="AA105" s="873"/>
      <c r="AB105" s="873"/>
      <c r="AC105" s="873"/>
      <c r="AD105" s="873"/>
      <c r="AE105" s="873"/>
      <c r="AF105" s="873"/>
      <c r="AG105" s="873"/>
      <c r="AH105" s="873"/>
      <c r="AI105" s="873"/>
      <c r="AJ105" s="873"/>
      <c r="AK105" s="873"/>
      <c r="AL105" s="873"/>
      <c r="AM105" s="873"/>
      <c r="AN105" s="873"/>
      <c r="AO105" s="873"/>
      <c r="AP105" s="873"/>
      <c r="AQ105" s="873"/>
      <c r="AR105" s="873"/>
      <c r="AS105" s="873"/>
      <c r="AT105" s="873"/>
      <c r="AU105" s="873"/>
      <c r="AV105" s="873"/>
      <c r="AW105" s="873"/>
      <c r="AX105" s="873"/>
      <c r="AY105" s="873"/>
      <c r="AZ105" s="873"/>
      <c r="BA105" s="873"/>
      <c r="BB105" s="873"/>
      <c r="BC105" s="873"/>
      <c r="BD105" s="873"/>
      <c r="BE105" s="873"/>
      <c r="BF105" s="873"/>
      <c r="BG105" s="873"/>
      <c r="BH105" s="873"/>
      <c r="BI105" s="873"/>
      <c r="BJ105" s="873"/>
      <c r="BK105" s="873"/>
      <c r="BL105" s="873"/>
      <c r="BM105" s="873"/>
      <c r="BN105" s="873"/>
      <c r="BO105" s="873"/>
      <c r="BP105" s="873"/>
      <c r="BQ105" s="873"/>
      <c r="BR105" s="873"/>
      <c r="BS105" s="873"/>
      <c r="BT105" s="873"/>
      <c r="BU105" s="873"/>
      <c r="BV105" s="873"/>
      <c r="BW105" s="873"/>
      <c r="BX105" s="873"/>
      <c r="BY105" s="873"/>
      <c r="BZ105" s="873"/>
      <c r="CA105" s="873"/>
      <c r="CB105" s="873"/>
      <c r="CC105" s="873"/>
      <c r="CD105" s="873"/>
      <c r="CE105" s="873"/>
      <c r="CF105" s="873"/>
      <c r="CG105" s="873"/>
      <c r="CH105" s="873"/>
      <c r="CI105" s="873"/>
      <c r="CJ105" s="873"/>
      <c r="CK105" s="873"/>
      <c r="CL105" s="873"/>
      <c r="CM105" s="873"/>
      <c r="CN105" s="873"/>
      <c r="CO105" s="873"/>
      <c r="CP105" s="873"/>
      <c r="CQ105" s="873"/>
      <c r="CR105" s="873"/>
      <c r="CS105" s="873"/>
      <c r="CT105" s="873"/>
      <c r="CU105" s="873"/>
      <c r="CV105" s="873"/>
      <c r="CW105" s="873"/>
      <c r="CX105" s="873"/>
      <c r="CY105" s="873"/>
      <c r="CZ105" s="873"/>
      <c r="DA105" s="873"/>
      <c r="DB105" s="873"/>
      <c r="DC105" s="873"/>
      <c r="DD105" s="873"/>
      <c r="DE105" s="873"/>
      <c r="DF105" s="873"/>
      <c r="DG105" s="873"/>
      <c r="DH105" s="873"/>
      <c r="DI105" s="873"/>
      <c r="DJ105" s="873"/>
      <c r="DK105" s="873"/>
      <c r="DL105" s="873"/>
      <c r="DM105" s="873"/>
      <c r="DN105" s="873"/>
      <c r="DO105" s="873"/>
      <c r="DP105" s="873"/>
      <c r="DQ105" s="873"/>
      <c r="DR105" s="873"/>
      <c r="DS105" s="873"/>
      <c r="DT105" s="873"/>
      <c r="DU105" s="873"/>
      <c r="DV105" s="873"/>
      <c r="DW105" s="873"/>
      <c r="DX105" s="873"/>
      <c r="DY105" s="873"/>
      <c r="DZ105" s="873"/>
      <c r="EA105" s="873"/>
      <c r="EB105" s="873"/>
      <c r="EC105" s="873"/>
      <c r="ED105" s="873"/>
      <c r="EE105" s="873"/>
      <c r="EF105" s="873"/>
      <c r="EG105" s="873"/>
      <c r="EH105" s="873"/>
      <c r="EI105" s="873"/>
      <c r="EJ105" s="873"/>
      <c r="EK105" s="873"/>
      <c r="EL105" s="873"/>
      <c r="EM105" s="873"/>
      <c r="EN105" s="873"/>
      <c r="EO105" s="873"/>
      <c r="EP105" s="873"/>
      <c r="EQ105" s="873"/>
      <c r="ER105" s="873"/>
      <c r="ES105" s="873"/>
      <c r="ET105" s="873"/>
      <c r="EU105" s="873"/>
      <c r="EV105" s="873"/>
      <c r="EW105" s="873"/>
      <c r="EX105" s="873"/>
      <c r="EY105" s="873"/>
      <c r="EZ105" s="873"/>
      <c r="FA105" s="873"/>
      <c r="FB105" s="873"/>
      <c r="FC105" s="873"/>
      <c r="FD105" s="873"/>
      <c r="FE105" s="873"/>
      <c r="FF105" s="873"/>
      <c r="FG105" s="873"/>
      <c r="FH105" s="873"/>
      <c r="FI105" s="873"/>
      <c r="FJ105" s="873"/>
      <c r="FK105" s="873"/>
      <c r="FL105" s="873"/>
      <c r="FM105" s="873"/>
      <c r="FN105" s="873"/>
      <c r="FO105" s="873"/>
      <c r="FP105" s="873"/>
      <c r="FQ105" s="873"/>
      <c r="FR105" s="873"/>
      <c r="FS105" s="873"/>
      <c r="FT105" s="873"/>
      <c r="FU105" s="873"/>
      <c r="FV105" s="873"/>
      <c r="FW105" s="873"/>
      <c r="FX105" s="873"/>
      <c r="FY105" s="873"/>
      <c r="FZ105" s="873"/>
      <c r="GA105" s="873"/>
      <c r="GB105" s="873"/>
      <c r="GC105" s="873"/>
      <c r="GD105" s="873"/>
      <c r="GE105" s="873"/>
      <c r="GF105" s="873"/>
      <c r="GG105" s="873"/>
      <c r="GH105" s="873"/>
      <c r="GI105" s="873"/>
      <c r="GJ105" s="873"/>
      <c r="GK105" s="873"/>
      <c r="GL105" s="873"/>
      <c r="GM105" s="873"/>
      <c r="GN105" s="873"/>
      <c r="GO105" s="873"/>
      <c r="GP105" s="873"/>
      <c r="GQ105" s="873"/>
      <c r="GR105" s="873"/>
      <c r="GS105" s="873"/>
      <c r="GT105" s="873"/>
      <c r="GU105" s="873"/>
      <c r="GV105" s="873"/>
      <c r="GW105" s="873"/>
      <c r="GX105" s="873"/>
      <c r="GY105" s="873"/>
      <c r="GZ105" s="873"/>
      <c r="HA105" s="873"/>
      <c r="HB105" s="873"/>
      <c r="HC105" s="873"/>
      <c r="HD105" s="873"/>
      <c r="HE105" s="873"/>
      <c r="HF105" s="873"/>
      <c r="HG105" s="873"/>
      <c r="HH105" s="873"/>
      <c r="HI105" s="873"/>
      <c r="HJ105" s="873"/>
      <c r="HK105" s="873"/>
      <c r="HL105" s="873"/>
      <c r="HM105" s="873"/>
      <c r="HN105" s="873"/>
      <c r="HO105" s="873"/>
      <c r="HP105" s="873"/>
      <c r="HQ105" s="873"/>
      <c r="HR105" s="873"/>
      <c r="HS105" s="873"/>
      <c r="HT105" s="873"/>
      <c r="HU105" s="873"/>
      <c r="HV105" s="873"/>
      <c r="HW105" s="873"/>
      <c r="HX105" s="873"/>
      <c r="HY105" s="873"/>
      <c r="HZ105" s="873"/>
      <c r="IA105" s="873"/>
      <c r="IB105" s="873"/>
      <c r="IC105" s="873"/>
      <c r="ID105" s="873"/>
      <c r="IE105" s="873"/>
      <c r="IF105" s="873"/>
      <c r="IG105" s="873"/>
      <c r="IH105" s="873"/>
      <c r="II105" s="873"/>
      <c r="IJ105" s="873"/>
      <c r="IK105" s="873"/>
      <c r="IL105" s="873"/>
      <c r="IM105" s="873"/>
      <c r="IN105" s="873"/>
      <c r="IO105" s="873"/>
      <c r="IP105" s="873"/>
      <c r="IQ105" s="873"/>
      <c r="IR105" s="873"/>
      <c r="IS105" s="873"/>
      <c r="IT105" s="873"/>
      <c r="IU105" s="873"/>
      <c r="IV105" s="873"/>
      <c r="IW105" s="873"/>
    </row>
    <row r="106" spans="1:257" s="876" customFormat="1" ht="98">
      <c r="A106" s="1151" t="s">
        <v>1179</v>
      </c>
      <c r="B106" s="1152" t="s">
        <v>2146</v>
      </c>
      <c r="C106" s="1153">
        <v>5</v>
      </c>
      <c r="D106" s="1153">
        <v>6</v>
      </c>
      <c r="E106" s="1154" t="s">
        <v>1450</v>
      </c>
      <c r="F106" s="1155" t="str">
        <f>IF(Scoring!I115="","",Scoring!I115)</f>
        <v/>
      </c>
      <c r="G106" s="1156"/>
      <c r="H106" s="1156"/>
      <c r="I106" s="1157" t="s">
        <v>2552</v>
      </c>
      <c r="J106" s="1158"/>
      <c r="K106" s="1158">
        <f>COUNT(F106:F106)</f>
        <v>0</v>
      </c>
      <c r="L106" s="1159">
        <f>SUM(F106:F106)</f>
        <v>0</v>
      </c>
      <c r="M106" s="1160">
        <f>IF(L106&lt;1,0,1)</f>
        <v>0</v>
      </c>
      <c r="N106" s="873"/>
      <c r="O106" s="883"/>
      <c r="P106" s="884">
        <f>COUNTA(F106:F106)</f>
        <v>1</v>
      </c>
      <c r="Q106" s="873"/>
      <c r="R106" s="873"/>
      <c r="S106" s="873"/>
      <c r="T106" s="873"/>
      <c r="U106" s="873"/>
      <c r="V106" s="873"/>
      <c r="W106" s="873"/>
      <c r="X106" s="873"/>
      <c r="Y106" s="873"/>
      <c r="Z106" s="873"/>
      <c r="AA106" s="873"/>
      <c r="AB106" s="873"/>
      <c r="AC106" s="873"/>
      <c r="AD106" s="873"/>
      <c r="AE106" s="873"/>
      <c r="AF106" s="873"/>
      <c r="AG106" s="873"/>
      <c r="AH106" s="873"/>
      <c r="AI106" s="873"/>
      <c r="AJ106" s="873"/>
      <c r="AK106" s="873"/>
      <c r="AL106" s="873"/>
      <c r="AM106" s="873"/>
      <c r="AN106" s="873"/>
      <c r="AO106" s="873"/>
      <c r="AP106" s="873"/>
      <c r="AQ106" s="873"/>
      <c r="AR106" s="873"/>
      <c r="AS106" s="873"/>
      <c r="AT106" s="873"/>
      <c r="AU106" s="873"/>
      <c r="AV106" s="873"/>
      <c r="AW106" s="873"/>
      <c r="AX106" s="873"/>
      <c r="AY106" s="873"/>
      <c r="AZ106" s="873"/>
      <c r="BA106" s="873"/>
      <c r="BB106" s="873"/>
      <c r="BC106" s="873"/>
      <c r="BD106" s="873"/>
      <c r="BE106" s="873"/>
      <c r="BF106" s="873"/>
      <c r="BG106" s="873"/>
      <c r="BH106" s="873"/>
      <c r="BI106" s="873"/>
      <c r="BJ106" s="873"/>
      <c r="BK106" s="873"/>
      <c r="BL106" s="873"/>
      <c r="BM106" s="873"/>
      <c r="BN106" s="873"/>
      <c r="BO106" s="873"/>
      <c r="BP106" s="873"/>
      <c r="BQ106" s="873"/>
      <c r="BR106" s="873"/>
      <c r="BS106" s="873"/>
      <c r="BT106" s="873"/>
      <c r="BU106" s="873"/>
      <c r="BV106" s="873"/>
      <c r="BW106" s="873"/>
      <c r="BX106" s="873"/>
      <c r="BY106" s="873"/>
      <c r="BZ106" s="873"/>
      <c r="CA106" s="873"/>
      <c r="CB106" s="873"/>
      <c r="CC106" s="873"/>
      <c r="CD106" s="873"/>
      <c r="CE106" s="873"/>
      <c r="CF106" s="873"/>
      <c r="CG106" s="873"/>
      <c r="CH106" s="873"/>
      <c r="CI106" s="873"/>
      <c r="CJ106" s="873"/>
      <c r="CK106" s="873"/>
      <c r="CL106" s="873"/>
      <c r="CM106" s="873"/>
      <c r="CN106" s="873"/>
      <c r="CO106" s="873"/>
      <c r="CP106" s="873"/>
      <c r="CQ106" s="873"/>
      <c r="CR106" s="873"/>
      <c r="CS106" s="873"/>
      <c r="CT106" s="873"/>
      <c r="CU106" s="873"/>
      <c r="CV106" s="873"/>
      <c r="CW106" s="873"/>
      <c r="CX106" s="873"/>
      <c r="CY106" s="873"/>
      <c r="CZ106" s="873"/>
      <c r="DA106" s="873"/>
      <c r="DB106" s="873"/>
      <c r="DC106" s="873"/>
      <c r="DD106" s="873"/>
      <c r="DE106" s="873"/>
      <c r="DF106" s="873"/>
      <c r="DG106" s="873"/>
      <c r="DH106" s="873"/>
      <c r="DI106" s="873"/>
      <c r="DJ106" s="873"/>
      <c r="DK106" s="873"/>
      <c r="DL106" s="873"/>
      <c r="DM106" s="873"/>
      <c r="DN106" s="873"/>
      <c r="DO106" s="873"/>
      <c r="DP106" s="873"/>
      <c r="DQ106" s="873"/>
      <c r="DR106" s="873"/>
      <c r="DS106" s="873"/>
      <c r="DT106" s="873"/>
      <c r="DU106" s="873"/>
      <c r="DV106" s="873"/>
      <c r="DW106" s="873"/>
      <c r="DX106" s="873"/>
      <c r="DY106" s="873"/>
      <c r="DZ106" s="873"/>
      <c r="EA106" s="873"/>
      <c r="EB106" s="873"/>
      <c r="EC106" s="873"/>
      <c r="ED106" s="873"/>
      <c r="EE106" s="873"/>
      <c r="EF106" s="873"/>
      <c r="EG106" s="873"/>
      <c r="EH106" s="873"/>
      <c r="EI106" s="873"/>
      <c r="EJ106" s="873"/>
      <c r="EK106" s="873"/>
      <c r="EL106" s="873"/>
      <c r="EM106" s="873"/>
      <c r="EN106" s="873"/>
      <c r="EO106" s="873"/>
      <c r="EP106" s="873"/>
      <c r="EQ106" s="873"/>
      <c r="ER106" s="873"/>
      <c r="ES106" s="873"/>
      <c r="ET106" s="873"/>
      <c r="EU106" s="873"/>
      <c r="EV106" s="873"/>
      <c r="EW106" s="873"/>
      <c r="EX106" s="873"/>
      <c r="EY106" s="873"/>
      <c r="EZ106" s="873"/>
      <c r="FA106" s="873"/>
      <c r="FB106" s="873"/>
      <c r="FC106" s="873"/>
      <c r="FD106" s="873"/>
      <c r="FE106" s="873"/>
      <c r="FF106" s="873"/>
      <c r="FG106" s="873"/>
      <c r="FH106" s="873"/>
      <c r="FI106" s="873"/>
      <c r="FJ106" s="873"/>
      <c r="FK106" s="873"/>
      <c r="FL106" s="873"/>
      <c r="FM106" s="873"/>
      <c r="FN106" s="873"/>
      <c r="FO106" s="873"/>
      <c r="FP106" s="873"/>
      <c r="FQ106" s="873"/>
      <c r="FR106" s="873"/>
      <c r="FS106" s="873"/>
      <c r="FT106" s="873"/>
      <c r="FU106" s="873"/>
      <c r="FV106" s="873"/>
      <c r="FW106" s="873"/>
      <c r="FX106" s="873"/>
      <c r="FY106" s="873"/>
      <c r="FZ106" s="873"/>
      <c r="GA106" s="873"/>
      <c r="GB106" s="873"/>
      <c r="GC106" s="873"/>
      <c r="GD106" s="873"/>
      <c r="GE106" s="873"/>
      <c r="GF106" s="873"/>
      <c r="GG106" s="873"/>
      <c r="GH106" s="873"/>
      <c r="GI106" s="873"/>
      <c r="GJ106" s="873"/>
      <c r="GK106" s="873"/>
      <c r="GL106" s="873"/>
      <c r="GM106" s="873"/>
      <c r="GN106" s="873"/>
      <c r="GO106" s="873"/>
      <c r="GP106" s="873"/>
      <c r="GQ106" s="873"/>
      <c r="GR106" s="873"/>
      <c r="GS106" s="873"/>
      <c r="GT106" s="873"/>
      <c r="GU106" s="873"/>
      <c r="GV106" s="873"/>
      <c r="GW106" s="873"/>
      <c r="GX106" s="873"/>
      <c r="GY106" s="873"/>
      <c r="GZ106" s="873"/>
      <c r="HA106" s="873"/>
      <c r="HB106" s="873"/>
      <c r="HC106" s="873"/>
      <c r="HD106" s="873"/>
      <c r="HE106" s="873"/>
      <c r="HF106" s="873"/>
      <c r="HG106" s="873"/>
      <c r="HH106" s="873"/>
      <c r="HI106" s="873"/>
      <c r="HJ106" s="873"/>
      <c r="HK106" s="873"/>
      <c r="HL106" s="873"/>
      <c r="HM106" s="873"/>
      <c r="HN106" s="873"/>
      <c r="HO106" s="873"/>
      <c r="HP106" s="873"/>
      <c r="HQ106" s="873"/>
      <c r="HR106" s="873"/>
      <c r="HS106" s="873"/>
      <c r="HT106" s="873"/>
      <c r="HU106" s="873"/>
      <c r="HV106" s="873"/>
      <c r="HW106" s="873"/>
      <c r="HX106" s="873"/>
      <c r="HY106" s="873"/>
      <c r="HZ106" s="873"/>
      <c r="IA106" s="873"/>
      <c r="IB106" s="873"/>
      <c r="IC106" s="873"/>
      <c r="ID106" s="873"/>
      <c r="IE106" s="873"/>
      <c r="IF106" s="873"/>
      <c r="IG106" s="873"/>
      <c r="IH106" s="873"/>
      <c r="II106" s="873"/>
      <c r="IJ106" s="873"/>
      <c r="IK106" s="873"/>
      <c r="IL106" s="873"/>
      <c r="IM106" s="873"/>
      <c r="IN106" s="873"/>
      <c r="IO106" s="873"/>
      <c r="IP106" s="873"/>
      <c r="IQ106" s="873"/>
      <c r="IR106" s="873"/>
      <c r="IS106" s="873"/>
      <c r="IT106" s="873"/>
      <c r="IU106" s="873"/>
      <c r="IV106" s="873"/>
      <c r="IW106" s="873"/>
    </row>
    <row r="107" spans="1:257" s="876" customFormat="1">
      <c r="A107" s="873"/>
      <c r="B107" s="873"/>
      <c r="C107" s="873"/>
      <c r="D107" s="873"/>
      <c r="E107" s="873"/>
      <c r="F107" s="873"/>
      <c r="G107" s="873"/>
      <c r="H107" s="873"/>
      <c r="I107" s="873"/>
      <c r="J107" s="873"/>
      <c r="K107" s="873"/>
      <c r="L107" s="873"/>
      <c r="M107" s="873"/>
      <c r="N107" s="873"/>
      <c r="O107" s="873"/>
      <c r="P107" s="873"/>
      <c r="Q107" s="873"/>
      <c r="R107" s="873"/>
      <c r="S107" s="873"/>
      <c r="T107" s="873"/>
      <c r="U107" s="873"/>
      <c r="V107" s="873"/>
      <c r="W107" s="873"/>
      <c r="X107" s="873"/>
      <c r="Y107" s="873"/>
      <c r="Z107" s="873"/>
      <c r="AA107" s="873"/>
      <c r="AB107" s="873"/>
      <c r="AC107" s="873"/>
      <c r="AD107" s="873"/>
      <c r="AE107" s="873"/>
      <c r="AF107" s="873"/>
      <c r="AG107" s="873"/>
      <c r="AH107" s="873"/>
      <c r="AI107" s="873"/>
      <c r="AJ107" s="873"/>
      <c r="AK107" s="873"/>
      <c r="AL107" s="873"/>
      <c r="AM107" s="873"/>
      <c r="AN107" s="873"/>
      <c r="AO107" s="873"/>
      <c r="AP107" s="873"/>
      <c r="AQ107" s="873"/>
      <c r="AR107" s="873"/>
      <c r="AS107" s="873"/>
      <c r="AT107" s="873"/>
      <c r="AU107" s="873"/>
      <c r="AV107" s="873"/>
      <c r="AW107" s="873"/>
      <c r="AX107" s="873"/>
      <c r="AY107" s="873"/>
      <c r="AZ107" s="873"/>
      <c r="BA107" s="873"/>
      <c r="BB107" s="873"/>
      <c r="BC107" s="873"/>
      <c r="BD107" s="873"/>
      <c r="BE107" s="873"/>
      <c r="BF107" s="873"/>
      <c r="BG107" s="873"/>
      <c r="BH107" s="873"/>
      <c r="BI107" s="873"/>
      <c r="BJ107" s="873"/>
      <c r="BK107" s="873"/>
      <c r="BL107" s="873"/>
      <c r="BM107" s="873"/>
      <c r="BN107" s="873"/>
      <c r="BO107" s="873"/>
      <c r="BP107" s="873"/>
      <c r="BQ107" s="873"/>
      <c r="BR107" s="873"/>
      <c r="BS107" s="873"/>
      <c r="BT107" s="873"/>
      <c r="BU107" s="873"/>
      <c r="BV107" s="873"/>
      <c r="BW107" s="873"/>
      <c r="BX107" s="873"/>
      <c r="BY107" s="873"/>
      <c r="BZ107" s="873"/>
      <c r="CA107" s="873"/>
      <c r="CB107" s="873"/>
      <c r="CC107" s="873"/>
      <c r="CD107" s="873"/>
      <c r="CE107" s="873"/>
      <c r="CF107" s="873"/>
      <c r="CG107" s="873"/>
      <c r="CH107" s="873"/>
      <c r="CI107" s="873"/>
      <c r="CJ107" s="873"/>
      <c r="CK107" s="873"/>
      <c r="CL107" s="873"/>
      <c r="CM107" s="873"/>
      <c r="CN107" s="873"/>
      <c r="CO107" s="873"/>
      <c r="CP107" s="873"/>
      <c r="CQ107" s="873"/>
      <c r="CR107" s="873"/>
      <c r="CS107" s="873"/>
      <c r="CT107" s="873"/>
      <c r="CU107" s="873"/>
      <c r="CV107" s="873"/>
      <c r="CW107" s="873"/>
      <c r="CX107" s="873"/>
      <c r="CY107" s="873"/>
      <c r="CZ107" s="873"/>
      <c r="DA107" s="873"/>
      <c r="DB107" s="873"/>
      <c r="DC107" s="873"/>
      <c r="DD107" s="873"/>
      <c r="DE107" s="873"/>
      <c r="DF107" s="873"/>
      <c r="DG107" s="873"/>
      <c r="DH107" s="873"/>
      <c r="DI107" s="873"/>
      <c r="DJ107" s="873"/>
      <c r="DK107" s="873"/>
      <c r="DL107" s="873"/>
      <c r="DM107" s="873"/>
      <c r="DN107" s="873"/>
      <c r="DO107" s="873"/>
      <c r="DP107" s="873"/>
      <c r="DQ107" s="873"/>
      <c r="DR107" s="873"/>
      <c r="DS107" s="873"/>
      <c r="DT107" s="873"/>
      <c r="DU107" s="873"/>
      <c r="DV107" s="873"/>
      <c r="DW107" s="873"/>
      <c r="DX107" s="873"/>
      <c r="DY107" s="873"/>
      <c r="DZ107" s="873"/>
      <c r="EA107" s="873"/>
      <c r="EB107" s="873"/>
      <c r="EC107" s="873"/>
      <c r="ED107" s="873"/>
      <c r="EE107" s="873"/>
      <c r="EF107" s="873"/>
      <c r="EG107" s="873"/>
      <c r="EH107" s="873"/>
      <c r="EI107" s="873"/>
      <c r="EJ107" s="873"/>
      <c r="EK107" s="873"/>
      <c r="EL107" s="873"/>
      <c r="EM107" s="873"/>
      <c r="EN107" s="873"/>
      <c r="EO107" s="873"/>
      <c r="EP107" s="873"/>
      <c r="EQ107" s="873"/>
      <c r="ER107" s="873"/>
      <c r="ES107" s="873"/>
      <c r="ET107" s="873"/>
      <c r="EU107" s="873"/>
      <c r="EV107" s="873"/>
      <c r="EW107" s="873"/>
      <c r="EX107" s="873"/>
      <c r="EY107" s="873"/>
      <c r="EZ107" s="873"/>
      <c r="FA107" s="873"/>
      <c r="FB107" s="873"/>
      <c r="FC107" s="873"/>
      <c r="FD107" s="873"/>
      <c r="FE107" s="873"/>
      <c r="FF107" s="873"/>
      <c r="FG107" s="873"/>
      <c r="FH107" s="873"/>
      <c r="FI107" s="873"/>
      <c r="FJ107" s="873"/>
      <c r="FK107" s="873"/>
      <c r="FL107" s="873"/>
      <c r="FM107" s="873"/>
      <c r="FN107" s="873"/>
      <c r="FO107" s="873"/>
      <c r="FP107" s="873"/>
      <c r="FQ107" s="873"/>
      <c r="FR107" s="873"/>
      <c r="FS107" s="873"/>
      <c r="FT107" s="873"/>
      <c r="FU107" s="873"/>
      <c r="FV107" s="873"/>
      <c r="FW107" s="873"/>
      <c r="FX107" s="873"/>
      <c r="FY107" s="873"/>
      <c r="FZ107" s="873"/>
      <c r="GA107" s="873"/>
      <c r="GB107" s="873"/>
      <c r="GC107" s="873"/>
      <c r="GD107" s="873"/>
      <c r="GE107" s="873"/>
      <c r="GF107" s="873"/>
      <c r="GG107" s="873"/>
      <c r="GH107" s="873"/>
      <c r="GI107" s="873"/>
      <c r="GJ107" s="873"/>
      <c r="GK107" s="873"/>
      <c r="GL107" s="873"/>
      <c r="GM107" s="873"/>
      <c r="GN107" s="873"/>
      <c r="GO107" s="873"/>
      <c r="GP107" s="873"/>
      <c r="GQ107" s="873"/>
      <c r="GR107" s="873"/>
      <c r="GS107" s="873"/>
      <c r="GT107" s="873"/>
      <c r="GU107" s="873"/>
      <c r="GV107" s="873"/>
      <c r="GW107" s="873"/>
      <c r="GX107" s="873"/>
      <c r="GY107" s="873"/>
      <c r="GZ107" s="873"/>
      <c r="HA107" s="873"/>
      <c r="HB107" s="873"/>
      <c r="HC107" s="873"/>
      <c r="HD107" s="873"/>
      <c r="HE107" s="873"/>
      <c r="HF107" s="873"/>
      <c r="HG107" s="873"/>
      <c r="HH107" s="873"/>
      <c r="HI107" s="873"/>
      <c r="HJ107" s="873"/>
      <c r="HK107" s="873"/>
      <c r="HL107" s="873"/>
      <c r="HM107" s="873"/>
      <c r="HN107" s="873"/>
      <c r="HO107" s="873"/>
      <c r="HP107" s="873"/>
      <c r="HQ107" s="873"/>
      <c r="HR107" s="873"/>
      <c r="HS107" s="873"/>
      <c r="HT107" s="873"/>
      <c r="HU107" s="873"/>
      <c r="HV107" s="873"/>
      <c r="HW107" s="873"/>
      <c r="HX107" s="873"/>
      <c r="HY107" s="873"/>
      <c r="HZ107" s="873"/>
      <c r="IA107" s="873"/>
      <c r="IB107" s="873"/>
      <c r="IC107" s="873"/>
      <c r="ID107" s="873"/>
      <c r="IE107" s="873"/>
      <c r="IF107" s="873"/>
      <c r="IG107" s="873"/>
      <c r="IH107" s="873"/>
      <c r="II107" s="873"/>
      <c r="IJ107" s="873"/>
      <c r="IK107" s="873"/>
      <c r="IL107" s="873"/>
      <c r="IM107" s="873"/>
      <c r="IN107" s="873"/>
      <c r="IO107" s="873"/>
      <c r="IP107" s="873"/>
      <c r="IQ107" s="873"/>
      <c r="IR107" s="873"/>
      <c r="IS107" s="873"/>
      <c r="IT107" s="873"/>
      <c r="IU107" s="873"/>
      <c r="IV107" s="873"/>
      <c r="IW107" s="873"/>
    </row>
    <row r="108" spans="1:257" s="876" customFormat="1">
      <c r="A108" s="873"/>
      <c r="B108" s="873"/>
      <c r="C108" s="873"/>
      <c r="D108" s="873"/>
      <c r="E108" s="873"/>
      <c r="F108" s="873"/>
      <c r="G108" s="873"/>
      <c r="H108" s="873"/>
      <c r="I108" s="873"/>
      <c r="J108" s="873"/>
      <c r="K108" s="873"/>
      <c r="L108" s="873"/>
      <c r="M108" s="873"/>
      <c r="N108" s="873"/>
      <c r="O108" s="873"/>
      <c r="P108" s="873"/>
      <c r="Q108" s="873"/>
      <c r="R108" s="873"/>
      <c r="S108" s="873"/>
      <c r="T108" s="873"/>
      <c r="U108" s="873"/>
      <c r="V108" s="873"/>
      <c r="W108" s="873"/>
      <c r="X108" s="873"/>
      <c r="Y108" s="873"/>
      <c r="Z108" s="873"/>
      <c r="AA108" s="873"/>
      <c r="AB108" s="873"/>
      <c r="AC108" s="873"/>
      <c r="AD108" s="873"/>
      <c r="AE108" s="873"/>
      <c r="AF108" s="873"/>
      <c r="AG108" s="873"/>
      <c r="AH108" s="873"/>
      <c r="AI108" s="873"/>
      <c r="AJ108" s="873"/>
      <c r="AK108" s="873"/>
      <c r="AL108" s="873"/>
      <c r="AM108" s="873"/>
      <c r="AN108" s="873"/>
      <c r="AO108" s="873"/>
      <c r="AP108" s="873"/>
      <c r="AQ108" s="873"/>
      <c r="AR108" s="873"/>
      <c r="AS108" s="873"/>
      <c r="AT108" s="873"/>
      <c r="AU108" s="873"/>
      <c r="AV108" s="873"/>
      <c r="AW108" s="873"/>
      <c r="AX108" s="873"/>
      <c r="AY108" s="873"/>
      <c r="AZ108" s="873"/>
      <c r="BA108" s="873"/>
      <c r="BB108" s="873"/>
      <c r="BC108" s="873"/>
      <c r="BD108" s="873"/>
      <c r="BE108" s="873"/>
      <c r="BF108" s="873"/>
      <c r="BG108" s="873"/>
      <c r="BH108" s="873"/>
      <c r="BI108" s="873"/>
      <c r="BJ108" s="873"/>
      <c r="BK108" s="873"/>
      <c r="BL108" s="873"/>
      <c r="BM108" s="873"/>
      <c r="BN108" s="873"/>
      <c r="BO108" s="873"/>
      <c r="BP108" s="873"/>
      <c r="BQ108" s="873"/>
      <c r="BR108" s="873"/>
      <c r="BS108" s="873"/>
      <c r="BT108" s="873"/>
      <c r="BU108" s="873"/>
      <c r="BV108" s="873"/>
      <c r="BW108" s="873"/>
      <c r="BX108" s="873"/>
      <c r="BY108" s="873"/>
      <c r="BZ108" s="873"/>
      <c r="CA108" s="873"/>
      <c r="CB108" s="873"/>
      <c r="CC108" s="873"/>
      <c r="CD108" s="873"/>
      <c r="CE108" s="873"/>
      <c r="CF108" s="873"/>
      <c r="CG108" s="873"/>
      <c r="CH108" s="873"/>
      <c r="CI108" s="873"/>
      <c r="CJ108" s="873"/>
      <c r="CK108" s="873"/>
      <c r="CL108" s="873"/>
      <c r="CM108" s="873"/>
      <c r="CN108" s="873"/>
      <c r="CO108" s="873"/>
      <c r="CP108" s="873"/>
      <c r="CQ108" s="873"/>
      <c r="CR108" s="873"/>
      <c r="CS108" s="873"/>
      <c r="CT108" s="873"/>
      <c r="CU108" s="873"/>
      <c r="CV108" s="873"/>
      <c r="CW108" s="873"/>
      <c r="CX108" s="873"/>
      <c r="CY108" s="873"/>
      <c r="CZ108" s="873"/>
      <c r="DA108" s="873"/>
      <c r="DB108" s="873"/>
      <c r="DC108" s="873"/>
      <c r="DD108" s="873"/>
      <c r="DE108" s="873"/>
      <c r="DF108" s="873"/>
      <c r="DG108" s="873"/>
      <c r="DH108" s="873"/>
      <c r="DI108" s="873"/>
      <c r="DJ108" s="873"/>
      <c r="DK108" s="873"/>
      <c r="DL108" s="873"/>
      <c r="DM108" s="873"/>
      <c r="DN108" s="873"/>
      <c r="DO108" s="873"/>
      <c r="DP108" s="873"/>
      <c r="DQ108" s="873"/>
      <c r="DR108" s="873"/>
      <c r="DS108" s="873"/>
      <c r="DT108" s="873"/>
      <c r="DU108" s="873"/>
      <c r="DV108" s="873"/>
      <c r="DW108" s="873"/>
      <c r="DX108" s="873"/>
      <c r="DY108" s="873"/>
      <c r="DZ108" s="873"/>
      <c r="EA108" s="873"/>
      <c r="EB108" s="873"/>
      <c r="EC108" s="873"/>
      <c r="ED108" s="873"/>
      <c r="EE108" s="873"/>
      <c r="EF108" s="873"/>
      <c r="EG108" s="873"/>
      <c r="EH108" s="873"/>
      <c r="EI108" s="873"/>
      <c r="EJ108" s="873"/>
      <c r="EK108" s="873"/>
      <c r="EL108" s="873"/>
      <c r="EM108" s="873"/>
      <c r="EN108" s="873"/>
      <c r="EO108" s="873"/>
      <c r="EP108" s="873"/>
      <c r="EQ108" s="873"/>
      <c r="ER108" s="873"/>
      <c r="ES108" s="873"/>
      <c r="ET108" s="873"/>
      <c r="EU108" s="873"/>
      <c r="EV108" s="873"/>
      <c r="EW108" s="873"/>
      <c r="EX108" s="873"/>
      <c r="EY108" s="873"/>
      <c r="EZ108" s="873"/>
      <c r="FA108" s="873"/>
      <c r="FB108" s="873"/>
      <c r="FC108" s="873"/>
      <c r="FD108" s="873"/>
      <c r="FE108" s="873"/>
      <c r="FF108" s="873"/>
      <c r="FG108" s="873"/>
      <c r="FH108" s="873"/>
      <c r="FI108" s="873"/>
      <c r="FJ108" s="873"/>
      <c r="FK108" s="873"/>
      <c r="FL108" s="873"/>
      <c r="FM108" s="873"/>
      <c r="FN108" s="873"/>
      <c r="FO108" s="873"/>
      <c r="FP108" s="873"/>
      <c r="FQ108" s="873"/>
      <c r="FR108" s="873"/>
      <c r="FS108" s="873"/>
      <c r="FT108" s="873"/>
      <c r="FU108" s="873"/>
      <c r="FV108" s="873"/>
      <c r="FW108" s="873"/>
      <c r="FX108" s="873"/>
      <c r="FY108" s="873"/>
      <c r="FZ108" s="873"/>
      <c r="GA108" s="873"/>
      <c r="GB108" s="873"/>
      <c r="GC108" s="873"/>
      <c r="GD108" s="873"/>
      <c r="GE108" s="873"/>
      <c r="GF108" s="873"/>
      <c r="GG108" s="873"/>
      <c r="GH108" s="873"/>
      <c r="GI108" s="873"/>
      <c r="GJ108" s="873"/>
      <c r="GK108" s="873"/>
      <c r="GL108" s="873"/>
      <c r="GM108" s="873"/>
      <c r="GN108" s="873"/>
      <c r="GO108" s="873"/>
      <c r="GP108" s="873"/>
      <c r="GQ108" s="873"/>
      <c r="GR108" s="873"/>
      <c r="GS108" s="873"/>
      <c r="GT108" s="873"/>
      <c r="GU108" s="873"/>
      <c r="GV108" s="873"/>
      <c r="GW108" s="873"/>
      <c r="GX108" s="873"/>
      <c r="GY108" s="873"/>
      <c r="GZ108" s="873"/>
      <c r="HA108" s="873"/>
      <c r="HB108" s="873"/>
      <c r="HC108" s="873"/>
      <c r="HD108" s="873"/>
      <c r="HE108" s="873"/>
      <c r="HF108" s="873"/>
      <c r="HG108" s="873"/>
      <c r="HH108" s="873"/>
      <c r="HI108" s="873"/>
      <c r="HJ108" s="873"/>
      <c r="HK108" s="873"/>
      <c r="HL108" s="873"/>
      <c r="HM108" s="873"/>
      <c r="HN108" s="873"/>
      <c r="HO108" s="873"/>
      <c r="HP108" s="873"/>
      <c r="HQ108" s="873"/>
      <c r="HR108" s="873"/>
      <c r="HS108" s="873"/>
      <c r="HT108" s="873"/>
      <c r="HU108" s="873"/>
      <c r="HV108" s="873"/>
      <c r="HW108" s="873"/>
      <c r="HX108" s="873"/>
      <c r="HY108" s="873"/>
      <c r="HZ108" s="873"/>
      <c r="IA108" s="873"/>
      <c r="IB108" s="873"/>
      <c r="IC108" s="873"/>
      <c r="ID108" s="873"/>
      <c r="IE108" s="873"/>
      <c r="IF108" s="873"/>
      <c r="IG108" s="873"/>
      <c r="IH108" s="873"/>
      <c r="II108" s="873"/>
      <c r="IJ108" s="873"/>
      <c r="IK108" s="873"/>
      <c r="IL108" s="873"/>
      <c r="IM108" s="873"/>
      <c r="IN108" s="873"/>
      <c r="IO108" s="873"/>
      <c r="IP108" s="873"/>
      <c r="IQ108" s="873"/>
      <c r="IR108" s="873"/>
      <c r="IS108" s="873"/>
      <c r="IT108" s="873"/>
      <c r="IU108" s="873"/>
      <c r="IV108" s="873"/>
      <c r="IW108" s="873"/>
    </row>
    <row r="109" spans="1:257" s="876" customFormat="1">
      <c r="A109" s="873"/>
      <c r="B109" s="873"/>
      <c r="C109" s="873"/>
      <c r="D109" s="873"/>
      <c r="E109" s="873"/>
      <c r="F109" s="873"/>
      <c r="G109" s="873"/>
      <c r="H109" s="873"/>
      <c r="I109" s="873"/>
      <c r="J109" s="873"/>
      <c r="K109" s="873"/>
      <c r="L109" s="873"/>
      <c r="M109" s="873"/>
      <c r="N109" s="873"/>
      <c r="O109" s="873"/>
      <c r="P109" s="873"/>
      <c r="Q109" s="873"/>
      <c r="R109" s="873"/>
      <c r="S109" s="873"/>
      <c r="T109" s="873"/>
      <c r="U109" s="873"/>
      <c r="V109" s="873"/>
      <c r="W109" s="873"/>
      <c r="X109" s="873"/>
      <c r="Y109" s="873"/>
      <c r="Z109" s="873"/>
      <c r="AA109" s="873"/>
      <c r="AB109" s="873"/>
      <c r="AC109" s="873"/>
      <c r="AD109" s="873"/>
      <c r="AE109" s="873"/>
      <c r="AF109" s="873"/>
      <c r="AG109" s="873"/>
      <c r="AH109" s="873"/>
      <c r="AI109" s="873"/>
      <c r="AJ109" s="873"/>
      <c r="AK109" s="873"/>
      <c r="AL109" s="873"/>
      <c r="AM109" s="873"/>
      <c r="AN109" s="873"/>
      <c r="AO109" s="873"/>
      <c r="AP109" s="873"/>
      <c r="AQ109" s="873"/>
      <c r="AR109" s="873"/>
      <c r="AS109" s="873"/>
      <c r="AT109" s="873"/>
      <c r="AU109" s="873"/>
      <c r="AV109" s="873"/>
      <c r="AW109" s="873"/>
      <c r="AX109" s="873"/>
      <c r="AY109" s="873"/>
      <c r="AZ109" s="873"/>
      <c r="BA109" s="873"/>
      <c r="BB109" s="873"/>
      <c r="BC109" s="873"/>
      <c r="BD109" s="873"/>
      <c r="BE109" s="873"/>
      <c r="BF109" s="873"/>
      <c r="BG109" s="873"/>
      <c r="BH109" s="873"/>
      <c r="BI109" s="873"/>
      <c r="BJ109" s="873"/>
      <c r="BK109" s="873"/>
      <c r="BL109" s="873"/>
      <c r="BM109" s="873"/>
      <c r="BN109" s="873"/>
      <c r="BO109" s="873"/>
      <c r="BP109" s="873"/>
      <c r="BQ109" s="873"/>
      <c r="BR109" s="873"/>
      <c r="BS109" s="873"/>
      <c r="BT109" s="873"/>
      <c r="BU109" s="873"/>
      <c r="BV109" s="873"/>
      <c r="BW109" s="873"/>
      <c r="BX109" s="873"/>
      <c r="BY109" s="873"/>
      <c r="BZ109" s="873"/>
      <c r="CA109" s="873"/>
      <c r="CB109" s="873"/>
      <c r="CC109" s="873"/>
      <c r="CD109" s="873"/>
      <c r="CE109" s="873"/>
      <c r="CF109" s="873"/>
      <c r="CG109" s="873"/>
      <c r="CH109" s="873"/>
      <c r="CI109" s="873"/>
      <c r="CJ109" s="873"/>
      <c r="CK109" s="873"/>
      <c r="CL109" s="873"/>
      <c r="CM109" s="873"/>
      <c r="CN109" s="873"/>
      <c r="CO109" s="873"/>
      <c r="CP109" s="873"/>
      <c r="CQ109" s="873"/>
      <c r="CR109" s="873"/>
      <c r="CS109" s="873"/>
      <c r="CT109" s="873"/>
      <c r="CU109" s="873"/>
      <c r="CV109" s="873"/>
      <c r="CW109" s="873"/>
      <c r="CX109" s="873"/>
      <c r="CY109" s="873"/>
      <c r="CZ109" s="873"/>
      <c r="DA109" s="873"/>
      <c r="DB109" s="873"/>
      <c r="DC109" s="873"/>
      <c r="DD109" s="873"/>
      <c r="DE109" s="873"/>
      <c r="DF109" s="873"/>
      <c r="DG109" s="873"/>
      <c r="DH109" s="873"/>
      <c r="DI109" s="873"/>
      <c r="DJ109" s="873"/>
      <c r="DK109" s="873"/>
      <c r="DL109" s="873"/>
      <c r="DM109" s="873"/>
      <c r="DN109" s="873"/>
      <c r="DO109" s="873"/>
      <c r="DP109" s="873"/>
      <c r="DQ109" s="873"/>
      <c r="DR109" s="873"/>
      <c r="DS109" s="873"/>
      <c r="DT109" s="873"/>
      <c r="DU109" s="873"/>
      <c r="DV109" s="873"/>
      <c r="DW109" s="873"/>
      <c r="DX109" s="873"/>
      <c r="DY109" s="873"/>
      <c r="DZ109" s="873"/>
      <c r="EA109" s="873"/>
      <c r="EB109" s="873"/>
      <c r="EC109" s="873"/>
      <c r="ED109" s="873"/>
      <c r="EE109" s="873"/>
      <c r="EF109" s="873"/>
      <c r="EG109" s="873"/>
      <c r="EH109" s="873"/>
      <c r="EI109" s="873"/>
      <c r="EJ109" s="873"/>
      <c r="EK109" s="873"/>
      <c r="EL109" s="873"/>
      <c r="EM109" s="873"/>
      <c r="EN109" s="873"/>
      <c r="EO109" s="873"/>
      <c r="EP109" s="873"/>
      <c r="EQ109" s="873"/>
      <c r="ER109" s="873"/>
      <c r="ES109" s="873"/>
      <c r="ET109" s="873"/>
      <c r="EU109" s="873"/>
      <c r="EV109" s="873"/>
      <c r="EW109" s="873"/>
      <c r="EX109" s="873"/>
      <c r="EY109" s="873"/>
      <c r="EZ109" s="873"/>
      <c r="FA109" s="873"/>
      <c r="FB109" s="873"/>
      <c r="FC109" s="873"/>
      <c r="FD109" s="873"/>
      <c r="FE109" s="873"/>
      <c r="FF109" s="873"/>
      <c r="FG109" s="873"/>
      <c r="FH109" s="873"/>
      <c r="FI109" s="873"/>
      <c r="FJ109" s="873"/>
      <c r="FK109" s="873"/>
      <c r="FL109" s="873"/>
      <c r="FM109" s="873"/>
      <c r="FN109" s="873"/>
      <c r="FO109" s="873"/>
      <c r="FP109" s="873"/>
      <c r="FQ109" s="873"/>
      <c r="FR109" s="873"/>
      <c r="FS109" s="873"/>
      <c r="FT109" s="873"/>
      <c r="FU109" s="873"/>
      <c r="FV109" s="873"/>
      <c r="FW109" s="873"/>
      <c r="FX109" s="873"/>
      <c r="FY109" s="873"/>
      <c r="FZ109" s="873"/>
      <c r="GA109" s="873"/>
      <c r="GB109" s="873"/>
      <c r="GC109" s="873"/>
      <c r="GD109" s="873"/>
      <c r="GE109" s="873"/>
      <c r="GF109" s="873"/>
      <c r="GG109" s="873"/>
      <c r="GH109" s="873"/>
      <c r="GI109" s="873"/>
      <c r="GJ109" s="873"/>
      <c r="GK109" s="873"/>
      <c r="GL109" s="873"/>
      <c r="GM109" s="873"/>
      <c r="GN109" s="873"/>
      <c r="GO109" s="873"/>
      <c r="GP109" s="873"/>
      <c r="GQ109" s="873"/>
      <c r="GR109" s="873"/>
      <c r="GS109" s="873"/>
      <c r="GT109" s="873"/>
      <c r="GU109" s="873"/>
      <c r="GV109" s="873"/>
      <c r="GW109" s="873"/>
      <c r="GX109" s="873"/>
      <c r="GY109" s="873"/>
      <c r="GZ109" s="873"/>
      <c r="HA109" s="873"/>
      <c r="HB109" s="873"/>
      <c r="HC109" s="873"/>
      <c r="HD109" s="873"/>
      <c r="HE109" s="873"/>
      <c r="HF109" s="873"/>
      <c r="HG109" s="873"/>
      <c r="HH109" s="873"/>
      <c r="HI109" s="873"/>
      <c r="HJ109" s="873"/>
      <c r="HK109" s="873"/>
      <c r="HL109" s="873"/>
      <c r="HM109" s="873"/>
      <c r="HN109" s="873"/>
      <c r="HO109" s="873"/>
      <c r="HP109" s="873"/>
      <c r="HQ109" s="873"/>
      <c r="HR109" s="873"/>
      <c r="HS109" s="873"/>
      <c r="HT109" s="873"/>
      <c r="HU109" s="873"/>
      <c r="HV109" s="873"/>
      <c r="HW109" s="873"/>
      <c r="HX109" s="873"/>
      <c r="HY109" s="873"/>
      <c r="HZ109" s="873"/>
      <c r="IA109" s="873"/>
      <c r="IB109" s="873"/>
      <c r="IC109" s="873"/>
      <c r="ID109" s="873"/>
      <c r="IE109" s="873"/>
      <c r="IF109" s="873"/>
      <c r="IG109" s="873"/>
      <c r="IH109" s="873"/>
      <c r="II109" s="873"/>
      <c r="IJ109" s="873"/>
      <c r="IK109" s="873"/>
      <c r="IL109" s="873"/>
      <c r="IM109" s="873"/>
      <c r="IN109" s="873"/>
      <c r="IO109" s="873"/>
      <c r="IP109" s="873"/>
      <c r="IQ109" s="873"/>
      <c r="IR109" s="873"/>
      <c r="IS109" s="873"/>
      <c r="IT109" s="873"/>
      <c r="IU109" s="873"/>
      <c r="IV109" s="873"/>
      <c r="IW109" s="873"/>
    </row>
    <row r="110" spans="1:257" s="876" customFormat="1">
      <c r="A110" s="873"/>
      <c r="B110" s="873"/>
      <c r="C110" s="873"/>
      <c r="D110" s="873"/>
      <c r="E110" s="873"/>
      <c r="F110" s="873"/>
      <c r="G110" s="873"/>
      <c r="H110" s="873"/>
      <c r="I110" s="873"/>
      <c r="J110" s="873"/>
      <c r="K110" s="873"/>
      <c r="L110" s="873"/>
      <c r="M110" s="873"/>
      <c r="N110" s="873"/>
      <c r="O110" s="873"/>
      <c r="P110" s="873"/>
      <c r="Q110" s="873"/>
      <c r="R110" s="873"/>
      <c r="S110" s="873"/>
      <c r="T110" s="873"/>
      <c r="U110" s="873"/>
      <c r="V110" s="873"/>
      <c r="W110" s="873"/>
      <c r="X110" s="873"/>
      <c r="Y110" s="873"/>
      <c r="Z110" s="873"/>
      <c r="AA110" s="873"/>
      <c r="AB110" s="873"/>
      <c r="AC110" s="873"/>
      <c r="AD110" s="873"/>
      <c r="AE110" s="873"/>
      <c r="AF110" s="873"/>
      <c r="AG110" s="873"/>
      <c r="AH110" s="873"/>
      <c r="AI110" s="873"/>
      <c r="AJ110" s="873"/>
      <c r="AK110" s="873"/>
      <c r="AL110" s="873"/>
      <c r="AM110" s="873"/>
      <c r="AN110" s="873"/>
      <c r="AO110" s="873"/>
      <c r="AP110" s="873"/>
      <c r="AQ110" s="873"/>
      <c r="AR110" s="873"/>
      <c r="AS110" s="873"/>
      <c r="AT110" s="873"/>
      <c r="AU110" s="873"/>
      <c r="AV110" s="873"/>
      <c r="AW110" s="873"/>
      <c r="AX110" s="873"/>
      <c r="AY110" s="873"/>
      <c r="AZ110" s="873"/>
      <c r="BA110" s="873"/>
      <c r="BB110" s="873"/>
      <c r="BC110" s="873"/>
      <c r="BD110" s="873"/>
      <c r="BE110" s="873"/>
      <c r="BF110" s="873"/>
      <c r="BG110" s="873"/>
      <c r="BH110" s="873"/>
      <c r="BI110" s="873"/>
      <c r="BJ110" s="873"/>
      <c r="BK110" s="873"/>
      <c r="BL110" s="873"/>
      <c r="BM110" s="873"/>
      <c r="BN110" s="873"/>
      <c r="BO110" s="873"/>
      <c r="BP110" s="873"/>
      <c r="BQ110" s="873"/>
      <c r="BR110" s="873"/>
      <c r="BS110" s="873"/>
      <c r="BT110" s="873"/>
      <c r="BU110" s="873"/>
      <c r="BV110" s="873"/>
      <c r="BW110" s="873"/>
      <c r="BX110" s="873"/>
      <c r="BY110" s="873"/>
      <c r="BZ110" s="873"/>
      <c r="CA110" s="873"/>
      <c r="CB110" s="873"/>
      <c r="CC110" s="873"/>
      <c r="CD110" s="873"/>
      <c r="CE110" s="873"/>
      <c r="CF110" s="873"/>
      <c r="CG110" s="873"/>
      <c r="CH110" s="873"/>
      <c r="CI110" s="873"/>
      <c r="CJ110" s="873"/>
      <c r="CK110" s="873"/>
      <c r="CL110" s="873"/>
      <c r="CM110" s="873"/>
      <c r="CN110" s="873"/>
      <c r="CO110" s="873"/>
      <c r="CP110" s="873"/>
      <c r="CQ110" s="873"/>
      <c r="CR110" s="873"/>
      <c r="CS110" s="873"/>
      <c r="CT110" s="873"/>
      <c r="CU110" s="873"/>
      <c r="CV110" s="873"/>
      <c r="CW110" s="873"/>
      <c r="CX110" s="873"/>
      <c r="CY110" s="873"/>
      <c r="CZ110" s="873"/>
      <c r="DA110" s="873"/>
      <c r="DB110" s="873"/>
      <c r="DC110" s="873"/>
      <c r="DD110" s="873"/>
      <c r="DE110" s="873"/>
      <c r="DF110" s="873"/>
      <c r="DG110" s="873"/>
      <c r="DH110" s="873"/>
      <c r="DI110" s="873"/>
      <c r="DJ110" s="873"/>
      <c r="DK110" s="873"/>
      <c r="DL110" s="873"/>
      <c r="DM110" s="873"/>
      <c r="DN110" s="873"/>
      <c r="DO110" s="873"/>
      <c r="DP110" s="873"/>
      <c r="DQ110" s="873"/>
      <c r="DR110" s="873"/>
      <c r="DS110" s="873"/>
      <c r="DT110" s="873"/>
      <c r="DU110" s="873"/>
      <c r="DV110" s="873"/>
      <c r="DW110" s="873"/>
      <c r="DX110" s="873"/>
      <c r="DY110" s="873"/>
      <c r="DZ110" s="873"/>
      <c r="EA110" s="873"/>
      <c r="EB110" s="873"/>
      <c r="EC110" s="873"/>
      <c r="ED110" s="873"/>
      <c r="EE110" s="873"/>
      <c r="EF110" s="873"/>
      <c r="EG110" s="873"/>
      <c r="EH110" s="873"/>
      <c r="EI110" s="873"/>
      <c r="EJ110" s="873"/>
      <c r="EK110" s="873"/>
      <c r="EL110" s="873"/>
      <c r="EM110" s="873"/>
      <c r="EN110" s="873"/>
      <c r="EO110" s="873"/>
      <c r="EP110" s="873"/>
      <c r="EQ110" s="873"/>
      <c r="ER110" s="873"/>
      <c r="ES110" s="873"/>
      <c r="ET110" s="873"/>
      <c r="EU110" s="873"/>
      <c r="EV110" s="873"/>
      <c r="EW110" s="873"/>
      <c r="EX110" s="873"/>
      <c r="EY110" s="873"/>
      <c r="EZ110" s="873"/>
      <c r="FA110" s="873"/>
      <c r="FB110" s="873"/>
      <c r="FC110" s="873"/>
      <c r="FD110" s="873"/>
      <c r="FE110" s="873"/>
      <c r="FF110" s="873"/>
      <c r="FG110" s="873"/>
      <c r="FH110" s="873"/>
      <c r="FI110" s="873"/>
      <c r="FJ110" s="873"/>
      <c r="FK110" s="873"/>
      <c r="FL110" s="873"/>
      <c r="FM110" s="873"/>
      <c r="FN110" s="873"/>
      <c r="FO110" s="873"/>
      <c r="FP110" s="873"/>
      <c r="FQ110" s="873"/>
      <c r="FR110" s="873"/>
      <c r="FS110" s="873"/>
      <c r="FT110" s="873"/>
      <c r="FU110" s="873"/>
      <c r="FV110" s="873"/>
      <c r="FW110" s="873"/>
      <c r="FX110" s="873"/>
      <c r="FY110" s="873"/>
      <c r="FZ110" s="873"/>
      <c r="GA110" s="873"/>
      <c r="GB110" s="873"/>
      <c r="GC110" s="873"/>
      <c r="GD110" s="873"/>
      <c r="GE110" s="873"/>
      <c r="GF110" s="873"/>
      <c r="GG110" s="873"/>
      <c r="GH110" s="873"/>
      <c r="GI110" s="873"/>
      <c r="GJ110" s="873"/>
      <c r="GK110" s="873"/>
      <c r="GL110" s="873"/>
      <c r="GM110" s="873"/>
      <c r="GN110" s="873"/>
      <c r="GO110" s="873"/>
      <c r="GP110" s="873"/>
      <c r="GQ110" s="873"/>
      <c r="GR110" s="873"/>
      <c r="GS110" s="873"/>
      <c r="GT110" s="873"/>
      <c r="GU110" s="873"/>
      <c r="GV110" s="873"/>
      <c r="GW110" s="873"/>
      <c r="GX110" s="873"/>
      <c r="GY110" s="873"/>
      <c r="GZ110" s="873"/>
      <c r="HA110" s="873"/>
      <c r="HB110" s="873"/>
      <c r="HC110" s="873"/>
      <c r="HD110" s="873"/>
      <c r="HE110" s="873"/>
      <c r="HF110" s="873"/>
      <c r="HG110" s="873"/>
      <c r="HH110" s="873"/>
      <c r="HI110" s="873"/>
      <c r="HJ110" s="873"/>
      <c r="HK110" s="873"/>
      <c r="HL110" s="873"/>
      <c r="HM110" s="873"/>
      <c r="HN110" s="873"/>
      <c r="HO110" s="873"/>
      <c r="HP110" s="873"/>
      <c r="HQ110" s="873"/>
      <c r="HR110" s="873"/>
      <c r="HS110" s="873"/>
      <c r="HT110" s="873"/>
      <c r="HU110" s="873"/>
      <c r="HV110" s="873"/>
      <c r="HW110" s="873"/>
      <c r="HX110" s="873"/>
      <c r="HY110" s="873"/>
      <c r="HZ110" s="873"/>
      <c r="IA110" s="873"/>
      <c r="IB110" s="873"/>
      <c r="IC110" s="873"/>
      <c r="ID110" s="873"/>
      <c r="IE110" s="873"/>
      <c r="IF110" s="873"/>
      <c r="IG110" s="873"/>
      <c r="IH110" s="873"/>
      <c r="II110" s="873"/>
      <c r="IJ110" s="873"/>
      <c r="IK110" s="873"/>
      <c r="IL110" s="873"/>
      <c r="IM110" s="873"/>
      <c r="IN110" s="873"/>
      <c r="IO110" s="873"/>
      <c r="IP110" s="873"/>
      <c r="IQ110" s="873"/>
      <c r="IR110" s="873"/>
      <c r="IS110" s="873"/>
      <c r="IT110" s="873"/>
      <c r="IU110" s="873"/>
      <c r="IV110" s="873"/>
      <c r="IW110" s="873"/>
    </row>
    <row r="111" spans="1:257" s="876" customFormat="1">
      <c r="A111" s="873"/>
      <c r="B111" s="873"/>
      <c r="C111" s="873"/>
      <c r="D111" s="873"/>
      <c r="E111" s="873"/>
      <c r="F111" s="873"/>
      <c r="G111" s="873"/>
      <c r="H111" s="873"/>
      <c r="I111" s="873"/>
      <c r="J111" s="873"/>
      <c r="K111" s="873"/>
      <c r="L111" s="873"/>
      <c r="M111" s="873"/>
      <c r="N111" s="873"/>
      <c r="O111" s="873"/>
      <c r="P111" s="873"/>
      <c r="Q111" s="873"/>
      <c r="R111" s="873"/>
      <c r="S111" s="873"/>
      <c r="T111" s="873"/>
      <c r="U111" s="873"/>
      <c r="V111" s="873"/>
      <c r="W111" s="873"/>
      <c r="X111" s="873"/>
      <c r="Y111" s="873"/>
      <c r="Z111" s="873"/>
      <c r="AA111" s="873"/>
      <c r="AB111" s="873"/>
      <c r="AC111" s="873"/>
      <c r="AD111" s="873"/>
      <c r="AE111" s="873"/>
      <c r="AF111" s="873"/>
      <c r="AG111" s="873"/>
      <c r="AH111" s="873"/>
      <c r="AI111" s="873"/>
      <c r="AJ111" s="873"/>
      <c r="AK111" s="873"/>
      <c r="AL111" s="873"/>
      <c r="AM111" s="873"/>
      <c r="AN111" s="873"/>
      <c r="AO111" s="873"/>
      <c r="AP111" s="873"/>
      <c r="AQ111" s="873"/>
      <c r="AR111" s="873"/>
      <c r="AS111" s="873"/>
      <c r="AT111" s="873"/>
      <c r="AU111" s="873"/>
      <c r="AV111" s="873"/>
      <c r="AW111" s="873"/>
      <c r="AX111" s="873"/>
      <c r="AY111" s="873"/>
      <c r="AZ111" s="873"/>
      <c r="BA111" s="873"/>
      <c r="BB111" s="873"/>
      <c r="BC111" s="873"/>
      <c r="BD111" s="873"/>
      <c r="BE111" s="873"/>
      <c r="BF111" s="873"/>
      <c r="BG111" s="873"/>
      <c r="BH111" s="873"/>
      <c r="BI111" s="873"/>
      <c r="BJ111" s="873"/>
      <c r="BK111" s="873"/>
      <c r="BL111" s="873"/>
      <c r="BM111" s="873"/>
      <c r="BN111" s="873"/>
      <c r="BO111" s="873"/>
      <c r="BP111" s="873"/>
      <c r="BQ111" s="873"/>
      <c r="BR111" s="873"/>
      <c r="BS111" s="873"/>
      <c r="BT111" s="873"/>
      <c r="BU111" s="873"/>
      <c r="BV111" s="873"/>
      <c r="BW111" s="873"/>
      <c r="BX111" s="873"/>
      <c r="BY111" s="873"/>
      <c r="BZ111" s="873"/>
      <c r="CA111" s="873"/>
      <c r="CB111" s="873"/>
      <c r="CC111" s="873"/>
      <c r="CD111" s="873"/>
      <c r="CE111" s="873"/>
      <c r="CF111" s="873"/>
      <c r="CG111" s="873"/>
      <c r="CH111" s="873"/>
      <c r="CI111" s="873"/>
      <c r="CJ111" s="873"/>
      <c r="CK111" s="873"/>
      <c r="CL111" s="873"/>
      <c r="CM111" s="873"/>
      <c r="CN111" s="873"/>
      <c r="CO111" s="873"/>
      <c r="CP111" s="873"/>
      <c r="CQ111" s="873"/>
      <c r="CR111" s="873"/>
      <c r="CS111" s="873"/>
      <c r="CT111" s="873"/>
      <c r="CU111" s="873"/>
      <c r="CV111" s="873"/>
      <c r="CW111" s="873"/>
      <c r="CX111" s="873"/>
      <c r="CY111" s="873"/>
      <c r="CZ111" s="873"/>
      <c r="DA111" s="873"/>
      <c r="DB111" s="873"/>
      <c r="DC111" s="873"/>
      <c r="DD111" s="873"/>
      <c r="DE111" s="873"/>
      <c r="DF111" s="873"/>
      <c r="DG111" s="873"/>
      <c r="DH111" s="873"/>
      <c r="DI111" s="873"/>
      <c r="DJ111" s="873"/>
      <c r="DK111" s="873"/>
      <c r="DL111" s="873"/>
      <c r="DM111" s="873"/>
      <c r="DN111" s="873"/>
      <c r="DO111" s="873"/>
      <c r="DP111" s="873"/>
      <c r="DQ111" s="873"/>
      <c r="DR111" s="873"/>
      <c r="DS111" s="873"/>
      <c r="DT111" s="873"/>
      <c r="DU111" s="873"/>
      <c r="DV111" s="873"/>
      <c r="DW111" s="873"/>
      <c r="DX111" s="873"/>
      <c r="DY111" s="873"/>
      <c r="DZ111" s="873"/>
      <c r="EA111" s="873"/>
      <c r="EB111" s="873"/>
      <c r="EC111" s="873"/>
      <c r="ED111" s="873"/>
      <c r="EE111" s="873"/>
      <c r="EF111" s="873"/>
      <c r="EG111" s="873"/>
      <c r="EH111" s="873"/>
      <c r="EI111" s="873"/>
      <c r="EJ111" s="873"/>
      <c r="EK111" s="873"/>
      <c r="EL111" s="873"/>
      <c r="EM111" s="873"/>
      <c r="EN111" s="873"/>
      <c r="EO111" s="873"/>
      <c r="EP111" s="873"/>
      <c r="EQ111" s="873"/>
      <c r="ER111" s="873"/>
      <c r="ES111" s="873"/>
      <c r="ET111" s="873"/>
      <c r="EU111" s="873"/>
      <c r="EV111" s="873"/>
      <c r="EW111" s="873"/>
      <c r="EX111" s="873"/>
      <c r="EY111" s="873"/>
      <c r="EZ111" s="873"/>
      <c r="FA111" s="873"/>
      <c r="FB111" s="873"/>
      <c r="FC111" s="873"/>
      <c r="FD111" s="873"/>
      <c r="FE111" s="873"/>
      <c r="FF111" s="873"/>
      <c r="FG111" s="873"/>
      <c r="FH111" s="873"/>
      <c r="FI111" s="873"/>
      <c r="FJ111" s="873"/>
      <c r="FK111" s="873"/>
      <c r="FL111" s="873"/>
      <c r="FM111" s="873"/>
      <c r="FN111" s="873"/>
      <c r="FO111" s="873"/>
      <c r="FP111" s="873"/>
      <c r="FQ111" s="873"/>
      <c r="FR111" s="873"/>
      <c r="FS111" s="873"/>
      <c r="FT111" s="873"/>
      <c r="FU111" s="873"/>
      <c r="FV111" s="873"/>
      <c r="FW111" s="873"/>
      <c r="FX111" s="873"/>
      <c r="FY111" s="873"/>
      <c r="FZ111" s="873"/>
      <c r="GA111" s="873"/>
      <c r="GB111" s="873"/>
      <c r="GC111" s="873"/>
      <c r="GD111" s="873"/>
      <c r="GE111" s="873"/>
      <c r="GF111" s="873"/>
      <c r="GG111" s="873"/>
      <c r="GH111" s="873"/>
      <c r="GI111" s="873"/>
      <c r="GJ111" s="873"/>
      <c r="GK111" s="873"/>
      <c r="GL111" s="873"/>
      <c r="GM111" s="873"/>
      <c r="GN111" s="873"/>
      <c r="GO111" s="873"/>
      <c r="GP111" s="873"/>
      <c r="GQ111" s="873"/>
      <c r="GR111" s="873"/>
      <c r="GS111" s="873"/>
      <c r="GT111" s="873"/>
      <c r="GU111" s="873"/>
      <c r="GV111" s="873"/>
      <c r="GW111" s="873"/>
      <c r="GX111" s="873"/>
      <c r="GY111" s="873"/>
      <c r="GZ111" s="873"/>
      <c r="HA111" s="873"/>
      <c r="HB111" s="873"/>
      <c r="HC111" s="873"/>
      <c r="HD111" s="873"/>
      <c r="HE111" s="873"/>
      <c r="HF111" s="873"/>
      <c r="HG111" s="873"/>
      <c r="HH111" s="873"/>
      <c r="HI111" s="873"/>
      <c r="HJ111" s="873"/>
      <c r="HK111" s="873"/>
      <c r="HL111" s="873"/>
      <c r="HM111" s="873"/>
      <c r="HN111" s="873"/>
      <c r="HO111" s="873"/>
      <c r="HP111" s="873"/>
      <c r="HQ111" s="873"/>
      <c r="HR111" s="873"/>
      <c r="HS111" s="873"/>
      <c r="HT111" s="873"/>
      <c r="HU111" s="873"/>
      <c r="HV111" s="873"/>
      <c r="HW111" s="873"/>
      <c r="HX111" s="873"/>
      <c r="HY111" s="873"/>
      <c r="HZ111" s="873"/>
      <c r="IA111" s="873"/>
      <c r="IB111" s="873"/>
      <c r="IC111" s="873"/>
      <c r="ID111" s="873"/>
      <c r="IE111" s="873"/>
      <c r="IF111" s="873"/>
      <c r="IG111" s="873"/>
      <c r="IH111" s="873"/>
      <c r="II111" s="873"/>
      <c r="IJ111" s="873"/>
      <c r="IK111" s="873"/>
      <c r="IL111" s="873"/>
      <c r="IM111" s="873"/>
      <c r="IN111" s="873"/>
      <c r="IO111" s="873"/>
      <c r="IP111" s="873"/>
      <c r="IQ111" s="873"/>
      <c r="IR111" s="873"/>
      <c r="IS111" s="873"/>
      <c r="IT111" s="873"/>
      <c r="IU111" s="873"/>
      <c r="IV111" s="873"/>
      <c r="IW111" s="873"/>
    </row>
    <row r="112" spans="1:257" s="876" customFormat="1" ht="56">
      <c r="A112" s="2498" t="s">
        <v>2152</v>
      </c>
      <c r="B112" s="1148" t="s">
        <v>2153</v>
      </c>
      <c r="C112" s="1117">
        <v>5</v>
      </c>
      <c r="D112" s="1117">
        <v>6</v>
      </c>
      <c r="E112" s="1118" t="s">
        <v>2608</v>
      </c>
      <c r="F112" s="1119" t="str">
        <f>IF(Scoring!I121="","",Scoring!I121)</f>
        <v/>
      </c>
      <c r="G112" s="1120"/>
      <c r="H112" s="1120"/>
      <c r="I112" s="1121" t="s">
        <v>2609</v>
      </c>
      <c r="J112" s="1122"/>
      <c r="K112" s="1122"/>
      <c r="L112" s="1123"/>
      <c r="M112" s="1124"/>
      <c r="N112" s="873"/>
      <c r="O112" s="877"/>
      <c r="P112" s="878"/>
      <c r="Q112" s="873"/>
      <c r="R112" s="873"/>
      <c r="S112" s="873"/>
      <c r="T112" s="873"/>
      <c r="U112" s="873"/>
      <c r="V112" s="873"/>
      <c r="W112" s="873"/>
      <c r="X112" s="873"/>
      <c r="Y112" s="873"/>
      <c r="Z112" s="873"/>
      <c r="AA112" s="873"/>
      <c r="AB112" s="873"/>
      <c r="AC112" s="873"/>
      <c r="AD112" s="873"/>
      <c r="AE112" s="873"/>
      <c r="AF112" s="873"/>
      <c r="AG112" s="873"/>
      <c r="AH112" s="873"/>
      <c r="AI112" s="873"/>
      <c r="AJ112" s="873"/>
      <c r="AK112" s="873"/>
      <c r="AL112" s="873"/>
      <c r="AM112" s="873"/>
      <c r="AN112" s="873"/>
      <c r="AO112" s="873"/>
      <c r="AP112" s="873"/>
      <c r="AQ112" s="873"/>
      <c r="AR112" s="873"/>
      <c r="AS112" s="873"/>
      <c r="AT112" s="873"/>
      <c r="AU112" s="873"/>
      <c r="AV112" s="873"/>
      <c r="AW112" s="873"/>
      <c r="AX112" s="873"/>
      <c r="AY112" s="873"/>
      <c r="AZ112" s="873"/>
      <c r="BA112" s="873"/>
      <c r="BB112" s="873"/>
      <c r="BC112" s="873"/>
      <c r="BD112" s="873"/>
      <c r="BE112" s="873"/>
      <c r="BF112" s="873"/>
      <c r="BG112" s="873"/>
      <c r="BH112" s="873"/>
      <c r="BI112" s="873"/>
      <c r="BJ112" s="873"/>
      <c r="BK112" s="873"/>
      <c r="BL112" s="873"/>
      <c r="BM112" s="873"/>
      <c r="BN112" s="873"/>
      <c r="BO112" s="873"/>
      <c r="BP112" s="873"/>
      <c r="BQ112" s="873"/>
      <c r="BR112" s="873"/>
      <c r="BS112" s="873"/>
      <c r="BT112" s="873"/>
      <c r="BU112" s="873"/>
      <c r="BV112" s="873"/>
      <c r="BW112" s="873"/>
      <c r="BX112" s="873"/>
      <c r="BY112" s="873"/>
      <c r="BZ112" s="873"/>
      <c r="CA112" s="873"/>
      <c r="CB112" s="873"/>
      <c r="CC112" s="873"/>
      <c r="CD112" s="873"/>
      <c r="CE112" s="873"/>
      <c r="CF112" s="873"/>
      <c r="CG112" s="873"/>
      <c r="CH112" s="873"/>
      <c r="CI112" s="873"/>
      <c r="CJ112" s="873"/>
      <c r="CK112" s="873"/>
      <c r="CL112" s="873"/>
      <c r="CM112" s="873"/>
      <c r="CN112" s="873"/>
      <c r="CO112" s="873"/>
      <c r="CP112" s="873"/>
      <c r="CQ112" s="873"/>
      <c r="CR112" s="873"/>
      <c r="CS112" s="873"/>
      <c r="CT112" s="873"/>
      <c r="CU112" s="873"/>
      <c r="CV112" s="873"/>
      <c r="CW112" s="873"/>
      <c r="CX112" s="873"/>
      <c r="CY112" s="873"/>
      <c r="CZ112" s="873"/>
      <c r="DA112" s="873"/>
      <c r="DB112" s="873"/>
      <c r="DC112" s="873"/>
      <c r="DD112" s="873"/>
      <c r="DE112" s="873"/>
      <c r="DF112" s="873"/>
      <c r="DG112" s="873"/>
      <c r="DH112" s="873"/>
      <c r="DI112" s="873"/>
      <c r="DJ112" s="873"/>
      <c r="DK112" s="873"/>
      <c r="DL112" s="873"/>
      <c r="DM112" s="873"/>
      <c r="DN112" s="873"/>
      <c r="DO112" s="873"/>
      <c r="DP112" s="873"/>
      <c r="DQ112" s="873"/>
      <c r="DR112" s="873"/>
      <c r="DS112" s="873"/>
      <c r="DT112" s="873"/>
      <c r="DU112" s="873"/>
      <c r="DV112" s="873"/>
      <c r="DW112" s="873"/>
      <c r="DX112" s="873"/>
      <c r="DY112" s="873"/>
      <c r="DZ112" s="873"/>
      <c r="EA112" s="873"/>
      <c r="EB112" s="873"/>
      <c r="EC112" s="873"/>
      <c r="ED112" s="873"/>
      <c r="EE112" s="873"/>
      <c r="EF112" s="873"/>
      <c r="EG112" s="873"/>
      <c r="EH112" s="873"/>
      <c r="EI112" s="873"/>
      <c r="EJ112" s="873"/>
      <c r="EK112" s="873"/>
      <c r="EL112" s="873"/>
      <c r="EM112" s="873"/>
      <c r="EN112" s="873"/>
      <c r="EO112" s="873"/>
      <c r="EP112" s="873"/>
      <c r="EQ112" s="873"/>
      <c r="ER112" s="873"/>
      <c r="ES112" s="873"/>
      <c r="ET112" s="873"/>
      <c r="EU112" s="873"/>
      <c r="EV112" s="873"/>
      <c r="EW112" s="873"/>
      <c r="EX112" s="873"/>
      <c r="EY112" s="873"/>
      <c r="EZ112" s="873"/>
      <c r="FA112" s="873"/>
      <c r="FB112" s="873"/>
      <c r="FC112" s="873"/>
      <c r="FD112" s="873"/>
      <c r="FE112" s="873"/>
      <c r="FF112" s="873"/>
      <c r="FG112" s="873"/>
      <c r="FH112" s="873"/>
      <c r="FI112" s="873"/>
      <c r="FJ112" s="873"/>
      <c r="FK112" s="873"/>
      <c r="FL112" s="873"/>
      <c r="FM112" s="873"/>
      <c r="FN112" s="873"/>
      <c r="FO112" s="873"/>
      <c r="FP112" s="873"/>
      <c r="FQ112" s="873"/>
      <c r="FR112" s="873"/>
      <c r="FS112" s="873"/>
      <c r="FT112" s="873"/>
      <c r="FU112" s="873"/>
      <c r="FV112" s="873"/>
      <c r="FW112" s="873"/>
      <c r="FX112" s="873"/>
      <c r="FY112" s="873"/>
      <c r="FZ112" s="873"/>
      <c r="GA112" s="873"/>
      <c r="GB112" s="873"/>
      <c r="GC112" s="873"/>
      <c r="GD112" s="873"/>
      <c r="GE112" s="873"/>
      <c r="GF112" s="873"/>
      <c r="GG112" s="873"/>
      <c r="GH112" s="873"/>
      <c r="GI112" s="873"/>
      <c r="GJ112" s="873"/>
      <c r="GK112" s="873"/>
      <c r="GL112" s="873"/>
      <c r="GM112" s="873"/>
      <c r="GN112" s="873"/>
      <c r="GO112" s="873"/>
      <c r="GP112" s="873"/>
      <c r="GQ112" s="873"/>
      <c r="GR112" s="873"/>
      <c r="GS112" s="873"/>
      <c r="GT112" s="873"/>
      <c r="GU112" s="873"/>
      <c r="GV112" s="873"/>
      <c r="GW112" s="873"/>
      <c r="GX112" s="873"/>
      <c r="GY112" s="873"/>
      <c r="GZ112" s="873"/>
      <c r="HA112" s="873"/>
      <c r="HB112" s="873"/>
      <c r="HC112" s="873"/>
      <c r="HD112" s="873"/>
      <c r="HE112" s="873"/>
      <c r="HF112" s="873"/>
      <c r="HG112" s="873"/>
      <c r="HH112" s="873"/>
      <c r="HI112" s="873"/>
      <c r="HJ112" s="873"/>
      <c r="HK112" s="873"/>
      <c r="HL112" s="873"/>
      <c r="HM112" s="873"/>
      <c r="HN112" s="873"/>
      <c r="HO112" s="873"/>
      <c r="HP112" s="873"/>
      <c r="HQ112" s="873"/>
      <c r="HR112" s="873"/>
      <c r="HS112" s="873"/>
      <c r="HT112" s="873"/>
      <c r="HU112" s="873"/>
      <c r="HV112" s="873"/>
      <c r="HW112" s="873"/>
      <c r="HX112" s="873"/>
      <c r="HY112" s="873"/>
      <c r="HZ112" s="873"/>
      <c r="IA112" s="873"/>
      <c r="IB112" s="873"/>
      <c r="IC112" s="873"/>
      <c r="ID112" s="873"/>
      <c r="IE112" s="873"/>
      <c r="IF112" s="873"/>
      <c r="IG112" s="873"/>
      <c r="IH112" s="873"/>
      <c r="II112" s="873"/>
      <c r="IJ112" s="873"/>
      <c r="IK112" s="873"/>
      <c r="IL112" s="873"/>
      <c r="IM112" s="873"/>
      <c r="IN112" s="873"/>
      <c r="IO112" s="873"/>
      <c r="IP112" s="873"/>
      <c r="IQ112" s="873"/>
      <c r="IR112" s="873"/>
      <c r="IS112" s="873"/>
      <c r="IT112" s="873"/>
      <c r="IU112" s="873"/>
      <c r="IV112" s="873"/>
      <c r="IW112" s="873"/>
    </row>
    <row r="113" spans="1:257" ht="99" thickBot="1">
      <c r="A113" s="2500"/>
      <c r="B113" s="1150" t="s">
        <v>2155</v>
      </c>
      <c r="C113" s="1143">
        <v>4</v>
      </c>
      <c r="D113" s="1143">
        <v>4</v>
      </c>
      <c r="E113" s="1136" t="s">
        <v>1460</v>
      </c>
      <c r="F113" s="1137" t="str">
        <f>IF(Scoring!I122="","",Scoring!I122)</f>
        <v/>
      </c>
      <c r="G113" s="1138"/>
      <c r="H113" s="1138"/>
      <c r="I113" s="1139" t="s">
        <v>2553</v>
      </c>
      <c r="J113" s="1140"/>
      <c r="K113" s="1140">
        <f>COUNT(F112:F113)</f>
        <v>0</v>
      </c>
      <c r="L113" s="1141">
        <f>SUM(F112:F113)</f>
        <v>0</v>
      </c>
      <c r="M113" s="1142">
        <f>IF(L113&lt;1,0,1)</f>
        <v>0</v>
      </c>
      <c r="O113" s="869"/>
      <c r="P113" s="870">
        <f>COUNTA(F112:F113)</f>
        <v>2</v>
      </c>
    </row>
    <row r="114" spans="1:257" ht="14" thickTop="1">
      <c r="A114" s="861"/>
      <c r="F114" s="861"/>
      <c r="J114" s="861"/>
      <c r="K114" s="861"/>
    </row>
    <row r="115" spans="1:257">
      <c r="A115" s="861"/>
      <c r="F115" s="861"/>
      <c r="J115" s="861"/>
      <c r="K115" s="861"/>
    </row>
    <row r="116" spans="1:257" ht="14" thickBot="1">
      <c r="A116" s="861"/>
      <c r="F116" s="861"/>
      <c r="J116" s="861"/>
      <c r="K116" s="861"/>
    </row>
    <row r="117" spans="1:257" s="876" customFormat="1" ht="113" thickTop="1">
      <c r="A117" s="1151" t="s">
        <v>2161</v>
      </c>
      <c r="B117" s="1161" t="s">
        <v>2162</v>
      </c>
      <c r="C117" s="1162">
        <v>4</v>
      </c>
      <c r="D117" s="1162">
        <v>2</v>
      </c>
      <c r="E117" s="1154" t="s">
        <v>1466</v>
      </c>
      <c r="F117" s="1155" t="str">
        <f>IF(Scoring!I126="","",Scoring!I126)</f>
        <v/>
      </c>
      <c r="G117" s="1156"/>
      <c r="H117" s="1156"/>
      <c r="I117" s="1157" t="s">
        <v>2610</v>
      </c>
      <c r="J117" s="1158"/>
      <c r="K117" s="1158">
        <f>COUNT(F117:F117)</f>
        <v>0</v>
      </c>
      <c r="L117" s="1159">
        <f>SUM(F117:F117)</f>
        <v>0</v>
      </c>
      <c r="M117" s="1160">
        <f>IF(L117&lt;1,0,1)</f>
        <v>0</v>
      </c>
      <c r="N117" s="873"/>
      <c r="O117" s="885"/>
      <c r="P117" s="875">
        <f>COUNTA(F117:F117)</f>
        <v>1</v>
      </c>
      <c r="Q117" s="873"/>
      <c r="R117" s="873"/>
      <c r="S117" s="873"/>
      <c r="T117" s="873"/>
      <c r="U117" s="873"/>
      <c r="V117" s="873"/>
      <c r="W117" s="873"/>
      <c r="X117" s="873"/>
      <c r="Y117" s="873"/>
      <c r="Z117" s="873"/>
      <c r="AA117" s="873"/>
      <c r="AB117" s="873"/>
      <c r="AC117" s="873"/>
      <c r="AD117" s="873"/>
      <c r="AE117" s="873"/>
      <c r="AF117" s="873"/>
      <c r="AG117" s="873"/>
      <c r="AH117" s="873"/>
      <c r="AI117" s="873"/>
      <c r="AJ117" s="873"/>
      <c r="AK117" s="873"/>
      <c r="AL117" s="873"/>
      <c r="AM117" s="873"/>
      <c r="AN117" s="873"/>
      <c r="AO117" s="873"/>
      <c r="AP117" s="873"/>
      <c r="AQ117" s="873"/>
      <c r="AR117" s="873"/>
      <c r="AS117" s="873"/>
      <c r="AT117" s="873"/>
      <c r="AU117" s="873"/>
      <c r="AV117" s="873"/>
      <c r="AW117" s="873"/>
      <c r="AX117" s="873"/>
      <c r="AY117" s="873"/>
      <c r="AZ117" s="873"/>
      <c r="BA117" s="873"/>
      <c r="BB117" s="873"/>
      <c r="BC117" s="873"/>
      <c r="BD117" s="873"/>
      <c r="BE117" s="873"/>
      <c r="BF117" s="873"/>
      <c r="BG117" s="873"/>
      <c r="BH117" s="873"/>
      <c r="BI117" s="873"/>
      <c r="BJ117" s="873"/>
      <c r="BK117" s="873"/>
      <c r="BL117" s="873"/>
      <c r="BM117" s="873"/>
      <c r="BN117" s="873"/>
      <c r="BO117" s="873"/>
      <c r="BP117" s="873"/>
      <c r="BQ117" s="873"/>
      <c r="BR117" s="873"/>
      <c r="BS117" s="873"/>
      <c r="BT117" s="873"/>
      <c r="BU117" s="873"/>
      <c r="BV117" s="873"/>
      <c r="BW117" s="873"/>
      <c r="BX117" s="873"/>
      <c r="BY117" s="873"/>
      <c r="BZ117" s="873"/>
      <c r="CA117" s="873"/>
      <c r="CB117" s="873"/>
      <c r="CC117" s="873"/>
      <c r="CD117" s="873"/>
      <c r="CE117" s="873"/>
      <c r="CF117" s="873"/>
      <c r="CG117" s="873"/>
      <c r="CH117" s="873"/>
      <c r="CI117" s="873"/>
      <c r="CJ117" s="873"/>
      <c r="CK117" s="873"/>
      <c r="CL117" s="873"/>
      <c r="CM117" s="873"/>
      <c r="CN117" s="873"/>
      <c r="CO117" s="873"/>
      <c r="CP117" s="873"/>
      <c r="CQ117" s="873"/>
      <c r="CR117" s="873"/>
      <c r="CS117" s="873"/>
      <c r="CT117" s="873"/>
      <c r="CU117" s="873"/>
      <c r="CV117" s="873"/>
      <c r="CW117" s="873"/>
      <c r="CX117" s="873"/>
      <c r="CY117" s="873"/>
      <c r="CZ117" s="873"/>
      <c r="DA117" s="873"/>
      <c r="DB117" s="873"/>
      <c r="DC117" s="873"/>
      <c r="DD117" s="873"/>
      <c r="DE117" s="873"/>
      <c r="DF117" s="873"/>
      <c r="DG117" s="873"/>
      <c r="DH117" s="873"/>
      <c r="DI117" s="873"/>
      <c r="DJ117" s="873"/>
      <c r="DK117" s="873"/>
      <c r="DL117" s="873"/>
      <c r="DM117" s="873"/>
      <c r="DN117" s="873"/>
      <c r="DO117" s="873"/>
      <c r="DP117" s="873"/>
      <c r="DQ117" s="873"/>
      <c r="DR117" s="873"/>
      <c r="DS117" s="873"/>
      <c r="DT117" s="873"/>
      <c r="DU117" s="873"/>
      <c r="DV117" s="873"/>
      <c r="DW117" s="873"/>
      <c r="DX117" s="873"/>
      <c r="DY117" s="873"/>
      <c r="DZ117" s="873"/>
      <c r="EA117" s="873"/>
      <c r="EB117" s="873"/>
      <c r="EC117" s="873"/>
      <c r="ED117" s="873"/>
      <c r="EE117" s="873"/>
      <c r="EF117" s="873"/>
      <c r="EG117" s="873"/>
      <c r="EH117" s="873"/>
      <c r="EI117" s="873"/>
      <c r="EJ117" s="873"/>
      <c r="EK117" s="873"/>
      <c r="EL117" s="873"/>
      <c r="EM117" s="873"/>
      <c r="EN117" s="873"/>
      <c r="EO117" s="873"/>
      <c r="EP117" s="873"/>
      <c r="EQ117" s="873"/>
      <c r="ER117" s="873"/>
      <c r="ES117" s="873"/>
      <c r="ET117" s="873"/>
      <c r="EU117" s="873"/>
      <c r="EV117" s="873"/>
      <c r="EW117" s="873"/>
      <c r="EX117" s="873"/>
      <c r="EY117" s="873"/>
      <c r="EZ117" s="873"/>
      <c r="FA117" s="873"/>
      <c r="FB117" s="873"/>
      <c r="FC117" s="873"/>
      <c r="FD117" s="873"/>
      <c r="FE117" s="873"/>
      <c r="FF117" s="873"/>
      <c r="FG117" s="873"/>
      <c r="FH117" s="873"/>
      <c r="FI117" s="873"/>
      <c r="FJ117" s="873"/>
      <c r="FK117" s="873"/>
      <c r="FL117" s="873"/>
      <c r="FM117" s="873"/>
      <c r="FN117" s="873"/>
      <c r="FO117" s="873"/>
      <c r="FP117" s="873"/>
      <c r="FQ117" s="873"/>
      <c r="FR117" s="873"/>
      <c r="FS117" s="873"/>
      <c r="FT117" s="873"/>
      <c r="FU117" s="873"/>
      <c r="FV117" s="873"/>
      <c r="FW117" s="873"/>
      <c r="FX117" s="873"/>
      <c r="FY117" s="873"/>
      <c r="FZ117" s="873"/>
      <c r="GA117" s="873"/>
      <c r="GB117" s="873"/>
      <c r="GC117" s="873"/>
      <c r="GD117" s="873"/>
      <c r="GE117" s="873"/>
      <c r="GF117" s="873"/>
      <c r="GG117" s="873"/>
      <c r="GH117" s="873"/>
      <c r="GI117" s="873"/>
      <c r="GJ117" s="873"/>
      <c r="GK117" s="873"/>
      <c r="GL117" s="873"/>
      <c r="GM117" s="873"/>
      <c r="GN117" s="873"/>
      <c r="GO117" s="873"/>
      <c r="GP117" s="873"/>
      <c r="GQ117" s="873"/>
      <c r="GR117" s="873"/>
      <c r="GS117" s="873"/>
      <c r="GT117" s="873"/>
      <c r="GU117" s="873"/>
      <c r="GV117" s="873"/>
      <c r="GW117" s="873"/>
      <c r="GX117" s="873"/>
      <c r="GY117" s="873"/>
      <c r="GZ117" s="873"/>
      <c r="HA117" s="873"/>
      <c r="HB117" s="873"/>
      <c r="HC117" s="873"/>
      <c r="HD117" s="873"/>
      <c r="HE117" s="873"/>
      <c r="HF117" s="873"/>
      <c r="HG117" s="873"/>
      <c r="HH117" s="873"/>
      <c r="HI117" s="873"/>
      <c r="HJ117" s="873"/>
      <c r="HK117" s="873"/>
      <c r="HL117" s="873"/>
      <c r="HM117" s="873"/>
      <c r="HN117" s="873"/>
      <c r="HO117" s="873"/>
      <c r="HP117" s="873"/>
      <c r="HQ117" s="873"/>
      <c r="HR117" s="873"/>
      <c r="HS117" s="873"/>
      <c r="HT117" s="873"/>
      <c r="HU117" s="873"/>
      <c r="HV117" s="873"/>
      <c r="HW117" s="873"/>
      <c r="HX117" s="873"/>
      <c r="HY117" s="873"/>
      <c r="HZ117" s="873"/>
      <c r="IA117" s="873"/>
      <c r="IB117" s="873"/>
      <c r="IC117" s="873"/>
      <c r="ID117" s="873"/>
      <c r="IE117" s="873"/>
      <c r="IF117" s="873"/>
      <c r="IG117" s="873"/>
      <c r="IH117" s="873"/>
      <c r="II117" s="873"/>
      <c r="IJ117" s="873"/>
      <c r="IK117" s="873"/>
      <c r="IL117" s="873"/>
      <c r="IM117" s="873"/>
      <c r="IN117" s="873"/>
      <c r="IO117" s="873"/>
      <c r="IP117" s="873"/>
      <c r="IQ117" s="873"/>
      <c r="IR117" s="873"/>
      <c r="IS117" s="873"/>
      <c r="IT117" s="873"/>
      <c r="IU117" s="873"/>
      <c r="IV117" s="873"/>
      <c r="IW117" s="873"/>
    </row>
    <row r="118" spans="1:257" s="876" customFormat="1">
      <c r="A118" s="873"/>
      <c r="B118" s="873"/>
      <c r="C118" s="873"/>
      <c r="D118" s="873"/>
      <c r="E118" s="873"/>
      <c r="F118" s="873"/>
      <c r="G118" s="873"/>
      <c r="H118" s="873"/>
      <c r="I118" s="873"/>
      <c r="J118" s="873"/>
      <c r="K118" s="873"/>
      <c r="L118" s="873"/>
      <c r="M118" s="873"/>
      <c r="N118" s="873"/>
      <c r="O118" s="873"/>
      <c r="P118" s="873"/>
      <c r="Q118" s="873"/>
      <c r="R118" s="873"/>
      <c r="S118" s="873"/>
      <c r="T118" s="873"/>
      <c r="U118" s="873"/>
      <c r="V118" s="873"/>
      <c r="W118" s="873"/>
      <c r="X118" s="873"/>
      <c r="Y118" s="873"/>
      <c r="Z118" s="873"/>
      <c r="AA118" s="873"/>
      <c r="AB118" s="873"/>
      <c r="AC118" s="873"/>
      <c r="AD118" s="873"/>
      <c r="AE118" s="873"/>
      <c r="AF118" s="873"/>
      <c r="AG118" s="873"/>
      <c r="AH118" s="873"/>
      <c r="AI118" s="873"/>
      <c r="AJ118" s="873"/>
      <c r="AK118" s="873"/>
      <c r="AL118" s="873"/>
      <c r="AM118" s="873"/>
      <c r="AN118" s="873"/>
      <c r="AO118" s="873"/>
      <c r="AP118" s="873"/>
      <c r="AQ118" s="873"/>
      <c r="AR118" s="873"/>
      <c r="AS118" s="873"/>
      <c r="AT118" s="873"/>
      <c r="AU118" s="873"/>
      <c r="AV118" s="873"/>
      <c r="AW118" s="873"/>
      <c r="AX118" s="873"/>
      <c r="AY118" s="873"/>
      <c r="AZ118" s="873"/>
      <c r="BA118" s="873"/>
      <c r="BB118" s="873"/>
      <c r="BC118" s="873"/>
      <c r="BD118" s="873"/>
      <c r="BE118" s="873"/>
      <c r="BF118" s="873"/>
      <c r="BG118" s="873"/>
      <c r="BH118" s="873"/>
      <c r="BI118" s="873"/>
      <c r="BJ118" s="873"/>
      <c r="BK118" s="873"/>
      <c r="BL118" s="873"/>
      <c r="BM118" s="873"/>
      <c r="BN118" s="873"/>
      <c r="BO118" s="873"/>
      <c r="BP118" s="873"/>
      <c r="BQ118" s="873"/>
      <c r="BR118" s="873"/>
      <c r="BS118" s="873"/>
      <c r="BT118" s="873"/>
      <c r="BU118" s="873"/>
      <c r="BV118" s="873"/>
      <c r="BW118" s="873"/>
      <c r="BX118" s="873"/>
      <c r="BY118" s="873"/>
      <c r="BZ118" s="873"/>
      <c r="CA118" s="873"/>
      <c r="CB118" s="873"/>
      <c r="CC118" s="873"/>
      <c r="CD118" s="873"/>
      <c r="CE118" s="873"/>
      <c r="CF118" s="873"/>
      <c r="CG118" s="873"/>
      <c r="CH118" s="873"/>
      <c r="CI118" s="873"/>
      <c r="CJ118" s="873"/>
      <c r="CK118" s="873"/>
      <c r="CL118" s="873"/>
      <c r="CM118" s="873"/>
      <c r="CN118" s="873"/>
      <c r="CO118" s="873"/>
      <c r="CP118" s="873"/>
      <c r="CQ118" s="873"/>
      <c r="CR118" s="873"/>
      <c r="CS118" s="873"/>
      <c r="CT118" s="873"/>
      <c r="CU118" s="873"/>
      <c r="CV118" s="873"/>
      <c r="CW118" s="873"/>
      <c r="CX118" s="873"/>
      <c r="CY118" s="873"/>
      <c r="CZ118" s="873"/>
      <c r="DA118" s="873"/>
      <c r="DB118" s="873"/>
      <c r="DC118" s="873"/>
      <c r="DD118" s="873"/>
      <c r="DE118" s="873"/>
      <c r="DF118" s="873"/>
      <c r="DG118" s="873"/>
      <c r="DH118" s="873"/>
      <c r="DI118" s="873"/>
      <c r="DJ118" s="873"/>
      <c r="DK118" s="873"/>
      <c r="DL118" s="873"/>
      <c r="DM118" s="873"/>
      <c r="DN118" s="873"/>
      <c r="DO118" s="873"/>
      <c r="DP118" s="873"/>
      <c r="DQ118" s="873"/>
      <c r="DR118" s="873"/>
      <c r="DS118" s="873"/>
      <c r="DT118" s="873"/>
      <c r="DU118" s="873"/>
      <c r="DV118" s="873"/>
      <c r="DW118" s="873"/>
      <c r="DX118" s="873"/>
      <c r="DY118" s="873"/>
      <c r="DZ118" s="873"/>
      <c r="EA118" s="873"/>
      <c r="EB118" s="873"/>
      <c r="EC118" s="873"/>
      <c r="ED118" s="873"/>
      <c r="EE118" s="873"/>
      <c r="EF118" s="873"/>
      <c r="EG118" s="873"/>
      <c r="EH118" s="873"/>
      <c r="EI118" s="873"/>
      <c r="EJ118" s="873"/>
      <c r="EK118" s="873"/>
      <c r="EL118" s="873"/>
      <c r="EM118" s="873"/>
      <c r="EN118" s="873"/>
      <c r="EO118" s="873"/>
      <c r="EP118" s="873"/>
      <c r="EQ118" s="873"/>
      <c r="ER118" s="873"/>
      <c r="ES118" s="873"/>
      <c r="ET118" s="873"/>
      <c r="EU118" s="873"/>
      <c r="EV118" s="873"/>
      <c r="EW118" s="873"/>
      <c r="EX118" s="873"/>
      <c r="EY118" s="873"/>
      <c r="EZ118" s="873"/>
      <c r="FA118" s="873"/>
      <c r="FB118" s="873"/>
      <c r="FC118" s="873"/>
      <c r="FD118" s="873"/>
      <c r="FE118" s="873"/>
      <c r="FF118" s="873"/>
      <c r="FG118" s="873"/>
      <c r="FH118" s="873"/>
      <c r="FI118" s="873"/>
      <c r="FJ118" s="873"/>
      <c r="FK118" s="873"/>
      <c r="FL118" s="873"/>
      <c r="FM118" s="873"/>
      <c r="FN118" s="873"/>
      <c r="FO118" s="873"/>
      <c r="FP118" s="873"/>
      <c r="FQ118" s="873"/>
      <c r="FR118" s="873"/>
      <c r="FS118" s="873"/>
      <c r="FT118" s="873"/>
      <c r="FU118" s="873"/>
      <c r="FV118" s="873"/>
      <c r="FW118" s="873"/>
      <c r="FX118" s="873"/>
      <c r="FY118" s="873"/>
      <c r="FZ118" s="873"/>
      <c r="GA118" s="873"/>
      <c r="GB118" s="873"/>
      <c r="GC118" s="873"/>
      <c r="GD118" s="873"/>
      <c r="GE118" s="873"/>
      <c r="GF118" s="873"/>
      <c r="GG118" s="873"/>
      <c r="GH118" s="873"/>
      <c r="GI118" s="873"/>
      <c r="GJ118" s="873"/>
      <c r="GK118" s="873"/>
      <c r="GL118" s="873"/>
      <c r="GM118" s="873"/>
      <c r="GN118" s="873"/>
      <c r="GO118" s="873"/>
      <c r="GP118" s="873"/>
      <c r="GQ118" s="873"/>
      <c r="GR118" s="873"/>
      <c r="GS118" s="873"/>
      <c r="GT118" s="873"/>
      <c r="GU118" s="873"/>
      <c r="GV118" s="873"/>
      <c r="GW118" s="873"/>
      <c r="GX118" s="873"/>
      <c r="GY118" s="873"/>
      <c r="GZ118" s="873"/>
      <c r="HA118" s="873"/>
      <c r="HB118" s="873"/>
      <c r="HC118" s="873"/>
      <c r="HD118" s="873"/>
      <c r="HE118" s="873"/>
      <c r="HF118" s="873"/>
      <c r="HG118" s="873"/>
      <c r="HH118" s="873"/>
      <c r="HI118" s="873"/>
      <c r="HJ118" s="873"/>
      <c r="HK118" s="873"/>
      <c r="HL118" s="873"/>
      <c r="HM118" s="873"/>
      <c r="HN118" s="873"/>
      <c r="HO118" s="873"/>
      <c r="HP118" s="873"/>
      <c r="HQ118" s="873"/>
      <c r="HR118" s="873"/>
      <c r="HS118" s="873"/>
      <c r="HT118" s="873"/>
      <c r="HU118" s="873"/>
      <c r="HV118" s="873"/>
      <c r="HW118" s="873"/>
      <c r="HX118" s="873"/>
      <c r="HY118" s="873"/>
      <c r="HZ118" s="873"/>
      <c r="IA118" s="873"/>
      <c r="IB118" s="873"/>
      <c r="IC118" s="873"/>
      <c r="ID118" s="873"/>
      <c r="IE118" s="873"/>
      <c r="IF118" s="873"/>
      <c r="IG118" s="873"/>
      <c r="IH118" s="873"/>
      <c r="II118" s="873"/>
      <c r="IJ118" s="873"/>
      <c r="IK118" s="873"/>
      <c r="IL118" s="873"/>
      <c r="IM118" s="873"/>
      <c r="IN118" s="873"/>
      <c r="IO118" s="873"/>
      <c r="IP118" s="873"/>
      <c r="IQ118" s="873"/>
      <c r="IR118" s="873"/>
      <c r="IS118" s="873"/>
      <c r="IT118" s="873"/>
      <c r="IU118" s="873"/>
      <c r="IV118" s="873"/>
      <c r="IW118" s="873"/>
    </row>
    <row r="119" spans="1:257" s="876" customFormat="1">
      <c r="A119" s="873"/>
      <c r="B119" s="873"/>
      <c r="C119" s="873"/>
      <c r="D119" s="873"/>
      <c r="E119" s="873"/>
      <c r="F119" s="873"/>
      <c r="G119" s="873"/>
      <c r="H119" s="873"/>
      <c r="I119" s="873"/>
      <c r="J119" s="873"/>
      <c r="K119" s="873"/>
      <c r="L119" s="873"/>
      <c r="M119" s="873"/>
      <c r="N119" s="873"/>
      <c r="O119" s="873"/>
      <c r="P119" s="873"/>
      <c r="Q119" s="873"/>
      <c r="R119" s="873"/>
      <c r="S119" s="873"/>
      <c r="T119" s="873"/>
      <c r="U119" s="873"/>
      <c r="V119" s="873"/>
      <c r="W119" s="873"/>
      <c r="X119" s="873"/>
      <c r="Y119" s="873"/>
      <c r="Z119" s="873"/>
      <c r="AA119" s="873"/>
      <c r="AB119" s="873"/>
      <c r="AC119" s="873"/>
      <c r="AD119" s="873"/>
      <c r="AE119" s="873"/>
      <c r="AF119" s="873"/>
      <c r="AG119" s="873"/>
      <c r="AH119" s="873"/>
      <c r="AI119" s="873"/>
      <c r="AJ119" s="873"/>
      <c r="AK119" s="873"/>
      <c r="AL119" s="873"/>
      <c r="AM119" s="873"/>
      <c r="AN119" s="873"/>
      <c r="AO119" s="873"/>
      <c r="AP119" s="873"/>
      <c r="AQ119" s="873"/>
      <c r="AR119" s="873"/>
      <c r="AS119" s="873"/>
      <c r="AT119" s="873"/>
      <c r="AU119" s="873"/>
      <c r="AV119" s="873"/>
      <c r="AW119" s="873"/>
      <c r="AX119" s="873"/>
      <c r="AY119" s="873"/>
      <c r="AZ119" s="873"/>
      <c r="BA119" s="873"/>
      <c r="BB119" s="873"/>
      <c r="BC119" s="873"/>
      <c r="BD119" s="873"/>
      <c r="BE119" s="873"/>
      <c r="BF119" s="873"/>
      <c r="BG119" s="873"/>
      <c r="BH119" s="873"/>
      <c r="BI119" s="873"/>
      <c r="BJ119" s="873"/>
      <c r="BK119" s="873"/>
      <c r="BL119" s="873"/>
      <c r="BM119" s="873"/>
      <c r="BN119" s="873"/>
      <c r="BO119" s="873"/>
      <c r="BP119" s="873"/>
      <c r="BQ119" s="873"/>
      <c r="BR119" s="873"/>
      <c r="BS119" s="873"/>
      <c r="BT119" s="873"/>
      <c r="BU119" s="873"/>
      <c r="BV119" s="873"/>
      <c r="BW119" s="873"/>
      <c r="BX119" s="873"/>
      <c r="BY119" s="873"/>
      <c r="BZ119" s="873"/>
      <c r="CA119" s="873"/>
      <c r="CB119" s="873"/>
      <c r="CC119" s="873"/>
      <c r="CD119" s="873"/>
      <c r="CE119" s="873"/>
      <c r="CF119" s="873"/>
      <c r="CG119" s="873"/>
      <c r="CH119" s="873"/>
      <c r="CI119" s="873"/>
      <c r="CJ119" s="873"/>
      <c r="CK119" s="873"/>
      <c r="CL119" s="873"/>
      <c r="CM119" s="873"/>
      <c r="CN119" s="873"/>
      <c r="CO119" s="873"/>
      <c r="CP119" s="873"/>
      <c r="CQ119" s="873"/>
      <c r="CR119" s="873"/>
      <c r="CS119" s="873"/>
      <c r="CT119" s="873"/>
      <c r="CU119" s="873"/>
      <c r="CV119" s="873"/>
      <c r="CW119" s="873"/>
      <c r="CX119" s="873"/>
      <c r="CY119" s="873"/>
      <c r="CZ119" s="873"/>
      <c r="DA119" s="873"/>
      <c r="DB119" s="873"/>
      <c r="DC119" s="873"/>
      <c r="DD119" s="873"/>
      <c r="DE119" s="873"/>
      <c r="DF119" s="873"/>
      <c r="DG119" s="873"/>
      <c r="DH119" s="873"/>
      <c r="DI119" s="873"/>
      <c r="DJ119" s="873"/>
      <c r="DK119" s="873"/>
      <c r="DL119" s="873"/>
      <c r="DM119" s="873"/>
      <c r="DN119" s="873"/>
      <c r="DO119" s="873"/>
      <c r="DP119" s="873"/>
      <c r="DQ119" s="873"/>
      <c r="DR119" s="873"/>
      <c r="DS119" s="873"/>
      <c r="DT119" s="873"/>
      <c r="DU119" s="873"/>
      <c r="DV119" s="873"/>
      <c r="DW119" s="873"/>
      <c r="DX119" s="873"/>
      <c r="DY119" s="873"/>
      <c r="DZ119" s="873"/>
      <c r="EA119" s="873"/>
      <c r="EB119" s="873"/>
      <c r="EC119" s="873"/>
      <c r="ED119" s="873"/>
      <c r="EE119" s="873"/>
      <c r="EF119" s="873"/>
      <c r="EG119" s="873"/>
      <c r="EH119" s="873"/>
      <c r="EI119" s="873"/>
      <c r="EJ119" s="873"/>
      <c r="EK119" s="873"/>
      <c r="EL119" s="873"/>
      <c r="EM119" s="873"/>
      <c r="EN119" s="873"/>
      <c r="EO119" s="873"/>
      <c r="EP119" s="873"/>
      <c r="EQ119" s="873"/>
      <c r="ER119" s="873"/>
      <c r="ES119" s="873"/>
      <c r="ET119" s="873"/>
      <c r="EU119" s="873"/>
      <c r="EV119" s="873"/>
      <c r="EW119" s="873"/>
      <c r="EX119" s="873"/>
      <c r="EY119" s="873"/>
      <c r="EZ119" s="873"/>
      <c r="FA119" s="873"/>
      <c r="FB119" s="873"/>
      <c r="FC119" s="873"/>
      <c r="FD119" s="873"/>
      <c r="FE119" s="873"/>
      <c r="FF119" s="873"/>
      <c r="FG119" s="873"/>
      <c r="FH119" s="873"/>
      <c r="FI119" s="873"/>
      <c r="FJ119" s="873"/>
      <c r="FK119" s="873"/>
      <c r="FL119" s="873"/>
      <c r="FM119" s="873"/>
      <c r="FN119" s="873"/>
      <c r="FO119" s="873"/>
      <c r="FP119" s="873"/>
      <c r="FQ119" s="873"/>
      <c r="FR119" s="873"/>
      <c r="FS119" s="873"/>
      <c r="FT119" s="873"/>
      <c r="FU119" s="873"/>
      <c r="FV119" s="873"/>
      <c r="FW119" s="873"/>
      <c r="FX119" s="873"/>
      <c r="FY119" s="873"/>
      <c r="FZ119" s="873"/>
      <c r="GA119" s="873"/>
      <c r="GB119" s="873"/>
      <c r="GC119" s="873"/>
      <c r="GD119" s="873"/>
      <c r="GE119" s="873"/>
      <c r="GF119" s="873"/>
      <c r="GG119" s="873"/>
      <c r="GH119" s="873"/>
      <c r="GI119" s="873"/>
      <c r="GJ119" s="873"/>
      <c r="GK119" s="873"/>
      <c r="GL119" s="873"/>
      <c r="GM119" s="873"/>
      <c r="GN119" s="873"/>
      <c r="GO119" s="873"/>
      <c r="GP119" s="873"/>
      <c r="GQ119" s="873"/>
      <c r="GR119" s="873"/>
      <c r="GS119" s="873"/>
      <c r="GT119" s="873"/>
      <c r="GU119" s="873"/>
      <c r="GV119" s="873"/>
      <c r="GW119" s="873"/>
      <c r="GX119" s="873"/>
      <c r="GY119" s="873"/>
      <c r="GZ119" s="873"/>
      <c r="HA119" s="873"/>
      <c r="HB119" s="873"/>
      <c r="HC119" s="873"/>
      <c r="HD119" s="873"/>
      <c r="HE119" s="873"/>
      <c r="HF119" s="873"/>
      <c r="HG119" s="873"/>
      <c r="HH119" s="873"/>
      <c r="HI119" s="873"/>
      <c r="HJ119" s="873"/>
      <c r="HK119" s="873"/>
      <c r="HL119" s="873"/>
      <c r="HM119" s="873"/>
      <c r="HN119" s="873"/>
      <c r="HO119" s="873"/>
      <c r="HP119" s="873"/>
      <c r="HQ119" s="873"/>
      <c r="HR119" s="873"/>
      <c r="HS119" s="873"/>
      <c r="HT119" s="873"/>
      <c r="HU119" s="873"/>
      <c r="HV119" s="873"/>
      <c r="HW119" s="873"/>
      <c r="HX119" s="873"/>
      <c r="HY119" s="873"/>
      <c r="HZ119" s="873"/>
      <c r="IA119" s="873"/>
      <c r="IB119" s="873"/>
      <c r="IC119" s="873"/>
      <c r="ID119" s="873"/>
      <c r="IE119" s="873"/>
      <c r="IF119" s="873"/>
      <c r="IG119" s="873"/>
      <c r="IH119" s="873"/>
      <c r="II119" s="873"/>
      <c r="IJ119" s="873"/>
      <c r="IK119" s="873"/>
      <c r="IL119" s="873"/>
      <c r="IM119" s="873"/>
      <c r="IN119" s="873"/>
      <c r="IO119" s="873"/>
      <c r="IP119" s="873"/>
      <c r="IQ119" s="873"/>
      <c r="IR119" s="873"/>
      <c r="IS119" s="873"/>
      <c r="IT119" s="873"/>
      <c r="IU119" s="873"/>
      <c r="IV119" s="873"/>
      <c r="IW119" s="873"/>
    </row>
    <row r="120" spans="1:257" s="876" customFormat="1">
      <c r="A120" s="873"/>
      <c r="B120" s="873"/>
      <c r="C120" s="873"/>
      <c r="D120" s="873"/>
      <c r="E120" s="873"/>
      <c r="F120" s="873"/>
      <c r="G120" s="873"/>
      <c r="H120" s="873"/>
      <c r="I120" s="873"/>
      <c r="J120" s="873"/>
      <c r="K120" s="873"/>
      <c r="L120" s="873"/>
      <c r="M120" s="873"/>
      <c r="N120" s="873"/>
      <c r="O120" s="873"/>
      <c r="P120" s="873"/>
      <c r="Q120" s="873"/>
      <c r="R120" s="873"/>
      <c r="S120" s="873"/>
      <c r="T120" s="873"/>
      <c r="U120" s="873"/>
      <c r="V120" s="873"/>
      <c r="W120" s="873"/>
      <c r="X120" s="873"/>
      <c r="Y120" s="873"/>
      <c r="Z120" s="873"/>
      <c r="AA120" s="873"/>
      <c r="AB120" s="873"/>
      <c r="AC120" s="873"/>
      <c r="AD120" s="873"/>
      <c r="AE120" s="873"/>
      <c r="AF120" s="873"/>
      <c r="AG120" s="873"/>
      <c r="AH120" s="873"/>
      <c r="AI120" s="873"/>
      <c r="AJ120" s="873"/>
      <c r="AK120" s="873"/>
      <c r="AL120" s="873"/>
      <c r="AM120" s="873"/>
      <c r="AN120" s="873"/>
      <c r="AO120" s="873"/>
      <c r="AP120" s="873"/>
      <c r="AQ120" s="873"/>
      <c r="AR120" s="873"/>
      <c r="AS120" s="873"/>
      <c r="AT120" s="873"/>
      <c r="AU120" s="873"/>
      <c r="AV120" s="873"/>
      <c r="AW120" s="873"/>
      <c r="AX120" s="873"/>
      <c r="AY120" s="873"/>
      <c r="AZ120" s="873"/>
      <c r="BA120" s="873"/>
      <c r="BB120" s="873"/>
      <c r="BC120" s="873"/>
      <c r="BD120" s="873"/>
      <c r="BE120" s="873"/>
      <c r="BF120" s="873"/>
      <c r="BG120" s="873"/>
      <c r="BH120" s="873"/>
      <c r="BI120" s="873"/>
      <c r="BJ120" s="873"/>
      <c r="BK120" s="873"/>
      <c r="BL120" s="873"/>
      <c r="BM120" s="873"/>
      <c r="BN120" s="873"/>
      <c r="BO120" s="873"/>
      <c r="BP120" s="873"/>
      <c r="BQ120" s="873"/>
      <c r="BR120" s="873"/>
      <c r="BS120" s="873"/>
      <c r="BT120" s="873"/>
      <c r="BU120" s="873"/>
      <c r="BV120" s="873"/>
      <c r="BW120" s="873"/>
      <c r="BX120" s="873"/>
      <c r="BY120" s="873"/>
      <c r="BZ120" s="873"/>
      <c r="CA120" s="873"/>
      <c r="CB120" s="873"/>
      <c r="CC120" s="873"/>
      <c r="CD120" s="873"/>
      <c r="CE120" s="873"/>
      <c r="CF120" s="873"/>
      <c r="CG120" s="873"/>
      <c r="CH120" s="873"/>
      <c r="CI120" s="873"/>
      <c r="CJ120" s="873"/>
      <c r="CK120" s="873"/>
      <c r="CL120" s="873"/>
      <c r="CM120" s="873"/>
      <c r="CN120" s="873"/>
      <c r="CO120" s="873"/>
      <c r="CP120" s="873"/>
      <c r="CQ120" s="873"/>
      <c r="CR120" s="873"/>
      <c r="CS120" s="873"/>
      <c r="CT120" s="873"/>
      <c r="CU120" s="873"/>
      <c r="CV120" s="873"/>
      <c r="CW120" s="873"/>
      <c r="CX120" s="873"/>
      <c r="CY120" s="873"/>
      <c r="CZ120" s="873"/>
      <c r="DA120" s="873"/>
      <c r="DB120" s="873"/>
      <c r="DC120" s="873"/>
      <c r="DD120" s="873"/>
      <c r="DE120" s="873"/>
      <c r="DF120" s="873"/>
      <c r="DG120" s="873"/>
      <c r="DH120" s="873"/>
      <c r="DI120" s="873"/>
      <c r="DJ120" s="873"/>
      <c r="DK120" s="873"/>
      <c r="DL120" s="873"/>
      <c r="DM120" s="873"/>
      <c r="DN120" s="873"/>
      <c r="DO120" s="873"/>
      <c r="DP120" s="873"/>
      <c r="DQ120" s="873"/>
      <c r="DR120" s="873"/>
      <c r="DS120" s="873"/>
      <c r="DT120" s="873"/>
      <c r="DU120" s="873"/>
      <c r="DV120" s="873"/>
      <c r="DW120" s="873"/>
      <c r="DX120" s="873"/>
      <c r="DY120" s="873"/>
      <c r="DZ120" s="873"/>
      <c r="EA120" s="873"/>
      <c r="EB120" s="873"/>
      <c r="EC120" s="873"/>
      <c r="ED120" s="873"/>
      <c r="EE120" s="873"/>
      <c r="EF120" s="873"/>
      <c r="EG120" s="873"/>
      <c r="EH120" s="873"/>
      <c r="EI120" s="873"/>
      <c r="EJ120" s="873"/>
      <c r="EK120" s="873"/>
      <c r="EL120" s="873"/>
      <c r="EM120" s="873"/>
      <c r="EN120" s="873"/>
      <c r="EO120" s="873"/>
      <c r="EP120" s="873"/>
      <c r="EQ120" s="873"/>
      <c r="ER120" s="873"/>
      <c r="ES120" s="873"/>
      <c r="ET120" s="873"/>
      <c r="EU120" s="873"/>
      <c r="EV120" s="873"/>
      <c r="EW120" s="873"/>
      <c r="EX120" s="873"/>
      <c r="EY120" s="873"/>
      <c r="EZ120" s="873"/>
      <c r="FA120" s="873"/>
      <c r="FB120" s="873"/>
      <c r="FC120" s="873"/>
      <c r="FD120" s="873"/>
      <c r="FE120" s="873"/>
      <c r="FF120" s="873"/>
      <c r="FG120" s="873"/>
      <c r="FH120" s="873"/>
      <c r="FI120" s="873"/>
      <c r="FJ120" s="873"/>
      <c r="FK120" s="873"/>
      <c r="FL120" s="873"/>
      <c r="FM120" s="873"/>
      <c r="FN120" s="873"/>
      <c r="FO120" s="873"/>
      <c r="FP120" s="873"/>
      <c r="FQ120" s="873"/>
      <c r="FR120" s="873"/>
      <c r="FS120" s="873"/>
      <c r="FT120" s="873"/>
      <c r="FU120" s="873"/>
      <c r="FV120" s="873"/>
      <c r="FW120" s="873"/>
      <c r="FX120" s="873"/>
      <c r="FY120" s="873"/>
      <c r="FZ120" s="873"/>
      <c r="GA120" s="873"/>
      <c r="GB120" s="873"/>
      <c r="GC120" s="873"/>
      <c r="GD120" s="873"/>
      <c r="GE120" s="873"/>
      <c r="GF120" s="873"/>
      <c r="GG120" s="873"/>
      <c r="GH120" s="873"/>
      <c r="GI120" s="873"/>
      <c r="GJ120" s="873"/>
      <c r="GK120" s="873"/>
      <c r="GL120" s="873"/>
      <c r="GM120" s="873"/>
      <c r="GN120" s="873"/>
      <c r="GO120" s="873"/>
      <c r="GP120" s="873"/>
      <c r="GQ120" s="873"/>
      <c r="GR120" s="873"/>
      <c r="GS120" s="873"/>
      <c r="GT120" s="873"/>
      <c r="GU120" s="873"/>
      <c r="GV120" s="873"/>
      <c r="GW120" s="873"/>
      <c r="GX120" s="873"/>
      <c r="GY120" s="873"/>
      <c r="GZ120" s="873"/>
      <c r="HA120" s="873"/>
      <c r="HB120" s="873"/>
      <c r="HC120" s="873"/>
      <c r="HD120" s="873"/>
      <c r="HE120" s="873"/>
      <c r="HF120" s="873"/>
      <c r="HG120" s="873"/>
      <c r="HH120" s="873"/>
      <c r="HI120" s="873"/>
      <c r="HJ120" s="873"/>
      <c r="HK120" s="873"/>
      <c r="HL120" s="873"/>
      <c r="HM120" s="873"/>
      <c r="HN120" s="873"/>
      <c r="HO120" s="873"/>
      <c r="HP120" s="873"/>
      <c r="HQ120" s="873"/>
      <c r="HR120" s="873"/>
      <c r="HS120" s="873"/>
      <c r="HT120" s="873"/>
      <c r="HU120" s="873"/>
      <c r="HV120" s="873"/>
      <c r="HW120" s="873"/>
      <c r="HX120" s="873"/>
      <c r="HY120" s="873"/>
      <c r="HZ120" s="873"/>
      <c r="IA120" s="873"/>
      <c r="IB120" s="873"/>
      <c r="IC120" s="873"/>
      <c r="ID120" s="873"/>
      <c r="IE120" s="873"/>
      <c r="IF120" s="873"/>
      <c r="IG120" s="873"/>
      <c r="IH120" s="873"/>
      <c r="II120" s="873"/>
      <c r="IJ120" s="873"/>
      <c r="IK120" s="873"/>
      <c r="IL120" s="873"/>
      <c r="IM120" s="873"/>
      <c r="IN120" s="873"/>
      <c r="IO120" s="873"/>
      <c r="IP120" s="873"/>
      <c r="IQ120" s="873"/>
      <c r="IR120" s="873"/>
      <c r="IS120" s="873"/>
      <c r="IT120" s="873"/>
      <c r="IU120" s="873"/>
      <c r="IV120" s="873"/>
      <c r="IW120" s="873"/>
    </row>
    <row r="121" spans="1:257" s="876" customFormat="1">
      <c r="A121" s="873"/>
      <c r="B121" s="873"/>
      <c r="C121" s="873"/>
      <c r="D121" s="873"/>
      <c r="E121" s="873"/>
      <c r="F121" s="873"/>
      <c r="G121" s="873"/>
      <c r="H121" s="873"/>
      <c r="I121" s="873"/>
      <c r="J121" s="873"/>
      <c r="K121" s="873"/>
      <c r="L121" s="873"/>
      <c r="M121" s="873"/>
      <c r="N121" s="873"/>
      <c r="O121" s="873"/>
      <c r="P121" s="873"/>
      <c r="Q121" s="873"/>
      <c r="R121" s="873"/>
      <c r="S121" s="873"/>
      <c r="T121" s="873"/>
      <c r="U121" s="873"/>
      <c r="V121" s="873"/>
      <c r="W121" s="873"/>
      <c r="X121" s="873"/>
      <c r="Y121" s="873"/>
      <c r="Z121" s="873"/>
      <c r="AA121" s="873"/>
      <c r="AB121" s="873"/>
      <c r="AC121" s="873"/>
      <c r="AD121" s="873"/>
      <c r="AE121" s="873"/>
      <c r="AF121" s="873"/>
      <c r="AG121" s="873"/>
      <c r="AH121" s="873"/>
      <c r="AI121" s="873"/>
      <c r="AJ121" s="873"/>
      <c r="AK121" s="873"/>
      <c r="AL121" s="873"/>
      <c r="AM121" s="873"/>
      <c r="AN121" s="873"/>
      <c r="AO121" s="873"/>
      <c r="AP121" s="873"/>
      <c r="AQ121" s="873"/>
      <c r="AR121" s="873"/>
      <c r="AS121" s="873"/>
      <c r="AT121" s="873"/>
      <c r="AU121" s="873"/>
      <c r="AV121" s="873"/>
      <c r="AW121" s="873"/>
      <c r="AX121" s="873"/>
      <c r="AY121" s="873"/>
      <c r="AZ121" s="873"/>
      <c r="BA121" s="873"/>
      <c r="BB121" s="873"/>
      <c r="BC121" s="873"/>
      <c r="BD121" s="873"/>
      <c r="BE121" s="873"/>
      <c r="BF121" s="873"/>
      <c r="BG121" s="873"/>
      <c r="BH121" s="873"/>
      <c r="BI121" s="873"/>
      <c r="BJ121" s="873"/>
      <c r="BK121" s="873"/>
      <c r="BL121" s="873"/>
      <c r="BM121" s="873"/>
      <c r="BN121" s="873"/>
      <c r="BO121" s="873"/>
      <c r="BP121" s="873"/>
      <c r="BQ121" s="873"/>
      <c r="BR121" s="873"/>
      <c r="BS121" s="873"/>
      <c r="BT121" s="873"/>
      <c r="BU121" s="873"/>
      <c r="BV121" s="873"/>
      <c r="BW121" s="873"/>
      <c r="BX121" s="873"/>
      <c r="BY121" s="873"/>
      <c r="BZ121" s="873"/>
      <c r="CA121" s="873"/>
      <c r="CB121" s="873"/>
      <c r="CC121" s="873"/>
      <c r="CD121" s="873"/>
      <c r="CE121" s="873"/>
      <c r="CF121" s="873"/>
      <c r="CG121" s="873"/>
      <c r="CH121" s="873"/>
      <c r="CI121" s="873"/>
      <c r="CJ121" s="873"/>
      <c r="CK121" s="873"/>
      <c r="CL121" s="873"/>
      <c r="CM121" s="873"/>
      <c r="CN121" s="873"/>
      <c r="CO121" s="873"/>
      <c r="CP121" s="873"/>
      <c r="CQ121" s="873"/>
      <c r="CR121" s="873"/>
      <c r="CS121" s="873"/>
      <c r="CT121" s="873"/>
      <c r="CU121" s="873"/>
      <c r="CV121" s="873"/>
      <c r="CW121" s="873"/>
      <c r="CX121" s="873"/>
      <c r="CY121" s="873"/>
      <c r="CZ121" s="873"/>
      <c r="DA121" s="873"/>
      <c r="DB121" s="873"/>
      <c r="DC121" s="873"/>
      <c r="DD121" s="873"/>
      <c r="DE121" s="873"/>
      <c r="DF121" s="873"/>
      <c r="DG121" s="873"/>
      <c r="DH121" s="873"/>
      <c r="DI121" s="873"/>
      <c r="DJ121" s="873"/>
      <c r="DK121" s="873"/>
      <c r="DL121" s="873"/>
      <c r="DM121" s="873"/>
      <c r="DN121" s="873"/>
      <c r="DO121" s="873"/>
      <c r="DP121" s="873"/>
      <c r="DQ121" s="873"/>
      <c r="DR121" s="873"/>
      <c r="DS121" s="873"/>
      <c r="DT121" s="873"/>
      <c r="DU121" s="873"/>
      <c r="DV121" s="873"/>
      <c r="DW121" s="873"/>
      <c r="DX121" s="873"/>
      <c r="DY121" s="873"/>
      <c r="DZ121" s="873"/>
      <c r="EA121" s="873"/>
      <c r="EB121" s="873"/>
      <c r="EC121" s="873"/>
      <c r="ED121" s="873"/>
      <c r="EE121" s="873"/>
      <c r="EF121" s="873"/>
      <c r="EG121" s="873"/>
      <c r="EH121" s="873"/>
      <c r="EI121" s="873"/>
      <c r="EJ121" s="873"/>
      <c r="EK121" s="873"/>
      <c r="EL121" s="873"/>
      <c r="EM121" s="873"/>
      <c r="EN121" s="873"/>
      <c r="EO121" s="873"/>
      <c r="EP121" s="873"/>
      <c r="EQ121" s="873"/>
      <c r="ER121" s="873"/>
      <c r="ES121" s="873"/>
      <c r="ET121" s="873"/>
      <c r="EU121" s="873"/>
      <c r="EV121" s="873"/>
      <c r="EW121" s="873"/>
      <c r="EX121" s="873"/>
      <c r="EY121" s="873"/>
      <c r="EZ121" s="873"/>
      <c r="FA121" s="873"/>
      <c r="FB121" s="873"/>
      <c r="FC121" s="873"/>
      <c r="FD121" s="873"/>
      <c r="FE121" s="873"/>
      <c r="FF121" s="873"/>
      <c r="FG121" s="873"/>
      <c r="FH121" s="873"/>
      <c r="FI121" s="873"/>
      <c r="FJ121" s="873"/>
      <c r="FK121" s="873"/>
      <c r="FL121" s="873"/>
      <c r="FM121" s="873"/>
      <c r="FN121" s="873"/>
      <c r="FO121" s="873"/>
      <c r="FP121" s="873"/>
      <c r="FQ121" s="873"/>
      <c r="FR121" s="873"/>
      <c r="FS121" s="873"/>
      <c r="FT121" s="873"/>
      <c r="FU121" s="873"/>
      <c r="FV121" s="873"/>
      <c r="FW121" s="873"/>
      <c r="FX121" s="873"/>
      <c r="FY121" s="873"/>
      <c r="FZ121" s="873"/>
      <c r="GA121" s="873"/>
      <c r="GB121" s="873"/>
      <c r="GC121" s="873"/>
      <c r="GD121" s="873"/>
      <c r="GE121" s="873"/>
      <c r="GF121" s="873"/>
      <c r="GG121" s="873"/>
      <c r="GH121" s="873"/>
      <c r="GI121" s="873"/>
      <c r="GJ121" s="873"/>
      <c r="GK121" s="873"/>
      <c r="GL121" s="873"/>
      <c r="GM121" s="873"/>
      <c r="GN121" s="873"/>
      <c r="GO121" s="873"/>
      <c r="GP121" s="873"/>
      <c r="GQ121" s="873"/>
      <c r="GR121" s="873"/>
      <c r="GS121" s="873"/>
      <c r="GT121" s="873"/>
      <c r="GU121" s="873"/>
      <c r="GV121" s="873"/>
      <c r="GW121" s="873"/>
      <c r="GX121" s="873"/>
      <c r="GY121" s="873"/>
      <c r="GZ121" s="873"/>
      <c r="HA121" s="873"/>
      <c r="HB121" s="873"/>
      <c r="HC121" s="873"/>
      <c r="HD121" s="873"/>
      <c r="HE121" s="873"/>
      <c r="HF121" s="873"/>
      <c r="HG121" s="873"/>
      <c r="HH121" s="873"/>
      <c r="HI121" s="873"/>
      <c r="HJ121" s="873"/>
      <c r="HK121" s="873"/>
      <c r="HL121" s="873"/>
      <c r="HM121" s="873"/>
      <c r="HN121" s="873"/>
      <c r="HO121" s="873"/>
      <c r="HP121" s="873"/>
      <c r="HQ121" s="873"/>
      <c r="HR121" s="873"/>
      <c r="HS121" s="873"/>
      <c r="HT121" s="873"/>
      <c r="HU121" s="873"/>
      <c r="HV121" s="873"/>
      <c r="HW121" s="873"/>
      <c r="HX121" s="873"/>
      <c r="HY121" s="873"/>
      <c r="HZ121" s="873"/>
      <c r="IA121" s="873"/>
      <c r="IB121" s="873"/>
      <c r="IC121" s="873"/>
      <c r="ID121" s="873"/>
      <c r="IE121" s="873"/>
      <c r="IF121" s="873"/>
      <c r="IG121" s="873"/>
      <c r="IH121" s="873"/>
      <c r="II121" s="873"/>
      <c r="IJ121" s="873"/>
      <c r="IK121" s="873"/>
      <c r="IL121" s="873"/>
      <c r="IM121" s="873"/>
      <c r="IN121" s="873"/>
      <c r="IO121" s="873"/>
      <c r="IP121" s="873"/>
      <c r="IQ121" s="873"/>
      <c r="IR121" s="873"/>
      <c r="IS121" s="873"/>
      <c r="IT121" s="873"/>
      <c r="IU121" s="873"/>
      <c r="IV121" s="873"/>
      <c r="IW121" s="873"/>
    </row>
    <row r="122" spans="1:257" s="876" customFormat="1">
      <c r="A122" s="873"/>
      <c r="B122" s="873"/>
      <c r="C122" s="873"/>
      <c r="D122" s="873"/>
      <c r="E122" s="873"/>
      <c r="F122" s="873"/>
      <c r="G122" s="873"/>
      <c r="H122" s="873"/>
      <c r="I122" s="873"/>
      <c r="J122" s="873"/>
      <c r="K122" s="873"/>
      <c r="L122" s="873"/>
      <c r="M122" s="873"/>
      <c r="N122" s="873"/>
      <c r="O122" s="873"/>
      <c r="P122" s="873"/>
      <c r="Q122" s="873"/>
      <c r="R122" s="873"/>
      <c r="S122" s="873"/>
      <c r="T122" s="873"/>
      <c r="U122" s="873"/>
      <c r="V122" s="873"/>
      <c r="W122" s="873"/>
      <c r="X122" s="873"/>
      <c r="Y122" s="873"/>
      <c r="Z122" s="873"/>
      <c r="AA122" s="873"/>
      <c r="AB122" s="873"/>
      <c r="AC122" s="873"/>
      <c r="AD122" s="873"/>
      <c r="AE122" s="873"/>
      <c r="AF122" s="873"/>
      <c r="AG122" s="873"/>
      <c r="AH122" s="873"/>
      <c r="AI122" s="873"/>
      <c r="AJ122" s="873"/>
      <c r="AK122" s="873"/>
      <c r="AL122" s="873"/>
      <c r="AM122" s="873"/>
      <c r="AN122" s="873"/>
      <c r="AO122" s="873"/>
      <c r="AP122" s="873"/>
      <c r="AQ122" s="873"/>
      <c r="AR122" s="873"/>
      <c r="AS122" s="873"/>
      <c r="AT122" s="873"/>
      <c r="AU122" s="873"/>
      <c r="AV122" s="873"/>
      <c r="AW122" s="873"/>
      <c r="AX122" s="873"/>
      <c r="AY122" s="873"/>
      <c r="AZ122" s="873"/>
      <c r="BA122" s="873"/>
      <c r="BB122" s="873"/>
      <c r="BC122" s="873"/>
      <c r="BD122" s="873"/>
      <c r="BE122" s="873"/>
      <c r="BF122" s="873"/>
      <c r="BG122" s="873"/>
      <c r="BH122" s="873"/>
      <c r="BI122" s="873"/>
      <c r="BJ122" s="873"/>
      <c r="BK122" s="873"/>
      <c r="BL122" s="873"/>
      <c r="BM122" s="873"/>
      <c r="BN122" s="873"/>
      <c r="BO122" s="873"/>
      <c r="BP122" s="873"/>
      <c r="BQ122" s="873"/>
      <c r="BR122" s="873"/>
      <c r="BS122" s="873"/>
      <c r="BT122" s="873"/>
      <c r="BU122" s="873"/>
      <c r="BV122" s="873"/>
      <c r="BW122" s="873"/>
      <c r="BX122" s="873"/>
      <c r="BY122" s="873"/>
      <c r="BZ122" s="873"/>
      <c r="CA122" s="873"/>
      <c r="CB122" s="873"/>
      <c r="CC122" s="873"/>
      <c r="CD122" s="873"/>
      <c r="CE122" s="873"/>
      <c r="CF122" s="873"/>
      <c r="CG122" s="873"/>
      <c r="CH122" s="873"/>
      <c r="CI122" s="873"/>
      <c r="CJ122" s="873"/>
      <c r="CK122" s="873"/>
      <c r="CL122" s="873"/>
      <c r="CM122" s="873"/>
      <c r="CN122" s="873"/>
      <c r="CO122" s="873"/>
      <c r="CP122" s="873"/>
      <c r="CQ122" s="873"/>
      <c r="CR122" s="873"/>
      <c r="CS122" s="873"/>
      <c r="CT122" s="873"/>
      <c r="CU122" s="873"/>
      <c r="CV122" s="873"/>
      <c r="CW122" s="873"/>
      <c r="CX122" s="873"/>
      <c r="CY122" s="873"/>
      <c r="CZ122" s="873"/>
      <c r="DA122" s="873"/>
      <c r="DB122" s="873"/>
      <c r="DC122" s="873"/>
      <c r="DD122" s="873"/>
      <c r="DE122" s="873"/>
      <c r="DF122" s="873"/>
      <c r="DG122" s="873"/>
      <c r="DH122" s="873"/>
      <c r="DI122" s="873"/>
      <c r="DJ122" s="873"/>
      <c r="DK122" s="873"/>
      <c r="DL122" s="873"/>
      <c r="DM122" s="873"/>
      <c r="DN122" s="873"/>
      <c r="DO122" s="873"/>
      <c r="DP122" s="873"/>
      <c r="DQ122" s="873"/>
      <c r="DR122" s="873"/>
      <c r="DS122" s="873"/>
      <c r="DT122" s="873"/>
      <c r="DU122" s="873"/>
      <c r="DV122" s="873"/>
      <c r="DW122" s="873"/>
      <c r="DX122" s="873"/>
      <c r="DY122" s="873"/>
      <c r="DZ122" s="873"/>
      <c r="EA122" s="873"/>
      <c r="EB122" s="873"/>
      <c r="EC122" s="873"/>
      <c r="ED122" s="873"/>
      <c r="EE122" s="873"/>
      <c r="EF122" s="873"/>
      <c r="EG122" s="873"/>
      <c r="EH122" s="873"/>
      <c r="EI122" s="873"/>
      <c r="EJ122" s="873"/>
      <c r="EK122" s="873"/>
      <c r="EL122" s="873"/>
      <c r="EM122" s="873"/>
      <c r="EN122" s="873"/>
      <c r="EO122" s="873"/>
      <c r="EP122" s="873"/>
      <c r="EQ122" s="873"/>
      <c r="ER122" s="873"/>
      <c r="ES122" s="873"/>
      <c r="ET122" s="873"/>
      <c r="EU122" s="873"/>
      <c r="EV122" s="873"/>
      <c r="EW122" s="873"/>
      <c r="EX122" s="873"/>
      <c r="EY122" s="873"/>
      <c r="EZ122" s="873"/>
      <c r="FA122" s="873"/>
      <c r="FB122" s="873"/>
      <c r="FC122" s="873"/>
      <c r="FD122" s="873"/>
      <c r="FE122" s="873"/>
      <c r="FF122" s="873"/>
      <c r="FG122" s="873"/>
      <c r="FH122" s="873"/>
      <c r="FI122" s="873"/>
      <c r="FJ122" s="873"/>
      <c r="FK122" s="873"/>
      <c r="FL122" s="873"/>
      <c r="FM122" s="873"/>
      <c r="FN122" s="873"/>
      <c r="FO122" s="873"/>
      <c r="FP122" s="873"/>
      <c r="FQ122" s="873"/>
      <c r="FR122" s="873"/>
      <c r="FS122" s="873"/>
      <c r="FT122" s="873"/>
      <c r="FU122" s="873"/>
      <c r="FV122" s="873"/>
      <c r="FW122" s="873"/>
      <c r="FX122" s="873"/>
      <c r="FY122" s="873"/>
      <c r="FZ122" s="873"/>
      <c r="GA122" s="873"/>
      <c r="GB122" s="873"/>
      <c r="GC122" s="873"/>
      <c r="GD122" s="873"/>
      <c r="GE122" s="873"/>
      <c r="GF122" s="873"/>
      <c r="GG122" s="873"/>
      <c r="GH122" s="873"/>
      <c r="GI122" s="873"/>
      <c r="GJ122" s="873"/>
      <c r="GK122" s="873"/>
      <c r="GL122" s="873"/>
      <c r="GM122" s="873"/>
      <c r="GN122" s="873"/>
      <c r="GO122" s="873"/>
      <c r="GP122" s="873"/>
      <c r="GQ122" s="873"/>
      <c r="GR122" s="873"/>
      <c r="GS122" s="873"/>
      <c r="GT122" s="873"/>
      <c r="GU122" s="873"/>
      <c r="GV122" s="873"/>
      <c r="GW122" s="873"/>
      <c r="GX122" s="873"/>
      <c r="GY122" s="873"/>
      <c r="GZ122" s="873"/>
      <c r="HA122" s="873"/>
      <c r="HB122" s="873"/>
      <c r="HC122" s="873"/>
      <c r="HD122" s="873"/>
      <c r="HE122" s="873"/>
      <c r="HF122" s="873"/>
      <c r="HG122" s="873"/>
      <c r="HH122" s="873"/>
      <c r="HI122" s="873"/>
      <c r="HJ122" s="873"/>
      <c r="HK122" s="873"/>
      <c r="HL122" s="873"/>
      <c r="HM122" s="873"/>
      <c r="HN122" s="873"/>
      <c r="HO122" s="873"/>
      <c r="HP122" s="873"/>
      <c r="HQ122" s="873"/>
      <c r="HR122" s="873"/>
      <c r="HS122" s="873"/>
      <c r="HT122" s="873"/>
      <c r="HU122" s="873"/>
      <c r="HV122" s="873"/>
      <c r="HW122" s="873"/>
      <c r="HX122" s="873"/>
      <c r="HY122" s="873"/>
      <c r="HZ122" s="873"/>
      <c r="IA122" s="873"/>
      <c r="IB122" s="873"/>
      <c r="IC122" s="873"/>
      <c r="ID122" s="873"/>
      <c r="IE122" s="873"/>
      <c r="IF122" s="873"/>
      <c r="IG122" s="873"/>
      <c r="IH122" s="873"/>
      <c r="II122" s="873"/>
      <c r="IJ122" s="873"/>
      <c r="IK122" s="873"/>
      <c r="IL122" s="873"/>
      <c r="IM122" s="873"/>
      <c r="IN122" s="873"/>
      <c r="IO122" s="873"/>
      <c r="IP122" s="873"/>
      <c r="IQ122" s="873"/>
      <c r="IR122" s="873"/>
      <c r="IS122" s="873"/>
      <c r="IT122" s="873"/>
      <c r="IU122" s="873"/>
      <c r="IV122" s="873"/>
      <c r="IW122" s="873"/>
    </row>
    <row r="123" spans="1:257" s="876" customFormat="1" ht="84">
      <c r="A123" s="2498" t="s">
        <v>2172</v>
      </c>
      <c r="B123" s="1144" t="s">
        <v>2173</v>
      </c>
      <c r="C123" s="1117">
        <v>6</v>
      </c>
      <c r="D123" s="1117">
        <v>6</v>
      </c>
      <c r="E123" s="1118" t="s">
        <v>1473</v>
      </c>
      <c r="F123" s="1119" t="str">
        <f>IF(Scoring!I132="","",Scoring!I132)</f>
        <v/>
      </c>
      <c r="G123" s="1120"/>
      <c r="H123" s="1120"/>
      <c r="I123" s="1121" t="s">
        <v>2611</v>
      </c>
      <c r="J123" s="1122"/>
      <c r="K123" s="1122"/>
      <c r="L123" s="1123"/>
      <c r="M123" s="1124"/>
      <c r="N123" s="873"/>
      <c r="O123" s="877"/>
      <c r="P123" s="878"/>
      <c r="Q123" s="873"/>
      <c r="R123" s="873"/>
      <c r="S123" s="873"/>
      <c r="T123" s="873"/>
      <c r="U123" s="873"/>
      <c r="V123" s="873"/>
      <c r="W123" s="873"/>
      <c r="X123" s="873"/>
      <c r="Y123" s="873"/>
      <c r="Z123" s="873"/>
      <c r="AA123" s="873"/>
      <c r="AB123" s="873"/>
      <c r="AC123" s="873"/>
      <c r="AD123" s="873"/>
      <c r="AE123" s="873"/>
      <c r="AF123" s="873"/>
      <c r="AG123" s="873"/>
      <c r="AH123" s="873"/>
      <c r="AI123" s="873"/>
      <c r="AJ123" s="873"/>
      <c r="AK123" s="873"/>
      <c r="AL123" s="873"/>
      <c r="AM123" s="873"/>
      <c r="AN123" s="873"/>
      <c r="AO123" s="873"/>
      <c r="AP123" s="873"/>
      <c r="AQ123" s="873"/>
      <c r="AR123" s="873"/>
      <c r="AS123" s="873"/>
      <c r="AT123" s="873"/>
      <c r="AU123" s="873"/>
      <c r="AV123" s="873"/>
      <c r="AW123" s="873"/>
      <c r="AX123" s="873"/>
      <c r="AY123" s="873"/>
      <c r="AZ123" s="873"/>
      <c r="BA123" s="873"/>
      <c r="BB123" s="873"/>
      <c r="BC123" s="873"/>
      <c r="BD123" s="873"/>
      <c r="BE123" s="873"/>
      <c r="BF123" s="873"/>
      <c r="BG123" s="873"/>
      <c r="BH123" s="873"/>
      <c r="BI123" s="873"/>
      <c r="BJ123" s="873"/>
      <c r="BK123" s="873"/>
      <c r="BL123" s="873"/>
      <c r="BM123" s="873"/>
      <c r="BN123" s="873"/>
      <c r="BO123" s="873"/>
      <c r="BP123" s="873"/>
      <c r="BQ123" s="873"/>
      <c r="BR123" s="873"/>
      <c r="BS123" s="873"/>
      <c r="BT123" s="873"/>
      <c r="BU123" s="873"/>
      <c r="BV123" s="873"/>
      <c r="BW123" s="873"/>
      <c r="BX123" s="873"/>
      <c r="BY123" s="873"/>
      <c r="BZ123" s="873"/>
      <c r="CA123" s="873"/>
      <c r="CB123" s="873"/>
      <c r="CC123" s="873"/>
      <c r="CD123" s="873"/>
      <c r="CE123" s="873"/>
      <c r="CF123" s="873"/>
      <c r="CG123" s="873"/>
      <c r="CH123" s="873"/>
      <c r="CI123" s="873"/>
      <c r="CJ123" s="873"/>
      <c r="CK123" s="873"/>
      <c r="CL123" s="873"/>
      <c r="CM123" s="873"/>
      <c r="CN123" s="873"/>
      <c r="CO123" s="873"/>
      <c r="CP123" s="873"/>
      <c r="CQ123" s="873"/>
      <c r="CR123" s="873"/>
      <c r="CS123" s="873"/>
      <c r="CT123" s="873"/>
      <c r="CU123" s="873"/>
      <c r="CV123" s="873"/>
      <c r="CW123" s="873"/>
      <c r="CX123" s="873"/>
      <c r="CY123" s="873"/>
      <c r="CZ123" s="873"/>
      <c r="DA123" s="873"/>
      <c r="DB123" s="873"/>
      <c r="DC123" s="873"/>
      <c r="DD123" s="873"/>
      <c r="DE123" s="873"/>
      <c r="DF123" s="873"/>
      <c r="DG123" s="873"/>
      <c r="DH123" s="873"/>
      <c r="DI123" s="873"/>
      <c r="DJ123" s="873"/>
      <c r="DK123" s="873"/>
      <c r="DL123" s="873"/>
      <c r="DM123" s="873"/>
      <c r="DN123" s="873"/>
      <c r="DO123" s="873"/>
      <c r="DP123" s="873"/>
      <c r="DQ123" s="873"/>
      <c r="DR123" s="873"/>
      <c r="DS123" s="873"/>
      <c r="DT123" s="873"/>
      <c r="DU123" s="873"/>
      <c r="DV123" s="873"/>
      <c r="DW123" s="873"/>
      <c r="DX123" s="873"/>
      <c r="DY123" s="873"/>
      <c r="DZ123" s="873"/>
      <c r="EA123" s="873"/>
      <c r="EB123" s="873"/>
      <c r="EC123" s="873"/>
      <c r="ED123" s="873"/>
      <c r="EE123" s="873"/>
      <c r="EF123" s="873"/>
      <c r="EG123" s="873"/>
      <c r="EH123" s="873"/>
      <c r="EI123" s="873"/>
      <c r="EJ123" s="873"/>
      <c r="EK123" s="873"/>
      <c r="EL123" s="873"/>
      <c r="EM123" s="873"/>
      <c r="EN123" s="873"/>
      <c r="EO123" s="873"/>
      <c r="EP123" s="873"/>
      <c r="EQ123" s="873"/>
      <c r="ER123" s="873"/>
      <c r="ES123" s="873"/>
      <c r="ET123" s="873"/>
      <c r="EU123" s="873"/>
      <c r="EV123" s="873"/>
      <c r="EW123" s="873"/>
      <c r="EX123" s="873"/>
      <c r="EY123" s="873"/>
      <c r="EZ123" s="873"/>
      <c r="FA123" s="873"/>
      <c r="FB123" s="873"/>
      <c r="FC123" s="873"/>
      <c r="FD123" s="873"/>
      <c r="FE123" s="873"/>
      <c r="FF123" s="873"/>
      <c r="FG123" s="873"/>
      <c r="FH123" s="873"/>
      <c r="FI123" s="873"/>
      <c r="FJ123" s="873"/>
      <c r="FK123" s="873"/>
      <c r="FL123" s="873"/>
      <c r="FM123" s="873"/>
      <c r="FN123" s="873"/>
      <c r="FO123" s="873"/>
      <c r="FP123" s="873"/>
      <c r="FQ123" s="873"/>
      <c r="FR123" s="873"/>
      <c r="FS123" s="873"/>
      <c r="FT123" s="873"/>
      <c r="FU123" s="873"/>
      <c r="FV123" s="873"/>
      <c r="FW123" s="873"/>
      <c r="FX123" s="873"/>
      <c r="FY123" s="873"/>
      <c r="FZ123" s="873"/>
      <c r="GA123" s="873"/>
      <c r="GB123" s="873"/>
      <c r="GC123" s="873"/>
      <c r="GD123" s="873"/>
      <c r="GE123" s="873"/>
      <c r="GF123" s="873"/>
      <c r="GG123" s="873"/>
      <c r="GH123" s="873"/>
      <c r="GI123" s="873"/>
      <c r="GJ123" s="873"/>
      <c r="GK123" s="873"/>
      <c r="GL123" s="873"/>
      <c r="GM123" s="873"/>
      <c r="GN123" s="873"/>
      <c r="GO123" s="873"/>
      <c r="GP123" s="873"/>
      <c r="GQ123" s="873"/>
      <c r="GR123" s="873"/>
      <c r="GS123" s="873"/>
      <c r="GT123" s="873"/>
      <c r="GU123" s="873"/>
      <c r="GV123" s="873"/>
      <c r="GW123" s="873"/>
      <c r="GX123" s="873"/>
      <c r="GY123" s="873"/>
      <c r="GZ123" s="873"/>
      <c r="HA123" s="873"/>
      <c r="HB123" s="873"/>
      <c r="HC123" s="873"/>
      <c r="HD123" s="873"/>
      <c r="HE123" s="873"/>
      <c r="HF123" s="873"/>
      <c r="HG123" s="873"/>
      <c r="HH123" s="873"/>
      <c r="HI123" s="873"/>
      <c r="HJ123" s="873"/>
      <c r="HK123" s="873"/>
      <c r="HL123" s="873"/>
      <c r="HM123" s="873"/>
      <c r="HN123" s="873"/>
      <c r="HO123" s="873"/>
      <c r="HP123" s="873"/>
      <c r="HQ123" s="873"/>
      <c r="HR123" s="873"/>
      <c r="HS123" s="873"/>
      <c r="HT123" s="873"/>
      <c r="HU123" s="873"/>
      <c r="HV123" s="873"/>
      <c r="HW123" s="873"/>
      <c r="HX123" s="873"/>
      <c r="HY123" s="873"/>
      <c r="HZ123" s="873"/>
      <c r="IA123" s="873"/>
      <c r="IB123" s="873"/>
      <c r="IC123" s="873"/>
      <c r="ID123" s="873"/>
      <c r="IE123" s="873"/>
      <c r="IF123" s="873"/>
      <c r="IG123" s="873"/>
      <c r="IH123" s="873"/>
      <c r="II123" s="873"/>
      <c r="IJ123" s="873"/>
      <c r="IK123" s="873"/>
      <c r="IL123" s="873"/>
      <c r="IM123" s="873"/>
      <c r="IN123" s="873"/>
      <c r="IO123" s="873"/>
      <c r="IP123" s="873"/>
      <c r="IQ123" s="873"/>
      <c r="IR123" s="873"/>
      <c r="IS123" s="873"/>
      <c r="IT123" s="873"/>
      <c r="IU123" s="873"/>
      <c r="IV123" s="873"/>
      <c r="IW123" s="873"/>
    </row>
    <row r="124" spans="1:257" ht="182">
      <c r="A124" s="2499"/>
      <c r="B124" s="1145" t="s">
        <v>2175</v>
      </c>
      <c r="C124" s="1126">
        <v>4</v>
      </c>
      <c r="D124" s="1126">
        <v>6</v>
      </c>
      <c r="E124" s="1127" t="s">
        <v>1475</v>
      </c>
      <c r="F124" s="1128" t="str">
        <f>IF(Scoring!I133="","",Scoring!I133)</f>
        <v/>
      </c>
      <c r="G124" s="1129"/>
      <c r="H124" s="1129"/>
      <c r="I124" s="1130" t="s">
        <v>2612</v>
      </c>
      <c r="J124" s="1131"/>
      <c r="K124" s="1131"/>
      <c r="L124" s="1132"/>
      <c r="M124" s="1133"/>
      <c r="O124" s="867"/>
      <c r="P124" s="868"/>
    </row>
    <row r="125" spans="1:257" ht="112">
      <c r="A125" s="2499"/>
      <c r="B125" s="1145" t="s">
        <v>2177</v>
      </c>
      <c r="C125" s="1126">
        <v>4</v>
      </c>
      <c r="D125" s="1126">
        <v>6</v>
      </c>
      <c r="E125" s="1127" t="s">
        <v>1478</v>
      </c>
      <c r="F125" s="1128" t="str">
        <f>IF(Scoring!I134="","",Scoring!I134)</f>
        <v/>
      </c>
      <c r="G125" s="1129"/>
      <c r="H125" s="1129"/>
      <c r="I125" s="1130" t="s">
        <v>2556</v>
      </c>
      <c r="J125" s="1131"/>
      <c r="K125" s="1131"/>
      <c r="L125" s="1132"/>
      <c r="M125" s="1133"/>
      <c r="O125" s="867"/>
      <c r="P125" s="868"/>
    </row>
    <row r="126" spans="1:257" s="876" customFormat="1" ht="70">
      <c r="A126" s="2500"/>
      <c r="B126" s="1146" t="s">
        <v>2179</v>
      </c>
      <c r="C126" s="1135">
        <v>6</v>
      </c>
      <c r="D126" s="1135">
        <v>6</v>
      </c>
      <c r="E126" s="1136" t="s">
        <v>1481</v>
      </c>
      <c r="F126" s="1137" t="str">
        <f>IF(Scoring!I135="","",Scoring!I135)</f>
        <v/>
      </c>
      <c r="G126" s="1138"/>
      <c r="H126" s="1138"/>
      <c r="I126" s="1139" t="s">
        <v>2558</v>
      </c>
      <c r="J126" s="1140">
        <f>COUNT(F123:F126)</f>
        <v>0</v>
      </c>
      <c r="K126" s="1140"/>
      <c r="L126" s="1141">
        <f>SUM(F123:F126)</f>
        <v>0</v>
      </c>
      <c r="M126" s="1142">
        <f>IF(L126&lt;2,0,1)</f>
        <v>0</v>
      </c>
      <c r="N126" s="873"/>
      <c r="O126" s="874"/>
      <c r="P126" s="875">
        <f>COUNTA(F123:F126)</f>
        <v>4</v>
      </c>
      <c r="Q126" s="873"/>
      <c r="R126" s="873"/>
      <c r="S126" s="873"/>
      <c r="T126" s="873"/>
      <c r="U126" s="873"/>
      <c r="V126" s="873"/>
      <c r="W126" s="873"/>
      <c r="X126" s="873"/>
      <c r="Y126" s="873"/>
      <c r="Z126" s="873"/>
      <c r="AA126" s="873"/>
      <c r="AB126" s="873"/>
      <c r="AC126" s="873"/>
      <c r="AD126" s="873"/>
      <c r="AE126" s="873"/>
      <c r="AF126" s="873"/>
      <c r="AG126" s="873"/>
      <c r="AH126" s="873"/>
      <c r="AI126" s="873"/>
      <c r="AJ126" s="873"/>
      <c r="AK126" s="873"/>
      <c r="AL126" s="873"/>
      <c r="AM126" s="873"/>
      <c r="AN126" s="873"/>
      <c r="AO126" s="873"/>
      <c r="AP126" s="873"/>
      <c r="AQ126" s="873"/>
      <c r="AR126" s="873"/>
      <c r="AS126" s="873"/>
      <c r="AT126" s="873"/>
      <c r="AU126" s="873"/>
      <c r="AV126" s="873"/>
      <c r="AW126" s="873"/>
      <c r="AX126" s="873"/>
      <c r="AY126" s="873"/>
      <c r="AZ126" s="873"/>
      <c r="BA126" s="873"/>
      <c r="BB126" s="873"/>
      <c r="BC126" s="873"/>
      <c r="BD126" s="873"/>
      <c r="BE126" s="873"/>
      <c r="BF126" s="873"/>
      <c r="BG126" s="873"/>
      <c r="BH126" s="873"/>
      <c r="BI126" s="873"/>
      <c r="BJ126" s="873"/>
      <c r="BK126" s="873"/>
      <c r="BL126" s="873"/>
      <c r="BM126" s="873"/>
      <c r="BN126" s="873"/>
      <c r="BO126" s="873"/>
      <c r="BP126" s="873"/>
      <c r="BQ126" s="873"/>
      <c r="BR126" s="873"/>
      <c r="BS126" s="873"/>
      <c r="BT126" s="873"/>
      <c r="BU126" s="873"/>
      <c r="BV126" s="873"/>
      <c r="BW126" s="873"/>
      <c r="BX126" s="873"/>
      <c r="BY126" s="873"/>
      <c r="BZ126" s="873"/>
      <c r="CA126" s="873"/>
      <c r="CB126" s="873"/>
      <c r="CC126" s="873"/>
      <c r="CD126" s="873"/>
      <c r="CE126" s="873"/>
      <c r="CF126" s="873"/>
      <c r="CG126" s="873"/>
      <c r="CH126" s="873"/>
      <c r="CI126" s="873"/>
      <c r="CJ126" s="873"/>
      <c r="CK126" s="873"/>
      <c r="CL126" s="873"/>
      <c r="CM126" s="873"/>
      <c r="CN126" s="873"/>
      <c r="CO126" s="873"/>
      <c r="CP126" s="873"/>
      <c r="CQ126" s="873"/>
      <c r="CR126" s="873"/>
      <c r="CS126" s="873"/>
      <c r="CT126" s="873"/>
      <c r="CU126" s="873"/>
      <c r="CV126" s="873"/>
      <c r="CW126" s="873"/>
      <c r="CX126" s="873"/>
      <c r="CY126" s="873"/>
      <c r="CZ126" s="873"/>
      <c r="DA126" s="873"/>
      <c r="DB126" s="873"/>
      <c r="DC126" s="873"/>
      <c r="DD126" s="873"/>
      <c r="DE126" s="873"/>
      <c r="DF126" s="873"/>
      <c r="DG126" s="873"/>
      <c r="DH126" s="873"/>
      <c r="DI126" s="873"/>
      <c r="DJ126" s="873"/>
      <c r="DK126" s="873"/>
      <c r="DL126" s="873"/>
      <c r="DM126" s="873"/>
      <c r="DN126" s="873"/>
      <c r="DO126" s="873"/>
      <c r="DP126" s="873"/>
      <c r="DQ126" s="873"/>
      <c r="DR126" s="873"/>
      <c r="DS126" s="873"/>
      <c r="DT126" s="873"/>
      <c r="DU126" s="873"/>
      <c r="DV126" s="873"/>
      <c r="DW126" s="873"/>
      <c r="DX126" s="873"/>
      <c r="DY126" s="873"/>
      <c r="DZ126" s="873"/>
      <c r="EA126" s="873"/>
      <c r="EB126" s="873"/>
      <c r="EC126" s="873"/>
      <c r="ED126" s="873"/>
      <c r="EE126" s="873"/>
      <c r="EF126" s="873"/>
      <c r="EG126" s="873"/>
      <c r="EH126" s="873"/>
      <c r="EI126" s="873"/>
      <c r="EJ126" s="873"/>
      <c r="EK126" s="873"/>
      <c r="EL126" s="873"/>
      <c r="EM126" s="873"/>
      <c r="EN126" s="873"/>
      <c r="EO126" s="873"/>
      <c r="EP126" s="873"/>
      <c r="EQ126" s="873"/>
      <c r="ER126" s="873"/>
      <c r="ES126" s="873"/>
      <c r="ET126" s="873"/>
      <c r="EU126" s="873"/>
      <c r="EV126" s="873"/>
      <c r="EW126" s="873"/>
      <c r="EX126" s="873"/>
      <c r="EY126" s="873"/>
      <c r="EZ126" s="873"/>
      <c r="FA126" s="873"/>
      <c r="FB126" s="873"/>
      <c r="FC126" s="873"/>
      <c r="FD126" s="873"/>
      <c r="FE126" s="873"/>
      <c r="FF126" s="873"/>
      <c r="FG126" s="873"/>
      <c r="FH126" s="873"/>
      <c r="FI126" s="873"/>
      <c r="FJ126" s="873"/>
      <c r="FK126" s="873"/>
      <c r="FL126" s="873"/>
      <c r="FM126" s="873"/>
      <c r="FN126" s="873"/>
      <c r="FO126" s="873"/>
      <c r="FP126" s="873"/>
      <c r="FQ126" s="873"/>
      <c r="FR126" s="873"/>
      <c r="FS126" s="873"/>
      <c r="FT126" s="873"/>
      <c r="FU126" s="873"/>
      <c r="FV126" s="873"/>
      <c r="FW126" s="873"/>
      <c r="FX126" s="873"/>
      <c r="FY126" s="873"/>
      <c r="FZ126" s="873"/>
      <c r="GA126" s="873"/>
      <c r="GB126" s="873"/>
      <c r="GC126" s="873"/>
      <c r="GD126" s="873"/>
      <c r="GE126" s="873"/>
      <c r="GF126" s="873"/>
      <c r="GG126" s="873"/>
      <c r="GH126" s="873"/>
      <c r="GI126" s="873"/>
      <c r="GJ126" s="873"/>
      <c r="GK126" s="873"/>
      <c r="GL126" s="873"/>
      <c r="GM126" s="873"/>
      <c r="GN126" s="873"/>
      <c r="GO126" s="873"/>
      <c r="GP126" s="873"/>
      <c r="GQ126" s="873"/>
      <c r="GR126" s="873"/>
      <c r="GS126" s="873"/>
      <c r="GT126" s="873"/>
      <c r="GU126" s="873"/>
      <c r="GV126" s="873"/>
      <c r="GW126" s="873"/>
      <c r="GX126" s="873"/>
      <c r="GY126" s="873"/>
      <c r="GZ126" s="873"/>
      <c r="HA126" s="873"/>
      <c r="HB126" s="873"/>
      <c r="HC126" s="873"/>
      <c r="HD126" s="873"/>
      <c r="HE126" s="873"/>
      <c r="HF126" s="873"/>
      <c r="HG126" s="873"/>
      <c r="HH126" s="873"/>
      <c r="HI126" s="873"/>
      <c r="HJ126" s="873"/>
      <c r="HK126" s="873"/>
      <c r="HL126" s="873"/>
      <c r="HM126" s="873"/>
      <c r="HN126" s="873"/>
      <c r="HO126" s="873"/>
      <c r="HP126" s="873"/>
      <c r="HQ126" s="873"/>
      <c r="HR126" s="873"/>
      <c r="HS126" s="873"/>
      <c r="HT126" s="873"/>
      <c r="HU126" s="873"/>
      <c r="HV126" s="873"/>
      <c r="HW126" s="873"/>
      <c r="HX126" s="873"/>
      <c r="HY126" s="873"/>
      <c r="HZ126" s="873"/>
      <c r="IA126" s="873"/>
      <c r="IB126" s="873"/>
      <c r="IC126" s="873"/>
      <c r="ID126" s="873"/>
      <c r="IE126" s="873"/>
      <c r="IF126" s="873"/>
      <c r="IG126" s="873"/>
      <c r="IH126" s="873"/>
      <c r="II126" s="873"/>
      <c r="IJ126" s="873"/>
      <c r="IK126" s="873"/>
      <c r="IL126" s="873"/>
      <c r="IM126" s="873"/>
      <c r="IN126" s="873"/>
      <c r="IO126" s="873"/>
      <c r="IP126" s="873"/>
      <c r="IQ126" s="873"/>
      <c r="IR126" s="873"/>
      <c r="IS126" s="873"/>
      <c r="IT126" s="873"/>
      <c r="IU126" s="873"/>
      <c r="IV126" s="873"/>
      <c r="IW126" s="873"/>
    </row>
    <row r="127" spans="1:257" s="876" customFormat="1">
      <c r="A127" s="873"/>
      <c r="B127" s="873"/>
      <c r="C127" s="873"/>
      <c r="D127" s="873"/>
      <c r="E127" s="873"/>
      <c r="F127" s="873"/>
      <c r="G127" s="873"/>
      <c r="H127" s="873"/>
      <c r="I127" s="873"/>
      <c r="J127" s="873"/>
      <c r="K127" s="873"/>
      <c r="L127" s="873"/>
      <c r="M127" s="873"/>
      <c r="N127" s="873"/>
      <c r="O127" s="873"/>
      <c r="P127" s="873"/>
      <c r="Q127" s="873"/>
      <c r="R127" s="873"/>
      <c r="S127" s="873"/>
      <c r="T127" s="873"/>
      <c r="U127" s="873"/>
      <c r="V127" s="873"/>
      <c r="W127" s="873"/>
      <c r="X127" s="873"/>
      <c r="Y127" s="873"/>
      <c r="Z127" s="873"/>
      <c r="AA127" s="873"/>
      <c r="AB127" s="873"/>
      <c r="AC127" s="873"/>
      <c r="AD127" s="873"/>
      <c r="AE127" s="873"/>
      <c r="AF127" s="873"/>
      <c r="AG127" s="873"/>
      <c r="AH127" s="873"/>
      <c r="AI127" s="873"/>
      <c r="AJ127" s="873"/>
      <c r="AK127" s="873"/>
      <c r="AL127" s="873"/>
      <c r="AM127" s="873"/>
      <c r="AN127" s="873"/>
      <c r="AO127" s="873"/>
      <c r="AP127" s="873"/>
      <c r="AQ127" s="873"/>
      <c r="AR127" s="873"/>
      <c r="AS127" s="873"/>
      <c r="AT127" s="873"/>
      <c r="AU127" s="873"/>
      <c r="AV127" s="873"/>
      <c r="AW127" s="873"/>
      <c r="AX127" s="873"/>
      <c r="AY127" s="873"/>
      <c r="AZ127" s="873"/>
      <c r="BA127" s="873"/>
      <c r="BB127" s="873"/>
      <c r="BC127" s="873"/>
      <c r="BD127" s="873"/>
      <c r="BE127" s="873"/>
      <c r="BF127" s="873"/>
      <c r="BG127" s="873"/>
      <c r="BH127" s="873"/>
      <c r="BI127" s="873"/>
      <c r="BJ127" s="873"/>
      <c r="BK127" s="873"/>
      <c r="BL127" s="873"/>
      <c r="BM127" s="873"/>
      <c r="BN127" s="873"/>
      <c r="BO127" s="873"/>
      <c r="BP127" s="873"/>
      <c r="BQ127" s="873"/>
      <c r="BR127" s="873"/>
      <c r="BS127" s="873"/>
      <c r="BT127" s="873"/>
      <c r="BU127" s="873"/>
      <c r="BV127" s="873"/>
      <c r="BW127" s="873"/>
      <c r="BX127" s="873"/>
      <c r="BY127" s="873"/>
      <c r="BZ127" s="873"/>
      <c r="CA127" s="873"/>
      <c r="CB127" s="873"/>
      <c r="CC127" s="873"/>
      <c r="CD127" s="873"/>
      <c r="CE127" s="873"/>
      <c r="CF127" s="873"/>
      <c r="CG127" s="873"/>
      <c r="CH127" s="873"/>
      <c r="CI127" s="873"/>
      <c r="CJ127" s="873"/>
      <c r="CK127" s="873"/>
      <c r="CL127" s="873"/>
      <c r="CM127" s="873"/>
      <c r="CN127" s="873"/>
      <c r="CO127" s="873"/>
      <c r="CP127" s="873"/>
      <c r="CQ127" s="873"/>
      <c r="CR127" s="873"/>
      <c r="CS127" s="873"/>
      <c r="CT127" s="873"/>
      <c r="CU127" s="873"/>
      <c r="CV127" s="873"/>
      <c r="CW127" s="873"/>
      <c r="CX127" s="873"/>
      <c r="CY127" s="873"/>
      <c r="CZ127" s="873"/>
      <c r="DA127" s="873"/>
      <c r="DB127" s="873"/>
      <c r="DC127" s="873"/>
      <c r="DD127" s="873"/>
      <c r="DE127" s="873"/>
      <c r="DF127" s="873"/>
      <c r="DG127" s="873"/>
      <c r="DH127" s="873"/>
      <c r="DI127" s="873"/>
      <c r="DJ127" s="873"/>
      <c r="DK127" s="873"/>
      <c r="DL127" s="873"/>
      <c r="DM127" s="873"/>
      <c r="DN127" s="873"/>
      <c r="DO127" s="873"/>
      <c r="DP127" s="873"/>
      <c r="DQ127" s="873"/>
      <c r="DR127" s="873"/>
      <c r="DS127" s="873"/>
      <c r="DT127" s="873"/>
      <c r="DU127" s="873"/>
      <c r="DV127" s="873"/>
      <c r="DW127" s="873"/>
      <c r="DX127" s="873"/>
      <c r="DY127" s="873"/>
      <c r="DZ127" s="873"/>
      <c r="EA127" s="873"/>
      <c r="EB127" s="873"/>
      <c r="EC127" s="873"/>
      <c r="ED127" s="873"/>
      <c r="EE127" s="873"/>
      <c r="EF127" s="873"/>
      <c r="EG127" s="873"/>
      <c r="EH127" s="873"/>
      <c r="EI127" s="873"/>
      <c r="EJ127" s="873"/>
      <c r="EK127" s="873"/>
      <c r="EL127" s="873"/>
      <c r="EM127" s="873"/>
      <c r="EN127" s="873"/>
      <c r="EO127" s="873"/>
      <c r="EP127" s="873"/>
      <c r="EQ127" s="873"/>
      <c r="ER127" s="873"/>
      <c r="ES127" s="873"/>
      <c r="ET127" s="873"/>
      <c r="EU127" s="873"/>
      <c r="EV127" s="873"/>
      <c r="EW127" s="873"/>
      <c r="EX127" s="873"/>
      <c r="EY127" s="873"/>
      <c r="EZ127" s="873"/>
      <c r="FA127" s="873"/>
      <c r="FB127" s="873"/>
      <c r="FC127" s="873"/>
      <c r="FD127" s="873"/>
      <c r="FE127" s="873"/>
      <c r="FF127" s="873"/>
      <c r="FG127" s="873"/>
      <c r="FH127" s="873"/>
      <c r="FI127" s="873"/>
      <c r="FJ127" s="873"/>
      <c r="FK127" s="873"/>
      <c r="FL127" s="873"/>
      <c r="FM127" s="873"/>
      <c r="FN127" s="873"/>
      <c r="FO127" s="873"/>
      <c r="FP127" s="873"/>
      <c r="FQ127" s="873"/>
      <c r="FR127" s="873"/>
      <c r="FS127" s="873"/>
      <c r="FT127" s="873"/>
      <c r="FU127" s="873"/>
      <c r="FV127" s="873"/>
      <c r="FW127" s="873"/>
      <c r="FX127" s="873"/>
      <c r="FY127" s="873"/>
      <c r="FZ127" s="873"/>
      <c r="GA127" s="873"/>
      <c r="GB127" s="873"/>
      <c r="GC127" s="873"/>
      <c r="GD127" s="873"/>
      <c r="GE127" s="873"/>
      <c r="GF127" s="873"/>
      <c r="GG127" s="873"/>
      <c r="GH127" s="873"/>
      <c r="GI127" s="873"/>
      <c r="GJ127" s="873"/>
      <c r="GK127" s="873"/>
      <c r="GL127" s="873"/>
      <c r="GM127" s="873"/>
      <c r="GN127" s="873"/>
      <c r="GO127" s="873"/>
      <c r="GP127" s="873"/>
      <c r="GQ127" s="873"/>
      <c r="GR127" s="873"/>
      <c r="GS127" s="873"/>
      <c r="GT127" s="873"/>
      <c r="GU127" s="873"/>
      <c r="GV127" s="873"/>
      <c r="GW127" s="873"/>
      <c r="GX127" s="873"/>
      <c r="GY127" s="873"/>
      <c r="GZ127" s="873"/>
      <c r="HA127" s="873"/>
      <c r="HB127" s="873"/>
      <c r="HC127" s="873"/>
      <c r="HD127" s="873"/>
      <c r="HE127" s="873"/>
      <c r="HF127" s="873"/>
      <c r="HG127" s="873"/>
      <c r="HH127" s="873"/>
      <c r="HI127" s="873"/>
      <c r="HJ127" s="873"/>
      <c r="HK127" s="873"/>
      <c r="HL127" s="873"/>
      <c r="HM127" s="873"/>
      <c r="HN127" s="873"/>
      <c r="HO127" s="873"/>
      <c r="HP127" s="873"/>
      <c r="HQ127" s="873"/>
      <c r="HR127" s="873"/>
      <c r="HS127" s="873"/>
      <c r="HT127" s="873"/>
      <c r="HU127" s="873"/>
      <c r="HV127" s="873"/>
      <c r="HW127" s="873"/>
      <c r="HX127" s="873"/>
      <c r="HY127" s="873"/>
      <c r="HZ127" s="873"/>
      <c r="IA127" s="873"/>
      <c r="IB127" s="873"/>
      <c r="IC127" s="873"/>
      <c r="ID127" s="873"/>
      <c r="IE127" s="873"/>
      <c r="IF127" s="873"/>
      <c r="IG127" s="873"/>
      <c r="IH127" s="873"/>
      <c r="II127" s="873"/>
      <c r="IJ127" s="873"/>
      <c r="IK127" s="873"/>
      <c r="IL127" s="873"/>
      <c r="IM127" s="873"/>
      <c r="IN127" s="873"/>
      <c r="IO127" s="873"/>
      <c r="IP127" s="873"/>
      <c r="IQ127" s="873"/>
      <c r="IR127" s="873"/>
      <c r="IS127" s="873"/>
      <c r="IT127" s="873"/>
      <c r="IU127" s="873"/>
      <c r="IV127" s="873"/>
      <c r="IW127" s="873"/>
    </row>
    <row r="128" spans="1:257" s="876" customFormat="1" ht="154">
      <c r="A128" s="1151" t="s">
        <v>1185</v>
      </c>
      <c r="B128" s="1152" t="s">
        <v>2181</v>
      </c>
      <c r="C128" s="1162">
        <v>5</v>
      </c>
      <c r="D128" s="1162">
        <v>5</v>
      </c>
      <c r="E128" s="1154" t="s">
        <v>1498</v>
      </c>
      <c r="F128" s="1155" t="str">
        <f>IF(Scoring!I137="","",Scoring!I137)</f>
        <v/>
      </c>
      <c r="G128" s="1156"/>
      <c r="H128" s="1156"/>
      <c r="I128" s="1157" t="s">
        <v>2613</v>
      </c>
      <c r="J128" s="1158"/>
      <c r="K128" s="1158">
        <f>COUNT(F128:F128)</f>
        <v>0</v>
      </c>
      <c r="L128" s="1159">
        <f>SUM(F128:F128)</f>
        <v>0</v>
      </c>
      <c r="M128" s="1160">
        <f>IF(L128&lt;1,0,1)</f>
        <v>0</v>
      </c>
      <c r="N128" s="873"/>
      <c r="O128" s="883"/>
      <c r="P128" s="884">
        <f>COUNTA(F128:F128)</f>
        <v>1</v>
      </c>
      <c r="Q128" s="873"/>
      <c r="R128" s="873"/>
      <c r="S128" s="873"/>
      <c r="T128" s="873"/>
      <c r="U128" s="873"/>
      <c r="V128" s="873"/>
      <c r="W128" s="873"/>
      <c r="X128" s="873"/>
      <c r="Y128" s="873"/>
      <c r="Z128" s="873"/>
      <c r="AA128" s="873"/>
      <c r="AB128" s="873"/>
      <c r="AC128" s="873"/>
      <c r="AD128" s="873"/>
      <c r="AE128" s="873"/>
      <c r="AF128" s="873"/>
      <c r="AG128" s="873"/>
      <c r="AH128" s="873"/>
      <c r="AI128" s="873"/>
      <c r="AJ128" s="873"/>
      <c r="AK128" s="873"/>
      <c r="AL128" s="873"/>
      <c r="AM128" s="873"/>
      <c r="AN128" s="873"/>
      <c r="AO128" s="873"/>
      <c r="AP128" s="873"/>
      <c r="AQ128" s="873"/>
      <c r="AR128" s="873"/>
      <c r="AS128" s="873"/>
      <c r="AT128" s="873"/>
      <c r="AU128" s="873"/>
      <c r="AV128" s="873"/>
      <c r="AW128" s="873"/>
      <c r="AX128" s="873"/>
      <c r="AY128" s="873"/>
      <c r="AZ128" s="873"/>
      <c r="BA128" s="873"/>
      <c r="BB128" s="873"/>
      <c r="BC128" s="873"/>
      <c r="BD128" s="873"/>
      <c r="BE128" s="873"/>
      <c r="BF128" s="873"/>
      <c r="BG128" s="873"/>
      <c r="BH128" s="873"/>
      <c r="BI128" s="873"/>
      <c r="BJ128" s="873"/>
      <c r="BK128" s="873"/>
      <c r="BL128" s="873"/>
      <c r="BM128" s="873"/>
      <c r="BN128" s="873"/>
      <c r="BO128" s="873"/>
      <c r="BP128" s="873"/>
      <c r="BQ128" s="873"/>
      <c r="BR128" s="873"/>
      <c r="BS128" s="873"/>
      <c r="BT128" s="873"/>
      <c r="BU128" s="873"/>
      <c r="BV128" s="873"/>
      <c r="BW128" s="873"/>
      <c r="BX128" s="873"/>
      <c r="BY128" s="873"/>
      <c r="BZ128" s="873"/>
      <c r="CA128" s="873"/>
      <c r="CB128" s="873"/>
      <c r="CC128" s="873"/>
      <c r="CD128" s="873"/>
      <c r="CE128" s="873"/>
      <c r="CF128" s="873"/>
      <c r="CG128" s="873"/>
      <c r="CH128" s="873"/>
      <c r="CI128" s="873"/>
      <c r="CJ128" s="873"/>
      <c r="CK128" s="873"/>
      <c r="CL128" s="873"/>
      <c r="CM128" s="873"/>
      <c r="CN128" s="873"/>
      <c r="CO128" s="873"/>
      <c r="CP128" s="873"/>
      <c r="CQ128" s="873"/>
      <c r="CR128" s="873"/>
      <c r="CS128" s="873"/>
      <c r="CT128" s="873"/>
      <c r="CU128" s="873"/>
      <c r="CV128" s="873"/>
      <c r="CW128" s="873"/>
      <c r="CX128" s="873"/>
      <c r="CY128" s="873"/>
      <c r="CZ128" s="873"/>
      <c r="DA128" s="873"/>
      <c r="DB128" s="873"/>
      <c r="DC128" s="873"/>
      <c r="DD128" s="873"/>
      <c r="DE128" s="873"/>
      <c r="DF128" s="873"/>
      <c r="DG128" s="873"/>
      <c r="DH128" s="873"/>
      <c r="DI128" s="873"/>
      <c r="DJ128" s="873"/>
      <c r="DK128" s="873"/>
      <c r="DL128" s="873"/>
      <c r="DM128" s="873"/>
      <c r="DN128" s="873"/>
      <c r="DO128" s="873"/>
      <c r="DP128" s="873"/>
      <c r="DQ128" s="873"/>
      <c r="DR128" s="873"/>
      <c r="DS128" s="873"/>
      <c r="DT128" s="873"/>
      <c r="DU128" s="873"/>
      <c r="DV128" s="873"/>
      <c r="DW128" s="873"/>
      <c r="DX128" s="873"/>
      <c r="DY128" s="873"/>
      <c r="DZ128" s="873"/>
      <c r="EA128" s="873"/>
      <c r="EB128" s="873"/>
      <c r="EC128" s="873"/>
      <c r="ED128" s="873"/>
      <c r="EE128" s="873"/>
      <c r="EF128" s="873"/>
      <c r="EG128" s="873"/>
      <c r="EH128" s="873"/>
      <c r="EI128" s="873"/>
      <c r="EJ128" s="873"/>
      <c r="EK128" s="873"/>
      <c r="EL128" s="873"/>
      <c r="EM128" s="873"/>
      <c r="EN128" s="873"/>
      <c r="EO128" s="873"/>
      <c r="EP128" s="873"/>
      <c r="EQ128" s="873"/>
      <c r="ER128" s="873"/>
      <c r="ES128" s="873"/>
      <c r="ET128" s="873"/>
      <c r="EU128" s="873"/>
      <c r="EV128" s="873"/>
      <c r="EW128" s="873"/>
      <c r="EX128" s="873"/>
      <c r="EY128" s="873"/>
      <c r="EZ128" s="873"/>
      <c r="FA128" s="873"/>
      <c r="FB128" s="873"/>
      <c r="FC128" s="873"/>
      <c r="FD128" s="873"/>
      <c r="FE128" s="873"/>
      <c r="FF128" s="873"/>
      <c r="FG128" s="873"/>
      <c r="FH128" s="873"/>
      <c r="FI128" s="873"/>
      <c r="FJ128" s="873"/>
      <c r="FK128" s="873"/>
      <c r="FL128" s="873"/>
      <c r="FM128" s="873"/>
      <c r="FN128" s="873"/>
      <c r="FO128" s="873"/>
      <c r="FP128" s="873"/>
      <c r="FQ128" s="873"/>
      <c r="FR128" s="873"/>
      <c r="FS128" s="873"/>
      <c r="FT128" s="873"/>
      <c r="FU128" s="873"/>
      <c r="FV128" s="873"/>
      <c r="FW128" s="873"/>
      <c r="FX128" s="873"/>
      <c r="FY128" s="873"/>
      <c r="FZ128" s="873"/>
      <c r="GA128" s="873"/>
      <c r="GB128" s="873"/>
      <c r="GC128" s="873"/>
      <c r="GD128" s="873"/>
      <c r="GE128" s="873"/>
      <c r="GF128" s="873"/>
      <c r="GG128" s="873"/>
      <c r="GH128" s="873"/>
      <c r="GI128" s="873"/>
      <c r="GJ128" s="873"/>
      <c r="GK128" s="873"/>
      <c r="GL128" s="873"/>
      <c r="GM128" s="873"/>
      <c r="GN128" s="873"/>
      <c r="GO128" s="873"/>
      <c r="GP128" s="873"/>
      <c r="GQ128" s="873"/>
      <c r="GR128" s="873"/>
      <c r="GS128" s="873"/>
      <c r="GT128" s="873"/>
      <c r="GU128" s="873"/>
      <c r="GV128" s="873"/>
      <c r="GW128" s="873"/>
      <c r="GX128" s="873"/>
      <c r="GY128" s="873"/>
      <c r="GZ128" s="873"/>
      <c r="HA128" s="873"/>
      <c r="HB128" s="873"/>
      <c r="HC128" s="873"/>
      <c r="HD128" s="873"/>
      <c r="HE128" s="873"/>
      <c r="HF128" s="873"/>
      <c r="HG128" s="873"/>
      <c r="HH128" s="873"/>
      <c r="HI128" s="873"/>
      <c r="HJ128" s="873"/>
      <c r="HK128" s="873"/>
      <c r="HL128" s="873"/>
      <c r="HM128" s="873"/>
      <c r="HN128" s="873"/>
      <c r="HO128" s="873"/>
      <c r="HP128" s="873"/>
      <c r="HQ128" s="873"/>
      <c r="HR128" s="873"/>
      <c r="HS128" s="873"/>
      <c r="HT128" s="873"/>
      <c r="HU128" s="873"/>
      <c r="HV128" s="873"/>
      <c r="HW128" s="873"/>
      <c r="HX128" s="873"/>
      <c r="HY128" s="873"/>
      <c r="HZ128" s="873"/>
      <c r="IA128" s="873"/>
      <c r="IB128" s="873"/>
      <c r="IC128" s="873"/>
      <c r="ID128" s="873"/>
      <c r="IE128" s="873"/>
      <c r="IF128" s="873"/>
      <c r="IG128" s="873"/>
      <c r="IH128" s="873"/>
      <c r="II128" s="873"/>
      <c r="IJ128" s="873"/>
      <c r="IK128" s="873"/>
      <c r="IL128" s="873"/>
      <c r="IM128" s="873"/>
      <c r="IN128" s="873"/>
      <c r="IO128" s="873"/>
      <c r="IP128" s="873"/>
      <c r="IQ128" s="873"/>
      <c r="IR128" s="873"/>
      <c r="IS128" s="873"/>
      <c r="IT128" s="873"/>
      <c r="IU128" s="873"/>
      <c r="IV128" s="873"/>
      <c r="IW128" s="873"/>
    </row>
    <row r="129" spans="1:257" s="876" customFormat="1">
      <c r="A129" s="873"/>
      <c r="B129" s="873"/>
      <c r="C129" s="873"/>
      <c r="D129" s="873"/>
      <c r="E129" s="873"/>
      <c r="F129" s="873"/>
      <c r="G129" s="873"/>
      <c r="H129" s="873"/>
      <c r="I129" s="873"/>
      <c r="J129" s="873"/>
      <c r="K129" s="873"/>
      <c r="L129" s="873"/>
      <c r="M129" s="873"/>
      <c r="N129" s="873"/>
      <c r="O129" s="873"/>
      <c r="P129" s="873"/>
      <c r="Q129" s="873"/>
      <c r="R129" s="873"/>
      <c r="S129" s="873"/>
      <c r="T129" s="873"/>
      <c r="U129" s="873"/>
      <c r="V129" s="873"/>
      <c r="W129" s="873"/>
      <c r="X129" s="873"/>
      <c r="Y129" s="873"/>
      <c r="Z129" s="873"/>
      <c r="AA129" s="873"/>
      <c r="AB129" s="873"/>
      <c r="AC129" s="873"/>
      <c r="AD129" s="873"/>
      <c r="AE129" s="873"/>
      <c r="AF129" s="873"/>
      <c r="AG129" s="873"/>
      <c r="AH129" s="873"/>
      <c r="AI129" s="873"/>
      <c r="AJ129" s="873"/>
      <c r="AK129" s="873"/>
      <c r="AL129" s="873"/>
      <c r="AM129" s="873"/>
      <c r="AN129" s="873"/>
      <c r="AO129" s="873"/>
      <c r="AP129" s="873"/>
      <c r="AQ129" s="873"/>
      <c r="AR129" s="873"/>
      <c r="AS129" s="873"/>
      <c r="AT129" s="873"/>
      <c r="AU129" s="873"/>
      <c r="AV129" s="873"/>
      <c r="AW129" s="873"/>
      <c r="AX129" s="873"/>
      <c r="AY129" s="873"/>
      <c r="AZ129" s="873"/>
      <c r="BA129" s="873"/>
      <c r="BB129" s="873"/>
      <c r="BC129" s="873"/>
      <c r="BD129" s="873"/>
      <c r="BE129" s="873"/>
      <c r="BF129" s="873"/>
      <c r="BG129" s="873"/>
      <c r="BH129" s="873"/>
      <c r="BI129" s="873"/>
      <c r="BJ129" s="873"/>
      <c r="BK129" s="873"/>
      <c r="BL129" s="873"/>
      <c r="BM129" s="873"/>
      <c r="BN129" s="873"/>
      <c r="BO129" s="873"/>
      <c r="BP129" s="873"/>
      <c r="BQ129" s="873"/>
      <c r="BR129" s="873"/>
      <c r="BS129" s="873"/>
      <c r="BT129" s="873"/>
      <c r="BU129" s="873"/>
      <c r="BV129" s="873"/>
      <c r="BW129" s="873"/>
      <c r="BX129" s="873"/>
      <c r="BY129" s="873"/>
      <c r="BZ129" s="873"/>
      <c r="CA129" s="873"/>
      <c r="CB129" s="873"/>
      <c r="CC129" s="873"/>
      <c r="CD129" s="873"/>
      <c r="CE129" s="873"/>
      <c r="CF129" s="873"/>
      <c r="CG129" s="873"/>
      <c r="CH129" s="873"/>
      <c r="CI129" s="873"/>
      <c r="CJ129" s="873"/>
      <c r="CK129" s="873"/>
      <c r="CL129" s="873"/>
      <c r="CM129" s="873"/>
      <c r="CN129" s="873"/>
      <c r="CO129" s="873"/>
      <c r="CP129" s="873"/>
      <c r="CQ129" s="873"/>
      <c r="CR129" s="873"/>
      <c r="CS129" s="873"/>
      <c r="CT129" s="873"/>
      <c r="CU129" s="873"/>
      <c r="CV129" s="873"/>
      <c r="CW129" s="873"/>
      <c r="CX129" s="873"/>
      <c r="CY129" s="873"/>
      <c r="CZ129" s="873"/>
      <c r="DA129" s="873"/>
      <c r="DB129" s="873"/>
      <c r="DC129" s="873"/>
      <c r="DD129" s="873"/>
      <c r="DE129" s="873"/>
      <c r="DF129" s="873"/>
      <c r="DG129" s="873"/>
      <c r="DH129" s="873"/>
      <c r="DI129" s="873"/>
      <c r="DJ129" s="873"/>
      <c r="DK129" s="873"/>
      <c r="DL129" s="873"/>
      <c r="DM129" s="873"/>
      <c r="DN129" s="873"/>
      <c r="DO129" s="873"/>
      <c r="DP129" s="873"/>
      <c r="DQ129" s="873"/>
      <c r="DR129" s="873"/>
      <c r="DS129" s="873"/>
      <c r="DT129" s="873"/>
      <c r="DU129" s="873"/>
      <c r="DV129" s="873"/>
      <c r="DW129" s="873"/>
      <c r="DX129" s="873"/>
      <c r="DY129" s="873"/>
      <c r="DZ129" s="873"/>
      <c r="EA129" s="873"/>
      <c r="EB129" s="873"/>
      <c r="EC129" s="873"/>
      <c r="ED129" s="873"/>
      <c r="EE129" s="873"/>
      <c r="EF129" s="873"/>
      <c r="EG129" s="873"/>
      <c r="EH129" s="873"/>
      <c r="EI129" s="873"/>
      <c r="EJ129" s="873"/>
      <c r="EK129" s="873"/>
      <c r="EL129" s="873"/>
      <c r="EM129" s="873"/>
      <c r="EN129" s="873"/>
      <c r="EO129" s="873"/>
      <c r="EP129" s="873"/>
      <c r="EQ129" s="873"/>
      <c r="ER129" s="873"/>
      <c r="ES129" s="873"/>
      <c r="ET129" s="873"/>
      <c r="EU129" s="873"/>
      <c r="EV129" s="873"/>
      <c r="EW129" s="873"/>
      <c r="EX129" s="873"/>
      <c r="EY129" s="873"/>
      <c r="EZ129" s="873"/>
      <c r="FA129" s="873"/>
      <c r="FB129" s="873"/>
      <c r="FC129" s="873"/>
      <c r="FD129" s="873"/>
      <c r="FE129" s="873"/>
      <c r="FF129" s="873"/>
      <c r="FG129" s="873"/>
      <c r="FH129" s="873"/>
      <c r="FI129" s="873"/>
      <c r="FJ129" s="873"/>
      <c r="FK129" s="873"/>
      <c r="FL129" s="873"/>
      <c r="FM129" s="873"/>
      <c r="FN129" s="873"/>
      <c r="FO129" s="873"/>
      <c r="FP129" s="873"/>
      <c r="FQ129" s="873"/>
      <c r="FR129" s="873"/>
      <c r="FS129" s="873"/>
      <c r="FT129" s="873"/>
      <c r="FU129" s="873"/>
      <c r="FV129" s="873"/>
      <c r="FW129" s="873"/>
      <c r="FX129" s="873"/>
      <c r="FY129" s="873"/>
      <c r="FZ129" s="873"/>
      <c r="GA129" s="873"/>
      <c r="GB129" s="873"/>
      <c r="GC129" s="873"/>
      <c r="GD129" s="873"/>
      <c r="GE129" s="873"/>
      <c r="GF129" s="873"/>
      <c r="GG129" s="873"/>
      <c r="GH129" s="873"/>
      <c r="GI129" s="873"/>
      <c r="GJ129" s="873"/>
      <c r="GK129" s="873"/>
      <c r="GL129" s="873"/>
      <c r="GM129" s="873"/>
      <c r="GN129" s="873"/>
      <c r="GO129" s="873"/>
      <c r="GP129" s="873"/>
      <c r="GQ129" s="873"/>
      <c r="GR129" s="873"/>
      <c r="GS129" s="873"/>
      <c r="GT129" s="873"/>
      <c r="GU129" s="873"/>
      <c r="GV129" s="873"/>
      <c r="GW129" s="873"/>
      <c r="GX129" s="873"/>
      <c r="GY129" s="873"/>
      <c r="GZ129" s="873"/>
      <c r="HA129" s="873"/>
      <c r="HB129" s="873"/>
      <c r="HC129" s="873"/>
      <c r="HD129" s="873"/>
      <c r="HE129" s="873"/>
      <c r="HF129" s="873"/>
      <c r="HG129" s="873"/>
      <c r="HH129" s="873"/>
      <c r="HI129" s="873"/>
      <c r="HJ129" s="873"/>
      <c r="HK129" s="873"/>
      <c r="HL129" s="873"/>
      <c r="HM129" s="873"/>
      <c r="HN129" s="873"/>
      <c r="HO129" s="873"/>
      <c r="HP129" s="873"/>
      <c r="HQ129" s="873"/>
      <c r="HR129" s="873"/>
      <c r="HS129" s="873"/>
      <c r="HT129" s="873"/>
      <c r="HU129" s="873"/>
      <c r="HV129" s="873"/>
      <c r="HW129" s="873"/>
      <c r="HX129" s="873"/>
      <c r="HY129" s="873"/>
      <c r="HZ129" s="873"/>
      <c r="IA129" s="873"/>
      <c r="IB129" s="873"/>
      <c r="IC129" s="873"/>
      <c r="ID129" s="873"/>
      <c r="IE129" s="873"/>
      <c r="IF129" s="873"/>
      <c r="IG129" s="873"/>
      <c r="IH129" s="873"/>
      <c r="II129" s="873"/>
      <c r="IJ129" s="873"/>
      <c r="IK129" s="873"/>
      <c r="IL129" s="873"/>
      <c r="IM129" s="873"/>
      <c r="IN129" s="873"/>
      <c r="IO129" s="873"/>
      <c r="IP129" s="873"/>
      <c r="IQ129" s="873"/>
      <c r="IR129" s="873"/>
      <c r="IS129" s="873"/>
      <c r="IT129" s="873"/>
      <c r="IU129" s="873"/>
      <c r="IV129" s="873"/>
      <c r="IW129" s="873"/>
    </row>
    <row r="130" spans="1:257" s="876" customFormat="1">
      <c r="A130" s="873"/>
      <c r="B130" s="873"/>
      <c r="C130" s="873"/>
      <c r="D130" s="873"/>
      <c r="E130" s="873"/>
      <c r="F130" s="873"/>
      <c r="G130" s="873"/>
      <c r="H130" s="873"/>
      <c r="I130" s="873"/>
      <c r="J130" s="873"/>
      <c r="K130" s="873"/>
      <c r="L130" s="873"/>
      <c r="M130" s="873"/>
      <c r="N130" s="873"/>
      <c r="O130" s="873"/>
      <c r="P130" s="873"/>
      <c r="Q130" s="873"/>
      <c r="R130" s="873"/>
      <c r="S130" s="873"/>
      <c r="T130" s="873"/>
      <c r="U130" s="873"/>
      <c r="V130" s="873"/>
      <c r="W130" s="873"/>
      <c r="X130" s="873"/>
      <c r="Y130" s="873"/>
      <c r="Z130" s="873"/>
      <c r="AA130" s="873"/>
      <c r="AB130" s="873"/>
      <c r="AC130" s="873"/>
      <c r="AD130" s="873"/>
      <c r="AE130" s="873"/>
      <c r="AF130" s="873"/>
      <c r="AG130" s="873"/>
      <c r="AH130" s="873"/>
      <c r="AI130" s="873"/>
      <c r="AJ130" s="873"/>
      <c r="AK130" s="873"/>
      <c r="AL130" s="873"/>
      <c r="AM130" s="873"/>
      <c r="AN130" s="873"/>
      <c r="AO130" s="873"/>
      <c r="AP130" s="873"/>
      <c r="AQ130" s="873"/>
      <c r="AR130" s="873"/>
      <c r="AS130" s="873"/>
      <c r="AT130" s="873"/>
      <c r="AU130" s="873"/>
      <c r="AV130" s="873"/>
      <c r="AW130" s="873"/>
      <c r="AX130" s="873"/>
      <c r="AY130" s="873"/>
      <c r="AZ130" s="873"/>
      <c r="BA130" s="873"/>
      <c r="BB130" s="873"/>
      <c r="BC130" s="873"/>
      <c r="BD130" s="873"/>
      <c r="BE130" s="873"/>
      <c r="BF130" s="873"/>
      <c r="BG130" s="873"/>
      <c r="BH130" s="873"/>
      <c r="BI130" s="873"/>
      <c r="BJ130" s="873"/>
      <c r="BK130" s="873"/>
      <c r="BL130" s="873"/>
      <c r="BM130" s="873"/>
      <c r="BN130" s="873"/>
      <c r="BO130" s="873"/>
      <c r="BP130" s="873"/>
      <c r="BQ130" s="873"/>
      <c r="BR130" s="873"/>
      <c r="BS130" s="873"/>
      <c r="BT130" s="873"/>
      <c r="BU130" s="873"/>
      <c r="BV130" s="873"/>
      <c r="BW130" s="873"/>
      <c r="BX130" s="873"/>
      <c r="BY130" s="873"/>
      <c r="BZ130" s="873"/>
      <c r="CA130" s="873"/>
      <c r="CB130" s="873"/>
      <c r="CC130" s="873"/>
      <c r="CD130" s="873"/>
      <c r="CE130" s="873"/>
      <c r="CF130" s="873"/>
      <c r="CG130" s="873"/>
      <c r="CH130" s="873"/>
      <c r="CI130" s="873"/>
      <c r="CJ130" s="873"/>
      <c r="CK130" s="873"/>
      <c r="CL130" s="873"/>
      <c r="CM130" s="873"/>
      <c r="CN130" s="873"/>
      <c r="CO130" s="873"/>
      <c r="CP130" s="873"/>
      <c r="CQ130" s="873"/>
      <c r="CR130" s="873"/>
      <c r="CS130" s="873"/>
      <c r="CT130" s="873"/>
      <c r="CU130" s="873"/>
      <c r="CV130" s="873"/>
      <c r="CW130" s="873"/>
      <c r="CX130" s="873"/>
      <c r="CY130" s="873"/>
      <c r="CZ130" s="873"/>
      <c r="DA130" s="873"/>
      <c r="DB130" s="873"/>
      <c r="DC130" s="873"/>
      <c r="DD130" s="873"/>
      <c r="DE130" s="873"/>
      <c r="DF130" s="873"/>
      <c r="DG130" s="873"/>
      <c r="DH130" s="873"/>
      <c r="DI130" s="873"/>
      <c r="DJ130" s="873"/>
      <c r="DK130" s="873"/>
      <c r="DL130" s="873"/>
      <c r="DM130" s="873"/>
      <c r="DN130" s="873"/>
      <c r="DO130" s="873"/>
      <c r="DP130" s="873"/>
      <c r="DQ130" s="873"/>
      <c r="DR130" s="873"/>
      <c r="DS130" s="873"/>
      <c r="DT130" s="873"/>
      <c r="DU130" s="873"/>
      <c r="DV130" s="873"/>
      <c r="DW130" s="873"/>
      <c r="DX130" s="873"/>
      <c r="DY130" s="873"/>
      <c r="DZ130" s="873"/>
      <c r="EA130" s="873"/>
      <c r="EB130" s="873"/>
      <c r="EC130" s="873"/>
      <c r="ED130" s="873"/>
      <c r="EE130" s="873"/>
      <c r="EF130" s="873"/>
      <c r="EG130" s="873"/>
      <c r="EH130" s="873"/>
      <c r="EI130" s="873"/>
      <c r="EJ130" s="873"/>
      <c r="EK130" s="873"/>
      <c r="EL130" s="873"/>
      <c r="EM130" s="873"/>
      <c r="EN130" s="873"/>
      <c r="EO130" s="873"/>
      <c r="EP130" s="873"/>
      <c r="EQ130" s="873"/>
      <c r="ER130" s="873"/>
      <c r="ES130" s="873"/>
      <c r="ET130" s="873"/>
      <c r="EU130" s="873"/>
      <c r="EV130" s="873"/>
      <c r="EW130" s="873"/>
      <c r="EX130" s="873"/>
      <c r="EY130" s="873"/>
      <c r="EZ130" s="873"/>
      <c r="FA130" s="873"/>
      <c r="FB130" s="873"/>
      <c r="FC130" s="873"/>
      <c r="FD130" s="873"/>
      <c r="FE130" s="873"/>
      <c r="FF130" s="873"/>
      <c r="FG130" s="873"/>
      <c r="FH130" s="873"/>
      <c r="FI130" s="873"/>
      <c r="FJ130" s="873"/>
      <c r="FK130" s="873"/>
      <c r="FL130" s="873"/>
      <c r="FM130" s="873"/>
      <c r="FN130" s="873"/>
      <c r="FO130" s="873"/>
      <c r="FP130" s="873"/>
      <c r="FQ130" s="873"/>
      <c r="FR130" s="873"/>
      <c r="FS130" s="873"/>
      <c r="FT130" s="873"/>
      <c r="FU130" s="873"/>
      <c r="FV130" s="873"/>
      <c r="FW130" s="873"/>
      <c r="FX130" s="873"/>
      <c r="FY130" s="873"/>
      <c r="FZ130" s="873"/>
      <c r="GA130" s="873"/>
      <c r="GB130" s="873"/>
      <c r="GC130" s="873"/>
      <c r="GD130" s="873"/>
      <c r="GE130" s="873"/>
      <c r="GF130" s="873"/>
      <c r="GG130" s="873"/>
      <c r="GH130" s="873"/>
      <c r="GI130" s="873"/>
      <c r="GJ130" s="873"/>
      <c r="GK130" s="873"/>
      <c r="GL130" s="873"/>
      <c r="GM130" s="873"/>
      <c r="GN130" s="873"/>
      <c r="GO130" s="873"/>
      <c r="GP130" s="873"/>
      <c r="GQ130" s="873"/>
      <c r="GR130" s="873"/>
      <c r="GS130" s="873"/>
      <c r="GT130" s="873"/>
      <c r="GU130" s="873"/>
      <c r="GV130" s="873"/>
      <c r="GW130" s="873"/>
      <c r="GX130" s="873"/>
      <c r="GY130" s="873"/>
      <c r="GZ130" s="873"/>
      <c r="HA130" s="873"/>
      <c r="HB130" s="873"/>
      <c r="HC130" s="873"/>
      <c r="HD130" s="873"/>
      <c r="HE130" s="873"/>
      <c r="HF130" s="873"/>
      <c r="HG130" s="873"/>
      <c r="HH130" s="873"/>
      <c r="HI130" s="873"/>
      <c r="HJ130" s="873"/>
      <c r="HK130" s="873"/>
      <c r="HL130" s="873"/>
      <c r="HM130" s="873"/>
      <c r="HN130" s="873"/>
      <c r="HO130" s="873"/>
      <c r="HP130" s="873"/>
      <c r="HQ130" s="873"/>
      <c r="HR130" s="873"/>
      <c r="HS130" s="873"/>
      <c r="HT130" s="873"/>
      <c r="HU130" s="873"/>
      <c r="HV130" s="873"/>
      <c r="HW130" s="873"/>
      <c r="HX130" s="873"/>
      <c r="HY130" s="873"/>
      <c r="HZ130" s="873"/>
      <c r="IA130" s="873"/>
      <c r="IB130" s="873"/>
      <c r="IC130" s="873"/>
      <c r="ID130" s="873"/>
      <c r="IE130" s="873"/>
      <c r="IF130" s="873"/>
      <c r="IG130" s="873"/>
      <c r="IH130" s="873"/>
      <c r="II130" s="873"/>
      <c r="IJ130" s="873"/>
      <c r="IK130" s="873"/>
      <c r="IL130" s="873"/>
      <c r="IM130" s="873"/>
      <c r="IN130" s="873"/>
      <c r="IO130" s="873"/>
      <c r="IP130" s="873"/>
      <c r="IQ130" s="873"/>
      <c r="IR130" s="873"/>
      <c r="IS130" s="873"/>
      <c r="IT130" s="873"/>
      <c r="IU130" s="873"/>
      <c r="IV130" s="873"/>
      <c r="IW130" s="873"/>
    </row>
    <row r="131" spans="1:257" s="876" customFormat="1">
      <c r="A131" s="873"/>
      <c r="B131" s="873"/>
      <c r="C131" s="873"/>
      <c r="D131" s="873"/>
      <c r="E131" s="873"/>
      <c r="F131" s="873"/>
      <c r="G131" s="873"/>
      <c r="H131" s="873"/>
      <c r="I131" s="873"/>
      <c r="J131" s="873"/>
      <c r="K131" s="873"/>
      <c r="L131" s="873"/>
      <c r="M131" s="873"/>
      <c r="N131" s="873"/>
      <c r="O131" s="873"/>
      <c r="P131" s="873"/>
      <c r="Q131" s="873"/>
      <c r="R131" s="873"/>
      <c r="S131" s="873"/>
      <c r="T131" s="873"/>
      <c r="U131" s="873"/>
      <c r="V131" s="873"/>
      <c r="W131" s="873"/>
      <c r="X131" s="873"/>
      <c r="Y131" s="873"/>
      <c r="Z131" s="873"/>
      <c r="AA131" s="873"/>
      <c r="AB131" s="873"/>
      <c r="AC131" s="873"/>
      <c r="AD131" s="873"/>
      <c r="AE131" s="873"/>
      <c r="AF131" s="873"/>
      <c r="AG131" s="873"/>
      <c r="AH131" s="873"/>
      <c r="AI131" s="873"/>
      <c r="AJ131" s="873"/>
      <c r="AK131" s="873"/>
      <c r="AL131" s="873"/>
      <c r="AM131" s="873"/>
      <c r="AN131" s="873"/>
      <c r="AO131" s="873"/>
      <c r="AP131" s="873"/>
      <c r="AQ131" s="873"/>
      <c r="AR131" s="873"/>
      <c r="AS131" s="873"/>
      <c r="AT131" s="873"/>
      <c r="AU131" s="873"/>
      <c r="AV131" s="873"/>
      <c r="AW131" s="873"/>
      <c r="AX131" s="873"/>
      <c r="AY131" s="873"/>
      <c r="AZ131" s="873"/>
      <c r="BA131" s="873"/>
      <c r="BB131" s="873"/>
      <c r="BC131" s="873"/>
      <c r="BD131" s="873"/>
      <c r="BE131" s="873"/>
      <c r="BF131" s="873"/>
      <c r="BG131" s="873"/>
      <c r="BH131" s="873"/>
      <c r="BI131" s="873"/>
      <c r="BJ131" s="873"/>
      <c r="BK131" s="873"/>
      <c r="BL131" s="873"/>
      <c r="BM131" s="873"/>
      <c r="BN131" s="873"/>
      <c r="BO131" s="873"/>
      <c r="BP131" s="873"/>
      <c r="BQ131" s="873"/>
      <c r="BR131" s="873"/>
      <c r="BS131" s="873"/>
      <c r="BT131" s="873"/>
      <c r="BU131" s="873"/>
      <c r="BV131" s="873"/>
      <c r="BW131" s="873"/>
      <c r="BX131" s="873"/>
      <c r="BY131" s="873"/>
      <c r="BZ131" s="873"/>
      <c r="CA131" s="873"/>
      <c r="CB131" s="873"/>
      <c r="CC131" s="873"/>
      <c r="CD131" s="873"/>
      <c r="CE131" s="873"/>
      <c r="CF131" s="873"/>
      <c r="CG131" s="873"/>
      <c r="CH131" s="873"/>
      <c r="CI131" s="873"/>
      <c r="CJ131" s="873"/>
      <c r="CK131" s="873"/>
      <c r="CL131" s="873"/>
      <c r="CM131" s="873"/>
      <c r="CN131" s="873"/>
      <c r="CO131" s="873"/>
      <c r="CP131" s="873"/>
      <c r="CQ131" s="873"/>
      <c r="CR131" s="873"/>
      <c r="CS131" s="873"/>
      <c r="CT131" s="873"/>
      <c r="CU131" s="873"/>
      <c r="CV131" s="873"/>
      <c r="CW131" s="873"/>
      <c r="CX131" s="873"/>
      <c r="CY131" s="873"/>
      <c r="CZ131" s="873"/>
      <c r="DA131" s="873"/>
      <c r="DB131" s="873"/>
      <c r="DC131" s="873"/>
      <c r="DD131" s="873"/>
      <c r="DE131" s="873"/>
      <c r="DF131" s="873"/>
      <c r="DG131" s="873"/>
      <c r="DH131" s="873"/>
      <c r="DI131" s="873"/>
      <c r="DJ131" s="873"/>
      <c r="DK131" s="873"/>
      <c r="DL131" s="873"/>
      <c r="DM131" s="873"/>
      <c r="DN131" s="873"/>
      <c r="DO131" s="873"/>
      <c r="DP131" s="873"/>
      <c r="DQ131" s="873"/>
      <c r="DR131" s="873"/>
      <c r="DS131" s="873"/>
      <c r="DT131" s="873"/>
      <c r="DU131" s="873"/>
      <c r="DV131" s="873"/>
      <c r="DW131" s="873"/>
      <c r="DX131" s="873"/>
      <c r="DY131" s="873"/>
      <c r="DZ131" s="873"/>
      <c r="EA131" s="873"/>
      <c r="EB131" s="873"/>
      <c r="EC131" s="873"/>
      <c r="ED131" s="873"/>
      <c r="EE131" s="873"/>
      <c r="EF131" s="873"/>
      <c r="EG131" s="873"/>
      <c r="EH131" s="873"/>
      <c r="EI131" s="873"/>
      <c r="EJ131" s="873"/>
      <c r="EK131" s="873"/>
      <c r="EL131" s="873"/>
      <c r="EM131" s="873"/>
      <c r="EN131" s="873"/>
      <c r="EO131" s="873"/>
      <c r="EP131" s="873"/>
      <c r="EQ131" s="873"/>
      <c r="ER131" s="873"/>
      <c r="ES131" s="873"/>
      <c r="ET131" s="873"/>
      <c r="EU131" s="873"/>
      <c r="EV131" s="873"/>
      <c r="EW131" s="873"/>
      <c r="EX131" s="873"/>
      <c r="EY131" s="873"/>
      <c r="EZ131" s="873"/>
      <c r="FA131" s="873"/>
      <c r="FB131" s="873"/>
      <c r="FC131" s="873"/>
      <c r="FD131" s="873"/>
      <c r="FE131" s="873"/>
      <c r="FF131" s="873"/>
      <c r="FG131" s="873"/>
      <c r="FH131" s="873"/>
      <c r="FI131" s="873"/>
      <c r="FJ131" s="873"/>
      <c r="FK131" s="873"/>
      <c r="FL131" s="873"/>
      <c r="FM131" s="873"/>
      <c r="FN131" s="873"/>
      <c r="FO131" s="873"/>
      <c r="FP131" s="873"/>
      <c r="FQ131" s="873"/>
      <c r="FR131" s="873"/>
      <c r="FS131" s="873"/>
      <c r="FT131" s="873"/>
      <c r="FU131" s="873"/>
      <c r="FV131" s="873"/>
      <c r="FW131" s="873"/>
      <c r="FX131" s="873"/>
      <c r="FY131" s="873"/>
      <c r="FZ131" s="873"/>
      <c r="GA131" s="873"/>
      <c r="GB131" s="873"/>
      <c r="GC131" s="873"/>
      <c r="GD131" s="873"/>
      <c r="GE131" s="873"/>
      <c r="GF131" s="873"/>
      <c r="GG131" s="873"/>
      <c r="GH131" s="873"/>
      <c r="GI131" s="873"/>
      <c r="GJ131" s="873"/>
      <c r="GK131" s="873"/>
      <c r="GL131" s="873"/>
      <c r="GM131" s="873"/>
      <c r="GN131" s="873"/>
      <c r="GO131" s="873"/>
      <c r="GP131" s="873"/>
      <c r="GQ131" s="873"/>
      <c r="GR131" s="873"/>
      <c r="GS131" s="873"/>
      <c r="GT131" s="873"/>
      <c r="GU131" s="873"/>
      <c r="GV131" s="873"/>
      <c r="GW131" s="873"/>
      <c r="GX131" s="873"/>
      <c r="GY131" s="873"/>
      <c r="GZ131" s="873"/>
      <c r="HA131" s="873"/>
      <c r="HB131" s="873"/>
      <c r="HC131" s="873"/>
      <c r="HD131" s="873"/>
      <c r="HE131" s="873"/>
      <c r="HF131" s="873"/>
      <c r="HG131" s="873"/>
      <c r="HH131" s="873"/>
      <c r="HI131" s="873"/>
      <c r="HJ131" s="873"/>
      <c r="HK131" s="873"/>
      <c r="HL131" s="873"/>
      <c r="HM131" s="873"/>
      <c r="HN131" s="873"/>
      <c r="HO131" s="873"/>
      <c r="HP131" s="873"/>
      <c r="HQ131" s="873"/>
      <c r="HR131" s="873"/>
      <c r="HS131" s="873"/>
      <c r="HT131" s="873"/>
      <c r="HU131" s="873"/>
      <c r="HV131" s="873"/>
      <c r="HW131" s="873"/>
      <c r="HX131" s="873"/>
      <c r="HY131" s="873"/>
      <c r="HZ131" s="873"/>
      <c r="IA131" s="873"/>
      <c r="IB131" s="873"/>
      <c r="IC131" s="873"/>
      <c r="ID131" s="873"/>
      <c r="IE131" s="873"/>
      <c r="IF131" s="873"/>
      <c r="IG131" s="873"/>
      <c r="IH131" s="873"/>
      <c r="II131" s="873"/>
      <c r="IJ131" s="873"/>
      <c r="IK131" s="873"/>
      <c r="IL131" s="873"/>
      <c r="IM131" s="873"/>
      <c r="IN131" s="873"/>
      <c r="IO131" s="873"/>
      <c r="IP131" s="873"/>
      <c r="IQ131" s="873"/>
      <c r="IR131" s="873"/>
      <c r="IS131" s="873"/>
      <c r="IT131" s="873"/>
      <c r="IU131" s="873"/>
      <c r="IV131" s="873"/>
      <c r="IW131" s="873"/>
    </row>
    <row r="132" spans="1:257" s="876" customFormat="1">
      <c r="A132" s="873"/>
      <c r="B132" s="873"/>
      <c r="C132" s="873"/>
      <c r="D132" s="873"/>
      <c r="E132" s="873"/>
      <c r="F132" s="873"/>
      <c r="G132" s="873"/>
      <c r="H132" s="873"/>
      <c r="I132" s="873"/>
      <c r="J132" s="873"/>
      <c r="K132" s="873"/>
      <c r="L132" s="873"/>
      <c r="M132" s="873"/>
      <c r="N132" s="873"/>
      <c r="O132" s="873"/>
      <c r="P132" s="873"/>
      <c r="Q132" s="873"/>
      <c r="R132" s="873"/>
      <c r="S132" s="873"/>
      <c r="T132" s="873"/>
      <c r="U132" s="873"/>
      <c r="V132" s="873"/>
      <c r="W132" s="873"/>
      <c r="X132" s="873"/>
      <c r="Y132" s="873"/>
      <c r="Z132" s="873"/>
      <c r="AA132" s="873"/>
      <c r="AB132" s="873"/>
      <c r="AC132" s="873"/>
      <c r="AD132" s="873"/>
      <c r="AE132" s="873"/>
      <c r="AF132" s="873"/>
      <c r="AG132" s="873"/>
      <c r="AH132" s="873"/>
      <c r="AI132" s="873"/>
      <c r="AJ132" s="873"/>
      <c r="AK132" s="873"/>
      <c r="AL132" s="873"/>
      <c r="AM132" s="873"/>
      <c r="AN132" s="873"/>
      <c r="AO132" s="873"/>
      <c r="AP132" s="873"/>
      <c r="AQ132" s="873"/>
      <c r="AR132" s="873"/>
      <c r="AS132" s="873"/>
      <c r="AT132" s="873"/>
      <c r="AU132" s="873"/>
      <c r="AV132" s="873"/>
      <c r="AW132" s="873"/>
      <c r="AX132" s="873"/>
      <c r="AY132" s="873"/>
      <c r="AZ132" s="873"/>
      <c r="BA132" s="873"/>
      <c r="BB132" s="873"/>
      <c r="BC132" s="873"/>
      <c r="BD132" s="873"/>
      <c r="BE132" s="873"/>
      <c r="BF132" s="873"/>
      <c r="BG132" s="873"/>
      <c r="BH132" s="873"/>
      <c r="BI132" s="873"/>
      <c r="BJ132" s="873"/>
      <c r="BK132" s="873"/>
      <c r="BL132" s="873"/>
      <c r="BM132" s="873"/>
      <c r="BN132" s="873"/>
      <c r="BO132" s="873"/>
      <c r="BP132" s="873"/>
      <c r="BQ132" s="873"/>
      <c r="BR132" s="873"/>
      <c r="BS132" s="873"/>
      <c r="BT132" s="873"/>
      <c r="BU132" s="873"/>
      <c r="BV132" s="873"/>
      <c r="BW132" s="873"/>
      <c r="BX132" s="873"/>
      <c r="BY132" s="873"/>
      <c r="BZ132" s="873"/>
      <c r="CA132" s="873"/>
      <c r="CB132" s="873"/>
      <c r="CC132" s="873"/>
      <c r="CD132" s="873"/>
      <c r="CE132" s="873"/>
      <c r="CF132" s="873"/>
      <c r="CG132" s="873"/>
      <c r="CH132" s="873"/>
      <c r="CI132" s="873"/>
      <c r="CJ132" s="873"/>
      <c r="CK132" s="873"/>
      <c r="CL132" s="873"/>
      <c r="CM132" s="873"/>
      <c r="CN132" s="873"/>
      <c r="CO132" s="873"/>
      <c r="CP132" s="873"/>
      <c r="CQ132" s="873"/>
      <c r="CR132" s="873"/>
      <c r="CS132" s="873"/>
      <c r="CT132" s="873"/>
      <c r="CU132" s="873"/>
      <c r="CV132" s="873"/>
      <c r="CW132" s="873"/>
      <c r="CX132" s="873"/>
      <c r="CY132" s="873"/>
      <c r="CZ132" s="873"/>
      <c r="DA132" s="873"/>
      <c r="DB132" s="873"/>
      <c r="DC132" s="873"/>
      <c r="DD132" s="873"/>
      <c r="DE132" s="873"/>
      <c r="DF132" s="873"/>
      <c r="DG132" s="873"/>
      <c r="DH132" s="873"/>
      <c r="DI132" s="873"/>
      <c r="DJ132" s="873"/>
      <c r="DK132" s="873"/>
      <c r="DL132" s="873"/>
      <c r="DM132" s="873"/>
      <c r="DN132" s="873"/>
      <c r="DO132" s="873"/>
      <c r="DP132" s="873"/>
      <c r="DQ132" s="873"/>
      <c r="DR132" s="873"/>
      <c r="DS132" s="873"/>
      <c r="DT132" s="873"/>
      <c r="DU132" s="873"/>
      <c r="DV132" s="873"/>
      <c r="DW132" s="873"/>
      <c r="DX132" s="873"/>
      <c r="DY132" s="873"/>
      <c r="DZ132" s="873"/>
      <c r="EA132" s="873"/>
      <c r="EB132" s="873"/>
      <c r="EC132" s="873"/>
      <c r="ED132" s="873"/>
      <c r="EE132" s="873"/>
      <c r="EF132" s="873"/>
      <c r="EG132" s="873"/>
      <c r="EH132" s="873"/>
      <c r="EI132" s="873"/>
      <c r="EJ132" s="873"/>
      <c r="EK132" s="873"/>
      <c r="EL132" s="873"/>
      <c r="EM132" s="873"/>
      <c r="EN132" s="873"/>
      <c r="EO132" s="873"/>
      <c r="EP132" s="873"/>
      <c r="EQ132" s="873"/>
      <c r="ER132" s="873"/>
      <c r="ES132" s="873"/>
      <c r="ET132" s="873"/>
      <c r="EU132" s="873"/>
      <c r="EV132" s="873"/>
      <c r="EW132" s="873"/>
      <c r="EX132" s="873"/>
      <c r="EY132" s="873"/>
      <c r="EZ132" s="873"/>
      <c r="FA132" s="873"/>
      <c r="FB132" s="873"/>
      <c r="FC132" s="873"/>
      <c r="FD132" s="873"/>
      <c r="FE132" s="873"/>
      <c r="FF132" s="873"/>
      <c r="FG132" s="873"/>
      <c r="FH132" s="873"/>
      <c r="FI132" s="873"/>
      <c r="FJ132" s="873"/>
      <c r="FK132" s="873"/>
      <c r="FL132" s="873"/>
      <c r="FM132" s="873"/>
      <c r="FN132" s="873"/>
      <c r="FO132" s="873"/>
      <c r="FP132" s="873"/>
      <c r="FQ132" s="873"/>
      <c r="FR132" s="873"/>
      <c r="FS132" s="873"/>
      <c r="FT132" s="873"/>
      <c r="FU132" s="873"/>
      <c r="FV132" s="873"/>
      <c r="FW132" s="873"/>
      <c r="FX132" s="873"/>
      <c r="FY132" s="873"/>
      <c r="FZ132" s="873"/>
      <c r="GA132" s="873"/>
      <c r="GB132" s="873"/>
      <c r="GC132" s="873"/>
      <c r="GD132" s="873"/>
      <c r="GE132" s="873"/>
      <c r="GF132" s="873"/>
      <c r="GG132" s="873"/>
      <c r="GH132" s="873"/>
      <c r="GI132" s="873"/>
      <c r="GJ132" s="873"/>
      <c r="GK132" s="873"/>
      <c r="GL132" s="873"/>
      <c r="GM132" s="873"/>
      <c r="GN132" s="873"/>
      <c r="GO132" s="873"/>
      <c r="GP132" s="873"/>
      <c r="GQ132" s="873"/>
      <c r="GR132" s="873"/>
      <c r="GS132" s="873"/>
      <c r="GT132" s="873"/>
      <c r="GU132" s="873"/>
      <c r="GV132" s="873"/>
      <c r="GW132" s="873"/>
      <c r="GX132" s="873"/>
      <c r="GY132" s="873"/>
      <c r="GZ132" s="873"/>
      <c r="HA132" s="873"/>
      <c r="HB132" s="873"/>
      <c r="HC132" s="873"/>
      <c r="HD132" s="873"/>
      <c r="HE132" s="873"/>
      <c r="HF132" s="873"/>
      <c r="HG132" s="873"/>
      <c r="HH132" s="873"/>
      <c r="HI132" s="873"/>
      <c r="HJ132" s="873"/>
      <c r="HK132" s="873"/>
      <c r="HL132" s="873"/>
      <c r="HM132" s="873"/>
      <c r="HN132" s="873"/>
      <c r="HO132" s="873"/>
      <c r="HP132" s="873"/>
      <c r="HQ132" s="873"/>
      <c r="HR132" s="873"/>
      <c r="HS132" s="873"/>
      <c r="HT132" s="873"/>
      <c r="HU132" s="873"/>
      <c r="HV132" s="873"/>
      <c r="HW132" s="873"/>
      <c r="HX132" s="873"/>
      <c r="HY132" s="873"/>
      <c r="HZ132" s="873"/>
      <c r="IA132" s="873"/>
      <c r="IB132" s="873"/>
      <c r="IC132" s="873"/>
      <c r="ID132" s="873"/>
      <c r="IE132" s="873"/>
      <c r="IF132" s="873"/>
      <c r="IG132" s="873"/>
      <c r="IH132" s="873"/>
      <c r="II132" s="873"/>
      <c r="IJ132" s="873"/>
      <c r="IK132" s="873"/>
      <c r="IL132" s="873"/>
      <c r="IM132" s="873"/>
      <c r="IN132" s="873"/>
      <c r="IO132" s="873"/>
      <c r="IP132" s="873"/>
      <c r="IQ132" s="873"/>
      <c r="IR132" s="873"/>
      <c r="IS132" s="873"/>
      <c r="IT132" s="873"/>
      <c r="IU132" s="873"/>
      <c r="IV132" s="873"/>
      <c r="IW132" s="873"/>
    </row>
    <row r="133" spans="1:257" s="876" customFormat="1">
      <c r="A133" s="873"/>
      <c r="B133" s="873"/>
      <c r="C133" s="873"/>
      <c r="D133" s="873"/>
      <c r="E133" s="873"/>
      <c r="F133" s="873"/>
      <c r="G133" s="873"/>
      <c r="H133" s="873"/>
      <c r="I133" s="873"/>
      <c r="J133" s="873"/>
      <c r="K133" s="873"/>
      <c r="L133" s="873"/>
      <c r="M133" s="873"/>
      <c r="N133" s="873"/>
      <c r="O133" s="873"/>
      <c r="P133" s="873"/>
      <c r="Q133" s="873"/>
      <c r="R133" s="873"/>
      <c r="S133" s="873"/>
      <c r="T133" s="873"/>
      <c r="U133" s="873"/>
      <c r="V133" s="873"/>
      <c r="W133" s="873"/>
      <c r="X133" s="873"/>
      <c r="Y133" s="873"/>
      <c r="Z133" s="873"/>
      <c r="AA133" s="873"/>
      <c r="AB133" s="873"/>
      <c r="AC133" s="873"/>
      <c r="AD133" s="873"/>
      <c r="AE133" s="873"/>
      <c r="AF133" s="873"/>
      <c r="AG133" s="873"/>
      <c r="AH133" s="873"/>
      <c r="AI133" s="873"/>
      <c r="AJ133" s="873"/>
      <c r="AK133" s="873"/>
      <c r="AL133" s="873"/>
      <c r="AM133" s="873"/>
      <c r="AN133" s="873"/>
      <c r="AO133" s="873"/>
      <c r="AP133" s="873"/>
      <c r="AQ133" s="873"/>
      <c r="AR133" s="873"/>
      <c r="AS133" s="873"/>
      <c r="AT133" s="873"/>
      <c r="AU133" s="873"/>
      <c r="AV133" s="873"/>
      <c r="AW133" s="873"/>
      <c r="AX133" s="873"/>
      <c r="AY133" s="873"/>
      <c r="AZ133" s="873"/>
      <c r="BA133" s="873"/>
      <c r="BB133" s="873"/>
      <c r="BC133" s="873"/>
      <c r="BD133" s="873"/>
      <c r="BE133" s="873"/>
      <c r="BF133" s="873"/>
      <c r="BG133" s="873"/>
      <c r="BH133" s="873"/>
      <c r="BI133" s="873"/>
      <c r="BJ133" s="873"/>
      <c r="BK133" s="873"/>
      <c r="BL133" s="873"/>
      <c r="BM133" s="873"/>
      <c r="BN133" s="873"/>
      <c r="BO133" s="873"/>
      <c r="BP133" s="873"/>
      <c r="BQ133" s="873"/>
      <c r="BR133" s="873"/>
      <c r="BS133" s="873"/>
      <c r="BT133" s="873"/>
      <c r="BU133" s="873"/>
      <c r="BV133" s="873"/>
      <c r="BW133" s="873"/>
      <c r="BX133" s="873"/>
      <c r="BY133" s="873"/>
      <c r="BZ133" s="873"/>
      <c r="CA133" s="873"/>
      <c r="CB133" s="873"/>
      <c r="CC133" s="873"/>
      <c r="CD133" s="873"/>
      <c r="CE133" s="873"/>
      <c r="CF133" s="873"/>
      <c r="CG133" s="873"/>
      <c r="CH133" s="873"/>
      <c r="CI133" s="873"/>
      <c r="CJ133" s="873"/>
      <c r="CK133" s="873"/>
      <c r="CL133" s="873"/>
      <c r="CM133" s="873"/>
      <c r="CN133" s="873"/>
      <c r="CO133" s="873"/>
      <c r="CP133" s="873"/>
      <c r="CQ133" s="873"/>
      <c r="CR133" s="873"/>
      <c r="CS133" s="873"/>
      <c r="CT133" s="873"/>
      <c r="CU133" s="873"/>
      <c r="CV133" s="873"/>
      <c r="CW133" s="873"/>
      <c r="CX133" s="873"/>
      <c r="CY133" s="873"/>
      <c r="CZ133" s="873"/>
      <c r="DA133" s="873"/>
      <c r="DB133" s="873"/>
      <c r="DC133" s="873"/>
      <c r="DD133" s="873"/>
      <c r="DE133" s="873"/>
      <c r="DF133" s="873"/>
      <c r="DG133" s="873"/>
      <c r="DH133" s="873"/>
      <c r="DI133" s="873"/>
      <c r="DJ133" s="873"/>
      <c r="DK133" s="873"/>
      <c r="DL133" s="873"/>
      <c r="DM133" s="873"/>
      <c r="DN133" s="873"/>
      <c r="DO133" s="873"/>
      <c r="DP133" s="873"/>
      <c r="DQ133" s="873"/>
      <c r="DR133" s="873"/>
      <c r="DS133" s="873"/>
      <c r="DT133" s="873"/>
      <c r="DU133" s="873"/>
      <c r="DV133" s="873"/>
      <c r="DW133" s="873"/>
      <c r="DX133" s="873"/>
      <c r="DY133" s="873"/>
      <c r="DZ133" s="873"/>
      <c r="EA133" s="873"/>
      <c r="EB133" s="873"/>
      <c r="EC133" s="873"/>
      <c r="ED133" s="873"/>
      <c r="EE133" s="873"/>
      <c r="EF133" s="873"/>
      <c r="EG133" s="873"/>
      <c r="EH133" s="873"/>
      <c r="EI133" s="873"/>
      <c r="EJ133" s="873"/>
      <c r="EK133" s="873"/>
      <c r="EL133" s="873"/>
      <c r="EM133" s="873"/>
      <c r="EN133" s="873"/>
      <c r="EO133" s="873"/>
      <c r="EP133" s="873"/>
      <c r="EQ133" s="873"/>
      <c r="ER133" s="873"/>
      <c r="ES133" s="873"/>
      <c r="ET133" s="873"/>
      <c r="EU133" s="873"/>
      <c r="EV133" s="873"/>
      <c r="EW133" s="873"/>
      <c r="EX133" s="873"/>
      <c r="EY133" s="873"/>
      <c r="EZ133" s="873"/>
      <c r="FA133" s="873"/>
      <c r="FB133" s="873"/>
      <c r="FC133" s="873"/>
      <c r="FD133" s="873"/>
      <c r="FE133" s="873"/>
      <c r="FF133" s="873"/>
      <c r="FG133" s="873"/>
      <c r="FH133" s="873"/>
      <c r="FI133" s="873"/>
      <c r="FJ133" s="873"/>
      <c r="FK133" s="873"/>
      <c r="FL133" s="873"/>
      <c r="FM133" s="873"/>
      <c r="FN133" s="873"/>
      <c r="FO133" s="873"/>
      <c r="FP133" s="873"/>
      <c r="FQ133" s="873"/>
      <c r="FR133" s="873"/>
      <c r="FS133" s="873"/>
      <c r="FT133" s="873"/>
      <c r="FU133" s="873"/>
      <c r="FV133" s="873"/>
      <c r="FW133" s="873"/>
      <c r="FX133" s="873"/>
      <c r="FY133" s="873"/>
      <c r="FZ133" s="873"/>
      <c r="GA133" s="873"/>
      <c r="GB133" s="873"/>
      <c r="GC133" s="873"/>
      <c r="GD133" s="873"/>
      <c r="GE133" s="873"/>
      <c r="GF133" s="873"/>
      <c r="GG133" s="873"/>
      <c r="GH133" s="873"/>
      <c r="GI133" s="873"/>
      <c r="GJ133" s="873"/>
      <c r="GK133" s="873"/>
      <c r="GL133" s="873"/>
      <c r="GM133" s="873"/>
      <c r="GN133" s="873"/>
      <c r="GO133" s="873"/>
      <c r="GP133" s="873"/>
      <c r="GQ133" s="873"/>
      <c r="GR133" s="873"/>
      <c r="GS133" s="873"/>
      <c r="GT133" s="873"/>
      <c r="GU133" s="873"/>
      <c r="GV133" s="873"/>
      <c r="GW133" s="873"/>
      <c r="GX133" s="873"/>
      <c r="GY133" s="873"/>
      <c r="GZ133" s="873"/>
      <c r="HA133" s="873"/>
      <c r="HB133" s="873"/>
      <c r="HC133" s="873"/>
      <c r="HD133" s="873"/>
      <c r="HE133" s="873"/>
      <c r="HF133" s="873"/>
      <c r="HG133" s="873"/>
      <c r="HH133" s="873"/>
      <c r="HI133" s="873"/>
      <c r="HJ133" s="873"/>
      <c r="HK133" s="873"/>
      <c r="HL133" s="873"/>
      <c r="HM133" s="873"/>
      <c r="HN133" s="873"/>
      <c r="HO133" s="873"/>
      <c r="HP133" s="873"/>
      <c r="HQ133" s="873"/>
      <c r="HR133" s="873"/>
      <c r="HS133" s="873"/>
      <c r="HT133" s="873"/>
      <c r="HU133" s="873"/>
      <c r="HV133" s="873"/>
      <c r="HW133" s="873"/>
      <c r="HX133" s="873"/>
      <c r="HY133" s="873"/>
      <c r="HZ133" s="873"/>
      <c r="IA133" s="873"/>
      <c r="IB133" s="873"/>
      <c r="IC133" s="873"/>
      <c r="ID133" s="873"/>
      <c r="IE133" s="873"/>
      <c r="IF133" s="873"/>
      <c r="IG133" s="873"/>
      <c r="IH133" s="873"/>
      <c r="II133" s="873"/>
      <c r="IJ133" s="873"/>
      <c r="IK133" s="873"/>
      <c r="IL133" s="873"/>
      <c r="IM133" s="873"/>
      <c r="IN133" s="873"/>
      <c r="IO133" s="873"/>
      <c r="IP133" s="873"/>
      <c r="IQ133" s="873"/>
      <c r="IR133" s="873"/>
      <c r="IS133" s="873"/>
      <c r="IT133" s="873"/>
      <c r="IU133" s="873"/>
      <c r="IV133" s="873"/>
      <c r="IW133" s="873"/>
    </row>
    <row r="134" spans="1:257" s="876" customFormat="1" ht="70">
      <c r="A134" s="2492" t="s">
        <v>2192</v>
      </c>
      <c r="B134" s="1148" t="s">
        <v>2193</v>
      </c>
      <c r="C134" s="1117">
        <v>5</v>
      </c>
      <c r="D134" s="1117">
        <v>6</v>
      </c>
      <c r="E134" s="1118" t="s">
        <v>1506</v>
      </c>
      <c r="F134" s="1119" t="str">
        <f>IF(Scoring!I143="","",Scoring!I143)</f>
        <v/>
      </c>
      <c r="G134" s="1120"/>
      <c r="H134" s="1120"/>
      <c r="I134" s="1121" t="s">
        <v>2614</v>
      </c>
      <c r="J134" s="1122"/>
      <c r="K134" s="1122"/>
      <c r="L134" s="1123"/>
      <c r="M134" s="1124"/>
      <c r="N134" s="873"/>
      <c r="O134" s="877"/>
      <c r="P134" s="878"/>
      <c r="Q134" s="873"/>
      <c r="R134" s="873"/>
      <c r="S134" s="873"/>
      <c r="T134" s="873"/>
      <c r="U134" s="873"/>
      <c r="V134" s="873"/>
      <c r="W134" s="873"/>
      <c r="X134" s="873"/>
      <c r="Y134" s="873"/>
      <c r="Z134" s="873"/>
      <c r="AA134" s="873"/>
      <c r="AB134" s="873"/>
      <c r="AC134" s="873"/>
      <c r="AD134" s="873"/>
      <c r="AE134" s="873"/>
      <c r="AF134" s="873"/>
      <c r="AG134" s="873"/>
      <c r="AH134" s="873"/>
      <c r="AI134" s="873"/>
      <c r="AJ134" s="873"/>
      <c r="AK134" s="873"/>
      <c r="AL134" s="873"/>
      <c r="AM134" s="873"/>
      <c r="AN134" s="873"/>
      <c r="AO134" s="873"/>
      <c r="AP134" s="873"/>
      <c r="AQ134" s="873"/>
      <c r="AR134" s="873"/>
      <c r="AS134" s="873"/>
      <c r="AT134" s="873"/>
      <c r="AU134" s="873"/>
      <c r="AV134" s="873"/>
      <c r="AW134" s="873"/>
      <c r="AX134" s="873"/>
      <c r="AY134" s="873"/>
      <c r="AZ134" s="873"/>
      <c r="BA134" s="873"/>
      <c r="BB134" s="873"/>
      <c r="BC134" s="873"/>
      <c r="BD134" s="873"/>
      <c r="BE134" s="873"/>
      <c r="BF134" s="873"/>
      <c r="BG134" s="873"/>
      <c r="BH134" s="873"/>
      <c r="BI134" s="873"/>
      <c r="BJ134" s="873"/>
      <c r="BK134" s="873"/>
      <c r="BL134" s="873"/>
      <c r="BM134" s="873"/>
      <c r="BN134" s="873"/>
      <c r="BO134" s="873"/>
      <c r="BP134" s="873"/>
      <c r="BQ134" s="873"/>
      <c r="BR134" s="873"/>
      <c r="BS134" s="873"/>
      <c r="BT134" s="873"/>
      <c r="BU134" s="873"/>
      <c r="BV134" s="873"/>
      <c r="BW134" s="873"/>
      <c r="BX134" s="873"/>
      <c r="BY134" s="873"/>
      <c r="BZ134" s="873"/>
      <c r="CA134" s="873"/>
      <c r="CB134" s="873"/>
      <c r="CC134" s="873"/>
      <c r="CD134" s="873"/>
      <c r="CE134" s="873"/>
      <c r="CF134" s="873"/>
      <c r="CG134" s="873"/>
      <c r="CH134" s="873"/>
      <c r="CI134" s="873"/>
      <c r="CJ134" s="873"/>
      <c r="CK134" s="873"/>
      <c r="CL134" s="873"/>
      <c r="CM134" s="873"/>
      <c r="CN134" s="873"/>
      <c r="CO134" s="873"/>
      <c r="CP134" s="873"/>
      <c r="CQ134" s="873"/>
      <c r="CR134" s="873"/>
      <c r="CS134" s="873"/>
      <c r="CT134" s="873"/>
      <c r="CU134" s="873"/>
      <c r="CV134" s="873"/>
      <c r="CW134" s="873"/>
      <c r="CX134" s="873"/>
      <c r="CY134" s="873"/>
      <c r="CZ134" s="873"/>
      <c r="DA134" s="873"/>
      <c r="DB134" s="873"/>
      <c r="DC134" s="873"/>
      <c r="DD134" s="873"/>
      <c r="DE134" s="873"/>
      <c r="DF134" s="873"/>
      <c r="DG134" s="873"/>
      <c r="DH134" s="873"/>
      <c r="DI134" s="873"/>
      <c r="DJ134" s="873"/>
      <c r="DK134" s="873"/>
      <c r="DL134" s="873"/>
      <c r="DM134" s="873"/>
      <c r="DN134" s="873"/>
      <c r="DO134" s="873"/>
      <c r="DP134" s="873"/>
      <c r="DQ134" s="873"/>
      <c r="DR134" s="873"/>
      <c r="DS134" s="873"/>
      <c r="DT134" s="873"/>
      <c r="DU134" s="873"/>
      <c r="DV134" s="873"/>
      <c r="DW134" s="873"/>
      <c r="DX134" s="873"/>
      <c r="DY134" s="873"/>
      <c r="DZ134" s="873"/>
      <c r="EA134" s="873"/>
      <c r="EB134" s="873"/>
      <c r="EC134" s="873"/>
      <c r="ED134" s="873"/>
      <c r="EE134" s="873"/>
      <c r="EF134" s="873"/>
      <c r="EG134" s="873"/>
      <c r="EH134" s="873"/>
      <c r="EI134" s="873"/>
      <c r="EJ134" s="873"/>
      <c r="EK134" s="873"/>
      <c r="EL134" s="873"/>
      <c r="EM134" s="873"/>
      <c r="EN134" s="873"/>
      <c r="EO134" s="873"/>
      <c r="EP134" s="873"/>
      <c r="EQ134" s="873"/>
      <c r="ER134" s="873"/>
      <c r="ES134" s="873"/>
      <c r="ET134" s="873"/>
      <c r="EU134" s="873"/>
      <c r="EV134" s="873"/>
      <c r="EW134" s="873"/>
      <c r="EX134" s="873"/>
      <c r="EY134" s="873"/>
      <c r="EZ134" s="873"/>
      <c r="FA134" s="873"/>
      <c r="FB134" s="873"/>
      <c r="FC134" s="873"/>
      <c r="FD134" s="873"/>
      <c r="FE134" s="873"/>
      <c r="FF134" s="873"/>
      <c r="FG134" s="873"/>
      <c r="FH134" s="873"/>
      <c r="FI134" s="873"/>
      <c r="FJ134" s="873"/>
      <c r="FK134" s="873"/>
      <c r="FL134" s="873"/>
      <c r="FM134" s="873"/>
      <c r="FN134" s="873"/>
      <c r="FO134" s="873"/>
      <c r="FP134" s="873"/>
      <c r="FQ134" s="873"/>
      <c r="FR134" s="873"/>
      <c r="FS134" s="873"/>
      <c r="FT134" s="873"/>
      <c r="FU134" s="873"/>
      <c r="FV134" s="873"/>
      <c r="FW134" s="873"/>
      <c r="FX134" s="873"/>
      <c r="FY134" s="873"/>
      <c r="FZ134" s="873"/>
      <c r="GA134" s="873"/>
      <c r="GB134" s="873"/>
      <c r="GC134" s="873"/>
      <c r="GD134" s="873"/>
      <c r="GE134" s="873"/>
      <c r="GF134" s="873"/>
      <c r="GG134" s="873"/>
      <c r="GH134" s="873"/>
      <c r="GI134" s="873"/>
      <c r="GJ134" s="873"/>
      <c r="GK134" s="873"/>
      <c r="GL134" s="873"/>
      <c r="GM134" s="873"/>
      <c r="GN134" s="873"/>
      <c r="GO134" s="873"/>
      <c r="GP134" s="873"/>
      <c r="GQ134" s="873"/>
      <c r="GR134" s="873"/>
      <c r="GS134" s="873"/>
      <c r="GT134" s="873"/>
      <c r="GU134" s="873"/>
      <c r="GV134" s="873"/>
      <c r="GW134" s="873"/>
      <c r="GX134" s="873"/>
      <c r="GY134" s="873"/>
      <c r="GZ134" s="873"/>
      <c r="HA134" s="873"/>
      <c r="HB134" s="873"/>
      <c r="HC134" s="873"/>
      <c r="HD134" s="873"/>
      <c r="HE134" s="873"/>
      <c r="HF134" s="873"/>
      <c r="HG134" s="873"/>
      <c r="HH134" s="873"/>
      <c r="HI134" s="873"/>
      <c r="HJ134" s="873"/>
      <c r="HK134" s="873"/>
      <c r="HL134" s="873"/>
      <c r="HM134" s="873"/>
      <c r="HN134" s="873"/>
      <c r="HO134" s="873"/>
      <c r="HP134" s="873"/>
      <c r="HQ134" s="873"/>
      <c r="HR134" s="873"/>
      <c r="HS134" s="873"/>
      <c r="HT134" s="873"/>
      <c r="HU134" s="873"/>
      <c r="HV134" s="873"/>
      <c r="HW134" s="873"/>
      <c r="HX134" s="873"/>
      <c r="HY134" s="873"/>
      <c r="HZ134" s="873"/>
      <c r="IA134" s="873"/>
      <c r="IB134" s="873"/>
      <c r="IC134" s="873"/>
      <c r="ID134" s="873"/>
      <c r="IE134" s="873"/>
      <c r="IF134" s="873"/>
      <c r="IG134" s="873"/>
      <c r="IH134" s="873"/>
      <c r="II134" s="873"/>
      <c r="IJ134" s="873"/>
      <c r="IK134" s="873"/>
      <c r="IL134" s="873"/>
      <c r="IM134" s="873"/>
      <c r="IN134" s="873"/>
      <c r="IO134" s="873"/>
      <c r="IP134" s="873"/>
      <c r="IQ134" s="873"/>
      <c r="IR134" s="873"/>
      <c r="IS134" s="873"/>
      <c r="IT134" s="873"/>
      <c r="IU134" s="873"/>
      <c r="IV134" s="873"/>
      <c r="IW134" s="873"/>
    </row>
    <row r="135" spans="1:257" s="876" customFormat="1" ht="112">
      <c r="A135" s="2500"/>
      <c r="B135" s="1150" t="s">
        <v>2195</v>
      </c>
      <c r="C135" s="1135">
        <v>4</v>
      </c>
      <c r="D135" s="1135">
        <v>5</v>
      </c>
      <c r="E135" s="1136" t="s">
        <v>1509</v>
      </c>
      <c r="F135" s="1137" t="str">
        <f>IF(Scoring!I144="","",Scoring!I144)</f>
        <v/>
      </c>
      <c r="G135" s="1138"/>
      <c r="H135" s="1138"/>
      <c r="I135" s="1139" t="s">
        <v>2615</v>
      </c>
      <c r="J135" s="1140"/>
      <c r="K135" s="1140">
        <f>COUNT(F134:F135)</f>
        <v>0</v>
      </c>
      <c r="L135" s="1141">
        <f>SUM(F134:F135)</f>
        <v>0</v>
      </c>
      <c r="M135" s="1142">
        <f>IF(L135&lt;1,0,1)</f>
        <v>0</v>
      </c>
      <c r="N135" s="873"/>
      <c r="O135" s="874"/>
      <c r="P135" s="875">
        <f>COUNTA(F134:F135)</f>
        <v>2</v>
      </c>
      <c r="Q135" s="873"/>
      <c r="R135" s="873"/>
      <c r="S135" s="873"/>
      <c r="T135" s="873"/>
      <c r="U135" s="873"/>
      <c r="V135" s="873"/>
      <c r="W135" s="873"/>
      <c r="X135" s="873"/>
      <c r="Y135" s="873"/>
      <c r="Z135" s="873"/>
      <c r="AA135" s="873"/>
      <c r="AB135" s="873"/>
      <c r="AC135" s="873"/>
      <c r="AD135" s="873"/>
      <c r="AE135" s="873"/>
      <c r="AF135" s="873"/>
      <c r="AG135" s="873"/>
      <c r="AH135" s="873"/>
      <c r="AI135" s="873"/>
      <c r="AJ135" s="873"/>
      <c r="AK135" s="873"/>
      <c r="AL135" s="873"/>
      <c r="AM135" s="873"/>
      <c r="AN135" s="873"/>
      <c r="AO135" s="873"/>
      <c r="AP135" s="873"/>
      <c r="AQ135" s="873"/>
      <c r="AR135" s="873"/>
      <c r="AS135" s="873"/>
      <c r="AT135" s="873"/>
      <c r="AU135" s="873"/>
      <c r="AV135" s="873"/>
      <c r="AW135" s="873"/>
      <c r="AX135" s="873"/>
      <c r="AY135" s="873"/>
      <c r="AZ135" s="873"/>
      <c r="BA135" s="873"/>
      <c r="BB135" s="873"/>
      <c r="BC135" s="873"/>
      <c r="BD135" s="873"/>
      <c r="BE135" s="873"/>
      <c r="BF135" s="873"/>
      <c r="BG135" s="873"/>
      <c r="BH135" s="873"/>
      <c r="BI135" s="873"/>
      <c r="BJ135" s="873"/>
      <c r="BK135" s="873"/>
      <c r="BL135" s="873"/>
      <c r="BM135" s="873"/>
      <c r="BN135" s="873"/>
      <c r="BO135" s="873"/>
      <c r="BP135" s="873"/>
      <c r="BQ135" s="873"/>
      <c r="BR135" s="873"/>
      <c r="BS135" s="873"/>
      <c r="BT135" s="873"/>
      <c r="BU135" s="873"/>
      <c r="BV135" s="873"/>
      <c r="BW135" s="873"/>
      <c r="BX135" s="873"/>
      <c r="BY135" s="873"/>
      <c r="BZ135" s="873"/>
      <c r="CA135" s="873"/>
      <c r="CB135" s="873"/>
      <c r="CC135" s="873"/>
      <c r="CD135" s="873"/>
      <c r="CE135" s="873"/>
      <c r="CF135" s="873"/>
      <c r="CG135" s="873"/>
      <c r="CH135" s="873"/>
      <c r="CI135" s="873"/>
      <c r="CJ135" s="873"/>
      <c r="CK135" s="873"/>
      <c r="CL135" s="873"/>
      <c r="CM135" s="873"/>
      <c r="CN135" s="873"/>
      <c r="CO135" s="873"/>
      <c r="CP135" s="873"/>
      <c r="CQ135" s="873"/>
      <c r="CR135" s="873"/>
      <c r="CS135" s="873"/>
      <c r="CT135" s="873"/>
      <c r="CU135" s="873"/>
      <c r="CV135" s="873"/>
      <c r="CW135" s="873"/>
      <c r="CX135" s="873"/>
      <c r="CY135" s="873"/>
      <c r="CZ135" s="873"/>
      <c r="DA135" s="873"/>
      <c r="DB135" s="873"/>
      <c r="DC135" s="873"/>
      <c r="DD135" s="873"/>
      <c r="DE135" s="873"/>
      <c r="DF135" s="873"/>
      <c r="DG135" s="873"/>
      <c r="DH135" s="873"/>
      <c r="DI135" s="873"/>
      <c r="DJ135" s="873"/>
      <c r="DK135" s="873"/>
      <c r="DL135" s="873"/>
      <c r="DM135" s="873"/>
      <c r="DN135" s="873"/>
      <c r="DO135" s="873"/>
      <c r="DP135" s="873"/>
      <c r="DQ135" s="873"/>
      <c r="DR135" s="873"/>
      <c r="DS135" s="873"/>
      <c r="DT135" s="873"/>
      <c r="DU135" s="873"/>
      <c r="DV135" s="873"/>
      <c r="DW135" s="873"/>
      <c r="DX135" s="873"/>
      <c r="DY135" s="873"/>
      <c r="DZ135" s="873"/>
      <c r="EA135" s="873"/>
      <c r="EB135" s="873"/>
      <c r="EC135" s="873"/>
      <c r="ED135" s="873"/>
      <c r="EE135" s="873"/>
      <c r="EF135" s="873"/>
      <c r="EG135" s="873"/>
      <c r="EH135" s="873"/>
      <c r="EI135" s="873"/>
      <c r="EJ135" s="873"/>
      <c r="EK135" s="873"/>
      <c r="EL135" s="873"/>
      <c r="EM135" s="873"/>
      <c r="EN135" s="873"/>
      <c r="EO135" s="873"/>
      <c r="EP135" s="873"/>
      <c r="EQ135" s="873"/>
      <c r="ER135" s="873"/>
      <c r="ES135" s="873"/>
      <c r="ET135" s="873"/>
      <c r="EU135" s="873"/>
      <c r="EV135" s="873"/>
      <c r="EW135" s="873"/>
      <c r="EX135" s="873"/>
      <c r="EY135" s="873"/>
      <c r="EZ135" s="873"/>
      <c r="FA135" s="873"/>
      <c r="FB135" s="873"/>
      <c r="FC135" s="873"/>
      <c r="FD135" s="873"/>
      <c r="FE135" s="873"/>
      <c r="FF135" s="873"/>
      <c r="FG135" s="873"/>
      <c r="FH135" s="873"/>
      <c r="FI135" s="873"/>
      <c r="FJ135" s="873"/>
      <c r="FK135" s="873"/>
      <c r="FL135" s="873"/>
      <c r="FM135" s="873"/>
      <c r="FN135" s="873"/>
      <c r="FO135" s="873"/>
      <c r="FP135" s="873"/>
      <c r="FQ135" s="873"/>
      <c r="FR135" s="873"/>
      <c r="FS135" s="873"/>
      <c r="FT135" s="873"/>
      <c r="FU135" s="873"/>
      <c r="FV135" s="873"/>
      <c r="FW135" s="873"/>
      <c r="FX135" s="873"/>
      <c r="FY135" s="873"/>
      <c r="FZ135" s="873"/>
      <c r="GA135" s="873"/>
      <c r="GB135" s="873"/>
      <c r="GC135" s="873"/>
      <c r="GD135" s="873"/>
      <c r="GE135" s="873"/>
      <c r="GF135" s="873"/>
      <c r="GG135" s="873"/>
      <c r="GH135" s="873"/>
      <c r="GI135" s="873"/>
      <c r="GJ135" s="873"/>
      <c r="GK135" s="873"/>
      <c r="GL135" s="873"/>
      <c r="GM135" s="873"/>
      <c r="GN135" s="873"/>
      <c r="GO135" s="873"/>
      <c r="GP135" s="873"/>
      <c r="GQ135" s="873"/>
      <c r="GR135" s="873"/>
      <c r="GS135" s="873"/>
      <c r="GT135" s="873"/>
      <c r="GU135" s="873"/>
      <c r="GV135" s="873"/>
      <c r="GW135" s="873"/>
      <c r="GX135" s="873"/>
      <c r="GY135" s="873"/>
      <c r="GZ135" s="873"/>
      <c r="HA135" s="873"/>
      <c r="HB135" s="873"/>
      <c r="HC135" s="873"/>
      <c r="HD135" s="873"/>
      <c r="HE135" s="873"/>
      <c r="HF135" s="873"/>
      <c r="HG135" s="873"/>
      <c r="HH135" s="873"/>
      <c r="HI135" s="873"/>
      <c r="HJ135" s="873"/>
      <c r="HK135" s="873"/>
      <c r="HL135" s="873"/>
      <c r="HM135" s="873"/>
      <c r="HN135" s="873"/>
      <c r="HO135" s="873"/>
      <c r="HP135" s="873"/>
      <c r="HQ135" s="873"/>
      <c r="HR135" s="873"/>
      <c r="HS135" s="873"/>
      <c r="HT135" s="873"/>
      <c r="HU135" s="873"/>
      <c r="HV135" s="873"/>
      <c r="HW135" s="873"/>
      <c r="HX135" s="873"/>
      <c r="HY135" s="873"/>
      <c r="HZ135" s="873"/>
      <c r="IA135" s="873"/>
      <c r="IB135" s="873"/>
      <c r="IC135" s="873"/>
      <c r="ID135" s="873"/>
      <c r="IE135" s="873"/>
      <c r="IF135" s="873"/>
      <c r="IG135" s="873"/>
      <c r="IH135" s="873"/>
      <c r="II135" s="873"/>
      <c r="IJ135" s="873"/>
      <c r="IK135" s="873"/>
      <c r="IL135" s="873"/>
      <c r="IM135" s="873"/>
      <c r="IN135" s="873"/>
      <c r="IO135" s="873"/>
      <c r="IP135" s="873"/>
      <c r="IQ135" s="873"/>
      <c r="IR135" s="873"/>
      <c r="IS135" s="873"/>
      <c r="IT135" s="873"/>
      <c r="IU135" s="873"/>
      <c r="IV135" s="873"/>
      <c r="IW135" s="873"/>
    </row>
    <row r="136" spans="1:257" s="876" customFormat="1">
      <c r="A136" s="873"/>
      <c r="B136" s="873"/>
      <c r="C136" s="873"/>
      <c r="D136" s="873"/>
      <c r="E136" s="873"/>
      <c r="F136" s="873"/>
      <c r="G136" s="873"/>
      <c r="H136" s="873"/>
      <c r="I136" s="873"/>
      <c r="J136" s="873"/>
      <c r="K136" s="873"/>
      <c r="L136" s="873"/>
      <c r="M136" s="873"/>
      <c r="N136" s="873"/>
      <c r="O136" s="873"/>
      <c r="P136" s="873"/>
      <c r="Q136" s="873"/>
      <c r="R136" s="873"/>
      <c r="S136" s="873"/>
      <c r="T136" s="873"/>
      <c r="U136" s="873"/>
      <c r="V136" s="873"/>
      <c r="W136" s="873"/>
      <c r="X136" s="873"/>
      <c r="Y136" s="873"/>
      <c r="Z136" s="873"/>
      <c r="AA136" s="873"/>
      <c r="AB136" s="873"/>
      <c r="AC136" s="873"/>
      <c r="AD136" s="873"/>
      <c r="AE136" s="873"/>
      <c r="AF136" s="873"/>
      <c r="AG136" s="873"/>
      <c r="AH136" s="873"/>
      <c r="AI136" s="873"/>
      <c r="AJ136" s="873"/>
      <c r="AK136" s="873"/>
      <c r="AL136" s="873"/>
      <c r="AM136" s="873"/>
      <c r="AN136" s="873"/>
      <c r="AO136" s="873"/>
      <c r="AP136" s="873"/>
      <c r="AQ136" s="873"/>
      <c r="AR136" s="873"/>
      <c r="AS136" s="873"/>
      <c r="AT136" s="873"/>
      <c r="AU136" s="873"/>
      <c r="AV136" s="873"/>
      <c r="AW136" s="873"/>
      <c r="AX136" s="873"/>
      <c r="AY136" s="873"/>
      <c r="AZ136" s="873"/>
      <c r="BA136" s="873"/>
      <c r="BB136" s="873"/>
      <c r="BC136" s="873"/>
      <c r="BD136" s="873"/>
      <c r="BE136" s="873"/>
      <c r="BF136" s="873"/>
      <c r="BG136" s="873"/>
      <c r="BH136" s="873"/>
      <c r="BI136" s="873"/>
      <c r="BJ136" s="873"/>
      <c r="BK136" s="873"/>
      <c r="BL136" s="873"/>
      <c r="BM136" s="873"/>
      <c r="BN136" s="873"/>
      <c r="BO136" s="873"/>
      <c r="BP136" s="873"/>
      <c r="BQ136" s="873"/>
      <c r="BR136" s="873"/>
      <c r="BS136" s="873"/>
      <c r="BT136" s="873"/>
      <c r="BU136" s="873"/>
      <c r="BV136" s="873"/>
      <c r="BW136" s="873"/>
      <c r="BX136" s="873"/>
      <c r="BY136" s="873"/>
      <c r="BZ136" s="873"/>
      <c r="CA136" s="873"/>
      <c r="CB136" s="873"/>
      <c r="CC136" s="873"/>
      <c r="CD136" s="873"/>
      <c r="CE136" s="873"/>
      <c r="CF136" s="873"/>
      <c r="CG136" s="873"/>
      <c r="CH136" s="873"/>
      <c r="CI136" s="873"/>
      <c r="CJ136" s="873"/>
      <c r="CK136" s="873"/>
      <c r="CL136" s="873"/>
      <c r="CM136" s="873"/>
      <c r="CN136" s="873"/>
      <c r="CO136" s="873"/>
      <c r="CP136" s="873"/>
      <c r="CQ136" s="873"/>
      <c r="CR136" s="873"/>
      <c r="CS136" s="873"/>
      <c r="CT136" s="873"/>
      <c r="CU136" s="873"/>
      <c r="CV136" s="873"/>
      <c r="CW136" s="873"/>
      <c r="CX136" s="873"/>
      <c r="CY136" s="873"/>
      <c r="CZ136" s="873"/>
      <c r="DA136" s="873"/>
      <c r="DB136" s="873"/>
      <c r="DC136" s="873"/>
      <c r="DD136" s="873"/>
      <c r="DE136" s="873"/>
      <c r="DF136" s="873"/>
      <c r="DG136" s="873"/>
      <c r="DH136" s="873"/>
      <c r="DI136" s="873"/>
      <c r="DJ136" s="873"/>
      <c r="DK136" s="873"/>
      <c r="DL136" s="873"/>
      <c r="DM136" s="873"/>
      <c r="DN136" s="873"/>
      <c r="DO136" s="873"/>
      <c r="DP136" s="873"/>
      <c r="DQ136" s="873"/>
      <c r="DR136" s="873"/>
      <c r="DS136" s="873"/>
      <c r="DT136" s="873"/>
      <c r="DU136" s="873"/>
      <c r="DV136" s="873"/>
      <c r="DW136" s="873"/>
      <c r="DX136" s="873"/>
      <c r="DY136" s="873"/>
      <c r="DZ136" s="873"/>
      <c r="EA136" s="873"/>
      <c r="EB136" s="873"/>
      <c r="EC136" s="873"/>
      <c r="ED136" s="873"/>
      <c r="EE136" s="873"/>
      <c r="EF136" s="873"/>
      <c r="EG136" s="873"/>
      <c r="EH136" s="873"/>
      <c r="EI136" s="873"/>
      <c r="EJ136" s="873"/>
      <c r="EK136" s="873"/>
      <c r="EL136" s="873"/>
      <c r="EM136" s="873"/>
      <c r="EN136" s="873"/>
      <c r="EO136" s="873"/>
      <c r="EP136" s="873"/>
      <c r="EQ136" s="873"/>
      <c r="ER136" s="873"/>
      <c r="ES136" s="873"/>
      <c r="ET136" s="873"/>
      <c r="EU136" s="873"/>
      <c r="EV136" s="873"/>
      <c r="EW136" s="873"/>
      <c r="EX136" s="873"/>
      <c r="EY136" s="873"/>
      <c r="EZ136" s="873"/>
      <c r="FA136" s="873"/>
      <c r="FB136" s="873"/>
      <c r="FC136" s="873"/>
      <c r="FD136" s="873"/>
      <c r="FE136" s="873"/>
      <c r="FF136" s="873"/>
      <c r="FG136" s="873"/>
      <c r="FH136" s="873"/>
      <c r="FI136" s="873"/>
      <c r="FJ136" s="873"/>
      <c r="FK136" s="873"/>
      <c r="FL136" s="873"/>
      <c r="FM136" s="873"/>
      <c r="FN136" s="873"/>
      <c r="FO136" s="873"/>
      <c r="FP136" s="873"/>
      <c r="FQ136" s="873"/>
      <c r="FR136" s="873"/>
      <c r="FS136" s="873"/>
      <c r="FT136" s="873"/>
      <c r="FU136" s="873"/>
      <c r="FV136" s="873"/>
      <c r="FW136" s="873"/>
      <c r="FX136" s="873"/>
      <c r="FY136" s="873"/>
      <c r="FZ136" s="873"/>
      <c r="GA136" s="873"/>
      <c r="GB136" s="873"/>
      <c r="GC136" s="873"/>
      <c r="GD136" s="873"/>
      <c r="GE136" s="873"/>
      <c r="GF136" s="873"/>
      <c r="GG136" s="873"/>
      <c r="GH136" s="873"/>
      <c r="GI136" s="873"/>
      <c r="GJ136" s="873"/>
      <c r="GK136" s="873"/>
      <c r="GL136" s="873"/>
      <c r="GM136" s="873"/>
      <c r="GN136" s="873"/>
      <c r="GO136" s="873"/>
      <c r="GP136" s="873"/>
      <c r="GQ136" s="873"/>
      <c r="GR136" s="873"/>
      <c r="GS136" s="873"/>
      <c r="GT136" s="873"/>
      <c r="GU136" s="873"/>
      <c r="GV136" s="873"/>
      <c r="GW136" s="873"/>
      <c r="GX136" s="873"/>
      <c r="GY136" s="873"/>
      <c r="GZ136" s="873"/>
      <c r="HA136" s="873"/>
      <c r="HB136" s="873"/>
      <c r="HC136" s="873"/>
      <c r="HD136" s="873"/>
      <c r="HE136" s="873"/>
      <c r="HF136" s="873"/>
      <c r="HG136" s="873"/>
      <c r="HH136" s="873"/>
      <c r="HI136" s="873"/>
      <c r="HJ136" s="873"/>
      <c r="HK136" s="873"/>
      <c r="HL136" s="873"/>
      <c r="HM136" s="873"/>
      <c r="HN136" s="873"/>
      <c r="HO136" s="873"/>
      <c r="HP136" s="873"/>
      <c r="HQ136" s="873"/>
      <c r="HR136" s="873"/>
      <c r="HS136" s="873"/>
      <c r="HT136" s="873"/>
      <c r="HU136" s="873"/>
      <c r="HV136" s="873"/>
      <c r="HW136" s="873"/>
      <c r="HX136" s="873"/>
      <c r="HY136" s="873"/>
      <c r="HZ136" s="873"/>
      <c r="IA136" s="873"/>
      <c r="IB136" s="873"/>
      <c r="IC136" s="873"/>
      <c r="ID136" s="873"/>
      <c r="IE136" s="873"/>
      <c r="IF136" s="873"/>
      <c r="IG136" s="873"/>
      <c r="IH136" s="873"/>
      <c r="II136" s="873"/>
      <c r="IJ136" s="873"/>
      <c r="IK136" s="873"/>
      <c r="IL136" s="873"/>
      <c r="IM136" s="873"/>
      <c r="IN136" s="873"/>
      <c r="IO136" s="873"/>
      <c r="IP136" s="873"/>
      <c r="IQ136" s="873"/>
      <c r="IR136" s="873"/>
      <c r="IS136" s="873"/>
      <c r="IT136" s="873"/>
      <c r="IU136" s="873"/>
      <c r="IV136" s="873"/>
      <c r="IW136" s="873"/>
    </row>
    <row r="137" spans="1:257" s="876" customFormat="1">
      <c r="A137" s="873"/>
      <c r="B137" s="873"/>
      <c r="C137" s="873"/>
      <c r="D137" s="873"/>
      <c r="E137" s="873"/>
      <c r="F137" s="873"/>
      <c r="G137" s="873"/>
      <c r="H137" s="873"/>
      <c r="I137" s="873"/>
      <c r="J137" s="873"/>
      <c r="K137" s="873"/>
      <c r="L137" s="873"/>
      <c r="M137" s="873"/>
      <c r="N137" s="873"/>
      <c r="O137" s="873"/>
      <c r="P137" s="873"/>
      <c r="Q137" s="873"/>
      <c r="R137" s="873"/>
      <c r="S137" s="873"/>
      <c r="T137" s="873"/>
      <c r="U137" s="873"/>
      <c r="V137" s="873"/>
      <c r="W137" s="873"/>
      <c r="X137" s="873"/>
      <c r="Y137" s="873"/>
      <c r="Z137" s="873"/>
      <c r="AA137" s="873"/>
      <c r="AB137" s="873"/>
      <c r="AC137" s="873"/>
      <c r="AD137" s="873"/>
      <c r="AE137" s="873"/>
      <c r="AF137" s="873"/>
      <c r="AG137" s="873"/>
      <c r="AH137" s="873"/>
      <c r="AI137" s="873"/>
      <c r="AJ137" s="873"/>
      <c r="AK137" s="873"/>
      <c r="AL137" s="873"/>
      <c r="AM137" s="873"/>
      <c r="AN137" s="873"/>
      <c r="AO137" s="873"/>
      <c r="AP137" s="873"/>
      <c r="AQ137" s="873"/>
      <c r="AR137" s="873"/>
      <c r="AS137" s="873"/>
      <c r="AT137" s="873"/>
      <c r="AU137" s="873"/>
      <c r="AV137" s="873"/>
      <c r="AW137" s="873"/>
      <c r="AX137" s="873"/>
      <c r="AY137" s="873"/>
      <c r="AZ137" s="873"/>
      <c r="BA137" s="873"/>
      <c r="BB137" s="873"/>
      <c r="BC137" s="873"/>
      <c r="BD137" s="873"/>
      <c r="BE137" s="873"/>
      <c r="BF137" s="873"/>
      <c r="BG137" s="873"/>
      <c r="BH137" s="873"/>
      <c r="BI137" s="873"/>
      <c r="BJ137" s="873"/>
      <c r="BK137" s="873"/>
      <c r="BL137" s="873"/>
      <c r="BM137" s="873"/>
      <c r="BN137" s="873"/>
      <c r="BO137" s="873"/>
      <c r="BP137" s="873"/>
      <c r="BQ137" s="873"/>
      <c r="BR137" s="873"/>
      <c r="BS137" s="873"/>
      <c r="BT137" s="873"/>
      <c r="BU137" s="873"/>
      <c r="BV137" s="873"/>
      <c r="BW137" s="873"/>
      <c r="BX137" s="873"/>
      <c r="BY137" s="873"/>
      <c r="BZ137" s="873"/>
      <c r="CA137" s="873"/>
      <c r="CB137" s="873"/>
      <c r="CC137" s="873"/>
      <c r="CD137" s="873"/>
      <c r="CE137" s="873"/>
      <c r="CF137" s="873"/>
      <c r="CG137" s="873"/>
      <c r="CH137" s="873"/>
      <c r="CI137" s="873"/>
      <c r="CJ137" s="873"/>
      <c r="CK137" s="873"/>
      <c r="CL137" s="873"/>
      <c r="CM137" s="873"/>
      <c r="CN137" s="873"/>
      <c r="CO137" s="873"/>
      <c r="CP137" s="873"/>
      <c r="CQ137" s="873"/>
      <c r="CR137" s="873"/>
      <c r="CS137" s="873"/>
      <c r="CT137" s="873"/>
      <c r="CU137" s="873"/>
      <c r="CV137" s="873"/>
      <c r="CW137" s="873"/>
      <c r="CX137" s="873"/>
      <c r="CY137" s="873"/>
      <c r="CZ137" s="873"/>
      <c r="DA137" s="873"/>
      <c r="DB137" s="873"/>
      <c r="DC137" s="873"/>
      <c r="DD137" s="873"/>
      <c r="DE137" s="873"/>
      <c r="DF137" s="873"/>
      <c r="DG137" s="873"/>
      <c r="DH137" s="873"/>
      <c r="DI137" s="873"/>
      <c r="DJ137" s="873"/>
      <c r="DK137" s="873"/>
      <c r="DL137" s="873"/>
      <c r="DM137" s="873"/>
      <c r="DN137" s="873"/>
      <c r="DO137" s="873"/>
      <c r="DP137" s="873"/>
      <c r="DQ137" s="873"/>
      <c r="DR137" s="873"/>
      <c r="DS137" s="873"/>
      <c r="DT137" s="873"/>
      <c r="DU137" s="873"/>
      <c r="DV137" s="873"/>
      <c r="DW137" s="873"/>
      <c r="DX137" s="873"/>
      <c r="DY137" s="873"/>
      <c r="DZ137" s="873"/>
      <c r="EA137" s="873"/>
      <c r="EB137" s="873"/>
      <c r="EC137" s="873"/>
      <c r="ED137" s="873"/>
      <c r="EE137" s="873"/>
      <c r="EF137" s="873"/>
      <c r="EG137" s="873"/>
      <c r="EH137" s="873"/>
      <c r="EI137" s="873"/>
      <c r="EJ137" s="873"/>
      <c r="EK137" s="873"/>
      <c r="EL137" s="873"/>
      <c r="EM137" s="873"/>
      <c r="EN137" s="873"/>
      <c r="EO137" s="873"/>
      <c r="EP137" s="873"/>
      <c r="EQ137" s="873"/>
      <c r="ER137" s="873"/>
      <c r="ES137" s="873"/>
      <c r="ET137" s="873"/>
      <c r="EU137" s="873"/>
      <c r="EV137" s="873"/>
      <c r="EW137" s="873"/>
      <c r="EX137" s="873"/>
      <c r="EY137" s="873"/>
      <c r="EZ137" s="873"/>
      <c r="FA137" s="873"/>
      <c r="FB137" s="873"/>
      <c r="FC137" s="873"/>
      <c r="FD137" s="873"/>
      <c r="FE137" s="873"/>
      <c r="FF137" s="873"/>
      <c r="FG137" s="873"/>
      <c r="FH137" s="873"/>
      <c r="FI137" s="873"/>
      <c r="FJ137" s="873"/>
      <c r="FK137" s="873"/>
      <c r="FL137" s="873"/>
      <c r="FM137" s="873"/>
      <c r="FN137" s="873"/>
      <c r="FO137" s="873"/>
      <c r="FP137" s="873"/>
      <c r="FQ137" s="873"/>
      <c r="FR137" s="873"/>
      <c r="FS137" s="873"/>
      <c r="FT137" s="873"/>
      <c r="FU137" s="873"/>
      <c r="FV137" s="873"/>
      <c r="FW137" s="873"/>
      <c r="FX137" s="873"/>
      <c r="FY137" s="873"/>
      <c r="FZ137" s="873"/>
      <c r="GA137" s="873"/>
      <c r="GB137" s="873"/>
      <c r="GC137" s="873"/>
      <c r="GD137" s="873"/>
      <c r="GE137" s="873"/>
      <c r="GF137" s="873"/>
      <c r="GG137" s="873"/>
      <c r="GH137" s="873"/>
      <c r="GI137" s="873"/>
      <c r="GJ137" s="873"/>
      <c r="GK137" s="873"/>
      <c r="GL137" s="873"/>
      <c r="GM137" s="873"/>
      <c r="GN137" s="873"/>
      <c r="GO137" s="873"/>
      <c r="GP137" s="873"/>
      <c r="GQ137" s="873"/>
      <c r="GR137" s="873"/>
      <c r="GS137" s="873"/>
      <c r="GT137" s="873"/>
      <c r="GU137" s="873"/>
      <c r="GV137" s="873"/>
      <c r="GW137" s="873"/>
      <c r="GX137" s="873"/>
      <c r="GY137" s="873"/>
      <c r="GZ137" s="873"/>
      <c r="HA137" s="873"/>
      <c r="HB137" s="873"/>
      <c r="HC137" s="873"/>
      <c r="HD137" s="873"/>
      <c r="HE137" s="873"/>
      <c r="HF137" s="873"/>
      <c r="HG137" s="873"/>
      <c r="HH137" s="873"/>
      <c r="HI137" s="873"/>
      <c r="HJ137" s="873"/>
      <c r="HK137" s="873"/>
      <c r="HL137" s="873"/>
      <c r="HM137" s="873"/>
      <c r="HN137" s="873"/>
      <c r="HO137" s="873"/>
      <c r="HP137" s="873"/>
      <c r="HQ137" s="873"/>
      <c r="HR137" s="873"/>
      <c r="HS137" s="873"/>
      <c r="HT137" s="873"/>
      <c r="HU137" s="873"/>
      <c r="HV137" s="873"/>
      <c r="HW137" s="873"/>
      <c r="HX137" s="873"/>
      <c r="HY137" s="873"/>
      <c r="HZ137" s="873"/>
      <c r="IA137" s="873"/>
      <c r="IB137" s="873"/>
      <c r="IC137" s="873"/>
      <c r="ID137" s="873"/>
      <c r="IE137" s="873"/>
      <c r="IF137" s="873"/>
      <c r="IG137" s="873"/>
      <c r="IH137" s="873"/>
      <c r="II137" s="873"/>
      <c r="IJ137" s="873"/>
      <c r="IK137" s="873"/>
      <c r="IL137" s="873"/>
      <c r="IM137" s="873"/>
      <c r="IN137" s="873"/>
      <c r="IO137" s="873"/>
      <c r="IP137" s="873"/>
      <c r="IQ137" s="873"/>
      <c r="IR137" s="873"/>
      <c r="IS137" s="873"/>
      <c r="IT137" s="873"/>
      <c r="IU137" s="873"/>
      <c r="IV137" s="873"/>
      <c r="IW137" s="873"/>
    </row>
    <row r="138" spans="1:257" s="876" customFormat="1">
      <c r="A138" s="873"/>
      <c r="B138" s="873"/>
      <c r="C138" s="873"/>
      <c r="D138" s="873"/>
      <c r="E138" s="873"/>
      <c r="F138" s="873"/>
      <c r="G138" s="873"/>
      <c r="H138" s="873"/>
      <c r="I138" s="873"/>
      <c r="J138" s="873"/>
      <c r="K138" s="873"/>
      <c r="L138" s="873"/>
      <c r="M138" s="873"/>
      <c r="N138" s="873"/>
      <c r="O138" s="873"/>
      <c r="P138" s="873"/>
      <c r="Q138" s="873"/>
      <c r="R138" s="873"/>
      <c r="S138" s="873"/>
      <c r="T138" s="873"/>
      <c r="U138" s="873"/>
      <c r="V138" s="873"/>
      <c r="W138" s="873"/>
      <c r="X138" s="873"/>
      <c r="Y138" s="873"/>
      <c r="Z138" s="873"/>
      <c r="AA138" s="873"/>
      <c r="AB138" s="873"/>
      <c r="AC138" s="873"/>
      <c r="AD138" s="873"/>
      <c r="AE138" s="873"/>
      <c r="AF138" s="873"/>
      <c r="AG138" s="873"/>
      <c r="AH138" s="873"/>
      <c r="AI138" s="873"/>
      <c r="AJ138" s="873"/>
      <c r="AK138" s="873"/>
      <c r="AL138" s="873"/>
      <c r="AM138" s="873"/>
      <c r="AN138" s="873"/>
      <c r="AO138" s="873"/>
      <c r="AP138" s="873"/>
      <c r="AQ138" s="873"/>
      <c r="AR138" s="873"/>
      <c r="AS138" s="873"/>
      <c r="AT138" s="873"/>
      <c r="AU138" s="873"/>
      <c r="AV138" s="873"/>
      <c r="AW138" s="873"/>
      <c r="AX138" s="873"/>
      <c r="AY138" s="873"/>
      <c r="AZ138" s="873"/>
      <c r="BA138" s="873"/>
      <c r="BB138" s="873"/>
      <c r="BC138" s="873"/>
      <c r="BD138" s="873"/>
      <c r="BE138" s="873"/>
      <c r="BF138" s="873"/>
      <c r="BG138" s="873"/>
      <c r="BH138" s="873"/>
      <c r="BI138" s="873"/>
      <c r="BJ138" s="873"/>
      <c r="BK138" s="873"/>
      <c r="BL138" s="873"/>
      <c r="BM138" s="873"/>
      <c r="BN138" s="873"/>
      <c r="BO138" s="873"/>
      <c r="BP138" s="873"/>
      <c r="BQ138" s="873"/>
      <c r="BR138" s="873"/>
      <c r="BS138" s="873"/>
      <c r="BT138" s="873"/>
      <c r="BU138" s="873"/>
      <c r="BV138" s="873"/>
      <c r="BW138" s="873"/>
      <c r="BX138" s="873"/>
      <c r="BY138" s="873"/>
      <c r="BZ138" s="873"/>
      <c r="CA138" s="873"/>
      <c r="CB138" s="873"/>
      <c r="CC138" s="873"/>
      <c r="CD138" s="873"/>
      <c r="CE138" s="873"/>
      <c r="CF138" s="873"/>
      <c r="CG138" s="873"/>
      <c r="CH138" s="873"/>
      <c r="CI138" s="873"/>
      <c r="CJ138" s="873"/>
      <c r="CK138" s="873"/>
      <c r="CL138" s="873"/>
      <c r="CM138" s="873"/>
      <c r="CN138" s="873"/>
      <c r="CO138" s="873"/>
      <c r="CP138" s="873"/>
      <c r="CQ138" s="873"/>
      <c r="CR138" s="873"/>
      <c r="CS138" s="873"/>
      <c r="CT138" s="873"/>
      <c r="CU138" s="873"/>
      <c r="CV138" s="873"/>
      <c r="CW138" s="873"/>
      <c r="CX138" s="873"/>
      <c r="CY138" s="873"/>
      <c r="CZ138" s="873"/>
      <c r="DA138" s="873"/>
      <c r="DB138" s="873"/>
      <c r="DC138" s="873"/>
      <c r="DD138" s="873"/>
      <c r="DE138" s="873"/>
      <c r="DF138" s="873"/>
      <c r="DG138" s="873"/>
      <c r="DH138" s="873"/>
      <c r="DI138" s="873"/>
      <c r="DJ138" s="873"/>
      <c r="DK138" s="873"/>
      <c r="DL138" s="873"/>
      <c r="DM138" s="873"/>
      <c r="DN138" s="873"/>
      <c r="DO138" s="873"/>
      <c r="DP138" s="873"/>
      <c r="DQ138" s="873"/>
      <c r="DR138" s="873"/>
      <c r="DS138" s="873"/>
      <c r="DT138" s="873"/>
      <c r="DU138" s="873"/>
      <c r="DV138" s="873"/>
      <c r="DW138" s="873"/>
      <c r="DX138" s="873"/>
      <c r="DY138" s="873"/>
      <c r="DZ138" s="873"/>
      <c r="EA138" s="873"/>
      <c r="EB138" s="873"/>
      <c r="EC138" s="873"/>
      <c r="ED138" s="873"/>
      <c r="EE138" s="873"/>
      <c r="EF138" s="873"/>
      <c r="EG138" s="873"/>
      <c r="EH138" s="873"/>
      <c r="EI138" s="873"/>
      <c r="EJ138" s="873"/>
      <c r="EK138" s="873"/>
      <c r="EL138" s="873"/>
      <c r="EM138" s="873"/>
      <c r="EN138" s="873"/>
      <c r="EO138" s="873"/>
      <c r="EP138" s="873"/>
      <c r="EQ138" s="873"/>
      <c r="ER138" s="873"/>
      <c r="ES138" s="873"/>
      <c r="ET138" s="873"/>
      <c r="EU138" s="873"/>
      <c r="EV138" s="873"/>
      <c r="EW138" s="873"/>
      <c r="EX138" s="873"/>
      <c r="EY138" s="873"/>
      <c r="EZ138" s="873"/>
      <c r="FA138" s="873"/>
      <c r="FB138" s="873"/>
      <c r="FC138" s="873"/>
      <c r="FD138" s="873"/>
      <c r="FE138" s="873"/>
      <c r="FF138" s="873"/>
      <c r="FG138" s="873"/>
      <c r="FH138" s="873"/>
      <c r="FI138" s="873"/>
      <c r="FJ138" s="873"/>
      <c r="FK138" s="873"/>
      <c r="FL138" s="873"/>
      <c r="FM138" s="873"/>
      <c r="FN138" s="873"/>
      <c r="FO138" s="873"/>
      <c r="FP138" s="873"/>
      <c r="FQ138" s="873"/>
      <c r="FR138" s="873"/>
      <c r="FS138" s="873"/>
      <c r="FT138" s="873"/>
      <c r="FU138" s="873"/>
      <c r="FV138" s="873"/>
      <c r="FW138" s="873"/>
      <c r="FX138" s="873"/>
      <c r="FY138" s="873"/>
      <c r="FZ138" s="873"/>
      <c r="GA138" s="873"/>
      <c r="GB138" s="873"/>
      <c r="GC138" s="873"/>
      <c r="GD138" s="873"/>
      <c r="GE138" s="873"/>
      <c r="GF138" s="873"/>
      <c r="GG138" s="873"/>
      <c r="GH138" s="873"/>
      <c r="GI138" s="873"/>
      <c r="GJ138" s="873"/>
      <c r="GK138" s="873"/>
      <c r="GL138" s="873"/>
      <c r="GM138" s="873"/>
      <c r="GN138" s="873"/>
      <c r="GO138" s="873"/>
      <c r="GP138" s="873"/>
      <c r="GQ138" s="873"/>
      <c r="GR138" s="873"/>
      <c r="GS138" s="873"/>
      <c r="GT138" s="873"/>
      <c r="GU138" s="873"/>
      <c r="GV138" s="873"/>
      <c r="GW138" s="873"/>
      <c r="GX138" s="873"/>
      <c r="GY138" s="873"/>
      <c r="GZ138" s="873"/>
      <c r="HA138" s="873"/>
      <c r="HB138" s="873"/>
      <c r="HC138" s="873"/>
      <c r="HD138" s="873"/>
      <c r="HE138" s="873"/>
      <c r="HF138" s="873"/>
      <c r="HG138" s="873"/>
      <c r="HH138" s="873"/>
      <c r="HI138" s="873"/>
      <c r="HJ138" s="873"/>
      <c r="HK138" s="873"/>
      <c r="HL138" s="873"/>
      <c r="HM138" s="873"/>
      <c r="HN138" s="873"/>
      <c r="HO138" s="873"/>
      <c r="HP138" s="873"/>
      <c r="HQ138" s="873"/>
      <c r="HR138" s="873"/>
      <c r="HS138" s="873"/>
      <c r="HT138" s="873"/>
      <c r="HU138" s="873"/>
      <c r="HV138" s="873"/>
      <c r="HW138" s="873"/>
      <c r="HX138" s="873"/>
      <c r="HY138" s="873"/>
      <c r="HZ138" s="873"/>
      <c r="IA138" s="873"/>
      <c r="IB138" s="873"/>
      <c r="IC138" s="873"/>
      <c r="ID138" s="873"/>
      <c r="IE138" s="873"/>
      <c r="IF138" s="873"/>
      <c r="IG138" s="873"/>
      <c r="IH138" s="873"/>
      <c r="II138" s="873"/>
      <c r="IJ138" s="873"/>
      <c r="IK138" s="873"/>
      <c r="IL138" s="873"/>
      <c r="IM138" s="873"/>
      <c r="IN138" s="873"/>
      <c r="IO138" s="873"/>
      <c r="IP138" s="873"/>
      <c r="IQ138" s="873"/>
      <c r="IR138" s="873"/>
      <c r="IS138" s="873"/>
      <c r="IT138" s="873"/>
      <c r="IU138" s="873"/>
      <c r="IV138" s="873"/>
      <c r="IW138" s="873"/>
    </row>
    <row r="139" spans="1:257" s="876" customFormat="1">
      <c r="A139" s="873"/>
      <c r="B139" s="873"/>
      <c r="C139" s="873"/>
      <c r="D139" s="873"/>
      <c r="E139" s="873"/>
      <c r="F139" s="873"/>
      <c r="G139" s="873"/>
      <c r="H139" s="873"/>
      <c r="I139" s="873"/>
      <c r="J139" s="873"/>
      <c r="K139" s="873"/>
      <c r="L139" s="873"/>
      <c r="M139" s="873"/>
      <c r="N139" s="873"/>
      <c r="O139" s="873"/>
      <c r="P139" s="873"/>
      <c r="Q139" s="873"/>
      <c r="R139" s="873"/>
      <c r="S139" s="873"/>
      <c r="T139" s="873"/>
      <c r="U139" s="873"/>
      <c r="V139" s="873"/>
      <c r="W139" s="873"/>
      <c r="X139" s="873"/>
      <c r="Y139" s="873"/>
      <c r="Z139" s="873"/>
      <c r="AA139" s="873"/>
      <c r="AB139" s="873"/>
      <c r="AC139" s="873"/>
      <c r="AD139" s="873"/>
      <c r="AE139" s="873"/>
      <c r="AF139" s="873"/>
      <c r="AG139" s="873"/>
      <c r="AH139" s="873"/>
      <c r="AI139" s="873"/>
      <c r="AJ139" s="873"/>
      <c r="AK139" s="873"/>
      <c r="AL139" s="873"/>
      <c r="AM139" s="873"/>
      <c r="AN139" s="873"/>
      <c r="AO139" s="873"/>
      <c r="AP139" s="873"/>
      <c r="AQ139" s="873"/>
      <c r="AR139" s="873"/>
      <c r="AS139" s="873"/>
      <c r="AT139" s="873"/>
      <c r="AU139" s="873"/>
      <c r="AV139" s="873"/>
      <c r="AW139" s="873"/>
      <c r="AX139" s="873"/>
      <c r="AY139" s="873"/>
      <c r="AZ139" s="873"/>
      <c r="BA139" s="873"/>
      <c r="BB139" s="873"/>
      <c r="BC139" s="873"/>
      <c r="BD139" s="873"/>
      <c r="BE139" s="873"/>
      <c r="BF139" s="873"/>
      <c r="BG139" s="873"/>
      <c r="BH139" s="873"/>
      <c r="BI139" s="873"/>
      <c r="BJ139" s="873"/>
      <c r="BK139" s="873"/>
      <c r="BL139" s="873"/>
      <c r="BM139" s="873"/>
      <c r="BN139" s="873"/>
      <c r="BO139" s="873"/>
      <c r="BP139" s="873"/>
      <c r="BQ139" s="873"/>
      <c r="BR139" s="873"/>
      <c r="BS139" s="873"/>
      <c r="BT139" s="873"/>
      <c r="BU139" s="873"/>
      <c r="BV139" s="873"/>
      <c r="BW139" s="873"/>
      <c r="BX139" s="873"/>
      <c r="BY139" s="873"/>
      <c r="BZ139" s="873"/>
      <c r="CA139" s="873"/>
      <c r="CB139" s="873"/>
      <c r="CC139" s="873"/>
      <c r="CD139" s="873"/>
      <c r="CE139" s="873"/>
      <c r="CF139" s="873"/>
      <c r="CG139" s="873"/>
      <c r="CH139" s="873"/>
      <c r="CI139" s="873"/>
      <c r="CJ139" s="873"/>
      <c r="CK139" s="873"/>
      <c r="CL139" s="873"/>
      <c r="CM139" s="873"/>
      <c r="CN139" s="873"/>
      <c r="CO139" s="873"/>
      <c r="CP139" s="873"/>
      <c r="CQ139" s="873"/>
      <c r="CR139" s="873"/>
      <c r="CS139" s="873"/>
      <c r="CT139" s="873"/>
      <c r="CU139" s="873"/>
      <c r="CV139" s="873"/>
      <c r="CW139" s="873"/>
      <c r="CX139" s="873"/>
      <c r="CY139" s="873"/>
      <c r="CZ139" s="873"/>
      <c r="DA139" s="873"/>
      <c r="DB139" s="873"/>
      <c r="DC139" s="873"/>
      <c r="DD139" s="873"/>
      <c r="DE139" s="873"/>
      <c r="DF139" s="873"/>
      <c r="DG139" s="873"/>
      <c r="DH139" s="873"/>
      <c r="DI139" s="873"/>
      <c r="DJ139" s="873"/>
      <c r="DK139" s="873"/>
      <c r="DL139" s="873"/>
      <c r="DM139" s="873"/>
      <c r="DN139" s="873"/>
      <c r="DO139" s="873"/>
      <c r="DP139" s="873"/>
      <c r="DQ139" s="873"/>
      <c r="DR139" s="873"/>
      <c r="DS139" s="873"/>
      <c r="DT139" s="873"/>
      <c r="DU139" s="873"/>
      <c r="DV139" s="873"/>
      <c r="DW139" s="873"/>
      <c r="DX139" s="873"/>
      <c r="DY139" s="873"/>
      <c r="DZ139" s="873"/>
      <c r="EA139" s="873"/>
      <c r="EB139" s="873"/>
      <c r="EC139" s="873"/>
      <c r="ED139" s="873"/>
      <c r="EE139" s="873"/>
      <c r="EF139" s="873"/>
      <c r="EG139" s="873"/>
      <c r="EH139" s="873"/>
      <c r="EI139" s="873"/>
      <c r="EJ139" s="873"/>
      <c r="EK139" s="873"/>
      <c r="EL139" s="873"/>
      <c r="EM139" s="873"/>
      <c r="EN139" s="873"/>
      <c r="EO139" s="873"/>
      <c r="EP139" s="873"/>
      <c r="EQ139" s="873"/>
      <c r="ER139" s="873"/>
      <c r="ES139" s="873"/>
      <c r="ET139" s="873"/>
      <c r="EU139" s="873"/>
      <c r="EV139" s="873"/>
      <c r="EW139" s="873"/>
      <c r="EX139" s="873"/>
      <c r="EY139" s="873"/>
      <c r="EZ139" s="873"/>
      <c r="FA139" s="873"/>
      <c r="FB139" s="873"/>
      <c r="FC139" s="873"/>
      <c r="FD139" s="873"/>
      <c r="FE139" s="873"/>
      <c r="FF139" s="873"/>
      <c r="FG139" s="873"/>
      <c r="FH139" s="873"/>
      <c r="FI139" s="873"/>
      <c r="FJ139" s="873"/>
      <c r="FK139" s="873"/>
      <c r="FL139" s="873"/>
      <c r="FM139" s="873"/>
      <c r="FN139" s="873"/>
      <c r="FO139" s="873"/>
      <c r="FP139" s="873"/>
      <c r="FQ139" s="873"/>
      <c r="FR139" s="873"/>
      <c r="FS139" s="873"/>
      <c r="FT139" s="873"/>
      <c r="FU139" s="873"/>
      <c r="FV139" s="873"/>
      <c r="FW139" s="873"/>
      <c r="FX139" s="873"/>
      <c r="FY139" s="873"/>
      <c r="FZ139" s="873"/>
      <c r="GA139" s="873"/>
      <c r="GB139" s="873"/>
      <c r="GC139" s="873"/>
      <c r="GD139" s="873"/>
      <c r="GE139" s="873"/>
      <c r="GF139" s="873"/>
      <c r="GG139" s="873"/>
      <c r="GH139" s="873"/>
      <c r="GI139" s="873"/>
      <c r="GJ139" s="873"/>
      <c r="GK139" s="873"/>
      <c r="GL139" s="873"/>
      <c r="GM139" s="873"/>
      <c r="GN139" s="873"/>
      <c r="GO139" s="873"/>
      <c r="GP139" s="873"/>
      <c r="GQ139" s="873"/>
      <c r="GR139" s="873"/>
      <c r="GS139" s="873"/>
      <c r="GT139" s="873"/>
      <c r="GU139" s="873"/>
      <c r="GV139" s="873"/>
      <c r="GW139" s="873"/>
      <c r="GX139" s="873"/>
      <c r="GY139" s="873"/>
      <c r="GZ139" s="873"/>
      <c r="HA139" s="873"/>
      <c r="HB139" s="873"/>
      <c r="HC139" s="873"/>
      <c r="HD139" s="873"/>
      <c r="HE139" s="873"/>
      <c r="HF139" s="873"/>
      <c r="HG139" s="873"/>
      <c r="HH139" s="873"/>
      <c r="HI139" s="873"/>
      <c r="HJ139" s="873"/>
      <c r="HK139" s="873"/>
      <c r="HL139" s="873"/>
      <c r="HM139" s="873"/>
      <c r="HN139" s="873"/>
      <c r="HO139" s="873"/>
      <c r="HP139" s="873"/>
      <c r="HQ139" s="873"/>
      <c r="HR139" s="873"/>
      <c r="HS139" s="873"/>
      <c r="HT139" s="873"/>
      <c r="HU139" s="873"/>
      <c r="HV139" s="873"/>
      <c r="HW139" s="873"/>
      <c r="HX139" s="873"/>
      <c r="HY139" s="873"/>
      <c r="HZ139" s="873"/>
      <c r="IA139" s="873"/>
      <c r="IB139" s="873"/>
      <c r="IC139" s="873"/>
      <c r="ID139" s="873"/>
      <c r="IE139" s="873"/>
      <c r="IF139" s="873"/>
      <c r="IG139" s="873"/>
      <c r="IH139" s="873"/>
      <c r="II139" s="873"/>
      <c r="IJ139" s="873"/>
      <c r="IK139" s="873"/>
      <c r="IL139" s="873"/>
      <c r="IM139" s="873"/>
      <c r="IN139" s="873"/>
      <c r="IO139" s="873"/>
      <c r="IP139" s="873"/>
      <c r="IQ139" s="873"/>
      <c r="IR139" s="873"/>
      <c r="IS139" s="873"/>
      <c r="IT139" s="873"/>
      <c r="IU139" s="873"/>
      <c r="IV139" s="873"/>
      <c r="IW139" s="873"/>
    </row>
    <row r="140" spans="1:257" s="876" customFormat="1" ht="140">
      <c r="A140" s="2498" t="s">
        <v>1183</v>
      </c>
      <c r="B140" s="1148" t="s">
        <v>2203</v>
      </c>
      <c r="C140" s="1117">
        <v>4</v>
      </c>
      <c r="D140" s="1117">
        <v>5</v>
      </c>
      <c r="E140" s="1118" t="s">
        <v>2616</v>
      </c>
      <c r="F140" s="1119" t="str">
        <f>IF(Scoring!I149="","",Scoring!I149)</f>
        <v/>
      </c>
      <c r="G140" s="1120"/>
      <c r="H140" s="1120"/>
      <c r="I140" s="1121" t="s">
        <v>2617</v>
      </c>
      <c r="J140" s="1122"/>
      <c r="K140" s="1122"/>
      <c r="L140" s="1123"/>
      <c r="M140" s="1124"/>
      <c r="N140" s="873"/>
      <c r="O140" s="877"/>
      <c r="P140" s="878"/>
      <c r="Q140" s="873"/>
      <c r="R140" s="873"/>
      <c r="S140" s="873"/>
      <c r="T140" s="873"/>
      <c r="U140" s="873"/>
      <c r="V140" s="873"/>
      <c r="W140" s="873"/>
      <c r="X140" s="873"/>
      <c r="Y140" s="873"/>
      <c r="Z140" s="873"/>
      <c r="AA140" s="873"/>
      <c r="AB140" s="873"/>
      <c r="AC140" s="873"/>
      <c r="AD140" s="873"/>
      <c r="AE140" s="873"/>
      <c r="AF140" s="873"/>
      <c r="AG140" s="873"/>
      <c r="AH140" s="873"/>
      <c r="AI140" s="873"/>
      <c r="AJ140" s="873"/>
      <c r="AK140" s="873"/>
      <c r="AL140" s="873"/>
      <c r="AM140" s="873"/>
      <c r="AN140" s="873"/>
      <c r="AO140" s="873"/>
      <c r="AP140" s="873"/>
      <c r="AQ140" s="873"/>
      <c r="AR140" s="873"/>
      <c r="AS140" s="873"/>
      <c r="AT140" s="873"/>
      <c r="AU140" s="873"/>
      <c r="AV140" s="873"/>
      <c r="AW140" s="873"/>
      <c r="AX140" s="873"/>
      <c r="AY140" s="873"/>
      <c r="AZ140" s="873"/>
      <c r="BA140" s="873"/>
      <c r="BB140" s="873"/>
      <c r="BC140" s="873"/>
      <c r="BD140" s="873"/>
      <c r="BE140" s="873"/>
      <c r="BF140" s="873"/>
      <c r="BG140" s="873"/>
      <c r="BH140" s="873"/>
      <c r="BI140" s="873"/>
      <c r="BJ140" s="873"/>
      <c r="BK140" s="873"/>
      <c r="BL140" s="873"/>
      <c r="BM140" s="873"/>
      <c r="BN140" s="873"/>
      <c r="BO140" s="873"/>
      <c r="BP140" s="873"/>
      <c r="BQ140" s="873"/>
      <c r="BR140" s="873"/>
      <c r="BS140" s="873"/>
      <c r="BT140" s="873"/>
      <c r="BU140" s="873"/>
      <c r="BV140" s="873"/>
      <c r="BW140" s="873"/>
      <c r="BX140" s="873"/>
      <c r="BY140" s="873"/>
      <c r="BZ140" s="873"/>
      <c r="CA140" s="873"/>
      <c r="CB140" s="873"/>
      <c r="CC140" s="873"/>
      <c r="CD140" s="873"/>
      <c r="CE140" s="873"/>
      <c r="CF140" s="873"/>
      <c r="CG140" s="873"/>
      <c r="CH140" s="873"/>
      <c r="CI140" s="873"/>
      <c r="CJ140" s="873"/>
      <c r="CK140" s="873"/>
      <c r="CL140" s="873"/>
      <c r="CM140" s="873"/>
      <c r="CN140" s="873"/>
      <c r="CO140" s="873"/>
      <c r="CP140" s="873"/>
      <c r="CQ140" s="873"/>
      <c r="CR140" s="873"/>
      <c r="CS140" s="873"/>
      <c r="CT140" s="873"/>
      <c r="CU140" s="873"/>
      <c r="CV140" s="873"/>
      <c r="CW140" s="873"/>
      <c r="CX140" s="873"/>
      <c r="CY140" s="873"/>
      <c r="CZ140" s="873"/>
      <c r="DA140" s="873"/>
      <c r="DB140" s="873"/>
      <c r="DC140" s="873"/>
      <c r="DD140" s="873"/>
      <c r="DE140" s="873"/>
      <c r="DF140" s="873"/>
      <c r="DG140" s="873"/>
      <c r="DH140" s="873"/>
      <c r="DI140" s="873"/>
      <c r="DJ140" s="873"/>
      <c r="DK140" s="873"/>
      <c r="DL140" s="873"/>
      <c r="DM140" s="873"/>
      <c r="DN140" s="873"/>
      <c r="DO140" s="873"/>
      <c r="DP140" s="873"/>
      <c r="DQ140" s="873"/>
      <c r="DR140" s="873"/>
      <c r="DS140" s="873"/>
      <c r="DT140" s="873"/>
      <c r="DU140" s="873"/>
      <c r="DV140" s="873"/>
      <c r="DW140" s="873"/>
      <c r="DX140" s="873"/>
      <c r="DY140" s="873"/>
      <c r="DZ140" s="873"/>
      <c r="EA140" s="873"/>
      <c r="EB140" s="873"/>
      <c r="EC140" s="873"/>
      <c r="ED140" s="873"/>
      <c r="EE140" s="873"/>
      <c r="EF140" s="873"/>
      <c r="EG140" s="873"/>
      <c r="EH140" s="873"/>
      <c r="EI140" s="873"/>
      <c r="EJ140" s="873"/>
      <c r="EK140" s="873"/>
      <c r="EL140" s="873"/>
      <c r="EM140" s="873"/>
      <c r="EN140" s="873"/>
      <c r="EO140" s="873"/>
      <c r="EP140" s="873"/>
      <c r="EQ140" s="873"/>
      <c r="ER140" s="873"/>
      <c r="ES140" s="873"/>
      <c r="ET140" s="873"/>
      <c r="EU140" s="873"/>
      <c r="EV140" s="873"/>
      <c r="EW140" s="873"/>
      <c r="EX140" s="873"/>
      <c r="EY140" s="873"/>
      <c r="EZ140" s="873"/>
      <c r="FA140" s="873"/>
      <c r="FB140" s="873"/>
      <c r="FC140" s="873"/>
      <c r="FD140" s="873"/>
      <c r="FE140" s="873"/>
      <c r="FF140" s="873"/>
      <c r="FG140" s="873"/>
      <c r="FH140" s="873"/>
      <c r="FI140" s="873"/>
      <c r="FJ140" s="873"/>
      <c r="FK140" s="873"/>
      <c r="FL140" s="873"/>
      <c r="FM140" s="873"/>
      <c r="FN140" s="873"/>
      <c r="FO140" s="873"/>
      <c r="FP140" s="873"/>
      <c r="FQ140" s="873"/>
      <c r="FR140" s="873"/>
      <c r="FS140" s="873"/>
      <c r="FT140" s="873"/>
      <c r="FU140" s="873"/>
      <c r="FV140" s="873"/>
      <c r="FW140" s="873"/>
      <c r="FX140" s="873"/>
      <c r="FY140" s="873"/>
      <c r="FZ140" s="873"/>
      <c r="GA140" s="873"/>
      <c r="GB140" s="873"/>
      <c r="GC140" s="873"/>
      <c r="GD140" s="873"/>
      <c r="GE140" s="873"/>
      <c r="GF140" s="873"/>
      <c r="GG140" s="873"/>
      <c r="GH140" s="873"/>
      <c r="GI140" s="873"/>
      <c r="GJ140" s="873"/>
      <c r="GK140" s="873"/>
      <c r="GL140" s="873"/>
      <c r="GM140" s="873"/>
      <c r="GN140" s="873"/>
      <c r="GO140" s="873"/>
      <c r="GP140" s="873"/>
      <c r="GQ140" s="873"/>
      <c r="GR140" s="873"/>
      <c r="GS140" s="873"/>
      <c r="GT140" s="873"/>
      <c r="GU140" s="873"/>
      <c r="GV140" s="873"/>
      <c r="GW140" s="873"/>
      <c r="GX140" s="873"/>
      <c r="GY140" s="873"/>
      <c r="GZ140" s="873"/>
      <c r="HA140" s="873"/>
      <c r="HB140" s="873"/>
      <c r="HC140" s="873"/>
      <c r="HD140" s="873"/>
      <c r="HE140" s="873"/>
      <c r="HF140" s="873"/>
      <c r="HG140" s="873"/>
      <c r="HH140" s="873"/>
      <c r="HI140" s="873"/>
      <c r="HJ140" s="873"/>
      <c r="HK140" s="873"/>
      <c r="HL140" s="873"/>
      <c r="HM140" s="873"/>
      <c r="HN140" s="873"/>
      <c r="HO140" s="873"/>
      <c r="HP140" s="873"/>
      <c r="HQ140" s="873"/>
      <c r="HR140" s="873"/>
      <c r="HS140" s="873"/>
      <c r="HT140" s="873"/>
      <c r="HU140" s="873"/>
      <c r="HV140" s="873"/>
      <c r="HW140" s="873"/>
      <c r="HX140" s="873"/>
      <c r="HY140" s="873"/>
      <c r="HZ140" s="873"/>
      <c r="IA140" s="873"/>
      <c r="IB140" s="873"/>
      <c r="IC140" s="873"/>
      <c r="ID140" s="873"/>
      <c r="IE140" s="873"/>
      <c r="IF140" s="873"/>
      <c r="IG140" s="873"/>
      <c r="IH140" s="873"/>
      <c r="II140" s="873"/>
      <c r="IJ140" s="873"/>
      <c r="IK140" s="873"/>
      <c r="IL140" s="873"/>
      <c r="IM140" s="873"/>
      <c r="IN140" s="873"/>
      <c r="IO140" s="873"/>
      <c r="IP140" s="873"/>
      <c r="IQ140" s="873"/>
      <c r="IR140" s="873"/>
      <c r="IS140" s="873"/>
      <c r="IT140" s="873"/>
      <c r="IU140" s="873"/>
      <c r="IV140" s="873"/>
      <c r="IW140" s="873"/>
    </row>
    <row r="141" spans="1:257" ht="70">
      <c r="A141" s="2499"/>
      <c r="B141" s="1149" t="s">
        <v>2205</v>
      </c>
      <c r="C141" s="1126">
        <v>5</v>
      </c>
      <c r="D141" s="1126">
        <v>6</v>
      </c>
      <c r="E141" s="1127" t="s">
        <v>1520</v>
      </c>
      <c r="F141" s="1128" t="str">
        <f>IF(Scoring!I150="","",Scoring!I150)</f>
        <v/>
      </c>
      <c r="G141" s="1129"/>
      <c r="H141" s="1129"/>
      <c r="I141" s="1130" t="s">
        <v>2559</v>
      </c>
      <c r="J141" s="1131"/>
      <c r="K141" s="1131"/>
      <c r="L141" s="1132"/>
      <c r="M141" s="1133"/>
      <c r="O141" s="867"/>
      <c r="P141" s="868"/>
    </row>
    <row r="142" spans="1:257" s="876" customFormat="1" ht="56">
      <c r="A142" s="2500"/>
      <c r="B142" s="1150" t="s">
        <v>2207</v>
      </c>
      <c r="C142" s="1163" t="s">
        <v>2560</v>
      </c>
      <c r="D142" s="1163" t="s">
        <v>2560</v>
      </c>
      <c r="E142" s="1136" t="s">
        <v>1522</v>
      </c>
      <c r="F142" s="1137" t="str">
        <f>IF(Scoring!I151="","",Scoring!I151)</f>
        <v/>
      </c>
      <c r="G142" s="1138"/>
      <c r="H142" s="1138"/>
      <c r="I142" s="1139" t="s">
        <v>2561</v>
      </c>
      <c r="J142" s="1140"/>
      <c r="K142" s="1140">
        <f>COUNT(F140:F142)</f>
        <v>0</v>
      </c>
      <c r="L142" s="1141">
        <f>SUM(F140:F142)</f>
        <v>0</v>
      </c>
      <c r="M142" s="1142">
        <f>IF(L142&lt;2,0,1)</f>
        <v>0</v>
      </c>
      <c r="N142" s="873"/>
      <c r="O142" s="874"/>
      <c r="P142" s="875">
        <f>COUNTA(F140:F142)</f>
        <v>3</v>
      </c>
      <c r="Q142" s="873"/>
      <c r="R142" s="873"/>
      <c r="S142" s="873"/>
      <c r="T142" s="873"/>
      <c r="U142" s="873"/>
      <c r="V142" s="873"/>
      <c r="W142" s="873"/>
      <c r="X142" s="873"/>
      <c r="Y142" s="873"/>
      <c r="Z142" s="873"/>
      <c r="AA142" s="873"/>
      <c r="AB142" s="873"/>
      <c r="AC142" s="873"/>
      <c r="AD142" s="873"/>
      <c r="AE142" s="873"/>
      <c r="AF142" s="873"/>
      <c r="AG142" s="873"/>
      <c r="AH142" s="873"/>
      <c r="AI142" s="873"/>
      <c r="AJ142" s="873"/>
      <c r="AK142" s="873"/>
      <c r="AL142" s="873"/>
      <c r="AM142" s="873"/>
      <c r="AN142" s="873"/>
      <c r="AO142" s="873"/>
      <c r="AP142" s="873"/>
      <c r="AQ142" s="873"/>
      <c r="AR142" s="873"/>
      <c r="AS142" s="873"/>
      <c r="AT142" s="873"/>
      <c r="AU142" s="873"/>
      <c r="AV142" s="873"/>
      <c r="AW142" s="873"/>
      <c r="AX142" s="873"/>
      <c r="AY142" s="873"/>
      <c r="AZ142" s="873"/>
      <c r="BA142" s="873"/>
      <c r="BB142" s="873"/>
      <c r="BC142" s="873"/>
      <c r="BD142" s="873"/>
      <c r="BE142" s="873"/>
      <c r="BF142" s="873"/>
      <c r="BG142" s="873"/>
      <c r="BH142" s="873"/>
      <c r="BI142" s="873"/>
      <c r="BJ142" s="873"/>
      <c r="BK142" s="873"/>
      <c r="BL142" s="873"/>
      <c r="BM142" s="873"/>
      <c r="BN142" s="873"/>
      <c r="BO142" s="873"/>
      <c r="BP142" s="873"/>
      <c r="BQ142" s="873"/>
      <c r="BR142" s="873"/>
      <c r="BS142" s="873"/>
      <c r="BT142" s="873"/>
      <c r="BU142" s="873"/>
      <c r="BV142" s="873"/>
      <c r="BW142" s="873"/>
      <c r="BX142" s="873"/>
      <c r="BY142" s="873"/>
      <c r="BZ142" s="873"/>
      <c r="CA142" s="873"/>
      <c r="CB142" s="873"/>
      <c r="CC142" s="873"/>
      <c r="CD142" s="873"/>
      <c r="CE142" s="873"/>
      <c r="CF142" s="873"/>
      <c r="CG142" s="873"/>
      <c r="CH142" s="873"/>
      <c r="CI142" s="873"/>
      <c r="CJ142" s="873"/>
      <c r="CK142" s="873"/>
      <c r="CL142" s="873"/>
      <c r="CM142" s="873"/>
      <c r="CN142" s="873"/>
      <c r="CO142" s="873"/>
      <c r="CP142" s="873"/>
      <c r="CQ142" s="873"/>
      <c r="CR142" s="873"/>
      <c r="CS142" s="873"/>
      <c r="CT142" s="873"/>
      <c r="CU142" s="873"/>
      <c r="CV142" s="873"/>
      <c r="CW142" s="873"/>
      <c r="CX142" s="873"/>
      <c r="CY142" s="873"/>
      <c r="CZ142" s="873"/>
      <c r="DA142" s="873"/>
      <c r="DB142" s="873"/>
      <c r="DC142" s="873"/>
      <c r="DD142" s="873"/>
      <c r="DE142" s="873"/>
      <c r="DF142" s="873"/>
      <c r="DG142" s="873"/>
      <c r="DH142" s="873"/>
      <c r="DI142" s="873"/>
      <c r="DJ142" s="873"/>
      <c r="DK142" s="873"/>
      <c r="DL142" s="873"/>
      <c r="DM142" s="873"/>
      <c r="DN142" s="873"/>
      <c r="DO142" s="873"/>
      <c r="DP142" s="873"/>
      <c r="DQ142" s="873"/>
      <c r="DR142" s="873"/>
      <c r="DS142" s="873"/>
      <c r="DT142" s="873"/>
      <c r="DU142" s="873"/>
      <c r="DV142" s="873"/>
      <c r="DW142" s="873"/>
      <c r="DX142" s="873"/>
      <c r="DY142" s="873"/>
      <c r="DZ142" s="873"/>
      <c r="EA142" s="873"/>
      <c r="EB142" s="873"/>
      <c r="EC142" s="873"/>
      <c r="ED142" s="873"/>
      <c r="EE142" s="873"/>
      <c r="EF142" s="873"/>
      <c r="EG142" s="873"/>
      <c r="EH142" s="873"/>
      <c r="EI142" s="873"/>
      <c r="EJ142" s="873"/>
      <c r="EK142" s="873"/>
      <c r="EL142" s="873"/>
      <c r="EM142" s="873"/>
      <c r="EN142" s="873"/>
      <c r="EO142" s="873"/>
      <c r="EP142" s="873"/>
      <c r="EQ142" s="873"/>
      <c r="ER142" s="873"/>
      <c r="ES142" s="873"/>
      <c r="ET142" s="873"/>
      <c r="EU142" s="873"/>
      <c r="EV142" s="873"/>
      <c r="EW142" s="873"/>
      <c r="EX142" s="873"/>
      <c r="EY142" s="873"/>
      <c r="EZ142" s="873"/>
      <c r="FA142" s="873"/>
      <c r="FB142" s="873"/>
      <c r="FC142" s="873"/>
      <c r="FD142" s="873"/>
      <c r="FE142" s="873"/>
      <c r="FF142" s="873"/>
      <c r="FG142" s="873"/>
      <c r="FH142" s="873"/>
      <c r="FI142" s="873"/>
      <c r="FJ142" s="873"/>
      <c r="FK142" s="873"/>
      <c r="FL142" s="873"/>
      <c r="FM142" s="873"/>
      <c r="FN142" s="873"/>
      <c r="FO142" s="873"/>
      <c r="FP142" s="873"/>
      <c r="FQ142" s="873"/>
      <c r="FR142" s="873"/>
      <c r="FS142" s="873"/>
      <c r="FT142" s="873"/>
      <c r="FU142" s="873"/>
      <c r="FV142" s="873"/>
      <c r="FW142" s="873"/>
      <c r="FX142" s="873"/>
      <c r="FY142" s="873"/>
      <c r="FZ142" s="873"/>
      <c r="GA142" s="873"/>
      <c r="GB142" s="873"/>
      <c r="GC142" s="873"/>
      <c r="GD142" s="873"/>
      <c r="GE142" s="873"/>
      <c r="GF142" s="873"/>
      <c r="GG142" s="873"/>
      <c r="GH142" s="873"/>
      <c r="GI142" s="873"/>
      <c r="GJ142" s="873"/>
      <c r="GK142" s="873"/>
      <c r="GL142" s="873"/>
      <c r="GM142" s="873"/>
      <c r="GN142" s="873"/>
      <c r="GO142" s="873"/>
      <c r="GP142" s="873"/>
      <c r="GQ142" s="873"/>
      <c r="GR142" s="873"/>
      <c r="GS142" s="873"/>
      <c r="GT142" s="873"/>
      <c r="GU142" s="873"/>
      <c r="GV142" s="873"/>
      <c r="GW142" s="873"/>
      <c r="GX142" s="873"/>
      <c r="GY142" s="873"/>
      <c r="GZ142" s="873"/>
      <c r="HA142" s="873"/>
      <c r="HB142" s="873"/>
      <c r="HC142" s="873"/>
      <c r="HD142" s="873"/>
      <c r="HE142" s="873"/>
      <c r="HF142" s="873"/>
      <c r="HG142" s="873"/>
      <c r="HH142" s="873"/>
      <c r="HI142" s="873"/>
      <c r="HJ142" s="873"/>
      <c r="HK142" s="873"/>
      <c r="HL142" s="873"/>
      <c r="HM142" s="873"/>
      <c r="HN142" s="873"/>
      <c r="HO142" s="873"/>
      <c r="HP142" s="873"/>
      <c r="HQ142" s="873"/>
      <c r="HR142" s="873"/>
      <c r="HS142" s="873"/>
      <c r="HT142" s="873"/>
      <c r="HU142" s="873"/>
      <c r="HV142" s="873"/>
      <c r="HW142" s="873"/>
      <c r="HX142" s="873"/>
      <c r="HY142" s="873"/>
      <c r="HZ142" s="873"/>
      <c r="IA142" s="873"/>
      <c r="IB142" s="873"/>
      <c r="IC142" s="873"/>
      <c r="ID142" s="873"/>
      <c r="IE142" s="873"/>
      <c r="IF142" s="873"/>
      <c r="IG142" s="873"/>
      <c r="IH142" s="873"/>
      <c r="II142" s="873"/>
      <c r="IJ142" s="873"/>
      <c r="IK142" s="873"/>
      <c r="IL142" s="873"/>
      <c r="IM142" s="873"/>
      <c r="IN142" s="873"/>
      <c r="IO142" s="873"/>
      <c r="IP142" s="873"/>
      <c r="IQ142" s="873"/>
      <c r="IR142" s="873"/>
      <c r="IS142" s="873"/>
      <c r="IT142" s="873"/>
      <c r="IU142" s="873"/>
      <c r="IV142" s="873"/>
      <c r="IW142" s="873"/>
    </row>
    <row r="143" spans="1:257" s="876" customFormat="1">
      <c r="A143" s="873"/>
      <c r="B143" s="873"/>
      <c r="C143" s="873"/>
      <c r="D143" s="873"/>
      <c r="E143" s="873"/>
      <c r="F143" s="873"/>
      <c r="G143" s="873"/>
      <c r="H143" s="873"/>
      <c r="I143" s="873"/>
      <c r="J143" s="873"/>
      <c r="K143" s="873"/>
      <c r="L143" s="873"/>
      <c r="M143" s="873"/>
      <c r="N143" s="873"/>
      <c r="O143" s="873"/>
      <c r="P143" s="873"/>
      <c r="Q143" s="873"/>
      <c r="R143" s="873"/>
      <c r="S143" s="873"/>
      <c r="T143" s="873"/>
      <c r="U143" s="873"/>
      <c r="V143" s="873"/>
      <c r="W143" s="873"/>
      <c r="X143" s="873"/>
      <c r="Y143" s="873"/>
      <c r="Z143" s="873"/>
      <c r="AA143" s="873"/>
      <c r="AB143" s="873"/>
      <c r="AC143" s="873"/>
      <c r="AD143" s="873"/>
      <c r="AE143" s="873"/>
      <c r="AF143" s="873"/>
      <c r="AG143" s="873"/>
      <c r="AH143" s="873"/>
      <c r="AI143" s="873"/>
      <c r="AJ143" s="873"/>
      <c r="AK143" s="873"/>
      <c r="AL143" s="873"/>
      <c r="AM143" s="873"/>
      <c r="AN143" s="873"/>
      <c r="AO143" s="873"/>
      <c r="AP143" s="873"/>
      <c r="AQ143" s="873"/>
      <c r="AR143" s="873"/>
      <c r="AS143" s="873"/>
      <c r="AT143" s="873"/>
      <c r="AU143" s="873"/>
      <c r="AV143" s="873"/>
      <c r="AW143" s="873"/>
      <c r="AX143" s="873"/>
      <c r="AY143" s="873"/>
      <c r="AZ143" s="873"/>
      <c r="BA143" s="873"/>
      <c r="BB143" s="873"/>
      <c r="BC143" s="873"/>
      <c r="BD143" s="873"/>
      <c r="BE143" s="873"/>
      <c r="BF143" s="873"/>
      <c r="BG143" s="873"/>
      <c r="BH143" s="873"/>
      <c r="BI143" s="873"/>
      <c r="BJ143" s="873"/>
      <c r="BK143" s="873"/>
      <c r="BL143" s="873"/>
      <c r="BM143" s="873"/>
      <c r="BN143" s="873"/>
      <c r="BO143" s="873"/>
      <c r="BP143" s="873"/>
      <c r="BQ143" s="873"/>
      <c r="BR143" s="873"/>
      <c r="BS143" s="873"/>
      <c r="BT143" s="873"/>
      <c r="BU143" s="873"/>
      <c r="BV143" s="873"/>
      <c r="BW143" s="873"/>
      <c r="BX143" s="873"/>
      <c r="BY143" s="873"/>
      <c r="BZ143" s="873"/>
      <c r="CA143" s="873"/>
      <c r="CB143" s="873"/>
      <c r="CC143" s="873"/>
      <c r="CD143" s="873"/>
      <c r="CE143" s="873"/>
      <c r="CF143" s="873"/>
      <c r="CG143" s="873"/>
      <c r="CH143" s="873"/>
      <c r="CI143" s="873"/>
      <c r="CJ143" s="873"/>
      <c r="CK143" s="873"/>
      <c r="CL143" s="873"/>
      <c r="CM143" s="873"/>
      <c r="CN143" s="873"/>
      <c r="CO143" s="873"/>
      <c r="CP143" s="873"/>
      <c r="CQ143" s="873"/>
      <c r="CR143" s="873"/>
      <c r="CS143" s="873"/>
      <c r="CT143" s="873"/>
      <c r="CU143" s="873"/>
      <c r="CV143" s="873"/>
      <c r="CW143" s="873"/>
      <c r="CX143" s="873"/>
      <c r="CY143" s="873"/>
      <c r="CZ143" s="873"/>
      <c r="DA143" s="873"/>
      <c r="DB143" s="873"/>
      <c r="DC143" s="873"/>
      <c r="DD143" s="873"/>
      <c r="DE143" s="873"/>
      <c r="DF143" s="873"/>
      <c r="DG143" s="873"/>
      <c r="DH143" s="873"/>
      <c r="DI143" s="873"/>
      <c r="DJ143" s="873"/>
      <c r="DK143" s="873"/>
      <c r="DL143" s="873"/>
      <c r="DM143" s="873"/>
      <c r="DN143" s="873"/>
      <c r="DO143" s="873"/>
      <c r="DP143" s="873"/>
      <c r="DQ143" s="873"/>
      <c r="DR143" s="873"/>
      <c r="DS143" s="873"/>
      <c r="DT143" s="873"/>
      <c r="DU143" s="873"/>
      <c r="DV143" s="873"/>
      <c r="DW143" s="873"/>
      <c r="DX143" s="873"/>
      <c r="DY143" s="873"/>
      <c r="DZ143" s="873"/>
      <c r="EA143" s="873"/>
      <c r="EB143" s="873"/>
      <c r="EC143" s="873"/>
      <c r="ED143" s="873"/>
      <c r="EE143" s="873"/>
      <c r="EF143" s="873"/>
      <c r="EG143" s="873"/>
      <c r="EH143" s="873"/>
      <c r="EI143" s="873"/>
      <c r="EJ143" s="873"/>
      <c r="EK143" s="873"/>
      <c r="EL143" s="873"/>
      <c r="EM143" s="873"/>
      <c r="EN143" s="873"/>
      <c r="EO143" s="873"/>
      <c r="EP143" s="873"/>
      <c r="EQ143" s="873"/>
      <c r="ER143" s="873"/>
      <c r="ES143" s="873"/>
      <c r="ET143" s="873"/>
      <c r="EU143" s="873"/>
      <c r="EV143" s="873"/>
      <c r="EW143" s="873"/>
      <c r="EX143" s="873"/>
      <c r="EY143" s="873"/>
      <c r="EZ143" s="873"/>
      <c r="FA143" s="873"/>
      <c r="FB143" s="873"/>
      <c r="FC143" s="873"/>
      <c r="FD143" s="873"/>
      <c r="FE143" s="873"/>
      <c r="FF143" s="873"/>
      <c r="FG143" s="873"/>
      <c r="FH143" s="873"/>
      <c r="FI143" s="873"/>
      <c r="FJ143" s="873"/>
      <c r="FK143" s="873"/>
      <c r="FL143" s="873"/>
      <c r="FM143" s="873"/>
      <c r="FN143" s="873"/>
      <c r="FO143" s="873"/>
      <c r="FP143" s="873"/>
      <c r="FQ143" s="873"/>
      <c r="FR143" s="873"/>
      <c r="FS143" s="873"/>
      <c r="FT143" s="873"/>
      <c r="FU143" s="873"/>
      <c r="FV143" s="873"/>
      <c r="FW143" s="873"/>
      <c r="FX143" s="873"/>
      <c r="FY143" s="873"/>
      <c r="FZ143" s="873"/>
      <c r="GA143" s="873"/>
      <c r="GB143" s="873"/>
      <c r="GC143" s="873"/>
      <c r="GD143" s="873"/>
      <c r="GE143" s="873"/>
      <c r="GF143" s="873"/>
      <c r="GG143" s="873"/>
      <c r="GH143" s="873"/>
      <c r="GI143" s="873"/>
      <c r="GJ143" s="873"/>
      <c r="GK143" s="873"/>
      <c r="GL143" s="873"/>
      <c r="GM143" s="873"/>
      <c r="GN143" s="873"/>
      <c r="GO143" s="873"/>
      <c r="GP143" s="873"/>
      <c r="GQ143" s="873"/>
      <c r="GR143" s="873"/>
      <c r="GS143" s="873"/>
      <c r="GT143" s="873"/>
      <c r="GU143" s="873"/>
      <c r="GV143" s="873"/>
      <c r="GW143" s="873"/>
      <c r="GX143" s="873"/>
      <c r="GY143" s="873"/>
      <c r="GZ143" s="873"/>
      <c r="HA143" s="873"/>
      <c r="HB143" s="873"/>
      <c r="HC143" s="873"/>
      <c r="HD143" s="873"/>
      <c r="HE143" s="873"/>
      <c r="HF143" s="873"/>
      <c r="HG143" s="873"/>
      <c r="HH143" s="873"/>
      <c r="HI143" s="873"/>
      <c r="HJ143" s="873"/>
      <c r="HK143" s="873"/>
      <c r="HL143" s="873"/>
      <c r="HM143" s="873"/>
      <c r="HN143" s="873"/>
      <c r="HO143" s="873"/>
      <c r="HP143" s="873"/>
      <c r="HQ143" s="873"/>
      <c r="HR143" s="873"/>
      <c r="HS143" s="873"/>
      <c r="HT143" s="873"/>
      <c r="HU143" s="873"/>
      <c r="HV143" s="873"/>
      <c r="HW143" s="873"/>
      <c r="HX143" s="873"/>
      <c r="HY143" s="873"/>
      <c r="HZ143" s="873"/>
      <c r="IA143" s="873"/>
      <c r="IB143" s="873"/>
      <c r="IC143" s="873"/>
      <c r="ID143" s="873"/>
      <c r="IE143" s="873"/>
      <c r="IF143" s="873"/>
      <c r="IG143" s="873"/>
      <c r="IH143" s="873"/>
      <c r="II143" s="873"/>
      <c r="IJ143" s="873"/>
      <c r="IK143" s="873"/>
      <c r="IL143" s="873"/>
      <c r="IM143" s="873"/>
      <c r="IN143" s="873"/>
      <c r="IO143" s="873"/>
      <c r="IP143" s="873"/>
      <c r="IQ143" s="873"/>
      <c r="IR143" s="873"/>
      <c r="IS143" s="873"/>
      <c r="IT143" s="873"/>
      <c r="IU143" s="873"/>
      <c r="IV143" s="873"/>
      <c r="IW143" s="873"/>
    </row>
    <row r="144" spans="1:257" s="876" customFormat="1">
      <c r="A144" s="873"/>
      <c r="B144" s="873"/>
      <c r="C144" s="873"/>
      <c r="D144" s="873"/>
      <c r="E144" s="873"/>
      <c r="F144" s="873"/>
      <c r="G144" s="873"/>
      <c r="H144" s="873"/>
      <c r="I144" s="873"/>
      <c r="J144" s="873"/>
      <c r="K144" s="873"/>
      <c r="L144" s="873"/>
      <c r="M144" s="873"/>
      <c r="N144" s="873"/>
      <c r="O144" s="873"/>
      <c r="P144" s="873"/>
      <c r="Q144" s="873"/>
      <c r="R144" s="873"/>
      <c r="S144" s="873"/>
      <c r="T144" s="873"/>
      <c r="U144" s="873"/>
      <c r="V144" s="873"/>
      <c r="W144" s="873"/>
      <c r="X144" s="873"/>
      <c r="Y144" s="873"/>
      <c r="Z144" s="873"/>
      <c r="AA144" s="873"/>
      <c r="AB144" s="873"/>
      <c r="AC144" s="873"/>
      <c r="AD144" s="873"/>
      <c r="AE144" s="873"/>
      <c r="AF144" s="873"/>
      <c r="AG144" s="873"/>
      <c r="AH144" s="873"/>
      <c r="AI144" s="873"/>
      <c r="AJ144" s="873"/>
      <c r="AK144" s="873"/>
      <c r="AL144" s="873"/>
      <c r="AM144" s="873"/>
      <c r="AN144" s="873"/>
      <c r="AO144" s="873"/>
      <c r="AP144" s="873"/>
      <c r="AQ144" s="873"/>
      <c r="AR144" s="873"/>
      <c r="AS144" s="873"/>
      <c r="AT144" s="873"/>
      <c r="AU144" s="873"/>
      <c r="AV144" s="873"/>
      <c r="AW144" s="873"/>
      <c r="AX144" s="873"/>
      <c r="AY144" s="873"/>
      <c r="AZ144" s="873"/>
      <c r="BA144" s="873"/>
      <c r="BB144" s="873"/>
      <c r="BC144" s="873"/>
      <c r="BD144" s="873"/>
      <c r="BE144" s="873"/>
      <c r="BF144" s="873"/>
      <c r="BG144" s="873"/>
      <c r="BH144" s="873"/>
      <c r="BI144" s="873"/>
      <c r="BJ144" s="873"/>
      <c r="BK144" s="873"/>
      <c r="BL144" s="873"/>
      <c r="BM144" s="873"/>
      <c r="BN144" s="873"/>
      <c r="BO144" s="873"/>
      <c r="BP144" s="873"/>
      <c r="BQ144" s="873"/>
      <c r="BR144" s="873"/>
      <c r="BS144" s="873"/>
      <c r="BT144" s="873"/>
      <c r="BU144" s="873"/>
      <c r="BV144" s="873"/>
      <c r="BW144" s="873"/>
      <c r="BX144" s="873"/>
      <c r="BY144" s="873"/>
      <c r="BZ144" s="873"/>
      <c r="CA144" s="873"/>
      <c r="CB144" s="873"/>
      <c r="CC144" s="873"/>
      <c r="CD144" s="873"/>
      <c r="CE144" s="873"/>
      <c r="CF144" s="873"/>
      <c r="CG144" s="873"/>
      <c r="CH144" s="873"/>
      <c r="CI144" s="873"/>
      <c r="CJ144" s="873"/>
      <c r="CK144" s="873"/>
      <c r="CL144" s="873"/>
      <c r="CM144" s="873"/>
      <c r="CN144" s="873"/>
      <c r="CO144" s="873"/>
      <c r="CP144" s="873"/>
      <c r="CQ144" s="873"/>
      <c r="CR144" s="873"/>
      <c r="CS144" s="873"/>
      <c r="CT144" s="873"/>
      <c r="CU144" s="873"/>
      <c r="CV144" s="873"/>
      <c r="CW144" s="873"/>
      <c r="CX144" s="873"/>
      <c r="CY144" s="873"/>
      <c r="CZ144" s="873"/>
      <c r="DA144" s="873"/>
      <c r="DB144" s="873"/>
      <c r="DC144" s="873"/>
      <c r="DD144" s="873"/>
      <c r="DE144" s="873"/>
      <c r="DF144" s="873"/>
      <c r="DG144" s="873"/>
      <c r="DH144" s="873"/>
      <c r="DI144" s="873"/>
      <c r="DJ144" s="873"/>
      <c r="DK144" s="873"/>
      <c r="DL144" s="873"/>
      <c r="DM144" s="873"/>
      <c r="DN144" s="873"/>
      <c r="DO144" s="873"/>
      <c r="DP144" s="873"/>
      <c r="DQ144" s="873"/>
      <c r="DR144" s="873"/>
      <c r="DS144" s="873"/>
      <c r="DT144" s="873"/>
      <c r="DU144" s="873"/>
      <c r="DV144" s="873"/>
      <c r="DW144" s="873"/>
      <c r="DX144" s="873"/>
      <c r="DY144" s="873"/>
      <c r="DZ144" s="873"/>
      <c r="EA144" s="873"/>
      <c r="EB144" s="873"/>
      <c r="EC144" s="873"/>
      <c r="ED144" s="873"/>
      <c r="EE144" s="873"/>
      <c r="EF144" s="873"/>
      <c r="EG144" s="873"/>
      <c r="EH144" s="873"/>
      <c r="EI144" s="873"/>
      <c r="EJ144" s="873"/>
      <c r="EK144" s="873"/>
      <c r="EL144" s="873"/>
      <c r="EM144" s="873"/>
      <c r="EN144" s="873"/>
      <c r="EO144" s="873"/>
      <c r="EP144" s="873"/>
      <c r="EQ144" s="873"/>
      <c r="ER144" s="873"/>
      <c r="ES144" s="873"/>
      <c r="ET144" s="873"/>
      <c r="EU144" s="873"/>
      <c r="EV144" s="873"/>
      <c r="EW144" s="873"/>
      <c r="EX144" s="873"/>
      <c r="EY144" s="873"/>
      <c r="EZ144" s="873"/>
      <c r="FA144" s="873"/>
      <c r="FB144" s="873"/>
      <c r="FC144" s="873"/>
      <c r="FD144" s="873"/>
      <c r="FE144" s="873"/>
      <c r="FF144" s="873"/>
      <c r="FG144" s="873"/>
      <c r="FH144" s="873"/>
      <c r="FI144" s="873"/>
      <c r="FJ144" s="873"/>
      <c r="FK144" s="873"/>
      <c r="FL144" s="873"/>
      <c r="FM144" s="873"/>
      <c r="FN144" s="873"/>
      <c r="FO144" s="873"/>
      <c r="FP144" s="873"/>
      <c r="FQ144" s="873"/>
      <c r="FR144" s="873"/>
      <c r="FS144" s="873"/>
      <c r="FT144" s="873"/>
      <c r="FU144" s="873"/>
      <c r="FV144" s="873"/>
      <c r="FW144" s="873"/>
      <c r="FX144" s="873"/>
      <c r="FY144" s="873"/>
      <c r="FZ144" s="873"/>
      <c r="GA144" s="873"/>
      <c r="GB144" s="873"/>
      <c r="GC144" s="873"/>
      <c r="GD144" s="873"/>
      <c r="GE144" s="873"/>
      <c r="GF144" s="873"/>
      <c r="GG144" s="873"/>
      <c r="GH144" s="873"/>
      <c r="GI144" s="873"/>
      <c r="GJ144" s="873"/>
      <c r="GK144" s="873"/>
      <c r="GL144" s="873"/>
      <c r="GM144" s="873"/>
      <c r="GN144" s="873"/>
      <c r="GO144" s="873"/>
      <c r="GP144" s="873"/>
      <c r="GQ144" s="873"/>
      <c r="GR144" s="873"/>
      <c r="GS144" s="873"/>
      <c r="GT144" s="873"/>
      <c r="GU144" s="873"/>
      <c r="GV144" s="873"/>
      <c r="GW144" s="873"/>
      <c r="GX144" s="873"/>
      <c r="GY144" s="873"/>
      <c r="GZ144" s="873"/>
      <c r="HA144" s="873"/>
      <c r="HB144" s="873"/>
      <c r="HC144" s="873"/>
      <c r="HD144" s="873"/>
      <c r="HE144" s="873"/>
      <c r="HF144" s="873"/>
      <c r="HG144" s="873"/>
      <c r="HH144" s="873"/>
      <c r="HI144" s="873"/>
      <c r="HJ144" s="873"/>
      <c r="HK144" s="873"/>
      <c r="HL144" s="873"/>
      <c r="HM144" s="873"/>
      <c r="HN144" s="873"/>
      <c r="HO144" s="873"/>
      <c r="HP144" s="873"/>
      <c r="HQ144" s="873"/>
      <c r="HR144" s="873"/>
      <c r="HS144" s="873"/>
      <c r="HT144" s="873"/>
      <c r="HU144" s="873"/>
      <c r="HV144" s="873"/>
      <c r="HW144" s="873"/>
      <c r="HX144" s="873"/>
      <c r="HY144" s="873"/>
      <c r="HZ144" s="873"/>
      <c r="IA144" s="873"/>
      <c r="IB144" s="873"/>
      <c r="IC144" s="873"/>
      <c r="ID144" s="873"/>
      <c r="IE144" s="873"/>
      <c r="IF144" s="873"/>
      <c r="IG144" s="873"/>
      <c r="IH144" s="873"/>
      <c r="II144" s="873"/>
      <c r="IJ144" s="873"/>
      <c r="IK144" s="873"/>
      <c r="IL144" s="873"/>
      <c r="IM144" s="873"/>
      <c r="IN144" s="873"/>
      <c r="IO144" s="873"/>
      <c r="IP144" s="873"/>
      <c r="IQ144" s="873"/>
      <c r="IR144" s="873"/>
      <c r="IS144" s="873"/>
      <c r="IT144" s="873"/>
      <c r="IU144" s="873"/>
      <c r="IV144" s="873"/>
      <c r="IW144" s="873"/>
    </row>
    <row r="145" spans="1:257" s="876" customFormat="1">
      <c r="A145" s="873"/>
      <c r="B145" s="873"/>
      <c r="C145" s="873"/>
      <c r="D145" s="873"/>
      <c r="E145" s="873"/>
      <c r="F145" s="873"/>
      <c r="G145" s="873"/>
      <c r="H145" s="873"/>
      <c r="I145" s="873"/>
      <c r="J145" s="873"/>
      <c r="K145" s="873"/>
      <c r="L145" s="873"/>
      <c r="M145" s="873"/>
      <c r="N145" s="873"/>
      <c r="O145" s="873"/>
      <c r="P145" s="873"/>
      <c r="Q145" s="873"/>
      <c r="R145" s="873"/>
      <c r="S145" s="873"/>
      <c r="T145" s="873"/>
      <c r="U145" s="873"/>
      <c r="V145" s="873"/>
      <c r="W145" s="873"/>
      <c r="X145" s="873"/>
      <c r="Y145" s="873"/>
      <c r="Z145" s="873"/>
      <c r="AA145" s="873"/>
      <c r="AB145" s="873"/>
      <c r="AC145" s="873"/>
      <c r="AD145" s="873"/>
      <c r="AE145" s="873"/>
      <c r="AF145" s="873"/>
      <c r="AG145" s="873"/>
      <c r="AH145" s="873"/>
      <c r="AI145" s="873"/>
      <c r="AJ145" s="873"/>
      <c r="AK145" s="873"/>
      <c r="AL145" s="873"/>
      <c r="AM145" s="873"/>
      <c r="AN145" s="873"/>
      <c r="AO145" s="873"/>
      <c r="AP145" s="873"/>
      <c r="AQ145" s="873"/>
      <c r="AR145" s="873"/>
      <c r="AS145" s="873"/>
      <c r="AT145" s="873"/>
      <c r="AU145" s="873"/>
      <c r="AV145" s="873"/>
      <c r="AW145" s="873"/>
      <c r="AX145" s="873"/>
      <c r="AY145" s="873"/>
      <c r="AZ145" s="873"/>
      <c r="BA145" s="873"/>
      <c r="BB145" s="873"/>
      <c r="BC145" s="873"/>
      <c r="BD145" s="873"/>
      <c r="BE145" s="873"/>
      <c r="BF145" s="873"/>
      <c r="BG145" s="873"/>
      <c r="BH145" s="873"/>
      <c r="BI145" s="873"/>
      <c r="BJ145" s="873"/>
      <c r="BK145" s="873"/>
      <c r="BL145" s="873"/>
      <c r="BM145" s="873"/>
      <c r="BN145" s="873"/>
      <c r="BO145" s="873"/>
      <c r="BP145" s="873"/>
      <c r="BQ145" s="873"/>
      <c r="BR145" s="873"/>
      <c r="BS145" s="873"/>
      <c r="BT145" s="873"/>
      <c r="BU145" s="873"/>
      <c r="BV145" s="873"/>
      <c r="BW145" s="873"/>
      <c r="BX145" s="873"/>
      <c r="BY145" s="873"/>
      <c r="BZ145" s="873"/>
      <c r="CA145" s="873"/>
      <c r="CB145" s="873"/>
      <c r="CC145" s="873"/>
      <c r="CD145" s="873"/>
      <c r="CE145" s="873"/>
      <c r="CF145" s="873"/>
      <c r="CG145" s="873"/>
      <c r="CH145" s="873"/>
      <c r="CI145" s="873"/>
      <c r="CJ145" s="873"/>
      <c r="CK145" s="873"/>
      <c r="CL145" s="873"/>
      <c r="CM145" s="873"/>
      <c r="CN145" s="873"/>
      <c r="CO145" s="873"/>
      <c r="CP145" s="873"/>
      <c r="CQ145" s="873"/>
      <c r="CR145" s="873"/>
      <c r="CS145" s="873"/>
      <c r="CT145" s="873"/>
      <c r="CU145" s="873"/>
      <c r="CV145" s="873"/>
      <c r="CW145" s="873"/>
      <c r="CX145" s="873"/>
      <c r="CY145" s="873"/>
      <c r="CZ145" s="873"/>
      <c r="DA145" s="873"/>
      <c r="DB145" s="873"/>
      <c r="DC145" s="873"/>
      <c r="DD145" s="873"/>
      <c r="DE145" s="873"/>
      <c r="DF145" s="873"/>
      <c r="DG145" s="873"/>
      <c r="DH145" s="873"/>
      <c r="DI145" s="873"/>
      <c r="DJ145" s="873"/>
      <c r="DK145" s="873"/>
      <c r="DL145" s="873"/>
      <c r="DM145" s="873"/>
      <c r="DN145" s="873"/>
      <c r="DO145" s="873"/>
      <c r="DP145" s="873"/>
      <c r="DQ145" s="873"/>
      <c r="DR145" s="873"/>
      <c r="DS145" s="873"/>
      <c r="DT145" s="873"/>
      <c r="DU145" s="873"/>
      <c r="DV145" s="873"/>
      <c r="DW145" s="873"/>
      <c r="DX145" s="873"/>
      <c r="DY145" s="873"/>
      <c r="DZ145" s="873"/>
      <c r="EA145" s="873"/>
      <c r="EB145" s="873"/>
      <c r="EC145" s="873"/>
      <c r="ED145" s="873"/>
      <c r="EE145" s="873"/>
      <c r="EF145" s="873"/>
      <c r="EG145" s="873"/>
      <c r="EH145" s="873"/>
      <c r="EI145" s="873"/>
      <c r="EJ145" s="873"/>
      <c r="EK145" s="873"/>
      <c r="EL145" s="873"/>
      <c r="EM145" s="873"/>
      <c r="EN145" s="873"/>
      <c r="EO145" s="873"/>
      <c r="EP145" s="873"/>
      <c r="EQ145" s="873"/>
      <c r="ER145" s="873"/>
      <c r="ES145" s="873"/>
      <c r="ET145" s="873"/>
      <c r="EU145" s="873"/>
      <c r="EV145" s="873"/>
      <c r="EW145" s="873"/>
      <c r="EX145" s="873"/>
      <c r="EY145" s="873"/>
      <c r="EZ145" s="873"/>
      <c r="FA145" s="873"/>
      <c r="FB145" s="873"/>
      <c r="FC145" s="873"/>
      <c r="FD145" s="873"/>
      <c r="FE145" s="873"/>
      <c r="FF145" s="873"/>
      <c r="FG145" s="873"/>
      <c r="FH145" s="873"/>
      <c r="FI145" s="873"/>
      <c r="FJ145" s="873"/>
      <c r="FK145" s="873"/>
      <c r="FL145" s="873"/>
      <c r="FM145" s="873"/>
      <c r="FN145" s="873"/>
      <c r="FO145" s="873"/>
      <c r="FP145" s="873"/>
      <c r="FQ145" s="873"/>
      <c r="FR145" s="873"/>
      <c r="FS145" s="873"/>
      <c r="FT145" s="873"/>
      <c r="FU145" s="873"/>
      <c r="FV145" s="873"/>
      <c r="FW145" s="873"/>
      <c r="FX145" s="873"/>
      <c r="FY145" s="873"/>
      <c r="FZ145" s="873"/>
      <c r="GA145" s="873"/>
      <c r="GB145" s="873"/>
      <c r="GC145" s="873"/>
      <c r="GD145" s="873"/>
      <c r="GE145" s="873"/>
      <c r="GF145" s="873"/>
      <c r="GG145" s="873"/>
      <c r="GH145" s="873"/>
      <c r="GI145" s="873"/>
      <c r="GJ145" s="873"/>
      <c r="GK145" s="873"/>
      <c r="GL145" s="873"/>
      <c r="GM145" s="873"/>
      <c r="GN145" s="873"/>
      <c r="GO145" s="873"/>
      <c r="GP145" s="873"/>
      <c r="GQ145" s="873"/>
      <c r="GR145" s="873"/>
      <c r="GS145" s="873"/>
      <c r="GT145" s="873"/>
      <c r="GU145" s="873"/>
      <c r="GV145" s="873"/>
      <c r="GW145" s="873"/>
      <c r="GX145" s="873"/>
      <c r="GY145" s="873"/>
      <c r="GZ145" s="873"/>
      <c r="HA145" s="873"/>
      <c r="HB145" s="873"/>
      <c r="HC145" s="873"/>
      <c r="HD145" s="873"/>
      <c r="HE145" s="873"/>
      <c r="HF145" s="873"/>
      <c r="HG145" s="873"/>
      <c r="HH145" s="873"/>
      <c r="HI145" s="873"/>
      <c r="HJ145" s="873"/>
      <c r="HK145" s="873"/>
      <c r="HL145" s="873"/>
      <c r="HM145" s="873"/>
      <c r="HN145" s="873"/>
      <c r="HO145" s="873"/>
      <c r="HP145" s="873"/>
      <c r="HQ145" s="873"/>
      <c r="HR145" s="873"/>
      <c r="HS145" s="873"/>
      <c r="HT145" s="873"/>
      <c r="HU145" s="873"/>
      <c r="HV145" s="873"/>
      <c r="HW145" s="873"/>
      <c r="HX145" s="873"/>
      <c r="HY145" s="873"/>
      <c r="HZ145" s="873"/>
      <c r="IA145" s="873"/>
      <c r="IB145" s="873"/>
      <c r="IC145" s="873"/>
      <c r="ID145" s="873"/>
      <c r="IE145" s="873"/>
      <c r="IF145" s="873"/>
      <c r="IG145" s="873"/>
      <c r="IH145" s="873"/>
      <c r="II145" s="873"/>
      <c r="IJ145" s="873"/>
      <c r="IK145" s="873"/>
      <c r="IL145" s="873"/>
      <c r="IM145" s="873"/>
      <c r="IN145" s="873"/>
      <c r="IO145" s="873"/>
      <c r="IP145" s="873"/>
      <c r="IQ145" s="873"/>
      <c r="IR145" s="873"/>
      <c r="IS145" s="873"/>
      <c r="IT145" s="873"/>
      <c r="IU145" s="873"/>
      <c r="IV145" s="873"/>
      <c r="IW145" s="873"/>
    </row>
    <row r="146" spans="1:257" s="876" customFormat="1" ht="98">
      <c r="A146" s="1151" t="s">
        <v>1205</v>
      </c>
      <c r="B146" s="1164" t="s">
        <v>2213</v>
      </c>
      <c r="C146" s="1162">
        <v>3</v>
      </c>
      <c r="D146" s="1162">
        <v>3</v>
      </c>
      <c r="E146" s="1154" t="s">
        <v>1527</v>
      </c>
      <c r="F146" s="1155" t="str">
        <f>IF(Scoring!I155="","",Scoring!I155)</f>
        <v/>
      </c>
      <c r="G146" s="1156"/>
      <c r="H146" s="1156"/>
      <c r="I146" s="1157" t="s">
        <v>2618</v>
      </c>
      <c r="J146" s="1158">
        <f>COUNT(F146:F146)</f>
        <v>0</v>
      </c>
      <c r="K146" s="1158"/>
      <c r="L146" s="1159">
        <f>SUM(F146:F146)</f>
        <v>0</v>
      </c>
      <c r="M146" s="1160">
        <f>IF(L146&lt;1,0,1)</f>
        <v>0</v>
      </c>
      <c r="N146" s="873"/>
      <c r="O146" s="883"/>
      <c r="P146" s="884">
        <f>COUNTA(F146:F146)</f>
        <v>1</v>
      </c>
      <c r="Q146" s="873"/>
      <c r="R146" s="873"/>
      <c r="S146" s="873"/>
      <c r="T146" s="873"/>
      <c r="U146" s="873"/>
      <c r="V146" s="873"/>
      <c r="W146" s="873"/>
      <c r="X146" s="873"/>
      <c r="Y146" s="873"/>
      <c r="Z146" s="873"/>
      <c r="AA146" s="873"/>
      <c r="AB146" s="873"/>
      <c r="AC146" s="873"/>
      <c r="AD146" s="873"/>
      <c r="AE146" s="873"/>
      <c r="AF146" s="873"/>
      <c r="AG146" s="873"/>
      <c r="AH146" s="873"/>
      <c r="AI146" s="873"/>
      <c r="AJ146" s="873"/>
      <c r="AK146" s="873"/>
      <c r="AL146" s="873"/>
      <c r="AM146" s="873"/>
      <c r="AN146" s="873"/>
      <c r="AO146" s="873"/>
      <c r="AP146" s="873"/>
      <c r="AQ146" s="873"/>
      <c r="AR146" s="873"/>
      <c r="AS146" s="873"/>
      <c r="AT146" s="873"/>
      <c r="AU146" s="873"/>
      <c r="AV146" s="873"/>
      <c r="AW146" s="873"/>
      <c r="AX146" s="873"/>
      <c r="AY146" s="873"/>
      <c r="AZ146" s="873"/>
      <c r="BA146" s="873"/>
      <c r="BB146" s="873"/>
      <c r="BC146" s="873"/>
      <c r="BD146" s="873"/>
      <c r="BE146" s="873"/>
      <c r="BF146" s="873"/>
      <c r="BG146" s="873"/>
      <c r="BH146" s="873"/>
      <c r="BI146" s="873"/>
      <c r="BJ146" s="873"/>
      <c r="BK146" s="873"/>
      <c r="BL146" s="873"/>
      <c r="BM146" s="873"/>
      <c r="BN146" s="873"/>
      <c r="BO146" s="873"/>
      <c r="BP146" s="873"/>
      <c r="BQ146" s="873"/>
      <c r="BR146" s="873"/>
      <c r="BS146" s="873"/>
      <c r="BT146" s="873"/>
      <c r="BU146" s="873"/>
      <c r="BV146" s="873"/>
      <c r="BW146" s="873"/>
      <c r="BX146" s="873"/>
      <c r="BY146" s="873"/>
      <c r="BZ146" s="873"/>
      <c r="CA146" s="873"/>
      <c r="CB146" s="873"/>
      <c r="CC146" s="873"/>
      <c r="CD146" s="873"/>
      <c r="CE146" s="873"/>
      <c r="CF146" s="873"/>
      <c r="CG146" s="873"/>
      <c r="CH146" s="873"/>
      <c r="CI146" s="873"/>
      <c r="CJ146" s="873"/>
      <c r="CK146" s="873"/>
      <c r="CL146" s="873"/>
      <c r="CM146" s="873"/>
      <c r="CN146" s="873"/>
      <c r="CO146" s="873"/>
      <c r="CP146" s="873"/>
      <c r="CQ146" s="873"/>
      <c r="CR146" s="873"/>
      <c r="CS146" s="873"/>
      <c r="CT146" s="873"/>
      <c r="CU146" s="873"/>
      <c r="CV146" s="873"/>
      <c r="CW146" s="873"/>
      <c r="CX146" s="873"/>
      <c r="CY146" s="873"/>
      <c r="CZ146" s="873"/>
      <c r="DA146" s="873"/>
      <c r="DB146" s="873"/>
      <c r="DC146" s="873"/>
      <c r="DD146" s="873"/>
      <c r="DE146" s="873"/>
      <c r="DF146" s="873"/>
      <c r="DG146" s="873"/>
      <c r="DH146" s="873"/>
      <c r="DI146" s="873"/>
      <c r="DJ146" s="873"/>
      <c r="DK146" s="873"/>
      <c r="DL146" s="873"/>
      <c r="DM146" s="873"/>
      <c r="DN146" s="873"/>
      <c r="DO146" s="873"/>
      <c r="DP146" s="873"/>
      <c r="DQ146" s="873"/>
      <c r="DR146" s="873"/>
      <c r="DS146" s="873"/>
      <c r="DT146" s="873"/>
      <c r="DU146" s="873"/>
      <c r="DV146" s="873"/>
      <c r="DW146" s="873"/>
      <c r="DX146" s="873"/>
      <c r="DY146" s="873"/>
      <c r="DZ146" s="873"/>
      <c r="EA146" s="873"/>
      <c r="EB146" s="873"/>
      <c r="EC146" s="873"/>
      <c r="ED146" s="873"/>
      <c r="EE146" s="873"/>
      <c r="EF146" s="873"/>
      <c r="EG146" s="873"/>
      <c r="EH146" s="873"/>
      <c r="EI146" s="873"/>
      <c r="EJ146" s="873"/>
      <c r="EK146" s="873"/>
      <c r="EL146" s="873"/>
      <c r="EM146" s="873"/>
      <c r="EN146" s="873"/>
      <c r="EO146" s="873"/>
      <c r="EP146" s="873"/>
      <c r="EQ146" s="873"/>
      <c r="ER146" s="873"/>
      <c r="ES146" s="873"/>
      <c r="ET146" s="873"/>
      <c r="EU146" s="873"/>
      <c r="EV146" s="873"/>
      <c r="EW146" s="873"/>
      <c r="EX146" s="873"/>
      <c r="EY146" s="873"/>
      <c r="EZ146" s="873"/>
      <c r="FA146" s="873"/>
      <c r="FB146" s="873"/>
      <c r="FC146" s="873"/>
      <c r="FD146" s="873"/>
      <c r="FE146" s="873"/>
      <c r="FF146" s="873"/>
      <c r="FG146" s="873"/>
      <c r="FH146" s="873"/>
      <c r="FI146" s="873"/>
      <c r="FJ146" s="873"/>
      <c r="FK146" s="873"/>
      <c r="FL146" s="873"/>
      <c r="FM146" s="873"/>
      <c r="FN146" s="873"/>
      <c r="FO146" s="873"/>
      <c r="FP146" s="873"/>
      <c r="FQ146" s="873"/>
      <c r="FR146" s="873"/>
      <c r="FS146" s="873"/>
      <c r="FT146" s="873"/>
      <c r="FU146" s="873"/>
      <c r="FV146" s="873"/>
      <c r="FW146" s="873"/>
      <c r="FX146" s="873"/>
      <c r="FY146" s="873"/>
      <c r="FZ146" s="873"/>
      <c r="GA146" s="873"/>
      <c r="GB146" s="873"/>
      <c r="GC146" s="873"/>
      <c r="GD146" s="873"/>
      <c r="GE146" s="873"/>
      <c r="GF146" s="873"/>
      <c r="GG146" s="873"/>
      <c r="GH146" s="873"/>
      <c r="GI146" s="873"/>
      <c r="GJ146" s="873"/>
      <c r="GK146" s="873"/>
      <c r="GL146" s="873"/>
      <c r="GM146" s="873"/>
      <c r="GN146" s="873"/>
      <c r="GO146" s="873"/>
      <c r="GP146" s="873"/>
      <c r="GQ146" s="873"/>
      <c r="GR146" s="873"/>
      <c r="GS146" s="873"/>
      <c r="GT146" s="873"/>
      <c r="GU146" s="873"/>
      <c r="GV146" s="873"/>
      <c r="GW146" s="873"/>
      <c r="GX146" s="873"/>
      <c r="GY146" s="873"/>
      <c r="GZ146" s="873"/>
      <c r="HA146" s="873"/>
      <c r="HB146" s="873"/>
      <c r="HC146" s="873"/>
      <c r="HD146" s="873"/>
      <c r="HE146" s="873"/>
      <c r="HF146" s="873"/>
      <c r="HG146" s="873"/>
      <c r="HH146" s="873"/>
      <c r="HI146" s="873"/>
      <c r="HJ146" s="873"/>
      <c r="HK146" s="873"/>
      <c r="HL146" s="873"/>
      <c r="HM146" s="873"/>
      <c r="HN146" s="873"/>
      <c r="HO146" s="873"/>
      <c r="HP146" s="873"/>
      <c r="HQ146" s="873"/>
      <c r="HR146" s="873"/>
      <c r="HS146" s="873"/>
      <c r="HT146" s="873"/>
      <c r="HU146" s="873"/>
      <c r="HV146" s="873"/>
      <c r="HW146" s="873"/>
      <c r="HX146" s="873"/>
      <c r="HY146" s="873"/>
      <c r="HZ146" s="873"/>
      <c r="IA146" s="873"/>
      <c r="IB146" s="873"/>
      <c r="IC146" s="873"/>
      <c r="ID146" s="873"/>
      <c r="IE146" s="873"/>
      <c r="IF146" s="873"/>
      <c r="IG146" s="873"/>
      <c r="IH146" s="873"/>
      <c r="II146" s="873"/>
      <c r="IJ146" s="873"/>
      <c r="IK146" s="873"/>
      <c r="IL146" s="873"/>
      <c r="IM146" s="873"/>
      <c r="IN146" s="873"/>
      <c r="IO146" s="873"/>
      <c r="IP146" s="873"/>
      <c r="IQ146" s="873"/>
      <c r="IR146" s="873"/>
      <c r="IS146" s="873"/>
      <c r="IT146" s="873"/>
      <c r="IU146" s="873"/>
      <c r="IV146" s="873"/>
      <c r="IW146" s="873"/>
    </row>
    <row r="147" spans="1:257" s="876" customFormat="1">
      <c r="A147" s="873"/>
      <c r="B147" s="873"/>
      <c r="C147" s="873"/>
      <c r="D147" s="873"/>
      <c r="E147" s="873"/>
      <c r="F147" s="873"/>
      <c r="G147" s="873"/>
      <c r="H147" s="873"/>
      <c r="I147" s="873"/>
      <c r="J147" s="873"/>
      <c r="K147" s="873"/>
      <c r="L147" s="873"/>
      <c r="M147" s="873"/>
      <c r="N147" s="873"/>
      <c r="O147" s="873"/>
      <c r="P147" s="873"/>
      <c r="Q147" s="873"/>
      <c r="R147" s="873"/>
      <c r="S147" s="873"/>
      <c r="T147" s="873"/>
      <c r="U147" s="873"/>
      <c r="V147" s="873"/>
      <c r="W147" s="873"/>
      <c r="X147" s="873"/>
      <c r="Y147" s="873"/>
      <c r="Z147" s="873"/>
      <c r="AA147" s="873"/>
      <c r="AB147" s="873"/>
      <c r="AC147" s="873"/>
      <c r="AD147" s="873"/>
      <c r="AE147" s="873"/>
      <c r="AF147" s="873"/>
      <c r="AG147" s="873"/>
      <c r="AH147" s="873"/>
      <c r="AI147" s="873"/>
      <c r="AJ147" s="873"/>
      <c r="AK147" s="873"/>
      <c r="AL147" s="873"/>
      <c r="AM147" s="873"/>
      <c r="AN147" s="873"/>
      <c r="AO147" s="873"/>
      <c r="AP147" s="873"/>
      <c r="AQ147" s="873"/>
      <c r="AR147" s="873"/>
      <c r="AS147" s="873"/>
      <c r="AT147" s="873"/>
      <c r="AU147" s="873"/>
      <c r="AV147" s="873"/>
      <c r="AW147" s="873"/>
      <c r="AX147" s="873"/>
      <c r="AY147" s="873"/>
      <c r="AZ147" s="873"/>
      <c r="BA147" s="873"/>
      <c r="BB147" s="873"/>
      <c r="BC147" s="873"/>
      <c r="BD147" s="873"/>
      <c r="BE147" s="873"/>
      <c r="BF147" s="873"/>
      <c r="BG147" s="873"/>
      <c r="BH147" s="873"/>
      <c r="BI147" s="873"/>
      <c r="BJ147" s="873"/>
      <c r="BK147" s="873"/>
      <c r="BL147" s="873"/>
      <c r="BM147" s="873"/>
      <c r="BN147" s="873"/>
      <c r="BO147" s="873"/>
      <c r="BP147" s="873"/>
      <c r="BQ147" s="873"/>
      <c r="BR147" s="873"/>
      <c r="BS147" s="873"/>
      <c r="BT147" s="873"/>
      <c r="BU147" s="873"/>
      <c r="BV147" s="873"/>
      <c r="BW147" s="873"/>
      <c r="BX147" s="873"/>
      <c r="BY147" s="873"/>
      <c r="BZ147" s="873"/>
      <c r="CA147" s="873"/>
      <c r="CB147" s="873"/>
      <c r="CC147" s="873"/>
      <c r="CD147" s="873"/>
      <c r="CE147" s="873"/>
      <c r="CF147" s="873"/>
      <c r="CG147" s="873"/>
      <c r="CH147" s="873"/>
      <c r="CI147" s="873"/>
      <c r="CJ147" s="873"/>
      <c r="CK147" s="873"/>
      <c r="CL147" s="873"/>
      <c r="CM147" s="873"/>
      <c r="CN147" s="873"/>
      <c r="CO147" s="873"/>
      <c r="CP147" s="873"/>
      <c r="CQ147" s="873"/>
      <c r="CR147" s="873"/>
      <c r="CS147" s="873"/>
      <c r="CT147" s="873"/>
      <c r="CU147" s="873"/>
      <c r="CV147" s="873"/>
      <c r="CW147" s="873"/>
      <c r="CX147" s="873"/>
      <c r="CY147" s="873"/>
      <c r="CZ147" s="873"/>
      <c r="DA147" s="873"/>
      <c r="DB147" s="873"/>
      <c r="DC147" s="873"/>
      <c r="DD147" s="873"/>
      <c r="DE147" s="873"/>
      <c r="DF147" s="873"/>
      <c r="DG147" s="873"/>
      <c r="DH147" s="873"/>
      <c r="DI147" s="873"/>
      <c r="DJ147" s="873"/>
      <c r="DK147" s="873"/>
      <c r="DL147" s="873"/>
      <c r="DM147" s="873"/>
      <c r="DN147" s="873"/>
      <c r="DO147" s="873"/>
      <c r="DP147" s="873"/>
      <c r="DQ147" s="873"/>
      <c r="DR147" s="873"/>
      <c r="DS147" s="873"/>
      <c r="DT147" s="873"/>
      <c r="DU147" s="873"/>
      <c r="DV147" s="873"/>
      <c r="DW147" s="873"/>
      <c r="DX147" s="873"/>
      <c r="DY147" s="873"/>
      <c r="DZ147" s="873"/>
      <c r="EA147" s="873"/>
      <c r="EB147" s="873"/>
      <c r="EC147" s="873"/>
      <c r="ED147" s="873"/>
      <c r="EE147" s="873"/>
      <c r="EF147" s="873"/>
      <c r="EG147" s="873"/>
      <c r="EH147" s="873"/>
      <c r="EI147" s="873"/>
      <c r="EJ147" s="873"/>
      <c r="EK147" s="873"/>
      <c r="EL147" s="873"/>
      <c r="EM147" s="873"/>
      <c r="EN147" s="873"/>
      <c r="EO147" s="873"/>
      <c r="EP147" s="873"/>
      <c r="EQ147" s="873"/>
      <c r="ER147" s="873"/>
      <c r="ES147" s="873"/>
      <c r="ET147" s="873"/>
      <c r="EU147" s="873"/>
      <c r="EV147" s="873"/>
      <c r="EW147" s="873"/>
      <c r="EX147" s="873"/>
      <c r="EY147" s="873"/>
      <c r="EZ147" s="873"/>
      <c r="FA147" s="873"/>
      <c r="FB147" s="873"/>
      <c r="FC147" s="873"/>
      <c r="FD147" s="873"/>
      <c r="FE147" s="873"/>
      <c r="FF147" s="873"/>
      <c r="FG147" s="873"/>
      <c r="FH147" s="873"/>
      <c r="FI147" s="873"/>
      <c r="FJ147" s="873"/>
      <c r="FK147" s="873"/>
      <c r="FL147" s="873"/>
      <c r="FM147" s="873"/>
      <c r="FN147" s="873"/>
      <c r="FO147" s="873"/>
      <c r="FP147" s="873"/>
      <c r="FQ147" s="873"/>
      <c r="FR147" s="873"/>
      <c r="FS147" s="873"/>
      <c r="FT147" s="873"/>
      <c r="FU147" s="873"/>
      <c r="FV147" s="873"/>
      <c r="FW147" s="873"/>
      <c r="FX147" s="873"/>
      <c r="FY147" s="873"/>
      <c r="FZ147" s="873"/>
      <c r="GA147" s="873"/>
      <c r="GB147" s="873"/>
      <c r="GC147" s="873"/>
      <c r="GD147" s="873"/>
      <c r="GE147" s="873"/>
      <c r="GF147" s="873"/>
      <c r="GG147" s="873"/>
      <c r="GH147" s="873"/>
      <c r="GI147" s="873"/>
      <c r="GJ147" s="873"/>
      <c r="GK147" s="873"/>
      <c r="GL147" s="873"/>
      <c r="GM147" s="873"/>
      <c r="GN147" s="873"/>
      <c r="GO147" s="873"/>
      <c r="GP147" s="873"/>
      <c r="GQ147" s="873"/>
      <c r="GR147" s="873"/>
      <c r="GS147" s="873"/>
      <c r="GT147" s="873"/>
      <c r="GU147" s="873"/>
      <c r="GV147" s="873"/>
      <c r="GW147" s="873"/>
      <c r="GX147" s="873"/>
      <c r="GY147" s="873"/>
      <c r="GZ147" s="873"/>
      <c r="HA147" s="873"/>
      <c r="HB147" s="873"/>
      <c r="HC147" s="873"/>
      <c r="HD147" s="873"/>
      <c r="HE147" s="873"/>
      <c r="HF147" s="873"/>
      <c r="HG147" s="873"/>
      <c r="HH147" s="873"/>
      <c r="HI147" s="873"/>
      <c r="HJ147" s="873"/>
      <c r="HK147" s="873"/>
      <c r="HL147" s="873"/>
      <c r="HM147" s="873"/>
      <c r="HN147" s="873"/>
      <c r="HO147" s="873"/>
      <c r="HP147" s="873"/>
      <c r="HQ147" s="873"/>
      <c r="HR147" s="873"/>
      <c r="HS147" s="873"/>
      <c r="HT147" s="873"/>
      <c r="HU147" s="873"/>
      <c r="HV147" s="873"/>
      <c r="HW147" s="873"/>
      <c r="HX147" s="873"/>
      <c r="HY147" s="873"/>
      <c r="HZ147" s="873"/>
      <c r="IA147" s="873"/>
      <c r="IB147" s="873"/>
      <c r="IC147" s="873"/>
      <c r="ID147" s="873"/>
      <c r="IE147" s="873"/>
      <c r="IF147" s="873"/>
      <c r="IG147" s="873"/>
      <c r="IH147" s="873"/>
      <c r="II147" s="873"/>
      <c r="IJ147" s="873"/>
      <c r="IK147" s="873"/>
      <c r="IL147" s="873"/>
      <c r="IM147" s="873"/>
      <c r="IN147" s="873"/>
      <c r="IO147" s="873"/>
      <c r="IP147" s="873"/>
      <c r="IQ147" s="873"/>
      <c r="IR147" s="873"/>
      <c r="IS147" s="873"/>
      <c r="IT147" s="873"/>
      <c r="IU147" s="873"/>
      <c r="IV147" s="873"/>
      <c r="IW147" s="873"/>
    </row>
    <row r="148" spans="1:257" s="876" customFormat="1">
      <c r="A148" s="873"/>
      <c r="B148" s="873"/>
      <c r="C148" s="873"/>
      <c r="D148" s="873"/>
      <c r="E148" s="873"/>
      <c r="F148" s="873"/>
      <c r="G148" s="873"/>
      <c r="H148" s="873"/>
      <c r="I148" s="873"/>
      <c r="J148" s="873"/>
      <c r="K148" s="873"/>
      <c r="L148" s="873"/>
      <c r="M148" s="873"/>
      <c r="N148" s="873"/>
      <c r="O148" s="873"/>
      <c r="P148" s="873"/>
      <c r="Q148" s="873"/>
      <c r="R148" s="873"/>
      <c r="S148" s="873"/>
      <c r="T148" s="873"/>
      <c r="U148" s="873"/>
      <c r="V148" s="873"/>
      <c r="W148" s="873"/>
      <c r="X148" s="873"/>
      <c r="Y148" s="873"/>
      <c r="Z148" s="873"/>
      <c r="AA148" s="873"/>
      <c r="AB148" s="873"/>
      <c r="AC148" s="873"/>
      <c r="AD148" s="873"/>
      <c r="AE148" s="873"/>
      <c r="AF148" s="873"/>
      <c r="AG148" s="873"/>
      <c r="AH148" s="873"/>
      <c r="AI148" s="873"/>
      <c r="AJ148" s="873"/>
      <c r="AK148" s="873"/>
      <c r="AL148" s="873"/>
      <c r="AM148" s="873"/>
      <c r="AN148" s="873"/>
      <c r="AO148" s="873"/>
      <c r="AP148" s="873"/>
      <c r="AQ148" s="873"/>
      <c r="AR148" s="873"/>
      <c r="AS148" s="873"/>
      <c r="AT148" s="873"/>
      <c r="AU148" s="873"/>
      <c r="AV148" s="873"/>
      <c r="AW148" s="873"/>
      <c r="AX148" s="873"/>
      <c r="AY148" s="873"/>
      <c r="AZ148" s="873"/>
      <c r="BA148" s="873"/>
      <c r="BB148" s="873"/>
      <c r="BC148" s="873"/>
      <c r="BD148" s="873"/>
      <c r="BE148" s="873"/>
      <c r="BF148" s="873"/>
      <c r="BG148" s="873"/>
      <c r="BH148" s="873"/>
      <c r="BI148" s="873"/>
      <c r="BJ148" s="873"/>
      <c r="BK148" s="873"/>
      <c r="BL148" s="873"/>
      <c r="BM148" s="873"/>
      <c r="BN148" s="873"/>
      <c r="BO148" s="873"/>
      <c r="BP148" s="873"/>
      <c r="BQ148" s="873"/>
      <c r="BR148" s="873"/>
      <c r="BS148" s="873"/>
      <c r="BT148" s="873"/>
      <c r="BU148" s="873"/>
      <c r="BV148" s="873"/>
      <c r="BW148" s="873"/>
      <c r="BX148" s="873"/>
      <c r="BY148" s="873"/>
      <c r="BZ148" s="873"/>
      <c r="CA148" s="873"/>
      <c r="CB148" s="873"/>
      <c r="CC148" s="873"/>
      <c r="CD148" s="873"/>
      <c r="CE148" s="873"/>
      <c r="CF148" s="873"/>
      <c r="CG148" s="873"/>
      <c r="CH148" s="873"/>
      <c r="CI148" s="873"/>
      <c r="CJ148" s="873"/>
      <c r="CK148" s="873"/>
      <c r="CL148" s="873"/>
      <c r="CM148" s="873"/>
      <c r="CN148" s="873"/>
      <c r="CO148" s="873"/>
      <c r="CP148" s="873"/>
      <c r="CQ148" s="873"/>
      <c r="CR148" s="873"/>
      <c r="CS148" s="873"/>
      <c r="CT148" s="873"/>
      <c r="CU148" s="873"/>
      <c r="CV148" s="873"/>
      <c r="CW148" s="873"/>
      <c r="CX148" s="873"/>
      <c r="CY148" s="873"/>
      <c r="CZ148" s="873"/>
      <c r="DA148" s="873"/>
      <c r="DB148" s="873"/>
      <c r="DC148" s="873"/>
      <c r="DD148" s="873"/>
      <c r="DE148" s="873"/>
      <c r="DF148" s="873"/>
      <c r="DG148" s="873"/>
      <c r="DH148" s="873"/>
      <c r="DI148" s="873"/>
      <c r="DJ148" s="873"/>
      <c r="DK148" s="873"/>
      <c r="DL148" s="873"/>
      <c r="DM148" s="873"/>
      <c r="DN148" s="873"/>
      <c r="DO148" s="873"/>
      <c r="DP148" s="873"/>
      <c r="DQ148" s="873"/>
      <c r="DR148" s="873"/>
      <c r="DS148" s="873"/>
      <c r="DT148" s="873"/>
      <c r="DU148" s="873"/>
      <c r="DV148" s="873"/>
      <c r="DW148" s="873"/>
      <c r="DX148" s="873"/>
      <c r="DY148" s="873"/>
      <c r="DZ148" s="873"/>
      <c r="EA148" s="873"/>
      <c r="EB148" s="873"/>
      <c r="EC148" s="873"/>
      <c r="ED148" s="873"/>
      <c r="EE148" s="873"/>
      <c r="EF148" s="873"/>
      <c r="EG148" s="873"/>
      <c r="EH148" s="873"/>
      <c r="EI148" s="873"/>
      <c r="EJ148" s="873"/>
      <c r="EK148" s="873"/>
      <c r="EL148" s="873"/>
      <c r="EM148" s="873"/>
      <c r="EN148" s="873"/>
      <c r="EO148" s="873"/>
      <c r="EP148" s="873"/>
      <c r="EQ148" s="873"/>
      <c r="ER148" s="873"/>
      <c r="ES148" s="873"/>
      <c r="ET148" s="873"/>
      <c r="EU148" s="873"/>
      <c r="EV148" s="873"/>
      <c r="EW148" s="873"/>
      <c r="EX148" s="873"/>
      <c r="EY148" s="873"/>
      <c r="EZ148" s="873"/>
      <c r="FA148" s="873"/>
      <c r="FB148" s="873"/>
      <c r="FC148" s="873"/>
      <c r="FD148" s="873"/>
      <c r="FE148" s="873"/>
      <c r="FF148" s="873"/>
      <c r="FG148" s="873"/>
      <c r="FH148" s="873"/>
      <c r="FI148" s="873"/>
      <c r="FJ148" s="873"/>
      <c r="FK148" s="873"/>
      <c r="FL148" s="873"/>
      <c r="FM148" s="873"/>
      <c r="FN148" s="873"/>
      <c r="FO148" s="873"/>
      <c r="FP148" s="873"/>
      <c r="FQ148" s="873"/>
      <c r="FR148" s="873"/>
      <c r="FS148" s="873"/>
      <c r="FT148" s="873"/>
      <c r="FU148" s="873"/>
      <c r="FV148" s="873"/>
      <c r="FW148" s="873"/>
      <c r="FX148" s="873"/>
      <c r="FY148" s="873"/>
      <c r="FZ148" s="873"/>
      <c r="GA148" s="873"/>
      <c r="GB148" s="873"/>
      <c r="GC148" s="873"/>
      <c r="GD148" s="873"/>
      <c r="GE148" s="873"/>
      <c r="GF148" s="873"/>
      <c r="GG148" s="873"/>
      <c r="GH148" s="873"/>
      <c r="GI148" s="873"/>
      <c r="GJ148" s="873"/>
      <c r="GK148" s="873"/>
      <c r="GL148" s="873"/>
      <c r="GM148" s="873"/>
      <c r="GN148" s="873"/>
      <c r="GO148" s="873"/>
      <c r="GP148" s="873"/>
      <c r="GQ148" s="873"/>
      <c r="GR148" s="873"/>
      <c r="GS148" s="873"/>
      <c r="GT148" s="873"/>
      <c r="GU148" s="873"/>
      <c r="GV148" s="873"/>
      <c r="GW148" s="873"/>
      <c r="GX148" s="873"/>
      <c r="GY148" s="873"/>
      <c r="GZ148" s="873"/>
      <c r="HA148" s="873"/>
      <c r="HB148" s="873"/>
      <c r="HC148" s="873"/>
      <c r="HD148" s="873"/>
      <c r="HE148" s="873"/>
      <c r="HF148" s="873"/>
      <c r="HG148" s="873"/>
      <c r="HH148" s="873"/>
      <c r="HI148" s="873"/>
      <c r="HJ148" s="873"/>
      <c r="HK148" s="873"/>
      <c r="HL148" s="873"/>
      <c r="HM148" s="873"/>
      <c r="HN148" s="873"/>
      <c r="HO148" s="873"/>
      <c r="HP148" s="873"/>
      <c r="HQ148" s="873"/>
      <c r="HR148" s="873"/>
      <c r="HS148" s="873"/>
      <c r="HT148" s="873"/>
      <c r="HU148" s="873"/>
      <c r="HV148" s="873"/>
      <c r="HW148" s="873"/>
      <c r="HX148" s="873"/>
      <c r="HY148" s="873"/>
      <c r="HZ148" s="873"/>
      <c r="IA148" s="873"/>
      <c r="IB148" s="873"/>
      <c r="IC148" s="873"/>
      <c r="ID148" s="873"/>
      <c r="IE148" s="873"/>
      <c r="IF148" s="873"/>
      <c r="IG148" s="873"/>
      <c r="IH148" s="873"/>
      <c r="II148" s="873"/>
      <c r="IJ148" s="873"/>
      <c r="IK148" s="873"/>
      <c r="IL148" s="873"/>
      <c r="IM148" s="873"/>
      <c r="IN148" s="873"/>
      <c r="IO148" s="873"/>
      <c r="IP148" s="873"/>
      <c r="IQ148" s="873"/>
      <c r="IR148" s="873"/>
      <c r="IS148" s="873"/>
      <c r="IT148" s="873"/>
      <c r="IU148" s="873"/>
      <c r="IV148" s="873"/>
      <c r="IW148" s="873"/>
    </row>
    <row r="149" spans="1:257" s="876" customFormat="1">
      <c r="A149" s="873"/>
      <c r="B149" s="873"/>
      <c r="C149" s="873"/>
      <c r="D149" s="873"/>
      <c r="E149" s="873"/>
      <c r="F149" s="873"/>
      <c r="G149" s="873"/>
      <c r="H149" s="873"/>
      <c r="I149" s="873"/>
      <c r="J149" s="873"/>
      <c r="K149" s="873"/>
      <c r="L149" s="873"/>
      <c r="M149" s="873"/>
      <c r="N149" s="873"/>
      <c r="O149" s="873"/>
      <c r="P149" s="873"/>
      <c r="Q149" s="873"/>
      <c r="R149" s="873"/>
      <c r="S149" s="873"/>
      <c r="T149" s="873"/>
      <c r="U149" s="873"/>
      <c r="V149" s="873"/>
      <c r="W149" s="873"/>
      <c r="X149" s="873"/>
      <c r="Y149" s="873"/>
      <c r="Z149" s="873"/>
      <c r="AA149" s="873"/>
      <c r="AB149" s="873"/>
      <c r="AC149" s="873"/>
      <c r="AD149" s="873"/>
      <c r="AE149" s="873"/>
      <c r="AF149" s="873"/>
      <c r="AG149" s="873"/>
      <c r="AH149" s="873"/>
      <c r="AI149" s="873"/>
      <c r="AJ149" s="873"/>
      <c r="AK149" s="873"/>
      <c r="AL149" s="873"/>
      <c r="AM149" s="873"/>
      <c r="AN149" s="873"/>
      <c r="AO149" s="873"/>
      <c r="AP149" s="873"/>
      <c r="AQ149" s="873"/>
      <c r="AR149" s="873"/>
      <c r="AS149" s="873"/>
      <c r="AT149" s="873"/>
      <c r="AU149" s="873"/>
      <c r="AV149" s="873"/>
      <c r="AW149" s="873"/>
      <c r="AX149" s="873"/>
      <c r="AY149" s="873"/>
      <c r="AZ149" s="873"/>
      <c r="BA149" s="873"/>
      <c r="BB149" s="873"/>
      <c r="BC149" s="873"/>
      <c r="BD149" s="873"/>
      <c r="BE149" s="873"/>
      <c r="BF149" s="873"/>
      <c r="BG149" s="873"/>
      <c r="BH149" s="873"/>
      <c r="BI149" s="873"/>
      <c r="BJ149" s="873"/>
      <c r="BK149" s="873"/>
      <c r="BL149" s="873"/>
      <c r="BM149" s="873"/>
      <c r="BN149" s="873"/>
      <c r="BO149" s="873"/>
      <c r="BP149" s="873"/>
      <c r="BQ149" s="873"/>
      <c r="BR149" s="873"/>
      <c r="BS149" s="873"/>
      <c r="BT149" s="873"/>
      <c r="BU149" s="873"/>
      <c r="BV149" s="873"/>
      <c r="BW149" s="873"/>
      <c r="BX149" s="873"/>
      <c r="BY149" s="873"/>
      <c r="BZ149" s="873"/>
      <c r="CA149" s="873"/>
      <c r="CB149" s="873"/>
      <c r="CC149" s="873"/>
      <c r="CD149" s="873"/>
      <c r="CE149" s="873"/>
      <c r="CF149" s="873"/>
      <c r="CG149" s="873"/>
      <c r="CH149" s="873"/>
      <c r="CI149" s="873"/>
      <c r="CJ149" s="873"/>
      <c r="CK149" s="873"/>
      <c r="CL149" s="873"/>
      <c r="CM149" s="873"/>
      <c r="CN149" s="873"/>
      <c r="CO149" s="873"/>
      <c r="CP149" s="873"/>
      <c r="CQ149" s="873"/>
      <c r="CR149" s="873"/>
      <c r="CS149" s="873"/>
      <c r="CT149" s="873"/>
      <c r="CU149" s="873"/>
      <c r="CV149" s="873"/>
      <c r="CW149" s="873"/>
      <c r="CX149" s="873"/>
      <c r="CY149" s="873"/>
      <c r="CZ149" s="873"/>
      <c r="DA149" s="873"/>
      <c r="DB149" s="873"/>
      <c r="DC149" s="873"/>
      <c r="DD149" s="873"/>
      <c r="DE149" s="873"/>
      <c r="DF149" s="873"/>
      <c r="DG149" s="873"/>
      <c r="DH149" s="873"/>
      <c r="DI149" s="873"/>
      <c r="DJ149" s="873"/>
      <c r="DK149" s="873"/>
      <c r="DL149" s="873"/>
      <c r="DM149" s="873"/>
      <c r="DN149" s="873"/>
      <c r="DO149" s="873"/>
      <c r="DP149" s="873"/>
      <c r="DQ149" s="873"/>
      <c r="DR149" s="873"/>
      <c r="DS149" s="873"/>
      <c r="DT149" s="873"/>
      <c r="DU149" s="873"/>
      <c r="DV149" s="873"/>
      <c r="DW149" s="873"/>
      <c r="DX149" s="873"/>
      <c r="DY149" s="873"/>
      <c r="DZ149" s="873"/>
      <c r="EA149" s="873"/>
      <c r="EB149" s="873"/>
      <c r="EC149" s="873"/>
      <c r="ED149" s="873"/>
      <c r="EE149" s="873"/>
      <c r="EF149" s="873"/>
      <c r="EG149" s="873"/>
      <c r="EH149" s="873"/>
      <c r="EI149" s="873"/>
      <c r="EJ149" s="873"/>
      <c r="EK149" s="873"/>
      <c r="EL149" s="873"/>
      <c r="EM149" s="873"/>
      <c r="EN149" s="873"/>
      <c r="EO149" s="873"/>
      <c r="EP149" s="873"/>
      <c r="EQ149" s="873"/>
      <c r="ER149" s="873"/>
      <c r="ES149" s="873"/>
      <c r="ET149" s="873"/>
      <c r="EU149" s="873"/>
      <c r="EV149" s="873"/>
      <c r="EW149" s="873"/>
      <c r="EX149" s="873"/>
      <c r="EY149" s="873"/>
      <c r="EZ149" s="873"/>
      <c r="FA149" s="873"/>
      <c r="FB149" s="873"/>
      <c r="FC149" s="873"/>
      <c r="FD149" s="873"/>
      <c r="FE149" s="873"/>
      <c r="FF149" s="873"/>
      <c r="FG149" s="873"/>
      <c r="FH149" s="873"/>
      <c r="FI149" s="873"/>
      <c r="FJ149" s="873"/>
      <c r="FK149" s="873"/>
      <c r="FL149" s="873"/>
      <c r="FM149" s="873"/>
      <c r="FN149" s="873"/>
      <c r="FO149" s="873"/>
      <c r="FP149" s="873"/>
      <c r="FQ149" s="873"/>
      <c r="FR149" s="873"/>
      <c r="FS149" s="873"/>
      <c r="FT149" s="873"/>
      <c r="FU149" s="873"/>
      <c r="FV149" s="873"/>
      <c r="FW149" s="873"/>
      <c r="FX149" s="873"/>
      <c r="FY149" s="873"/>
      <c r="FZ149" s="873"/>
      <c r="GA149" s="873"/>
      <c r="GB149" s="873"/>
      <c r="GC149" s="873"/>
      <c r="GD149" s="873"/>
      <c r="GE149" s="873"/>
      <c r="GF149" s="873"/>
      <c r="GG149" s="873"/>
      <c r="GH149" s="873"/>
      <c r="GI149" s="873"/>
      <c r="GJ149" s="873"/>
      <c r="GK149" s="873"/>
      <c r="GL149" s="873"/>
      <c r="GM149" s="873"/>
      <c r="GN149" s="873"/>
      <c r="GO149" s="873"/>
      <c r="GP149" s="873"/>
      <c r="GQ149" s="873"/>
      <c r="GR149" s="873"/>
      <c r="GS149" s="873"/>
      <c r="GT149" s="873"/>
      <c r="GU149" s="873"/>
      <c r="GV149" s="873"/>
      <c r="GW149" s="873"/>
      <c r="GX149" s="873"/>
      <c r="GY149" s="873"/>
      <c r="GZ149" s="873"/>
      <c r="HA149" s="873"/>
      <c r="HB149" s="873"/>
      <c r="HC149" s="873"/>
      <c r="HD149" s="873"/>
      <c r="HE149" s="873"/>
      <c r="HF149" s="873"/>
      <c r="HG149" s="873"/>
      <c r="HH149" s="873"/>
      <c r="HI149" s="873"/>
      <c r="HJ149" s="873"/>
      <c r="HK149" s="873"/>
      <c r="HL149" s="873"/>
      <c r="HM149" s="873"/>
      <c r="HN149" s="873"/>
      <c r="HO149" s="873"/>
      <c r="HP149" s="873"/>
      <c r="HQ149" s="873"/>
      <c r="HR149" s="873"/>
      <c r="HS149" s="873"/>
      <c r="HT149" s="873"/>
      <c r="HU149" s="873"/>
      <c r="HV149" s="873"/>
      <c r="HW149" s="873"/>
      <c r="HX149" s="873"/>
      <c r="HY149" s="873"/>
      <c r="HZ149" s="873"/>
      <c r="IA149" s="873"/>
      <c r="IB149" s="873"/>
      <c r="IC149" s="873"/>
      <c r="ID149" s="873"/>
      <c r="IE149" s="873"/>
      <c r="IF149" s="873"/>
      <c r="IG149" s="873"/>
      <c r="IH149" s="873"/>
      <c r="II149" s="873"/>
      <c r="IJ149" s="873"/>
      <c r="IK149" s="873"/>
      <c r="IL149" s="873"/>
      <c r="IM149" s="873"/>
      <c r="IN149" s="873"/>
      <c r="IO149" s="873"/>
      <c r="IP149" s="873"/>
      <c r="IQ149" s="873"/>
      <c r="IR149" s="873"/>
      <c r="IS149" s="873"/>
      <c r="IT149" s="873"/>
      <c r="IU149" s="873"/>
      <c r="IV149" s="873"/>
      <c r="IW149" s="873"/>
    </row>
    <row r="150" spans="1:257" s="876" customFormat="1">
      <c r="A150" s="873"/>
      <c r="B150" s="873"/>
      <c r="C150" s="873"/>
      <c r="D150" s="873"/>
      <c r="E150" s="873"/>
      <c r="F150" s="873"/>
      <c r="G150" s="873"/>
      <c r="H150" s="873"/>
      <c r="I150" s="873"/>
      <c r="J150" s="873"/>
      <c r="K150" s="873"/>
      <c r="L150" s="873"/>
      <c r="M150" s="873"/>
      <c r="N150" s="873"/>
      <c r="O150" s="873"/>
      <c r="P150" s="873"/>
      <c r="Q150" s="873"/>
      <c r="R150" s="873"/>
      <c r="S150" s="873"/>
      <c r="T150" s="873"/>
      <c r="U150" s="873"/>
      <c r="V150" s="873"/>
      <c r="W150" s="873"/>
      <c r="X150" s="873"/>
      <c r="Y150" s="873"/>
      <c r="Z150" s="873"/>
      <c r="AA150" s="873"/>
      <c r="AB150" s="873"/>
      <c r="AC150" s="873"/>
      <c r="AD150" s="873"/>
      <c r="AE150" s="873"/>
      <c r="AF150" s="873"/>
      <c r="AG150" s="873"/>
      <c r="AH150" s="873"/>
      <c r="AI150" s="873"/>
      <c r="AJ150" s="873"/>
      <c r="AK150" s="873"/>
      <c r="AL150" s="873"/>
      <c r="AM150" s="873"/>
      <c r="AN150" s="873"/>
      <c r="AO150" s="873"/>
      <c r="AP150" s="873"/>
      <c r="AQ150" s="873"/>
      <c r="AR150" s="873"/>
      <c r="AS150" s="873"/>
      <c r="AT150" s="873"/>
      <c r="AU150" s="873"/>
      <c r="AV150" s="873"/>
      <c r="AW150" s="873"/>
      <c r="AX150" s="873"/>
      <c r="AY150" s="873"/>
      <c r="AZ150" s="873"/>
      <c r="BA150" s="873"/>
      <c r="BB150" s="873"/>
      <c r="BC150" s="873"/>
      <c r="BD150" s="873"/>
      <c r="BE150" s="873"/>
      <c r="BF150" s="873"/>
      <c r="BG150" s="873"/>
      <c r="BH150" s="873"/>
      <c r="BI150" s="873"/>
      <c r="BJ150" s="873"/>
      <c r="BK150" s="873"/>
      <c r="BL150" s="873"/>
      <c r="BM150" s="873"/>
      <c r="BN150" s="873"/>
      <c r="BO150" s="873"/>
      <c r="BP150" s="873"/>
      <c r="BQ150" s="873"/>
      <c r="BR150" s="873"/>
      <c r="BS150" s="873"/>
      <c r="BT150" s="873"/>
      <c r="BU150" s="873"/>
      <c r="BV150" s="873"/>
      <c r="BW150" s="873"/>
      <c r="BX150" s="873"/>
      <c r="BY150" s="873"/>
      <c r="BZ150" s="873"/>
      <c r="CA150" s="873"/>
      <c r="CB150" s="873"/>
      <c r="CC150" s="873"/>
      <c r="CD150" s="873"/>
      <c r="CE150" s="873"/>
      <c r="CF150" s="873"/>
      <c r="CG150" s="873"/>
      <c r="CH150" s="873"/>
      <c r="CI150" s="873"/>
      <c r="CJ150" s="873"/>
      <c r="CK150" s="873"/>
      <c r="CL150" s="873"/>
      <c r="CM150" s="873"/>
      <c r="CN150" s="873"/>
      <c r="CO150" s="873"/>
      <c r="CP150" s="873"/>
      <c r="CQ150" s="873"/>
      <c r="CR150" s="873"/>
      <c r="CS150" s="873"/>
      <c r="CT150" s="873"/>
      <c r="CU150" s="873"/>
      <c r="CV150" s="873"/>
      <c r="CW150" s="873"/>
      <c r="CX150" s="873"/>
      <c r="CY150" s="873"/>
      <c r="CZ150" s="873"/>
      <c r="DA150" s="873"/>
      <c r="DB150" s="873"/>
      <c r="DC150" s="873"/>
      <c r="DD150" s="873"/>
      <c r="DE150" s="873"/>
      <c r="DF150" s="873"/>
      <c r="DG150" s="873"/>
      <c r="DH150" s="873"/>
      <c r="DI150" s="873"/>
      <c r="DJ150" s="873"/>
      <c r="DK150" s="873"/>
      <c r="DL150" s="873"/>
      <c r="DM150" s="873"/>
      <c r="DN150" s="873"/>
      <c r="DO150" s="873"/>
      <c r="DP150" s="873"/>
      <c r="DQ150" s="873"/>
      <c r="DR150" s="873"/>
      <c r="DS150" s="873"/>
      <c r="DT150" s="873"/>
      <c r="DU150" s="873"/>
      <c r="DV150" s="873"/>
      <c r="DW150" s="873"/>
      <c r="DX150" s="873"/>
      <c r="DY150" s="873"/>
      <c r="DZ150" s="873"/>
      <c r="EA150" s="873"/>
      <c r="EB150" s="873"/>
      <c r="EC150" s="873"/>
      <c r="ED150" s="873"/>
      <c r="EE150" s="873"/>
      <c r="EF150" s="873"/>
      <c r="EG150" s="873"/>
      <c r="EH150" s="873"/>
      <c r="EI150" s="873"/>
      <c r="EJ150" s="873"/>
      <c r="EK150" s="873"/>
      <c r="EL150" s="873"/>
      <c r="EM150" s="873"/>
      <c r="EN150" s="873"/>
      <c r="EO150" s="873"/>
      <c r="EP150" s="873"/>
      <c r="EQ150" s="873"/>
      <c r="ER150" s="873"/>
      <c r="ES150" s="873"/>
      <c r="ET150" s="873"/>
      <c r="EU150" s="873"/>
      <c r="EV150" s="873"/>
      <c r="EW150" s="873"/>
      <c r="EX150" s="873"/>
      <c r="EY150" s="873"/>
      <c r="EZ150" s="873"/>
      <c r="FA150" s="873"/>
      <c r="FB150" s="873"/>
      <c r="FC150" s="873"/>
      <c r="FD150" s="873"/>
      <c r="FE150" s="873"/>
      <c r="FF150" s="873"/>
      <c r="FG150" s="873"/>
      <c r="FH150" s="873"/>
      <c r="FI150" s="873"/>
      <c r="FJ150" s="873"/>
      <c r="FK150" s="873"/>
      <c r="FL150" s="873"/>
      <c r="FM150" s="873"/>
      <c r="FN150" s="873"/>
      <c r="FO150" s="873"/>
      <c r="FP150" s="873"/>
      <c r="FQ150" s="873"/>
      <c r="FR150" s="873"/>
      <c r="FS150" s="873"/>
      <c r="FT150" s="873"/>
      <c r="FU150" s="873"/>
      <c r="FV150" s="873"/>
      <c r="FW150" s="873"/>
      <c r="FX150" s="873"/>
      <c r="FY150" s="873"/>
      <c r="FZ150" s="873"/>
      <c r="GA150" s="873"/>
      <c r="GB150" s="873"/>
      <c r="GC150" s="873"/>
      <c r="GD150" s="873"/>
      <c r="GE150" s="873"/>
      <c r="GF150" s="873"/>
      <c r="GG150" s="873"/>
      <c r="GH150" s="873"/>
      <c r="GI150" s="873"/>
      <c r="GJ150" s="873"/>
      <c r="GK150" s="873"/>
      <c r="GL150" s="873"/>
      <c r="GM150" s="873"/>
      <c r="GN150" s="873"/>
      <c r="GO150" s="873"/>
      <c r="GP150" s="873"/>
      <c r="GQ150" s="873"/>
      <c r="GR150" s="873"/>
      <c r="GS150" s="873"/>
      <c r="GT150" s="873"/>
      <c r="GU150" s="873"/>
      <c r="GV150" s="873"/>
      <c r="GW150" s="873"/>
      <c r="GX150" s="873"/>
      <c r="GY150" s="873"/>
      <c r="GZ150" s="873"/>
      <c r="HA150" s="873"/>
      <c r="HB150" s="873"/>
      <c r="HC150" s="873"/>
      <c r="HD150" s="873"/>
      <c r="HE150" s="873"/>
      <c r="HF150" s="873"/>
      <c r="HG150" s="873"/>
      <c r="HH150" s="873"/>
      <c r="HI150" s="873"/>
      <c r="HJ150" s="873"/>
      <c r="HK150" s="873"/>
      <c r="HL150" s="873"/>
      <c r="HM150" s="873"/>
      <c r="HN150" s="873"/>
      <c r="HO150" s="873"/>
      <c r="HP150" s="873"/>
      <c r="HQ150" s="873"/>
      <c r="HR150" s="873"/>
      <c r="HS150" s="873"/>
      <c r="HT150" s="873"/>
      <c r="HU150" s="873"/>
      <c r="HV150" s="873"/>
      <c r="HW150" s="873"/>
      <c r="HX150" s="873"/>
      <c r="HY150" s="873"/>
      <c r="HZ150" s="873"/>
      <c r="IA150" s="873"/>
      <c r="IB150" s="873"/>
      <c r="IC150" s="873"/>
      <c r="ID150" s="873"/>
      <c r="IE150" s="873"/>
      <c r="IF150" s="873"/>
      <c r="IG150" s="873"/>
      <c r="IH150" s="873"/>
      <c r="II150" s="873"/>
      <c r="IJ150" s="873"/>
      <c r="IK150" s="873"/>
      <c r="IL150" s="873"/>
      <c r="IM150" s="873"/>
      <c r="IN150" s="873"/>
      <c r="IO150" s="873"/>
      <c r="IP150" s="873"/>
      <c r="IQ150" s="873"/>
      <c r="IR150" s="873"/>
      <c r="IS150" s="873"/>
      <c r="IT150" s="873"/>
      <c r="IU150" s="873"/>
      <c r="IV150" s="873"/>
      <c r="IW150" s="873"/>
    </row>
    <row r="151" spans="1:257" s="876" customFormat="1" ht="84">
      <c r="A151" s="2498" t="s">
        <v>1184</v>
      </c>
      <c r="B151" s="1148" t="s">
        <v>2223</v>
      </c>
      <c r="C151" s="1117">
        <v>5</v>
      </c>
      <c r="D151" s="1117">
        <v>5</v>
      </c>
      <c r="E151" s="1118" t="s">
        <v>1535</v>
      </c>
      <c r="F151" s="1119" t="str">
        <f>IF(Scoring!I160="","",Scoring!I160)</f>
        <v/>
      </c>
      <c r="G151" s="1120"/>
      <c r="H151" s="1120"/>
      <c r="I151" s="1121" t="s">
        <v>2619</v>
      </c>
      <c r="J151" s="1122"/>
      <c r="K151" s="1122"/>
      <c r="L151" s="1123"/>
      <c r="M151" s="1124"/>
      <c r="N151" s="873"/>
      <c r="O151" s="877"/>
      <c r="P151" s="878"/>
      <c r="Q151" s="873"/>
      <c r="R151" s="873"/>
      <c r="S151" s="873"/>
      <c r="T151" s="873"/>
      <c r="U151" s="873"/>
      <c r="V151" s="873"/>
      <c r="W151" s="873"/>
      <c r="X151" s="873"/>
      <c r="Y151" s="873"/>
      <c r="Z151" s="873"/>
      <c r="AA151" s="873"/>
      <c r="AB151" s="873"/>
      <c r="AC151" s="873"/>
      <c r="AD151" s="873"/>
      <c r="AE151" s="873"/>
      <c r="AF151" s="873"/>
      <c r="AG151" s="873"/>
      <c r="AH151" s="873"/>
      <c r="AI151" s="873"/>
      <c r="AJ151" s="873"/>
      <c r="AK151" s="873"/>
      <c r="AL151" s="873"/>
      <c r="AM151" s="873"/>
      <c r="AN151" s="873"/>
      <c r="AO151" s="873"/>
      <c r="AP151" s="873"/>
      <c r="AQ151" s="873"/>
      <c r="AR151" s="873"/>
      <c r="AS151" s="873"/>
      <c r="AT151" s="873"/>
      <c r="AU151" s="873"/>
      <c r="AV151" s="873"/>
      <c r="AW151" s="873"/>
      <c r="AX151" s="873"/>
      <c r="AY151" s="873"/>
      <c r="AZ151" s="873"/>
      <c r="BA151" s="873"/>
      <c r="BB151" s="873"/>
      <c r="BC151" s="873"/>
      <c r="BD151" s="873"/>
      <c r="BE151" s="873"/>
      <c r="BF151" s="873"/>
      <c r="BG151" s="873"/>
      <c r="BH151" s="873"/>
      <c r="BI151" s="873"/>
      <c r="BJ151" s="873"/>
      <c r="BK151" s="873"/>
      <c r="BL151" s="873"/>
      <c r="BM151" s="873"/>
      <c r="BN151" s="873"/>
      <c r="BO151" s="873"/>
      <c r="BP151" s="873"/>
      <c r="BQ151" s="873"/>
      <c r="BR151" s="873"/>
      <c r="BS151" s="873"/>
      <c r="BT151" s="873"/>
      <c r="BU151" s="873"/>
      <c r="BV151" s="873"/>
      <c r="BW151" s="873"/>
      <c r="BX151" s="873"/>
      <c r="BY151" s="873"/>
      <c r="BZ151" s="873"/>
      <c r="CA151" s="873"/>
      <c r="CB151" s="873"/>
      <c r="CC151" s="873"/>
      <c r="CD151" s="873"/>
      <c r="CE151" s="873"/>
      <c r="CF151" s="873"/>
      <c r="CG151" s="873"/>
      <c r="CH151" s="873"/>
      <c r="CI151" s="873"/>
      <c r="CJ151" s="873"/>
      <c r="CK151" s="873"/>
      <c r="CL151" s="873"/>
      <c r="CM151" s="873"/>
      <c r="CN151" s="873"/>
      <c r="CO151" s="873"/>
      <c r="CP151" s="873"/>
      <c r="CQ151" s="873"/>
      <c r="CR151" s="873"/>
      <c r="CS151" s="873"/>
      <c r="CT151" s="873"/>
      <c r="CU151" s="873"/>
      <c r="CV151" s="873"/>
      <c r="CW151" s="873"/>
      <c r="CX151" s="873"/>
      <c r="CY151" s="873"/>
      <c r="CZ151" s="873"/>
      <c r="DA151" s="873"/>
      <c r="DB151" s="873"/>
      <c r="DC151" s="873"/>
      <c r="DD151" s="873"/>
      <c r="DE151" s="873"/>
      <c r="DF151" s="873"/>
      <c r="DG151" s="873"/>
      <c r="DH151" s="873"/>
      <c r="DI151" s="873"/>
      <c r="DJ151" s="873"/>
      <c r="DK151" s="873"/>
      <c r="DL151" s="873"/>
      <c r="DM151" s="873"/>
      <c r="DN151" s="873"/>
      <c r="DO151" s="873"/>
      <c r="DP151" s="873"/>
      <c r="DQ151" s="873"/>
      <c r="DR151" s="873"/>
      <c r="DS151" s="873"/>
      <c r="DT151" s="873"/>
      <c r="DU151" s="873"/>
      <c r="DV151" s="873"/>
      <c r="DW151" s="873"/>
      <c r="DX151" s="873"/>
      <c r="DY151" s="873"/>
      <c r="DZ151" s="873"/>
      <c r="EA151" s="873"/>
      <c r="EB151" s="873"/>
      <c r="EC151" s="873"/>
      <c r="ED151" s="873"/>
      <c r="EE151" s="873"/>
      <c r="EF151" s="873"/>
      <c r="EG151" s="873"/>
      <c r="EH151" s="873"/>
      <c r="EI151" s="873"/>
      <c r="EJ151" s="873"/>
      <c r="EK151" s="873"/>
      <c r="EL151" s="873"/>
      <c r="EM151" s="873"/>
      <c r="EN151" s="873"/>
      <c r="EO151" s="873"/>
      <c r="EP151" s="873"/>
      <c r="EQ151" s="873"/>
      <c r="ER151" s="873"/>
      <c r="ES151" s="873"/>
      <c r="ET151" s="873"/>
      <c r="EU151" s="873"/>
      <c r="EV151" s="873"/>
      <c r="EW151" s="873"/>
      <c r="EX151" s="873"/>
      <c r="EY151" s="873"/>
      <c r="EZ151" s="873"/>
      <c r="FA151" s="873"/>
      <c r="FB151" s="873"/>
      <c r="FC151" s="873"/>
      <c r="FD151" s="873"/>
      <c r="FE151" s="873"/>
      <c r="FF151" s="873"/>
      <c r="FG151" s="873"/>
      <c r="FH151" s="873"/>
      <c r="FI151" s="873"/>
      <c r="FJ151" s="873"/>
      <c r="FK151" s="873"/>
      <c r="FL151" s="873"/>
      <c r="FM151" s="873"/>
      <c r="FN151" s="873"/>
      <c r="FO151" s="873"/>
      <c r="FP151" s="873"/>
      <c r="FQ151" s="873"/>
      <c r="FR151" s="873"/>
      <c r="FS151" s="873"/>
      <c r="FT151" s="873"/>
      <c r="FU151" s="873"/>
      <c r="FV151" s="873"/>
      <c r="FW151" s="873"/>
      <c r="FX151" s="873"/>
      <c r="FY151" s="873"/>
      <c r="FZ151" s="873"/>
      <c r="GA151" s="873"/>
      <c r="GB151" s="873"/>
      <c r="GC151" s="873"/>
      <c r="GD151" s="873"/>
      <c r="GE151" s="873"/>
      <c r="GF151" s="873"/>
      <c r="GG151" s="873"/>
      <c r="GH151" s="873"/>
      <c r="GI151" s="873"/>
      <c r="GJ151" s="873"/>
      <c r="GK151" s="873"/>
      <c r="GL151" s="873"/>
      <c r="GM151" s="873"/>
      <c r="GN151" s="873"/>
      <c r="GO151" s="873"/>
      <c r="GP151" s="873"/>
      <c r="GQ151" s="873"/>
      <c r="GR151" s="873"/>
      <c r="GS151" s="873"/>
      <c r="GT151" s="873"/>
      <c r="GU151" s="873"/>
      <c r="GV151" s="873"/>
      <c r="GW151" s="873"/>
      <c r="GX151" s="873"/>
      <c r="GY151" s="873"/>
      <c r="GZ151" s="873"/>
      <c r="HA151" s="873"/>
      <c r="HB151" s="873"/>
      <c r="HC151" s="873"/>
      <c r="HD151" s="873"/>
      <c r="HE151" s="873"/>
      <c r="HF151" s="873"/>
      <c r="HG151" s="873"/>
      <c r="HH151" s="873"/>
      <c r="HI151" s="873"/>
      <c r="HJ151" s="873"/>
      <c r="HK151" s="873"/>
      <c r="HL151" s="873"/>
      <c r="HM151" s="873"/>
      <c r="HN151" s="873"/>
      <c r="HO151" s="873"/>
      <c r="HP151" s="873"/>
      <c r="HQ151" s="873"/>
      <c r="HR151" s="873"/>
      <c r="HS151" s="873"/>
      <c r="HT151" s="873"/>
      <c r="HU151" s="873"/>
      <c r="HV151" s="873"/>
      <c r="HW151" s="873"/>
      <c r="HX151" s="873"/>
      <c r="HY151" s="873"/>
      <c r="HZ151" s="873"/>
      <c r="IA151" s="873"/>
      <c r="IB151" s="873"/>
      <c r="IC151" s="873"/>
      <c r="ID151" s="873"/>
      <c r="IE151" s="873"/>
      <c r="IF151" s="873"/>
      <c r="IG151" s="873"/>
      <c r="IH151" s="873"/>
      <c r="II151" s="873"/>
      <c r="IJ151" s="873"/>
      <c r="IK151" s="873"/>
      <c r="IL151" s="873"/>
      <c r="IM151" s="873"/>
      <c r="IN151" s="873"/>
      <c r="IO151" s="873"/>
      <c r="IP151" s="873"/>
      <c r="IQ151" s="873"/>
      <c r="IR151" s="873"/>
      <c r="IS151" s="873"/>
      <c r="IT151" s="873"/>
      <c r="IU151" s="873"/>
      <c r="IV151" s="873"/>
      <c r="IW151" s="873"/>
    </row>
    <row r="152" spans="1:257" ht="42">
      <c r="A152" s="2499"/>
      <c r="B152" s="1149" t="s">
        <v>2225</v>
      </c>
      <c r="C152" s="1126">
        <v>5</v>
      </c>
      <c r="D152" s="1126">
        <v>5</v>
      </c>
      <c r="E152" s="1127" t="s">
        <v>2620</v>
      </c>
      <c r="F152" s="1128" t="str">
        <f>IF(Scoring!I161="","",Scoring!I161)</f>
        <v/>
      </c>
      <c r="G152" s="1129"/>
      <c r="H152" s="1129"/>
      <c r="I152" s="1130" t="s">
        <v>2621</v>
      </c>
      <c r="J152" s="1131"/>
      <c r="K152" s="1131"/>
      <c r="L152" s="1132"/>
      <c r="M152" s="1133"/>
      <c r="O152" s="867"/>
      <c r="P152" s="868"/>
    </row>
    <row r="153" spans="1:257" ht="70">
      <c r="A153" s="2500"/>
      <c r="B153" s="1150" t="s">
        <v>2227</v>
      </c>
      <c r="C153" s="1135">
        <v>4</v>
      </c>
      <c r="D153" s="1135">
        <v>5</v>
      </c>
      <c r="E153" s="1136" t="s">
        <v>1541</v>
      </c>
      <c r="F153" s="1137" t="str">
        <f>IF(Scoring!I162="","",Scoring!I162)</f>
        <v/>
      </c>
      <c r="G153" s="1138"/>
      <c r="H153" s="1138"/>
      <c r="I153" s="1139" t="s">
        <v>2562</v>
      </c>
      <c r="J153" s="1140"/>
      <c r="K153" s="1140">
        <f>COUNT(F151:F153)</f>
        <v>0</v>
      </c>
      <c r="L153" s="1141">
        <f>SUM(F151:F153)</f>
        <v>0</v>
      </c>
      <c r="M153" s="1142">
        <f>IF(L153&lt;2,0,1)</f>
        <v>0</v>
      </c>
      <c r="O153" s="867"/>
      <c r="P153" s="868"/>
    </row>
    <row r="154" spans="1:257">
      <c r="A154" s="861"/>
      <c r="F154" s="861"/>
      <c r="J154" s="861"/>
      <c r="K154" s="861"/>
    </row>
    <row r="155" spans="1:257">
      <c r="A155" s="861"/>
      <c r="F155" s="861"/>
      <c r="J155" s="861"/>
      <c r="K155" s="861"/>
    </row>
    <row r="156" spans="1:257">
      <c r="A156" s="861"/>
      <c r="F156" s="861"/>
      <c r="J156" s="861"/>
      <c r="K156" s="861"/>
    </row>
    <row r="157" spans="1:257">
      <c r="A157" s="861"/>
      <c r="F157" s="861"/>
      <c r="J157" s="861"/>
      <c r="K157" s="861"/>
    </row>
    <row r="158" spans="1:257" s="876" customFormat="1" ht="84">
      <c r="A158" s="2498" t="s">
        <v>2236</v>
      </c>
      <c r="B158" s="1148" t="s">
        <v>2237</v>
      </c>
      <c r="C158" s="1117">
        <v>4</v>
      </c>
      <c r="D158" s="1117">
        <v>6</v>
      </c>
      <c r="E158" s="1118" t="s">
        <v>1548</v>
      </c>
      <c r="F158" s="1119" t="str">
        <f>IF(Scoring!I167="","",Scoring!I167)</f>
        <v/>
      </c>
      <c r="G158" s="1120"/>
      <c r="H158" s="1120"/>
      <c r="I158" s="1121" t="s">
        <v>2563</v>
      </c>
      <c r="J158" s="1122"/>
      <c r="K158" s="1122"/>
      <c r="L158" s="1123"/>
      <c r="M158" s="1124"/>
      <c r="N158" s="873"/>
      <c r="O158" s="874"/>
      <c r="P158" s="875">
        <f>COUNTA(F151:F158)</f>
        <v>4</v>
      </c>
      <c r="Q158" s="873"/>
      <c r="R158" s="873"/>
      <c r="S158" s="873"/>
      <c r="T158" s="873"/>
      <c r="U158" s="873"/>
      <c r="V158" s="873"/>
      <c r="W158" s="873"/>
      <c r="X158" s="873"/>
      <c r="Y158" s="873"/>
      <c r="Z158" s="873"/>
      <c r="AA158" s="873"/>
      <c r="AB158" s="873"/>
      <c r="AC158" s="873"/>
      <c r="AD158" s="873"/>
      <c r="AE158" s="873"/>
      <c r="AF158" s="873"/>
      <c r="AG158" s="873"/>
      <c r="AH158" s="873"/>
      <c r="AI158" s="873"/>
      <c r="AJ158" s="873"/>
      <c r="AK158" s="873"/>
      <c r="AL158" s="873"/>
      <c r="AM158" s="873"/>
      <c r="AN158" s="873"/>
      <c r="AO158" s="873"/>
      <c r="AP158" s="873"/>
      <c r="AQ158" s="873"/>
      <c r="AR158" s="873"/>
      <c r="AS158" s="873"/>
      <c r="AT158" s="873"/>
      <c r="AU158" s="873"/>
      <c r="AV158" s="873"/>
      <c r="AW158" s="873"/>
      <c r="AX158" s="873"/>
      <c r="AY158" s="873"/>
      <c r="AZ158" s="873"/>
      <c r="BA158" s="873"/>
      <c r="BB158" s="873"/>
      <c r="BC158" s="873"/>
      <c r="BD158" s="873"/>
      <c r="BE158" s="873"/>
      <c r="BF158" s="873"/>
      <c r="BG158" s="873"/>
      <c r="BH158" s="873"/>
      <c r="BI158" s="873"/>
      <c r="BJ158" s="873"/>
      <c r="BK158" s="873"/>
      <c r="BL158" s="873"/>
      <c r="BM158" s="873"/>
      <c r="BN158" s="873"/>
      <c r="BO158" s="873"/>
      <c r="BP158" s="873"/>
      <c r="BQ158" s="873"/>
      <c r="BR158" s="873"/>
      <c r="BS158" s="873"/>
      <c r="BT158" s="873"/>
      <c r="BU158" s="873"/>
      <c r="BV158" s="873"/>
      <c r="BW158" s="873"/>
      <c r="BX158" s="873"/>
      <c r="BY158" s="873"/>
      <c r="BZ158" s="873"/>
      <c r="CA158" s="873"/>
      <c r="CB158" s="873"/>
      <c r="CC158" s="873"/>
      <c r="CD158" s="873"/>
      <c r="CE158" s="873"/>
      <c r="CF158" s="873"/>
      <c r="CG158" s="873"/>
      <c r="CH158" s="873"/>
      <c r="CI158" s="873"/>
      <c r="CJ158" s="873"/>
      <c r="CK158" s="873"/>
      <c r="CL158" s="873"/>
      <c r="CM158" s="873"/>
      <c r="CN158" s="873"/>
      <c r="CO158" s="873"/>
      <c r="CP158" s="873"/>
      <c r="CQ158" s="873"/>
      <c r="CR158" s="873"/>
      <c r="CS158" s="873"/>
      <c r="CT158" s="873"/>
      <c r="CU158" s="873"/>
      <c r="CV158" s="873"/>
      <c r="CW158" s="873"/>
      <c r="CX158" s="873"/>
      <c r="CY158" s="873"/>
      <c r="CZ158" s="873"/>
      <c r="DA158" s="873"/>
      <c r="DB158" s="873"/>
      <c r="DC158" s="873"/>
      <c r="DD158" s="873"/>
      <c r="DE158" s="873"/>
      <c r="DF158" s="873"/>
      <c r="DG158" s="873"/>
      <c r="DH158" s="873"/>
      <c r="DI158" s="873"/>
      <c r="DJ158" s="873"/>
      <c r="DK158" s="873"/>
      <c r="DL158" s="873"/>
      <c r="DM158" s="873"/>
      <c r="DN158" s="873"/>
      <c r="DO158" s="873"/>
      <c r="DP158" s="873"/>
      <c r="DQ158" s="873"/>
      <c r="DR158" s="873"/>
      <c r="DS158" s="873"/>
      <c r="DT158" s="873"/>
      <c r="DU158" s="873"/>
      <c r="DV158" s="873"/>
      <c r="DW158" s="873"/>
      <c r="DX158" s="873"/>
      <c r="DY158" s="873"/>
      <c r="DZ158" s="873"/>
      <c r="EA158" s="873"/>
      <c r="EB158" s="873"/>
      <c r="EC158" s="873"/>
      <c r="ED158" s="873"/>
      <c r="EE158" s="873"/>
      <c r="EF158" s="873"/>
      <c r="EG158" s="873"/>
      <c r="EH158" s="873"/>
      <c r="EI158" s="873"/>
      <c r="EJ158" s="873"/>
      <c r="EK158" s="873"/>
      <c r="EL158" s="873"/>
      <c r="EM158" s="873"/>
      <c r="EN158" s="873"/>
      <c r="EO158" s="873"/>
      <c r="EP158" s="873"/>
      <c r="EQ158" s="873"/>
      <c r="ER158" s="873"/>
      <c r="ES158" s="873"/>
      <c r="ET158" s="873"/>
      <c r="EU158" s="873"/>
      <c r="EV158" s="873"/>
      <c r="EW158" s="873"/>
      <c r="EX158" s="873"/>
      <c r="EY158" s="873"/>
      <c r="EZ158" s="873"/>
      <c r="FA158" s="873"/>
      <c r="FB158" s="873"/>
      <c r="FC158" s="873"/>
      <c r="FD158" s="873"/>
      <c r="FE158" s="873"/>
      <c r="FF158" s="873"/>
      <c r="FG158" s="873"/>
      <c r="FH158" s="873"/>
      <c r="FI158" s="873"/>
      <c r="FJ158" s="873"/>
      <c r="FK158" s="873"/>
      <c r="FL158" s="873"/>
      <c r="FM158" s="873"/>
      <c r="FN158" s="873"/>
      <c r="FO158" s="873"/>
      <c r="FP158" s="873"/>
      <c r="FQ158" s="873"/>
      <c r="FR158" s="873"/>
      <c r="FS158" s="873"/>
      <c r="FT158" s="873"/>
      <c r="FU158" s="873"/>
      <c r="FV158" s="873"/>
      <c r="FW158" s="873"/>
      <c r="FX158" s="873"/>
      <c r="FY158" s="873"/>
      <c r="FZ158" s="873"/>
      <c r="GA158" s="873"/>
      <c r="GB158" s="873"/>
      <c r="GC158" s="873"/>
      <c r="GD158" s="873"/>
      <c r="GE158" s="873"/>
      <c r="GF158" s="873"/>
      <c r="GG158" s="873"/>
      <c r="GH158" s="873"/>
      <c r="GI158" s="873"/>
      <c r="GJ158" s="873"/>
      <c r="GK158" s="873"/>
      <c r="GL158" s="873"/>
      <c r="GM158" s="873"/>
      <c r="GN158" s="873"/>
      <c r="GO158" s="873"/>
      <c r="GP158" s="873"/>
      <c r="GQ158" s="873"/>
      <c r="GR158" s="873"/>
      <c r="GS158" s="873"/>
      <c r="GT158" s="873"/>
      <c r="GU158" s="873"/>
      <c r="GV158" s="873"/>
      <c r="GW158" s="873"/>
      <c r="GX158" s="873"/>
      <c r="GY158" s="873"/>
      <c r="GZ158" s="873"/>
      <c r="HA158" s="873"/>
      <c r="HB158" s="873"/>
      <c r="HC158" s="873"/>
      <c r="HD158" s="873"/>
      <c r="HE158" s="873"/>
      <c r="HF158" s="873"/>
      <c r="HG158" s="873"/>
      <c r="HH158" s="873"/>
      <c r="HI158" s="873"/>
      <c r="HJ158" s="873"/>
      <c r="HK158" s="873"/>
      <c r="HL158" s="873"/>
      <c r="HM158" s="873"/>
      <c r="HN158" s="873"/>
      <c r="HO158" s="873"/>
      <c r="HP158" s="873"/>
      <c r="HQ158" s="873"/>
      <c r="HR158" s="873"/>
      <c r="HS158" s="873"/>
      <c r="HT158" s="873"/>
      <c r="HU158" s="873"/>
      <c r="HV158" s="873"/>
      <c r="HW158" s="873"/>
      <c r="HX158" s="873"/>
      <c r="HY158" s="873"/>
      <c r="HZ158" s="873"/>
      <c r="IA158" s="873"/>
      <c r="IB158" s="873"/>
      <c r="IC158" s="873"/>
      <c r="ID158" s="873"/>
      <c r="IE158" s="873"/>
      <c r="IF158" s="873"/>
      <c r="IG158" s="873"/>
      <c r="IH158" s="873"/>
      <c r="II158" s="873"/>
      <c r="IJ158" s="873"/>
      <c r="IK158" s="873"/>
      <c r="IL158" s="873"/>
      <c r="IM158" s="873"/>
      <c r="IN158" s="873"/>
      <c r="IO158" s="873"/>
      <c r="IP158" s="873"/>
      <c r="IQ158" s="873"/>
      <c r="IR158" s="873"/>
      <c r="IS158" s="873"/>
      <c r="IT158" s="873"/>
      <c r="IU158" s="873"/>
      <c r="IV158" s="873"/>
      <c r="IW158" s="873"/>
    </row>
    <row r="159" spans="1:257" s="876" customFormat="1" ht="56">
      <c r="A159" s="2493"/>
      <c r="B159" s="1149" t="s">
        <v>2239</v>
      </c>
      <c r="C159" s="1126">
        <v>4</v>
      </c>
      <c r="D159" s="1126">
        <v>5</v>
      </c>
      <c r="E159" s="1127" t="s">
        <v>1549</v>
      </c>
      <c r="F159" s="1128" t="str">
        <f>IF(Scoring!I168="","",Scoring!I168)</f>
        <v/>
      </c>
      <c r="G159" s="1129"/>
      <c r="H159" s="1129"/>
      <c r="I159" s="1130" t="s">
        <v>2240</v>
      </c>
      <c r="J159" s="1131"/>
      <c r="K159" s="1131"/>
      <c r="L159" s="1132"/>
      <c r="M159" s="1133"/>
      <c r="N159" s="873"/>
      <c r="O159" s="877"/>
      <c r="P159" s="878"/>
      <c r="Q159" s="873"/>
      <c r="R159" s="873"/>
      <c r="S159" s="873"/>
      <c r="T159" s="873"/>
      <c r="U159" s="873"/>
      <c r="V159" s="873"/>
      <c r="W159" s="873"/>
      <c r="X159" s="873"/>
      <c r="Y159" s="873"/>
      <c r="Z159" s="873"/>
      <c r="AA159" s="873"/>
      <c r="AB159" s="873"/>
      <c r="AC159" s="873"/>
      <c r="AD159" s="873"/>
      <c r="AE159" s="873"/>
      <c r="AF159" s="873"/>
      <c r="AG159" s="873"/>
      <c r="AH159" s="873"/>
      <c r="AI159" s="873"/>
      <c r="AJ159" s="873"/>
      <c r="AK159" s="873"/>
      <c r="AL159" s="873"/>
      <c r="AM159" s="873"/>
      <c r="AN159" s="873"/>
      <c r="AO159" s="873"/>
      <c r="AP159" s="873"/>
      <c r="AQ159" s="873"/>
      <c r="AR159" s="873"/>
      <c r="AS159" s="873"/>
      <c r="AT159" s="873"/>
      <c r="AU159" s="873"/>
      <c r="AV159" s="873"/>
      <c r="AW159" s="873"/>
      <c r="AX159" s="873"/>
      <c r="AY159" s="873"/>
      <c r="AZ159" s="873"/>
      <c r="BA159" s="873"/>
      <c r="BB159" s="873"/>
      <c r="BC159" s="873"/>
      <c r="BD159" s="873"/>
      <c r="BE159" s="873"/>
      <c r="BF159" s="873"/>
      <c r="BG159" s="873"/>
      <c r="BH159" s="873"/>
      <c r="BI159" s="873"/>
      <c r="BJ159" s="873"/>
      <c r="BK159" s="873"/>
      <c r="BL159" s="873"/>
      <c r="BM159" s="873"/>
      <c r="BN159" s="873"/>
      <c r="BO159" s="873"/>
      <c r="BP159" s="873"/>
      <c r="BQ159" s="873"/>
      <c r="BR159" s="873"/>
      <c r="BS159" s="873"/>
      <c r="BT159" s="873"/>
      <c r="BU159" s="873"/>
      <c r="BV159" s="873"/>
      <c r="BW159" s="873"/>
      <c r="BX159" s="873"/>
      <c r="BY159" s="873"/>
      <c r="BZ159" s="873"/>
      <c r="CA159" s="873"/>
      <c r="CB159" s="873"/>
      <c r="CC159" s="873"/>
      <c r="CD159" s="873"/>
      <c r="CE159" s="873"/>
      <c r="CF159" s="873"/>
      <c r="CG159" s="873"/>
      <c r="CH159" s="873"/>
      <c r="CI159" s="873"/>
      <c r="CJ159" s="873"/>
      <c r="CK159" s="873"/>
      <c r="CL159" s="873"/>
      <c r="CM159" s="873"/>
      <c r="CN159" s="873"/>
      <c r="CO159" s="873"/>
      <c r="CP159" s="873"/>
      <c r="CQ159" s="873"/>
      <c r="CR159" s="873"/>
      <c r="CS159" s="873"/>
      <c r="CT159" s="873"/>
      <c r="CU159" s="873"/>
      <c r="CV159" s="873"/>
      <c r="CW159" s="873"/>
      <c r="CX159" s="873"/>
      <c r="CY159" s="873"/>
      <c r="CZ159" s="873"/>
      <c r="DA159" s="873"/>
      <c r="DB159" s="873"/>
      <c r="DC159" s="873"/>
      <c r="DD159" s="873"/>
      <c r="DE159" s="873"/>
      <c r="DF159" s="873"/>
      <c r="DG159" s="873"/>
      <c r="DH159" s="873"/>
      <c r="DI159" s="873"/>
      <c r="DJ159" s="873"/>
      <c r="DK159" s="873"/>
      <c r="DL159" s="873"/>
      <c r="DM159" s="873"/>
      <c r="DN159" s="873"/>
      <c r="DO159" s="873"/>
      <c r="DP159" s="873"/>
      <c r="DQ159" s="873"/>
      <c r="DR159" s="873"/>
      <c r="DS159" s="873"/>
      <c r="DT159" s="873"/>
      <c r="DU159" s="873"/>
      <c r="DV159" s="873"/>
      <c r="DW159" s="873"/>
      <c r="DX159" s="873"/>
      <c r="DY159" s="873"/>
      <c r="DZ159" s="873"/>
      <c r="EA159" s="873"/>
      <c r="EB159" s="873"/>
      <c r="EC159" s="873"/>
      <c r="ED159" s="873"/>
      <c r="EE159" s="873"/>
      <c r="EF159" s="873"/>
      <c r="EG159" s="873"/>
      <c r="EH159" s="873"/>
      <c r="EI159" s="873"/>
      <c r="EJ159" s="873"/>
      <c r="EK159" s="873"/>
      <c r="EL159" s="873"/>
      <c r="EM159" s="873"/>
      <c r="EN159" s="873"/>
      <c r="EO159" s="873"/>
      <c r="EP159" s="873"/>
      <c r="EQ159" s="873"/>
      <c r="ER159" s="873"/>
      <c r="ES159" s="873"/>
      <c r="ET159" s="873"/>
      <c r="EU159" s="873"/>
      <c r="EV159" s="873"/>
      <c r="EW159" s="873"/>
      <c r="EX159" s="873"/>
      <c r="EY159" s="873"/>
      <c r="EZ159" s="873"/>
      <c r="FA159" s="873"/>
      <c r="FB159" s="873"/>
      <c r="FC159" s="873"/>
      <c r="FD159" s="873"/>
      <c r="FE159" s="873"/>
      <c r="FF159" s="873"/>
      <c r="FG159" s="873"/>
      <c r="FH159" s="873"/>
      <c r="FI159" s="873"/>
      <c r="FJ159" s="873"/>
      <c r="FK159" s="873"/>
      <c r="FL159" s="873"/>
      <c r="FM159" s="873"/>
      <c r="FN159" s="873"/>
      <c r="FO159" s="873"/>
      <c r="FP159" s="873"/>
      <c r="FQ159" s="873"/>
      <c r="FR159" s="873"/>
      <c r="FS159" s="873"/>
      <c r="FT159" s="873"/>
      <c r="FU159" s="873"/>
      <c r="FV159" s="873"/>
      <c r="FW159" s="873"/>
      <c r="FX159" s="873"/>
      <c r="FY159" s="873"/>
      <c r="FZ159" s="873"/>
      <c r="GA159" s="873"/>
      <c r="GB159" s="873"/>
      <c r="GC159" s="873"/>
      <c r="GD159" s="873"/>
      <c r="GE159" s="873"/>
      <c r="GF159" s="873"/>
      <c r="GG159" s="873"/>
      <c r="GH159" s="873"/>
      <c r="GI159" s="873"/>
      <c r="GJ159" s="873"/>
      <c r="GK159" s="873"/>
      <c r="GL159" s="873"/>
      <c r="GM159" s="873"/>
      <c r="GN159" s="873"/>
      <c r="GO159" s="873"/>
      <c r="GP159" s="873"/>
      <c r="GQ159" s="873"/>
      <c r="GR159" s="873"/>
      <c r="GS159" s="873"/>
      <c r="GT159" s="873"/>
      <c r="GU159" s="873"/>
      <c r="GV159" s="873"/>
      <c r="GW159" s="873"/>
      <c r="GX159" s="873"/>
      <c r="GY159" s="873"/>
      <c r="GZ159" s="873"/>
      <c r="HA159" s="873"/>
      <c r="HB159" s="873"/>
      <c r="HC159" s="873"/>
      <c r="HD159" s="873"/>
      <c r="HE159" s="873"/>
      <c r="HF159" s="873"/>
      <c r="HG159" s="873"/>
      <c r="HH159" s="873"/>
      <c r="HI159" s="873"/>
      <c r="HJ159" s="873"/>
      <c r="HK159" s="873"/>
      <c r="HL159" s="873"/>
      <c r="HM159" s="873"/>
      <c r="HN159" s="873"/>
      <c r="HO159" s="873"/>
      <c r="HP159" s="873"/>
      <c r="HQ159" s="873"/>
      <c r="HR159" s="873"/>
      <c r="HS159" s="873"/>
      <c r="HT159" s="873"/>
      <c r="HU159" s="873"/>
      <c r="HV159" s="873"/>
      <c r="HW159" s="873"/>
      <c r="HX159" s="873"/>
      <c r="HY159" s="873"/>
      <c r="HZ159" s="873"/>
      <c r="IA159" s="873"/>
      <c r="IB159" s="873"/>
      <c r="IC159" s="873"/>
      <c r="ID159" s="873"/>
      <c r="IE159" s="873"/>
      <c r="IF159" s="873"/>
      <c r="IG159" s="873"/>
      <c r="IH159" s="873"/>
      <c r="II159" s="873"/>
      <c r="IJ159" s="873"/>
      <c r="IK159" s="873"/>
      <c r="IL159" s="873"/>
      <c r="IM159" s="873"/>
      <c r="IN159" s="873"/>
      <c r="IO159" s="873"/>
      <c r="IP159" s="873"/>
      <c r="IQ159" s="873"/>
      <c r="IR159" s="873"/>
      <c r="IS159" s="873"/>
      <c r="IT159" s="873"/>
      <c r="IU159" s="873"/>
      <c r="IV159" s="873"/>
      <c r="IW159" s="873"/>
    </row>
    <row r="160" spans="1:257" ht="56">
      <c r="A160" s="2493"/>
      <c r="B160" s="1149" t="s">
        <v>2241</v>
      </c>
      <c r="C160" s="1126">
        <v>4</v>
      </c>
      <c r="D160" s="1126">
        <v>5</v>
      </c>
      <c r="E160" s="1127" t="s">
        <v>1550</v>
      </c>
      <c r="F160" s="1128" t="str">
        <f>IF(Scoring!I169="","",Scoring!I169)</f>
        <v/>
      </c>
      <c r="G160" s="1129"/>
      <c r="H160" s="1129"/>
      <c r="I160" s="1130" t="s">
        <v>2243</v>
      </c>
      <c r="J160" s="1131"/>
      <c r="K160" s="1131"/>
      <c r="L160" s="1132"/>
      <c r="M160" s="1133"/>
      <c r="O160" s="867"/>
      <c r="P160" s="868"/>
    </row>
    <row r="161" spans="1:257" ht="140">
      <c r="A161" s="2493"/>
      <c r="B161" s="1149" t="s">
        <v>2244</v>
      </c>
      <c r="C161" s="1126">
        <v>4</v>
      </c>
      <c r="D161" s="1126">
        <v>6</v>
      </c>
      <c r="E161" s="1127" t="s">
        <v>1551</v>
      </c>
      <c r="F161" s="1128" t="str">
        <f>IF(Scoring!I170="","",Scoring!I170)</f>
        <v/>
      </c>
      <c r="G161" s="1129"/>
      <c r="H161" s="1129"/>
      <c r="I161" s="1130" t="s">
        <v>2245</v>
      </c>
      <c r="J161" s="1131"/>
      <c r="K161" s="1131"/>
      <c r="L161" s="1132"/>
      <c r="M161" s="1133"/>
      <c r="O161" s="867"/>
      <c r="P161" s="868"/>
    </row>
    <row r="162" spans="1:257" ht="56">
      <c r="A162" s="2494"/>
      <c r="B162" s="1150" t="s">
        <v>2247</v>
      </c>
      <c r="C162" s="1135">
        <v>4</v>
      </c>
      <c r="D162" s="1135">
        <v>5</v>
      </c>
      <c r="E162" s="1136" t="s">
        <v>1552</v>
      </c>
      <c r="F162" s="1137" t="str">
        <f>IF(Scoring!I171="","",Scoring!I171)</f>
        <v/>
      </c>
      <c r="G162" s="1138"/>
      <c r="H162" s="1138"/>
      <c r="I162" s="1139" t="s">
        <v>2248</v>
      </c>
      <c r="J162" s="1140"/>
      <c r="K162" s="1140">
        <f>COUNT(F158:F162)</f>
        <v>0</v>
      </c>
      <c r="L162" s="1141">
        <f>SUM(F158:F162)</f>
        <v>0</v>
      </c>
      <c r="M162" s="1142">
        <f>IF(L162&lt;3,0,1)</f>
        <v>0</v>
      </c>
      <c r="O162" s="867"/>
      <c r="P162" s="868"/>
    </row>
    <row r="163" spans="1:257">
      <c r="A163" s="861"/>
      <c r="F163" s="861"/>
      <c r="J163" s="861"/>
      <c r="K163" s="861"/>
    </row>
    <row r="164" spans="1:257" s="876" customFormat="1" ht="98">
      <c r="A164" s="2501" t="s">
        <v>1181</v>
      </c>
      <c r="B164" s="1148" t="s">
        <v>2249</v>
      </c>
      <c r="C164" s="1117">
        <v>4</v>
      </c>
      <c r="D164" s="1117">
        <v>5</v>
      </c>
      <c r="E164" s="1118" t="s">
        <v>1553</v>
      </c>
      <c r="F164" s="1119" t="str">
        <f>IF(Scoring!I173="","",Scoring!I173)</f>
        <v/>
      </c>
      <c r="G164" s="1120"/>
      <c r="H164" s="1120"/>
      <c r="I164" s="1121" t="s">
        <v>2250</v>
      </c>
      <c r="J164" s="1122"/>
      <c r="K164" s="1122"/>
      <c r="L164" s="1123"/>
      <c r="M164" s="1124"/>
      <c r="N164" s="873"/>
      <c r="O164" s="874"/>
      <c r="P164" s="875">
        <f>COUNTA(F159:F164)</f>
        <v>5</v>
      </c>
      <c r="Q164" s="873"/>
      <c r="R164" s="873"/>
      <c r="S164" s="873"/>
      <c r="T164" s="873"/>
      <c r="U164" s="873"/>
      <c r="V164" s="873"/>
      <c r="W164" s="873"/>
      <c r="X164" s="873"/>
      <c r="Y164" s="873"/>
      <c r="Z164" s="873"/>
      <c r="AA164" s="873"/>
      <c r="AB164" s="873"/>
      <c r="AC164" s="873"/>
      <c r="AD164" s="873"/>
      <c r="AE164" s="873"/>
      <c r="AF164" s="873"/>
      <c r="AG164" s="873"/>
      <c r="AH164" s="873"/>
      <c r="AI164" s="873"/>
      <c r="AJ164" s="873"/>
      <c r="AK164" s="873"/>
      <c r="AL164" s="873"/>
      <c r="AM164" s="873"/>
      <c r="AN164" s="873"/>
      <c r="AO164" s="873"/>
      <c r="AP164" s="873"/>
      <c r="AQ164" s="873"/>
      <c r="AR164" s="873"/>
      <c r="AS164" s="873"/>
      <c r="AT164" s="873"/>
      <c r="AU164" s="873"/>
      <c r="AV164" s="873"/>
      <c r="AW164" s="873"/>
      <c r="AX164" s="873"/>
      <c r="AY164" s="873"/>
      <c r="AZ164" s="873"/>
      <c r="BA164" s="873"/>
      <c r="BB164" s="873"/>
      <c r="BC164" s="873"/>
      <c r="BD164" s="873"/>
      <c r="BE164" s="873"/>
      <c r="BF164" s="873"/>
      <c r="BG164" s="873"/>
      <c r="BH164" s="873"/>
      <c r="BI164" s="873"/>
      <c r="BJ164" s="873"/>
      <c r="BK164" s="873"/>
      <c r="BL164" s="873"/>
      <c r="BM164" s="873"/>
      <c r="BN164" s="873"/>
      <c r="BO164" s="873"/>
      <c r="BP164" s="873"/>
      <c r="BQ164" s="873"/>
      <c r="BR164" s="873"/>
      <c r="BS164" s="873"/>
      <c r="BT164" s="873"/>
      <c r="BU164" s="873"/>
      <c r="BV164" s="873"/>
      <c r="BW164" s="873"/>
      <c r="BX164" s="873"/>
      <c r="BY164" s="873"/>
      <c r="BZ164" s="873"/>
      <c r="CA164" s="873"/>
      <c r="CB164" s="873"/>
      <c r="CC164" s="873"/>
      <c r="CD164" s="873"/>
      <c r="CE164" s="873"/>
      <c r="CF164" s="873"/>
      <c r="CG164" s="873"/>
      <c r="CH164" s="873"/>
      <c r="CI164" s="873"/>
      <c r="CJ164" s="873"/>
      <c r="CK164" s="873"/>
      <c r="CL164" s="873"/>
      <c r="CM164" s="873"/>
      <c r="CN164" s="873"/>
      <c r="CO164" s="873"/>
      <c r="CP164" s="873"/>
      <c r="CQ164" s="873"/>
      <c r="CR164" s="873"/>
      <c r="CS164" s="873"/>
      <c r="CT164" s="873"/>
      <c r="CU164" s="873"/>
      <c r="CV164" s="873"/>
      <c r="CW164" s="873"/>
      <c r="CX164" s="873"/>
      <c r="CY164" s="873"/>
      <c r="CZ164" s="873"/>
      <c r="DA164" s="873"/>
      <c r="DB164" s="873"/>
      <c r="DC164" s="873"/>
      <c r="DD164" s="873"/>
      <c r="DE164" s="873"/>
      <c r="DF164" s="873"/>
      <c r="DG164" s="873"/>
      <c r="DH164" s="873"/>
      <c r="DI164" s="873"/>
      <c r="DJ164" s="873"/>
      <c r="DK164" s="873"/>
      <c r="DL164" s="873"/>
      <c r="DM164" s="873"/>
      <c r="DN164" s="873"/>
      <c r="DO164" s="873"/>
      <c r="DP164" s="873"/>
      <c r="DQ164" s="873"/>
      <c r="DR164" s="873"/>
      <c r="DS164" s="873"/>
      <c r="DT164" s="873"/>
      <c r="DU164" s="873"/>
      <c r="DV164" s="873"/>
      <c r="DW164" s="873"/>
      <c r="DX164" s="873"/>
      <c r="DY164" s="873"/>
      <c r="DZ164" s="873"/>
      <c r="EA164" s="873"/>
      <c r="EB164" s="873"/>
      <c r="EC164" s="873"/>
      <c r="ED164" s="873"/>
      <c r="EE164" s="873"/>
      <c r="EF164" s="873"/>
      <c r="EG164" s="873"/>
      <c r="EH164" s="873"/>
      <c r="EI164" s="873"/>
      <c r="EJ164" s="873"/>
      <c r="EK164" s="873"/>
      <c r="EL164" s="873"/>
      <c r="EM164" s="873"/>
      <c r="EN164" s="873"/>
      <c r="EO164" s="873"/>
      <c r="EP164" s="873"/>
      <c r="EQ164" s="873"/>
      <c r="ER164" s="873"/>
      <c r="ES164" s="873"/>
      <c r="ET164" s="873"/>
      <c r="EU164" s="873"/>
      <c r="EV164" s="873"/>
      <c r="EW164" s="873"/>
      <c r="EX164" s="873"/>
      <c r="EY164" s="873"/>
      <c r="EZ164" s="873"/>
      <c r="FA164" s="873"/>
      <c r="FB164" s="873"/>
      <c r="FC164" s="873"/>
      <c r="FD164" s="873"/>
      <c r="FE164" s="873"/>
      <c r="FF164" s="873"/>
      <c r="FG164" s="873"/>
      <c r="FH164" s="873"/>
      <c r="FI164" s="873"/>
      <c r="FJ164" s="873"/>
      <c r="FK164" s="873"/>
      <c r="FL164" s="873"/>
      <c r="FM164" s="873"/>
      <c r="FN164" s="873"/>
      <c r="FO164" s="873"/>
      <c r="FP164" s="873"/>
      <c r="FQ164" s="873"/>
      <c r="FR164" s="873"/>
      <c r="FS164" s="873"/>
      <c r="FT164" s="873"/>
      <c r="FU164" s="873"/>
      <c r="FV164" s="873"/>
      <c r="FW164" s="873"/>
      <c r="FX164" s="873"/>
      <c r="FY164" s="873"/>
      <c r="FZ164" s="873"/>
      <c r="GA164" s="873"/>
      <c r="GB164" s="873"/>
      <c r="GC164" s="873"/>
      <c r="GD164" s="873"/>
      <c r="GE164" s="873"/>
      <c r="GF164" s="873"/>
      <c r="GG164" s="873"/>
      <c r="GH164" s="873"/>
      <c r="GI164" s="873"/>
      <c r="GJ164" s="873"/>
      <c r="GK164" s="873"/>
      <c r="GL164" s="873"/>
      <c r="GM164" s="873"/>
      <c r="GN164" s="873"/>
      <c r="GO164" s="873"/>
      <c r="GP164" s="873"/>
      <c r="GQ164" s="873"/>
      <c r="GR164" s="873"/>
      <c r="GS164" s="873"/>
      <c r="GT164" s="873"/>
      <c r="GU164" s="873"/>
      <c r="GV164" s="873"/>
      <c r="GW164" s="873"/>
      <c r="GX164" s="873"/>
      <c r="GY164" s="873"/>
      <c r="GZ164" s="873"/>
      <c r="HA164" s="873"/>
      <c r="HB164" s="873"/>
      <c r="HC164" s="873"/>
      <c r="HD164" s="873"/>
      <c r="HE164" s="873"/>
      <c r="HF164" s="873"/>
      <c r="HG164" s="873"/>
      <c r="HH164" s="873"/>
      <c r="HI164" s="873"/>
      <c r="HJ164" s="873"/>
      <c r="HK164" s="873"/>
      <c r="HL164" s="873"/>
      <c r="HM164" s="873"/>
      <c r="HN164" s="873"/>
      <c r="HO164" s="873"/>
      <c r="HP164" s="873"/>
      <c r="HQ164" s="873"/>
      <c r="HR164" s="873"/>
      <c r="HS164" s="873"/>
      <c r="HT164" s="873"/>
      <c r="HU164" s="873"/>
      <c r="HV164" s="873"/>
      <c r="HW164" s="873"/>
      <c r="HX164" s="873"/>
      <c r="HY164" s="873"/>
      <c r="HZ164" s="873"/>
      <c r="IA164" s="873"/>
      <c r="IB164" s="873"/>
      <c r="IC164" s="873"/>
      <c r="ID164" s="873"/>
      <c r="IE164" s="873"/>
      <c r="IF164" s="873"/>
      <c r="IG164" s="873"/>
      <c r="IH164" s="873"/>
      <c r="II164" s="873"/>
      <c r="IJ164" s="873"/>
      <c r="IK164" s="873"/>
      <c r="IL164" s="873"/>
      <c r="IM164" s="873"/>
      <c r="IN164" s="873"/>
      <c r="IO164" s="873"/>
      <c r="IP164" s="873"/>
      <c r="IQ164" s="873"/>
      <c r="IR164" s="873"/>
      <c r="IS164" s="873"/>
      <c r="IT164" s="873"/>
      <c r="IU164" s="873"/>
      <c r="IV164" s="873"/>
      <c r="IW164" s="873"/>
    </row>
    <row r="165" spans="1:257" s="876" customFormat="1" ht="168">
      <c r="A165" s="2502"/>
      <c r="B165" s="1149" t="s">
        <v>2251</v>
      </c>
      <c r="C165" s="1126">
        <v>4</v>
      </c>
      <c r="D165" s="1126">
        <v>5</v>
      </c>
      <c r="E165" s="1127" t="s">
        <v>1554</v>
      </c>
      <c r="F165" s="1128" t="str">
        <f>IF(Scoring!I174="","",Scoring!I174)</f>
        <v/>
      </c>
      <c r="G165" s="1129"/>
      <c r="H165" s="1129"/>
      <c r="I165" s="1130" t="s">
        <v>2564</v>
      </c>
      <c r="J165" s="1131"/>
      <c r="K165" s="1131"/>
      <c r="L165" s="1132"/>
      <c r="M165" s="1133"/>
      <c r="N165" s="873"/>
      <c r="O165" s="877"/>
      <c r="P165" s="878"/>
      <c r="Q165" s="873"/>
      <c r="R165" s="873"/>
      <c r="S165" s="873"/>
      <c r="T165" s="873"/>
      <c r="U165" s="873"/>
      <c r="V165" s="873"/>
      <c r="W165" s="873"/>
      <c r="X165" s="873"/>
      <c r="Y165" s="873"/>
      <c r="Z165" s="873"/>
      <c r="AA165" s="873"/>
      <c r="AB165" s="873"/>
      <c r="AC165" s="873"/>
      <c r="AD165" s="873"/>
      <c r="AE165" s="873"/>
      <c r="AF165" s="873"/>
      <c r="AG165" s="873"/>
      <c r="AH165" s="873"/>
      <c r="AI165" s="873"/>
      <c r="AJ165" s="873"/>
      <c r="AK165" s="873"/>
      <c r="AL165" s="873"/>
      <c r="AM165" s="873"/>
      <c r="AN165" s="873"/>
      <c r="AO165" s="873"/>
      <c r="AP165" s="873"/>
      <c r="AQ165" s="873"/>
      <c r="AR165" s="873"/>
      <c r="AS165" s="873"/>
      <c r="AT165" s="873"/>
      <c r="AU165" s="873"/>
      <c r="AV165" s="873"/>
      <c r="AW165" s="873"/>
      <c r="AX165" s="873"/>
      <c r="AY165" s="873"/>
      <c r="AZ165" s="873"/>
      <c r="BA165" s="873"/>
      <c r="BB165" s="873"/>
      <c r="BC165" s="873"/>
      <c r="BD165" s="873"/>
      <c r="BE165" s="873"/>
      <c r="BF165" s="873"/>
      <c r="BG165" s="873"/>
      <c r="BH165" s="873"/>
      <c r="BI165" s="873"/>
      <c r="BJ165" s="873"/>
      <c r="BK165" s="873"/>
      <c r="BL165" s="873"/>
      <c r="BM165" s="873"/>
      <c r="BN165" s="873"/>
      <c r="BO165" s="873"/>
      <c r="BP165" s="873"/>
      <c r="BQ165" s="873"/>
      <c r="BR165" s="873"/>
      <c r="BS165" s="873"/>
      <c r="BT165" s="873"/>
      <c r="BU165" s="873"/>
      <c r="BV165" s="873"/>
      <c r="BW165" s="873"/>
      <c r="BX165" s="873"/>
      <c r="BY165" s="873"/>
      <c r="BZ165" s="873"/>
      <c r="CA165" s="873"/>
      <c r="CB165" s="873"/>
      <c r="CC165" s="873"/>
      <c r="CD165" s="873"/>
      <c r="CE165" s="873"/>
      <c r="CF165" s="873"/>
      <c r="CG165" s="873"/>
      <c r="CH165" s="873"/>
      <c r="CI165" s="873"/>
      <c r="CJ165" s="873"/>
      <c r="CK165" s="873"/>
      <c r="CL165" s="873"/>
      <c r="CM165" s="873"/>
      <c r="CN165" s="873"/>
      <c r="CO165" s="873"/>
      <c r="CP165" s="873"/>
      <c r="CQ165" s="873"/>
      <c r="CR165" s="873"/>
      <c r="CS165" s="873"/>
      <c r="CT165" s="873"/>
      <c r="CU165" s="873"/>
      <c r="CV165" s="873"/>
      <c r="CW165" s="873"/>
      <c r="CX165" s="873"/>
      <c r="CY165" s="873"/>
      <c r="CZ165" s="873"/>
      <c r="DA165" s="873"/>
      <c r="DB165" s="873"/>
      <c r="DC165" s="873"/>
      <c r="DD165" s="873"/>
      <c r="DE165" s="873"/>
      <c r="DF165" s="873"/>
      <c r="DG165" s="873"/>
      <c r="DH165" s="873"/>
      <c r="DI165" s="873"/>
      <c r="DJ165" s="873"/>
      <c r="DK165" s="873"/>
      <c r="DL165" s="873"/>
      <c r="DM165" s="873"/>
      <c r="DN165" s="873"/>
      <c r="DO165" s="873"/>
      <c r="DP165" s="873"/>
      <c r="DQ165" s="873"/>
      <c r="DR165" s="873"/>
      <c r="DS165" s="873"/>
      <c r="DT165" s="873"/>
      <c r="DU165" s="873"/>
      <c r="DV165" s="873"/>
      <c r="DW165" s="873"/>
      <c r="DX165" s="873"/>
      <c r="DY165" s="873"/>
      <c r="DZ165" s="873"/>
      <c r="EA165" s="873"/>
      <c r="EB165" s="873"/>
      <c r="EC165" s="873"/>
      <c r="ED165" s="873"/>
      <c r="EE165" s="873"/>
      <c r="EF165" s="873"/>
      <c r="EG165" s="873"/>
      <c r="EH165" s="873"/>
      <c r="EI165" s="873"/>
      <c r="EJ165" s="873"/>
      <c r="EK165" s="873"/>
      <c r="EL165" s="873"/>
      <c r="EM165" s="873"/>
      <c r="EN165" s="873"/>
      <c r="EO165" s="873"/>
      <c r="EP165" s="873"/>
      <c r="EQ165" s="873"/>
      <c r="ER165" s="873"/>
      <c r="ES165" s="873"/>
      <c r="ET165" s="873"/>
      <c r="EU165" s="873"/>
      <c r="EV165" s="873"/>
      <c r="EW165" s="873"/>
      <c r="EX165" s="873"/>
      <c r="EY165" s="873"/>
      <c r="EZ165" s="873"/>
      <c r="FA165" s="873"/>
      <c r="FB165" s="873"/>
      <c r="FC165" s="873"/>
      <c r="FD165" s="873"/>
      <c r="FE165" s="873"/>
      <c r="FF165" s="873"/>
      <c r="FG165" s="873"/>
      <c r="FH165" s="873"/>
      <c r="FI165" s="873"/>
      <c r="FJ165" s="873"/>
      <c r="FK165" s="873"/>
      <c r="FL165" s="873"/>
      <c r="FM165" s="873"/>
      <c r="FN165" s="873"/>
      <c r="FO165" s="873"/>
      <c r="FP165" s="873"/>
      <c r="FQ165" s="873"/>
      <c r="FR165" s="873"/>
      <c r="FS165" s="873"/>
      <c r="FT165" s="873"/>
      <c r="FU165" s="873"/>
      <c r="FV165" s="873"/>
      <c r="FW165" s="873"/>
      <c r="FX165" s="873"/>
      <c r="FY165" s="873"/>
      <c r="FZ165" s="873"/>
      <c r="GA165" s="873"/>
      <c r="GB165" s="873"/>
      <c r="GC165" s="873"/>
      <c r="GD165" s="873"/>
      <c r="GE165" s="873"/>
      <c r="GF165" s="873"/>
      <c r="GG165" s="873"/>
      <c r="GH165" s="873"/>
      <c r="GI165" s="873"/>
      <c r="GJ165" s="873"/>
      <c r="GK165" s="873"/>
      <c r="GL165" s="873"/>
      <c r="GM165" s="873"/>
      <c r="GN165" s="873"/>
      <c r="GO165" s="873"/>
      <c r="GP165" s="873"/>
      <c r="GQ165" s="873"/>
      <c r="GR165" s="873"/>
      <c r="GS165" s="873"/>
      <c r="GT165" s="873"/>
      <c r="GU165" s="873"/>
      <c r="GV165" s="873"/>
      <c r="GW165" s="873"/>
      <c r="GX165" s="873"/>
      <c r="GY165" s="873"/>
      <c r="GZ165" s="873"/>
      <c r="HA165" s="873"/>
      <c r="HB165" s="873"/>
      <c r="HC165" s="873"/>
      <c r="HD165" s="873"/>
      <c r="HE165" s="873"/>
      <c r="HF165" s="873"/>
      <c r="HG165" s="873"/>
      <c r="HH165" s="873"/>
      <c r="HI165" s="873"/>
      <c r="HJ165" s="873"/>
      <c r="HK165" s="873"/>
      <c r="HL165" s="873"/>
      <c r="HM165" s="873"/>
      <c r="HN165" s="873"/>
      <c r="HO165" s="873"/>
      <c r="HP165" s="873"/>
      <c r="HQ165" s="873"/>
      <c r="HR165" s="873"/>
      <c r="HS165" s="873"/>
      <c r="HT165" s="873"/>
      <c r="HU165" s="873"/>
      <c r="HV165" s="873"/>
      <c r="HW165" s="873"/>
      <c r="HX165" s="873"/>
      <c r="HY165" s="873"/>
      <c r="HZ165" s="873"/>
      <c r="IA165" s="873"/>
      <c r="IB165" s="873"/>
      <c r="IC165" s="873"/>
      <c r="ID165" s="873"/>
      <c r="IE165" s="873"/>
      <c r="IF165" s="873"/>
      <c r="IG165" s="873"/>
      <c r="IH165" s="873"/>
      <c r="II165" s="873"/>
      <c r="IJ165" s="873"/>
      <c r="IK165" s="873"/>
      <c r="IL165" s="873"/>
      <c r="IM165" s="873"/>
      <c r="IN165" s="873"/>
      <c r="IO165" s="873"/>
      <c r="IP165" s="873"/>
      <c r="IQ165" s="873"/>
      <c r="IR165" s="873"/>
      <c r="IS165" s="873"/>
      <c r="IT165" s="873"/>
      <c r="IU165" s="873"/>
      <c r="IV165" s="873"/>
      <c r="IW165" s="873"/>
    </row>
    <row r="166" spans="1:257" ht="70">
      <c r="A166" s="2502"/>
      <c r="B166" s="1149" t="s">
        <v>2253</v>
      </c>
      <c r="C166" s="1126">
        <v>4</v>
      </c>
      <c r="D166" s="1126">
        <v>5</v>
      </c>
      <c r="E166" s="1127" t="s">
        <v>1555</v>
      </c>
      <c r="F166" s="1128" t="str">
        <f>IF(Scoring!I175="","",Scoring!I175)</f>
        <v/>
      </c>
      <c r="G166" s="1129"/>
      <c r="H166" s="1129"/>
      <c r="I166" s="1130" t="s">
        <v>2254</v>
      </c>
      <c r="J166" s="1131"/>
      <c r="K166" s="1131"/>
      <c r="L166" s="1132"/>
      <c r="M166" s="1133"/>
      <c r="O166" s="867"/>
      <c r="P166" s="868"/>
    </row>
    <row r="167" spans="1:257" ht="98">
      <c r="A167" s="2502"/>
      <c r="B167" s="1149" t="s">
        <v>2255</v>
      </c>
      <c r="C167" s="1126">
        <v>4</v>
      </c>
      <c r="D167" s="1126">
        <v>6</v>
      </c>
      <c r="E167" s="1127" t="s">
        <v>1558</v>
      </c>
      <c r="F167" s="1128" t="str">
        <f>IF(Scoring!I176="","",Scoring!I176)</f>
        <v/>
      </c>
      <c r="G167" s="1129"/>
      <c r="H167" s="1129"/>
      <c r="I167" s="1130" t="s">
        <v>2622</v>
      </c>
      <c r="J167" s="1131"/>
      <c r="K167" s="1131"/>
      <c r="L167" s="1132"/>
      <c r="M167" s="1133"/>
      <c r="O167" s="867"/>
      <c r="P167" s="868"/>
    </row>
    <row r="168" spans="1:257" ht="70">
      <c r="A168" s="2503"/>
      <c r="B168" s="1150" t="s">
        <v>2257</v>
      </c>
      <c r="C168" s="1135">
        <v>3</v>
      </c>
      <c r="D168" s="1135">
        <v>6</v>
      </c>
      <c r="E168" s="1136" t="s">
        <v>2258</v>
      </c>
      <c r="F168" s="1137" t="str">
        <f>IF(Scoring!I177="","",Scoring!I177)</f>
        <v/>
      </c>
      <c r="G168" s="1138"/>
      <c r="H168" s="1138"/>
      <c r="I168" s="1139" t="s">
        <v>2566</v>
      </c>
      <c r="J168" s="1140"/>
      <c r="K168" s="1140">
        <f>COUNT(F164:F168)</f>
        <v>0</v>
      </c>
      <c r="L168" s="1141">
        <f>SUM(F164:F168)</f>
        <v>0</v>
      </c>
      <c r="M168" s="1142">
        <f>IF(L168&lt;3,0,1)</f>
        <v>0</v>
      </c>
      <c r="O168" s="867"/>
      <c r="P168" s="868"/>
    </row>
    <row r="169" spans="1:257">
      <c r="A169" s="861"/>
      <c r="F169" s="861"/>
      <c r="J169" s="861"/>
      <c r="K169" s="861"/>
    </row>
    <row r="170" spans="1:257" s="876" customFormat="1" ht="112">
      <c r="A170" s="2492" t="s">
        <v>1206</v>
      </c>
      <c r="B170" s="1144" t="s">
        <v>1893</v>
      </c>
      <c r="C170" s="1117">
        <v>4</v>
      </c>
      <c r="D170" s="1117">
        <v>4</v>
      </c>
      <c r="E170" s="1118" t="s">
        <v>1564</v>
      </c>
      <c r="F170" s="1119" t="str">
        <f>IF(Scoring!I179="","",Scoring!I179)</f>
        <v/>
      </c>
      <c r="G170" s="1120"/>
      <c r="H170" s="1120"/>
      <c r="I170" s="1121" t="s">
        <v>2567</v>
      </c>
      <c r="J170" s="1122"/>
      <c r="K170" s="1122"/>
      <c r="L170" s="1165"/>
      <c r="M170" s="1166"/>
      <c r="N170" s="873"/>
      <c r="O170" s="874"/>
      <c r="P170" s="875">
        <f>COUNTA(F165:F170)</f>
        <v>5</v>
      </c>
      <c r="Q170" s="873"/>
      <c r="R170" s="873"/>
      <c r="S170" s="873"/>
      <c r="T170" s="873"/>
      <c r="U170" s="873"/>
      <c r="V170" s="873"/>
      <c r="W170" s="873"/>
      <c r="X170" s="873"/>
      <c r="Y170" s="873"/>
      <c r="Z170" s="873"/>
      <c r="AA170" s="873"/>
      <c r="AB170" s="873"/>
      <c r="AC170" s="873"/>
      <c r="AD170" s="873"/>
      <c r="AE170" s="873"/>
      <c r="AF170" s="873"/>
      <c r="AG170" s="873"/>
      <c r="AH170" s="873"/>
      <c r="AI170" s="873"/>
      <c r="AJ170" s="873"/>
      <c r="AK170" s="873"/>
      <c r="AL170" s="873"/>
      <c r="AM170" s="873"/>
      <c r="AN170" s="873"/>
      <c r="AO170" s="873"/>
      <c r="AP170" s="873"/>
      <c r="AQ170" s="873"/>
      <c r="AR170" s="873"/>
      <c r="AS170" s="873"/>
      <c r="AT170" s="873"/>
      <c r="AU170" s="873"/>
      <c r="AV170" s="873"/>
      <c r="AW170" s="873"/>
      <c r="AX170" s="873"/>
      <c r="AY170" s="873"/>
      <c r="AZ170" s="873"/>
      <c r="BA170" s="873"/>
      <c r="BB170" s="873"/>
      <c r="BC170" s="873"/>
      <c r="BD170" s="873"/>
      <c r="BE170" s="873"/>
      <c r="BF170" s="873"/>
      <c r="BG170" s="873"/>
      <c r="BH170" s="873"/>
      <c r="BI170" s="873"/>
      <c r="BJ170" s="873"/>
      <c r="BK170" s="873"/>
      <c r="BL170" s="873"/>
      <c r="BM170" s="873"/>
      <c r="BN170" s="873"/>
      <c r="BO170" s="873"/>
      <c r="BP170" s="873"/>
      <c r="BQ170" s="873"/>
      <c r="BR170" s="873"/>
      <c r="BS170" s="873"/>
      <c r="BT170" s="873"/>
      <c r="BU170" s="873"/>
      <c r="BV170" s="873"/>
      <c r="BW170" s="873"/>
      <c r="BX170" s="873"/>
      <c r="BY170" s="873"/>
      <c r="BZ170" s="873"/>
      <c r="CA170" s="873"/>
      <c r="CB170" s="873"/>
      <c r="CC170" s="873"/>
      <c r="CD170" s="873"/>
      <c r="CE170" s="873"/>
      <c r="CF170" s="873"/>
      <c r="CG170" s="873"/>
      <c r="CH170" s="873"/>
      <c r="CI170" s="873"/>
      <c r="CJ170" s="873"/>
      <c r="CK170" s="873"/>
      <c r="CL170" s="873"/>
      <c r="CM170" s="873"/>
      <c r="CN170" s="873"/>
      <c r="CO170" s="873"/>
      <c r="CP170" s="873"/>
      <c r="CQ170" s="873"/>
      <c r="CR170" s="873"/>
      <c r="CS170" s="873"/>
      <c r="CT170" s="873"/>
      <c r="CU170" s="873"/>
      <c r="CV170" s="873"/>
      <c r="CW170" s="873"/>
      <c r="CX170" s="873"/>
      <c r="CY170" s="873"/>
      <c r="CZ170" s="873"/>
      <c r="DA170" s="873"/>
      <c r="DB170" s="873"/>
      <c r="DC170" s="873"/>
      <c r="DD170" s="873"/>
      <c r="DE170" s="873"/>
      <c r="DF170" s="873"/>
      <c r="DG170" s="873"/>
      <c r="DH170" s="873"/>
      <c r="DI170" s="873"/>
      <c r="DJ170" s="873"/>
      <c r="DK170" s="873"/>
      <c r="DL170" s="873"/>
      <c r="DM170" s="873"/>
      <c r="DN170" s="873"/>
      <c r="DO170" s="873"/>
      <c r="DP170" s="873"/>
      <c r="DQ170" s="873"/>
      <c r="DR170" s="873"/>
      <c r="DS170" s="873"/>
      <c r="DT170" s="873"/>
      <c r="DU170" s="873"/>
      <c r="DV170" s="873"/>
      <c r="DW170" s="873"/>
      <c r="DX170" s="873"/>
      <c r="DY170" s="873"/>
      <c r="DZ170" s="873"/>
      <c r="EA170" s="873"/>
      <c r="EB170" s="873"/>
      <c r="EC170" s="873"/>
      <c r="ED170" s="873"/>
      <c r="EE170" s="873"/>
      <c r="EF170" s="873"/>
      <c r="EG170" s="873"/>
      <c r="EH170" s="873"/>
      <c r="EI170" s="873"/>
      <c r="EJ170" s="873"/>
      <c r="EK170" s="873"/>
      <c r="EL170" s="873"/>
      <c r="EM170" s="873"/>
      <c r="EN170" s="873"/>
      <c r="EO170" s="873"/>
      <c r="EP170" s="873"/>
      <c r="EQ170" s="873"/>
      <c r="ER170" s="873"/>
      <c r="ES170" s="873"/>
      <c r="ET170" s="873"/>
      <c r="EU170" s="873"/>
      <c r="EV170" s="873"/>
      <c r="EW170" s="873"/>
      <c r="EX170" s="873"/>
      <c r="EY170" s="873"/>
      <c r="EZ170" s="873"/>
      <c r="FA170" s="873"/>
      <c r="FB170" s="873"/>
      <c r="FC170" s="873"/>
      <c r="FD170" s="873"/>
      <c r="FE170" s="873"/>
      <c r="FF170" s="873"/>
      <c r="FG170" s="873"/>
      <c r="FH170" s="873"/>
      <c r="FI170" s="873"/>
      <c r="FJ170" s="873"/>
      <c r="FK170" s="873"/>
      <c r="FL170" s="873"/>
      <c r="FM170" s="873"/>
      <c r="FN170" s="873"/>
      <c r="FO170" s="873"/>
      <c r="FP170" s="873"/>
      <c r="FQ170" s="873"/>
      <c r="FR170" s="873"/>
      <c r="FS170" s="873"/>
      <c r="FT170" s="873"/>
      <c r="FU170" s="873"/>
      <c r="FV170" s="873"/>
      <c r="FW170" s="873"/>
      <c r="FX170" s="873"/>
      <c r="FY170" s="873"/>
      <c r="FZ170" s="873"/>
      <c r="GA170" s="873"/>
      <c r="GB170" s="873"/>
      <c r="GC170" s="873"/>
      <c r="GD170" s="873"/>
      <c r="GE170" s="873"/>
      <c r="GF170" s="873"/>
      <c r="GG170" s="873"/>
      <c r="GH170" s="873"/>
      <c r="GI170" s="873"/>
      <c r="GJ170" s="873"/>
      <c r="GK170" s="873"/>
      <c r="GL170" s="873"/>
      <c r="GM170" s="873"/>
      <c r="GN170" s="873"/>
      <c r="GO170" s="873"/>
      <c r="GP170" s="873"/>
      <c r="GQ170" s="873"/>
      <c r="GR170" s="873"/>
      <c r="GS170" s="873"/>
      <c r="GT170" s="873"/>
      <c r="GU170" s="873"/>
      <c r="GV170" s="873"/>
      <c r="GW170" s="873"/>
      <c r="GX170" s="873"/>
      <c r="GY170" s="873"/>
      <c r="GZ170" s="873"/>
      <c r="HA170" s="873"/>
      <c r="HB170" s="873"/>
      <c r="HC170" s="873"/>
      <c r="HD170" s="873"/>
      <c r="HE170" s="873"/>
      <c r="HF170" s="873"/>
      <c r="HG170" s="873"/>
      <c r="HH170" s="873"/>
      <c r="HI170" s="873"/>
      <c r="HJ170" s="873"/>
      <c r="HK170" s="873"/>
      <c r="HL170" s="873"/>
      <c r="HM170" s="873"/>
      <c r="HN170" s="873"/>
      <c r="HO170" s="873"/>
      <c r="HP170" s="873"/>
      <c r="HQ170" s="873"/>
      <c r="HR170" s="873"/>
      <c r="HS170" s="873"/>
      <c r="HT170" s="873"/>
      <c r="HU170" s="873"/>
      <c r="HV170" s="873"/>
      <c r="HW170" s="873"/>
      <c r="HX170" s="873"/>
      <c r="HY170" s="873"/>
      <c r="HZ170" s="873"/>
      <c r="IA170" s="873"/>
      <c r="IB170" s="873"/>
      <c r="IC170" s="873"/>
      <c r="ID170" s="873"/>
      <c r="IE170" s="873"/>
      <c r="IF170" s="873"/>
      <c r="IG170" s="873"/>
      <c r="IH170" s="873"/>
      <c r="II170" s="873"/>
      <c r="IJ170" s="873"/>
      <c r="IK170" s="873"/>
      <c r="IL170" s="873"/>
      <c r="IM170" s="873"/>
      <c r="IN170" s="873"/>
      <c r="IO170" s="873"/>
      <c r="IP170" s="873"/>
      <c r="IQ170" s="873"/>
      <c r="IR170" s="873"/>
      <c r="IS170" s="873"/>
      <c r="IT170" s="873"/>
      <c r="IU170" s="873"/>
      <c r="IV170" s="873"/>
      <c r="IW170" s="873"/>
    </row>
    <row r="171" spans="1:257" s="876" customFormat="1" ht="42">
      <c r="A171" s="2493"/>
      <c r="B171" s="1145" t="s">
        <v>1895</v>
      </c>
      <c r="C171" s="1126">
        <v>4</v>
      </c>
      <c r="D171" s="1126">
        <v>5</v>
      </c>
      <c r="E171" s="1127" t="s">
        <v>1566</v>
      </c>
      <c r="F171" s="1128" t="str">
        <f>IF(Scoring!I180="","",Scoring!I180)</f>
        <v/>
      </c>
      <c r="G171" s="1129"/>
      <c r="H171" s="1129"/>
      <c r="I171" s="1130" t="s">
        <v>2568</v>
      </c>
      <c r="J171" s="1131"/>
      <c r="K171" s="1131"/>
      <c r="L171" s="1167"/>
      <c r="M171" s="1168"/>
      <c r="N171" s="873"/>
      <c r="O171" s="877"/>
      <c r="P171" s="886"/>
      <c r="Q171" s="873"/>
      <c r="R171" s="873"/>
      <c r="S171" s="873"/>
      <c r="T171" s="873"/>
      <c r="U171" s="873"/>
      <c r="V171" s="873"/>
      <c r="W171" s="873"/>
      <c r="X171" s="873"/>
      <c r="Y171" s="873"/>
      <c r="Z171" s="873"/>
      <c r="AA171" s="873"/>
      <c r="AB171" s="873"/>
      <c r="AC171" s="873"/>
      <c r="AD171" s="873"/>
      <c r="AE171" s="873"/>
      <c r="AF171" s="873"/>
      <c r="AG171" s="873"/>
      <c r="AH171" s="873"/>
      <c r="AI171" s="873"/>
      <c r="AJ171" s="873"/>
      <c r="AK171" s="873"/>
      <c r="AL171" s="873"/>
      <c r="AM171" s="873"/>
      <c r="AN171" s="873"/>
      <c r="AO171" s="873"/>
      <c r="AP171" s="873"/>
      <c r="AQ171" s="873"/>
      <c r="AR171" s="873"/>
      <c r="AS171" s="873"/>
      <c r="AT171" s="873"/>
      <c r="AU171" s="873"/>
      <c r="AV171" s="873"/>
      <c r="AW171" s="873"/>
      <c r="AX171" s="873"/>
      <c r="AY171" s="873"/>
      <c r="AZ171" s="873"/>
      <c r="BA171" s="873"/>
      <c r="BB171" s="873"/>
      <c r="BC171" s="873"/>
      <c r="BD171" s="873"/>
      <c r="BE171" s="873"/>
      <c r="BF171" s="873"/>
      <c r="BG171" s="873"/>
      <c r="BH171" s="873"/>
      <c r="BI171" s="873"/>
      <c r="BJ171" s="873"/>
      <c r="BK171" s="873"/>
      <c r="BL171" s="873"/>
      <c r="BM171" s="873"/>
      <c r="BN171" s="873"/>
      <c r="BO171" s="873"/>
      <c r="BP171" s="873"/>
      <c r="BQ171" s="873"/>
      <c r="BR171" s="873"/>
      <c r="BS171" s="873"/>
      <c r="BT171" s="873"/>
      <c r="BU171" s="873"/>
      <c r="BV171" s="873"/>
      <c r="BW171" s="873"/>
      <c r="BX171" s="873"/>
      <c r="BY171" s="873"/>
      <c r="BZ171" s="873"/>
      <c r="CA171" s="873"/>
      <c r="CB171" s="873"/>
      <c r="CC171" s="873"/>
      <c r="CD171" s="873"/>
      <c r="CE171" s="873"/>
      <c r="CF171" s="873"/>
      <c r="CG171" s="873"/>
      <c r="CH171" s="873"/>
      <c r="CI171" s="873"/>
      <c r="CJ171" s="873"/>
      <c r="CK171" s="873"/>
      <c r="CL171" s="873"/>
      <c r="CM171" s="873"/>
      <c r="CN171" s="873"/>
      <c r="CO171" s="873"/>
      <c r="CP171" s="873"/>
      <c r="CQ171" s="873"/>
      <c r="CR171" s="873"/>
      <c r="CS171" s="873"/>
      <c r="CT171" s="873"/>
      <c r="CU171" s="873"/>
      <c r="CV171" s="873"/>
      <c r="CW171" s="873"/>
      <c r="CX171" s="873"/>
      <c r="CY171" s="873"/>
      <c r="CZ171" s="873"/>
      <c r="DA171" s="873"/>
      <c r="DB171" s="873"/>
      <c r="DC171" s="873"/>
      <c r="DD171" s="873"/>
      <c r="DE171" s="873"/>
      <c r="DF171" s="873"/>
      <c r="DG171" s="873"/>
      <c r="DH171" s="873"/>
      <c r="DI171" s="873"/>
      <c r="DJ171" s="873"/>
      <c r="DK171" s="873"/>
      <c r="DL171" s="873"/>
      <c r="DM171" s="873"/>
      <c r="DN171" s="873"/>
      <c r="DO171" s="873"/>
      <c r="DP171" s="873"/>
      <c r="DQ171" s="873"/>
      <c r="DR171" s="873"/>
      <c r="DS171" s="873"/>
      <c r="DT171" s="873"/>
      <c r="DU171" s="873"/>
      <c r="DV171" s="873"/>
      <c r="DW171" s="873"/>
      <c r="DX171" s="873"/>
      <c r="DY171" s="873"/>
      <c r="DZ171" s="873"/>
      <c r="EA171" s="873"/>
      <c r="EB171" s="873"/>
      <c r="EC171" s="873"/>
      <c r="ED171" s="873"/>
      <c r="EE171" s="873"/>
      <c r="EF171" s="873"/>
      <c r="EG171" s="873"/>
      <c r="EH171" s="873"/>
      <c r="EI171" s="873"/>
      <c r="EJ171" s="873"/>
      <c r="EK171" s="873"/>
      <c r="EL171" s="873"/>
      <c r="EM171" s="873"/>
      <c r="EN171" s="873"/>
      <c r="EO171" s="873"/>
      <c r="EP171" s="873"/>
      <c r="EQ171" s="873"/>
      <c r="ER171" s="873"/>
      <c r="ES171" s="873"/>
      <c r="ET171" s="873"/>
      <c r="EU171" s="873"/>
      <c r="EV171" s="873"/>
      <c r="EW171" s="873"/>
      <c r="EX171" s="873"/>
      <c r="EY171" s="873"/>
      <c r="EZ171" s="873"/>
      <c r="FA171" s="873"/>
      <c r="FB171" s="873"/>
      <c r="FC171" s="873"/>
      <c r="FD171" s="873"/>
      <c r="FE171" s="873"/>
      <c r="FF171" s="873"/>
      <c r="FG171" s="873"/>
      <c r="FH171" s="873"/>
      <c r="FI171" s="873"/>
      <c r="FJ171" s="873"/>
      <c r="FK171" s="873"/>
      <c r="FL171" s="873"/>
      <c r="FM171" s="873"/>
      <c r="FN171" s="873"/>
      <c r="FO171" s="873"/>
      <c r="FP171" s="873"/>
      <c r="FQ171" s="873"/>
      <c r="FR171" s="873"/>
      <c r="FS171" s="873"/>
      <c r="FT171" s="873"/>
      <c r="FU171" s="873"/>
      <c r="FV171" s="873"/>
      <c r="FW171" s="873"/>
      <c r="FX171" s="873"/>
      <c r="FY171" s="873"/>
      <c r="FZ171" s="873"/>
      <c r="GA171" s="873"/>
      <c r="GB171" s="873"/>
      <c r="GC171" s="873"/>
      <c r="GD171" s="873"/>
      <c r="GE171" s="873"/>
      <c r="GF171" s="873"/>
      <c r="GG171" s="873"/>
      <c r="GH171" s="873"/>
      <c r="GI171" s="873"/>
      <c r="GJ171" s="873"/>
      <c r="GK171" s="873"/>
      <c r="GL171" s="873"/>
      <c r="GM171" s="873"/>
      <c r="GN171" s="873"/>
      <c r="GO171" s="873"/>
      <c r="GP171" s="873"/>
      <c r="GQ171" s="873"/>
      <c r="GR171" s="873"/>
      <c r="GS171" s="873"/>
      <c r="GT171" s="873"/>
      <c r="GU171" s="873"/>
      <c r="GV171" s="873"/>
      <c r="GW171" s="873"/>
      <c r="GX171" s="873"/>
      <c r="GY171" s="873"/>
      <c r="GZ171" s="873"/>
      <c r="HA171" s="873"/>
      <c r="HB171" s="873"/>
      <c r="HC171" s="873"/>
      <c r="HD171" s="873"/>
      <c r="HE171" s="873"/>
      <c r="HF171" s="873"/>
      <c r="HG171" s="873"/>
      <c r="HH171" s="873"/>
      <c r="HI171" s="873"/>
      <c r="HJ171" s="873"/>
      <c r="HK171" s="873"/>
      <c r="HL171" s="873"/>
      <c r="HM171" s="873"/>
      <c r="HN171" s="873"/>
      <c r="HO171" s="873"/>
      <c r="HP171" s="873"/>
      <c r="HQ171" s="873"/>
      <c r="HR171" s="873"/>
      <c r="HS171" s="873"/>
      <c r="HT171" s="873"/>
      <c r="HU171" s="873"/>
      <c r="HV171" s="873"/>
      <c r="HW171" s="873"/>
      <c r="HX171" s="873"/>
      <c r="HY171" s="873"/>
      <c r="HZ171" s="873"/>
      <c r="IA171" s="873"/>
      <c r="IB171" s="873"/>
      <c r="IC171" s="873"/>
      <c r="ID171" s="873"/>
      <c r="IE171" s="873"/>
      <c r="IF171" s="873"/>
      <c r="IG171" s="873"/>
      <c r="IH171" s="873"/>
      <c r="II171" s="873"/>
      <c r="IJ171" s="873"/>
      <c r="IK171" s="873"/>
      <c r="IL171" s="873"/>
      <c r="IM171" s="873"/>
      <c r="IN171" s="873"/>
      <c r="IO171" s="873"/>
      <c r="IP171" s="873"/>
      <c r="IQ171" s="873"/>
      <c r="IR171" s="873"/>
      <c r="IS171" s="873"/>
      <c r="IT171" s="873"/>
      <c r="IU171" s="873"/>
      <c r="IV171" s="873"/>
      <c r="IW171" s="873"/>
    </row>
    <row r="172" spans="1:257" ht="98">
      <c r="A172" s="2494"/>
      <c r="B172" s="1146" t="s">
        <v>1896</v>
      </c>
      <c r="C172" s="1135">
        <v>4</v>
      </c>
      <c r="D172" s="1135">
        <v>5</v>
      </c>
      <c r="E172" s="1136" t="s">
        <v>1569</v>
      </c>
      <c r="F172" s="1137" t="str">
        <f>IF(Scoring!I181="","",Scoring!I181)</f>
        <v/>
      </c>
      <c r="G172" s="1138"/>
      <c r="H172" s="1138"/>
      <c r="I172" s="1139" t="s">
        <v>2623</v>
      </c>
      <c r="J172" s="1140">
        <f>COUNT(F170:F172)</f>
        <v>0</v>
      </c>
      <c r="K172" s="1140"/>
      <c r="L172" s="1141">
        <f>SUM(F170:F172)</f>
        <v>0</v>
      </c>
      <c r="M172" s="1142">
        <f>IF(L172&lt;2,0,1)</f>
        <v>0</v>
      </c>
      <c r="O172" s="867"/>
      <c r="P172" s="887"/>
    </row>
    <row r="173" spans="1:257">
      <c r="A173" s="861"/>
      <c r="F173" s="861"/>
      <c r="J173" s="861"/>
      <c r="K173" s="861"/>
    </row>
    <row r="174" spans="1:257">
      <c r="A174" s="861"/>
      <c r="F174" s="861"/>
      <c r="J174" s="861"/>
      <c r="K174" s="861"/>
    </row>
    <row r="175" spans="1:257" ht="99" thickBot="1">
      <c r="A175" s="2492" t="s">
        <v>2624</v>
      </c>
      <c r="B175" s="1148" t="s">
        <v>2570</v>
      </c>
      <c r="C175" s="1117">
        <v>4</v>
      </c>
      <c r="D175" s="1117">
        <v>5</v>
      </c>
      <c r="E175" s="1118" t="s">
        <v>1906</v>
      </c>
      <c r="F175" s="1119" t="str">
        <f>IF(Scoring!I184="","",Scoring!I184)</f>
        <v/>
      </c>
      <c r="G175" s="1120"/>
      <c r="H175" s="1120"/>
      <c r="I175" s="1121" t="s">
        <v>2572</v>
      </c>
      <c r="J175" s="1122"/>
      <c r="K175" s="1122"/>
      <c r="L175" s="1165"/>
      <c r="M175" s="1166"/>
      <c r="O175" s="869"/>
      <c r="P175" s="870">
        <f>COUNTA(F171:F175)</f>
        <v>3</v>
      </c>
    </row>
    <row r="176" spans="1:257" ht="239" thickTop="1">
      <c r="A176" s="2493"/>
      <c r="B176" s="1149" t="s">
        <v>1919</v>
      </c>
      <c r="C176" s="1126">
        <v>4</v>
      </c>
      <c r="D176" s="1126">
        <v>5</v>
      </c>
      <c r="E176" s="1127" t="s">
        <v>1905</v>
      </c>
      <c r="F176" s="1128" t="str">
        <f>IF(Scoring!I185="","",Scoring!I185)</f>
        <v/>
      </c>
      <c r="G176" s="1129"/>
      <c r="H176" s="1129"/>
      <c r="I176" s="1130" t="s">
        <v>2625</v>
      </c>
      <c r="J176" s="1131"/>
      <c r="K176" s="1131"/>
      <c r="L176" s="1167"/>
      <c r="M176" s="1168"/>
      <c r="O176" s="867"/>
      <c r="P176" s="887"/>
    </row>
    <row r="177" spans="1:257" ht="168">
      <c r="A177" s="2493"/>
      <c r="B177" s="1149" t="s">
        <v>2574</v>
      </c>
      <c r="C177" s="1126">
        <v>4</v>
      </c>
      <c r="D177" s="1126">
        <v>5</v>
      </c>
      <c r="E177" s="1127" t="s">
        <v>1909</v>
      </c>
      <c r="F177" s="1128" t="str">
        <f>IF(Scoring!I186="","",Scoring!I186)</f>
        <v/>
      </c>
      <c r="G177" s="1129"/>
      <c r="H177" s="1129"/>
      <c r="I177" s="1130" t="s">
        <v>2626</v>
      </c>
      <c r="J177" s="1131"/>
      <c r="K177" s="1131"/>
      <c r="L177" s="1167"/>
      <c r="M177" s="1168"/>
      <c r="O177" s="867"/>
      <c r="P177" s="887"/>
    </row>
    <row r="178" spans="1:257" ht="182">
      <c r="A178" s="2493"/>
      <c r="B178" s="1149" t="s">
        <v>2577</v>
      </c>
      <c r="C178" s="1126">
        <v>3</v>
      </c>
      <c r="D178" s="1126">
        <v>4</v>
      </c>
      <c r="E178" s="1127" t="s">
        <v>2578</v>
      </c>
      <c r="F178" s="1128" t="str">
        <f>IF(Scoring!I187="","",Scoring!I187)</f>
        <v/>
      </c>
      <c r="G178" s="1129"/>
      <c r="H178" s="1129"/>
      <c r="I178" s="1130" t="s">
        <v>2627</v>
      </c>
      <c r="J178" s="1131"/>
      <c r="K178" s="1131"/>
      <c r="L178" s="1167"/>
      <c r="M178" s="1168"/>
      <c r="O178" s="867"/>
      <c r="P178" s="887"/>
    </row>
    <row r="179" spans="1:257" ht="112">
      <c r="A179" s="2493"/>
      <c r="B179" s="1149" t="s">
        <v>2580</v>
      </c>
      <c r="C179" s="1126">
        <v>4</v>
      </c>
      <c r="D179" s="1126">
        <v>5</v>
      </c>
      <c r="E179" s="1127" t="s">
        <v>2628</v>
      </c>
      <c r="F179" s="1128" t="str">
        <f>IF(Scoring!I188="","",Scoring!I188)</f>
        <v/>
      </c>
      <c r="G179" s="1129"/>
      <c r="H179" s="1129"/>
      <c r="I179" s="1130" t="s">
        <v>2629</v>
      </c>
      <c r="J179" s="1131"/>
      <c r="K179" s="1131"/>
      <c r="L179" s="1167"/>
      <c r="M179" s="1168"/>
      <c r="O179" s="867"/>
      <c r="P179" s="887"/>
    </row>
    <row r="180" spans="1:257" ht="112">
      <c r="A180" s="2494"/>
      <c r="B180" s="1150" t="s">
        <v>2581</v>
      </c>
      <c r="C180" s="1135">
        <v>3</v>
      </c>
      <c r="D180" s="1135">
        <v>4</v>
      </c>
      <c r="E180" s="1136" t="s">
        <v>2630</v>
      </c>
      <c r="F180" s="1137" t="str">
        <f>IF(Scoring!I189="","",Scoring!I189)</f>
        <v/>
      </c>
      <c r="G180" s="1138"/>
      <c r="H180" s="1138"/>
      <c r="I180" s="1139" t="s">
        <v>2631</v>
      </c>
      <c r="J180" s="1140"/>
      <c r="K180" s="1140">
        <f>COUNT(F175:F180)</f>
        <v>0</v>
      </c>
      <c r="L180" s="1141">
        <f>SUM(F175:F180)</f>
        <v>0</v>
      </c>
      <c r="M180" s="1142">
        <f>IF(L180&lt;3,0,1)</f>
        <v>0</v>
      </c>
      <c r="O180" s="867"/>
      <c r="P180" s="887"/>
    </row>
    <row r="181" spans="1:257" s="890" customFormat="1" ht="20">
      <c r="A181" s="888"/>
      <c r="B181" s="891"/>
      <c r="C181" s="1109"/>
      <c r="D181" s="1109"/>
      <c r="E181" s="1110"/>
      <c r="F181" s="1169">
        <f>SUM(F5:F180)</f>
        <v>0</v>
      </c>
      <c r="G181" s="1170" t="s">
        <v>2264</v>
      </c>
      <c r="H181" s="1170"/>
      <c r="I181" s="1171" t="s">
        <v>2265</v>
      </c>
      <c r="J181" s="1172"/>
      <c r="K181" s="1172"/>
      <c r="L181" s="1173"/>
      <c r="M181" s="1174">
        <f>SUM(M5:M180)</f>
        <v>0</v>
      </c>
      <c r="N181" s="889"/>
      <c r="O181" s="889"/>
      <c r="P181" s="889"/>
      <c r="Q181" s="889"/>
      <c r="R181" s="889"/>
      <c r="S181" s="889"/>
      <c r="T181" s="889"/>
      <c r="U181" s="889"/>
      <c r="V181" s="889"/>
      <c r="W181" s="889"/>
      <c r="X181" s="889"/>
      <c r="Y181" s="889"/>
      <c r="Z181" s="889"/>
      <c r="AA181" s="889"/>
      <c r="AB181" s="889"/>
      <c r="AC181" s="889"/>
      <c r="AD181" s="889"/>
      <c r="AE181" s="889"/>
      <c r="AF181" s="889"/>
      <c r="AG181" s="889"/>
      <c r="AH181" s="889"/>
      <c r="AI181" s="889"/>
      <c r="AJ181" s="889"/>
      <c r="AK181" s="889"/>
      <c r="AL181" s="889"/>
      <c r="AM181" s="889"/>
      <c r="AN181" s="889"/>
      <c r="AO181" s="889"/>
      <c r="AP181" s="889"/>
      <c r="AQ181" s="889"/>
      <c r="AR181" s="889"/>
      <c r="AS181" s="889"/>
      <c r="AT181" s="889"/>
      <c r="AU181" s="889"/>
      <c r="AV181" s="889"/>
      <c r="AW181" s="889"/>
      <c r="AX181" s="889"/>
      <c r="AY181" s="889"/>
      <c r="AZ181" s="889"/>
      <c r="BA181" s="889"/>
      <c r="BB181" s="889"/>
      <c r="BC181" s="889"/>
      <c r="BD181" s="889"/>
      <c r="BE181" s="889"/>
      <c r="BF181" s="889"/>
      <c r="BG181" s="889"/>
      <c r="BH181" s="889"/>
      <c r="BI181" s="889"/>
      <c r="BJ181" s="889"/>
      <c r="BK181" s="889"/>
      <c r="BL181" s="889"/>
      <c r="BM181" s="889"/>
      <c r="BN181" s="889"/>
      <c r="BO181" s="889"/>
      <c r="BP181" s="889"/>
      <c r="BQ181" s="889"/>
      <c r="BR181" s="889"/>
      <c r="BS181" s="889"/>
      <c r="BT181" s="889"/>
      <c r="BU181" s="889"/>
      <c r="BV181" s="889"/>
      <c r="BW181" s="889"/>
      <c r="BX181" s="889"/>
      <c r="BY181" s="889"/>
      <c r="BZ181" s="889"/>
      <c r="CA181" s="889"/>
      <c r="CB181" s="889"/>
      <c r="CC181" s="889"/>
      <c r="CD181" s="889"/>
      <c r="CE181" s="889"/>
      <c r="CF181" s="889"/>
      <c r="CG181" s="889"/>
      <c r="CH181" s="889"/>
      <c r="CI181" s="889"/>
      <c r="CJ181" s="889"/>
      <c r="CK181" s="889"/>
      <c r="CL181" s="889"/>
      <c r="CM181" s="889"/>
      <c r="CN181" s="889"/>
      <c r="CO181" s="889"/>
      <c r="CP181" s="889"/>
      <c r="CQ181" s="889"/>
      <c r="CR181" s="889"/>
      <c r="CS181" s="889"/>
      <c r="CT181" s="889"/>
      <c r="CU181" s="889"/>
      <c r="CV181" s="889"/>
      <c r="CW181" s="889"/>
      <c r="CX181" s="889"/>
      <c r="CY181" s="889"/>
      <c r="CZ181" s="889"/>
      <c r="DA181" s="889"/>
      <c r="DB181" s="889"/>
      <c r="DC181" s="889"/>
      <c r="DD181" s="889"/>
      <c r="DE181" s="889"/>
      <c r="DF181" s="889"/>
      <c r="DG181" s="889"/>
      <c r="DH181" s="889"/>
      <c r="DI181" s="889"/>
      <c r="DJ181" s="889"/>
      <c r="DK181" s="889"/>
      <c r="DL181" s="889"/>
      <c r="DM181" s="889"/>
      <c r="DN181" s="889"/>
      <c r="DO181" s="889"/>
      <c r="DP181" s="889"/>
      <c r="DQ181" s="889"/>
      <c r="DR181" s="889"/>
      <c r="DS181" s="889"/>
      <c r="DT181" s="889"/>
      <c r="DU181" s="889"/>
      <c r="DV181" s="889"/>
      <c r="DW181" s="889"/>
      <c r="DX181" s="889"/>
      <c r="DY181" s="889"/>
      <c r="DZ181" s="889"/>
      <c r="EA181" s="889"/>
      <c r="EB181" s="889"/>
      <c r="EC181" s="889"/>
      <c r="ED181" s="889"/>
      <c r="EE181" s="889"/>
      <c r="EF181" s="889"/>
      <c r="EG181" s="889"/>
      <c r="EH181" s="889"/>
      <c r="EI181" s="889"/>
      <c r="EJ181" s="889"/>
      <c r="EK181" s="889"/>
      <c r="EL181" s="889"/>
      <c r="EM181" s="889"/>
      <c r="EN181" s="889"/>
      <c r="EO181" s="889"/>
      <c r="EP181" s="889"/>
      <c r="EQ181" s="889"/>
      <c r="ER181" s="889"/>
      <c r="ES181" s="889"/>
      <c r="ET181" s="889"/>
      <c r="EU181" s="889"/>
      <c r="EV181" s="889"/>
      <c r="EW181" s="889"/>
      <c r="EX181" s="889"/>
      <c r="EY181" s="889"/>
      <c r="EZ181" s="889"/>
      <c r="FA181" s="889"/>
      <c r="FB181" s="889"/>
      <c r="FC181" s="889"/>
      <c r="FD181" s="889"/>
      <c r="FE181" s="889"/>
      <c r="FF181" s="889"/>
      <c r="FG181" s="889"/>
      <c r="FH181" s="889"/>
      <c r="FI181" s="889"/>
      <c r="FJ181" s="889"/>
      <c r="FK181" s="889"/>
      <c r="FL181" s="889"/>
      <c r="FM181" s="889"/>
      <c r="FN181" s="889"/>
      <c r="FO181" s="889"/>
      <c r="FP181" s="889"/>
      <c r="FQ181" s="889"/>
      <c r="FR181" s="889"/>
      <c r="FS181" s="889"/>
      <c r="FT181" s="889"/>
      <c r="FU181" s="889"/>
      <c r="FV181" s="889"/>
      <c r="FW181" s="889"/>
      <c r="FX181" s="889"/>
      <c r="FY181" s="889"/>
      <c r="FZ181" s="889"/>
      <c r="GA181" s="889"/>
      <c r="GB181" s="889"/>
      <c r="GC181" s="889"/>
      <c r="GD181" s="889"/>
      <c r="GE181" s="889"/>
      <c r="GF181" s="889"/>
      <c r="GG181" s="889"/>
      <c r="GH181" s="889"/>
      <c r="GI181" s="889"/>
      <c r="GJ181" s="889"/>
      <c r="GK181" s="889"/>
      <c r="GL181" s="889"/>
      <c r="GM181" s="889"/>
      <c r="GN181" s="889"/>
      <c r="GO181" s="889"/>
      <c r="GP181" s="889"/>
      <c r="GQ181" s="889"/>
      <c r="GR181" s="889"/>
      <c r="GS181" s="889"/>
      <c r="GT181" s="889"/>
      <c r="GU181" s="889"/>
      <c r="GV181" s="889"/>
      <c r="GW181" s="889"/>
      <c r="GX181" s="889"/>
      <c r="GY181" s="889"/>
      <c r="GZ181" s="889"/>
      <c r="HA181" s="889"/>
      <c r="HB181" s="889"/>
      <c r="HC181" s="889"/>
      <c r="HD181" s="889"/>
      <c r="HE181" s="889"/>
      <c r="HF181" s="889"/>
      <c r="HG181" s="889"/>
      <c r="HH181" s="889"/>
      <c r="HI181" s="889"/>
      <c r="HJ181" s="889"/>
      <c r="HK181" s="889"/>
      <c r="HL181" s="889"/>
      <c r="HM181" s="889"/>
      <c r="HN181" s="889"/>
      <c r="HO181" s="889"/>
      <c r="HP181" s="889"/>
      <c r="HQ181" s="889"/>
      <c r="HR181" s="889"/>
      <c r="HS181" s="889"/>
      <c r="HT181" s="889"/>
      <c r="HU181" s="889"/>
      <c r="HV181" s="889"/>
      <c r="HW181" s="889"/>
      <c r="HX181" s="889"/>
      <c r="HY181" s="889"/>
      <c r="HZ181" s="889"/>
      <c r="IA181" s="889"/>
      <c r="IB181" s="889"/>
      <c r="IC181" s="889"/>
      <c r="ID181" s="889"/>
      <c r="IE181" s="889"/>
      <c r="IF181" s="889"/>
      <c r="IG181" s="889"/>
      <c r="IH181" s="889"/>
      <c r="II181" s="889"/>
      <c r="IJ181" s="889"/>
      <c r="IK181" s="889"/>
      <c r="IL181" s="889"/>
      <c r="IM181" s="889"/>
      <c r="IN181" s="889"/>
      <c r="IO181" s="889"/>
      <c r="IP181" s="889"/>
      <c r="IQ181" s="889"/>
      <c r="IR181" s="889"/>
      <c r="IS181" s="889"/>
      <c r="IT181" s="889"/>
      <c r="IU181" s="889"/>
      <c r="IV181" s="889"/>
      <c r="IW181" s="889"/>
    </row>
    <row r="182" spans="1:257" s="890" customFormat="1" ht="20">
      <c r="A182" s="888"/>
      <c r="B182" s="891"/>
      <c r="C182" s="892"/>
      <c r="D182" s="892"/>
      <c r="E182" s="892"/>
      <c r="F182" s="1175">
        <f>COUNT(F5:F180)</f>
        <v>0</v>
      </c>
      <c r="G182" s="1176" t="s">
        <v>2266</v>
      </c>
      <c r="H182" s="1176"/>
      <c r="I182" s="1177" t="s">
        <v>2267</v>
      </c>
      <c r="J182" s="1176"/>
      <c r="K182" s="1176"/>
      <c r="L182" s="1176"/>
      <c r="M182" s="1178">
        <f>COUNTIF(P5:P180,"&gt;0")</f>
        <v>28</v>
      </c>
      <c r="N182" s="889"/>
      <c r="O182" s="889"/>
      <c r="P182" s="889"/>
      <c r="Q182" s="889"/>
      <c r="R182" s="889"/>
      <c r="S182" s="889"/>
      <c r="T182" s="889"/>
      <c r="U182" s="889"/>
      <c r="V182" s="889"/>
      <c r="W182" s="889"/>
      <c r="X182" s="889"/>
      <c r="Y182" s="889"/>
      <c r="Z182" s="889"/>
      <c r="AA182" s="889"/>
      <c r="AB182" s="889"/>
      <c r="AC182" s="889"/>
      <c r="AD182" s="889"/>
      <c r="AE182" s="889"/>
      <c r="AF182" s="889"/>
      <c r="AG182" s="889"/>
      <c r="AH182" s="889"/>
      <c r="AI182" s="889"/>
      <c r="AJ182" s="889"/>
      <c r="AK182" s="889"/>
      <c r="AL182" s="889"/>
      <c r="AM182" s="889"/>
      <c r="AN182" s="889"/>
      <c r="AO182" s="889"/>
      <c r="AP182" s="889"/>
      <c r="AQ182" s="889"/>
      <c r="AR182" s="889"/>
      <c r="AS182" s="889"/>
      <c r="AT182" s="889"/>
      <c r="AU182" s="889"/>
      <c r="AV182" s="889"/>
      <c r="AW182" s="889"/>
      <c r="AX182" s="889"/>
      <c r="AY182" s="889"/>
      <c r="AZ182" s="889"/>
      <c r="BA182" s="889"/>
      <c r="BB182" s="889"/>
      <c r="BC182" s="889"/>
      <c r="BD182" s="889"/>
      <c r="BE182" s="889"/>
      <c r="BF182" s="889"/>
      <c r="BG182" s="889"/>
      <c r="BH182" s="889"/>
      <c r="BI182" s="889"/>
      <c r="BJ182" s="889"/>
      <c r="BK182" s="889"/>
      <c r="BL182" s="889"/>
      <c r="BM182" s="889"/>
      <c r="BN182" s="889"/>
      <c r="BO182" s="889"/>
      <c r="BP182" s="889"/>
      <c r="BQ182" s="889"/>
      <c r="BR182" s="889"/>
      <c r="BS182" s="889"/>
      <c r="BT182" s="889"/>
      <c r="BU182" s="889"/>
      <c r="BV182" s="889"/>
      <c r="BW182" s="889"/>
      <c r="BX182" s="889"/>
      <c r="BY182" s="889"/>
      <c r="BZ182" s="889"/>
      <c r="CA182" s="889"/>
      <c r="CB182" s="889"/>
      <c r="CC182" s="889"/>
      <c r="CD182" s="889"/>
      <c r="CE182" s="889"/>
      <c r="CF182" s="889"/>
      <c r="CG182" s="889"/>
      <c r="CH182" s="889"/>
      <c r="CI182" s="889"/>
      <c r="CJ182" s="889"/>
      <c r="CK182" s="889"/>
      <c r="CL182" s="889"/>
      <c r="CM182" s="889"/>
      <c r="CN182" s="889"/>
      <c r="CO182" s="889"/>
      <c r="CP182" s="889"/>
      <c r="CQ182" s="889"/>
      <c r="CR182" s="889"/>
      <c r="CS182" s="889"/>
      <c r="CT182" s="889"/>
      <c r="CU182" s="889"/>
      <c r="CV182" s="889"/>
      <c r="CW182" s="889"/>
      <c r="CX182" s="889"/>
      <c r="CY182" s="889"/>
      <c r="CZ182" s="889"/>
      <c r="DA182" s="889"/>
      <c r="DB182" s="889"/>
      <c r="DC182" s="889"/>
      <c r="DD182" s="889"/>
      <c r="DE182" s="889"/>
      <c r="DF182" s="889"/>
      <c r="DG182" s="889"/>
      <c r="DH182" s="889"/>
      <c r="DI182" s="889"/>
      <c r="DJ182" s="889"/>
      <c r="DK182" s="889"/>
      <c r="DL182" s="889"/>
      <c r="DM182" s="889"/>
      <c r="DN182" s="889"/>
      <c r="DO182" s="889"/>
      <c r="DP182" s="889"/>
      <c r="DQ182" s="889"/>
      <c r="DR182" s="889"/>
      <c r="DS182" s="889"/>
      <c r="DT182" s="889"/>
      <c r="DU182" s="889"/>
      <c r="DV182" s="889"/>
      <c r="DW182" s="889"/>
      <c r="DX182" s="889"/>
      <c r="DY182" s="889"/>
      <c r="DZ182" s="889"/>
      <c r="EA182" s="889"/>
      <c r="EB182" s="889"/>
      <c r="EC182" s="889"/>
      <c r="ED182" s="889"/>
      <c r="EE182" s="889"/>
      <c r="EF182" s="889"/>
      <c r="EG182" s="889"/>
      <c r="EH182" s="889"/>
      <c r="EI182" s="889"/>
      <c r="EJ182" s="889"/>
      <c r="EK182" s="889"/>
      <c r="EL182" s="889"/>
      <c r="EM182" s="889"/>
      <c r="EN182" s="889"/>
      <c r="EO182" s="889"/>
      <c r="EP182" s="889"/>
      <c r="EQ182" s="889"/>
      <c r="ER182" s="889"/>
      <c r="ES182" s="889"/>
      <c r="ET182" s="889"/>
      <c r="EU182" s="889"/>
      <c r="EV182" s="889"/>
      <c r="EW182" s="889"/>
      <c r="EX182" s="889"/>
      <c r="EY182" s="889"/>
      <c r="EZ182" s="889"/>
      <c r="FA182" s="889"/>
      <c r="FB182" s="889"/>
      <c r="FC182" s="889"/>
      <c r="FD182" s="889"/>
      <c r="FE182" s="889"/>
      <c r="FF182" s="889"/>
      <c r="FG182" s="889"/>
      <c r="FH182" s="889"/>
      <c r="FI182" s="889"/>
      <c r="FJ182" s="889"/>
      <c r="FK182" s="889"/>
      <c r="FL182" s="889"/>
      <c r="FM182" s="889"/>
      <c r="FN182" s="889"/>
      <c r="FO182" s="889"/>
      <c r="FP182" s="889"/>
      <c r="FQ182" s="889"/>
      <c r="FR182" s="889"/>
      <c r="FS182" s="889"/>
      <c r="FT182" s="889"/>
      <c r="FU182" s="889"/>
      <c r="FV182" s="889"/>
      <c r="FW182" s="889"/>
      <c r="FX182" s="889"/>
      <c r="FY182" s="889"/>
      <c r="FZ182" s="889"/>
      <c r="GA182" s="889"/>
      <c r="GB182" s="889"/>
      <c r="GC182" s="889"/>
      <c r="GD182" s="889"/>
      <c r="GE182" s="889"/>
      <c r="GF182" s="889"/>
      <c r="GG182" s="889"/>
      <c r="GH182" s="889"/>
      <c r="GI182" s="889"/>
      <c r="GJ182" s="889"/>
      <c r="GK182" s="889"/>
      <c r="GL182" s="889"/>
      <c r="GM182" s="889"/>
      <c r="GN182" s="889"/>
      <c r="GO182" s="889"/>
      <c r="GP182" s="889"/>
      <c r="GQ182" s="889"/>
      <c r="GR182" s="889"/>
      <c r="GS182" s="889"/>
      <c r="GT182" s="889"/>
      <c r="GU182" s="889"/>
      <c r="GV182" s="889"/>
      <c r="GW182" s="889"/>
      <c r="GX182" s="889"/>
      <c r="GY182" s="889"/>
      <c r="GZ182" s="889"/>
      <c r="HA182" s="889"/>
      <c r="HB182" s="889"/>
      <c r="HC182" s="889"/>
      <c r="HD182" s="889"/>
      <c r="HE182" s="889"/>
      <c r="HF182" s="889"/>
      <c r="HG182" s="889"/>
      <c r="HH182" s="889"/>
      <c r="HI182" s="889"/>
      <c r="HJ182" s="889"/>
      <c r="HK182" s="889"/>
      <c r="HL182" s="889"/>
      <c r="HM182" s="889"/>
      <c r="HN182" s="889"/>
      <c r="HO182" s="889"/>
      <c r="HP182" s="889"/>
      <c r="HQ182" s="889"/>
      <c r="HR182" s="889"/>
      <c r="HS182" s="889"/>
      <c r="HT182" s="889"/>
      <c r="HU182" s="889"/>
      <c r="HV182" s="889"/>
      <c r="HW182" s="889"/>
      <c r="HX182" s="889"/>
      <c r="HY182" s="889"/>
      <c r="HZ182" s="889"/>
      <c r="IA182" s="889"/>
      <c r="IB182" s="889"/>
      <c r="IC182" s="889"/>
      <c r="ID182" s="889"/>
      <c r="IE182" s="889"/>
      <c r="IF182" s="889"/>
      <c r="IG182" s="889"/>
      <c r="IH182" s="889"/>
      <c r="II182" s="889"/>
      <c r="IJ182" s="889"/>
      <c r="IK182" s="889"/>
      <c r="IL182" s="889"/>
      <c r="IM182" s="889"/>
      <c r="IN182" s="889"/>
      <c r="IO182" s="889"/>
      <c r="IP182" s="889"/>
      <c r="IQ182" s="889"/>
      <c r="IR182" s="889"/>
      <c r="IS182" s="889"/>
      <c r="IT182" s="889"/>
      <c r="IU182" s="889"/>
      <c r="IV182" s="889"/>
      <c r="IW182" s="889"/>
    </row>
    <row r="183" spans="1:257" ht="36.75" customHeight="1">
      <c r="C183" s="2495" t="s">
        <v>2268</v>
      </c>
      <c r="D183" s="2496"/>
      <c r="E183" s="2497"/>
      <c r="F183" s="894"/>
      <c r="G183" s="895"/>
      <c r="H183" s="895"/>
      <c r="I183" s="895"/>
      <c r="J183" s="896"/>
      <c r="K183" s="896"/>
      <c r="L183" s="895"/>
      <c r="M183" s="894"/>
    </row>
    <row r="184" spans="1:257" ht="34">
      <c r="C184" s="1264">
        <v>16</v>
      </c>
      <c r="D184" s="1265">
        <v>16</v>
      </c>
      <c r="E184" s="1179" t="s">
        <v>2269</v>
      </c>
      <c r="F184" s="1181">
        <f>COUNTIF(K5:K180,"&gt;0")</f>
        <v>0</v>
      </c>
      <c r="G184" s="1182" t="s">
        <v>2270</v>
      </c>
      <c r="H184" s="895"/>
      <c r="I184" s="1185" t="s">
        <v>2274</v>
      </c>
      <c r="J184" s="1186"/>
      <c r="K184" s="1186"/>
      <c r="L184" s="1187"/>
      <c r="M184" s="1188">
        <v>11</v>
      </c>
    </row>
    <row r="185" spans="1:257" ht="34">
      <c r="C185" s="1266">
        <v>6</v>
      </c>
      <c r="D185" s="1267">
        <v>6</v>
      </c>
      <c r="E185" s="1180" t="s">
        <v>2272</v>
      </c>
      <c r="F185" s="1183">
        <f>COUNTIF(J5:J180,"&gt;0")</f>
        <v>0</v>
      </c>
      <c r="G185" s="1184" t="s">
        <v>2273</v>
      </c>
      <c r="H185" s="895"/>
      <c r="I185" s="1189" t="s">
        <v>2582</v>
      </c>
      <c r="J185" s="1190"/>
      <c r="K185" s="1190"/>
      <c r="L185" s="1191"/>
      <c r="M185" s="1192">
        <v>11</v>
      </c>
    </row>
    <row r="186" spans="1:257" ht="20">
      <c r="C186" s="897"/>
      <c r="D186" s="897"/>
      <c r="E186" s="898"/>
      <c r="F186" s="899"/>
      <c r="I186" s="898"/>
      <c r="J186" s="900"/>
      <c r="K186" s="900"/>
      <c r="L186" s="873"/>
      <c r="M186" s="901"/>
    </row>
    <row r="187" spans="1:257" ht="15">
      <c r="G187" s="903" t="s">
        <v>2275</v>
      </c>
      <c r="H187" s="903"/>
    </row>
    <row r="188" spans="1:257" ht="15">
      <c r="E188" s="903" t="s">
        <v>2276</v>
      </c>
    </row>
    <row r="189" spans="1:257" s="890" customFormat="1" ht="28">
      <c r="A189" s="905"/>
      <c r="B189" s="861"/>
      <c r="C189" s="889"/>
      <c r="D189" s="889"/>
      <c r="E189" s="906" t="s">
        <v>2277</v>
      </c>
      <c r="F189" s="902"/>
      <c r="G189" s="907" t="s">
        <v>2278</v>
      </c>
      <c r="H189" s="908"/>
      <c r="I189" s="889"/>
      <c r="J189" s="904"/>
      <c r="K189" s="904"/>
      <c r="L189" s="889"/>
      <c r="M189" s="889"/>
      <c r="N189" s="889"/>
      <c r="O189" s="889"/>
      <c r="P189" s="889"/>
      <c r="Q189" s="889"/>
      <c r="R189" s="889"/>
      <c r="S189" s="889"/>
      <c r="T189" s="889"/>
      <c r="U189" s="889"/>
      <c r="V189" s="889"/>
      <c r="W189" s="889"/>
      <c r="X189" s="889"/>
      <c r="Y189" s="889"/>
      <c r="Z189" s="889"/>
      <c r="AA189" s="889"/>
      <c r="AB189" s="889"/>
      <c r="AC189" s="889"/>
      <c r="AD189" s="889"/>
      <c r="AE189" s="889"/>
      <c r="AF189" s="889"/>
      <c r="AG189" s="889"/>
      <c r="AH189" s="889"/>
      <c r="AI189" s="889"/>
      <c r="AJ189" s="889"/>
      <c r="AK189" s="889"/>
      <c r="AL189" s="889"/>
      <c r="AM189" s="889"/>
      <c r="AN189" s="889"/>
      <c r="AO189" s="889"/>
      <c r="AP189" s="889"/>
      <c r="AQ189" s="889"/>
      <c r="AR189" s="889"/>
      <c r="AS189" s="889"/>
      <c r="AT189" s="889"/>
      <c r="AU189" s="889"/>
      <c r="AV189" s="889"/>
      <c r="AW189" s="889"/>
      <c r="AX189" s="889"/>
      <c r="AY189" s="889"/>
      <c r="AZ189" s="889"/>
      <c r="BA189" s="889"/>
      <c r="BB189" s="889"/>
      <c r="BC189" s="889"/>
      <c r="BD189" s="889"/>
      <c r="BE189" s="889"/>
      <c r="BF189" s="889"/>
      <c r="BG189" s="889"/>
      <c r="BH189" s="889"/>
      <c r="BI189" s="889"/>
      <c r="BJ189" s="889"/>
      <c r="BK189" s="889"/>
      <c r="BL189" s="889"/>
      <c r="BM189" s="889"/>
      <c r="BN189" s="889"/>
      <c r="BO189" s="889"/>
      <c r="BP189" s="889"/>
      <c r="BQ189" s="889"/>
      <c r="BR189" s="889"/>
      <c r="BS189" s="889"/>
      <c r="BT189" s="889"/>
      <c r="BU189" s="889"/>
      <c r="BV189" s="889"/>
      <c r="BW189" s="889"/>
      <c r="BX189" s="889"/>
      <c r="BY189" s="889"/>
      <c r="BZ189" s="889"/>
      <c r="CA189" s="889"/>
      <c r="CB189" s="889"/>
      <c r="CC189" s="889"/>
      <c r="CD189" s="889"/>
      <c r="CE189" s="889"/>
      <c r="CF189" s="889"/>
      <c r="CG189" s="889"/>
      <c r="CH189" s="889"/>
      <c r="CI189" s="889"/>
      <c r="CJ189" s="889"/>
      <c r="CK189" s="889"/>
      <c r="CL189" s="889"/>
      <c r="CM189" s="889"/>
      <c r="CN189" s="889"/>
      <c r="CO189" s="889"/>
      <c r="CP189" s="889"/>
      <c r="CQ189" s="889"/>
      <c r="CR189" s="889"/>
      <c r="CS189" s="889"/>
      <c r="CT189" s="889"/>
      <c r="CU189" s="889"/>
      <c r="CV189" s="889"/>
      <c r="CW189" s="889"/>
      <c r="CX189" s="889"/>
      <c r="CY189" s="889"/>
      <c r="CZ189" s="889"/>
      <c r="DA189" s="889"/>
      <c r="DB189" s="889"/>
      <c r="DC189" s="889"/>
      <c r="DD189" s="889"/>
      <c r="DE189" s="889"/>
      <c r="DF189" s="889"/>
      <c r="DG189" s="889"/>
      <c r="DH189" s="889"/>
      <c r="DI189" s="889"/>
      <c r="DJ189" s="889"/>
      <c r="DK189" s="889"/>
      <c r="DL189" s="889"/>
      <c r="DM189" s="889"/>
      <c r="DN189" s="889"/>
      <c r="DO189" s="889"/>
      <c r="DP189" s="889"/>
      <c r="DQ189" s="889"/>
      <c r="DR189" s="889"/>
      <c r="DS189" s="889"/>
      <c r="DT189" s="889"/>
      <c r="DU189" s="889"/>
      <c r="DV189" s="889"/>
      <c r="DW189" s="889"/>
      <c r="DX189" s="889"/>
      <c r="DY189" s="889"/>
      <c r="DZ189" s="889"/>
      <c r="EA189" s="889"/>
      <c r="EB189" s="889"/>
      <c r="EC189" s="889"/>
      <c r="ED189" s="889"/>
      <c r="EE189" s="889"/>
      <c r="EF189" s="889"/>
      <c r="EG189" s="889"/>
      <c r="EH189" s="889"/>
      <c r="EI189" s="889"/>
      <c r="EJ189" s="889"/>
      <c r="EK189" s="889"/>
      <c r="EL189" s="889"/>
      <c r="EM189" s="889"/>
      <c r="EN189" s="889"/>
      <c r="EO189" s="889"/>
      <c r="EP189" s="889"/>
      <c r="EQ189" s="889"/>
      <c r="ER189" s="889"/>
      <c r="ES189" s="889"/>
      <c r="ET189" s="889"/>
      <c r="EU189" s="889"/>
      <c r="EV189" s="889"/>
      <c r="EW189" s="889"/>
      <c r="EX189" s="889"/>
      <c r="EY189" s="889"/>
      <c r="EZ189" s="889"/>
      <c r="FA189" s="889"/>
      <c r="FB189" s="889"/>
      <c r="FC189" s="889"/>
      <c r="FD189" s="889"/>
      <c r="FE189" s="889"/>
      <c r="FF189" s="889"/>
      <c r="FG189" s="889"/>
      <c r="FH189" s="889"/>
      <c r="FI189" s="889"/>
      <c r="FJ189" s="889"/>
      <c r="FK189" s="889"/>
      <c r="FL189" s="889"/>
      <c r="FM189" s="889"/>
      <c r="FN189" s="889"/>
      <c r="FO189" s="889"/>
      <c r="FP189" s="889"/>
      <c r="FQ189" s="889"/>
      <c r="FR189" s="889"/>
      <c r="FS189" s="889"/>
      <c r="FT189" s="889"/>
      <c r="FU189" s="889"/>
      <c r="FV189" s="889"/>
      <c r="FW189" s="889"/>
      <c r="FX189" s="889"/>
      <c r="FY189" s="889"/>
      <c r="FZ189" s="889"/>
      <c r="GA189" s="889"/>
      <c r="GB189" s="889"/>
      <c r="GC189" s="889"/>
      <c r="GD189" s="889"/>
      <c r="GE189" s="889"/>
      <c r="GF189" s="889"/>
      <c r="GG189" s="889"/>
      <c r="GH189" s="889"/>
      <c r="GI189" s="889"/>
      <c r="GJ189" s="889"/>
      <c r="GK189" s="889"/>
      <c r="GL189" s="889"/>
      <c r="GM189" s="889"/>
      <c r="GN189" s="889"/>
      <c r="GO189" s="889"/>
      <c r="GP189" s="889"/>
      <c r="GQ189" s="889"/>
      <c r="GR189" s="889"/>
      <c r="GS189" s="889"/>
      <c r="GT189" s="889"/>
      <c r="GU189" s="889"/>
      <c r="GV189" s="889"/>
      <c r="GW189" s="889"/>
      <c r="GX189" s="889"/>
      <c r="GY189" s="889"/>
      <c r="GZ189" s="889"/>
      <c r="HA189" s="889"/>
      <c r="HB189" s="889"/>
      <c r="HC189" s="889"/>
      <c r="HD189" s="889"/>
      <c r="HE189" s="889"/>
      <c r="HF189" s="889"/>
      <c r="HG189" s="889"/>
      <c r="HH189" s="889"/>
      <c r="HI189" s="889"/>
      <c r="HJ189" s="889"/>
      <c r="HK189" s="889"/>
      <c r="HL189" s="889"/>
      <c r="HM189" s="889"/>
      <c r="HN189" s="889"/>
      <c r="HO189" s="889"/>
      <c r="HP189" s="889"/>
      <c r="HQ189" s="889"/>
      <c r="HR189" s="889"/>
      <c r="HS189" s="889"/>
      <c r="HT189" s="889"/>
      <c r="HU189" s="889"/>
      <c r="HV189" s="889"/>
      <c r="HW189" s="889"/>
      <c r="HX189" s="889"/>
      <c r="HY189" s="889"/>
      <c r="HZ189" s="889"/>
      <c r="IA189" s="889"/>
      <c r="IB189" s="889"/>
      <c r="IC189" s="889"/>
      <c r="ID189" s="889"/>
      <c r="IE189" s="889"/>
      <c r="IF189" s="889"/>
      <c r="IG189" s="889"/>
      <c r="IH189" s="889"/>
      <c r="II189" s="889"/>
      <c r="IJ189" s="889"/>
      <c r="IK189" s="889"/>
      <c r="IL189" s="889"/>
      <c r="IM189" s="889"/>
      <c r="IN189" s="889"/>
      <c r="IO189" s="889"/>
      <c r="IP189" s="889"/>
      <c r="IQ189" s="889"/>
      <c r="IR189" s="889"/>
      <c r="IS189" s="889"/>
      <c r="IT189" s="889"/>
      <c r="IU189" s="889"/>
      <c r="IV189" s="889"/>
      <c r="IW189" s="889"/>
    </row>
    <row r="190" spans="1:257" s="890" customFormat="1" ht="56">
      <c r="A190" s="905"/>
      <c r="B190" s="861"/>
      <c r="C190" s="889"/>
      <c r="D190" s="889"/>
      <c r="E190" s="906" t="s">
        <v>2279</v>
      </c>
      <c r="F190" s="902"/>
      <c r="G190" s="907" t="s">
        <v>2280</v>
      </c>
      <c r="H190" s="908"/>
      <c r="I190" s="889"/>
      <c r="J190" s="904"/>
      <c r="K190" s="904"/>
      <c r="L190" s="889"/>
      <c r="M190" s="889"/>
      <c r="N190" s="889"/>
      <c r="O190" s="889"/>
      <c r="P190" s="889"/>
      <c r="Q190" s="889"/>
      <c r="R190" s="889"/>
      <c r="S190" s="889"/>
      <c r="T190" s="889"/>
      <c r="U190" s="889"/>
      <c r="V190" s="889"/>
      <c r="W190" s="889"/>
      <c r="X190" s="889"/>
      <c r="Y190" s="889"/>
      <c r="Z190" s="889"/>
      <c r="AA190" s="889"/>
      <c r="AB190" s="889"/>
      <c r="AC190" s="889"/>
      <c r="AD190" s="889"/>
      <c r="AE190" s="889"/>
      <c r="AF190" s="889"/>
      <c r="AG190" s="889"/>
      <c r="AH190" s="889"/>
      <c r="AI190" s="889"/>
      <c r="AJ190" s="889"/>
      <c r="AK190" s="889"/>
      <c r="AL190" s="889"/>
      <c r="AM190" s="889"/>
      <c r="AN190" s="889"/>
      <c r="AO190" s="889"/>
      <c r="AP190" s="889"/>
      <c r="AQ190" s="889"/>
      <c r="AR190" s="889"/>
      <c r="AS190" s="889"/>
      <c r="AT190" s="889"/>
      <c r="AU190" s="889"/>
      <c r="AV190" s="889"/>
      <c r="AW190" s="889"/>
      <c r="AX190" s="889"/>
      <c r="AY190" s="889"/>
      <c r="AZ190" s="889"/>
      <c r="BA190" s="889"/>
      <c r="BB190" s="889"/>
      <c r="BC190" s="889"/>
      <c r="BD190" s="889"/>
      <c r="BE190" s="889"/>
      <c r="BF190" s="889"/>
      <c r="BG190" s="889"/>
      <c r="BH190" s="889"/>
      <c r="BI190" s="889"/>
      <c r="BJ190" s="889"/>
      <c r="BK190" s="889"/>
      <c r="BL190" s="889"/>
      <c r="BM190" s="889"/>
      <c r="BN190" s="889"/>
      <c r="BO190" s="889"/>
      <c r="BP190" s="889"/>
      <c r="BQ190" s="889"/>
      <c r="BR190" s="889"/>
      <c r="BS190" s="889"/>
      <c r="BT190" s="889"/>
      <c r="BU190" s="889"/>
      <c r="BV190" s="889"/>
      <c r="BW190" s="889"/>
      <c r="BX190" s="889"/>
      <c r="BY190" s="889"/>
      <c r="BZ190" s="889"/>
      <c r="CA190" s="889"/>
      <c r="CB190" s="889"/>
      <c r="CC190" s="889"/>
      <c r="CD190" s="889"/>
      <c r="CE190" s="889"/>
      <c r="CF190" s="889"/>
      <c r="CG190" s="889"/>
      <c r="CH190" s="889"/>
      <c r="CI190" s="889"/>
      <c r="CJ190" s="889"/>
      <c r="CK190" s="889"/>
      <c r="CL190" s="889"/>
      <c r="CM190" s="889"/>
      <c r="CN190" s="889"/>
      <c r="CO190" s="889"/>
      <c r="CP190" s="889"/>
      <c r="CQ190" s="889"/>
      <c r="CR190" s="889"/>
      <c r="CS190" s="889"/>
      <c r="CT190" s="889"/>
      <c r="CU190" s="889"/>
      <c r="CV190" s="889"/>
      <c r="CW190" s="889"/>
      <c r="CX190" s="889"/>
      <c r="CY190" s="889"/>
      <c r="CZ190" s="889"/>
      <c r="DA190" s="889"/>
      <c r="DB190" s="889"/>
      <c r="DC190" s="889"/>
      <c r="DD190" s="889"/>
      <c r="DE190" s="889"/>
      <c r="DF190" s="889"/>
      <c r="DG190" s="889"/>
      <c r="DH190" s="889"/>
      <c r="DI190" s="889"/>
      <c r="DJ190" s="889"/>
      <c r="DK190" s="889"/>
      <c r="DL190" s="889"/>
      <c r="DM190" s="889"/>
      <c r="DN190" s="889"/>
      <c r="DO190" s="889"/>
      <c r="DP190" s="889"/>
      <c r="DQ190" s="889"/>
      <c r="DR190" s="889"/>
      <c r="DS190" s="889"/>
      <c r="DT190" s="889"/>
      <c r="DU190" s="889"/>
      <c r="DV190" s="889"/>
      <c r="DW190" s="889"/>
      <c r="DX190" s="889"/>
      <c r="DY190" s="889"/>
      <c r="DZ190" s="889"/>
      <c r="EA190" s="889"/>
      <c r="EB190" s="889"/>
      <c r="EC190" s="889"/>
      <c r="ED190" s="889"/>
      <c r="EE190" s="889"/>
      <c r="EF190" s="889"/>
      <c r="EG190" s="889"/>
      <c r="EH190" s="889"/>
      <c r="EI190" s="889"/>
      <c r="EJ190" s="889"/>
      <c r="EK190" s="889"/>
      <c r="EL190" s="889"/>
      <c r="EM190" s="889"/>
      <c r="EN190" s="889"/>
      <c r="EO190" s="889"/>
      <c r="EP190" s="889"/>
      <c r="EQ190" s="889"/>
      <c r="ER190" s="889"/>
      <c r="ES190" s="889"/>
      <c r="ET190" s="889"/>
      <c r="EU190" s="889"/>
      <c r="EV190" s="889"/>
      <c r="EW190" s="889"/>
      <c r="EX190" s="889"/>
      <c r="EY190" s="889"/>
      <c r="EZ190" s="889"/>
      <c r="FA190" s="889"/>
      <c r="FB190" s="889"/>
      <c r="FC190" s="889"/>
      <c r="FD190" s="889"/>
      <c r="FE190" s="889"/>
      <c r="FF190" s="889"/>
      <c r="FG190" s="889"/>
      <c r="FH190" s="889"/>
      <c r="FI190" s="889"/>
      <c r="FJ190" s="889"/>
      <c r="FK190" s="889"/>
      <c r="FL190" s="889"/>
      <c r="FM190" s="889"/>
      <c r="FN190" s="889"/>
      <c r="FO190" s="889"/>
      <c r="FP190" s="889"/>
      <c r="FQ190" s="889"/>
      <c r="FR190" s="889"/>
      <c r="FS190" s="889"/>
      <c r="FT190" s="889"/>
      <c r="FU190" s="889"/>
      <c r="FV190" s="889"/>
      <c r="FW190" s="889"/>
      <c r="FX190" s="889"/>
      <c r="FY190" s="889"/>
      <c r="FZ190" s="889"/>
      <c r="GA190" s="889"/>
      <c r="GB190" s="889"/>
      <c r="GC190" s="889"/>
      <c r="GD190" s="889"/>
      <c r="GE190" s="889"/>
      <c r="GF190" s="889"/>
      <c r="GG190" s="889"/>
      <c r="GH190" s="889"/>
      <c r="GI190" s="889"/>
      <c r="GJ190" s="889"/>
      <c r="GK190" s="889"/>
      <c r="GL190" s="889"/>
      <c r="GM190" s="889"/>
      <c r="GN190" s="889"/>
      <c r="GO190" s="889"/>
      <c r="GP190" s="889"/>
      <c r="GQ190" s="889"/>
      <c r="GR190" s="889"/>
      <c r="GS190" s="889"/>
      <c r="GT190" s="889"/>
      <c r="GU190" s="889"/>
      <c r="GV190" s="889"/>
      <c r="GW190" s="889"/>
      <c r="GX190" s="889"/>
      <c r="GY190" s="889"/>
      <c r="GZ190" s="889"/>
      <c r="HA190" s="889"/>
      <c r="HB190" s="889"/>
      <c r="HC190" s="889"/>
      <c r="HD190" s="889"/>
      <c r="HE190" s="889"/>
      <c r="HF190" s="889"/>
      <c r="HG190" s="889"/>
      <c r="HH190" s="889"/>
      <c r="HI190" s="889"/>
      <c r="HJ190" s="889"/>
      <c r="HK190" s="889"/>
      <c r="HL190" s="889"/>
      <c r="HM190" s="889"/>
      <c r="HN190" s="889"/>
      <c r="HO190" s="889"/>
      <c r="HP190" s="889"/>
      <c r="HQ190" s="889"/>
      <c r="HR190" s="889"/>
      <c r="HS190" s="889"/>
      <c r="HT190" s="889"/>
      <c r="HU190" s="889"/>
      <c r="HV190" s="889"/>
      <c r="HW190" s="889"/>
      <c r="HX190" s="889"/>
      <c r="HY190" s="889"/>
      <c r="HZ190" s="889"/>
      <c r="IA190" s="889"/>
      <c r="IB190" s="889"/>
      <c r="IC190" s="889"/>
      <c r="ID190" s="889"/>
      <c r="IE190" s="889"/>
      <c r="IF190" s="889"/>
      <c r="IG190" s="889"/>
      <c r="IH190" s="889"/>
      <c r="II190" s="889"/>
      <c r="IJ190" s="889"/>
      <c r="IK190" s="889"/>
      <c r="IL190" s="889"/>
      <c r="IM190" s="889"/>
      <c r="IN190" s="889"/>
      <c r="IO190" s="889"/>
      <c r="IP190" s="889"/>
      <c r="IQ190" s="889"/>
      <c r="IR190" s="889"/>
      <c r="IS190" s="889"/>
      <c r="IT190" s="889"/>
      <c r="IU190" s="889"/>
      <c r="IV190" s="889"/>
      <c r="IW190" s="889"/>
    </row>
    <row r="191" spans="1:257" s="890" customFormat="1" ht="42">
      <c r="A191" s="905"/>
      <c r="B191" s="861"/>
      <c r="C191" s="889"/>
      <c r="D191" s="889"/>
      <c r="E191" s="906" t="s">
        <v>2281</v>
      </c>
      <c r="F191" s="902"/>
      <c r="G191" s="907" t="s">
        <v>2282</v>
      </c>
      <c r="H191" s="908"/>
      <c r="I191" s="889"/>
      <c r="J191" s="904"/>
      <c r="K191" s="904"/>
      <c r="L191" s="889"/>
      <c r="M191" s="889"/>
      <c r="N191" s="889"/>
      <c r="O191" s="889"/>
      <c r="P191" s="889"/>
      <c r="Q191" s="889"/>
      <c r="R191" s="889"/>
      <c r="S191" s="889"/>
      <c r="T191" s="889"/>
      <c r="U191" s="889"/>
      <c r="V191" s="889"/>
      <c r="W191" s="889"/>
      <c r="X191" s="889"/>
      <c r="Y191" s="889"/>
      <c r="Z191" s="889"/>
      <c r="AA191" s="889"/>
      <c r="AB191" s="889"/>
      <c r="AC191" s="889"/>
      <c r="AD191" s="889"/>
      <c r="AE191" s="889"/>
      <c r="AF191" s="889"/>
      <c r="AG191" s="889"/>
      <c r="AH191" s="889"/>
      <c r="AI191" s="889"/>
      <c r="AJ191" s="889"/>
      <c r="AK191" s="889"/>
      <c r="AL191" s="889"/>
      <c r="AM191" s="889"/>
      <c r="AN191" s="889"/>
      <c r="AO191" s="889"/>
      <c r="AP191" s="889"/>
      <c r="AQ191" s="889"/>
      <c r="AR191" s="889"/>
      <c r="AS191" s="889"/>
      <c r="AT191" s="889"/>
      <c r="AU191" s="889"/>
      <c r="AV191" s="889"/>
      <c r="AW191" s="889"/>
      <c r="AX191" s="889"/>
      <c r="AY191" s="889"/>
      <c r="AZ191" s="889"/>
      <c r="BA191" s="889"/>
      <c r="BB191" s="889"/>
      <c r="BC191" s="889"/>
      <c r="BD191" s="889"/>
      <c r="BE191" s="889"/>
      <c r="BF191" s="889"/>
      <c r="BG191" s="889"/>
      <c r="BH191" s="889"/>
      <c r="BI191" s="889"/>
      <c r="BJ191" s="889"/>
      <c r="BK191" s="889"/>
      <c r="BL191" s="889"/>
      <c r="BM191" s="889"/>
      <c r="BN191" s="889"/>
      <c r="BO191" s="889"/>
      <c r="BP191" s="889"/>
      <c r="BQ191" s="889"/>
      <c r="BR191" s="889"/>
      <c r="BS191" s="889"/>
      <c r="BT191" s="889"/>
      <c r="BU191" s="889"/>
      <c r="BV191" s="889"/>
      <c r="BW191" s="889"/>
      <c r="BX191" s="889"/>
      <c r="BY191" s="889"/>
      <c r="BZ191" s="889"/>
      <c r="CA191" s="889"/>
      <c r="CB191" s="889"/>
      <c r="CC191" s="889"/>
      <c r="CD191" s="889"/>
      <c r="CE191" s="889"/>
      <c r="CF191" s="889"/>
      <c r="CG191" s="889"/>
      <c r="CH191" s="889"/>
      <c r="CI191" s="889"/>
      <c r="CJ191" s="889"/>
      <c r="CK191" s="889"/>
      <c r="CL191" s="889"/>
      <c r="CM191" s="889"/>
      <c r="CN191" s="889"/>
      <c r="CO191" s="889"/>
      <c r="CP191" s="889"/>
      <c r="CQ191" s="889"/>
      <c r="CR191" s="889"/>
      <c r="CS191" s="889"/>
      <c r="CT191" s="889"/>
      <c r="CU191" s="889"/>
      <c r="CV191" s="889"/>
      <c r="CW191" s="889"/>
      <c r="CX191" s="889"/>
      <c r="CY191" s="889"/>
      <c r="CZ191" s="889"/>
      <c r="DA191" s="889"/>
      <c r="DB191" s="889"/>
      <c r="DC191" s="889"/>
      <c r="DD191" s="889"/>
      <c r="DE191" s="889"/>
      <c r="DF191" s="889"/>
      <c r="DG191" s="889"/>
      <c r="DH191" s="889"/>
      <c r="DI191" s="889"/>
      <c r="DJ191" s="889"/>
      <c r="DK191" s="889"/>
      <c r="DL191" s="889"/>
      <c r="DM191" s="889"/>
      <c r="DN191" s="889"/>
      <c r="DO191" s="889"/>
      <c r="DP191" s="889"/>
      <c r="DQ191" s="889"/>
      <c r="DR191" s="889"/>
      <c r="DS191" s="889"/>
      <c r="DT191" s="889"/>
      <c r="DU191" s="889"/>
      <c r="DV191" s="889"/>
      <c r="DW191" s="889"/>
      <c r="DX191" s="889"/>
      <c r="DY191" s="889"/>
      <c r="DZ191" s="889"/>
      <c r="EA191" s="889"/>
      <c r="EB191" s="889"/>
      <c r="EC191" s="889"/>
      <c r="ED191" s="889"/>
      <c r="EE191" s="889"/>
      <c r="EF191" s="889"/>
      <c r="EG191" s="889"/>
      <c r="EH191" s="889"/>
      <c r="EI191" s="889"/>
      <c r="EJ191" s="889"/>
      <c r="EK191" s="889"/>
      <c r="EL191" s="889"/>
      <c r="EM191" s="889"/>
      <c r="EN191" s="889"/>
      <c r="EO191" s="889"/>
      <c r="EP191" s="889"/>
      <c r="EQ191" s="889"/>
      <c r="ER191" s="889"/>
      <c r="ES191" s="889"/>
      <c r="ET191" s="889"/>
      <c r="EU191" s="889"/>
      <c r="EV191" s="889"/>
      <c r="EW191" s="889"/>
      <c r="EX191" s="889"/>
      <c r="EY191" s="889"/>
      <c r="EZ191" s="889"/>
      <c r="FA191" s="889"/>
      <c r="FB191" s="889"/>
      <c r="FC191" s="889"/>
      <c r="FD191" s="889"/>
      <c r="FE191" s="889"/>
      <c r="FF191" s="889"/>
      <c r="FG191" s="889"/>
      <c r="FH191" s="889"/>
      <c r="FI191" s="889"/>
      <c r="FJ191" s="889"/>
      <c r="FK191" s="889"/>
      <c r="FL191" s="889"/>
      <c r="FM191" s="889"/>
      <c r="FN191" s="889"/>
      <c r="FO191" s="889"/>
      <c r="FP191" s="889"/>
      <c r="FQ191" s="889"/>
      <c r="FR191" s="889"/>
      <c r="FS191" s="889"/>
      <c r="FT191" s="889"/>
      <c r="FU191" s="889"/>
      <c r="FV191" s="889"/>
      <c r="FW191" s="889"/>
      <c r="FX191" s="889"/>
      <c r="FY191" s="889"/>
      <c r="FZ191" s="889"/>
      <c r="GA191" s="889"/>
      <c r="GB191" s="889"/>
      <c r="GC191" s="889"/>
      <c r="GD191" s="889"/>
      <c r="GE191" s="889"/>
      <c r="GF191" s="889"/>
      <c r="GG191" s="889"/>
      <c r="GH191" s="889"/>
      <c r="GI191" s="889"/>
      <c r="GJ191" s="889"/>
      <c r="GK191" s="889"/>
      <c r="GL191" s="889"/>
      <c r="GM191" s="889"/>
      <c r="GN191" s="889"/>
      <c r="GO191" s="889"/>
      <c r="GP191" s="889"/>
      <c r="GQ191" s="889"/>
      <c r="GR191" s="889"/>
      <c r="GS191" s="889"/>
      <c r="GT191" s="889"/>
      <c r="GU191" s="889"/>
      <c r="GV191" s="889"/>
      <c r="GW191" s="889"/>
      <c r="GX191" s="889"/>
      <c r="GY191" s="889"/>
      <c r="GZ191" s="889"/>
      <c r="HA191" s="889"/>
      <c r="HB191" s="889"/>
      <c r="HC191" s="889"/>
      <c r="HD191" s="889"/>
      <c r="HE191" s="889"/>
      <c r="HF191" s="889"/>
      <c r="HG191" s="889"/>
      <c r="HH191" s="889"/>
      <c r="HI191" s="889"/>
      <c r="HJ191" s="889"/>
      <c r="HK191" s="889"/>
      <c r="HL191" s="889"/>
      <c r="HM191" s="889"/>
      <c r="HN191" s="889"/>
      <c r="HO191" s="889"/>
      <c r="HP191" s="889"/>
      <c r="HQ191" s="889"/>
      <c r="HR191" s="889"/>
      <c r="HS191" s="889"/>
      <c r="HT191" s="889"/>
      <c r="HU191" s="889"/>
      <c r="HV191" s="889"/>
      <c r="HW191" s="889"/>
      <c r="HX191" s="889"/>
      <c r="HY191" s="889"/>
      <c r="HZ191" s="889"/>
      <c r="IA191" s="889"/>
      <c r="IB191" s="889"/>
      <c r="IC191" s="889"/>
      <c r="ID191" s="889"/>
      <c r="IE191" s="889"/>
      <c r="IF191" s="889"/>
      <c r="IG191" s="889"/>
      <c r="IH191" s="889"/>
      <c r="II191" s="889"/>
      <c r="IJ191" s="889"/>
      <c r="IK191" s="889"/>
      <c r="IL191" s="889"/>
      <c r="IM191" s="889"/>
      <c r="IN191" s="889"/>
      <c r="IO191" s="889"/>
      <c r="IP191" s="889"/>
      <c r="IQ191" s="889"/>
      <c r="IR191" s="889"/>
      <c r="IS191" s="889"/>
      <c r="IT191" s="889"/>
      <c r="IU191" s="889"/>
      <c r="IV191" s="889"/>
      <c r="IW191" s="889"/>
    </row>
    <row r="192" spans="1:257" s="890" customFormat="1" ht="70">
      <c r="A192" s="905"/>
      <c r="B192" s="861"/>
      <c r="C192" s="889"/>
      <c r="D192" s="889"/>
      <c r="E192" s="906" t="s">
        <v>2283</v>
      </c>
      <c r="F192" s="902"/>
      <c r="G192" s="907" t="s">
        <v>2284</v>
      </c>
      <c r="H192" s="908"/>
      <c r="I192" s="889"/>
      <c r="J192" s="904"/>
      <c r="K192" s="904"/>
      <c r="L192" s="889"/>
      <c r="M192" s="889"/>
      <c r="N192" s="889"/>
      <c r="O192" s="889"/>
      <c r="P192" s="889"/>
      <c r="Q192" s="889"/>
      <c r="R192" s="889"/>
      <c r="S192" s="889"/>
      <c r="T192" s="889"/>
      <c r="U192" s="889"/>
      <c r="V192" s="889"/>
      <c r="W192" s="889"/>
      <c r="X192" s="889"/>
      <c r="Y192" s="889"/>
      <c r="Z192" s="889"/>
      <c r="AA192" s="889"/>
      <c r="AB192" s="889"/>
      <c r="AC192" s="889"/>
      <c r="AD192" s="889"/>
      <c r="AE192" s="889"/>
      <c r="AF192" s="889"/>
      <c r="AG192" s="889"/>
      <c r="AH192" s="889"/>
      <c r="AI192" s="889"/>
      <c r="AJ192" s="889"/>
      <c r="AK192" s="889"/>
      <c r="AL192" s="889"/>
      <c r="AM192" s="889"/>
      <c r="AN192" s="889"/>
      <c r="AO192" s="889"/>
      <c r="AP192" s="889"/>
      <c r="AQ192" s="889"/>
      <c r="AR192" s="889"/>
      <c r="AS192" s="889"/>
      <c r="AT192" s="889"/>
      <c r="AU192" s="889"/>
      <c r="AV192" s="889"/>
      <c r="AW192" s="889"/>
      <c r="AX192" s="889"/>
      <c r="AY192" s="889"/>
      <c r="AZ192" s="889"/>
      <c r="BA192" s="889"/>
      <c r="BB192" s="889"/>
      <c r="BC192" s="889"/>
      <c r="BD192" s="889"/>
      <c r="BE192" s="889"/>
      <c r="BF192" s="889"/>
      <c r="BG192" s="889"/>
      <c r="BH192" s="889"/>
      <c r="BI192" s="889"/>
      <c r="BJ192" s="889"/>
      <c r="BK192" s="889"/>
      <c r="BL192" s="889"/>
      <c r="BM192" s="889"/>
      <c r="BN192" s="889"/>
      <c r="BO192" s="889"/>
      <c r="BP192" s="889"/>
      <c r="BQ192" s="889"/>
      <c r="BR192" s="889"/>
      <c r="BS192" s="889"/>
      <c r="BT192" s="889"/>
      <c r="BU192" s="889"/>
      <c r="BV192" s="889"/>
      <c r="BW192" s="889"/>
      <c r="BX192" s="889"/>
      <c r="BY192" s="889"/>
      <c r="BZ192" s="889"/>
      <c r="CA192" s="889"/>
      <c r="CB192" s="889"/>
      <c r="CC192" s="889"/>
      <c r="CD192" s="889"/>
      <c r="CE192" s="889"/>
      <c r="CF192" s="889"/>
      <c r="CG192" s="889"/>
      <c r="CH192" s="889"/>
      <c r="CI192" s="889"/>
      <c r="CJ192" s="889"/>
      <c r="CK192" s="889"/>
      <c r="CL192" s="889"/>
      <c r="CM192" s="889"/>
      <c r="CN192" s="889"/>
      <c r="CO192" s="889"/>
      <c r="CP192" s="889"/>
      <c r="CQ192" s="889"/>
      <c r="CR192" s="889"/>
      <c r="CS192" s="889"/>
      <c r="CT192" s="889"/>
      <c r="CU192" s="889"/>
      <c r="CV192" s="889"/>
      <c r="CW192" s="889"/>
      <c r="CX192" s="889"/>
      <c r="CY192" s="889"/>
      <c r="CZ192" s="889"/>
      <c r="DA192" s="889"/>
      <c r="DB192" s="889"/>
      <c r="DC192" s="889"/>
      <c r="DD192" s="889"/>
      <c r="DE192" s="889"/>
      <c r="DF192" s="889"/>
      <c r="DG192" s="889"/>
      <c r="DH192" s="889"/>
      <c r="DI192" s="889"/>
      <c r="DJ192" s="889"/>
      <c r="DK192" s="889"/>
      <c r="DL192" s="889"/>
      <c r="DM192" s="889"/>
      <c r="DN192" s="889"/>
      <c r="DO192" s="889"/>
      <c r="DP192" s="889"/>
      <c r="DQ192" s="889"/>
      <c r="DR192" s="889"/>
      <c r="DS192" s="889"/>
      <c r="DT192" s="889"/>
      <c r="DU192" s="889"/>
      <c r="DV192" s="889"/>
      <c r="DW192" s="889"/>
      <c r="DX192" s="889"/>
      <c r="DY192" s="889"/>
      <c r="DZ192" s="889"/>
      <c r="EA192" s="889"/>
      <c r="EB192" s="889"/>
      <c r="EC192" s="889"/>
      <c r="ED192" s="889"/>
      <c r="EE192" s="889"/>
      <c r="EF192" s="889"/>
      <c r="EG192" s="889"/>
      <c r="EH192" s="889"/>
      <c r="EI192" s="889"/>
      <c r="EJ192" s="889"/>
      <c r="EK192" s="889"/>
      <c r="EL192" s="889"/>
      <c r="EM192" s="889"/>
      <c r="EN192" s="889"/>
      <c r="EO192" s="889"/>
      <c r="EP192" s="889"/>
      <c r="EQ192" s="889"/>
      <c r="ER192" s="889"/>
      <c r="ES192" s="889"/>
      <c r="ET192" s="889"/>
      <c r="EU192" s="889"/>
      <c r="EV192" s="889"/>
      <c r="EW192" s="889"/>
      <c r="EX192" s="889"/>
      <c r="EY192" s="889"/>
      <c r="EZ192" s="889"/>
      <c r="FA192" s="889"/>
      <c r="FB192" s="889"/>
      <c r="FC192" s="889"/>
      <c r="FD192" s="889"/>
      <c r="FE192" s="889"/>
      <c r="FF192" s="889"/>
      <c r="FG192" s="889"/>
      <c r="FH192" s="889"/>
      <c r="FI192" s="889"/>
      <c r="FJ192" s="889"/>
      <c r="FK192" s="889"/>
      <c r="FL192" s="889"/>
      <c r="FM192" s="889"/>
      <c r="FN192" s="889"/>
      <c r="FO192" s="889"/>
      <c r="FP192" s="889"/>
      <c r="FQ192" s="889"/>
      <c r="FR192" s="889"/>
      <c r="FS192" s="889"/>
      <c r="FT192" s="889"/>
      <c r="FU192" s="889"/>
      <c r="FV192" s="889"/>
      <c r="FW192" s="889"/>
      <c r="FX192" s="889"/>
      <c r="FY192" s="889"/>
      <c r="FZ192" s="889"/>
      <c r="GA192" s="889"/>
      <c r="GB192" s="889"/>
      <c r="GC192" s="889"/>
      <c r="GD192" s="889"/>
      <c r="GE192" s="889"/>
      <c r="GF192" s="889"/>
      <c r="GG192" s="889"/>
      <c r="GH192" s="889"/>
      <c r="GI192" s="889"/>
      <c r="GJ192" s="889"/>
      <c r="GK192" s="889"/>
      <c r="GL192" s="889"/>
      <c r="GM192" s="889"/>
      <c r="GN192" s="889"/>
      <c r="GO192" s="889"/>
      <c r="GP192" s="889"/>
      <c r="GQ192" s="889"/>
      <c r="GR192" s="889"/>
      <c r="GS192" s="889"/>
      <c r="GT192" s="889"/>
      <c r="GU192" s="889"/>
      <c r="GV192" s="889"/>
      <c r="GW192" s="889"/>
      <c r="GX192" s="889"/>
      <c r="GY192" s="889"/>
      <c r="GZ192" s="889"/>
      <c r="HA192" s="889"/>
      <c r="HB192" s="889"/>
      <c r="HC192" s="889"/>
      <c r="HD192" s="889"/>
      <c r="HE192" s="889"/>
      <c r="HF192" s="889"/>
      <c r="HG192" s="889"/>
      <c r="HH192" s="889"/>
      <c r="HI192" s="889"/>
      <c r="HJ192" s="889"/>
      <c r="HK192" s="889"/>
      <c r="HL192" s="889"/>
      <c r="HM192" s="889"/>
      <c r="HN192" s="889"/>
      <c r="HO192" s="889"/>
      <c r="HP192" s="889"/>
      <c r="HQ192" s="889"/>
      <c r="HR192" s="889"/>
      <c r="HS192" s="889"/>
      <c r="HT192" s="889"/>
      <c r="HU192" s="889"/>
      <c r="HV192" s="889"/>
      <c r="HW192" s="889"/>
      <c r="HX192" s="889"/>
      <c r="HY192" s="889"/>
      <c r="HZ192" s="889"/>
      <c r="IA192" s="889"/>
      <c r="IB192" s="889"/>
      <c r="IC192" s="889"/>
      <c r="ID192" s="889"/>
      <c r="IE192" s="889"/>
      <c r="IF192" s="889"/>
      <c r="IG192" s="889"/>
      <c r="IH192" s="889"/>
      <c r="II192" s="889"/>
      <c r="IJ192" s="889"/>
      <c r="IK192" s="889"/>
      <c r="IL192" s="889"/>
      <c r="IM192" s="889"/>
      <c r="IN192" s="889"/>
      <c r="IO192" s="889"/>
      <c r="IP192" s="889"/>
      <c r="IQ192" s="889"/>
      <c r="IR192" s="889"/>
      <c r="IS192" s="889"/>
      <c r="IT192" s="889"/>
      <c r="IU192" s="889"/>
      <c r="IV192" s="889"/>
      <c r="IW192" s="889"/>
    </row>
    <row r="193" spans="1:257" s="890" customFormat="1" ht="56">
      <c r="A193" s="905"/>
      <c r="B193" s="861"/>
      <c r="C193" s="889"/>
      <c r="D193" s="889"/>
      <c r="E193" s="906" t="s">
        <v>2285</v>
      </c>
      <c r="F193" s="902"/>
      <c r="G193" s="907" t="s">
        <v>2286</v>
      </c>
      <c r="H193" s="908"/>
      <c r="I193" s="889"/>
      <c r="J193" s="904"/>
      <c r="K193" s="904"/>
      <c r="L193" s="889"/>
      <c r="M193" s="889"/>
      <c r="N193" s="889"/>
      <c r="O193" s="889"/>
      <c r="P193" s="889"/>
      <c r="Q193" s="889"/>
      <c r="R193" s="889"/>
      <c r="S193" s="889"/>
      <c r="T193" s="889"/>
      <c r="U193" s="889"/>
      <c r="V193" s="889"/>
      <c r="W193" s="889"/>
      <c r="X193" s="889"/>
      <c r="Y193" s="889"/>
      <c r="Z193" s="889"/>
      <c r="AA193" s="889"/>
      <c r="AB193" s="889"/>
      <c r="AC193" s="889"/>
      <c r="AD193" s="889"/>
      <c r="AE193" s="889"/>
      <c r="AF193" s="889"/>
      <c r="AG193" s="889"/>
      <c r="AH193" s="889"/>
      <c r="AI193" s="889"/>
      <c r="AJ193" s="889"/>
      <c r="AK193" s="889"/>
      <c r="AL193" s="889"/>
      <c r="AM193" s="889"/>
      <c r="AN193" s="889"/>
      <c r="AO193" s="889"/>
      <c r="AP193" s="889"/>
      <c r="AQ193" s="889"/>
      <c r="AR193" s="889"/>
      <c r="AS193" s="889"/>
      <c r="AT193" s="889"/>
      <c r="AU193" s="889"/>
      <c r="AV193" s="889"/>
      <c r="AW193" s="889"/>
      <c r="AX193" s="889"/>
      <c r="AY193" s="889"/>
      <c r="AZ193" s="889"/>
      <c r="BA193" s="889"/>
      <c r="BB193" s="889"/>
      <c r="BC193" s="889"/>
      <c r="BD193" s="889"/>
      <c r="BE193" s="889"/>
      <c r="BF193" s="889"/>
      <c r="BG193" s="889"/>
      <c r="BH193" s="889"/>
      <c r="BI193" s="889"/>
      <c r="BJ193" s="889"/>
      <c r="BK193" s="889"/>
      <c r="BL193" s="889"/>
      <c r="BM193" s="889"/>
      <c r="BN193" s="889"/>
      <c r="BO193" s="889"/>
      <c r="BP193" s="889"/>
      <c r="BQ193" s="889"/>
      <c r="BR193" s="889"/>
      <c r="BS193" s="889"/>
      <c r="BT193" s="889"/>
      <c r="BU193" s="889"/>
      <c r="BV193" s="889"/>
      <c r="BW193" s="889"/>
      <c r="BX193" s="889"/>
      <c r="BY193" s="889"/>
      <c r="BZ193" s="889"/>
      <c r="CA193" s="889"/>
      <c r="CB193" s="889"/>
      <c r="CC193" s="889"/>
      <c r="CD193" s="889"/>
      <c r="CE193" s="889"/>
      <c r="CF193" s="889"/>
      <c r="CG193" s="889"/>
      <c r="CH193" s="889"/>
      <c r="CI193" s="889"/>
      <c r="CJ193" s="889"/>
      <c r="CK193" s="889"/>
      <c r="CL193" s="889"/>
      <c r="CM193" s="889"/>
      <c r="CN193" s="889"/>
      <c r="CO193" s="889"/>
      <c r="CP193" s="889"/>
      <c r="CQ193" s="889"/>
      <c r="CR193" s="889"/>
      <c r="CS193" s="889"/>
      <c r="CT193" s="889"/>
      <c r="CU193" s="889"/>
      <c r="CV193" s="889"/>
      <c r="CW193" s="889"/>
      <c r="CX193" s="889"/>
      <c r="CY193" s="889"/>
      <c r="CZ193" s="889"/>
      <c r="DA193" s="889"/>
      <c r="DB193" s="889"/>
      <c r="DC193" s="889"/>
      <c r="DD193" s="889"/>
      <c r="DE193" s="889"/>
      <c r="DF193" s="889"/>
      <c r="DG193" s="889"/>
      <c r="DH193" s="889"/>
      <c r="DI193" s="889"/>
      <c r="DJ193" s="889"/>
      <c r="DK193" s="889"/>
      <c r="DL193" s="889"/>
      <c r="DM193" s="889"/>
      <c r="DN193" s="889"/>
      <c r="DO193" s="889"/>
      <c r="DP193" s="889"/>
      <c r="DQ193" s="889"/>
      <c r="DR193" s="889"/>
      <c r="DS193" s="889"/>
      <c r="DT193" s="889"/>
      <c r="DU193" s="889"/>
      <c r="DV193" s="889"/>
      <c r="DW193" s="889"/>
      <c r="DX193" s="889"/>
      <c r="DY193" s="889"/>
      <c r="DZ193" s="889"/>
      <c r="EA193" s="889"/>
      <c r="EB193" s="889"/>
      <c r="EC193" s="889"/>
      <c r="ED193" s="889"/>
      <c r="EE193" s="889"/>
      <c r="EF193" s="889"/>
      <c r="EG193" s="889"/>
      <c r="EH193" s="889"/>
      <c r="EI193" s="889"/>
      <c r="EJ193" s="889"/>
      <c r="EK193" s="889"/>
      <c r="EL193" s="889"/>
      <c r="EM193" s="889"/>
      <c r="EN193" s="889"/>
      <c r="EO193" s="889"/>
      <c r="EP193" s="889"/>
      <c r="EQ193" s="889"/>
      <c r="ER193" s="889"/>
      <c r="ES193" s="889"/>
      <c r="ET193" s="889"/>
      <c r="EU193" s="889"/>
      <c r="EV193" s="889"/>
      <c r="EW193" s="889"/>
      <c r="EX193" s="889"/>
      <c r="EY193" s="889"/>
      <c r="EZ193" s="889"/>
      <c r="FA193" s="889"/>
      <c r="FB193" s="889"/>
      <c r="FC193" s="889"/>
      <c r="FD193" s="889"/>
      <c r="FE193" s="889"/>
      <c r="FF193" s="889"/>
      <c r="FG193" s="889"/>
      <c r="FH193" s="889"/>
      <c r="FI193" s="889"/>
      <c r="FJ193" s="889"/>
      <c r="FK193" s="889"/>
      <c r="FL193" s="889"/>
      <c r="FM193" s="889"/>
      <c r="FN193" s="889"/>
      <c r="FO193" s="889"/>
      <c r="FP193" s="889"/>
      <c r="FQ193" s="889"/>
      <c r="FR193" s="889"/>
      <c r="FS193" s="889"/>
      <c r="FT193" s="889"/>
      <c r="FU193" s="889"/>
      <c r="FV193" s="889"/>
      <c r="FW193" s="889"/>
      <c r="FX193" s="889"/>
      <c r="FY193" s="889"/>
      <c r="FZ193" s="889"/>
      <c r="GA193" s="889"/>
      <c r="GB193" s="889"/>
      <c r="GC193" s="889"/>
      <c r="GD193" s="889"/>
      <c r="GE193" s="889"/>
      <c r="GF193" s="889"/>
      <c r="GG193" s="889"/>
      <c r="GH193" s="889"/>
      <c r="GI193" s="889"/>
      <c r="GJ193" s="889"/>
      <c r="GK193" s="889"/>
      <c r="GL193" s="889"/>
      <c r="GM193" s="889"/>
      <c r="GN193" s="889"/>
      <c r="GO193" s="889"/>
      <c r="GP193" s="889"/>
      <c r="GQ193" s="889"/>
      <c r="GR193" s="889"/>
      <c r="GS193" s="889"/>
      <c r="GT193" s="889"/>
      <c r="GU193" s="889"/>
      <c r="GV193" s="889"/>
      <c r="GW193" s="889"/>
      <c r="GX193" s="889"/>
      <c r="GY193" s="889"/>
      <c r="GZ193" s="889"/>
      <c r="HA193" s="889"/>
      <c r="HB193" s="889"/>
      <c r="HC193" s="889"/>
      <c r="HD193" s="889"/>
      <c r="HE193" s="889"/>
      <c r="HF193" s="889"/>
      <c r="HG193" s="889"/>
      <c r="HH193" s="889"/>
      <c r="HI193" s="889"/>
      <c r="HJ193" s="889"/>
      <c r="HK193" s="889"/>
      <c r="HL193" s="889"/>
      <c r="HM193" s="889"/>
      <c r="HN193" s="889"/>
      <c r="HO193" s="889"/>
      <c r="HP193" s="889"/>
      <c r="HQ193" s="889"/>
      <c r="HR193" s="889"/>
      <c r="HS193" s="889"/>
      <c r="HT193" s="889"/>
      <c r="HU193" s="889"/>
      <c r="HV193" s="889"/>
      <c r="HW193" s="889"/>
      <c r="HX193" s="889"/>
      <c r="HY193" s="889"/>
      <c r="HZ193" s="889"/>
      <c r="IA193" s="889"/>
      <c r="IB193" s="889"/>
      <c r="IC193" s="889"/>
      <c r="ID193" s="889"/>
      <c r="IE193" s="889"/>
      <c r="IF193" s="889"/>
      <c r="IG193" s="889"/>
      <c r="IH193" s="889"/>
      <c r="II193" s="889"/>
      <c r="IJ193" s="889"/>
      <c r="IK193" s="889"/>
      <c r="IL193" s="889"/>
      <c r="IM193" s="889"/>
      <c r="IN193" s="889"/>
      <c r="IO193" s="889"/>
      <c r="IP193" s="889"/>
      <c r="IQ193" s="889"/>
      <c r="IR193" s="889"/>
      <c r="IS193" s="889"/>
      <c r="IT193" s="889"/>
      <c r="IU193" s="889"/>
      <c r="IV193" s="889"/>
      <c r="IW193" s="889"/>
    </row>
    <row r="194" spans="1:257" s="890" customFormat="1" ht="70">
      <c r="A194" s="905"/>
      <c r="B194" s="861"/>
      <c r="C194" s="889"/>
      <c r="D194" s="889"/>
      <c r="E194" s="906" t="s">
        <v>2287</v>
      </c>
      <c r="F194" s="902"/>
      <c r="G194" s="907" t="s">
        <v>2288</v>
      </c>
      <c r="H194" s="908"/>
      <c r="I194" s="889"/>
      <c r="J194" s="904"/>
      <c r="K194" s="904"/>
      <c r="L194" s="889"/>
      <c r="M194" s="889"/>
      <c r="N194" s="889"/>
      <c r="O194" s="889"/>
      <c r="P194" s="889"/>
      <c r="Q194" s="889"/>
      <c r="R194" s="889"/>
      <c r="S194" s="889"/>
      <c r="T194" s="889"/>
      <c r="U194" s="889"/>
      <c r="V194" s="889"/>
      <c r="W194" s="889"/>
      <c r="X194" s="889"/>
      <c r="Y194" s="889"/>
      <c r="Z194" s="889"/>
      <c r="AA194" s="889"/>
      <c r="AB194" s="889"/>
      <c r="AC194" s="889"/>
      <c r="AD194" s="889"/>
      <c r="AE194" s="889"/>
      <c r="AF194" s="889"/>
      <c r="AG194" s="889"/>
      <c r="AH194" s="889"/>
      <c r="AI194" s="889"/>
      <c r="AJ194" s="889"/>
      <c r="AK194" s="889"/>
      <c r="AL194" s="889"/>
      <c r="AM194" s="889"/>
      <c r="AN194" s="889"/>
      <c r="AO194" s="889"/>
      <c r="AP194" s="889"/>
      <c r="AQ194" s="889"/>
      <c r="AR194" s="889"/>
      <c r="AS194" s="889"/>
      <c r="AT194" s="889"/>
      <c r="AU194" s="889"/>
      <c r="AV194" s="889"/>
      <c r="AW194" s="889"/>
      <c r="AX194" s="889"/>
      <c r="AY194" s="889"/>
      <c r="AZ194" s="889"/>
      <c r="BA194" s="889"/>
      <c r="BB194" s="889"/>
      <c r="BC194" s="889"/>
      <c r="BD194" s="889"/>
      <c r="BE194" s="889"/>
      <c r="BF194" s="889"/>
      <c r="BG194" s="889"/>
      <c r="BH194" s="889"/>
      <c r="BI194" s="889"/>
      <c r="BJ194" s="889"/>
      <c r="BK194" s="889"/>
      <c r="BL194" s="889"/>
      <c r="BM194" s="889"/>
      <c r="BN194" s="889"/>
      <c r="BO194" s="889"/>
      <c r="BP194" s="889"/>
      <c r="BQ194" s="889"/>
      <c r="BR194" s="889"/>
      <c r="BS194" s="889"/>
      <c r="BT194" s="889"/>
      <c r="BU194" s="889"/>
      <c r="BV194" s="889"/>
      <c r="BW194" s="889"/>
      <c r="BX194" s="889"/>
      <c r="BY194" s="889"/>
      <c r="BZ194" s="889"/>
      <c r="CA194" s="889"/>
      <c r="CB194" s="889"/>
      <c r="CC194" s="889"/>
      <c r="CD194" s="889"/>
      <c r="CE194" s="889"/>
      <c r="CF194" s="889"/>
      <c r="CG194" s="889"/>
      <c r="CH194" s="889"/>
      <c r="CI194" s="889"/>
      <c r="CJ194" s="889"/>
      <c r="CK194" s="889"/>
      <c r="CL194" s="889"/>
      <c r="CM194" s="889"/>
      <c r="CN194" s="889"/>
      <c r="CO194" s="889"/>
      <c r="CP194" s="889"/>
      <c r="CQ194" s="889"/>
      <c r="CR194" s="889"/>
      <c r="CS194" s="889"/>
      <c r="CT194" s="889"/>
      <c r="CU194" s="889"/>
      <c r="CV194" s="889"/>
      <c r="CW194" s="889"/>
      <c r="CX194" s="889"/>
      <c r="CY194" s="889"/>
      <c r="CZ194" s="889"/>
      <c r="DA194" s="889"/>
      <c r="DB194" s="889"/>
      <c r="DC194" s="889"/>
      <c r="DD194" s="889"/>
      <c r="DE194" s="889"/>
      <c r="DF194" s="889"/>
      <c r="DG194" s="889"/>
      <c r="DH194" s="889"/>
      <c r="DI194" s="889"/>
      <c r="DJ194" s="889"/>
      <c r="DK194" s="889"/>
      <c r="DL194" s="889"/>
      <c r="DM194" s="889"/>
      <c r="DN194" s="889"/>
      <c r="DO194" s="889"/>
      <c r="DP194" s="889"/>
      <c r="DQ194" s="889"/>
      <c r="DR194" s="889"/>
      <c r="DS194" s="889"/>
      <c r="DT194" s="889"/>
      <c r="DU194" s="889"/>
      <c r="DV194" s="889"/>
      <c r="DW194" s="889"/>
      <c r="DX194" s="889"/>
      <c r="DY194" s="889"/>
      <c r="DZ194" s="889"/>
      <c r="EA194" s="889"/>
      <c r="EB194" s="889"/>
      <c r="EC194" s="889"/>
      <c r="ED194" s="889"/>
      <c r="EE194" s="889"/>
      <c r="EF194" s="889"/>
      <c r="EG194" s="889"/>
      <c r="EH194" s="889"/>
      <c r="EI194" s="889"/>
      <c r="EJ194" s="889"/>
      <c r="EK194" s="889"/>
      <c r="EL194" s="889"/>
      <c r="EM194" s="889"/>
      <c r="EN194" s="889"/>
      <c r="EO194" s="889"/>
      <c r="EP194" s="889"/>
      <c r="EQ194" s="889"/>
      <c r="ER194" s="889"/>
      <c r="ES194" s="889"/>
      <c r="ET194" s="889"/>
      <c r="EU194" s="889"/>
      <c r="EV194" s="889"/>
      <c r="EW194" s="889"/>
      <c r="EX194" s="889"/>
      <c r="EY194" s="889"/>
      <c r="EZ194" s="889"/>
      <c r="FA194" s="889"/>
      <c r="FB194" s="889"/>
      <c r="FC194" s="889"/>
      <c r="FD194" s="889"/>
      <c r="FE194" s="889"/>
      <c r="FF194" s="889"/>
      <c r="FG194" s="889"/>
      <c r="FH194" s="889"/>
      <c r="FI194" s="889"/>
      <c r="FJ194" s="889"/>
      <c r="FK194" s="889"/>
      <c r="FL194" s="889"/>
      <c r="FM194" s="889"/>
      <c r="FN194" s="889"/>
      <c r="FO194" s="889"/>
      <c r="FP194" s="889"/>
      <c r="FQ194" s="889"/>
      <c r="FR194" s="889"/>
      <c r="FS194" s="889"/>
      <c r="FT194" s="889"/>
      <c r="FU194" s="889"/>
      <c r="FV194" s="889"/>
      <c r="FW194" s="889"/>
      <c r="FX194" s="889"/>
      <c r="FY194" s="889"/>
      <c r="FZ194" s="889"/>
      <c r="GA194" s="889"/>
      <c r="GB194" s="889"/>
      <c r="GC194" s="889"/>
      <c r="GD194" s="889"/>
      <c r="GE194" s="889"/>
      <c r="GF194" s="889"/>
      <c r="GG194" s="889"/>
      <c r="GH194" s="889"/>
      <c r="GI194" s="889"/>
      <c r="GJ194" s="889"/>
      <c r="GK194" s="889"/>
      <c r="GL194" s="889"/>
      <c r="GM194" s="889"/>
      <c r="GN194" s="889"/>
      <c r="GO194" s="889"/>
      <c r="GP194" s="889"/>
      <c r="GQ194" s="889"/>
      <c r="GR194" s="889"/>
      <c r="GS194" s="889"/>
      <c r="GT194" s="889"/>
      <c r="GU194" s="889"/>
      <c r="GV194" s="889"/>
      <c r="GW194" s="889"/>
      <c r="GX194" s="889"/>
      <c r="GY194" s="889"/>
      <c r="GZ194" s="889"/>
      <c r="HA194" s="889"/>
      <c r="HB194" s="889"/>
      <c r="HC194" s="889"/>
      <c r="HD194" s="889"/>
      <c r="HE194" s="889"/>
      <c r="HF194" s="889"/>
      <c r="HG194" s="889"/>
      <c r="HH194" s="889"/>
      <c r="HI194" s="889"/>
      <c r="HJ194" s="889"/>
      <c r="HK194" s="889"/>
      <c r="HL194" s="889"/>
      <c r="HM194" s="889"/>
      <c r="HN194" s="889"/>
      <c r="HO194" s="889"/>
      <c r="HP194" s="889"/>
      <c r="HQ194" s="889"/>
      <c r="HR194" s="889"/>
      <c r="HS194" s="889"/>
      <c r="HT194" s="889"/>
      <c r="HU194" s="889"/>
      <c r="HV194" s="889"/>
      <c r="HW194" s="889"/>
      <c r="HX194" s="889"/>
      <c r="HY194" s="889"/>
      <c r="HZ194" s="889"/>
      <c r="IA194" s="889"/>
      <c r="IB194" s="889"/>
      <c r="IC194" s="889"/>
      <c r="ID194" s="889"/>
      <c r="IE194" s="889"/>
      <c r="IF194" s="889"/>
      <c r="IG194" s="889"/>
      <c r="IH194" s="889"/>
      <c r="II194" s="889"/>
      <c r="IJ194" s="889"/>
      <c r="IK194" s="889"/>
      <c r="IL194" s="889"/>
      <c r="IM194" s="889"/>
      <c r="IN194" s="889"/>
      <c r="IO194" s="889"/>
      <c r="IP194" s="889"/>
      <c r="IQ194" s="889"/>
      <c r="IR194" s="889"/>
      <c r="IS194" s="889"/>
      <c r="IT194" s="889"/>
      <c r="IU194" s="889"/>
      <c r="IV194" s="889"/>
      <c r="IW194" s="889"/>
    </row>
    <row r="195" spans="1:257" s="890" customFormat="1" ht="28">
      <c r="A195" s="905"/>
      <c r="B195" s="861"/>
      <c r="C195" s="889"/>
      <c r="D195" s="889"/>
      <c r="E195" s="906" t="s">
        <v>2289</v>
      </c>
      <c r="F195" s="902"/>
      <c r="G195" s="907" t="s">
        <v>2290</v>
      </c>
      <c r="H195" s="908"/>
      <c r="I195" s="889"/>
      <c r="J195" s="904"/>
      <c r="K195" s="904"/>
      <c r="L195" s="889"/>
      <c r="M195" s="889"/>
      <c r="N195" s="889"/>
      <c r="O195" s="889"/>
      <c r="P195" s="889"/>
      <c r="Q195" s="889"/>
      <c r="R195" s="889"/>
      <c r="S195" s="889"/>
      <c r="T195" s="889"/>
      <c r="U195" s="889"/>
      <c r="V195" s="889"/>
      <c r="W195" s="889"/>
      <c r="X195" s="889"/>
      <c r="Y195" s="889"/>
      <c r="Z195" s="889"/>
      <c r="AA195" s="889"/>
      <c r="AB195" s="889"/>
      <c r="AC195" s="889"/>
      <c r="AD195" s="889"/>
      <c r="AE195" s="889"/>
      <c r="AF195" s="889"/>
      <c r="AG195" s="889"/>
      <c r="AH195" s="889"/>
      <c r="AI195" s="889"/>
      <c r="AJ195" s="889"/>
      <c r="AK195" s="889"/>
      <c r="AL195" s="889"/>
      <c r="AM195" s="889"/>
      <c r="AN195" s="889"/>
      <c r="AO195" s="889"/>
      <c r="AP195" s="889"/>
      <c r="AQ195" s="889"/>
      <c r="AR195" s="889"/>
      <c r="AS195" s="889"/>
      <c r="AT195" s="889"/>
      <c r="AU195" s="889"/>
      <c r="AV195" s="889"/>
      <c r="AW195" s="889"/>
      <c r="AX195" s="889"/>
      <c r="AY195" s="889"/>
      <c r="AZ195" s="889"/>
      <c r="BA195" s="889"/>
      <c r="BB195" s="889"/>
      <c r="BC195" s="889"/>
      <c r="BD195" s="889"/>
      <c r="BE195" s="889"/>
      <c r="BF195" s="889"/>
      <c r="BG195" s="889"/>
      <c r="BH195" s="889"/>
      <c r="BI195" s="889"/>
      <c r="BJ195" s="889"/>
      <c r="BK195" s="889"/>
      <c r="BL195" s="889"/>
      <c r="BM195" s="889"/>
      <c r="BN195" s="889"/>
      <c r="BO195" s="889"/>
      <c r="BP195" s="889"/>
      <c r="BQ195" s="889"/>
      <c r="BR195" s="889"/>
      <c r="BS195" s="889"/>
      <c r="BT195" s="889"/>
      <c r="BU195" s="889"/>
      <c r="BV195" s="889"/>
      <c r="BW195" s="889"/>
      <c r="BX195" s="889"/>
      <c r="BY195" s="889"/>
      <c r="BZ195" s="889"/>
      <c r="CA195" s="889"/>
      <c r="CB195" s="889"/>
      <c r="CC195" s="889"/>
      <c r="CD195" s="889"/>
      <c r="CE195" s="889"/>
      <c r="CF195" s="889"/>
      <c r="CG195" s="889"/>
      <c r="CH195" s="889"/>
      <c r="CI195" s="889"/>
      <c r="CJ195" s="889"/>
      <c r="CK195" s="889"/>
      <c r="CL195" s="889"/>
      <c r="CM195" s="889"/>
      <c r="CN195" s="889"/>
      <c r="CO195" s="889"/>
      <c r="CP195" s="889"/>
      <c r="CQ195" s="889"/>
      <c r="CR195" s="889"/>
      <c r="CS195" s="889"/>
      <c r="CT195" s="889"/>
      <c r="CU195" s="889"/>
      <c r="CV195" s="889"/>
      <c r="CW195" s="889"/>
      <c r="CX195" s="889"/>
      <c r="CY195" s="889"/>
      <c r="CZ195" s="889"/>
      <c r="DA195" s="889"/>
      <c r="DB195" s="889"/>
      <c r="DC195" s="889"/>
      <c r="DD195" s="889"/>
      <c r="DE195" s="889"/>
      <c r="DF195" s="889"/>
      <c r="DG195" s="889"/>
      <c r="DH195" s="889"/>
      <c r="DI195" s="889"/>
      <c r="DJ195" s="889"/>
      <c r="DK195" s="889"/>
      <c r="DL195" s="889"/>
      <c r="DM195" s="889"/>
      <c r="DN195" s="889"/>
      <c r="DO195" s="889"/>
      <c r="DP195" s="889"/>
      <c r="DQ195" s="889"/>
      <c r="DR195" s="889"/>
      <c r="DS195" s="889"/>
      <c r="DT195" s="889"/>
      <c r="DU195" s="889"/>
      <c r="DV195" s="889"/>
      <c r="DW195" s="889"/>
      <c r="DX195" s="889"/>
      <c r="DY195" s="889"/>
      <c r="DZ195" s="889"/>
      <c r="EA195" s="889"/>
      <c r="EB195" s="889"/>
      <c r="EC195" s="889"/>
      <c r="ED195" s="889"/>
      <c r="EE195" s="889"/>
      <c r="EF195" s="889"/>
      <c r="EG195" s="889"/>
      <c r="EH195" s="889"/>
      <c r="EI195" s="889"/>
      <c r="EJ195" s="889"/>
      <c r="EK195" s="889"/>
      <c r="EL195" s="889"/>
      <c r="EM195" s="889"/>
      <c r="EN195" s="889"/>
      <c r="EO195" s="889"/>
      <c r="EP195" s="889"/>
      <c r="EQ195" s="889"/>
      <c r="ER195" s="889"/>
      <c r="ES195" s="889"/>
      <c r="ET195" s="889"/>
      <c r="EU195" s="889"/>
      <c r="EV195" s="889"/>
      <c r="EW195" s="889"/>
      <c r="EX195" s="889"/>
      <c r="EY195" s="889"/>
      <c r="EZ195" s="889"/>
      <c r="FA195" s="889"/>
      <c r="FB195" s="889"/>
      <c r="FC195" s="889"/>
      <c r="FD195" s="889"/>
      <c r="FE195" s="889"/>
      <c r="FF195" s="889"/>
      <c r="FG195" s="889"/>
      <c r="FH195" s="889"/>
      <c r="FI195" s="889"/>
      <c r="FJ195" s="889"/>
      <c r="FK195" s="889"/>
      <c r="FL195" s="889"/>
      <c r="FM195" s="889"/>
      <c r="FN195" s="889"/>
      <c r="FO195" s="889"/>
      <c r="FP195" s="889"/>
      <c r="FQ195" s="889"/>
      <c r="FR195" s="889"/>
      <c r="FS195" s="889"/>
      <c r="FT195" s="889"/>
      <c r="FU195" s="889"/>
      <c r="FV195" s="889"/>
      <c r="FW195" s="889"/>
      <c r="FX195" s="889"/>
      <c r="FY195" s="889"/>
      <c r="FZ195" s="889"/>
      <c r="GA195" s="889"/>
      <c r="GB195" s="889"/>
      <c r="GC195" s="889"/>
      <c r="GD195" s="889"/>
      <c r="GE195" s="889"/>
      <c r="GF195" s="889"/>
      <c r="GG195" s="889"/>
      <c r="GH195" s="889"/>
      <c r="GI195" s="889"/>
      <c r="GJ195" s="889"/>
      <c r="GK195" s="889"/>
      <c r="GL195" s="889"/>
      <c r="GM195" s="889"/>
      <c r="GN195" s="889"/>
      <c r="GO195" s="889"/>
      <c r="GP195" s="889"/>
      <c r="GQ195" s="889"/>
      <c r="GR195" s="889"/>
      <c r="GS195" s="889"/>
      <c r="GT195" s="889"/>
      <c r="GU195" s="889"/>
      <c r="GV195" s="889"/>
      <c r="GW195" s="889"/>
      <c r="GX195" s="889"/>
      <c r="GY195" s="889"/>
      <c r="GZ195" s="889"/>
      <c r="HA195" s="889"/>
      <c r="HB195" s="889"/>
      <c r="HC195" s="889"/>
      <c r="HD195" s="889"/>
      <c r="HE195" s="889"/>
      <c r="HF195" s="889"/>
      <c r="HG195" s="889"/>
      <c r="HH195" s="889"/>
      <c r="HI195" s="889"/>
      <c r="HJ195" s="889"/>
      <c r="HK195" s="889"/>
      <c r="HL195" s="889"/>
      <c r="HM195" s="889"/>
      <c r="HN195" s="889"/>
      <c r="HO195" s="889"/>
      <c r="HP195" s="889"/>
      <c r="HQ195" s="889"/>
      <c r="HR195" s="889"/>
      <c r="HS195" s="889"/>
      <c r="HT195" s="889"/>
      <c r="HU195" s="889"/>
      <c r="HV195" s="889"/>
      <c r="HW195" s="889"/>
      <c r="HX195" s="889"/>
      <c r="HY195" s="889"/>
      <c r="HZ195" s="889"/>
      <c r="IA195" s="889"/>
      <c r="IB195" s="889"/>
      <c r="IC195" s="889"/>
      <c r="ID195" s="889"/>
      <c r="IE195" s="889"/>
      <c r="IF195" s="889"/>
      <c r="IG195" s="889"/>
      <c r="IH195" s="889"/>
      <c r="II195" s="889"/>
      <c r="IJ195" s="889"/>
      <c r="IK195" s="889"/>
      <c r="IL195" s="889"/>
      <c r="IM195" s="889"/>
      <c r="IN195" s="889"/>
      <c r="IO195" s="889"/>
      <c r="IP195" s="889"/>
      <c r="IQ195" s="889"/>
      <c r="IR195" s="889"/>
      <c r="IS195" s="889"/>
      <c r="IT195" s="889"/>
      <c r="IU195" s="889"/>
      <c r="IV195" s="889"/>
      <c r="IW195" s="889"/>
    </row>
    <row r="196" spans="1:257" s="890" customFormat="1" ht="42">
      <c r="A196" s="905"/>
      <c r="B196" s="861"/>
      <c r="C196" s="889"/>
      <c r="D196" s="889"/>
      <c r="E196" s="906" t="s">
        <v>2291</v>
      </c>
      <c r="F196" s="902"/>
      <c r="G196" s="907" t="s">
        <v>2292</v>
      </c>
      <c r="H196" s="908"/>
      <c r="I196" s="889"/>
      <c r="J196" s="904"/>
      <c r="K196" s="904"/>
      <c r="L196" s="889"/>
      <c r="M196" s="889"/>
      <c r="N196" s="889"/>
      <c r="O196" s="889"/>
      <c r="P196" s="889"/>
      <c r="Q196" s="889"/>
      <c r="R196" s="889"/>
      <c r="S196" s="889"/>
      <c r="T196" s="889"/>
      <c r="U196" s="889"/>
      <c r="V196" s="889"/>
      <c r="W196" s="889"/>
      <c r="X196" s="889"/>
      <c r="Y196" s="889"/>
      <c r="Z196" s="889"/>
      <c r="AA196" s="889"/>
      <c r="AB196" s="889"/>
      <c r="AC196" s="889"/>
      <c r="AD196" s="889"/>
      <c r="AE196" s="889"/>
      <c r="AF196" s="889"/>
      <c r="AG196" s="889"/>
      <c r="AH196" s="889"/>
      <c r="AI196" s="889"/>
      <c r="AJ196" s="889"/>
      <c r="AK196" s="889"/>
      <c r="AL196" s="889"/>
      <c r="AM196" s="889"/>
      <c r="AN196" s="889"/>
      <c r="AO196" s="889"/>
      <c r="AP196" s="889"/>
      <c r="AQ196" s="889"/>
      <c r="AR196" s="889"/>
      <c r="AS196" s="889"/>
      <c r="AT196" s="889"/>
      <c r="AU196" s="889"/>
      <c r="AV196" s="889"/>
      <c r="AW196" s="889"/>
      <c r="AX196" s="889"/>
      <c r="AY196" s="889"/>
      <c r="AZ196" s="889"/>
      <c r="BA196" s="889"/>
      <c r="BB196" s="889"/>
      <c r="BC196" s="889"/>
      <c r="BD196" s="889"/>
      <c r="BE196" s="889"/>
      <c r="BF196" s="889"/>
      <c r="BG196" s="889"/>
      <c r="BH196" s="889"/>
      <c r="BI196" s="889"/>
      <c r="BJ196" s="889"/>
      <c r="BK196" s="889"/>
      <c r="BL196" s="889"/>
      <c r="BM196" s="889"/>
      <c r="BN196" s="889"/>
      <c r="BO196" s="889"/>
      <c r="BP196" s="889"/>
      <c r="BQ196" s="889"/>
      <c r="BR196" s="889"/>
      <c r="BS196" s="889"/>
      <c r="BT196" s="889"/>
      <c r="BU196" s="889"/>
      <c r="BV196" s="889"/>
      <c r="BW196" s="889"/>
      <c r="BX196" s="889"/>
      <c r="BY196" s="889"/>
      <c r="BZ196" s="889"/>
      <c r="CA196" s="889"/>
      <c r="CB196" s="889"/>
      <c r="CC196" s="889"/>
      <c r="CD196" s="889"/>
      <c r="CE196" s="889"/>
      <c r="CF196" s="889"/>
      <c r="CG196" s="889"/>
      <c r="CH196" s="889"/>
      <c r="CI196" s="889"/>
      <c r="CJ196" s="889"/>
      <c r="CK196" s="889"/>
      <c r="CL196" s="889"/>
      <c r="CM196" s="889"/>
      <c r="CN196" s="889"/>
      <c r="CO196" s="889"/>
      <c r="CP196" s="889"/>
      <c r="CQ196" s="889"/>
      <c r="CR196" s="889"/>
      <c r="CS196" s="889"/>
      <c r="CT196" s="889"/>
      <c r="CU196" s="889"/>
      <c r="CV196" s="889"/>
      <c r="CW196" s="889"/>
      <c r="CX196" s="889"/>
      <c r="CY196" s="889"/>
      <c r="CZ196" s="889"/>
      <c r="DA196" s="889"/>
      <c r="DB196" s="889"/>
      <c r="DC196" s="889"/>
      <c r="DD196" s="889"/>
      <c r="DE196" s="889"/>
      <c r="DF196" s="889"/>
      <c r="DG196" s="889"/>
      <c r="DH196" s="889"/>
      <c r="DI196" s="889"/>
      <c r="DJ196" s="889"/>
      <c r="DK196" s="889"/>
      <c r="DL196" s="889"/>
      <c r="DM196" s="889"/>
      <c r="DN196" s="889"/>
      <c r="DO196" s="889"/>
      <c r="DP196" s="889"/>
      <c r="DQ196" s="889"/>
      <c r="DR196" s="889"/>
      <c r="DS196" s="889"/>
      <c r="DT196" s="889"/>
      <c r="DU196" s="889"/>
      <c r="DV196" s="889"/>
      <c r="DW196" s="889"/>
      <c r="DX196" s="889"/>
      <c r="DY196" s="889"/>
      <c r="DZ196" s="889"/>
      <c r="EA196" s="889"/>
      <c r="EB196" s="889"/>
      <c r="EC196" s="889"/>
      <c r="ED196" s="889"/>
      <c r="EE196" s="889"/>
      <c r="EF196" s="889"/>
      <c r="EG196" s="889"/>
      <c r="EH196" s="889"/>
      <c r="EI196" s="889"/>
      <c r="EJ196" s="889"/>
      <c r="EK196" s="889"/>
      <c r="EL196" s="889"/>
      <c r="EM196" s="889"/>
      <c r="EN196" s="889"/>
      <c r="EO196" s="889"/>
      <c r="EP196" s="889"/>
      <c r="EQ196" s="889"/>
      <c r="ER196" s="889"/>
      <c r="ES196" s="889"/>
      <c r="ET196" s="889"/>
      <c r="EU196" s="889"/>
      <c r="EV196" s="889"/>
      <c r="EW196" s="889"/>
      <c r="EX196" s="889"/>
      <c r="EY196" s="889"/>
      <c r="EZ196" s="889"/>
      <c r="FA196" s="889"/>
      <c r="FB196" s="889"/>
      <c r="FC196" s="889"/>
      <c r="FD196" s="889"/>
      <c r="FE196" s="889"/>
      <c r="FF196" s="889"/>
      <c r="FG196" s="889"/>
      <c r="FH196" s="889"/>
      <c r="FI196" s="889"/>
      <c r="FJ196" s="889"/>
      <c r="FK196" s="889"/>
      <c r="FL196" s="889"/>
      <c r="FM196" s="889"/>
      <c r="FN196" s="889"/>
      <c r="FO196" s="889"/>
      <c r="FP196" s="889"/>
      <c r="FQ196" s="889"/>
      <c r="FR196" s="889"/>
      <c r="FS196" s="889"/>
      <c r="FT196" s="889"/>
      <c r="FU196" s="889"/>
      <c r="FV196" s="889"/>
      <c r="FW196" s="889"/>
      <c r="FX196" s="889"/>
      <c r="FY196" s="889"/>
      <c r="FZ196" s="889"/>
      <c r="GA196" s="889"/>
      <c r="GB196" s="889"/>
      <c r="GC196" s="889"/>
      <c r="GD196" s="889"/>
      <c r="GE196" s="889"/>
      <c r="GF196" s="889"/>
      <c r="GG196" s="889"/>
      <c r="GH196" s="889"/>
      <c r="GI196" s="889"/>
      <c r="GJ196" s="889"/>
      <c r="GK196" s="889"/>
      <c r="GL196" s="889"/>
      <c r="GM196" s="889"/>
      <c r="GN196" s="889"/>
      <c r="GO196" s="889"/>
      <c r="GP196" s="889"/>
      <c r="GQ196" s="889"/>
      <c r="GR196" s="889"/>
      <c r="GS196" s="889"/>
      <c r="GT196" s="889"/>
      <c r="GU196" s="889"/>
      <c r="GV196" s="889"/>
      <c r="GW196" s="889"/>
      <c r="GX196" s="889"/>
      <c r="GY196" s="889"/>
      <c r="GZ196" s="889"/>
      <c r="HA196" s="889"/>
      <c r="HB196" s="889"/>
      <c r="HC196" s="889"/>
      <c r="HD196" s="889"/>
      <c r="HE196" s="889"/>
      <c r="HF196" s="889"/>
      <c r="HG196" s="889"/>
      <c r="HH196" s="889"/>
      <c r="HI196" s="889"/>
      <c r="HJ196" s="889"/>
      <c r="HK196" s="889"/>
      <c r="HL196" s="889"/>
      <c r="HM196" s="889"/>
      <c r="HN196" s="889"/>
      <c r="HO196" s="889"/>
      <c r="HP196" s="889"/>
      <c r="HQ196" s="889"/>
      <c r="HR196" s="889"/>
      <c r="HS196" s="889"/>
      <c r="HT196" s="889"/>
      <c r="HU196" s="889"/>
      <c r="HV196" s="889"/>
      <c r="HW196" s="889"/>
      <c r="HX196" s="889"/>
      <c r="HY196" s="889"/>
      <c r="HZ196" s="889"/>
      <c r="IA196" s="889"/>
      <c r="IB196" s="889"/>
      <c r="IC196" s="889"/>
      <c r="ID196" s="889"/>
      <c r="IE196" s="889"/>
      <c r="IF196" s="889"/>
      <c r="IG196" s="889"/>
      <c r="IH196" s="889"/>
      <c r="II196" s="889"/>
      <c r="IJ196" s="889"/>
      <c r="IK196" s="889"/>
      <c r="IL196" s="889"/>
      <c r="IM196" s="889"/>
      <c r="IN196" s="889"/>
      <c r="IO196" s="889"/>
      <c r="IP196" s="889"/>
      <c r="IQ196" s="889"/>
      <c r="IR196" s="889"/>
      <c r="IS196" s="889"/>
      <c r="IT196" s="889"/>
      <c r="IU196" s="889"/>
      <c r="IV196" s="889"/>
      <c r="IW196" s="889"/>
    </row>
    <row r="197" spans="1:257" ht="70">
      <c r="E197" s="906" t="s">
        <v>2293</v>
      </c>
      <c r="G197" s="909" t="s">
        <v>2294</v>
      </c>
      <c r="H197" s="908"/>
    </row>
    <row r="198" spans="1:257" ht="70">
      <c r="E198" s="907" t="s">
        <v>2295</v>
      </c>
      <c r="G198" s="909" t="s">
        <v>2296</v>
      </c>
    </row>
    <row r="199" spans="1:257" ht="28">
      <c r="E199" s="906" t="s">
        <v>2297</v>
      </c>
      <c r="G199" s="909"/>
    </row>
    <row r="200" spans="1:257">
      <c r="G200" s="909"/>
    </row>
  </sheetData>
  <sheetProtection algorithmName="SHA-512" hashValue="/VgkHjIHo8+PQr7PTyMYoVrObUeGk/b86kh6UcFn7CgsW2P5gBHGT/mVzGxV9Bw4+itfReflWuRd7ohsAX4sig==" saltValue="mpgiu3ovxaymBt1cPzxBNA==" spinCount="100000" sheet="1" objects="1" scenarios="1" selectLockedCells="1"/>
  <mergeCells count="33">
    <mergeCell ref="A30:A32"/>
    <mergeCell ref="A2:B2"/>
    <mergeCell ref="C2:D2"/>
    <mergeCell ref="F2:G2"/>
    <mergeCell ref="I2:M2"/>
    <mergeCell ref="A3:D3"/>
    <mergeCell ref="H3:I3"/>
    <mergeCell ref="C4:D4"/>
    <mergeCell ref="A5:A9"/>
    <mergeCell ref="A11:A15"/>
    <mergeCell ref="A19:A24"/>
    <mergeCell ref="A26:A28"/>
    <mergeCell ref="A112:A113"/>
    <mergeCell ref="A36:A40"/>
    <mergeCell ref="A42:A46"/>
    <mergeCell ref="A48:A52"/>
    <mergeCell ref="A54:A58"/>
    <mergeCell ref="A60:A64"/>
    <mergeCell ref="A66:A70"/>
    <mergeCell ref="A72:A75"/>
    <mergeCell ref="A77:A81"/>
    <mergeCell ref="A83:A87"/>
    <mergeCell ref="A89:A93"/>
    <mergeCell ref="A97:A98"/>
    <mergeCell ref="A170:A172"/>
    <mergeCell ref="A175:A180"/>
    <mergeCell ref="C183:E183"/>
    <mergeCell ref="A123:A126"/>
    <mergeCell ref="A134:A135"/>
    <mergeCell ref="A140:A142"/>
    <mergeCell ref="A151:A153"/>
    <mergeCell ref="A158:A162"/>
    <mergeCell ref="A164:A168"/>
  </mergeCells>
  <dataValidations count="4">
    <dataValidation type="list" allowBlank="1" showInputMessage="1" showErrorMessage="1" sqref="F5:F15 F19:F24 F26:F28 F30:F40 F42:F46 F48:F52 F54:F58 F60:F64 F66:F70 F72:F75 F77:F81 F83:F87 F89:F93 F97:F98 F106 F112:F113 F117 F123:F126 F128 F134:F135 F140:F142 F146 F151:F153 F158:F162 F164:F168 F170:F172 F175:F180" xr:uid="{00000000-0002-0000-5100-000000000000}">
      <formula1>$B$205:$B$207</formula1>
    </dataValidation>
    <dataValidation type="list" allowBlank="1" showInputMessage="1" showErrorMessage="1" sqref="G5:G9 G11:G15 G19:G24 G26:G28 G30:G32 G36:G40 G42:G46 G48:G52 G54:G58 G60:G64 G66:G70 G72:G75 G77:G81 G83:G87 G89:G93 G97:G98 G106 G112:G113 G117 G123:G126 G128 G134:G135 G140:G142 G146 G151:G153 G158:G162 G164:G168 G170:G172 G175:G180" xr:uid="{00000000-0002-0000-5100-000001000000}">
      <formula1>$G$189:$G$200</formula1>
    </dataValidation>
    <dataValidation type="list" allowBlank="1" showInputMessage="1" showErrorMessage="1" promptTitle="Standardbegründungen" sqref="G189:G200" xr:uid="{00000000-0002-0000-5100-000002000000}">
      <formula1>$G$188:$G$200</formula1>
    </dataValidation>
    <dataValidation type="list" allowBlank="1" showInputMessage="1" showErrorMessage="1" promptTitle="Standardbegründungen" sqref="G188 H188:H197" xr:uid="{00000000-0002-0000-5100-000003000000}">
      <formula1>$G$188:$G$197</formula1>
    </dataValidation>
  </dataValidations>
  <pageMargins left="0.7" right="0.7" top="0.78740157499999996" bottom="0.78740157499999996" header="0.3" footer="0.3"/>
  <pageSetup fitToHeight="0" orientation="portrait" r:id="rId1"/>
  <headerFooter>
    <oddFooter>&amp;LDok.-Nr /Rev./Datum
AH06 / 01 / 02.12.2019
&amp;F&amp;CReportbewertung Level C, B, A&amp;RSeite &amp;P</oddFooter>
  </headerFooter>
  <legacy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30E28-A088-400C-A573-278CC77BA95D}">
  <sheetPr codeName="Support_Sheet53"/>
  <dimension ref="A1:Y183"/>
  <sheetViews>
    <sheetView zoomScale="70" zoomScaleNormal="70" workbookViewId="0">
      <selection activeCell="AC25" sqref="AC25"/>
    </sheetView>
  </sheetViews>
  <sheetFormatPr baseColWidth="10" defaultColWidth="9.1640625" defaultRowHeight="15"/>
  <cols>
    <col min="3" max="3" width="19.5" bestFit="1" customWidth="1"/>
    <col min="4" max="4" width="43" bestFit="1" customWidth="1"/>
    <col min="5" max="5" width="27.5" bestFit="1" customWidth="1"/>
    <col min="6" max="6" width="14.1640625" bestFit="1" customWidth="1"/>
    <col min="7" max="7" width="14.5" bestFit="1" customWidth="1"/>
    <col min="8" max="8" width="12.83203125" customWidth="1"/>
    <col min="9" max="9" width="17" bestFit="1" customWidth="1"/>
    <col min="10" max="10" width="23" bestFit="1" customWidth="1"/>
    <col min="11" max="11" width="15.83203125" bestFit="1" customWidth="1"/>
    <col min="12" max="12" width="29.5" customWidth="1"/>
    <col min="14" max="14" width="11.5" customWidth="1"/>
    <col min="15" max="15" width="13.5" bestFit="1" customWidth="1"/>
    <col min="16" max="16" width="11.5" bestFit="1" customWidth="1"/>
    <col min="17" max="17" width="18.5" bestFit="1" customWidth="1"/>
    <col min="18" max="18" width="26.83203125" customWidth="1"/>
    <col min="19" max="19" width="15.5" customWidth="1"/>
  </cols>
  <sheetData>
    <row r="1" spans="1:25">
      <c r="A1" t="s">
        <v>3709</v>
      </c>
    </row>
    <row r="3" spans="1:25">
      <c r="R3" t="s">
        <v>242</v>
      </c>
    </row>
    <row r="4" spans="1:25">
      <c r="R4" t="str">
        <f>Dictionary!B1221</f>
        <v xml:space="preserve">Max. Stunden überschritten für </v>
      </c>
      <c r="S4" t="str">
        <f>Dictionary!B1225</f>
        <v>Re-Zert Periode!</v>
      </c>
    </row>
    <row r="5" spans="1:25">
      <c r="R5" t="str">
        <f>Dictionary!B1222</f>
        <v>End-Datum vor Start Datum!</v>
      </c>
    </row>
    <row r="6" spans="1:25">
      <c r="R6" t="str">
        <f>Dictionary!B1223</f>
        <v>Eintrag unvollständig</v>
      </c>
    </row>
    <row r="7" spans="1:25">
      <c r="D7" t="s">
        <v>233</v>
      </c>
      <c r="R7" t="str">
        <f>Dictionary!B1224</f>
        <v>-</v>
      </c>
    </row>
    <row r="8" spans="1:25">
      <c r="C8" s="76" t="s">
        <v>236</v>
      </c>
    </row>
    <row r="9" spans="1:25">
      <c r="C9" s="76">
        <v>200</v>
      </c>
      <c r="D9" s="74" t="str">
        <f>RCL!C9</f>
        <v>Teilnahme an Konferenzen (intern und extern)</v>
      </c>
      <c r="E9" s="74"/>
      <c r="F9" s="74"/>
      <c r="G9" s="74"/>
      <c r="H9" s="74"/>
      <c r="I9" s="74"/>
      <c r="J9" s="74"/>
      <c r="K9" s="74"/>
      <c r="L9" s="74">
        <f>RCL!L9</f>
        <v>0</v>
      </c>
      <c r="U9" s="2429" t="s">
        <v>705</v>
      </c>
      <c r="V9" s="2429"/>
      <c r="W9" s="2429"/>
      <c r="X9" s="2429"/>
      <c r="Y9" s="2429"/>
    </row>
    <row r="10" spans="1:25">
      <c r="D10" s="74" t="str">
        <f>RCL!C10</f>
        <v>Konferenz-Name / Titel</v>
      </c>
      <c r="E10" s="74" t="str">
        <f>RCL!D10</f>
        <v>Veranstalter</v>
      </c>
      <c r="F10" s="74" t="str">
        <f>RCL!E10</f>
        <v>Ort</v>
      </c>
      <c r="G10" s="74" t="str">
        <f>RCL!F10</f>
        <v>Start Datum</v>
      </c>
      <c r="H10" s="74" t="str">
        <f>RCL!G10</f>
        <v>End Datum</v>
      </c>
      <c r="I10" s="74" t="str">
        <f>RCL!H10</f>
        <v>Dauer (Std.)</v>
      </c>
      <c r="J10" s="74" t="str">
        <f>RCL!I10</f>
        <v>ICB Element Referenz 1</v>
      </c>
      <c r="K10" s="74" t="str">
        <f>RCL!K10</f>
        <v>Nachweis der Teilnahme</v>
      </c>
      <c r="L10" s="74" t="str">
        <f>RCL!L10</f>
        <v>Anerkennungsfähige Dauer (Std.)</v>
      </c>
      <c r="N10" t="s">
        <v>234</v>
      </c>
      <c r="O10" t="s">
        <v>238</v>
      </c>
      <c r="P10" t="s">
        <v>237</v>
      </c>
      <c r="Q10" t="s">
        <v>239</v>
      </c>
      <c r="R10" t="s">
        <v>235</v>
      </c>
      <c r="U10" s="74" t="s">
        <v>700</v>
      </c>
      <c r="V10" s="74" t="s">
        <v>701</v>
      </c>
      <c r="W10" s="74" t="s">
        <v>702</v>
      </c>
      <c r="X10" s="74" t="s">
        <v>703</v>
      </c>
      <c r="Y10" s="74" t="s">
        <v>704</v>
      </c>
    </row>
    <row r="11" spans="1:25">
      <c r="D11" s="74">
        <f>RCL!C11</f>
        <v>0</v>
      </c>
      <c r="E11" s="74">
        <f>RCL!D11</f>
        <v>0</v>
      </c>
      <c r="F11" s="74">
        <f>RCL!E11</f>
        <v>0</v>
      </c>
      <c r="G11" s="75">
        <f>RCL!F11</f>
        <v>0</v>
      </c>
      <c r="H11" s="75">
        <f>RCL!G11</f>
        <v>0</v>
      </c>
      <c r="I11" s="74">
        <f>RCL!H11</f>
        <v>0</v>
      </c>
      <c r="J11" s="74">
        <f>RCL!I11</f>
        <v>0</v>
      </c>
      <c r="K11" s="74">
        <f>RCL!K11</f>
        <v>0</v>
      </c>
      <c r="L11" s="74" t="str">
        <f>RCL!L11</f>
        <v/>
      </c>
      <c r="N11" t="str">
        <f t="shared" ref="N11:N30" si="0">IF(YEAR(G11)&gt;1900,YEAR(G11),"")</f>
        <v/>
      </c>
      <c r="O11">
        <f>I11</f>
        <v>0</v>
      </c>
      <c r="P11">
        <f t="shared" ref="P11:P30" si="1">IF(O11&gt;MAX_HPY_CONF,MAX_HPY_CONF,O11)</f>
        <v>0</v>
      </c>
      <c r="Q11">
        <f t="shared" ref="Q11:Q30" si="2">IF(AND(H11&gt;0,H11&lt;G11),0,IF((I11-(O11-P11))&gt;0,I11-(O11-P11),0))</f>
        <v>0</v>
      </c>
      <c r="R11" t="str">
        <f>IF(AND(H11&gt;0,H11&lt;G11),END_BEFORE_START,IF(O11&gt;MAX_HPY_CONF,NOTICE_HPY_REACHED&amp;N11&amp;"!",""))&amp;IF(OR(AND(RCL!C11="",RCL!D11="",RCL!E11="",RCL!F11="",RCL!H11="",RCL!I11="",RCL!K11=""),AND(RCL!C11&lt;&gt;"",RCL!D11&lt;&gt;"",RCL!E11&lt;&gt;"",RCL!F11&lt;&gt;"",RCL!H11&lt;&gt;"",RCL!I11&lt;&gt;"",RCL!K11&lt;&gt;"")),""," "&amp;INCOMPLETE_ENTRY)</f>
        <v/>
      </c>
      <c r="U11" s="74" t="str">
        <f t="shared" ref="U11:U30" si="3">IF(AND(G11&gt;RC_YEAR_1_START,G11&lt;RC_YEAR_1_END),Q11,"")</f>
        <v/>
      </c>
      <c r="V11" s="74" t="str">
        <f t="shared" ref="V11:V30" si="4">IF(AND(G11&gt;RC_YEAR_2_START,G11&lt;RC_YEAR_2_END),Q11,"")</f>
        <v/>
      </c>
      <c r="W11" s="74" t="str">
        <f t="shared" ref="W11:W30" si="5">IF(AND(G11&gt;RC_YEAR_3_START,G11&lt;RC_YEAR_3_END),Q11,"")</f>
        <v/>
      </c>
      <c r="X11" s="74" t="str">
        <f t="shared" ref="X11:X30" si="6">IF(AND(G11&gt;RC_YEAR_4_START,G11&lt;RC_YEAR_4_END),Q11,"")</f>
        <v/>
      </c>
      <c r="Y11" s="74" t="str">
        <f t="shared" ref="Y11:Y30" si="7">IF(AND(G11&gt;RC_YEAR_5_START,G11&lt;RC_YEAR_5_END),Q11,"")</f>
        <v/>
      </c>
    </row>
    <row r="12" spans="1:25">
      <c r="D12" s="74">
        <f>RCL!C12</f>
        <v>0</v>
      </c>
      <c r="E12" s="74">
        <f>RCL!D12</f>
        <v>0</v>
      </c>
      <c r="F12" s="74">
        <f>RCL!E12</f>
        <v>0</v>
      </c>
      <c r="G12" s="75">
        <f>RCL!F12</f>
        <v>0</v>
      </c>
      <c r="H12" s="75">
        <f>RCL!G12</f>
        <v>0</v>
      </c>
      <c r="I12" s="74">
        <f>RCL!H12</f>
        <v>0</v>
      </c>
      <c r="J12" s="74">
        <f>RCL!I12</f>
        <v>0</v>
      </c>
      <c r="K12" s="74">
        <f>RCL!K12</f>
        <v>0</v>
      </c>
      <c r="L12" s="74" t="str">
        <f>RCL!L12</f>
        <v/>
      </c>
      <c r="N12" t="str">
        <f t="shared" si="0"/>
        <v/>
      </c>
      <c r="O12">
        <f>SUMIF(N11:N12,N12,I11:I12)</f>
        <v>0</v>
      </c>
      <c r="P12">
        <f t="shared" si="1"/>
        <v>0</v>
      </c>
      <c r="Q12">
        <f t="shared" si="2"/>
        <v>0</v>
      </c>
      <c r="R12" t="str">
        <f>IF(AND(H12&gt;0,H12&lt;G12),END_BEFORE_START,IF(O12&gt;MAX_HPY_CONF,NOTICE_HPY_REACHED&amp;N12&amp;"!",""))&amp;IF(OR(AND(RCL!C12="",RCL!D12="",RCL!E12="",RCL!F12="",RCL!H12="",RCL!I12="",RCL!K12=""),AND(RCL!C12&lt;&gt;"",RCL!D12&lt;&gt;"",RCL!E12&lt;&gt;"",RCL!F12&lt;&gt;"",RCL!H12&lt;&gt;"",RCL!I12&lt;&gt;"",RCL!K12&lt;&gt;"")),""," "&amp;INCOMPLETE_ENTRY)</f>
        <v/>
      </c>
      <c r="U12" s="74" t="str">
        <f t="shared" si="3"/>
        <v/>
      </c>
      <c r="V12" s="74" t="str">
        <f t="shared" si="4"/>
        <v/>
      </c>
      <c r="W12" s="74" t="str">
        <f t="shared" si="5"/>
        <v/>
      </c>
      <c r="X12" s="74" t="str">
        <f t="shared" si="6"/>
        <v/>
      </c>
      <c r="Y12" s="74" t="str">
        <f t="shared" si="7"/>
        <v/>
      </c>
    </row>
    <row r="13" spans="1:25">
      <c r="D13" s="74">
        <f>RCL!C13</f>
        <v>0</v>
      </c>
      <c r="E13" s="74">
        <f>RCL!D13</f>
        <v>0</v>
      </c>
      <c r="F13" s="74">
        <f>RCL!E13</f>
        <v>0</v>
      </c>
      <c r="G13" s="75">
        <f>RCL!F13</f>
        <v>0</v>
      </c>
      <c r="H13" s="75">
        <f>RCL!G13</f>
        <v>0</v>
      </c>
      <c r="I13" s="74">
        <f>RCL!H13</f>
        <v>0</v>
      </c>
      <c r="J13" s="74">
        <f>RCL!I13</f>
        <v>0</v>
      </c>
      <c r="K13" s="74">
        <f>RCL!K13</f>
        <v>0</v>
      </c>
      <c r="L13" s="74" t="str">
        <f>RCL!L13</f>
        <v/>
      </c>
      <c r="N13" t="str">
        <f t="shared" si="0"/>
        <v/>
      </c>
      <c r="O13">
        <f>SUMIF(N11:N13,N13,I11:I13)</f>
        <v>0</v>
      </c>
      <c r="P13">
        <f t="shared" si="1"/>
        <v>0</v>
      </c>
      <c r="Q13">
        <f t="shared" si="2"/>
        <v>0</v>
      </c>
      <c r="R13" t="str">
        <f>IF(AND(H13&gt;0,H13&lt;G13),END_BEFORE_START,IF(O13&gt;MAX_HPY_CONF,NOTICE_HPY_REACHED&amp;N13&amp;"!",""))&amp;IF(OR(AND(RCL!C13="",RCL!D13="",RCL!E13="",RCL!F13="",RCL!H13="",RCL!I13="",RCL!K13=""),AND(RCL!C13&lt;&gt;"",RCL!D13&lt;&gt;"",RCL!E13&lt;&gt;"",RCL!F13&lt;&gt;"",RCL!H13&lt;&gt;"",RCL!I13&lt;&gt;"",RCL!K13&lt;&gt;"")),""," "&amp;INCOMPLETE_ENTRY)</f>
        <v/>
      </c>
      <c r="U13" s="74" t="str">
        <f t="shared" si="3"/>
        <v/>
      </c>
      <c r="V13" s="74" t="str">
        <f t="shared" si="4"/>
        <v/>
      </c>
      <c r="W13" s="74" t="str">
        <f t="shared" si="5"/>
        <v/>
      </c>
      <c r="X13" s="74" t="str">
        <f t="shared" si="6"/>
        <v/>
      </c>
      <c r="Y13" s="74" t="str">
        <f t="shared" si="7"/>
        <v/>
      </c>
    </row>
    <row r="14" spans="1:25">
      <c r="D14" s="74">
        <f>RCL!C14</f>
        <v>0</v>
      </c>
      <c r="E14" s="74">
        <f>RCL!D14</f>
        <v>0</v>
      </c>
      <c r="F14" s="74">
        <f>RCL!E14</f>
        <v>0</v>
      </c>
      <c r="G14" s="75">
        <f>RCL!F14</f>
        <v>0</v>
      </c>
      <c r="H14" s="75">
        <f>RCL!G14</f>
        <v>0</v>
      </c>
      <c r="I14" s="74">
        <f>RCL!H14</f>
        <v>0</v>
      </c>
      <c r="J14" s="74">
        <f>RCL!I14</f>
        <v>0</v>
      </c>
      <c r="K14" s="74">
        <f>RCL!K14</f>
        <v>0</v>
      </c>
      <c r="L14" s="74" t="str">
        <f>RCL!L14</f>
        <v/>
      </c>
      <c r="N14" t="str">
        <f t="shared" si="0"/>
        <v/>
      </c>
      <c r="O14">
        <f>SUMIF(N11:N14,N14,I11:I14)</f>
        <v>0</v>
      </c>
      <c r="P14">
        <f t="shared" si="1"/>
        <v>0</v>
      </c>
      <c r="Q14">
        <f t="shared" si="2"/>
        <v>0</v>
      </c>
      <c r="R14" t="str">
        <f>IF(AND(H14&gt;0,H14&lt;G14),END_BEFORE_START,IF(O14&gt;MAX_HPY_CONF,NOTICE_HPY_REACHED&amp;N14&amp;"!",""))&amp;IF(OR(AND(RCL!C14="",RCL!D14="",RCL!E14="",RCL!F14="",RCL!H14="",RCL!I14="",RCL!K14=""),AND(RCL!C14&lt;&gt;"",RCL!D14&lt;&gt;"",RCL!E14&lt;&gt;"",RCL!F14&lt;&gt;"",RCL!H14&lt;&gt;"",RCL!I14&lt;&gt;"",RCL!K14&lt;&gt;"")),""," "&amp;INCOMPLETE_ENTRY)</f>
        <v/>
      </c>
      <c r="U14" s="74" t="str">
        <f t="shared" si="3"/>
        <v/>
      </c>
      <c r="V14" s="74" t="str">
        <f t="shared" si="4"/>
        <v/>
      </c>
      <c r="W14" s="74" t="str">
        <f t="shared" si="5"/>
        <v/>
      </c>
      <c r="X14" s="74" t="str">
        <f t="shared" si="6"/>
        <v/>
      </c>
      <c r="Y14" s="74" t="str">
        <f t="shared" si="7"/>
        <v/>
      </c>
    </row>
    <row r="15" spans="1:25">
      <c r="D15" s="74">
        <f>RCL!C15</f>
        <v>0</v>
      </c>
      <c r="E15" s="74">
        <f>RCL!D15</f>
        <v>0</v>
      </c>
      <c r="F15" s="74">
        <f>RCL!E15</f>
        <v>0</v>
      </c>
      <c r="G15" s="75">
        <f>RCL!F15</f>
        <v>0</v>
      </c>
      <c r="H15" s="75">
        <f>RCL!G15</f>
        <v>0</v>
      </c>
      <c r="I15" s="74">
        <f>RCL!H15</f>
        <v>0</v>
      </c>
      <c r="J15" s="74">
        <f>RCL!I15</f>
        <v>0</v>
      </c>
      <c r="K15" s="74">
        <f>RCL!K15</f>
        <v>0</v>
      </c>
      <c r="L15" s="74" t="str">
        <f>RCL!L15</f>
        <v/>
      </c>
      <c r="N15" t="str">
        <f t="shared" si="0"/>
        <v/>
      </c>
      <c r="O15">
        <f>SUMIF(N11:N15,N15,I11:I15)</f>
        <v>0</v>
      </c>
      <c r="P15">
        <f t="shared" si="1"/>
        <v>0</v>
      </c>
      <c r="Q15">
        <f t="shared" si="2"/>
        <v>0</v>
      </c>
      <c r="R15" t="str">
        <f>IF(AND(H15&gt;0,H15&lt;G15),END_BEFORE_START,IF(O15&gt;MAX_HPY_CONF,NOTICE_HPY_REACHED&amp;N15&amp;"!",""))&amp;IF(OR(AND(RCL!C15="",RCL!D15="",RCL!E15="",RCL!F15="",RCL!H15="",RCL!I15="",RCL!K15=""),AND(RCL!C15&lt;&gt;"",RCL!D15&lt;&gt;"",RCL!E15&lt;&gt;"",RCL!F15&lt;&gt;"",RCL!H15&lt;&gt;"",RCL!I15&lt;&gt;"",RCL!K15&lt;&gt;"")),""," "&amp;INCOMPLETE_ENTRY)</f>
        <v/>
      </c>
      <c r="U15" s="74" t="str">
        <f t="shared" si="3"/>
        <v/>
      </c>
      <c r="V15" s="74" t="str">
        <f t="shared" si="4"/>
        <v/>
      </c>
      <c r="W15" s="74" t="str">
        <f t="shared" si="5"/>
        <v/>
      </c>
      <c r="X15" s="74" t="str">
        <f t="shared" si="6"/>
        <v/>
      </c>
      <c r="Y15" s="74" t="str">
        <f t="shared" si="7"/>
        <v/>
      </c>
    </row>
    <row r="16" spans="1:25">
      <c r="D16" s="74">
        <f>RCL!C16</f>
        <v>0</v>
      </c>
      <c r="E16" s="74">
        <f>RCL!D16</f>
        <v>0</v>
      </c>
      <c r="F16" s="74">
        <f>RCL!E16</f>
        <v>0</v>
      </c>
      <c r="G16" s="75">
        <f>RCL!F16</f>
        <v>0</v>
      </c>
      <c r="H16" s="75">
        <f>RCL!G16</f>
        <v>0</v>
      </c>
      <c r="I16" s="74">
        <f>RCL!H16</f>
        <v>0</v>
      </c>
      <c r="J16" s="74">
        <f>RCL!I16</f>
        <v>0</v>
      </c>
      <c r="K16" s="74">
        <f>RCL!K16</f>
        <v>0</v>
      </c>
      <c r="L16" s="74" t="str">
        <f>RCL!L16</f>
        <v/>
      </c>
      <c r="N16" t="str">
        <f t="shared" si="0"/>
        <v/>
      </c>
      <c r="O16">
        <f>SUMIF(N11:N16,N16,I11:I16)</f>
        <v>0</v>
      </c>
      <c r="P16">
        <f t="shared" si="1"/>
        <v>0</v>
      </c>
      <c r="Q16">
        <f t="shared" si="2"/>
        <v>0</v>
      </c>
      <c r="R16" t="str">
        <f>IF(AND(H16&gt;0,H16&lt;G16),END_BEFORE_START,IF(O16&gt;MAX_HPY_CONF,NOTICE_HPY_REACHED&amp;N16&amp;"!",""))&amp;IF(OR(AND(RCL!C16="",RCL!D16="",RCL!E16="",RCL!F16="",RCL!H16="",RCL!I16="",RCL!K16=""),AND(RCL!C16&lt;&gt;"",RCL!D16&lt;&gt;"",RCL!E16&lt;&gt;"",RCL!F16&lt;&gt;"",RCL!H16&lt;&gt;"",RCL!I16&lt;&gt;"",RCL!K16&lt;&gt;"")),""," "&amp;INCOMPLETE_ENTRY)</f>
        <v/>
      </c>
      <c r="U16" s="74" t="str">
        <f t="shared" si="3"/>
        <v/>
      </c>
      <c r="V16" s="74" t="str">
        <f t="shared" si="4"/>
        <v/>
      </c>
      <c r="W16" s="74" t="str">
        <f t="shared" si="5"/>
        <v/>
      </c>
      <c r="X16" s="74" t="str">
        <f t="shared" si="6"/>
        <v/>
      </c>
      <c r="Y16" s="74" t="str">
        <f t="shared" si="7"/>
        <v/>
      </c>
    </row>
    <row r="17" spans="3:25">
      <c r="D17" s="74">
        <f>RCL!C17</f>
        <v>0</v>
      </c>
      <c r="E17" s="74">
        <f>RCL!D17</f>
        <v>0</v>
      </c>
      <c r="F17" s="74">
        <f>RCL!E17</f>
        <v>0</v>
      </c>
      <c r="G17" s="75">
        <f>RCL!F17</f>
        <v>0</v>
      </c>
      <c r="H17" s="75">
        <f>RCL!G17</f>
        <v>0</v>
      </c>
      <c r="I17" s="74">
        <f>RCL!H17</f>
        <v>0</v>
      </c>
      <c r="J17" s="74">
        <f>RCL!I17</f>
        <v>0</v>
      </c>
      <c r="K17" s="74">
        <f>RCL!K17</f>
        <v>0</v>
      </c>
      <c r="L17" s="74" t="str">
        <f>RCL!L17</f>
        <v/>
      </c>
      <c r="N17" t="str">
        <f t="shared" si="0"/>
        <v/>
      </c>
      <c r="O17">
        <f>SUMIF(N11:N17,N17,I11:I17)</f>
        <v>0</v>
      </c>
      <c r="P17">
        <f t="shared" si="1"/>
        <v>0</v>
      </c>
      <c r="Q17">
        <f t="shared" si="2"/>
        <v>0</v>
      </c>
      <c r="R17" t="str">
        <f>IF(AND(H17&gt;0,H17&lt;G17),END_BEFORE_START,IF(O17&gt;MAX_HPY_CONF,NOTICE_HPY_REACHED&amp;N17&amp;"!",""))&amp;IF(OR(AND(RCL!C17="",RCL!D17="",RCL!E17="",RCL!F17="",RCL!H17="",RCL!I17="",RCL!K17=""),AND(RCL!C17&lt;&gt;"",RCL!D17&lt;&gt;"",RCL!E17&lt;&gt;"",RCL!F17&lt;&gt;"",RCL!H17&lt;&gt;"",RCL!I17&lt;&gt;"",RCL!K17&lt;&gt;"")),""," "&amp;INCOMPLETE_ENTRY)</f>
        <v/>
      </c>
      <c r="U17" s="74" t="str">
        <f t="shared" si="3"/>
        <v/>
      </c>
      <c r="V17" s="74" t="str">
        <f t="shared" si="4"/>
        <v/>
      </c>
      <c r="W17" s="74" t="str">
        <f t="shared" si="5"/>
        <v/>
      </c>
      <c r="X17" s="74" t="str">
        <f t="shared" si="6"/>
        <v/>
      </c>
      <c r="Y17" s="74" t="str">
        <f t="shared" si="7"/>
        <v/>
      </c>
    </row>
    <row r="18" spans="3:25">
      <c r="D18" s="74">
        <f>RCL!C18</f>
        <v>0</v>
      </c>
      <c r="E18" s="74">
        <f>RCL!D18</f>
        <v>0</v>
      </c>
      <c r="F18" s="74">
        <f>RCL!E18</f>
        <v>0</v>
      </c>
      <c r="G18" s="75">
        <f>RCL!F18</f>
        <v>0</v>
      </c>
      <c r="H18" s="75">
        <f>RCL!G18</f>
        <v>0</v>
      </c>
      <c r="I18" s="74">
        <f>RCL!H18</f>
        <v>0</v>
      </c>
      <c r="J18" s="74">
        <f>RCL!I18</f>
        <v>0</v>
      </c>
      <c r="K18" s="74">
        <f>RCL!K18</f>
        <v>0</v>
      </c>
      <c r="L18" s="74" t="str">
        <f>RCL!L18</f>
        <v/>
      </c>
      <c r="N18" t="str">
        <f t="shared" si="0"/>
        <v/>
      </c>
      <c r="O18">
        <f>SUMIF(N11:N18,N18,I11:I18)</f>
        <v>0</v>
      </c>
      <c r="P18">
        <f t="shared" si="1"/>
        <v>0</v>
      </c>
      <c r="Q18">
        <f t="shared" si="2"/>
        <v>0</v>
      </c>
      <c r="R18" t="str">
        <f>IF(AND(H18&gt;0,H18&lt;G18),END_BEFORE_START,IF(O18&gt;MAX_HPY_CONF,NOTICE_HPY_REACHED&amp;N18&amp;"!",""))&amp;IF(OR(AND(RCL!C18="",RCL!D18="",RCL!E18="",RCL!F18="",RCL!H18="",RCL!I18="",RCL!K18=""),AND(RCL!C18&lt;&gt;"",RCL!D18&lt;&gt;"",RCL!E18&lt;&gt;"",RCL!F18&lt;&gt;"",RCL!H18&lt;&gt;"",RCL!I18&lt;&gt;"",RCL!K18&lt;&gt;"")),""," "&amp;INCOMPLETE_ENTRY)</f>
        <v/>
      </c>
      <c r="U18" s="74" t="str">
        <f t="shared" si="3"/>
        <v/>
      </c>
      <c r="V18" s="74" t="str">
        <f t="shared" si="4"/>
        <v/>
      </c>
      <c r="W18" s="74" t="str">
        <f t="shared" si="5"/>
        <v/>
      </c>
      <c r="X18" s="74" t="str">
        <f t="shared" si="6"/>
        <v/>
      </c>
      <c r="Y18" s="74" t="str">
        <f t="shared" si="7"/>
        <v/>
      </c>
    </row>
    <row r="19" spans="3:25">
      <c r="D19" s="74">
        <f>RCL!C19</f>
        <v>0</v>
      </c>
      <c r="E19" s="74">
        <f>RCL!D19</f>
        <v>0</v>
      </c>
      <c r="F19" s="74">
        <f>RCL!E19</f>
        <v>0</v>
      </c>
      <c r="G19" s="75">
        <f>RCL!F19</f>
        <v>0</v>
      </c>
      <c r="H19" s="75">
        <f>RCL!G19</f>
        <v>0</v>
      </c>
      <c r="I19" s="74">
        <f>RCL!H19</f>
        <v>0</v>
      </c>
      <c r="J19" s="74">
        <f>RCL!I19</f>
        <v>0</v>
      </c>
      <c r="K19" s="74">
        <f>RCL!K19</f>
        <v>0</v>
      </c>
      <c r="L19" s="74" t="str">
        <f>RCL!L19</f>
        <v/>
      </c>
      <c r="N19" t="str">
        <f t="shared" si="0"/>
        <v/>
      </c>
      <c r="O19">
        <f>SUMIF(N11:N19,N19,I11:I19)</f>
        <v>0</v>
      </c>
      <c r="P19">
        <f t="shared" si="1"/>
        <v>0</v>
      </c>
      <c r="Q19">
        <f t="shared" si="2"/>
        <v>0</v>
      </c>
      <c r="R19" t="str">
        <f>IF(AND(H19&gt;0,H19&lt;G19),END_BEFORE_START,IF(O19&gt;MAX_HPY_CONF,NOTICE_HPY_REACHED&amp;N19&amp;"!",""))&amp;IF(OR(AND(RCL!C19="",RCL!D19="",RCL!E19="",RCL!F19="",RCL!H19="",RCL!I19="",RCL!K19=""),AND(RCL!C19&lt;&gt;"",RCL!D19&lt;&gt;"",RCL!E19&lt;&gt;"",RCL!F19&lt;&gt;"",RCL!H19&lt;&gt;"",RCL!I19&lt;&gt;"",RCL!K19&lt;&gt;"")),""," "&amp;INCOMPLETE_ENTRY)</f>
        <v/>
      </c>
      <c r="U19" s="74" t="str">
        <f t="shared" si="3"/>
        <v/>
      </c>
      <c r="V19" s="74" t="str">
        <f t="shared" si="4"/>
        <v/>
      </c>
      <c r="W19" s="74" t="str">
        <f t="shared" si="5"/>
        <v/>
      </c>
      <c r="X19" s="74" t="str">
        <f t="shared" si="6"/>
        <v/>
      </c>
      <c r="Y19" s="74" t="str">
        <f t="shared" si="7"/>
        <v/>
      </c>
    </row>
    <row r="20" spans="3:25">
      <c r="D20" s="74">
        <f>RCL!C20</f>
        <v>0</v>
      </c>
      <c r="E20" s="74">
        <f>RCL!D20</f>
        <v>0</v>
      </c>
      <c r="F20" s="74">
        <f>RCL!E20</f>
        <v>0</v>
      </c>
      <c r="G20" s="75">
        <f>RCL!F20</f>
        <v>0</v>
      </c>
      <c r="H20" s="75">
        <f>RCL!G20</f>
        <v>0</v>
      </c>
      <c r="I20" s="74">
        <f>RCL!H20</f>
        <v>0</v>
      </c>
      <c r="J20" s="74">
        <f>RCL!I20</f>
        <v>0</v>
      </c>
      <c r="K20" s="74">
        <f>RCL!K20</f>
        <v>0</v>
      </c>
      <c r="L20" s="74" t="str">
        <f>RCL!L20</f>
        <v/>
      </c>
      <c r="N20" t="str">
        <f t="shared" si="0"/>
        <v/>
      </c>
      <c r="O20">
        <f>SUMIF(N11:N20,N20,I11:I20)</f>
        <v>0</v>
      </c>
      <c r="P20">
        <f t="shared" si="1"/>
        <v>0</v>
      </c>
      <c r="Q20">
        <f t="shared" si="2"/>
        <v>0</v>
      </c>
      <c r="R20" t="str">
        <f>IF(AND(H20&gt;0,H20&lt;G20),END_BEFORE_START,IF(O20&gt;MAX_HPY_CONF,NOTICE_HPY_REACHED&amp;N20&amp;"!",""))&amp;IF(OR(AND(RCL!C20="",RCL!D20="",RCL!E20="",RCL!F20="",RCL!H20="",RCL!I20="",RCL!K20=""),AND(RCL!C20&lt;&gt;"",RCL!D20&lt;&gt;"",RCL!E20&lt;&gt;"",RCL!F20&lt;&gt;"",RCL!H20&lt;&gt;"",RCL!I20&lt;&gt;"",RCL!K20&lt;&gt;"")),""," "&amp;INCOMPLETE_ENTRY)</f>
        <v/>
      </c>
      <c r="U20" s="74" t="str">
        <f t="shared" si="3"/>
        <v/>
      </c>
      <c r="V20" s="74" t="str">
        <f t="shared" si="4"/>
        <v/>
      </c>
      <c r="W20" s="74" t="str">
        <f t="shared" si="5"/>
        <v/>
      </c>
      <c r="X20" s="74" t="str">
        <f t="shared" si="6"/>
        <v/>
      </c>
      <c r="Y20" s="74" t="str">
        <f t="shared" si="7"/>
        <v/>
      </c>
    </row>
    <row r="21" spans="3:25">
      <c r="D21" s="74">
        <f>RCL!C21</f>
        <v>0</v>
      </c>
      <c r="E21" s="74">
        <f>RCL!D21</f>
        <v>0</v>
      </c>
      <c r="F21" s="74">
        <f>RCL!E21</f>
        <v>0</v>
      </c>
      <c r="G21" s="75">
        <f>RCL!F21</f>
        <v>0</v>
      </c>
      <c r="H21" s="75">
        <f>RCL!G21</f>
        <v>0</v>
      </c>
      <c r="I21" s="74">
        <f>RCL!H21</f>
        <v>0</v>
      </c>
      <c r="J21" s="74">
        <f>RCL!I21</f>
        <v>0</v>
      </c>
      <c r="K21" s="74">
        <f>RCL!K21</f>
        <v>0</v>
      </c>
      <c r="L21" s="74" t="str">
        <f>RCL!L21</f>
        <v/>
      </c>
      <c r="N21" t="str">
        <f t="shared" si="0"/>
        <v/>
      </c>
      <c r="O21">
        <f>SUMIF(N11:N21,N21,I11:I21)</f>
        <v>0</v>
      </c>
      <c r="P21">
        <f t="shared" si="1"/>
        <v>0</v>
      </c>
      <c r="Q21">
        <f t="shared" si="2"/>
        <v>0</v>
      </c>
      <c r="R21" t="str">
        <f>IF(AND(H21&gt;0,H21&lt;G21),END_BEFORE_START,IF(O21&gt;MAX_HPY_CONF,NOTICE_HPY_REACHED&amp;N21&amp;"!",""))&amp;IF(OR(AND(RCL!C21="",RCL!D21="",RCL!E21="",RCL!F21="",RCL!H21="",RCL!I21="",RCL!K21=""),AND(RCL!C21&lt;&gt;"",RCL!D21&lt;&gt;"",RCL!E21&lt;&gt;"",RCL!F21&lt;&gt;"",RCL!H21&lt;&gt;"",RCL!I21&lt;&gt;"",RCL!K21&lt;&gt;"")),""," "&amp;INCOMPLETE_ENTRY)</f>
        <v/>
      </c>
      <c r="U21" s="74" t="str">
        <f t="shared" si="3"/>
        <v/>
      </c>
      <c r="V21" s="74" t="str">
        <f t="shared" si="4"/>
        <v/>
      </c>
      <c r="W21" s="74" t="str">
        <f t="shared" si="5"/>
        <v/>
      </c>
      <c r="X21" s="74" t="str">
        <f t="shared" si="6"/>
        <v/>
      </c>
      <c r="Y21" s="74" t="str">
        <f t="shared" si="7"/>
        <v/>
      </c>
    </row>
    <row r="22" spans="3:25">
      <c r="D22" s="74">
        <f>RCL!C22</f>
        <v>0</v>
      </c>
      <c r="E22" s="74">
        <f>RCL!D22</f>
        <v>0</v>
      </c>
      <c r="F22" s="74">
        <f>RCL!E22</f>
        <v>0</v>
      </c>
      <c r="G22" s="75">
        <f>RCL!F22</f>
        <v>0</v>
      </c>
      <c r="H22" s="75">
        <f>RCL!G22</f>
        <v>0</v>
      </c>
      <c r="I22" s="74">
        <f>RCL!H22</f>
        <v>0</v>
      </c>
      <c r="J22" s="74">
        <f>RCL!I22</f>
        <v>0</v>
      </c>
      <c r="K22" s="74">
        <f>RCL!K22</f>
        <v>0</v>
      </c>
      <c r="L22" s="74" t="str">
        <f>RCL!L22</f>
        <v/>
      </c>
      <c r="N22" t="str">
        <f t="shared" si="0"/>
        <v/>
      </c>
      <c r="O22">
        <f>SUMIF(N11:N22,N22,I11:I22)</f>
        <v>0</v>
      </c>
      <c r="P22">
        <f t="shared" si="1"/>
        <v>0</v>
      </c>
      <c r="Q22">
        <f t="shared" si="2"/>
        <v>0</v>
      </c>
      <c r="R22" t="str">
        <f>IF(AND(H22&gt;0,H22&lt;G22),END_BEFORE_START,IF(O22&gt;MAX_HPY_CONF,NOTICE_HPY_REACHED&amp;N22&amp;"!",""))&amp;IF(OR(AND(RCL!C22="",RCL!D22="",RCL!E22="",RCL!F22="",RCL!H22="",RCL!I22="",RCL!K22=""),AND(RCL!C22&lt;&gt;"",RCL!D22&lt;&gt;"",RCL!E22&lt;&gt;"",RCL!F22&lt;&gt;"",RCL!H22&lt;&gt;"",RCL!I22&lt;&gt;"",RCL!K22&lt;&gt;"")),""," "&amp;INCOMPLETE_ENTRY)</f>
        <v/>
      </c>
      <c r="U22" s="74" t="str">
        <f t="shared" si="3"/>
        <v/>
      </c>
      <c r="V22" s="74" t="str">
        <f t="shared" si="4"/>
        <v/>
      </c>
      <c r="W22" s="74" t="str">
        <f t="shared" si="5"/>
        <v/>
      </c>
      <c r="X22" s="74" t="str">
        <f t="shared" si="6"/>
        <v/>
      </c>
      <c r="Y22" s="74" t="str">
        <f t="shared" si="7"/>
        <v/>
      </c>
    </row>
    <row r="23" spans="3:25">
      <c r="D23" s="74">
        <f>RCL!C23</f>
        <v>0</v>
      </c>
      <c r="E23" s="74">
        <f>RCL!D23</f>
        <v>0</v>
      </c>
      <c r="F23" s="74">
        <f>RCL!E23</f>
        <v>0</v>
      </c>
      <c r="G23" s="75">
        <f>RCL!F23</f>
        <v>0</v>
      </c>
      <c r="H23" s="75">
        <f>RCL!G23</f>
        <v>0</v>
      </c>
      <c r="I23" s="74">
        <f>RCL!H23</f>
        <v>0</v>
      </c>
      <c r="J23" s="74">
        <f>RCL!I23</f>
        <v>0</v>
      </c>
      <c r="K23" s="74">
        <f>RCL!K23</f>
        <v>0</v>
      </c>
      <c r="L23" s="74" t="str">
        <f>RCL!L23</f>
        <v/>
      </c>
      <c r="N23" t="str">
        <f t="shared" si="0"/>
        <v/>
      </c>
      <c r="O23">
        <f>SUMIF(N11:N23,N23,I11:I23)</f>
        <v>0</v>
      </c>
      <c r="P23">
        <f t="shared" si="1"/>
        <v>0</v>
      </c>
      <c r="Q23">
        <f t="shared" si="2"/>
        <v>0</v>
      </c>
      <c r="R23" t="str">
        <f>IF(AND(H23&gt;0,H23&lt;G23),END_BEFORE_START,IF(O23&gt;MAX_HPY_CONF,NOTICE_HPY_REACHED&amp;N23&amp;"!",""))&amp;IF(OR(AND(RCL!C23="",RCL!D23="",RCL!E23="",RCL!F23="",RCL!H23="",RCL!I23="",RCL!K23=""),AND(RCL!C23&lt;&gt;"",RCL!D23&lt;&gt;"",RCL!E23&lt;&gt;"",RCL!F23&lt;&gt;"",RCL!H23&lt;&gt;"",RCL!I23&lt;&gt;"",RCL!K23&lt;&gt;"")),""," "&amp;INCOMPLETE_ENTRY)</f>
        <v/>
      </c>
      <c r="U23" s="74" t="str">
        <f t="shared" si="3"/>
        <v/>
      </c>
      <c r="V23" s="74" t="str">
        <f t="shared" si="4"/>
        <v/>
      </c>
      <c r="W23" s="74" t="str">
        <f t="shared" si="5"/>
        <v/>
      </c>
      <c r="X23" s="74" t="str">
        <f t="shared" si="6"/>
        <v/>
      </c>
      <c r="Y23" s="74" t="str">
        <f t="shared" si="7"/>
        <v/>
      </c>
    </row>
    <row r="24" spans="3:25">
      <c r="D24" s="74">
        <f>RCL!C24</f>
        <v>0</v>
      </c>
      <c r="E24" s="74">
        <f>RCL!D24</f>
        <v>0</v>
      </c>
      <c r="F24" s="74">
        <f>RCL!E24</f>
        <v>0</v>
      </c>
      <c r="G24" s="75">
        <f>RCL!F24</f>
        <v>0</v>
      </c>
      <c r="H24" s="75">
        <f>RCL!G24</f>
        <v>0</v>
      </c>
      <c r="I24" s="74">
        <f>RCL!H24</f>
        <v>0</v>
      </c>
      <c r="J24" s="74">
        <f>RCL!I24</f>
        <v>0</v>
      </c>
      <c r="K24" s="74">
        <f>RCL!K24</f>
        <v>0</v>
      </c>
      <c r="L24" s="74" t="str">
        <f>RCL!L24</f>
        <v/>
      </c>
      <c r="N24" t="str">
        <f t="shared" si="0"/>
        <v/>
      </c>
      <c r="O24">
        <f>SUMIF(N11:N24,N24,I11:I24)</f>
        <v>0</v>
      </c>
      <c r="P24">
        <f t="shared" si="1"/>
        <v>0</v>
      </c>
      <c r="Q24">
        <f t="shared" si="2"/>
        <v>0</v>
      </c>
      <c r="R24" t="str">
        <f>IF(AND(H24&gt;0,H24&lt;G24),END_BEFORE_START,IF(O24&gt;MAX_HPY_CONF,NOTICE_HPY_REACHED&amp;N24&amp;"!",""))&amp;IF(OR(AND(RCL!C24="",RCL!D24="",RCL!E24="",RCL!F24="",RCL!H24="",RCL!I24="",RCL!K24=""),AND(RCL!C24&lt;&gt;"",RCL!D24&lt;&gt;"",RCL!E24&lt;&gt;"",RCL!F24&lt;&gt;"",RCL!H24&lt;&gt;"",RCL!I24&lt;&gt;"",RCL!K24&lt;&gt;"")),""," "&amp;INCOMPLETE_ENTRY)</f>
        <v/>
      </c>
      <c r="U24" s="74" t="str">
        <f t="shared" si="3"/>
        <v/>
      </c>
      <c r="V24" s="74" t="str">
        <f t="shared" si="4"/>
        <v/>
      </c>
      <c r="W24" s="74" t="str">
        <f t="shared" si="5"/>
        <v/>
      </c>
      <c r="X24" s="74" t="str">
        <f t="shared" si="6"/>
        <v/>
      </c>
      <c r="Y24" s="74" t="str">
        <f t="shared" si="7"/>
        <v/>
      </c>
    </row>
    <row r="25" spans="3:25">
      <c r="D25" s="74">
        <f>RCL!C25</f>
        <v>0</v>
      </c>
      <c r="E25" s="74">
        <f>RCL!D25</f>
        <v>0</v>
      </c>
      <c r="F25" s="74">
        <f>RCL!E25</f>
        <v>0</v>
      </c>
      <c r="G25" s="75">
        <f>RCL!F25</f>
        <v>0</v>
      </c>
      <c r="H25" s="75">
        <f>RCL!G25</f>
        <v>0</v>
      </c>
      <c r="I25" s="74">
        <f>RCL!H25</f>
        <v>0</v>
      </c>
      <c r="J25" s="74">
        <f>RCL!I25</f>
        <v>0</v>
      </c>
      <c r="K25" s="74">
        <f>RCL!K25</f>
        <v>0</v>
      </c>
      <c r="L25" s="74" t="str">
        <f>RCL!L25</f>
        <v/>
      </c>
      <c r="N25" t="str">
        <f t="shared" si="0"/>
        <v/>
      </c>
      <c r="O25">
        <f>SUMIF(N11:N25,N25,I11:I25)</f>
        <v>0</v>
      </c>
      <c r="P25">
        <f t="shared" si="1"/>
        <v>0</v>
      </c>
      <c r="Q25">
        <f t="shared" si="2"/>
        <v>0</v>
      </c>
      <c r="R25" t="str">
        <f>IF(AND(H25&gt;0,H25&lt;G25),END_BEFORE_START,IF(O25&gt;MAX_HPY_CONF,NOTICE_HPY_REACHED&amp;N25&amp;"!",""))&amp;IF(OR(AND(RCL!C25="",RCL!D25="",RCL!E25="",RCL!F25="",RCL!H25="",RCL!I25="",RCL!K25=""),AND(RCL!C25&lt;&gt;"",RCL!D25&lt;&gt;"",RCL!E25&lt;&gt;"",RCL!F25&lt;&gt;"",RCL!H25&lt;&gt;"",RCL!I25&lt;&gt;"",RCL!K25&lt;&gt;"")),""," "&amp;INCOMPLETE_ENTRY)</f>
        <v/>
      </c>
      <c r="U25" s="74" t="str">
        <f t="shared" si="3"/>
        <v/>
      </c>
      <c r="V25" s="74" t="str">
        <f t="shared" si="4"/>
        <v/>
      </c>
      <c r="W25" s="74" t="str">
        <f t="shared" si="5"/>
        <v/>
      </c>
      <c r="X25" s="74" t="str">
        <f t="shared" si="6"/>
        <v/>
      </c>
      <c r="Y25" s="74" t="str">
        <f t="shared" si="7"/>
        <v/>
      </c>
    </row>
    <row r="26" spans="3:25">
      <c r="D26" s="74">
        <f>RCL!C26</f>
        <v>0</v>
      </c>
      <c r="E26" s="74">
        <f>RCL!D26</f>
        <v>0</v>
      </c>
      <c r="F26" s="74">
        <f>RCL!E26</f>
        <v>0</v>
      </c>
      <c r="G26" s="75">
        <f>RCL!F26</f>
        <v>0</v>
      </c>
      <c r="H26" s="75">
        <f>RCL!G26</f>
        <v>0</v>
      </c>
      <c r="I26" s="74">
        <f>RCL!H26</f>
        <v>0</v>
      </c>
      <c r="J26" s="74">
        <f>RCL!I26</f>
        <v>0</v>
      </c>
      <c r="K26" s="74">
        <f>RCL!K26</f>
        <v>0</v>
      </c>
      <c r="L26" s="74" t="str">
        <f>RCL!L26</f>
        <v/>
      </c>
      <c r="N26" t="str">
        <f t="shared" si="0"/>
        <v/>
      </c>
      <c r="O26">
        <f>SUMIF(N11:N26,N26,I11:I26)</f>
        <v>0</v>
      </c>
      <c r="P26">
        <f t="shared" si="1"/>
        <v>0</v>
      </c>
      <c r="Q26">
        <f t="shared" si="2"/>
        <v>0</v>
      </c>
      <c r="R26" t="str">
        <f>IF(AND(H26&gt;0,H26&lt;G26),END_BEFORE_START,IF(O26&gt;MAX_HPY_CONF,NOTICE_HPY_REACHED&amp;N26&amp;"!",""))&amp;IF(OR(AND(RCL!C26="",RCL!D26="",RCL!E26="",RCL!F26="",RCL!H26="",RCL!I26="",RCL!K26=""),AND(RCL!C26&lt;&gt;"",RCL!D26&lt;&gt;"",RCL!E26&lt;&gt;"",RCL!F26&lt;&gt;"",RCL!H26&lt;&gt;"",RCL!I26&lt;&gt;"",RCL!K26&lt;&gt;"")),""," "&amp;INCOMPLETE_ENTRY)</f>
        <v/>
      </c>
      <c r="U26" s="74" t="str">
        <f t="shared" si="3"/>
        <v/>
      </c>
      <c r="V26" s="74" t="str">
        <f t="shared" si="4"/>
        <v/>
      </c>
      <c r="W26" s="74" t="str">
        <f t="shared" si="5"/>
        <v/>
      </c>
      <c r="X26" s="74" t="str">
        <f t="shared" si="6"/>
        <v/>
      </c>
      <c r="Y26" s="74" t="str">
        <f t="shared" si="7"/>
        <v/>
      </c>
    </row>
    <row r="27" spans="3:25">
      <c r="D27" s="74">
        <f>RCL!C27</f>
        <v>0</v>
      </c>
      <c r="E27" s="74">
        <f>RCL!D27</f>
        <v>0</v>
      </c>
      <c r="F27" s="74">
        <f>RCL!E27</f>
        <v>0</v>
      </c>
      <c r="G27" s="75">
        <f>RCL!F27</f>
        <v>0</v>
      </c>
      <c r="H27" s="75">
        <f>RCL!G27</f>
        <v>0</v>
      </c>
      <c r="I27" s="74">
        <f>RCL!H27</f>
        <v>0</v>
      </c>
      <c r="J27" s="74">
        <f>RCL!I27</f>
        <v>0</v>
      </c>
      <c r="K27" s="74">
        <f>RCL!K27</f>
        <v>0</v>
      </c>
      <c r="L27" s="74" t="str">
        <f>RCL!L27</f>
        <v/>
      </c>
      <c r="N27" t="str">
        <f t="shared" si="0"/>
        <v/>
      </c>
      <c r="O27">
        <f>SUMIF(N11:N27,N27,I11:I27)</f>
        <v>0</v>
      </c>
      <c r="P27">
        <f t="shared" si="1"/>
        <v>0</v>
      </c>
      <c r="Q27">
        <f t="shared" si="2"/>
        <v>0</v>
      </c>
      <c r="R27" t="str">
        <f>IF(AND(H27&gt;0,H27&lt;G27),END_BEFORE_START,IF(O27&gt;MAX_HPY_CONF,NOTICE_HPY_REACHED&amp;N27&amp;"!",""))&amp;IF(OR(AND(RCL!C27="",RCL!D27="",RCL!E27="",RCL!F27="",RCL!H27="",RCL!I27="",RCL!K27=""),AND(RCL!C27&lt;&gt;"",RCL!D27&lt;&gt;"",RCL!E27&lt;&gt;"",RCL!F27&lt;&gt;"",RCL!H27&lt;&gt;"",RCL!I27&lt;&gt;"",RCL!K27&lt;&gt;"")),""," "&amp;INCOMPLETE_ENTRY)</f>
        <v/>
      </c>
      <c r="U27" s="74" t="str">
        <f t="shared" si="3"/>
        <v/>
      </c>
      <c r="V27" s="74" t="str">
        <f t="shared" si="4"/>
        <v/>
      </c>
      <c r="W27" s="74" t="str">
        <f t="shared" si="5"/>
        <v/>
      </c>
      <c r="X27" s="74" t="str">
        <f t="shared" si="6"/>
        <v/>
      </c>
      <c r="Y27" s="74" t="str">
        <f t="shared" si="7"/>
        <v/>
      </c>
    </row>
    <row r="28" spans="3:25">
      <c r="D28" s="74">
        <f>RCL!C28</f>
        <v>0</v>
      </c>
      <c r="E28" s="74">
        <f>RCL!D28</f>
        <v>0</v>
      </c>
      <c r="F28" s="74">
        <f>RCL!E28</f>
        <v>0</v>
      </c>
      <c r="G28" s="75">
        <f>RCL!F28</f>
        <v>0</v>
      </c>
      <c r="H28" s="75">
        <f>RCL!G28</f>
        <v>0</v>
      </c>
      <c r="I28" s="74">
        <f>RCL!H28</f>
        <v>0</v>
      </c>
      <c r="J28" s="74">
        <f>RCL!I28</f>
        <v>0</v>
      </c>
      <c r="K28" s="74">
        <f>RCL!K28</f>
        <v>0</v>
      </c>
      <c r="L28" s="74" t="str">
        <f>RCL!L28</f>
        <v/>
      </c>
      <c r="N28" t="str">
        <f t="shared" si="0"/>
        <v/>
      </c>
      <c r="O28">
        <f>SUMIF(N11:N28,N28,I11:I28)</f>
        <v>0</v>
      </c>
      <c r="P28">
        <f t="shared" si="1"/>
        <v>0</v>
      </c>
      <c r="Q28">
        <f t="shared" si="2"/>
        <v>0</v>
      </c>
      <c r="R28" t="str">
        <f>IF(AND(H28&gt;0,H28&lt;G28),END_BEFORE_START,IF(O28&gt;MAX_HPY_CONF,NOTICE_HPY_REACHED&amp;N28&amp;"!",""))&amp;IF(OR(AND(RCL!C28="",RCL!D28="",RCL!E28="",RCL!F28="",RCL!H28="",RCL!I28="",RCL!K28=""),AND(RCL!C28&lt;&gt;"",RCL!D28&lt;&gt;"",RCL!E28&lt;&gt;"",RCL!F28&lt;&gt;"",RCL!H28&lt;&gt;"",RCL!I28&lt;&gt;"",RCL!K28&lt;&gt;"")),""," "&amp;INCOMPLETE_ENTRY)</f>
        <v/>
      </c>
      <c r="U28" s="74" t="str">
        <f t="shared" si="3"/>
        <v/>
      </c>
      <c r="V28" s="74" t="str">
        <f t="shared" si="4"/>
        <v/>
      </c>
      <c r="W28" s="74" t="str">
        <f t="shared" si="5"/>
        <v/>
      </c>
      <c r="X28" s="74" t="str">
        <f t="shared" si="6"/>
        <v/>
      </c>
      <c r="Y28" s="74" t="str">
        <f t="shared" si="7"/>
        <v/>
      </c>
    </row>
    <row r="29" spans="3:25">
      <c r="D29" s="74">
        <f>RCL!C29</f>
        <v>0</v>
      </c>
      <c r="E29" s="74">
        <f>RCL!D29</f>
        <v>0</v>
      </c>
      <c r="F29" s="74">
        <f>RCL!E29</f>
        <v>0</v>
      </c>
      <c r="G29" s="75">
        <f>RCL!F29</f>
        <v>0</v>
      </c>
      <c r="H29" s="75">
        <f>RCL!G29</f>
        <v>0</v>
      </c>
      <c r="I29" s="74">
        <f>RCL!H29</f>
        <v>0</v>
      </c>
      <c r="J29" s="74">
        <f>RCL!I29</f>
        <v>0</v>
      </c>
      <c r="K29" s="74">
        <f>RCL!K29</f>
        <v>0</v>
      </c>
      <c r="L29" s="74" t="str">
        <f>RCL!L29</f>
        <v/>
      </c>
      <c r="N29" t="str">
        <f t="shared" si="0"/>
        <v/>
      </c>
      <c r="O29">
        <f>SUMIF(N11:N29,N29,I11:I29)</f>
        <v>0</v>
      </c>
      <c r="P29">
        <f t="shared" si="1"/>
        <v>0</v>
      </c>
      <c r="Q29">
        <f t="shared" si="2"/>
        <v>0</v>
      </c>
      <c r="R29" t="str">
        <f>IF(AND(H29&gt;0,H29&lt;G29),END_BEFORE_START,IF(O29&gt;MAX_HPY_CONF,NOTICE_HPY_REACHED&amp;N29&amp;"!",""))&amp;IF(OR(AND(RCL!C29="",RCL!D29="",RCL!E29="",RCL!F29="",RCL!H29="",RCL!I29="",RCL!K29=""),AND(RCL!C29&lt;&gt;"",RCL!D29&lt;&gt;"",RCL!E29&lt;&gt;"",RCL!F29&lt;&gt;"",RCL!H29&lt;&gt;"",RCL!I29&lt;&gt;"",RCL!K29&lt;&gt;"")),""," "&amp;INCOMPLETE_ENTRY)</f>
        <v/>
      </c>
      <c r="U29" s="74" t="str">
        <f t="shared" si="3"/>
        <v/>
      </c>
      <c r="V29" s="74" t="str">
        <f t="shared" si="4"/>
        <v/>
      </c>
      <c r="W29" s="74" t="str">
        <f t="shared" si="5"/>
        <v/>
      </c>
      <c r="X29" s="74" t="str">
        <f t="shared" si="6"/>
        <v/>
      </c>
      <c r="Y29" s="74" t="str">
        <f t="shared" si="7"/>
        <v/>
      </c>
    </row>
    <row r="30" spans="3:25">
      <c r="D30" s="74">
        <f>RCL!C30</f>
        <v>0</v>
      </c>
      <c r="E30" s="74">
        <f>RCL!D30</f>
        <v>0</v>
      </c>
      <c r="F30" s="74">
        <f>RCL!E30</f>
        <v>0</v>
      </c>
      <c r="G30" s="75">
        <f>RCL!F30</f>
        <v>0</v>
      </c>
      <c r="H30" s="75">
        <f>RCL!G30</f>
        <v>0</v>
      </c>
      <c r="I30" s="74">
        <f>RCL!H30</f>
        <v>0</v>
      </c>
      <c r="J30" s="74">
        <f>RCL!I30</f>
        <v>0</v>
      </c>
      <c r="K30" s="74">
        <f>RCL!K30</f>
        <v>0</v>
      </c>
      <c r="L30" s="74" t="str">
        <f>RCL!L30</f>
        <v/>
      </c>
      <c r="N30" t="str">
        <f t="shared" si="0"/>
        <v/>
      </c>
      <c r="O30">
        <f>SUMIF(N11:N30,N30,I11:I30)</f>
        <v>0</v>
      </c>
      <c r="P30">
        <f t="shared" si="1"/>
        <v>0</v>
      </c>
      <c r="Q30">
        <f t="shared" si="2"/>
        <v>0</v>
      </c>
      <c r="R30" t="str">
        <f>IF(AND(H30&gt;0,H30&lt;G30),END_BEFORE_START,IF(O30&gt;MAX_HPY_CONF,NOTICE_HPY_REACHED&amp;N30&amp;"!",""))&amp;IF(OR(AND(RCL!C30="",RCL!D30="",RCL!E30="",RCL!F30="",RCL!H30="",RCL!I30="",RCL!K30=""),AND(RCL!C30&lt;&gt;"",RCL!D30&lt;&gt;"",RCL!E30&lt;&gt;"",RCL!F30&lt;&gt;"",RCL!H30&lt;&gt;"",RCL!I30&lt;&gt;"",RCL!K30&lt;&gt;"")),""," "&amp;INCOMPLETE_ENTRY)</f>
        <v/>
      </c>
      <c r="U30" s="74" t="str">
        <f t="shared" si="3"/>
        <v/>
      </c>
      <c r="V30" s="74" t="str">
        <f t="shared" si="4"/>
        <v/>
      </c>
      <c r="W30" s="74" t="str">
        <f t="shared" si="5"/>
        <v/>
      </c>
      <c r="X30" s="74" t="str">
        <f t="shared" si="6"/>
        <v/>
      </c>
      <c r="Y30" s="74" t="str">
        <f t="shared" si="7"/>
        <v/>
      </c>
    </row>
    <row r="31" spans="3:25">
      <c r="C31" s="76" t="s">
        <v>236</v>
      </c>
    </row>
    <row r="32" spans="3:25">
      <c r="C32" s="76" t="s">
        <v>240</v>
      </c>
      <c r="D32" s="74" t="str">
        <f>RCL!C32</f>
        <v>Teilnahme an Trainings (intern und extern)</v>
      </c>
      <c r="E32" s="74"/>
      <c r="F32" s="74"/>
      <c r="G32" s="74"/>
      <c r="H32" s="74"/>
      <c r="I32" s="74"/>
      <c r="J32" s="74"/>
      <c r="K32" s="74"/>
      <c r="L32" s="74">
        <f>RCL!L32</f>
        <v>0</v>
      </c>
    </row>
    <row r="33" spans="4:25">
      <c r="D33" s="74" t="str">
        <f>RCL!C33</f>
        <v>Name des Trainings</v>
      </c>
      <c r="E33" s="74" t="str">
        <f>RCL!D33</f>
        <v>Veranstalter</v>
      </c>
      <c r="F33" s="74" t="str">
        <f>RCL!E33</f>
        <v>Ort</v>
      </c>
      <c r="G33" s="74" t="str">
        <f>RCL!F33</f>
        <v>Start Datum</v>
      </c>
      <c r="H33" s="74" t="str">
        <f>RCL!G33</f>
        <v>End Datum</v>
      </c>
      <c r="I33" s="74" t="str">
        <f>RCL!H33</f>
        <v>Dauer (Std.)</v>
      </c>
      <c r="J33" s="74" t="str">
        <f>RCL!I33</f>
        <v>ICB Element Referenz 1</v>
      </c>
      <c r="K33" s="74" t="str">
        <f>RCL!K33</f>
        <v>Nachweis der Teilnahme</v>
      </c>
      <c r="L33" s="74" t="str">
        <f>RCL!L33</f>
        <v>Anerkennungsfähige Dauer (Std.)</v>
      </c>
      <c r="Q33" t="s">
        <v>239</v>
      </c>
      <c r="R33" t="s">
        <v>235</v>
      </c>
    </row>
    <row r="34" spans="4:25">
      <c r="D34" s="74">
        <f>RCL!C34</f>
        <v>0</v>
      </c>
      <c r="E34" s="74">
        <f>RCL!D34</f>
        <v>0</v>
      </c>
      <c r="F34" s="74">
        <f>RCL!E34</f>
        <v>0</v>
      </c>
      <c r="G34" s="75">
        <f>RCL!F34</f>
        <v>0</v>
      </c>
      <c r="H34" s="75">
        <f>RCL!G34</f>
        <v>0</v>
      </c>
      <c r="I34" s="74">
        <f>RCL!H34</f>
        <v>0</v>
      </c>
      <c r="J34" s="74">
        <f>RCL!I34</f>
        <v>0</v>
      </c>
      <c r="K34" s="74">
        <f>RCL!K34</f>
        <v>0</v>
      </c>
      <c r="L34" s="74" t="str">
        <f>RCL!L34</f>
        <v/>
      </c>
      <c r="Q34">
        <f t="shared" ref="Q34:Q35" si="8">IF(AND(H34&gt;0,H34&lt;G34),0,I34)</f>
        <v>0</v>
      </c>
      <c r="R34" t="str">
        <f>IF(AND(H34&gt;0,H34&lt;G34),END_BEFORE_START,"")&amp;IF(OR(AND(RCL!C34="",RCL!D34="",RCL!E34="",RCL!F34="",RCL!H34="",RCL!I34="",RCL!K34=""),AND(RCL!C34&lt;&gt;"",RCL!D34&lt;&gt;"",RCL!E34&lt;&gt;"",RCL!F34&lt;&gt;"",RCL!H34&lt;&gt;"",RCL!I34&lt;&gt;"",RCL!K34&lt;&gt;"")),""," "&amp;INCOMPLETE_ENTRY)</f>
        <v/>
      </c>
      <c r="U34" s="74" t="str">
        <f t="shared" ref="U34:U35" si="9">IF(AND(G34&gt;RC_YEAR_1_START,G34&lt;RC_YEAR_1_END),Q34,"")</f>
        <v/>
      </c>
      <c r="V34" s="74" t="str">
        <f t="shared" ref="V34:V35" si="10">IF(AND(G34&gt;RC_YEAR_2_START,G34&lt;RC_YEAR_2_END),Q34,"")</f>
        <v/>
      </c>
      <c r="W34" s="74" t="str">
        <f t="shared" ref="W34:W35" si="11">IF(AND(G34&gt;RC_YEAR_3_START,G34&lt;RC_YEAR_3_END),Q34,"")</f>
        <v/>
      </c>
      <c r="X34" s="74" t="str">
        <f t="shared" ref="X34:X35" si="12">IF(AND(G34&gt;RC_YEAR_4_START,G34&lt;RC_YEAR_4_END),Q34,"")</f>
        <v/>
      </c>
      <c r="Y34" s="74" t="str">
        <f t="shared" ref="Y34:Y35" si="13">IF(AND(G34&gt;RC_YEAR_5_START,G34&lt;RC_YEAR_5_END),Q34,"")</f>
        <v/>
      </c>
    </row>
    <row r="35" spans="4:25">
      <c r="D35" s="74">
        <f>RCL!C35</f>
        <v>0</v>
      </c>
      <c r="E35" s="74">
        <f>RCL!D35</f>
        <v>0</v>
      </c>
      <c r="F35" s="74">
        <f>RCL!E35</f>
        <v>0</v>
      </c>
      <c r="G35" s="75">
        <f>RCL!F35</f>
        <v>0</v>
      </c>
      <c r="H35" s="75">
        <f>RCL!G35</f>
        <v>0</v>
      </c>
      <c r="I35" s="74">
        <f>RCL!H35</f>
        <v>0</v>
      </c>
      <c r="J35" s="74">
        <f>RCL!I35</f>
        <v>0</v>
      </c>
      <c r="K35" s="74">
        <f>RCL!K35</f>
        <v>0</v>
      </c>
      <c r="L35" s="74" t="str">
        <f>RCL!L35</f>
        <v/>
      </c>
      <c r="Q35">
        <f t="shared" si="8"/>
        <v>0</v>
      </c>
      <c r="R35" t="str">
        <f>IF(AND(H35&gt;0,H35&lt;G35),END_BEFORE_START,"")&amp;IF(OR(AND(RCL!C35="",RCL!D35="",RCL!E35="",RCL!F35="",RCL!H35="",RCL!I35="",RCL!K35=""),AND(RCL!C35&lt;&gt;"",RCL!D35&lt;&gt;"",RCL!E35&lt;&gt;"",RCL!F35&lt;&gt;"",RCL!H35&lt;&gt;"",RCL!I35&lt;&gt;"",RCL!K35&lt;&gt;"")),""," "&amp;INCOMPLETE_ENTRY)</f>
        <v/>
      </c>
      <c r="U35" s="74" t="str">
        <f t="shared" si="9"/>
        <v/>
      </c>
      <c r="V35" s="74" t="str">
        <f t="shared" si="10"/>
        <v/>
      </c>
      <c r="W35" s="74" t="str">
        <f t="shared" si="11"/>
        <v/>
      </c>
      <c r="X35" s="74" t="str">
        <f t="shared" si="12"/>
        <v/>
      </c>
      <c r="Y35" s="74" t="str">
        <f t="shared" si="13"/>
        <v/>
      </c>
    </row>
    <row r="36" spans="4:25">
      <c r="D36" s="74">
        <f>RCL!C36</f>
        <v>0</v>
      </c>
      <c r="E36" s="74">
        <f>RCL!D36</f>
        <v>0</v>
      </c>
      <c r="F36" s="74">
        <f>RCL!E36</f>
        <v>0</v>
      </c>
      <c r="G36" s="75">
        <f>RCL!F36</f>
        <v>0</v>
      </c>
      <c r="H36" s="75">
        <f>RCL!G36</f>
        <v>0</v>
      </c>
      <c r="I36" s="74">
        <f>RCL!H36</f>
        <v>0</v>
      </c>
      <c r="J36" s="74">
        <f>RCL!I36</f>
        <v>0</v>
      </c>
      <c r="K36" s="74">
        <f>RCL!K36</f>
        <v>0</v>
      </c>
      <c r="L36" s="74" t="str">
        <f>RCL!L36</f>
        <v/>
      </c>
      <c r="Q36">
        <f t="shared" ref="Q36:Q73" si="14">IF(AND(H36&gt;0,H36&lt;G36),0,I36)</f>
        <v>0</v>
      </c>
      <c r="R36" t="str">
        <f>IF(AND(H36&gt;0,H36&lt;G36),END_BEFORE_START,"")&amp;IF(OR(AND(RCL!C36="",RCL!D36="",RCL!E36="",RCL!F36="",RCL!H36="",RCL!I36="",RCL!K36=""),AND(RCL!C36&lt;&gt;"",RCL!D36&lt;&gt;"",RCL!E36&lt;&gt;"",RCL!F36&lt;&gt;"",RCL!H36&lt;&gt;"",RCL!I36&lt;&gt;"",RCL!K36&lt;&gt;"")),""," "&amp;INCOMPLETE_ENTRY)</f>
        <v/>
      </c>
      <c r="U36" s="74" t="str">
        <f t="shared" ref="U36:U73" si="15">IF(AND(G36&gt;RC_YEAR_1_START,G36&lt;RC_YEAR_1_END),Q36,"")</f>
        <v/>
      </c>
      <c r="V36" s="74" t="str">
        <f t="shared" ref="V36:V73" si="16">IF(AND(G36&gt;RC_YEAR_2_START,G36&lt;RC_YEAR_2_END),Q36,"")</f>
        <v/>
      </c>
      <c r="W36" s="74" t="str">
        <f t="shared" ref="W36:W73" si="17">IF(AND(G36&gt;RC_YEAR_3_START,G36&lt;RC_YEAR_3_END),Q36,"")</f>
        <v/>
      </c>
      <c r="X36" s="74" t="str">
        <f t="shared" ref="X36:X73" si="18">IF(AND(G36&gt;RC_YEAR_4_START,G36&lt;RC_YEAR_4_END),Q36,"")</f>
        <v/>
      </c>
      <c r="Y36" s="74" t="str">
        <f t="shared" ref="Y36:Y73" si="19">IF(AND(G36&gt;RC_YEAR_5_START,G36&lt;RC_YEAR_5_END),Q36,"")</f>
        <v/>
      </c>
    </row>
    <row r="37" spans="4:25">
      <c r="D37" s="74">
        <f>RCL!C37</f>
        <v>0</v>
      </c>
      <c r="E37" s="74">
        <f>RCL!D37</f>
        <v>0</v>
      </c>
      <c r="F37" s="74">
        <f>RCL!E37</f>
        <v>0</v>
      </c>
      <c r="G37" s="75">
        <f>RCL!F37</f>
        <v>0</v>
      </c>
      <c r="H37" s="75">
        <f>RCL!G37</f>
        <v>0</v>
      </c>
      <c r="I37" s="74">
        <f>RCL!H37</f>
        <v>0</v>
      </c>
      <c r="J37" s="74">
        <f>RCL!I37</f>
        <v>0</v>
      </c>
      <c r="K37" s="74">
        <f>RCL!K37</f>
        <v>0</v>
      </c>
      <c r="L37" s="74" t="str">
        <f>RCL!L37</f>
        <v/>
      </c>
      <c r="Q37">
        <f t="shared" si="14"/>
        <v>0</v>
      </c>
      <c r="R37" t="str">
        <f>IF(AND(H37&gt;0,H37&lt;G37),END_BEFORE_START,"")&amp;IF(OR(AND(RCL!C37="",RCL!D37="",RCL!E37="",RCL!F37="",RCL!H37="",RCL!I37="",RCL!K37=""),AND(RCL!C37&lt;&gt;"",RCL!D37&lt;&gt;"",RCL!E37&lt;&gt;"",RCL!F37&lt;&gt;"",RCL!H37&lt;&gt;"",RCL!I37&lt;&gt;"",RCL!K37&lt;&gt;"")),""," "&amp;INCOMPLETE_ENTRY)</f>
        <v/>
      </c>
      <c r="U37" s="74" t="str">
        <f t="shared" si="15"/>
        <v/>
      </c>
      <c r="V37" s="74" t="str">
        <f t="shared" si="16"/>
        <v/>
      </c>
      <c r="W37" s="74" t="str">
        <f t="shared" si="17"/>
        <v/>
      </c>
      <c r="X37" s="74" t="str">
        <f t="shared" si="18"/>
        <v/>
      </c>
      <c r="Y37" s="74" t="str">
        <f t="shared" si="19"/>
        <v/>
      </c>
    </row>
    <row r="38" spans="4:25">
      <c r="D38" s="74">
        <f>RCL!C38</f>
        <v>0</v>
      </c>
      <c r="E38" s="74">
        <f>RCL!D38</f>
        <v>0</v>
      </c>
      <c r="F38" s="74">
        <f>RCL!E38</f>
        <v>0</v>
      </c>
      <c r="G38" s="75">
        <f>RCL!F38</f>
        <v>0</v>
      </c>
      <c r="H38" s="75">
        <f>RCL!G38</f>
        <v>0</v>
      </c>
      <c r="I38" s="74">
        <f>RCL!H38</f>
        <v>0</v>
      </c>
      <c r="J38" s="74">
        <f>RCL!I38</f>
        <v>0</v>
      </c>
      <c r="K38" s="74">
        <f>RCL!K38</f>
        <v>0</v>
      </c>
      <c r="L38" s="74" t="str">
        <f>RCL!L38</f>
        <v/>
      </c>
      <c r="Q38">
        <f t="shared" si="14"/>
        <v>0</v>
      </c>
      <c r="R38" t="str">
        <f>IF(AND(H38&gt;0,H38&lt;G38),END_BEFORE_START,"")&amp;IF(OR(AND(RCL!C38="",RCL!D38="",RCL!E38="",RCL!F38="",RCL!H38="",RCL!I38="",RCL!K38=""),AND(RCL!C38&lt;&gt;"",RCL!D38&lt;&gt;"",RCL!E38&lt;&gt;"",RCL!F38&lt;&gt;"",RCL!H38&lt;&gt;"",RCL!I38&lt;&gt;"",RCL!K38&lt;&gt;"")),""," "&amp;INCOMPLETE_ENTRY)</f>
        <v/>
      </c>
      <c r="U38" s="74" t="str">
        <f t="shared" si="15"/>
        <v/>
      </c>
      <c r="V38" s="74" t="str">
        <f t="shared" si="16"/>
        <v/>
      </c>
      <c r="W38" s="74" t="str">
        <f t="shared" si="17"/>
        <v/>
      </c>
      <c r="X38" s="74" t="str">
        <f t="shared" si="18"/>
        <v/>
      </c>
      <c r="Y38" s="74" t="str">
        <f t="shared" si="19"/>
        <v/>
      </c>
    </row>
    <row r="39" spans="4:25">
      <c r="D39" s="74">
        <f>RCL!C39</f>
        <v>0</v>
      </c>
      <c r="E39" s="74">
        <f>RCL!D39</f>
        <v>0</v>
      </c>
      <c r="F39" s="74">
        <f>RCL!E39</f>
        <v>0</v>
      </c>
      <c r="G39" s="75">
        <f>RCL!F39</f>
        <v>0</v>
      </c>
      <c r="H39" s="75">
        <f>RCL!G39</f>
        <v>0</v>
      </c>
      <c r="I39" s="74">
        <f>RCL!H39</f>
        <v>0</v>
      </c>
      <c r="J39" s="74">
        <f>RCL!I39</f>
        <v>0</v>
      </c>
      <c r="K39" s="74">
        <f>RCL!K39</f>
        <v>0</v>
      </c>
      <c r="L39" s="74" t="str">
        <f>RCL!L39</f>
        <v/>
      </c>
      <c r="Q39">
        <f t="shared" si="14"/>
        <v>0</v>
      </c>
      <c r="R39" t="str">
        <f>IF(AND(H39&gt;0,H39&lt;G39),END_BEFORE_START,"")&amp;IF(OR(AND(RCL!C39="",RCL!D39="",RCL!E39="",RCL!F39="",RCL!H39="",RCL!I39="",RCL!K39=""),AND(RCL!C39&lt;&gt;"",RCL!D39&lt;&gt;"",RCL!E39&lt;&gt;"",RCL!F39&lt;&gt;"",RCL!H39&lt;&gt;"",RCL!I39&lt;&gt;"",RCL!K39&lt;&gt;"")),""," "&amp;INCOMPLETE_ENTRY)</f>
        <v/>
      </c>
      <c r="U39" s="74" t="str">
        <f t="shared" si="15"/>
        <v/>
      </c>
      <c r="V39" s="74" t="str">
        <f t="shared" si="16"/>
        <v/>
      </c>
      <c r="W39" s="74" t="str">
        <f t="shared" si="17"/>
        <v/>
      </c>
      <c r="X39" s="74" t="str">
        <f t="shared" si="18"/>
        <v/>
      </c>
      <c r="Y39" s="74" t="str">
        <f t="shared" si="19"/>
        <v/>
      </c>
    </row>
    <row r="40" spans="4:25">
      <c r="D40" s="74">
        <f>RCL!C40</f>
        <v>0</v>
      </c>
      <c r="E40" s="74">
        <f>RCL!D40</f>
        <v>0</v>
      </c>
      <c r="F40" s="74">
        <f>RCL!E40</f>
        <v>0</v>
      </c>
      <c r="G40" s="75">
        <f>RCL!F40</f>
        <v>0</v>
      </c>
      <c r="H40" s="75">
        <f>RCL!G40</f>
        <v>0</v>
      </c>
      <c r="I40" s="74">
        <f>RCL!H40</f>
        <v>0</v>
      </c>
      <c r="J40" s="74">
        <f>RCL!I40</f>
        <v>0</v>
      </c>
      <c r="K40" s="74">
        <f>RCL!K40</f>
        <v>0</v>
      </c>
      <c r="L40" s="74" t="str">
        <f>RCL!L40</f>
        <v/>
      </c>
      <c r="Q40">
        <f t="shared" si="14"/>
        <v>0</v>
      </c>
      <c r="R40" t="str">
        <f>IF(AND(H40&gt;0,H40&lt;G40),END_BEFORE_START,"")&amp;IF(OR(AND(RCL!C40="",RCL!D40="",RCL!E40="",RCL!F40="",RCL!H40="",RCL!I40="",RCL!K40=""),AND(RCL!C40&lt;&gt;"",RCL!D40&lt;&gt;"",RCL!E40&lt;&gt;"",RCL!F40&lt;&gt;"",RCL!H40&lt;&gt;"",RCL!I40&lt;&gt;"",RCL!K40&lt;&gt;"")),""," "&amp;INCOMPLETE_ENTRY)</f>
        <v/>
      </c>
      <c r="U40" s="74" t="str">
        <f t="shared" si="15"/>
        <v/>
      </c>
      <c r="V40" s="74" t="str">
        <f t="shared" si="16"/>
        <v/>
      </c>
      <c r="W40" s="74" t="str">
        <f t="shared" si="17"/>
        <v/>
      </c>
      <c r="X40" s="74" t="str">
        <f t="shared" si="18"/>
        <v/>
      </c>
      <c r="Y40" s="74" t="str">
        <f t="shared" si="19"/>
        <v/>
      </c>
    </row>
    <row r="41" spans="4:25">
      <c r="D41" s="74">
        <f>RCL!C41</f>
        <v>0</v>
      </c>
      <c r="E41" s="74">
        <f>RCL!D41</f>
        <v>0</v>
      </c>
      <c r="F41" s="74">
        <f>RCL!E41</f>
        <v>0</v>
      </c>
      <c r="G41" s="75">
        <f>RCL!F41</f>
        <v>0</v>
      </c>
      <c r="H41" s="75">
        <f>RCL!G41</f>
        <v>0</v>
      </c>
      <c r="I41" s="74">
        <f>RCL!H41</f>
        <v>0</v>
      </c>
      <c r="J41" s="74">
        <f>RCL!I41</f>
        <v>0</v>
      </c>
      <c r="K41" s="74">
        <f>RCL!K41</f>
        <v>0</v>
      </c>
      <c r="L41" s="74" t="str">
        <f>RCL!L41</f>
        <v/>
      </c>
      <c r="Q41">
        <f t="shared" si="14"/>
        <v>0</v>
      </c>
      <c r="R41" t="str">
        <f>IF(AND(H41&gt;0,H41&lt;G41),END_BEFORE_START,"")&amp;IF(OR(AND(RCL!C41="",RCL!D41="",RCL!E41="",RCL!F41="",RCL!H41="",RCL!I41="",RCL!K41=""),AND(RCL!C41&lt;&gt;"",RCL!D41&lt;&gt;"",RCL!E41&lt;&gt;"",RCL!F41&lt;&gt;"",RCL!H41&lt;&gt;"",RCL!I41&lt;&gt;"",RCL!K41&lt;&gt;"")),""," "&amp;INCOMPLETE_ENTRY)</f>
        <v/>
      </c>
      <c r="U41" s="74" t="str">
        <f t="shared" si="15"/>
        <v/>
      </c>
      <c r="V41" s="74" t="str">
        <f t="shared" si="16"/>
        <v/>
      </c>
      <c r="W41" s="74" t="str">
        <f t="shared" si="17"/>
        <v/>
      </c>
      <c r="X41" s="74" t="str">
        <f t="shared" si="18"/>
        <v/>
      </c>
      <c r="Y41" s="74" t="str">
        <f t="shared" si="19"/>
        <v/>
      </c>
    </row>
    <row r="42" spans="4:25">
      <c r="D42" s="74">
        <f>RCL!C42</f>
        <v>0</v>
      </c>
      <c r="E42" s="74">
        <f>RCL!D42</f>
        <v>0</v>
      </c>
      <c r="F42" s="74">
        <f>RCL!E42</f>
        <v>0</v>
      </c>
      <c r="G42" s="75">
        <f>RCL!F42</f>
        <v>0</v>
      </c>
      <c r="H42" s="75">
        <f>RCL!G42</f>
        <v>0</v>
      </c>
      <c r="I42" s="74">
        <f>RCL!H42</f>
        <v>0</v>
      </c>
      <c r="J42" s="74">
        <f>RCL!I42</f>
        <v>0</v>
      </c>
      <c r="K42" s="74">
        <f>RCL!K42</f>
        <v>0</v>
      </c>
      <c r="L42" s="74" t="str">
        <f>RCL!L42</f>
        <v/>
      </c>
      <c r="Q42">
        <f t="shared" si="14"/>
        <v>0</v>
      </c>
      <c r="R42" t="str">
        <f>IF(AND(H42&gt;0,H42&lt;G42),END_BEFORE_START,"")&amp;IF(OR(AND(RCL!C42="",RCL!D42="",RCL!E42="",RCL!F42="",RCL!H42="",RCL!I42="",RCL!K42=""),AND(RCL!C42&lt;&gt;"",RCL!D42&lt;&gt;"",RCL!E42&lt;&gt;"",RCL!F42&lt;&gt;"",RCL!H42&lt;&gt;"",RCL!I42&lt;&gt;"",RCL!K42&lt;&gt;"")),""," "&amp;INCOMPLETE_ENTRY)</f>
        <v/>
      </c>
      <c r="U42" s="74" t="str">
        <f t="shared" si="15"/>
        <v/>
      </c>
      <c r="V42" s="74" t="str">
        <f t="shared" si="16"/>
        <v/>
      </c>
      <c r="W42" s="74" t="str">
        <f t="shared" si="17"/>
        <v/>
      </c>
      <c r="X42" s="74" t="str">
        <f t="shared" si="18"/>
        <v/>
      </c>
      <c r="Y42" s="74" t="str">
        <f t="shared" si="19"/>
        <v/>
      </c>
    </row>
    <row r="43" spans="4:25">
      <c r="D43" s="74">
        <f>RCL!C43</f>
        <v>0</v>
      </c>
      <c r="E43" s="74">
        <f>RCL!D43</f>
        <v>0</v>
      </c>
      <c r="F43" s="74">
        <f>RCL!E43</f>
        <v>0</v>
      </c>
      <c r="G43" s="75">
        <f>RCL!F43</f>
        <v>0</v>
      </c>
      <c r="H43" s="75">
        <f>RCL!G43</f>
        <v>0</v>
      </c>
      <c r="I43" s="74">
        <f>RCL!H43</f>
        <v>0</v>
      </c>
      <c r="J43" s="74">
        <f>RCL!I43</f>
        <v>0</v>
      </c>
      <c r="K43" s="74">
        <f>RCL!K43</f>
        <v>0</v>
      </c>
      <c r="L43" s="74" t="str">
        <f>RCL!L43</f>
        <v/>
      </c>
      <c r="Q43">
        <f t="shared" si="14"/>
        <v>0</v>
      </c>
      <c r="R43" t="str">
        <f>IF(AND(H43&gt;0,H43&lt;G43),END_BEFORE_START,"")&amp;IF(OR(AND(RCL!C43="",RCL!D43="",RCL!E43="",RCL!F43="",RCL!H43="",RCL!I43="",RCL!K43=""),AND(RCL!C43&lt;&gt;"",RCL!D43&lt;&gt;"",RCL!E43&lt;&gt;"",RCL!F43&lt;&gt;"",RCL!H43&lt;&gt;"",RCL!I43&lt;&gt;"",RCL!K43&lt;&gt;"")),""," "&amp;INCOMPLETE_ENTRY)</f>
        <v/>
      </c>
      <c r="U43" s="74" t="str">
        <f t="shared" si="15"/>
        <v/>
      </c>
      <c r="V43" s="74" t="str">
        <f t="shared" si="16"/>
        <v/>
      </c>
      <c r="W43" s="74" t="str">
        <f t="shared" si="17"/>
        <v/>
      </c>
      <c r="X43" s="74" t="str">
        <f t="shared" si="18"/>
        <v/>
      </c>
      <c r="Y43" s="74" t="str">
        <f t="shared" si="19"/>
        <v/>
      </c>
    </row>
    <row r="44" spans="4:25">
      <c r="D44" s="74">
        <f>RCL!C44</f>
        <v>0</v>
      </c>
      <c r="E44" s="74">
        <f>RCL!D44</f>
        <v>0</v>
      </c>
      <c r="F44" s="74">
        <f>RCL!E44</f>
        <v>0</v>
      </c>
      <c r="G44" s="75">
        <f>RCL!F44</f>
        <v>0</v>
      </c>
      <c r="H44" s="75">
        <f>RCL!G44</f>
        <v>0</v>
      </c>
      <c r="I44" s="74">
        <f>RCL!H44</f>
        <v>0</v>
      </c>
      <c r="J44" s="74">
        <f>RCL!I44</f>
        <v>0</v>
      </c>
      <c r="K44" s="74">
        <f>RCL!K44</f>
        <v>0</v>
      </c>
      <c r="L44" s="74" t="str">
        <f>RCL!L44</f>
        <v/>
      </c>
      <c r="Q44">
        <f t="shared" si="14"/>
        <v>0</v>
      </c>
      <c r="R44" t="str">
        <f>IF(AND(H44&gt;0,H44&lt;G44),END_BEFORE_START,"")&amp;IF(OR(AND(RCL!C44="",RCL!D44="",RCL!E44="",RCL!F44="",RCL!H44="",RCL!I44="",RCL!K44=""),AND(RCL!C44&lt;&gt;"",RCL!D44&lt;&gt;"",RCL!E44&lt;&gt;"",RCL!F44&lt;&gt;"",RCL!H44&lt;&gt;"",RCL!I44&lt;&gt;"",RCL!K44&lt;&gt;"")),""," "&amp;INCOMPLETE_ENTRY)</f>
        <v/>
      </c>
      <c r="U44" s="74" t="str">
        <f t="shared" si="15"/>
        <v/>
      </c>
      <c r="V44" s="74" t="str">
        <f t="shared" si="16"/>
        <v/>
      </c>
      <c r="W44" s="74" t="str">
        <f t="shared" si="17"/>
        <v/>
      </c>
      <c r="X44" s="74" t="str">
        <f t="shared" si="18"/>
        <v/>
      </c>
      <c r="Y44" s="74" t="str">
        <f t="shared" si="19"/>
        <v/>
      </c>
    </row>
    <row r="45" spans="4:25">
      <c r="D45" s="74">
        <f>RCL!C45</f>
        <v>0</v>
      </c>
      <c r="E45" s="74">
        <f>RCL!D45</f>
        <v>0</v>
      </c>
      <c r="F45" s="74">
        <f>RCL!E45</f>
        <v>0</v>
      </c>
      <c r="G45" s="75">
        <f>RCL!F45</f>
        <v>0</v>
      </c>
      <c r="H45" s="75">
        <f>RCL!G45</f>
        <v>0</v>
      </c>
      <c r="I45" s="74">
        <f>RCL!H45</f>
        <v>0</v>
      </c>
      <c r="J45" s="74">
        <f>RCL!I45</f>
        <v>0</v>
      </c>
      <c r="K45" s="74">
        <f>RCL!K45</f>
        <v>0</v>
      </c>
      <c r="L45" s="74" t="str">
        <f>RCL!L45</f>
        <v/>
      </c>
      <c r="Q45">
        <f t="shared" si="14"/>
        <v>0</v>
      </c>
      <c r="R45" t="str">
        <f>IF(AND(H45&gt;0,H45&lt;G45),END_BEFORE_START,"")&amp;IF(OR(AND(RCL!C45="",RCL!D45="",RCL!E45="",RCL!F45="",RCL!H45="",RCL!I45="",RCL!K45=""),AND(RCL!C45&lt;&gt;"",RCL!D45&lt;&gt;"",RCL!E45&lt;&gt;"",RCL!F45&lt;&gt;"",RCL!H45&lt;&gt;"",RCL!I45&lt;&gt;"",RCL!K45&lt;&gt;"")),""," "&amp;INCOMPLETE_ENTRY)</f>
        <v/>
      </c>
      <c r="U45" s="74" t="str">
        <f t="shared" si="15"/>
        <v/>
      </c>
      <c r="V45" s="74" t="str">
        <f t="shared" si="16"/>
        <v/>
      </c>
      <c r="W45" s="74" t="str">
        <f t="shared" si="17"/>
        <v/>
      </c>
      <c r="X45" s="74" t="str">
        <f t="shared" si="18"/>
        <v/>
      </c>
      <c r="Y45" s="74" t="str">
        <f t="shared" si="19"/>
        <v/>
      </c>
    </row>
    <row r="46" spans="4:25">
      <c r="D46" s="74">
        <f>RCL!C46</f>
        <v>0</v>
      </c>
      <c r="E46" s="74">
        <f>RCL!D46</f>
        <v>0</v>
      </c>
      <c r="F46" s="74">
        <f>RCL!E46</f>
        <v>0</v>
      </c>
      <c r="G46" s="75">
        <f>RCL!F46</f>
        <v>0</v>
      </c>
      <c r="H46" s="75">
        <f>RCL!G46</f>
        <v>0</v>
      </c>
      <c r="I46" s="74">
        <f>RCL!H46</f>
        <v>0</v>
      </c>
      <c r="J46" s="74">
        <f>RCL!I46</f>
        <v>0</v>
      </c>
      <c r="K46" s="74">
        <f>RCL!K46</f>
        <v>0</v>
      </c>
      <c r="L46" s="74" t="str">
        <f>RCL!L46</f>
        <v/>
      </c>
      <c r="Q46">
        <f t="shared" si="14"/>
        <v>0</v>
      </c>
      <c r="R46" t="str">
        <f>IF(AND(H46&gt;0,H46&lt;G46),END_BEFORE_START,"")&amp;IF(OR(AND(RCL!C46="",RCL!D46="",RCL!E46="",RCL!F46="",RCL!H46="",RCL!I46="",RCL!K46=""),AND(RCL!C46&lt;&gt;"",RCL!D46&lt;&gt;"",RCL!E46&lt;&gt;"",RCL!F46&lt;&gt;"",RCL!H46&lt;&gt;"",RCL!I46&lt;&gt;"",RCL!K46&lt;&gt;"")),""," "&amp;INCOMPLETE_ENTRY)</f>
        <v/>
      </c>
      <c r="U46" s="74" t="str">
        <f t="shared" si="15"/>
        <v/>
      </c>
      <c r="V46" s="74" t="str">
        <f t="shared" si="16"/>
        <v/>
      </c>
      <c r="W46" s="74" t="str">
        <f t="shared" si="17"/>
        <v/>
      </c>
      <c r="X46" s="74" t="str">
        <f t="shared" si="18"/>
        <v/>
      </c>
      <c r="Y46" s="74" t="str">
        <f t="shared" si="19"/>
        <v/>
      </c>
    </row>
    <row r="47" spans="4:25">
      <c r="D47" s="74">
        <f>RCL!C47</f>
        <v>0</v>
      </c>
      <c r="E47" s="74">
        <f>RCL!D47</f>
        <v>0</v>
      </c>
      <c r="F47" s="74">
        <f>RCL!E47</f>
        <v>0</v>
      </c>
      <c r="G47" s="75">
        <f>RCL!F47</f>
        <v>0</v>
      </c>
      <c r="H47" s="75">
        <f>RCL!G47</f>
        <v>0</v>
      </c>
      <c r="I47" s="74">
        <f>RCL!H47</f>
        <v>0</v>
      </c>
      <c r="J47" s="74">
        <f>RCL!I47</f>
        <v>0</v>
      </c>
      <c r="K47" s="74">
        <f>RCL!K47</f>
        <v>0</v>
      </c>
      <c r="L47" s="74" t="str">
        <f>RCL!L47</f>
        <v/>
      </c>
      <c r="Q47">
        <f t="shared" si="14"/>
        <v>0</v>
      </c>
      <c r="R47" t="str">
        <f>IF(AND(H47&gt;0,H47&lt;G47),END_BEFORE_START,"")&amp;IF(OR(AND(RCL!C47="",RCL!D47="",RCL!E47="",RCL!F47="",RCL!H47="",RCL!I47="",RCL!K47=""),AND(RCL!C47&lt;&gt;"",RCL!D47&lt;&gt;"",RCL!E47&lt;&gt;"",RCL!F47&lt;&gt;"",RCL!H47&lt;&gt;"",RCL!I47&lt;&gt;"",RCL!K47&lt;&gt;"")),""," "&amp;INCOMPLETE_ENTRY)</f>
        <v/>
      </c>
      <c r="U47" s="74" t="str">
        <f t="shared" si="15"/>
        <v/>
      </c>
      <c r="V47" s="74" t="str">
        <f t="shared" si="16"/>
        <v/>
      </c>
      <c r="W47" s="74" t="str">
        <f t="shared" si="17"/>
        <v/>
      </c>
      <c r="X47" s="74" t="str">
        <f t="shared" si="18"/>
        <v/>
      </c>
      <c r="Y47" s="74" t="str">
        <f t="shared" si="19"/>
        <v/>
      </c>
    </row>
    <row r="48" spans="4:25">
      <c r="D48" s="74">
        <f>RCL!C48</f>
        <v>0</v>
      </c>
      <c r="E48" s="74">
        <f>RCL!D48</f>
        <v>0</v>
      </c>
      <c r="F48" s="74">
        <f>RCL!E48</f>
        <v>0</v>
      </c>
      <c r="G48" s="75">
        <f>RCL!F48</f>
        <v>0</v>
      </c>
      <c r="H48" s="75">
        <f>RCL!G48</f>
        <v>0</v>
      </c>
      <c r="I48" s="74">
        <f>RCL!H48</f>
        <v>0</v>
      </c>
      <c r="J48" s="74">
        <f>RCL!I48</f>
        <v>0</v>
      </c>
      <c r="K48" s="74">
        <f>RCL!K48</f>
        <v>0</v>
      </c>
      <c r="L48" s="74" t="str">
        <f>RCL!L48</f>
        <v/>
      </c>
      <c r="Q48">
        <f t="shared" si="14"/>
        <v>0</v>
      </c>
      <c r="R48" t="str">
        <f>IF(AND(H48&gt;0,H48&lt;G48),END_BEFORE_START,"")&amp;IF(OR(AND(RCL!C48="",RCL!D48="",RCL!E48="",RCL!F48="",RCL!H48="",RCL!I48="",RCL!K48=""),AND(RCL!C48&lt;&gt;"",RCL!D48&lt;&gt;"",RCL!E48&lt;&gt;"",RCL!F48&lt;&gt;"",RCL!H48&lt;&gt;"",RCL!I48&lt;&gt;"",RCL!K48&lt;&gt;"")),""," "&amp;INCOMPLETE_ENTRY)</f>
        <v/>
      </c>
      <c r="U48" s="74" t="str">
        <f t="shared" si="15"/>
        <v/>
      </c>
      <c r="V48" s="74" t="str">
        <f t="shared" si="16"/>
        <v/>
      </c>
      <c r="W48" s="74" t="str">
        <f t="shared" si="17"/>
        <v/>
      </c>
      <c r="X48" s="74" t="str">
        <f t="shared" si="18"/>
        <v/>
      </c>
      <c r="Y48" s="74" t="str">
        <f t="shared" si="19"/>
        <v/>
      </c>
    </row>
    <row r="49" spans="4:25">
      <c r="D49" s="74">
        <f>RCL!C49</f>
        <v>0</v>
      </c>
      <c r="E49" s="74">
        <f>RCL!D49</f>
        <v>0</v>
      </c>
      <c r="F49" s="74">
        <f>RCL!E49</f>
        <v>0</v>
      </c>
      <c r="G49" s="75">
        <f>RCL!F49</f>
        <v>0</v>
      </c>
      <c r="H49" s="75">
        <f>RCL!G49</f>
        <v>0</v>
      </c>
      <c r="I49" s="74">
        <f>RCL!H49</f>
        <v>0</v>
      </c>
      <c r="J49" s="74">
        <f>RCL!I49</f>
        <v>0</v>
      </c>
      <c r="K49" s="74">
        <f>RCL!K49</f>
        <v>0</v>
      </c>
      <c r="L49" s="74" t="str">
        <f>RCL!L49</f>
        <v/>
      </c>
      <c r="Q49">
        <f t="shared" si="14"/>
        <v>0</v>
      </c>
      <c r="R49" t="str">
        <f>IF(AND(H49&gt;0,H49&lt;G49),END_BEFORE_START,"")&amp;IF(OR(AND(RCL!C49="",RCL!D49="",RCL!E49="",RCL!F49="",RCL!H49="",RCL!I49="",RCL!K49=""),AND(RCL!C49&lt;&gt;"",RCL!D49&lt;&gt;"",RCL!E49&lt;&gt;"",RCL!F49&lt;&gt;"",RCL!H49&lt;&gt;"",RCL!I49&lt;&gt;"",RCL!K49&lt;&gt;"")),""," "&amp;INCOMPLETE_ENTRY)</f>
        <v/>
      </c>
      <c r="U49" s="74" t="str">
        <f t="shared" si="15"/>
        <v/>
      </c>
      <c r="V49" s="74" t="str">
        <f t="shared" si="16"/>
        <v/>
      </c>
      <c r="W49" s="74" t="str">
        <f t="shared" si="17"/>
        <v/>
      </c>
      <c r="X49" s="74" t="str">
        <f t="shared" si="18"/>
        <v/>
      </c>
      <c r="Y49" s="74" t="str">
        <f t="shared" si="19"/>
        <v/>
      </c>
    </row>
    <row r="50" spans="4:25">
      <c r="D50" s="74">
        <f>RCL!C50</f>
        <v>0</v>
      </c>
      <c r="E50" s="74">
        <f>RCL!D50</f>
        <v>0</v>
      </c>
      <c r="F50" s="74">
        <f>RCL!E50</f>
        <v>0</v>
      </c>
      <c r="G50" s="75">
        <f>RCL!F50</f>
        <v>0</v>
      </c>
      <c r="H50" s="75">
        <f>RCL!G50</f>
        <v>0</v>
      </c>
      <c r="I50" s="74">
        <f>RCL!H50</f>
        <v>0</v>
      </c>
      <c r="J50" s="74">
        <f>RCL!I50</f>
        <v>0</v>
      </c>
      <c r="K50" s="74">
        <f>RCL!K50</f>
        <v>0</v>
      </c>
      <c r="L50" s="74" t="str">
        <f>RCL!L50</f>
        <v/>
      </c>
      <c r="Q50">
        <f t="shared" si="14"/>
        <v>0</v>
      </c>
      <c r="R50" t="str">
        <f>IF(AND(H50&gt;0,H50&lt;G50),END_BEFORE_START,"")&amp;IF(OR(AND(RCL!C50="",RCL!D50="",RCL!E50="",RCL!F50="",RCL!H50="",RCL!I50="",RCL!K50=""),AND(RCL!C50&lt;&gt;"",RCL!D50&lt;&gt;"",RCL!E50&lt;&gt;"",RCL!F50&lt;&gt;"",RCL!H50&lt;&gt;"",RCL!I50&lt;&gt;"",RCL!K50&lt;&gt;"")),""," "&amp;INCOMPLETE_ENTRY)</f>
        <v/>
      </c>
      <c r="U50" s="74" t="str">
        <f t="shared" si="15"/>
        <v/>
      </c>
      <c r="V50" s="74" t="str">
        <f t="shared" si="16"/>
        <v/>
      </c>
      <c r="W50" s="74" t="str">
        <f t="shared" si="17"/>
        <v/>
      </c>
      <c r="X50" s="74" t="str">
        <f t="shared" si="18"/>
        <v/>
      </c>
      <c r="Y50" s="74" t="str">
        <f t="shared" si="19"/>
        <v/>
      </c>
    </row>
    <row r="51" spans="4:25">
      <c r="D51" s="74">
        <f>RCL!C51</f>
        <v>0</v>
      </c>
      <c r="E51" s="74">
        <f>RCL!D51</f>
        <v>0</v>
      </c>
      <c r="F51" s="74">
        <f>RCL!E51</f>
        <v>0</v>
      </c>
      <c r="G51" s="75">
        <f>RCL!F51</f>
        <v>0</v>
      </c>
      <c r="H51" s="75">
        <f>RCL!G51</f>
        <v>0</v>
      </c>
      <c r="I51" s="74">
        <f>RCL!H51</f>
        <v>0</v>
      </c>
      <c r="J51" s="74">
        <f>RCL!I51</f>
        <v>0</v>
      </c>
      <c r="K51" s="74">
        <f>RCL!K51</f>
        <v>0</v>
      </c>
      <c r="L51" s="74" t="str">
        <f>RCL!L51</f>
        <v/>
      </c>
      <c r="Q51">
        <f t="shared" si="14"/>
        <v>0</v>
      </c>
      <c r="R51" t="str">
        <f>IF(AND(H51&gt;0,H51&lt;G51),END_BEFORE_START,"")&amp;IF(OR(AND(RCL!C51="",RCL!D51="",RCL!E51="",RCL!F51="",RCL!H51="",RCL!I51="",RCL!K51=""),AND(RCL!C51&lt;&gt;"",RCL!D51&lt;&gt;"",RCL!E51&lt;&gt;"",RCL!F51&lt;&gt;"",RCL!H51&lt;&gt;"",RCL!I51&lt;&gt;"",RCL!K51&lt;&gt;"")),""," "&amp;INCOMPLETE_ENTRY)</f>
        <v/>
      </c>
      <c r="U51" s="74" t="str">
        <f t="shared" si="15"/>
        <v/>
      </c>
      <c r="V51" s="74" t="str">
        <f t="shared" si="16"/>
        <v/>
      </c>
      <c r="W51" s="74" t="str">
        <f t="shared" si="17"/>
        <v/>
      </c>
      <c r="X51" s="74" t="str">
        <f t="shared" si="18"/>
        <v/>
      </c>
      <c r="Y51" s="74" t="str">
        <f t="shared" si="19"/>
        <v/>
      </c>
    </row>
    <row r="52" spans="4:25">
      <c r="D52" s="74">
        <f>RCL!C52</f>
        <v>0</v>
      </c>
      <c r="E52" s="74">
        <f>RCL!D52</f>
        <v>0</v>
      </c>
      <c r="F52" s="74">
        <f>RCL!E52</f>
        <v>0</v>
      </c>
      <c r="G52" s="75">
        <f>RCL!F52</f>
        <v>0</v>
      </c>
      <c r="H52" s="75">
        <f>RCL!G52</f>
        <v>0</v>
      </c>
      <c r="I52" s="74">
        <f>RCL!H52</f>
        <v>0</v>
      </c>
      <c r="J52" s="74">
        <f>RCL!I52</f>
        <v>0</v>
      </c>
      <c r="K52" s="74">
        <f>RCL!K52</f>
        <v>0</v>
      </c>
      <c r="L52" s="74" t="str">
        <f>RCL!L52</f>
        <v/>
      </c>
      <c r="Q52">
        <f t="shared" si="14"/>
        <v>0</v>
      </c>
      <c r="R52" t="str">
        <f>IF(AND(H52&gt;0,H52&lt;G52),END_BEFORE_START,"")&amp;IF(OR(AND(RCL!C52="",RCL!D52="",RCL!E52="",RCL!F52="",RCL!H52="",RCL!I52="",RCL!K52=""),AND(RCL!C52&lt;&gt;"",RCL!D52&lt;&gt;"",RCL!E52&lt;&gt;"",RCL!F52&lt;&gt;"",RCL!H52&lt;&gt;"",RCL!I52&lt;&gt;"",RCL!K52&lt;&gt;"")),""," "&amp;INCOMPLETE_ENTRY)</f>
        <v/>
      </c>
      <c r="U52" s="74" t="str">
        <f t="shared" si="15"/>
        <v/>
      </c>
      <c r="V52" s="74" t="str">
        <f t="shared" si="16"/>
        <v/>
      </c>
      <c r="W52" s="74" t="str">
        <f t="shared" si="17"/>
        <v/>
      </c>
      <c r="X52" s="74" t="str">
        <f t="shared" si="18"/>
        <v/>
      </c>
      <c r="Y52" s="74" t="str">
        <f t="shared" si="19"/>
        <v/>
      </c>
    </row>
    <row r="53" spans="4:25">
      <c r="D53" s="74">
        <f>RCL!C53</f>
        <v>0</v>
      </c>
      <c r="E53" s="74">
        <f>RCL!D53</f>
        <v>0</v>
      </c>
      <c r="F53" s="74">
        <f>RCL!E53</f>
        <v>0</v>
      </c>
      <c r="G53" s="75">
        <f>RCL!F53</f>
        <v>0</v>
      </c>
      <c r="H53" s="75">
        <f>RCL!G53</f>
        <v>0</v>
      </c>
      <c r="I53" s="74">
        <f>RCL!H53</f>
        <v>0</v>
      </c>
      <c r="J53" s="74">
        <f>RCL!I53</f>
        <v>0</v>
      </c>
      <c r="K53" s="74">
        <f>RCL!K53</f>
        <v>0</v>
      </c>
      <c r="L53" s="74" t="str">
        <f>RCL!L53</f>
        <v/>
      </c>
      <c r="Q53">
        <f t="shared" si="14"/>
        <v>0</v>
      </c>
      <c r="R53" t="str">
        <f>IF(AND(H53&gt;0,H53&lt;G53),END_BEFORE_START,"")&amp;IF(OR(AND(RCL!C53="",RCL!D53="",RCL!E53="",RCL!F53="",RCL!H53="",RCL!I53="",RCL!K53=""),AND(RCL!C53&lt;&gt;"",RCL!D53&lt;&gt;"",RCL!E53&lt;&gt;"",RCL!F53&lt;&gt;"",RCL!H53&lt;&gt;"",RCL!I53&lt;&gt;"",RCL!K53&lt;&gt;"")),""," "&amp;INCOMPLETE_ENTRY)</f>
        <v/>
      </c>
      <c r="U53" s="74" t="str">
        <f t="shared" si="15"/>
        <v/>
      </c>
      <c r="V53" s="74" t="str">
        <f t="shared" si="16"/>
        <v/>
      </c>
      <c r="W53" s="74" t="str">
        <f t="shared" si="17"/>
        <v/>
      </c>
      <c r="X53" s="74" t="str">
        <f t="shared" si="18"/>
        <v/>
      </c>
      <c r="Y53" s="74" t="str">
        <f t="shared" si="19"/>
        <v/>
      </c>
    </row>
    <row r="54" spans="4:25">
      <c r="D54" s="74">
        <f>RCL!C54</f>
        <v>0</v>
      </c>
      <c r="E54" s="74">
        <f>RCL!D54</f>
        <v>0</v>
      </c>
      <c r="F54" s="74">
        <f>RCL!E54</f>
        <v>0</v>
      </c>
      <c r="G54" s="75">
        <f>RCL!F54</f>
        <v>0</v>
      </c>
      <c r="H54" s="75">
        <f>RCL!G54</f>
        <v>0</v>
      </c>
      <c r="I54" s="74">
        <f>RCL!H54</f>
        <v>0</v>
      </c>
      <c r="J54" s="74">
        <f>RCL!I54</f>
        <v>0</v>
      </c>
      <c r="K54" s="74">
        <f>RCL!K54</f>
        <v>0</v>
      </c>
      <c r="L54" s="74" t="str">
        <f>RCL!L54</f>
        <v/>
      </c>
      <c r="Q54">
        <f t="shared" si="14"/>
        <v>0</v>
      </c>
      <c r="R54" t="str">
        <f>IF(AND(H54&gt;0,H54&lt;G54),END_BEFORE_START,"")&amp;IF(OR(AND(RCL!C54="",RCL!D54="",RCL!E54="",RCL!F54="",RCL!H54="",RCL!I54="",RCL!K54=""),AND(RCL!C54&lt;&gt;"",RCL!D54&lt;&gt;"",RCL!E54&lt;&gt;"",RCL!F54&lt;&gt;"",RCL!H54&lt;&gt;"",RCL!I54&lt;&gt;"",RCL!K54&lt;&gt;"")),""," "&amp;INCOMPLETE_ENTRY)</f>
        <v/>
      </c>
      <c r="U54" s="74" t="str">
        <f t="shared" si="15"/>
        <v/>
      </c>
      <c r="V54" s="74" t="str">
        <f t="shared" si="16"/>
        <v/>
      </c>
      <c r="W54" s="74" t="str">
        <f t="shared" si="17"/>
        <v/>
      </c>
      <c r="X54" s="74" t="str">
        <f t="shared" si="18"/>
        <v/>
      </c>
      <c r="Y54" s="74" t="str">
        <f t="shared" si="19"/>
        <v/>
      </c>
    </row>
    <row r="55" spans="4:25">
      <c r="D55" s="74">
        <f>RCL!C55</f>
        <v>0</v>
      </c>
      <c r="E55" s="74">
        <f>RCL!D55</f>
        <v>0</v>
      </c>
      <c r="F55" s="74">
        <f>RCL!E55</f>
        <v>0</v>
      </c>
      <c r="G55" s="75">
        <f>RCL!F55</f>
        <v>0</v>
      </c>
      <c r="H55" s="75">
        <f>RCL!G55</f>
        <v>0</v>
      </c>
      <c r="I55" s="74">
        <f>RCL!H55</f>
        <v>0</v>
      </c>
      <c r="J55" s="74">
        <f>RCL!I55</f>
        <v>0</v>
      </c>
      <c r="K55" s="74">
        <f>RCL!K55</f>
        <v>0</v>
      </c>
      <c r="L55" s="74" t="str">
        <f>RCL!L55</f>
        <v/>
      </c>
      <c r="Q55">
        <f t="shared" si="14"/>
        <v>0</v>
      </c>
      <c r="R55" t="str">
        <f>IF(AND(H55&gt;0,H55&lt;G55),END_BEFORE_START,"")&amp;IF(OR(AND(RCL!C55="",RCL!D55="",RCL!E55="",RCL!F55="",RCL!H55="",RCL!I55="",RCL!K55=""),AND(RCL!C55&lt;&gt;"",RCL!D55&lt;&gt;"",RCL!E55&lt;&gt;"",RCL!F55&lt;&gt;"",RCL!H55&lt;&gt;"",RCL!I55&lt;&gt;"",RCL!K55&lt;&gt;"")),""," "&amp;INCOMPLETE_ENTRY)</f>
        <v/>
      </c>
      <c r="U55" s="74" t="str">
        <f t="shared" si="15"/>
        <v/>
      </c>
      <c r="V55" s="74" t="str">
        <f t="shared" si="16"/>
        <v/>
      </c>
      <c r="W55" s="74" t="str">
        <f t="shared" si="17"/>
        <v/>
      </c>
      <c r="X55" s="74" t="str">
        <f t="shared" si="18"/>
        <v/>
      </c>
      <c r="Y55" s="74" t="str">
        <f t="shared" si="19"/>
        <v/>
      </c>
    </row>
    <row r="56" spans="4:25">
      <c r="D56" s="74">
        <f>RCL!C56</f>
        <v>0</v>
      </c>
      <c r="E56" s="74">
        <f>RCL!D56</f>
        <v>0</v>
      </c>
      <c r="F56" s="74">
        <f>RCL!E56</f>
        <v>0</v>
      </c>
      <c r="G56" s="75">
        <f>RCL!F56</f>
        <v>0</v>
      </c>
      <c r="H56" s="75">
        <f>RCL!G56</f>
        <v>0</v>
      </c>
      <c r="I56" s="74">
        <f>RCL!H56</f>
        <v>0</v>
      </c>
      <c r="J56" s="74">
        <f>RCL!I56</f>
        <v>0</v>
      </c>
      <c r="K56" s="74">
        <f>RCL!K56</f>
        <v>0</v>
      </c>
      <c r="L56" s="74" t="str">
        <f>RCL!L56</f>
        <v/>
      </c>
      <c r="Q56">
        <f t="shared" si="14"/>
        <v>0</v>
      </c>
      <c r="R56" t="str">
        <f>IF(AND(H56&gt;0,H56&lt;G56),END_BEFORE_START,"")&amp;IF(OR(AND(RCL!C56="",RCL!D56="",RCL!E56="",RCL!F56="",RCL!H56="",RCL!I56="",RCL!K56=""),AND(RCL!C56&lt;&gt;"",RCL!D56&lt;&gt;"",RCL!E56&lt;&gt;"",RCL!F56&lt;&gt;"",RCL!H56&lt;&gt;"",RCL!I56&lt;&gt;"",RCL!K56&lt;&gt;"")),""," "&amp;INCOMPLETE_ENTRY)</f>
        <v/>
      </c>
      <c r="U56" s="74" t="str">
        <f t="shared" si="15"/>
        <v/>
      </c>
      <c r="V56" s="74" t="str">
        <f t="shared" si="16"/>
        <v/>
      </c>
      <c r="W56" s="74" t="str">
        <f t="shared" si="17"/>
        <v/>
      </c>
      <c r="X56" s="74" t="str">
        <f t="shared" si="18"/>
        <v/>
      </c>
      <c r="Y56" s="74" t="str">
        <f t="shared" si="19"/>
        <v/>
      </c>
    </row>
    <row r="57" spans="4:25">
      <c r="D57" s="74">
        <f>RCL!C57</f>
        <v>0</v>
      </c>
      <c r="E57" s="74">
        <f>RCL!D57</f>
        <v>0</v>
      </c>
      <c r="F57" s="74">
        <f>RCL!E57</f>
        <v>0</v>
      </c>
      <c r="G57" s="75">
        <f>RCL!F57</f>
        <v>0</v>
      </c>
      <c r="H57" s="75">
        <f>RCL!G57</f>
        <v>0</v>
      </c>
      <c r="I57" s="74">
        <f>RCL!H57</f>
        <v>0</v>
      </c>
      <c r="J57" s="74">
        <f>RCL!I57</f>
        <v>0</v>
      </c>
      <c r="K57" s="74">
        <f>RCL!K57</f>
        <v>0</v>
      </c>
      <c r="L57" s="74" t="str">
        <f>RCL!L57</f>
        <v/>
      </c>
      <c r="Q57">
        <f t="shared" si="14"/>
        <v>0</v>
      </c>
      <c r="R57" t="str">
        <f>IF(AND(H57&gt;0,H57&lt;G57),END_BEFORE_START,"")&amp;IF(OR(AND(RCL!C57="",RCL!D57="",RCL!E57="",RCL!F57="",RCL!H57="",RCL!I57="",RCL!K57=""),AND(RCL!C57&lt;&gt;"",RCL!D57&lt;&gt;"",RCL!E57&lt;&gt;"",RCL!F57&lt;&gt;"",RCL!H57&lt;&gt;"",RCL!I57&lt;&gt;"",RCL!K57&lt;&gt;"")),""," "&amp;INCOMPLETE_ENTRY)</f>
        <v/>
      </c>
      <c r="U57" s="74" t="str">
        <f t="shared" si="15"/>
        <v/>
      </c>
      <c r="V57" s="74" t="str">
        <f t="shared" si="16"/>
        <v/>
      </c>
      <c r="W57" s="74" t="str">
        <f t="shared" si="17"/>
        <v/>
      </c>
      <c r="X57" s="74" t="str">
        <f t="shared" si="18"/>
        <v/>
      </c>
      <c r="Y57" s="74" t="str">
        <f t="shared" si="19"/>
        <v/>
      </c>
    </row>
    <row r="58" spans="4:25">
      <c r="D58" s="74">
        <f>RCL!C58</f>
        <v>0</v>
      </c>
      <c r="E58" s="74">
        <f>RCL!D58</f>
        <v>0</v>
      </c>
      <c r="F58" s="74">
        <f>RCL!E58</f>
        <v>0</v>
      </c>
      <c r="G58" s="75">
        <f>RCL!F58</f>
        <v>0</v>
      </c>
      <c r="H58" s="75">
        <f>RCL!G58</f>
        <v>0</v>
      </c>
      <c r="I58" s="74">
        <f>RCL!H58</f>
        <v>0</v>
      </c>
      <c r="J58" s="74">
        <f>RCL!I58</f>
        <v>0</v>
      </c>
      <c r="K58" s="74">
        <f>RCL!K58</f>
        <v>0</v>
      </c>
      <c r="L58" s="74" t="str">
        <f>RCL!L58</f>
        <v/>
      </c>
      <c r="Q58">
        <f t="shared" si="14"/>
        <v>0</v>
      </c>
      <c r="R58" t="str">
        <f>IF(AND(H58&gt;0,H58&lt;G58),END_BEFORE_START,"")&amp;IF(OR(AND(RCL!C58="",RCL!D58="",RCL!E58="",RCL!F58="",RCL!H58="",RCL!I58="",RCL!K58=""),AND(RCL!C58&lt;&gt;"",RCL!D58&lt;&gt;"",RCL!E58&lt;&gt;"",RCL!F58&lt;&gt;"",RCL!H58&lt;&gt;"",RCL!I58&lt;&gt;"",RCL!K58&lt;&gt;"")),""," "&amp;INCOMPLETE_ENTRY)</f>
        <v/>
      </c>
      <c r="U58" s="74" t="str">
        <f t="shared" si="15"/>
        <v/>
      </c>
      <c r="V58" s="74" t="str">
        <f t="shared" si="16"/>
        <v/>
      </c>
      <c r="W58" s="74" t="str">
        <f t="shared" si="17"/>
        <v/>
      </c>
      <c r="X58" s="74" t="str">
        <f t="shared" si="18"/>
        <v/>
      </c>
      <c r="Y58" s="74" t="str">
        <f t="shared" si="19"/>
        <v/>
      </c>
    </row>
    <row r="59" spans="4:25">
      <c r="D59" s="74">
        <f>RCL!C59</f>
        <v>0</v>
      </c>
      <c r="E59" s="74">
        <f>RCL!D59</f>
        <v>0</v>
      </c>
      <c r="F59" s="74">
        <f>RCL!E59</f>
        <v>0</v>
      </c>
      <c r="G59" s="75">
        <f>RCL!F59</f>
        <v>0</v>
      </c>
      <c r="H59" s="75">
        <f>RCL!G59</f>
        <v>0</v>
      </c>
      <c r="I59" s="74">
        <f>RCL!H59</f>
        <v>0</v>
      </c>
      <c r="J59" s="74">
        <f>RCL!I59</f>
        <v>0</v>
      </c>
      <c r="K59" s="74">
        <f>RCL!K59</f>
        <v>0</v>
      </c>
      <c r="L59" s="74" t="str">
        <f>RCL!L59</f>
        <v/>
      </c>
      <c r="Q59">
        <f t="shared" si="14"/>
        <v>0</v>
      </c>
      <c r="R59" t="str">
        <f>IF(AND(H59&gt;0,H59&lt;G59),END_BEFORE_START,"")&amp;IF(OR(AND(RCL!C59="",RCL!D59="",RCL!E59="",RCL!F59="",RCL!H59="",RCL!I59="",RCL!K59=""),AND(RCL!C59&lt;&gt;"",RCL!D59&lt;&gt;"",RCL!E59&lt;&gt;"",RCL!F59&lt;&gt;"",RCL!H59&lt;&gt;"",RCL!I59&lt;&gt;"",RCL!K59&lt;&gt;"")),""," "&amp;INCOMPLETE_ENTRY)</f>
        <v/>
      </c>
      <c r="U59" s="74" t="str">
        <f t="shared" si="15"/>
        <v/>
      </c>
      <c r="V59" s="74" t="str">
        <f t="shared" si="16"/>
        <v/>
      </c>
      <c r="W59" s="74" t="str">
        <f t="shared" si="17"/>
        <v/>
      </c>
      <c r="X59" s="74" t="str">
        <f t="shared" si="18"/>
        <v/>
      </c>
      <c r="Y59" s="74" t="str">
        <f t="shared" si="19"/>
        <v/>
      </c>
    </row>
    <row r="60" spans="4:25">
      <c r="D60" s="74">
        <f>RCL!C60</f>
        <v>0</v>
      </c>
      <c r="E60" s="74">
        <f>RCL!D60</f>
        <v>0</v>
      </c>
      <c r="F60" s="74">
        <f>RCL!E60</f>
        <v>0</v>
      </c>
      <c r="G60" s="75">
        <f>RCL!F60</f>
        <v>0</v>
      </c>
      <c r="H60" s="75">
        <f>RCL!G60</f>
        <v>0</v>
      </c>
      <c r="I60" s="74">
        <f>RCL!H60</f>
        <v>0</v>
      </c>
      <c r="J60" s="74">
        <f>RCL!I60</f>
        <v>0</v>
      </c>
      <c r="K60" s="74">
        <f>RCL!K60</f>
        <v>0</v>
      </c>
      <c r="L60" s="74" t="str">
        <f>RCL!L60</f>
        <v/>
      </c>
      <c r="Q60">
        <f t="shared" si="14"/>
        <v>0</v>
      </c>
      <c r="R60" t="str">
        <f>IF(AND(H60&gt;0,H60&lt;G60),END_BEFORE_START,"")&amp;IF(OR(AND(RCL!C60="",RCL!D60="",RCL!E60="",RCL!F60="",RCL!H60="",RCL!I60="",RCL!K60=""),AND(RCL!C60&lt;&gt;"",RCL!D60&lt;&gt;"",RCL!E60&lt;&gt;"",RCL!F60&lt;&gt;"",RCL!H60&lt;&gt;"",RCL!I60&lt;&gt;"",RCL!K60&lt;&gt;"")),""," "&amp;INCOMPLETE_ENTRY)</f>
        <v/>
      </c>
      <c r="U60" s="74" t="str">
        <f t="shared" si="15"/>
        <v/>
      </c>
      <c r="V60" s="74" t="str">
        <f t="shared" si="16"/>
        <v/>
      </c>
      <c r="W60" s="74" t="str">
        <f t="shared" si="17"/>
        <v/>
      </c>
      <c r="X60" s="74" t="str">
        <f t="shared" si="18"/>
        <v/>
      </c>
      <c r="Y60" s="74" t="str">
        <f t="shared" si="19"/>
        <v/>
      </c>
    </row>
    <row r="61" spans="4:25">
      <c r="D61" s="74">
        <f>RCL!C61</f>
        <v>0</v>
      </c>
      <c r="E61" s="74">
        <f>RCL!D61</f>
        <v>0</v>
      </c>
      <c r="F61" s="74">
        <f>RCL!E61</f>
        <v>0</v>
      </c>
      <c r="G61" s="75">
        <f>RCL!F61</f>
        <v>0</v>
      </c>
      <c r="H61" s="75">
        <f>RCL!G61</f>
        <v>0</v>
      </c>
      <c r="I61" s="74">
        <f>RCL!H61</f>
        <v>0</v>
      </c>
      <c r="J61" s="74">
        <f>RCL!I61</f>
        <v>0</v>
      </c>
      <c r="K61" s="74">
        <f>RCL!K61</f>
        <v>0</v>
      </c>
      <c r="L61" s="74" t="str">
        <f>RCL!L61</f>
        <v/>
      </c>
      <c r="Q61">
        <f t="shared" si="14"/>
        <v>0</v>
      </c>
      <c r="R61" t="str">
        <f>IF(AND(H61&gt;0,H61&lt;G61),END_BEFORE_START,"")&amp;IF(OR(AND(RCL!C61="",RCL!D61="",RCL!E61="",RCL!F61="",RCL!H61="",RCL!I61="",RCL!K61=""),AND(RCL!C61&lt;&gt;"",RCL!D61&lt;&gt;"",RCL!E61&lt;&gt;"",RCL!F61&lt;&gt;"",RCL!H61&lt;&gt;"",RCL!I61&lt;&gt;"",RCL!K61&lt;&gt;"")),""," "&amp;INCOMPLETE_ENTRY)</f>
        <v/>
      </c>
      <c r="U61" s="74" t="str">
        <f t="shared" si="15"/>
        <v/>
      </c>
      <c r="V61" s="74" t="str">
        <f t="shared" si="16"/>
        <v/>
      </c>
      <c r="W61" s="74" t="str">
        <f t="shared" si="17"/>
        <v/>
      </c>
      <c r="X61" s="74" t="str">
        <f t="shared" si="18"/>
        <v/>
      </c>
      <c r="Y61" s="74" t="str">
        <f t="shared" si="19"/>
        <v/>
      </c>
    </row>
    <row r="62" spans="4:25">
      <c r="D62" s="74">
        <f>RCL!C62</f>
        <v>0</v>
      </c>
      <c r="E62" s="74">
        <f>RCL!D62</f>
        <v>0</v>
      </c>
      <c r="F62" s="74">
        <f>RCL!E62</f>
        <v>0</v>
      </c>
      <c r="G62" s="75">
        <f>RCL!F62</f>
        <v>0</v>
      </c>
      <c r="H62" s="75">
        <f>RCL!G62</f>
        <v>0</v>
      </c>
      <c r="I62" s="74">
        <f>RCL!H62</f>
        <v>0</v>
      </c>
      <c r="J62" s="74">
        <f>RCL!I62</f>
        <v>0</v>
      </c>
      <c r="K62" s="74">
        <f>RCL!K62</f>
        <v>0</v>
      </c>
      <c r="L62" s="74" t="str">
        <f>RCL!L62</f>
        <v/>
      </c>
      <c r="Q62">
        <f t="shared" si="14"/>
        <v>0</v>
      </c>
      <c r="R62" t="str">
        <f>IF(AND(H62&gt;0,H62&lt;G62),END_BEFORE_START,"")&amp;IF(OR(AND(RCL!C62="",RCL!D62="",RCL!E62="",RCL!F62="",RCL!H62="",RCL!I62="",RCL!K62=""),AND(RCL!C62&lt;&gt;"",RCL!D62&lt;&gt;"",RCL!E62&lt;&gt;"",RCL!F62&lt;&gt;"",RCL!H62&lt;&gt;"",RCL!I62&lt;&gt;"",RCL!K62&lt;&gt;"")),""," "&amp;INCOMPLETE_ENTRY)</f>
        <v/>
      </c>
      <c r="U62" s="74" t="str">
        <f t="shared" si="15"/>
        <v/>
      </c>
      <c r="V62" s="74" t="str">
        <f t="shared" si="16"/>
        <v/>
      </c>
      <c r="W62" s="74" t="str">
        <f t="shared" si="17"/>
        <v/>
      </c>
      <c r="X62" s="74" t="str">
        <f t="shared" si="18"/>
        <v/>
      </c>
      <c r="Y62" s="74" t="str">
        <f t="shared" si="19"/>
        <v/>
      </c>
    </row>
    <row r="63" spans="4:25">
      <c r="D63" s="74">
        <f>RCL!C63</f>
        <v>0</v>
      </c>
      <c r="E63" s="74">
        <f>RCL!D63</f>
        <v>0</v>
      </c>
      <c r="F63" s="74">
        <f>RCL!E63</f>
        <v>0</v>
      </c>
      <c r="G63" s="75">
        <f>RCL!F63</f>
        <v>0</v>
      </c>
      <c r="H63" s="75">
        <f>RCL!G63</f>
        <v>0</v>
      </c>
      <c r="I63" s="74">
        <f>RCL!H63</f>
        <v>0</v>
      </c>
      <c r="J63" s="74">
        <f>RCL!I63</f>
        <v>0</v>
      </c>
      <c r="K63" s="74">
        <f>RCL!K63</f>
        <v>0</v>
      </c>
      <c r="L63" s="74" t="str">
        <f>RCL!L63</f>
        <v/>
      </c>
      <c r="Q63">
        <f t="shared" si="14"/>
        <v>0</v>
      </c>
      <c r="R63" t="str">
        <f>IF(AND(H63&gt;0,H63&lt;G63),END_BEFORE_START,"")&amp;IF(OR(AND(RCL!C63="",RCL!D63="",RCL!E63="",RCL!F63="",RCL!H63="",RCL!I63="",RCL!K63=""),AND(RCL!C63&lt;&gt;"",RCL!D63&lt;&gt;"",RCL!E63&lt;&gt;"",RCL!F63&lt;&gt;"",RCL!H63&lt;&gt;"",RCL!I63&lt;&gt;"",RCL!K63&lt;&gt;"")),""," "&amp;INCOMPLETE_ENTRY)</f>
        <v/>
      </c>
      <c r="U63" s="74" t="str">
        <f t="shared" si="15"/>
        <v/>
      </c>
      <c r="V63" s="74" t="str">
        <f t="shared" si="16"/>
        <v/>
      </c>
      <c r="W63" s="74" t="str">
        <f t="shared" si="17"/>
        <v/>
      </c>
      <c r="X63" s="74" t="str">
        <f t="shared" si="18"/>
        <v/>
      </c>
      <c r="Y63" s="74" t="str">
        <f t="shared" si="19"/>
        <v/>
      </c>
    </row>
    <row r="64" spans="4:25">
      <c r="D64" s="74">
        <f>RCL!C64</f>
        <v>0</v>
      </c>
      <c r="E64" s="74">
        <f>RCL!D64</f>
        <v>0</v>
      </c>
      <c r="F64" s="74">
        <f>RCL!E64</f>
        <v>0</v>
      </c>
      <c r="G64" s="75">
        <f>RCL!F64</f>
        <v>0</v>
      </c>
      <c r="H64" s="75">
        <f>RCL!G64</f>
        <v>0</v>
      </c>
      <c r="I64" s="74">
        <f>RCL!H64</f>
        <v>0</v>
      </c>
      <c r="J64" s="74">
        <f>RCL!I64</f>
        <v>0</v>
      </c>
      <c r="K64" s="74">
        <f>RCL!K64</f>
        <v>0</v>
      </c>
      <c r="L64" s="74" t="str">
        <f>RCL!L64</f>
        <v/>
      </c>
      <c r="Q64">
        <f t="shared" si="14"/>
        <v>0</v>
      </c>
      <c r="R64" t="str">
        <f>IF(AND(H64&gt;0,H64&lt;G64),END_BEFORE_START,"")&amp;IF(OR(AND(RCL!C64="",RCL!D64="",RCL!E64="",RCL!F64="",RCL!H64="",RCL!I64="",RCL!K64=""),AND(RCL!C64&lt;&gt;"",RCL!D64&lt;&gt;"",RCL!E64&lt;&gt;"",RCL!F64&lt;&gt;"",RCL!H64&lt;&gt;"",RCL!I64&lt;&gt;"",RCL!K64&lt;&gt;"")),""," "&amp;INCOMPLETE_ENTRY)</f>
        <v/>
      </c>
      <c r="U64" s="74" t="str">
        <f t="shared" si="15"/>
        <v/>
      </c>
      <c r="V64" s="74" t="str">
        <f t="shared" si="16"/>
        <v/>
      </c>
      <c r="W64" s="74" t="str">
        <f t="shared" si="17"/>
        <v/>
      </c>
      <c r="X64" s="74" t="str">
        <f t="shared" si="18"/>
        <v/>
      </c>
      <c r="Y64" s="74" t="str">
        <f t="shared" si="19"/>
        <v/>
      </c>
    </row>
    <row r="65" spans="3:25">
      <c r="D65" s="74">
        <f>RCL!C65</f>
        <v>0</v>
      </c>
      <c r="E65" s="74">
        <f>RCL!D65</f>
        <v>0</v>
      </c>
      <c r="F65" s="74">
        <f>RCL!E65</f>
        <v>0</v>
      </c>
      <c r="G65" s="75">
        <f>RCL!F65</f>
        <v>0</v>
      </c>
      <c r="H65" s="75">
        <f>RCL!G65</f>
        <v>0</v>
      </c>
      <c r="I65" s="74">
        <f>RCL!H65</f>
        <v>0</v>
      </c>
      <c r="J65" s="74">
        <f>RCL!I65</f>
        <v>0</v>
      </c>
      <c r="K65" s="74">
        <f>RCL!K65</f>
        <v>0</v>
      </c>
      <c r="L65" s="74" t="str">
        <f>RCL!L65</f>
        <v/>
      </c>
      <c r="Q65">
        <f t="shared" si="14"/>
        <v>0</v>
      </c>
      <c r="R65" t="str">
        <f>IF(AND(H65&gt;0,H65&lt;G65),END_BEFORE_START,"")&amp;IF(OR(AND(RCL!C65="",RCL!D65="",RCL!E65="",RCL!F65="",RCL!H65="",RCL!I65="",RCL!K65=""),AND(RCL!C65&lt;&gt;"",RCL!D65&lt;&gt;"",RCL!E65&lt;&gt;"",RCL!F65&lt;&gt;"",RCL!H65&lt;&gt;"",RCL!I65&lt;&gt;"",RCL!K65&lt;&gt;"")),""," "&amp;INCOMPLETE_ENTRY)</f>
        <v/>
      </c>
      <c r="U65" s="74" t="str">
        <f t="shared" si="15"/>
        <v/>
      </c>
      <c r="V65" s="74" t="str">
        <f t="shared" si="16"/>
        <v/>
      </c>
      <c r="W65" s="74" t="str">
        <f t="shared" si="17"/>
        <v/>
      </c>
      <c r="X65" s="74" t="str">
        <f t="shared" si="18"/>
        <v/>
      </c>
      <c r="Y65" s="74" t="str">
        <f t="shared" si="19"/>
        <v/>
      </c>
    </row>
    <row r="66" spans="3:25">
      <c r="D66" s="74">
        <f>RCL!C66</f>
        <v>0</v>
      </c>
      <c r="E66" s="74">
        <f>RCL!D66</f>
        <v>0</v>
      </c>
      <c r="F66" s="74">
        <f>RCL!E66</f>
        <v>0</v>
      </c>
      <c r="G66" s="75">
        <f>RCL!F66</f>
        <v>0</v>
      </c>
      <c r="H66" s="75">
        <f>RCL!G66</f>
        <v>0</v>
      </c>
      <c r="I66" s="74">
        <f>RCL!H66</f>
        <v>0</v>
      </c>
      <c r="J66" s="74">
        <f>RCL!I66</f>
        <v>0</v>
      </c>
      <c r="K66" s="74">
        <f>RCL!K66</f>
        <v>0</v>
      </c>
      <c r="L66" s="74" t="str">
        <f>RCL!L66</f>
        <v/>
      </c>
      <c r="Q66">
        <f t="shared" si="14"/>
        <v>0</v>
      </c>
      <c r="R66" t="str">
        <f>IF(AND(H66&gt;0,H66&lt;G66),END_BEFORE_START,"")&amp;IF(OR(AND(RCL!C66="",RCL!D66="",RCL!E66="",RCL!F66="",RCL!H66="",RCL!I66="",RCL!K66=""),AND(RCL!C66&lt;&gt;"",RCL!D66&lt;&gt;"",RCL!E66&lt;&gt;"",RCL!F66&lt;&gt;"",RCL!H66&lt;&gt;"",RCL!I66&lt;&gt;"",RCL!K66&lt;&gt;"")),""," "&amp;INCOMPLETE_ENTRY)</f>
        <v/>
      </c>
      <c r="U66" s="74" t="str">
        <f t="shared" si="15"/>
        <v/>
      </c>
      <c r="V66" s="74" t="str">
        <f t="shared" si="16"/>
        <v/>
      </c>
      <c r="W66" s="74" t="str">
        <f t="shared" si="17"/>
        <v/>
      </c>
      <c r="X66" s="74" t="str">
        <f t="shared" si="18"/>
        <v/>
      </c>
      <c r="Y66" s="74" t="str">
        <f t="shared" si="19"/>
        <v/>
      </c>
    </row>
    <row r="67" spans="3:25">
      <c r="D67" s="74">
        <f>RCL!C67</f>
        <v>0</v>
      </c>
      <c r="E67" s="74">
        <f>RCL!D67</f>
        <v>0</v>
      </c>
      <c r="F67" s="74">
        <f>RCL!E67</f>
        <v>0</v>
      </c>
      <c r="G67" s="75">
        <f>RCL!F67</f>
        <v>0</v>
      </c>
      <c r="H67" s="75">
        <f>RCL!G67</f>
        <v>0</v>
      </c>
      <c r="I67" s="74">
        <f>RCL!H67</f>
        <v>0</v>
      </c>
      <c r="J67" s="74">
        <f>RCL!I67</f>
        <v>0</v>
      </c>
      <c r="K67" s="74">
        <f>RCL!K67</f>
        <v>0</v>
      </c>
      <c r="L67" s="74" t="str">
        <f>RCL!L67</f>
        <v/>
      </c>
      <c r="Q67">
        <f t="shared" si="14"/>
        <v>0</v>
      </c>
      <c r="R67" t="str">
        <f>IF(AND(H67&gt;0,H67&lt;G67),END_BEFORE_START,"")&amp;IF(OR(AND(RCL!C67="",RCL!D67="",RCL!E67="",RCL!F67="",RCL!H67="",RCL!I67="",RCL!K67=""),AND(RCL!C67&lt;&gt;"",RCL!D67&lt;&gt;"",RCL!E67&lt;&gt;"",RCL!F67&lt;&gt;"",RCL!H67&lt;&gt;"",RCL!I67&lt;&gt;"",RCL!K67&lt;&gt;"")),""," "&amp;INCOMPLETE_ENTRY)</f>
        <v/>
      </c>
      <c r="U67" s="74" t="str">
        <f t="shared" si="15"/>
        <v/>
      </c>
      <c r="V67" s="74" t="str">
        <f t="shared" si="16"/>
        <v/>
      </c>
      <c r="W67" s="74" t="str">
        <f t="shared" si="17"/>
        <v/>
      </c>
      <c r="X67" s="74" t="str">
        <f t="shared" si="18"/>
        <v/>
      </c>
      <c r="Y67" s="74" t="str">
        <f t="shared" si="19"/>
        <v/>
      </c>
    </row>
    <row r="68" spans="3:25">
      <c r="D68" s="74">
        <f>RCL!C68</f>
        <v>0</v>
      </c>
      <c r="E68" s="74">
        <f>RCL!D68</f>
        <v>0</v>
      </c>
      <c r="F68" s="74">
        <f>RCL!E68</f>
        <v>0</v>
      </c>
      <c r="G68" s="75">
        <f>RCL!F68</f>
        <v>0</v>
      </c>
      <c r="H68" s="75">
        <f>RCL!G68</f>
        <v>0</v>
      </c>
      <c r="I68" s="74">
        <f>RCL!H68</f>
        <v>0</v>
      </c>
      <c r="J68" s="74">
        <f>RCL!I68</f>
        <v>0</v>
      </c>
      <c r="K68" s="74">
        <f>RCL!K68</f>
        <v>0</v>
      </c>
      <c r="L68" s="74" t="str">
        <f>RCL!L68</f>
        <v/>
      </c>
      <c r="Q68">
        <f t="shared" si="14"/>
        <v>0</v>
      </c>
      <c r="R68" t="str">
        <f>IF(AND(H68&gt;0,H68&lt;G68),END_BEFORE_START,"")&amp;IF(OR(AND(RCL!C68="",RCL!D68="",RCL!E68="",RCL!F68="",RCL!H68="",RCL!I68="",RCL!K68=""),AND(RCL!C68&lt;&gt;"",RCL!D68&lt;&gt;"",RCL!E68&lt;&gt;"",RCL!F68&lt;&gt;"",RCL!H68&lt;&gt;"",RCL!I68&lt;&gt;"",RCL!K68&lt;&gt;"")),""," "&amp;INCOMPLETE_ENTRY)</f>
        <v/>
      </c>
      <c r="U68" s="74" t="str">
        <f t="shared" si="15"/>
        <v/>
      </c>
      <c r="V68" s="74" t="str">
        <f t="shared" si="16"/>
        <v/>
      </c>
      <c r="W68" s="74" t="str">
        <f t="shared" si="17"/>
        <v/>
      </c>
      <c r="X68" s="74" t="str">
        <f t="shared" si="18"/>
        <v/>
      </c>
      <c r="Y68" s="74" t="str">
        <f t="shared" si="19"/>
        <v/>
      </c>
    </row>
    <row r="69" spans="3:25">
      <c r="D69" s="74">
        <f>RCL!C69</f>
        <v>0</v>
      </c>
      <c r="E69" s="74">
        <f>RCL!D69</f>
        <v>0</v>
      </c>
      <c r="F69" s="74">
        <f>RCL!E69</f>
        <v>0</v>
      </c>
      <c r="G69" s="75">
        <f>RCL!F69</f>
        <v>0</v>
      </c>
      <c r="H69" s="75">
        <f>RCL!G69</f>
        <v>0</v>
      </c>
      <c r="I69" s="74">
        <f>RCL!H69</f>
        <v>0</v>
      </c>
      <c r="J69" s="74">
        <f>RCL!I69</f>
        <v>0</v>
      </c>
      <c r="K69" s="74">
        <f>RCL!K69</f>
        <v>0</v>
      </c>
      <c r="L69" s="74" t="str">
        <f>RCL!L69</f>
        <v/>
      </c>
      <c r="Q69">
        <f t="shared" si="14"/>
        <v>0</v>
      </c>
      <c r="R69" t="str">
        <f>IF(AND(H69&gt;0,H69&lt;G69),END_BEFORE_START,"")&amp;IF(OR(AND(RCL!C69="",RCL!D69="",RCL!E69="",RCL!F69="",RCL!H69="",RCL!I69="",RCL!K69=""),AND(RCL!C69&lt;&gt;"",RCL!D69&lt;&gt;"",RCL!E69&lt;&gt;"",RCL!F69&lt;&gt;"",RCL!H69&lt;&gt;"",RCL!I69&lt;&gt;"",RCL!K69&lt;&gt;"")),""," "&amp;INCOMPLETE_ENTRY)</f>
        <v/>
      </c>
      <c r="U69" s="74" t="str">
        <f t="shared" si="15"/>
        <v/>
      </c>
      <c r="V69" s="74" t="str">
        <f t="shared" si="16"/>
        <v/>
      </c>
      <c r="W69" s="74" t="str">
        <f t="shared" si="17"/>
        <v/>
      </c>
      <c r="X69" s="74" t="str">
        <f t="shared" si="18"/>
        <v/>
      </c>
      <c r="Y69" s="74" t="str">
        <f t="shared" si="19"/>
        <v/>
      </c>
    </row>
    <row r="70" spans="3:25">
      <c r="D70" s="74">
        <f>RCL!C70</f>
        <v>0</v>
      </c>
      <c r="E70" s="74">
        <f>RCL!D70</f>
        <v>0</v>
      </c>
      <c r="F70" s="74">
        <f>RCL!E70</f>
        <v>0</v>
      </c>
      <c r="G70" s="75">
        <f>RCL!F70</f>
        <v>0</v>
      </c>
      <c r="H70" s="75">
        <f>RCL!G70</f>
        <v>0</v>
      </c>
      <c r="I70" s="74">
        <f>RCL!H70</f>
        <v>0</v>
      </c>
      <c r="J70" s="74">
        <f>RCL!I70</f>
        <v>0</v>
      </c>
      <c r="K70" s="74">
        <f>RCL!K70</f>
        <v>0</v>
      </c>
      <c r="L70" s="74" t="str">
        <f>RCL!L70</f>
        <v/>
      </c>
      <c r="Q70">
        <f t="shared" si="14"/>
        <v>0</v>
      </c>
      <c r="R70" t="str">
        <f>IF(AND(H70&gt;0,H70&lt;G70),END_BEFORE_START,"")&amp;IF(OR(AND(RCL!C70="",RCL!D70="",RCL!E70="",RCL!F70="",RCL!H70="",RCL!I70="",RCL!K70=""),AND(RCL!C70&lt;&gt;"",RCL!D70&lt;&gt;"",RCL!E70&lt;&gt;"",RCL!F70&lt;&gt;"",RCL!H70&lt;&gt;"",RCL!I70&lt;&gt;"",RCL!K70&lt;&gt;"")),""," "&amp;INCOMPLETE_ENTRY)</f>
        <v/>
      </c>
      <c r="U70" s="74" t="str">
        <f t="shared" si="15"/>
        <v/>
      </c>
      <c r="V70" s="74" t="str">
        <f t="shared" si="16"/>
        <v/>
      </c>
      <c r="W70" s="74" t="str">
        <f t="shared" si="17"/>
        <v/>
      </c>
      <c r="X70" s="74" t="str">
        <f t="shared" si="18"/>
        <v/>
      </c>
      <c r="Y70" s="74" t="str">
        <f t="shared" si="19"/>
        <v/>
      </c>
    </row>
    <row r="71" spans="3:25">
      <c r="D71" s="74">
        <f>RCL!C71</f>
        <v>0</v>
      </c>
      <c r="E71" s="74">
        <f>RCL!D71</f>
        <v>0</v>
      </c>
      <c r="F71" s="74">
        <f>RCL!E71</f>
        <v>0</v>
      </c>
      <c r="G71" s="75">
        <f>RCL!F71</f>
        <v>0</v>
      </c>
      <c r="H71" s="75">
        <f>RCL!G71</f>
        <v>0</v>
      </c>
      <c r="I71" s="74">
        <f>RCL!H71</f>
        <v>0</v>
      </c>
      <c r="J71" s="74">
        <f>RCL!I71</f>
        <v>0</v>
      </c>
      <c r="K71" s="74">
        <f>RCL!K71</f>
        <v>0</v>
      </c>
      <c r="L71" s="74" t="str">
        <f>RCL!L71</f>
        <v/>
      </c>
      <c r="Q71">
        <f t="shared" si="14"/>
        <v>0</v>
      </c>
      <c r="R71" t="str">
        <f>IF(AND(H71&gt;0,H71&lt;G71),END_BEFORE_START,"")&amp;IF(OR(AND(RCL!C71="",RCL!D71="",RCL!E71="",RCL!F71="",RCL!H71="",RCL!I71="",RCL!K71=""),AND(RCL!C71&lt;&gt;"",RCL!D71&lt;&gt;"",RCL!E71&lt;&gt;"",RCL!F71&lt;&gt;"",RCL!H71&lt;&gt;"",RCL!I71&lt;&gt;"",RCL!K71&lt;&gt;"")),""," "&amp;INCOMPLETE_ENTRY)</f>
        <v/>
      </c>
      <c r="U71" s="74" t="str">
        <f t="shared" si="15"/>
        <v/>
      </c>
      <c r="V71" s="74" t="str">
        <f t="shared" si="16"/>
        <v/>
      </c>
      <c r="W71" s="74" t="str">
        <f t="shared" si="17"/>
        <v/>
      </c>
      <c r="X71" s="74" t="str">
        <f t="shared" si="18"/>
        <v/>
      </c>
      <c r="Y71" s="74" t="str">
        <f t="shared" si="19"/>
        <v/>
      </c>
    </row>
    <row r="72" spans="3:25">
      <c r="D72" s="74">
        <f>RCL!C72</f>
        <v>0</v>
      </c>
      <c r="E72" s="74">
        <f>RCL!D72</f>
        <v>0</v>
      </c>
      <c r="F72" s="74">
        <f>RCL!E72</f>
        <v>0</v>
      </c>
      <c r="G72" s="75">
        <f>RCL!F72</f>
        <v>0</v>
      </c>
      <c r="H72" s="75">
        <f>RCL!G72</f>
        <v>0</v>
      </c>
      <c r="I72" s="74">
        <f>RCL!H72</f>
        <v>0</v>
      </c>
      <c r="J72" s="74">
        <f>RCL!I72</f>
        <v>0</v>
      </c>
      <c r="K72" s="74">
        <f>RCL!K72</f>
        <v>0</v>
      </c>
      <c r="L72" s="74" t="str">
        <f>RCL!L72</f>
        <v/>
      </c>
      <c r="Q72">
        <f t="shared" si="14"/>
        <v>0</v>
      </c>
      <c r="R72" t="str">
        <f>IF(AND(H72&gt;0,H72&lt;G72),END_BEFORE_START,"")&amp;IF(OR(AND(RCL!C72="",RCL!D72="",RCL!E72="",RCL!F72="",RCL!H72="",RCL!I72="",RCL!K72=""),AND(RCL!C72&lt;&gt;"",RCL!D72&lt;&gt;"",RCL!E72&lt;&gt;"",RCL!F72&lt;&gt;"",RCL!H72&lt;&gt;"",RCL!I72&lt;&gt;"",RCL!K72&lt;&gt;"")),""," "&amp;INCOMPLETE_ENTRY)</f>
        <v/>
      </c>
      <c r="U72" s="74" t="str">
        <f t="shared" si="15"/>
        <v/>
      </c>
      <c r="V72" s="74" t="str">
        <f t="shared" si="16"/>
        <v/>
      </c>
      <c r="W72" s="74" t="str">
        <f t="shared" si="17"/>
        <v/>
      </c>
      <c r="X72" s="74" t="str">
        <f t="shared" si="18"/>
        <v/>
      </c>
      <c r="Y72" s="74" t="str">
        <f t="shared" si="19"/>
        <v/>
      </c>
    </row>
    <row r="73" spans="3:25">
      <c r="D73" s="74">
        <f>RCL!C73</f>
        <v>0</v>
      </c>
      <c r="E73" s="74">
        <f>RCL!D73</f>
        <v>0</v>
      </c>
      <c r="F73" s="74">
        <f>RCL!E73</f>
        <v>0</v>
      </c>
      <c r="G73" s="75">
        <f>RCL!F73</f>
        <v>0</v>
      </c>
      <c r="H73" s="75">
        <f>RCL!G73</f>
        <v>0</v>
      </c>
      <c r="I73" s="74">
        <f>RCL!H73</f>
        <v>0</v>
      </c>
      <c r="J73" s="74">
        <f>RCL!I73</f>
        <v>0</v>
      </c>
      <c r="K73" s="74">
        <f>RCL!K73</f>
        <v>0</v>
      </c>
      <c r="L73" s="74" t="str">
        <f>RCL!L73</f>
        <v/>
      </c>
      <c r="Q73">
        <f t="shared" si="14"/>
        <v>0</v>
      </c>
      <c r="R73" t="str">
        <f>IF(AND(H73&gt;0,H73&lt;G73),END_BEFORE_START,"")&amp;IF(OR(AND(RCL!C73="",RCL!D73="",RCL!E73="",RCL!F73="",RCL!H73="",RCL!I73="",RCL!K73=""),AND(RCL!C73&lt;&gt;"",RCL!D73&lt;&gt;"",RCL!E73&lt;&gt;"",RCL!F73&lt;&gt;"",RCL!H73&lt;&gt;"",RCL!I73&lt;&gt;"",RCL!K73&lt;&gt;"")),""," "&amp;INCOMPLETE_ENTRY)</f>
        <v/>
      </c>
      <c r="U73" s="74" t="str">
        <f t="shared" si="15"/>
        <v/>
      </c>
      <c r="V73" s="74" t="str">
        <f t="shared" si="16"/>
        <v/>
      </c>
      <c r="W73" s="74" t="str">
        <f t="shared" si="17"/>
        <v/>
      </c>
      <c r="X73" s="74" t="str">
        <f t="shared" si="18"/>
        <v/>
      </c>
      <c r="Y73" s="74" t="str">
        <f t="shared" si="19"/>
        <v/>
      </c>
    </row>
    <row r="74" spans="3:25">
      <c r="D74" s="74">
        <f>RCL!C74</f>
        <v>0</v>
      </c>
      <c r="E74" s="74">
        <f>RCL!D74</f>
        <v>0</v>
      </c>
      <c r="F74" s="74">
        <f>RCL!E74</f>
        <v>0</v>
      </c>
      <c r="G74" s="75">
        <f>RCL!F74</f>
        <v>0</v>
      </c>
      <c r="H74" s="75">
        <f>RCL!G74</f>
        <v>0</v>
      </c>
      <c r="I74" s="74">
        <f>RCL!H74</f>
        <v>0</v>
      </c>
      <c r="J74" s="74">
        <f>RCL!I74</f>
        <v>0</v>
      </c>
      <c r="K74" s="74">
        <f>RCL!K74</f>
        <v>0</v>
      </c>
      <c r="L74" s="74" t="str">
        <f>RCL!L74</f>
        <v/>
      </c>
      <c r="Q74">
        <f t="shared" ref="Q74:Q75" si="20">IF(AND(H74&gt;0,H74&lt;G74),0,I74)</f>
        <v>0</v>
      </c>
      <c r="R74" t="str">
        <f>IF(AND(H74&gt;0,H74&lt;G74),END_BEFORE_START,"")&amp;IF(OR(AND(RCL!C74="",RCL!D74="",RCL!E74="",RCL!F74="",RCL!H74="",RCL!I74="",RCL!K74=""),AND(RCL!C74&lt;&gt;"",RCL!D74&lt;&gt;"",RCL!E74&lt;&gt;"",RCL!F74&lt;&gt;"",RCL!H74&lt;&gt;"",RCL!I74&lt;&gt;"",RCL!K74&lt;&gt;"")),""," "&amp;INCOMPLETE_ENTRY)</f>
        <v/>
      </c>
      <c r="U74" s="74" t="str">
        <f t="shared" ref="U74:U75" si="21">IF(AND(G74&gt;RC_YEAR_1_START,G74&lt;RC_YEAR_1_END),Q74,"")</f>
        <v/>
      </c>
      <c r="V74" s="74" t="str">
        <f t="shared" ref="V74:V75" si="22">IF(AND(G74&gt;RC_YEAR_2_START,G74&lt;RC_YEAR_2_END),Q74,"")</f>
        <v/>
      </c>
      <c r="W74" s="74" t="str">
        <f t="shared" ref="W74:W75" si="23">IF(AND(G74&gt;RC_YEAR_3_START,G74&lt;RC_YEAR_3_END),Q74,"")</f>
        <v/>
      </c>
      <c r="X74" s="74" t="str">
        <f t="shared" ref="X74:X75" si="24">IF(AND(G74&gt;RC_YEAR_4_START,G74&lt;RC_YEAR_4_END),Q74,"")</f>
        <v/>
      </c>
      <c r="Y74" s="74" t="str">
        <f t="shared" ref="Y74:Y75" si="25">IF(AND(G74&gt;RC_YEAR_5_START,G74&lt;RC_YEAR_5_END),Q74,"")</f>
        <v/>
      </c>
    </row>
    <row r="75" spans="3:25">
      <c r="D75" s="74">
        <f>RCL!C75</f>
        <v>0</v>
      </c>
      <c r="E75" s="74">
        <f>RCL!D75</f>
        <v>0</v>
      </c>
      <c r="F75" s="74">
        <f>RCL!E75</f>
        <v>0</v>
      </c>
      <c r="G75" s="75">
        <f>RCL!F75</f>
        <v>0</v>
      </c>
      <c r="H75" s="75">
        <f>RCL!G75</f>
        <v>0</v>
      </c>
      <c r="I75" s="74">
        <f>RCL!H75</f>
        <v>0</v>
      </c>
      <c r="J75" s="74">
        <f>RCL!I75</f>
        <v>0</v>
      </c>
      <c r="K75" s="74">
        <f>RCL!K75</f>
        <v>0</v>
      </c>
      <c r="L75" s="74" t="str">
        <f>RCL!L75</f>
        <v/>
      </c>
      <c r="Q75">
        <f t="shared" si="20"/>
        <v>0</v>
      </c>
      <c r="R75" t="str">
        <f>IF(AND(H75&gt;0,H75&lt;G75),END_BEFORE_START,"")&amp;IF(OR(AND(RCL!C75="",RCL!D75="",RCL!E75="",RCL!F75="",RCL!H75="",RCL!I75="",RCL!K75=""),AND(RCL!C75&lt;&gt;"",RCL!D75&lt;&gt;"",RCL!E75&lt;&gt;"",RCL!F75&lt;&gt;"",RCL!H75&lt;&gt;"",RCL!I75&lt;&gt;"",RCL!K75&lt;&gt;"")),""," "&amp;INCOMPLETE_ENTRY)</f>
        <v/>
      </c>
      <c r="U75" s="74" t="str">
        <f t="shared" si="21"/>
        <v/>
      </c>
      <c r="V75" s="74" t="str">
        <f t="shared" si="22"/>
        <v/>
      </c>
      <c r="W75" s="74" t="str">
        <f t="shared" si="23"/>
        <v/>
      </c>
      <c r="X75" s="74" t="str">
        <f t="shared" si="24"/>
        <v/>
      </c>
      <c r="Y75" s="74" t="str">
        <f t="shared" si="25"/>
        <v/>
      </c>
    </row>
    <row r="76" spans="3:25">
      <c r="C76" s="76" t="s">
        <v>236</v>
      </c>
    </row>
    <row r="77" spans="3:25">
      <c r="C77" s="76">
        <v>200</v>
      </c>
      <c r="D77" s="74" t="str">
        <f>RCL!C77</f>
        <v>Einen Mentor / Coach haben</v>
      </c>
      <c r="E77" s="74"/>
      <c r="F77" s="74"/>
      <c r="G77" s="74"/>
      <c r="H77" s="74"/>
      <c r="I77" s="74"/>
      <c r="J77" s="74"/>
      <c r="K77" s="74"/>
      <c r="L77" s="74">
        <f>RCL!L77</f>
        <v>0</v>
      </c>
    </row>
    <row r="78" spans="3:25">
      <c r="D78" s="74" t="str">
        <f>RCL!C78</f>
        <v>Name des Mentors</v>
      </c>
      <c r="E78" s="74" t="str">
        <f>RCL!D78</f>
        <v>Organisation des Mentors</v>
      </c>
      <c r="F78" s="74" t="str">
        <f>RCL!E78</f>
        <v>Ort</v>
      </c>
      <c r="G78" s="74" t="str">
        <f>RCL!F78</f>
        <v>Start Datum</v>
      </c>
      <c r="H78" s="74" t="str">
        <f>RCL!G78</f>
        <v>End Datum</v>
      </c>
      <c r="I78" s="74" t="str">
        <f>RCL!H78</f>
        <v>Kumul. Gesamt-Zeit (Std.)</v>
      </c>
      <c r="J78" s="74" t="str">
        <f>RCL!J78</f>
        <v>ICB Element Referenz 1</v>
      </c>
      <c r="K78" s="74" t="str">
        <f>RCL!K78</f>
        <v>ICB Element Referenz 2</v>
      </c>
      <c r="L78" s="74" t="str">
        <f>RCL!L78</f>
        <v>Anerkennungsfähige Dauer (Std.)</v>
      </c>
      <c r="N78" t="s">
        <v>234</v>
      </c>
      <c r="O78" t="s">
        <v>238</v>
      </c>
      <c r="P78" t="s">
        <v>237</v>
      </c>
      <c r="Q78" t="s">
        <v>239</v>
      </c>
      <c r="R78" t="s">
        <v>235</v>
      </c>
    </row>
    <row r="79" spans="3:25">
      <c r="D79" s="74">
        <f>RCL!C79</f>
        <v>0</v>
      </c>
      <c r="E79" s="74">
        <f>RCL!D79</f>
        <v>0</v>
      </c>
      <c r="F79" s="74">
        <f>RCL!E79</f>
        <v>0</v>
      </c>
      <c r="G79" s="75">
        <f>RCL!F79</f>
        <v>0</v>
      </c>
      <c r="H79" s="75">
        <f>RCL!G79</f>
        <v>0</v>
      </c>
      <c r="I79" s="74">
        <f>RCL!H79</f>
        <v>0</v>
      </c>
      <c r="J79" s="74">
        <f>RCL!I79</f>
        <v>0</v>
      </c>
      <c r="K79" s="74">
        <f>RCL!J79</f>
        <v>0</v>
      </c>
      <c r="L79" s="74" t="str">
        <f>RCL!L79</f>
        <v/>
      </c>
      <c r="N79" t="str">
        <f t="shared" ref="N79:N98" si="26">IF(YEAR(G79)&gt;1900,YEAR(G79),"")</f>
        <v/>
      </c>
      <c r="O79">
        <f>I79</f>
        <v>0</v>
      </c>
      <c r="P79">
        <f t="shared" ref="P79:P98" si="27">IF(O79&gt;MAX_HPY_MENTEE,MAX_HPY_MENTEE,O79)</f>
        <v>0</v>
      </c>
      <c r="Q79">
        <f t="shared" ref="Q79:Q98" si="28">IF(AND(H79&gt;0,H79&lt;G79),0,IF((I79-(O79-P79))&gt;0,I79-(O79-P79),0))</f>
        <v>0</v>
      </c>
      <c r="R79" t="str">
        <f>IF(AND(H79&gt;0,H79&lt;G79),END_BEFORE_START,IF(O79&gt;MAX_HPY_MENTEE,NOTICE_HPY_REACHED&amp;N79&amp;"!",""))&amp;IF(OR(AND(RCL!C79="",RCL!D79="",RCL!E79="",RCL!F79="",RCL!H79="",RCL!I79="",RCL!J79=""),AND(RCL!C79&lt;&gt;"",RCL!D79&lt;&gt;"",RCL!E79&lt;&gt;"",RCL!F79&lt;&gt;"",RCL!H79&lt;&gt;"",RCL!I79&lt;&gt;"",RCL!J79&lt;&gt;"")),""," "&amp;INCOMPLETE_ENTRY)</f>
        <v/>
      </c>
      <c r="U79" s="74" t="str">
        <f t="shared" ref="U79:U98" si="29">IF(AND(G79&gt;RC_YEAR_1_START,G79&lt;RC_YEAR_1_END),Q79,"")</f>
        <v/>
      </c>
      <c r="V79" s="74" t="str">
        <f t="shared" ref="V79:V98" si="30">IF(AND(G79&gt;RC_YEAR_2_START,G79&lt;RC_YEAR_2_END),Q79,"")</f>
        <v/>
      </c>
      <c r="W79" s="74" t="str">
        <f t="shared" ref="W79:W98" si="31">IF(AND(G79&gt;RC_YEAR_3_START,G79&lt;RC_YEAR_3_END),Q79,"")</f>
        <v/>
      </c>
      <c r="X79" s="74" t="str">
        <f t="shared" ref="X79:X98" si="32">IF(AND(G79&gt;RC_YEAR_4_START,G79&lt;RC_YEAR_4_END),Q79,"")</f>
        <v/>
      </c>
      <c r="Y79" s="74" t="str">
        <f t="shared" ref="Y79:Y98" si="33">IF(AND(G79&gt;RC_YEAR_5_START,G79&lt;RC_YEAR_5_END),Q79,"")</f>
        <v/>
      </c>
    </row>
    <row r="80" spans="3:25">
      <c r="D80" s="74">
        <f>RCL!C80</f>
        <v>0</v>
      </c>
      <c r="E80" s="74">
        <f>RCL!D80</f>
        <v>0</v>
      </c>
      <c r="F80" s="74">
        <f>RCL!E80</f>
        <v>0</v>
      </c>
      <c r="G80" s="75">
        <f>RCL!F80</f>
        <v>0</v>
      </c>
      <c r="H80" s="75">
        <f>RCL!G80</f>
        <v>0</v>
      </c>
      <c r="I80" s="74">
        <f>RCL!H80</f>
        <v>0</v>
      </c>
      <c r="J80" s="74">
        <f>RCL!I80</f>
        <v>0</v>
      </c>
      <c r="K80" s="74">
        <f>RCL!J80</f>
        <v>0</v>
      </c>
      <c r="L80" s="74" t="str">
        <f>RCL!L80</f>
        <v/>
      </c>
      <c r="N80" t="str">
        <f t="shared" si="26"/>
        <v/>
      </c>
      <c r="O80">
        <f>SUMIF(N79:N80,N80,I79:I80)</f>
        <v>0</v>
      </c>
      <c r="P80">
        <f t="shared" si="27"/>
        <v>0</v>
      </c>
      <c r="Q80">
        <f t="shared" si="28"/>
        <v>0</v>
      </c>
      <c r="R80" t="str">
        <f>IF(AND(H80&gt;0,H80&lt;G80),END_BEFORE_START,IF(O80&gt;MAX_HPY_MENTEE,NOTICE_HPY_REACHED&amp;N80&amp;"!",""))&amp;IF(OR(AND(RCL!C80="",RCL!D80="",RCL!E80="",RCL!F80="",RCL!H80="",RCL!I80="",RCL!J80=""),AND(RCL!C80&lt;&gt;"",RCL!D80&lt;&gt;"",RCL!E80&lt;&gt;"",RCL!F80&lt;&gt;"",RCL!H80&lt;&gt;"",RCL!I80&lt;&gt;"",RCL!J80&lt;&gt;"")),""," "&amp;INCOMPLETE_ENTRY)</f>
        <v/>
      </c>
      <c r="U80" s="74" t="str">
        <f t="shared" si="29"/>
        <v/>
      </c>
      <c r="V80" s="74" t="str">
        <f t="shared" si="30"/>
        <v/>
      </c>
      <c r="W80" s="74" t="str">
        <f t="shared" si="31"/>
        <v/>
      </c>
      <c r="X80" s="74" t="str">
        <f t="shared" si="32"/>
        <v/>
      </c>
      <c r="Y80" s="74" t="str">
        <f t="shared" si="33"/>
        <v/>
      </c>
    </row>
    <row r="81" spans="4:25">
      <c r="D81" s="74">
        <f>RCL!C81</f>
        <v>0</v>
      </c>
      <c r="E81" s="74">
        <f>RCL!D81</f>
        <v>0</v>
      </c>
      <c r="F81" s="74">
        <f>RCL!E81</f>
        <v>0</v>
      </c>
      <c r="G81" s="75">
        <f>RCL!F81</f>
        <v>0</v>
      </c>
      <c r="H81" s="75">
        <f>RCL!G81</f>
        <v>0</v>
      </c>
      <c r="I81" s="74">
        <f>RCL!H81</f>
        <v>0</v>
      </c>
      <c r="J81" s="74">
        <f>RCL!I81</f>
        <v>0</v>
      </c>
      <c r="K81" s="74">
        <f>RCL!J81</f>
        <v>0</v>
      </c>
      <c r="L81" s="74" t="str">
        <f>RCL!L81</f>
        <v/>
      </c>
      <c r="N81" t="str">
        <f t="shared" si="26"/>
        <v/>
      </c>
      <c r="O81">
        <f>SUMIF(N79:N81,N81,I79:I81)</f>
        <v>0</v>
      </c>
      <c r="P81">
        <f t="shared" si="27"/>
        <v>0</v>
      </c>
      <c r="Q81">
        <f t="shared" si="28"/>
        <v>0</v>
      </c>
      <c r="R81" t="str">
        <f>IF(AND(H81&gt;0,H81&lt;G81),END_BEFORE_START,IF(O81&gt;MAX_HPY_MENTEE,NOTICE_HPY_REACHED&amp;N81&amp;"!",""))&amp;IF(OR(AND(RCL!C81="",RCL!D81="",RCL!E81="",RCL!F81="",RCL!H81="",RCL!I81="",RCL!J81=""),AND(RCL!C81&lt;&gt;"",RCL!D81&lt;&gt;"",RCL!E81&lt;&gt;"",RCL!F81&lt;&gt;"",RCL!H81&lt;&gt;"",RCL!I81&lt;&gt;"",RCL!J81&lt;&gt;"")),""," "&amp;INCOMPLETE_ENTRY)</f>
        <v/>
      </c>
      <c r="U81" s="74" t="str">
        <f t="shared" si="29"/>
        <v/>
      </c>
      <c r="V81" s="74" t="str">
        <f t="shared" si="30"/>
        <v/>
      </c>
      <c r="W81" s="74" t="str">
        <f t="shared" si="31"/>
        <v/>
      </c>
      <c r="X81" s="74" t="str">
        <f t="shared" si="32"/>
        <v/>
      </c>
      <c r="Y81" s="74" t="str">
        <f t="shared" si="33"/>
        <v/>
      </c>
    </row>
    <row r="82" spans="4:25">
      <c r="D82" s="74">
        <f>RCL!C82</f>
        <v>0</v>
      </c>
      <c r="E82" s="74">
        <f>RCL!D82</f>
        <v>0</v>
      </c>
      <c r="F82" s="74">
        <f>RCL!E82</f>
        <v>0</v>
      </c>
      <c r="G82" s="75">
        <f>RCL!F82</f>
        <v>0</v>
      </c>
      <c r="H82" s="75">
        <f>RCL!G82</f>
        <v>0</v>
      </c>
      <c r="I82" s="74">
        <f>RCL!H82</f>
        <v>0</v>
      </c>
      <c r="J82" s="74">
        <f>RCL!I82</f>
        <v>0</v>
      </c>
      <c r="K82" s="74">
        <f>RCL!J82</f>
        <v>0</v>
      </c>
      <c r="L82" s="74" t="str">
        <f>RCL!L82</f>
        <v/>
      </c>
      <c r="N82" t="str">
        <f t="shared" si="26"/>
        <v/>
      </c>
      <c r="O82">
        <f>SUMIF(N79:N82,N82,I79:I82)</f>
        <v>0</v>
      </c>
      <c r="P82">
        <f t="shared" si="27"/>
        <v>0</v>
      </c>
      <c r="Q82">
        <f t="shared" si="28"/>
        <v>0</v>
      </c>
      <c r="R82" t="str">
        <f>IF(AND(H82&gt;0,H82&lt;G82),END_BEFORE_START,IF(O82&gt;MAX_HPY_MENTEE,NOTICE_HPY_REACHED&amp;N82&amp;"!",""))&amp;IF(OR(AND(RCL!C82="",RCL!D82="",RCL!E82="",RCL!F82="",RCL!H82="",RCL!I82="",RCL!J82=""),AND(RCL!C82&lt;&gt;"",RCL!D82&lt;&gt;"",RCL!E82&lt;&gt;"",RCL!F82&lt;&gt;"",RCL!H82&lt;&gt;"",RCL!I82&lt;&gt;"",RCL!J82&lt;&gt;"")),""," "&amp;INCOMPLETE_ENTRY)</f>
        <v/>
      </c>
      <c r="U82" s="74" t="str">
        <f t="shared" si="29"/>
        <v/>
      </c>
      <c r="V82" s="74" t="str">
        <f t="shared" si="30"/>
        <v/>
      </c>
      <c r="W82" s="74" t="str">
        <f t="shared" si="31"/>
        <v/>
      </c>
      <c r="X82" s="74" t="str">
        <f t="shared" si="32"/>
        <v/>
      </c>
      <c r="Y82" s="74" t="str">
        <f t="shared" si="33"/>
        <v/>
      </c>
    </row>
    <row r="83" spans="4:25">
      <c r="D83" s="74">
        <f>RCL!C83</f>
        <v>0</v>
      </c>
      <c r="E83" s="74">
        <f>RCL!D83</f>
        <v>0</v>
      </c>
      <c r="F83" s="74">
        <f>RCL!E83</f>
        <v>0</v>
      </c>
      <c r="G83" s="75">
        <f>RCL!F83</f>
        <v>0</v>
      </c>
      <c r="H83" s="75">
        <f>RCL!G83</f>
        <v>0</v>
      </c>
      <c r="I83" s="74">
        <f>RCL!H83</f>
        <v>0</v>
      </c>
      <c r="J83" s="74">
        <f>RCL!I83</f>
        <v>0</v>
      </c>
      <c r="K83" s="74">
        <f>RCL!J83</f>
        <v>0</v>
      </c>
      <c r="L83" s="74" t="str">
        <f>RCL!L83</f>
        <v/>
      </c>
      <c r="N83" t="str">
        <f t="shared" si="26"/>
        <v/>
      </c>
      <c r="O83">
        <f>SUMIF(N79:N83,N83,I79:I83)</f>
        <v>0</v>
      </c>
      <c r="P83">
        <f t="shared" si="27"/>
        <v>0</v>
      </c>
      <c r="Q83">
        <f t="shared" si="28"/>
        <v>0</v>
      </c>
      <c r="R83" t="str">
        <f>IF(AND(H83&gt;0,H83&lt;G83),END_BEFORE_START,IF(O83&gt;MAX_HPY_MENTEE,NOTICE_HPY_REACHED&amp;N83&amp;"!",""))&amp;IF(OR(AND(RCL!C83="",RCL!D83="",RCL!E83="",RCL!F83="",RCL!H83="",RCL!I83="",RCL!J83=""),AND(RCL!C83&lt;&gt;"",RCL!D83&lt;&gt;"",RCL!E83&lt;&gt;"",RCL!F83&lt;&gt;"",RCL!H83&lt;&gt;"",RCL!I83&lt;&gt;"",RCL!J83&lt;&gt;"")),""," "&amp;INCOMPLETE_ENTRY)</f>
        <v/>
      </c>
      <c r="U83" s="74" t="str">
        <f t="shared" si="29"/>
        <v/>
      </c>
      <c r="V83" s="74" t="str">
        <f t="shared" si="30"/>
        <v/>
      </c>
      <c r="W83" s="74" t="str">
        <f t="shared" si="31"/>
        <v/>
      </c>
      <c r="X83" s="74" t="str">
        <f t="shared" si="32"/>
        <v/>
      </c>
      <c r="Y83" s="74" t="str">
        <f t="shared" si="33"/>
        <v/>
      </c>
    </row>
    <row r="84" spans="4:25">
      <c r="D84" s="74">
        <f>RCL!C84</f>
        <v>0</v>
      </c>
      <c r="E84" s="74">
        <f>RCL!D84</f>
        <v>0</v>
      </c>
      <c r="F84" s="74">
        <f>RCL!E84</f>
        <v>0</v>
      </c>
      <c r="G84" s="75">
        <f>RCL!F84</f>
        <v>0</v>
      </c>
      <c r="H84" s="75">
        <f>RCL!G84</f>
        <v>0</v>
      </c>
      <c r="I84" s="74">
        <f>RCL!H84</f>
        <v>0</v>
      </c>
      <c r="J84" s="74">
        <f>RCL!I84</f>
        <v>0</v>
      </c>
      <c r="K84" s="74">
        <f>RCL!J84</f>
        <v>0</v>
      </c>
      <c r="L84" s="74" t="str">
        <f>RCL!L84</f>
        <v/>
      </c>
      <c r="N84" t="str">
        <f t="shared" si="26"/>
        <v/>
      </c>
      <c r="O84">
        <f>SUMIF(N79:N84,N84,I79:I84)</f>
        <v>0</v>
      </c>
      <c r="P84">
        <f t="shared" si="27"/>
        <v>0</v>
      </c>
      <c r="Q84">
        <f t="shared" si="28"/>
        <v>0</v>
      </c>
      <c r="R84" t="str">
        <f>IF(AND(H84&gt;0,H84&lt;G84),END_BEFORE_START,IF(O84&gt;MAX_HPY_MENTEE,NOTICE_HPY_REACHED&amp;N84&amp;"!",""))&amp;IF(OR(AND(RCL!C84="",RCL!D84="",RCL!E84="",RCL!F84="",RCL!H84="",RCL!I84="",RCL!J84=""),AND(RCL!C84&lt;&gt;"",RCL!D84&lt;&gt;"",RCL!E84&lt;&gt;"",RCL!F84&lt;&gt;"",RCL!H84&lt;&gt;"",RCL!I84&lt;&gt;"",RCL!J84&lt;&gt;"")),""," "&amp;INCOMPLETE_ENTRY)</f>
        <v/>
      </c>
      <c r="U84" s="74" t="str">
        <f t="shared" si="29"/>
        <v/>
      </c>
      <c r="V84" s="74" t="str">
        <f t="shared" si="30"/>
        <v/>
      </c>
      <c r="W84" s="74" t="str">
        <f t="shared" si="31"/>
        <v/>
      </c>
      <c r="X84" s="74" t="str">
        <f t="shared" si="32"/>
        <v/>
      </c>
      <c r="Y84" s="74" t="str">
        <f t="shared" si="33"/>
        <v/>
      </c>
    </row>
    <row r="85" spans="4:25">
      <c r="D85" s="74">
        <f>RCL!C85</f>
        <v>0</v>
      </c>
      <c r="E85" s="74">
        <f>RCL!D85</f>
        <v>0</v>
      </c>
      <c r="F85" s="74">
        <f>RCL!E85</f>
        <v>0</v>
      </c>
      <c r="G85" s="75">
        <f>RCL!F85</f>
        <v>0</v>
      </c>
      <c r="H85" s="75">
        <f>RCL!G85</f>
        <v>0</v>
      </c>
      <c r="I85" s="74">
        <f>RCL!H85</f>
        <v>0</v>
      </c>
      <c r="J85" s="74">
        <f>RCL!I85</f>
        <v>0</v>
      </c>
      <c r="K85" s="74">
        <f>RCL!J85</f>
        <v>0</v>
      </c>
      <c r="L85" s="74" t="str">
        <f>RCL!L85</f>
        <v/>
      </c>
      <c r="N85" t="str">
        <f t="shared" si="26"/>
        <v/>
      </c>
      <c r="O85">
        <f>SUMIF(N79:N85,N85,I79:I85)</f>
        <v>0</v>
      </c>
      <c r="P85">
        <f t="shared" si="27"/>
        <v>0</v>
      </c>
      <c r="Q85">
        <f t="shared" si="28"/>
        <v>0</v>
      </c>
      <c r="R85" t="str">
        <f>IF(AND(H85&gt;0,H85&lt;G85),END_BEFORE_START,IF(O85&gt;MAX_HPY_MENTEE,NOTICE_HPY_REACHED&amp;N85&amp;"!",""))&amp;IF(OR(AND(RCL!C85="",RCL!D85="",RCL!E85="",RCL!F85="",RCL!H85="",RCL!I85="",RCL!J85=""),AND(RCL!C85&lt;&gt;"",RCL!D85&lt;&gt;"",RCL!E85&lt;&gt;"",RCL!F85&lt;&gt;"",RCL!H85&lt;&gt;"",RCL!I85&lt;&gt;"",RCL!J85&lt;&gt;"")),""," "&amp;INCOMPLETE_ENTRY)</f>
        <v/>
      </c>
      <c r="U85" s="74" t="str">
        <f t="shared" si="29"/>
        <v/>
      </c>
      <c r="V85" s="74" t="str">
        <f t="shared" si="30"/>
        <v/>
      </c>
      <c r="W85" s="74" t="str">
        <f t="shared" si="31"/>
        <v/>
      </c>
      <c r="X85" s="74" t="str">
        <f t="shared" si="32"/>
        <v/>
      </c>
      <c r="Y85" s="74" t="str">
        <f t="shared" si="33"/>
        <v/>
      </c>
    </row>
    <row r="86" spans="4:25">
      <c r="D86" s="74">
        <f>RCL!C86</f>
        <v>0</v>
      </c>
      <c r="E86" s="74">
        <f>RCL!D86</f>
        <v>0</v>
      </c>
      <c r="F86" s="74">
        <f>RCL!E86</f>
        <v>0</v>
      </c>
      <c r="G86" s="75">
        <f>RCL!F86</f>
        <v>0</v>
      </c>
      <c r="H86" s="75">
        <f>RCL!G86</f>
        <v>0</v>
      </c>
      <c r="I86" s="74">
        <f>RCL!H86</f>
        <v>0</v>
      </c>
      <c r="J86" s="74">
        <f>RCL!I86</f>
        <v>0</v>
      </c>
      <c r="K86" s="74">
        <f>RCL!J86</f>
        <v>0</v>
      </c>
      <c r="L86" s="74" t="str">
        <f>RCL!L86</f>
        <v/>
      </c>
      <c r="N86" t="str">
        <f t="shared" si="26"/>
        <v/>
      </c>
      <c r="O86">
        <f>SUMIF(N79:N86,N86,I79:I86)</f>
        <v>0</v>
      </c>
      <c r="P86">
        <f t="shared" si="27"/>
        <v>0</v>
      </c>
      <c r="Q86">
        <f t="shared" si="28"/>
        <v>0</v>
      </c>
      <c r="R86" t="str">
        <f>IF(AND(H86&gt;0,H86&lt;G86),END_BEFORE_START,IF(O86&gt;MAX_HPY_MENTEE,NOTICE_HPY_REACHED&amp;N86&amp;"!",""))&amp;IF(OR(AND(RCL!C86="",RCL!D86="",RCL!E86="",RCL!F86="",RCL!H86="",RCL!I86="",RCL!J86=""),AND(RCL!C86&lt;&gt;"",RCL!D86&lt;&gt;"",RCL!E86&lt;&gt;"",RCL!F86&lt;&gt;"",RCL!H86&lt;&gt;"",RCL!I86&lt;&gt;"",RCL!J86&lt;&gt;"")),""," "&amp;INCOMPLETE_ENTRY)</f>
        <v/>
      </c>
      <c r="U86" s="74" t="str">
        <f t="shared" si="29"/>
        <v/>
      </c>
      <c r="V86" s="74" t="str">
        <f t="shared" si="30"/>
        <v/>
      </c>
      <c r="W86" s="74" t="str">
        <f t="shared" si="31"/>
        <v/>
      </c>
      <c r="X86" s="74" t="str">
        <f t="shared" si="32"/>
        <v/>
      </c>
      <c r="Y86" s="74" t="str">
        <f t="shared" si="33"/>
        <v/>
      </c>
    </row>
    <row r="87" spans="4:25">
      <c r="D87" s="74">
        <f>RCL!C87</f>
        <v>0</v>
      </c>
      <c r="E87" s="74">
        <f>RCL!D87</f>
        <v>0</v>
      </c>
      <c r="F87" s="74">
        <f>RCL!E87</f>
        <v>0</v>
      </c>
      <c r="G87" s="75">
        <f>RCL!F87</f>
        <v>0</v>
      </c>
      <c r="H87" s="75">
        <f>RCL!G87</f>
        <v>0</v>
      </c>
      <c r="I87" s="74">
        <f>RCL!H87</f>
        <v>0</v>
      </c>
      <c r="J87" s="74">
        <f>RCL!I87</f>
        <v>0</v>
      </c>
      <c r="K87" s="74">
        <f>RCL!J87</f>
        <v>0</v>
      </c>
      <c r="L87" s="74" t="str">
        <f>RCL!L87</f>
        <v/>
      </c>
      <c r="N87" t="str">
        <f t="shared" si="26"/>
        <v/>
      </c>
      <c r="O87">
        <f>SUMIF(N79:N87,N87,I79:I87)</f>
        <v>0</v>
      </c>
      <c r="P87">
        <f t="shared" si="27"/>
        <v>0</v>
      </c>
      <c r="Q87">
        <f t="shared" si="28"/>
        <v>0</v>
      </c>
      <c r="R87" t="str">
        <f>IF(AND(H87&gt;0,H87&lt;G87),END_BEFORE_START,IF(O87&gt;MAX_HPY_MENTEE,NOTICE_HPY_REACHED&amp;N87&amp;"!",""))&amp;IF(OR(AND(RCL!C87="",RCL!D87="",RCL!E87="",RCL!F87="",RCL!H87="",RCL!I87="",RCL!J87=""),AND(RCL!C87&lt;&gt;"",RCL!D87&lt;&gt;"",RCL!E87&lt;&gt;"",RCL!F87&lt;&gt;"",RCL!H87&lt;&gt;"",RCL!I87&lt;&gt;"",RCL!J87&lt;&gt;"")),""," "&amp;INCOMPLETE_ENTRY)</f>
        <v/>
      </c>
      <c r="U87" s="74" t="str">
        <f t="shared" si="29"/>
        <v/>
      </c>
      <c r="V87" s="74" t="str">
        <f t="shared" si="30"/>
        <v/>
      </c>
      <c r="W87" s="74" t="str">
        <f t="shared" si="31"/>
        <v/>
      </c>
      <c r="X87" s="74" t="str">
        <f t="shared" si="32"/>
        <v/>
      </c>
      <c r="Y87" s="74" t="str">
        <f t="shared" si="33"/>
        <v/>
      </c>
    </row>
    <row r="88" spans="4:25">
      <c r="D88" s="74">
        <f>RCL!C88</f>
        <v>0</v>
      </c>
      <c r="E88" s="74">
        <f>RCL!D88</f>
        <v>0</v>
      </c>
      <c r="F88" s="74">
        <f>RCL!E88</f>
        <v>0</v>
      </c>
      <c r="G88" s="75">
        <f>RCL!F88</f>
        <v>0</v>
      </c>
      <c r="H88" s="75">
        <f>RCL!G88</f>
        <v>0</v>
      </c>
      <c r="I88" s="74">
        <f>RCL!H88</f>
        <v>0</v>
      </c>
      <c r="J88" s="74">
        <f>RCL!I88</f>
        <v>0</v>
      </c>
      <c r="K88" s="74">
        <f>RCL!J88</f>
        <v>0</v>
      </c>
      <c r="L88" s="74" t="str">
        <f>RCL!L88</f>
        <v/>
      </c>
      <c r="N88" t="str">
        <f t="shared" si="26"/>
        <v/>
      </c>
      <c r="O88">
        <f>SUMIF(N79:N88,N88,I79:I88)</f>
        <v>0</v>
      </c>
      <c r="P88">
        <f t="shared" si="27"/>
        <v>0</v>
      </c>
      <c r="Q88">
        <f t="shared" si="28"/>
        <v>0</v>
      </c>
      <c r="R88" t="str">
        <f>IF(AND(H88&gt;0,H88&lt;G88),END_BEFORE_START,IF(O88&gt;MAX_HPY_MENTEE,NOTICE_HPY_REACHED&amp;N88&amp;"!",""))&amp;IF(OR(AND(RCL!C88="",RCL!D88="",RCL!E88="",RCL!F88="",RCL!H88="",RCL!I88="",RCL!J88=""),AND(RCL!C88&lt;&gt;"",RCL!D88&lt;&gt;"",RCL!E88&lt;&gt;"",RCL!F88&lt;&gt;"",RCL!H88&lt;&gt;"",RCL!I88&lt;&gt;"",RCL!J88&lt;&gt;"")),""," "&amp;INCOMPLETE_ENTRY)</f>
        <v/>
      </c>
      <c r="U88" s="74" t="str">
        <f t="shared" si="29"/>
        <v/>
      </c>
      <c r="V88" s="74" t="str">
        <f t="shared" si="30"/>
        <v/>
      </c>
      <c r="W88" s="74" t="str">
        <f t="shared" si="31"/>
        <v/>
      </c>
      <c r="X88" s="74" t="str">
        <f t="shared" si="32"/>
        <v/>
      </c>
      <c r="Y88" s="74" t="str">
        <f t="shared" si="33"/>
        <v/>
      </c>
    </row>
    <row r="89" spans="4:25">
      <c r="D89" s="74">
        <f>RCL!C89</f>
        <v>0</v>
      </c>
      <c r="E89" s="74">
        <f>RCL!D89</f>
        <v>0</v>
      </c>
      <c r="F89" s="74">
        <f>RCL!E89</f>
        <v>0</v>
      </c>
      <c r="G89" s="75">
        <f>RCL!F89</f>
        <v>0</v>
      </c>
      <c r="H89" s="75">
        <f>RCL!G89</f>
        <v>0</v>
      </c>
      <c r="I89" s="74">
        <f>RCL!H89</f>
        <v>0</v>
      </c>
      <c r="J89" s="74">
        <f>RCL!I89</f>
        <v>0</v>
      </c>
      <c r="K89" s="74">
        <f>RCL!J89</f>
        <v>0</v>
      </c>
      <c r="L89" s="74" t="str">
        <f>RCL!L89</f>
        <v/>
      </c>
      <c r="N89" t="str">
        <f t="shared" si="26"/>
        <v/>
      </c>
      <c r="O89">
        <f>SUMIF(N79:N89,N89,I79:I89)</f>
        <v>0</v>
      </c>
      <c r="P89">
        <f t="shared" si="27"/>
        <v>0</v>
      </c>
      <c r="Q89">
        <f t="shared" si="28"/>
        <v>0</v>
      </c>
      <c r="R89" t="str">
        <f>IF(AND(H89&gt;0,H89&lt;G89),END_BEFORE_START,IF(O89&gt;MAX_HPY_MENTEE,NOTICE_HPY_REACHED&amp;N89&amp;"!",""))&amp;IF(OR(AND(RCL!C89="",RCL!D89="",RCL!E89="",RCL!F89="",RCL!H89="",RCL!I89="",RCL!J89=""),AND(RCL!C89&lt;&gt;"",RCL!D89&lt;&gt;"",RCL!E89&lt;&gt;"",RCL!F89&lt;&gt;"",RCL!H89&lt;&gt;"",RCL!I89&lt;&gt;"",RCL!J89&lt;&gt;"")),""," "&amp;INCOMPLETE_ENTRY)</f>
        <v/>
      </c>
      <c r="U89" s="74" t="str">
        <f t="shared" si="29"/>
        <v/>
      </c>
      <c r="V89" s="74" t="str">
        <f t="shared" si="30"/>
        <v/>
      </c>
      <c r="W89" s="74" t="str">
        <f t="shared" si="31"/>
        <v/>
      </c>
      <c r="X89" s="74" t="str">
        <f t="shared" si="32"/>
        <v/>
      </c>
      <c r="Y89" s="74" t="str">
        <f t="shared" si="33"/>
        <v/>
      </c>
    </row>
    <row r="90" spans="4:25">
      <c r="D90" s="74">
        <f>RCL!C90</f>
        <v>0</v>
      </c>
      <c r="E90" s="74">
        <f>RCL!D90</f>
        <v>0</v>
      </c>
      <c r="F90" s="74">
        <f>RCL!E90</f>
        <v>0</v>
      </c>
      <c r="G90" s="75">
        <f>RCL!F90</f>
        <v>0</v>
      </c>
      <c r="H90" s="75">
        <f>RCL!G90</f>
        <v>0</v>
      </c>
      <c r="I90" s="74">
        <f>RCL!H90</f>
        <v>0</v>
      </c>
      <c r="J90" s="74">
        <f>RCL!I90</f>
        <v>0</v>
      </c>
      <c r="K90" s="74">
        <f>RCL!J90</f>
        <v>0</v>
      </c>
      <c r="L90" s="74" t="str">
        <f>RCL!L90</f>
        <v/>
      </c>
      <c r="N90" t="str">
        <f t="shared" si="26"/>
        <v/>
      </c>
      <c r="O90">
        <f>SUMIF(N79:N90,N90,I79:I90)</f>
        <v>0</v>
      </c>
      <c r="P90">
        <f t="shared" si="27"/>
        <v>0</v>
      </c>
      <c r="Q90">
        <f t="shared" si="28"/>
        <v>0</v>
      </c>
      <c r="R90" t="str">
        <f>IF(AND(H90&gt;0,H90&lt;G90),END_BEFORE_START,IF(O90&gt;MAX_HPY_MENTEE,NOTICE_HPY_REACHED&amp;N90&amp;"!",""))&amp;IF(OR(AND(RCL!C90="",RCL!D90="",RCL!E90="",RCL!F90="",RCL!H90="",RCL!I90="",RCL!J90=""),AND(RCL!C90&lt;&gt;"",RCL!D90&lt;&gt;"",RCL!E90&lt;&gt;"",RCL!F90&lt;&gt;"",RCL!H90&lt;&gt;"",RCL!I90&lt;&gt;"",RCL!J90&lt;&gt;"")),""," "&amp;INCOMPLETE_ENTRY)</f>
        <v/>
      </c>
      <c r="U90" s="74" t="str">
        <f t="shared" si="29"/>
        <v/>
      </c>
      <c r="V90" s="74" t="str">
        <f t="shared" si="30"/>
        <v/>
      </c>
      <c r="W90" s="74" t="str">
        <f t="shared" si="31"/>
        <v/>
      </c>
      <c r="X90" s="74" t="str">
        <f t="shared" si="32"/>
        <v/>
      </c>
      <c r="Y90" s="74" t="str">
        <f t="shared" si="33"/>
        <v/>
      </c>
    </row>
    <row r="91" spans="4:25">
      <c r="D91" s="74">
        <f>RCL!C91</f>
        <v>0</v>
      </c>
      <c r="E91" s="74">
        <f>RCL!D91</f>
        <v>0</v>
      </c>
      <c r="F91" s="74">
        <f>RCL!E91</f>
        <v>0</v>
      </c>
      <c r="G91" s="75">
        <f>RCL!F91</f>
        <v>0</v>
      </c>
      <c r="H91" s="75">
        <f>RCL!G91</f>
        <v>0</v>
      </c>
      <c r="I91" s="74">
        <f>RCL!H91</f>
        <v>0</v>
      </c>
      <c r="J91" s="74">
        <f>RCL!I91</f>
        <v>0</v>
      </c>
      <c r="K91" s="74">
        <f>RCL!J91</f>
        <v>0</v>
      </c>
      <c r="L91" s="74" t="str">
        <f>RCL!L91</f>
        <v/>
      </c>
      <c r="N91" t="str">
        <f t="shared" si="26"/>
        <v/>
      </c>
      <c r="O91">
        <f>SUMIF(N79:N91,N91,I79:I91)</f>
        <v>0</v>
      </c>
      <c r="P91">
        <f t="shared" si="27"/>
        <v>0</v>
      </c>
      <c r="Q91">
        <f t="shared" si="28"/>
        <v>0</v>
      </c>
      <c r="R91" t="str">
        <f>IF(AND(H91&gt;0,H91&lt;G91),END_BEFORE_START,IF(O91&gt;MAX_HPY_MENTEE,NOTICE_HPY_REACHED&amp;N91&amp;"!",""))&amp;IF(OR(AND(RCL!C91="",RCL!D91="",RCL!E91="",RCL!F91="",RCL!H91="",RCL!I91="",RCL!J91=""),AND(RCL!C91&lt;&gt;"",RCL!D91&lt;&gt;"",RCL!E91&lt;&gt;"",RCL!F91&lt;&gt;"",RCL!H91&lt;&gt;"",RCL!I91&lt;&gt;"",RCL!J91&lt;&gt;"")),""," "&amp;INCOMPLETE_ENTRY)</f>
        <v/>
      </c>
      <c r="U91" s="74" t="str">
        <f t="shared" si="29"/>
        <v/>
      </c>
      <c r="V91" s="74" t="str">
        <f t="shared" si="30"/>
        <v/>
      </c>
      <c r="W91" s="74" t="str">
        <f t="shared" si="31"/>
        <v/>
      </c>
      <c r="X91" s="74" t="str">
        <f t="shared" si="32"/>
        <v/>
      </c>
      <c r="Y91" s="74" t="str">
        <f t="shared" si="33"/>
        <v/>
      </c>
    </row>
    <row r="92" spans="4:25">
      <c r="D92" s="74">
        <f>RCL!C92</f>
        <v>0</v>
      </c>
      <c r="E92" s="74">
        <f>RCL!D92</f>
        <v>0</v>
      </c>
      <c r="F92" s="74">
        <f>RCL!E92</f>
        <v>0</v>
      </c>
      <c r="G92" s="75">
        <f>RCL!F92</f>
        <v>0</v>
      </c>
      <c r="H92" s="75">
        <f>RCL!G92</f>
        <v>0</v>
      </c>
      <c r="I92" s="74">
        <f>RCL!H92</f>
        <v>0</v>
      </c>
      <c r="J92" s="74">
        <f>RCL!I92</f>
        <v>0</v>
      </c>
      <c r="K92" s="74">
        <f>RCL!J92</f>
        <v>0</v>
      </c>
      <c r="L92" s="74" t="str">
        <f>RCL!L92</f>
        <v/>
      </c>
      <c r="N92" t="str">
        <f t="shared" si="26"/>
        <v/>
      </c>
      <c r="O92">
        <f>SUMIF(N79:N92,N92,I79:I92)</f>
        <v>0</v>
      </c>
      <c r="P92">
        <f t="shared" si="27"/>
        <v>0</v>
      </c>
      <c r="Q92">
        <f t="shared" si="28"/>
        <v>0</v>
      </c>
      <c r="R92" t="str">
        <f>IF(AND(H92&gt;0,H92&lt;G92),END_BEFORE_START,IF(O92&gt;MAX_HPY_MENTEE,NOTICE_HPY_REACHED&amp;N92&amp;"!",""))&amp;IF(OR(AND(RCL!C92="",RCL!D92="",RCL!E92="",RCL!F92="",RCL!H92="",RCL!I92="",RCL!J92=""),AND(RCL!C92&lt;&gt;"",RCL!D92&lt;&gt;"",RCL!E92&lt;&gt;"",RCL!F92&lt;&gt;"",RCL!H92&lt;&gt;"",RCL!I92&lt;&gt;"",RCL!J92&lt;&gt;"")),""," "&amp;INCOMPLETE_ENTRY)</f>
        <v/>
      </c>
      <c r="U92" s="74" t="str">
        <f t="shared" si="29"/>
        <v/>
      </c>
      <c r="V92" s="74" t="str">
        <f t="shared" si="30"/>
        <v/>
      </c>
      <c r="W92" s="74" t="str">
        <f t="shared" si="31"/>
        <v/>
      </c>
      <c r="X92" s="74" t="str">
        <f t="shared" si="32"/>
        <v/>
      </c>
      <c r="Y92" s="74" t="str">
        <f t="shared" si="33"/>
        <v/>
      </c>
    </row>
    <row r="93" spans="4:25">
      <c r="D93" s="74">
        <f>RCL!C93</f>
        <v>0</v>
      </c>
      <c r="E93" s="74">
        <f>RCL!D93</f>
        <v>0</v>
      </c>
      <c r="F93" s="74">
        <f>RCL!E93</f>
        <v>0</v>
      </c>
      <c r="G93" s="75">
        <f>RCL!F93</f>
        <v>0</v>
      </c>
      <c r="H93" s="75">
        <f>RCL!G93</f>
        <v>0</v>
      </c>
      <c r="I93" s="74">
        <f>RCL!H93</f>
        <v>0</v>
      </c>
      <c r="J93" s="74">
        <f>RCL!I93</f>
        <v>0</v>
      </c>
      <c r="K93" s="74">
        <f>RCL!J93</f>
        <v>0</v>
      </c>
      <c r="L93" s="74" t="str">
        <f>RCL!L93</f>
        <v/>
      </c>
      <c r="N93" t="str">
        <f t="shared" si="26"/>
        <v/>
      </c>
      <c r="O93">
        <f>SUMIF(N79:N93,N93,I79:I93)</f>
        <v>0</v>
      </c>
      <c r="P93">
        <f t="shared" si="27"/>
        <v>0</v>
      </c>
      <c r="Q93">
        <f t="shared" si="28"/>
        <v>0</v>
      </c>
      <c r="R93" t="str">
        <f>IF(AND(H93&gt;0,H93&lt;G93),END_BEFORE_START,IF(O93&gt;MAX_HPY_MENTEE,NOTICE_HPY_REACHED&amp;N93&amp;"!",""))&amp;IF(OR(AND(RCL!C93="",RCL!D93="",RCL!E93="",RCL!F93="",RCL!H93="",RCL!I93="",RCL!J93=""),AND(RCL!C93&lt;&gt;"",RCL!D93&lt;&gt;"",RCL!E93&lt;&gt;"",RCL!F93&lt;&gt;"",RCL!H93&lt;&gt;"",RCL!I93&lt;&gt;"",RCL!J93&lt;&gt;"")),""," "&amp;INCOMPLETE_ENTRY)</f>
        <v/>
      </c>
      <c r="U93" s="74" t="str">
        <f t="shared" si="29"/>
        <v/>
      </c>
      <c r="V93" s="74" t="str">
        <f t="shared" si="30"/>
        <v/>
      </c>
      <c r="W93" s="74" t="str">
        <f t="shared" si="31"/>
        <v/>
      </c>
      <c r="X93" s="74" t="str">
        <f t="shared" si="32"/>
        <v/>
      </c>
      <c r="Y93" s="74" t="str">
        <f t="shared" si="33"/>
        <v/>
      </c>
    </row>
    <row r="94" spans="4:25">
      <c r="D94" s="74">
        <f>RCL!C94</f>
        <v>0</v>
      </c>
      <c r="E94" s="74">
        <f>RCL!D94</f>
        <v>0</v>
      </c>
      <c r="F94" s="74">
        <f>RCL!E94</f>
        <v>0</v>
      </c>
      <c r="G94" s="75">
        <f>RCL!F94</f>
        <v>0</v>
      </c>
      <c r="H94" s="75">
        <f>RCL!G94</f>
        <v>0</v>
      </c>
      <c r="I94" s="74">
        <f>RCL!H94</f>
        <v>0</v>
      </c>
      <c r="J94" s="74">
        <f>RCL!I94</f>
        <v>0</v>
      </c>
      <c r="K94" s="74">
        <f>RCL!J94</f>
        <v>0</v>
      </c>
      <c r="L94" s="74" t="str">
        <f>RCL!L94</f>
        <v/>
      </c>
      <c r="N94" t="str">
        <f t="shared" si="26"/>
        <v/>
      </c>
      <c r="O94">
        <f>SUMIF(N79:N94,N94,I79:I94)</f>
        <v>0</v>
      </c>
      <c r="P94">
        <f t="shared" si="27"/>
        <v>0</v>
      </c>
      <c r="Q94">
        <f t="shared" si="28"/>
        <v>0</v>
      </c>
      <c r="R94" t="str">
        <f>IF(AND(H94&gt;0,H94&lt;G94),END_BEFORE_START,IF(O94&gt;MAX_HPY_MENTEE,NOTICE_HPY_REACHED&amp;N94&amp;"!",""))&amp;IF(OR(AND(RCL!C94="",RCL!D94="",RCL!E94="",RCL!F94="",RCL!H94="",RCL!I94="",RCL!J94=""),AND(RCL!C94&lt;&gt;"",RCL!D94&lt;&gt;"",RCL!E94&lt;&gt;"",RCL!F94&lt;&gt;"",RCL!H94&lt;&gt;"",RCL!I94&lt;&gt;"",RCL!J94&lt;&gt;"")),""," "&amp;INCOMPLETE_ENTRY)</f>
        <v/>
      </c>
      <c r="U94" s="74" t="str">
        <f t="shared" si="29"/>
        <v/>
      </c>
      <c r="V94" s="74" t="str">
        <f t="shared" si="30"/>
        <v/>
      </c>
      <c r="W94" s="74" t="str">
        <f t="shared" si="31"/>
        <v/>
      </c>
      <c r="X94" s="74" t="str">
        <f t="shared" si="32"/>
        <v/>
      </c>
      <c r="Y94" s="74" t="str">
        <f t="shared" si="33"/>
        <v/>
      </c>
    </row>
    <row r="95" spans="4:25">
      <c r="D95" s="74">
        <f>RCL!C95</f>
        <v>0</v>
      </c>
      <c r="E95" s="74">
        <f>RCL!D95</f>
        <v>0</v>
      </c>
      <c r="F95" s="74">
        <f>RCL!E95</f>
        <v>0</v>
      </c>
      <c r="G95" s="75">
        <f>RCL!F95</f>
        <v>0</v>
      </c>
      <c r="H95" s="75">
        <f>RCL!G95</f>
        <v>0</v>
      </c>
      <c r="I95" s="74">
        <f>RCL!H95</f>
        <v>0</v>
      </c>
      <c r="J95" s="74">
        <f>RCL!I95</f>
        <v>0</v>
      </c>
      <c r="K95" s="74">
        <f>RCL!J95</f>
        <v>0</v>
      </c>
      <c r="L95" s="74" t="str">
        <f>RCL!L95</f>
        <v/>
      </c>
      <c r="N95" t="str">
        <f t="shared" si="26"/>
        <v/>
      </c>
      <c r="O95">
        <f>SUMIF(N79:N95,N95,I79:I95)</f>
        <v>0</v>
      </c>
      <c r="P95">
        <f t="shared" si="27"/>
        <v>0</v>
      </c>
      <c r="Q95">
        <f t="shared" si="28"/>
        <v>0</v>
      </c>
      <c r="R95" t="str">
        <f>IF(AND(H95&gt;0,H95&lt;G95),END_BEFORE_START,IF(O95&gt;MAX_HPY_MENTEE,NOTICE_HPY_REACHED&amp;N95&amp;"!",""))&amp;IF(OR(AND(RCL!C95="",RCL!D95="",RCL!E95="",RCL!F95="",RCL!H95="",RCL!I95="",RCL!J95=""),AND(RCL!C95&lt;&gt;"",RCL!D95&lt;&gt;"",RCL!E95&lt;&gt;"",RCL!F95&lt;&gt;"",RCL!H95&lt;&gt;"",RCL!I95&lt;&gt;"",RCL!J95&lt;&gt;"")),""," "&amp;INCOMPLETE_ENTRY)</f>
        <v/>
      </c>
      <c r="U95" s="74" t="str">
        <f t="shared" si="29"/>
        <v/>
      </c>
      <c r="V95" s="74" t="str">
        <f t="shared" si="30"/>
        <v/>
      </c>
      <c r="W95" s="74" t="str">
        <f t="shared" si="31"/>
        <v/>
      </c>
      <c r="X95" s="74" t="str">
        <f t="shared" si="32"/>
        <v/>
      </c>
      <c r="Y95" s="74" t="str">
        <f t="shared" si="33"/>
        <v/>
      </c>
    </row>
    <row r="96" spans="4:25">
      <c r="D96" s="74">
        <f>RCL!C96</f>
        <v>0</v>
      </c>
      <c r="E96" s="74">
        <f>RCL!D96</f>
        <v>0</v>
      </c>
      <c r="F96" s="74">
        <f>RCL!E96</f>
        <v>0</v>
      </c>
      <c r="G96" s="75">
        <f>RCL!F96</f>
        <v>0</v>
      </c>
      <c r="H96" s="75">
        <f>RCL!G96</f>
        <v>0</v>
      </c>
      <c r="I96" s="74">
        <f>RCL!H96</f>
        <v>0</v>
      </c>
      <c r="J96" s="74">
        <f>RCL!I96</f>
        <v>0</v>
      </c>
      <c r="K96" s="74">
        <f>RCL!J96</f>
        <v>0</v>
      </c>
      <c r="L96" s="74" t="str">
        <f>RCL!L96</f>
        <v/>
      </c>
      <c r="N96" t="str">
        <f t="shared" si="26"/>
        <v/>
      </c>
      <c r="O96">
        <f>SUMIF(N79:N96,N96,I79:I96)</f>
        <v>0</v>
      </c>
      <c r="P96">
        <f t="shared" si="27"/>
        <v>0</v>
      </c>
      <c r="Q96">
        <f t="shared" si="28"/>
        <v>0</v>
      </c>
      <c r="R96" t="str">
        <f>IF(AND(H96&gt;0,H96&lt;G96),END_BEFORE_START,IF(O96&gt;MAX_HPY_MENTEE,NOTICE_HPY_REACHED&amp;N96&amp;"!",""))&amp;IF(OR(AND(RCL!C96="",RCL!D96="",RCL!E96="",RCL!F96="",RCL!H96="",RCL!I96="",RCL!J96=""),AND(RCL!C96&lt;&gt;"",RCL!D96&lt;&gt;"",RCL!E96&lt;&gt;"",RCL!F96&lt;&gt;"",RCL!H96&lt;&gt;"",RCL!I96&lt;&gt;"",RCL!J96&lt;&gt;"")),""," "&amp;INCOMPLETE_ENTRY)</f>
        <v/>
      </c>
      <c r="U96" s="74" t="str">
        <f t="shared" si="29"/>
        <v/>
      </c>
      <c r="V96" s="74" t="str">
        <f t="shared" si="30"/>
        <v/>
      </c>
      <c r="W96" s="74" t="str">
        <f t="shared" si="31"/>
        <v/>
      </c>
      <c r="X96" s="74" t="str">
        <f t="shared" si="32"/>
        <v/>
      </c>
      <c r="Y96" s="74" t="str">
        <f t="shared" si="33"/>
        <v/>
      </c>
    </row>
    <row r="97" spans="3:25">
      <c r="D97" s="74">
        <f>RCL!C97</f>
        <v>0</v>
      </c>
      <c r="E97" s="74">
        <f>RCL!D97</f>
        <v>0</v>
      </c>
      <c r="F97" s="74">
        <f>RCL!E97</f>
        <v>0</v>
      </c>
      <c r="G97" s="75">
        <f>RCL!F97</f>
        <v>0</v>
      </c>
      <c r="H97" s="75">
        <f>RCL!G97</f>
        <v>0</v>
      </c>
      <c r="I97" s="74">
        <f>RCL!H97</f>
        <v>0</v>
      </c>
      <c r="J97" s="74">
        <f>RCL!I97</f>
        <v>0</v>
      </c>
      <c r="K97" s="74">
        <f>RCL!J97</f>
        <v>0</v>
      </c>
      <c r="L97" s="74" t="str">
        <f>RCL!L97</f>
        <v/>
      </c>
      <c r="N97" t="str">
        <f t="shared" si="26"/>
        <v/>
      </c>
      <c r="O97">
        <f>SUMIF(N79:N97,N97,I79:I97)</f>
        <v>0</v>
      </c>
      <c r="P97">
        <f t="shared" si="27"/>
        <v>0</v>
      </c>
      <c r="Q97">
        <f t="shared" si="28"/>
        <v>0</v>
      </c>
      <c r="R97" t="str">
        <f>IF(AND(H97&gt;0,H97&lt;G97),END_BEFORE_START,IF(O97&gt;MAX_HPY_MENTEE,NOTICE_HPY_REACHED&amp;N97&amp;"!",""))&amp;IF(OR(AND(RCL!C97="",RCL!D97="",RCL!E97="",RCL!F97="",RCL!H97="",RCL!I97="",RCL!J97=""),AND(RCL!C97&lt;&gt;"",RCL!D97&lt;&gt;"",RCL!E97&lt;&gt;"",RCL!F97&lt;&gt;"",RCL!H97&lt;&gt;"",RCL!I97&lt;&gt;"",RCL!J97&lt;&gt;"")),""," "&amp;INCOMPLETE_ENTRY)</f>
        <v/>
      </c>
      <c r="U97" s="74" t="str">
        <f t="shared" si="29"/>
        <v/>
      </c>
      <c r="V97" s="74" t="str">
        <f t="shared" si="30"/>
        <v/>
      </c>
      <c r="W97" s="74" t="str">
        <f t="shared" si="31"/>
        <v/>
      </c>
      <c r="X97" s="74" t="str">
        <f t="shared" si="32"/>
        <v/>
      </c>
      <c r="Y97" s="74" t="str">
        <f t="shared" si="33"/>
        <v/>
      </c>
    </row>
    <row r="98" spans="3:25">
      <c r="D98" s="74">
        <f>RCL!C98</f>
        <v>0</v>
      </c>
      <c r="E98" s="74">
        <f>RCL!D98</f>
        <v>0</v>
      </c>
      <c r="F98" s="74">
        <f>RCL!E98</f>
        <v>0</v>
      </c>
      <c r="G98" s="75">
        <f>RCL!F98</f>
        <v>0</v>
      </c>
      <c r="H98" s="75">
        <f>RCL!G98</f>
        <v>0</v>
      </c>
      <c r="I98" s="74">
        <f>RCL!H98</f>
        <v>0</v>
      </c>
      <c r="J98" s="74">
        <f>RCL!I98</f>
        <v>0</v>
      </c>
      <c r="K98" s="74">
        <f>RCL!J98</f>
        <v>0</v>
      </c>
      <c r="L98" s="74" t="str">
        <f>RCL!L98</f>
        <v/>
      </c>
      <c r="N98" t="str">
        <f t="shared" si="26"/>
        <v/>
      </c>
      <c r="O98">
        <f>SUMIF(N79:N98,N98,I79:I98)</f>
        <v>0</v>
      </c>
      <c r="P98">
        <f t="shared" si="27"/>
        <v>0</v>
      </c>
      <c r="Q98">
        <f t="shared" si="28"/>
        <v>0</v>
      </c>
      <c r="R98" t="str">
        <f>IF(AND(H98&gt;0,H98&lt;G98),END_BEFORE_START,IF(O98&gt;MAX_HPY_MENTEE,NOTICE_HPY_REACHED&amp;N98&amp;"!",""))&amp;IF(OR(AND(RCL!C98="",RCL!D98="",RCL!E98="",RCL!F98="",RCL!H98="",RCL!I98="",RCL!J98=""),AND(RCL!C98&lt;&gt;"",RCL!D98&lt;&gt;"",RCL!E98&lt;&gt;"",RCL!F98&lt;&gt;"",RCL!H98&lt;&gt;"",RCL!I98&lt;&gt;"",RCL!J98&lt;&gt;"")),""," "&amp;INCOMPLETE_ENTRY)</f>
        <v/>
      </c>
      <c r="U98" s="74" t="str">
        <f t="shared" si="29"/>
        <v/>
      </c>
      <c r="V98" s="74" t="str">
        <f t="shared" si="30"/>
        <v/>
      </c>
      <c r="W98" s="74" t="str">
        <f t="shared" si="31"/>
        <v/>
      </c>
      <c r="X98" s="74" t="str">
        <f t="shared" si="32"/>
        <v/>
      </c>
      <c r="Y98" s="74" t="str">
        <f t="shared" si="33"/>
        <v/>
      </c>
    </row>
    <row r="99" spans="3:25">
      <c r="C99" s="76" t="s">
        <v>245</v>
      </c>
    </row>
    <row r="100" spans="3:25">
      <c r="C100" s="76">
        <v>200</v>
      </c>
      <c r="D100" s="74" t="str">
        <f>RCL!C100</f>
        <v>Bücher und Veröffentlichungen Lesen</v>
      </c>
      <c r="E100" s="74"/>
      <c r="F100" s="74"/>
      <c r="G100" s="74"/>
      <c r="H100" s="74"/>
      <c r="I100" s="74"/>
      <c r="J100" s="74"/>
      <c r="K100" s="74"/>
      <c r="L100" s="74">
        <f>RCL!L100</f>
        <v>0</v>
      </c>
    </row>
    <row r="101" spans="3:25">
      <c r="D101" s="74" t="str">
        <f>RCL!C101</f>
        <v>Titel / Thema</v>
      </c>
      <c r="E101" s="74" t="str">
        <f>RCL!D101</f>
        <v>Verlag</v>
      </c>
      <c r="F101" s="74" t="str">
        <f>RCL!E101</f>
        <v>Ort</v>
      </c>
      <c r="G101" s="74" t="str">
        <f>RCL!F101</f>
        <v>Veröffentlichungsdatum</v>
      </c>
      <c r="H101" s="74" t="str">
        <f>RCL!G101</f>
        <v>Lese-Datum</v>
      </c>
      <c r="I101" s="74" t="str">
        <f>RCL!H101</f>
        <v>Seitenanzahl</v>
      </c>
      <c r="J101" s="74" t="str">
        <f>RCL!I101</f>
        <v>ICB Element Referenz 1</v>
      </c>
      <c r="K101" s="74" t="str">
        <f>RCL!J101</f>
        <v>ICB Element Referenz 2</v>
      </c>
      <c r="L101" s="74" t="str">
        <f>RCL!L101</f>
        <v>Anerkennungsfähige Dauer (Std.)</v>
      </c>
      <c r="N101" t="s">
        <v>246</v>
      </c>
      <c r="O101" t="s">
        <v>244</v>
      </c>
      <c r="P101" t="s">
        <v>247</v>
      </c>
      <c r="Q101" t="s">
        <v>239</v>
      </c>
      <c r="R101" t="s">
        <v>235</v>
      </c>
    </row>
    <row r="102" spans="3:25">
      <c r="D102" s="74">
        <f>RCL!C102</f>
        <v>0</v>
      </c>
      <c r="E102" s="74">
        <f>RCL!D102</f>
        <v>0</v>
      </c>
      <c r="F102" s="74">
        <f>RCL!E102</f>
        <v>0</v>
      </c>
      <c r="G102" s="75">
        <f>RCL!F102</f>
        <v>0</v>
      </c>
      <c r="H102" s="75">
        <f>RCL!G102</f>
        <v>0</v>
      </c>
      <c r="I102" s="74">
        <f>RCL!H102</f>
        <v>0</v>
      </c>
      <c r="J102" s="74">
        <f>RCL!I102</f>
        <v>0</v>
      </c>
      <c r="K102" s="74">
        <f>RCL!J102</f>
        <v>0</v>
      </c>
      <c r="L102" s="74" t="str">
        <f>RCL!L102</f>
        <v/>
      </c>
      <c r="N102">
        <f>I102/100*6</f>
        <v>0</v>
      </c>
      <c r="O102">
        <f>IF(Checks!D102&lt;&gt;0,N102,0)</f>
        <v>0</v>
      </c>
      <c r="P102">
        <f t="shared" ref="P102:P108" si="34">IF(O102&gt;MAX_HPY_LIT,MAX_HPY_LIT,O102)</f>
        <v>0</v>
      </c>
      <c r="Q102">
        <f t="shared" ref="Q102:Q108" si="35">IF((N102-(O102-P102))&gt;0,N102-(O102-P102),0)</f>
        <v>0</v>
      </c>
      <c r="R102" t="str">
        <f>IF(AND(H102&gt;0,H102&lt;G102),END_BEFORE_START,IF(O102&gt;MAX_HPY_LIT,NOTICE_HPY_REACHED&amp;NOTICE_NOUN_RCP,""))&amp;IF(OR(AND(RCL!C102="",RCL!D102="",RCL!E102="",RCL!F102="",RCL!H102="",RCL!I102="",RCL!J102=""),AND(RCL!C102&lt;&gt;"",RCL!D102&lt;&gt;"",RCL!E102&lt;&gt;"",RCL!F102&lt;&gt;"",RCL!H102&lt;&gt;"",RCL!I102&lt;&gt;"",RCL!J102&lt;&gt;"")),IF(AND(D102&lt;&gt;0,S102=0),INCOMPLETE_REVIEW,"")," "&amp;INCOMPLETE_ENTRY)</f>
        <v/>
      </c>
      <c r="U102" s="74" t="str">
        <f t="shared" ref="U102:U108" si="36">IF(AND(H102&gt;RC_YEAR_1_START,H102&lt;RC_YEAR_1_END),Q102,"")</f>
        <v/>
      </c>
      <c r="V102" s="74" t="str">
        <f t="shared" ref="V102:V108" si="37">IF(AND(H102&gt;RC_YEAR_2_START,H102&lt;RC_YEAR_2_END),Q102,"")</f>
        <v/>
      </c>
      <c r="W102" s="74" t="str">
        <f t="shared" ref="W102:W108" si="38">IF(AND(H102&gt;RC_YEAR_3_START,H102&lt;RC_YEAR_3_END),Q102,"")</f>
        <v/>
      </c>
      <c r="X102" s="74" t="str">
        <f t="shared" ref="X102:X108" si="39">IF(AND(H102&gt;RC_YEAR_4_START,H102&lt;RC_YEAR_4_END),Q102,"")</f>
        <v/>
      </c>
      <c r="Y102" s="74" t="str">
        <f t="shared" ref="Y102:Y108" si="40">IF(AND(H102&gt;RC_YEAR_5_START,H102&lt;RC_YEAR_5_END),Q102,"")</f>
        <v/>
      </c>
    </row>
    <row r="103" spans="3:25">
      <c r="D103" s="74">
        <f>RCL!C103</f>
        <v>0</v>
      </c>
      <c r="E103" s="74">
        <f>RCL!D103</f>
        <v>0</v>
      </c>
      <c r="F103" s="74">
        <f>RCL!E103</f>
        <v>0</v>
      </c>
      <c r="G103" s="75">
        <f>RCL!F103</f>
        <v>0</v>
      </c>
      <c r="H103" s="75">
        <f>RCL!G103</f>
        <v>0</v>
      </c>
      <c r="I103" s="74">
        <f>RCL!H103</f>
        <v>0</v>
      </c>
      <c r="J103" s="74">
        <f>RCL!I103</f>
        <v>0</v>
      </c>
      <c r="K103" s="74">
        <f>RCL!J103</f>
        <v>0</v>
      </c>
      <c r="L103" s="74" t="str">
        <f>RCL!L103</f>
        <v/>
      </c>
      <c r="N103">
        <f t="shared" ref="N103:N108" si="41">I103/100*6</f>
        <v>0</v>
      </c>
      <c r="O103">
        <f>IF(Checks!D103&lt;&gt;0,SUM(N102:N103),0)</f>
        <v>0</v>
      </c>
      <c r="P103">
        <f t="shared" si="34"/>
        <v>0</v>
      </c>
      <c r="Q103">
        <f t="shared" si="35"/>
        <v>0</v>
      </c>
      <c r="R103" t="str">
        <f>IF(AND(H103&gt;0,H103&lt;G103),END_BEFORE_START,IF(O103&gt;MAX_HPY_LIT,NOTICE_HPY_REACHED&amp;NOTICE_NOUN_RCP,""))&amp;IF(OR(AND(RCL!C103="",RCL!D103="",RCL!E103="",RCL!F103="",RCL!H103="",RCL!I103="",RCL!J103=""),AND(RCL!C103&lt;&gt;"",RCL!D103&lt;&gt;"",RCL!E103&lt;&gt;"",RCL!F103&lt;&gt;"",RCL!H103&lt;&gt;"",RCL!I103&lt;&gt;"",RCL!J103&lt;&gt;"")),IF(AND(D103&lt;&gt;0,S103=0),INCOMPLETE_REVIEW,"")," "&amp;INCOMPLETE_ENTRY)</f>
        <v/>
      </c>
      <c r="U103" s="74" t="str">
        <f t="shared" si="36"/>
        <v/>
      </c>
      <c r="V103" s="74" t="str">
        <f t="shared" si="37"/>
        <v/>
      </c>
      <c r="W103" s="74" t="str">
        <f t="shared" si="38"/>
        <v/>
      </c>
      <c r="X103" s="74" t="str">
        <f t="shared" si="39"/>
        <v/>
      </c>
      <c r="Y103" s="74" t="str">
        <f t="shared" si="40"/>
        <v/>
      </c>
    </row>
    <row r="104" spans="3:25">
      <c r="D104" s="74">
        <f>RCL!C104</f>
        <v>0</v>
      </c>
      <c r="E104" s="74">
        <f>RCL!D104</f>
        <v>0</v>
      </c>
      <c r="F104" s="74">
        <f>RCL!E104</f>
        <v>0</v>
      </c>
      <c r="G104" s="75">
        <f>RCL!F104</f>
        <v>0</v>
      </c>
      <c r="H104" s="75">
        <f>RCL!G104</f>
        <v>0</v>
      </c>
      <c r="I104" s="74">
        <f>RCL!H104</f>
        <v>0</v>
      </c>
      <c r="J104" s="74">
        <f>RCL!I104</f>
        <v>0</v>
      </c>
      <c r="K104" s="74">
        <f>RCL!J104</f>
        <v>0</v>
      </c>
      <c r="L104" s="74" t="str">
        <f>RCL!L104</f>
        <v/>
      </c>
      <c r="N104">
        <f t="shared" si="41"/>
        <v>0</v>
      </c>
      <c r="O104">
        <f>IF(Checks!D104&lt;&gt;0,SUM(N102:N104),0)</f>
        <v>0</v>
      </c>
      <c r="P104">
        <f t="shared" si="34"/>
        <v>0</v>
      </c>
      <c r="Q104">
        <f t="shared" si="35"/>
        <v>0</v>
      </c>
      <c r="R104" t="str">
        <f>IF(AND(H104&gt;0,H104&lt;G104),END_BEFORE_START,IF(O104&gt;MAX_HPY_LIT,NOTICE_HPY_REACHED&amp;NOTICE_NOUN_RCP,""))&amp;IF(OR(AND(RCL!C104="",RCL!D104="",RCL!E104="",RCL!F104="",RCL!H104="",RCL!I104="",RCL!J104=""),AND(RCL!C104&lt;&gt;"",RCL!D104&lt;&gt;"",RCL!E104&lt;&gt;"",RCL!F104&lt;&gt;"",RCL!H104&lt;&gt;"",RCL!I104&lt;&gt;"",RCL!J104&lt;&gt;"")),IF(AND(D104&lt;&gt;0,S104=0),INCOMPLETE_REVIEW,"")," "&amp;INCOMPLETE_ENTRY)</f>
        <v/>
      </c>
      <c r="U104" s="74" t="str">
        <f t="shared" si="36"/>
        <v/>
      </c>
      <c r="V104" s="74" t="str">
        <f t="shared" si="37"/>
        <v/>
      </c>
      <c r="W104" s="74" t="str">
        <f t="shared" si="38"/>
        <v/>
      </c>
      <c r="X104" s="74" t="str">
        <f t="shared" si="39"/>
        <v/>
      </c>
      <c r="Y104" s="74" t="str">
        <f t="shared" si="40"/>
        <v/>
      </c>
    </row>
    <row r="105" spans="3:25">
      <c r="D105" s="74">
        <f>RCL!C105</f>
        <v>0</v>
      </c>
      <c r="E105" s="74">
        <f>RCL!D105</f>
        <v>0</v>
      </c>
      <c r="F105" s="74">
        <f>RCL!E105</f>
        <v>0</v>
      </c>
      <c r="G105" s="75">
        <f>RCL!F105</f>
        <v>0</v>
      </c>
      <c r="H105" s="75">
        <f>RCL!G105</f>
        <v>0</v>
      </c>
      <c r="I105" s="74">
        <f>RCL!H105</f>
        <v>0</v>
      </c>
      <c r="J105" s="74">
        <f>RCL!I105</f>
        <v>0</v>
      </c>
      <c r="K105" s="74">
        <f>RCL!J105</f>
        <v>0</v>
      </c>
      <c r="L105" s="74" t="str">
        <f>RCL!L105</f>
        <v/>
      </c>
      <c r="N105">
        <f t="shared" si="41"/>
        <v>0</v>
      </c>
      <c r="O105">
        <f>IF(Checks!D105&lt;&gt;0,SUM(N102:N105),0)</f>
        <v>0</v>
      </c>
      <c r="P105">
        <f t="shared" si="34"/>
        <v>0</v>
      </c>
      <c r="Q105">
        <f t="shared" si="35"/>
        <v>0</v>
      </c>
      <c r="R105" t="str">
        <f>IF(AND(H105&gt;0,H105&lt;G105),END_BEFORE_START,IF(O105&gt;MAX_HPY_LIT,NOTICE_HPY_REACHED&amp;NOTICE_NOUN_RCP,""))&amp;IF(OR(AND(RCL!C105="",RCL!D105="",RCL!E105="",RCL!F105="",RCL!H105="",RCL!I105="",RCL!J105=""),AND(RCL!C105&lt;&gt;"",RCL!D105&lt;&gt;"",RCL!E105&lt;&gt;"",RCL!F105&lt;&gt;"",RCL!H105&lt;&gt;"",RCL!I105&lt;&gt;"",RCL!J105&lt;&gt;"")),IF(AND(D105&lt;&gt;0,S105=0),INCOMPLETE_REVIEW,"")," "&amp;INCOMPLETE_ENTRY)</f>
        <v/>
      </c>
      <c r="U105" s="74" t="str">
        <f t="shared" si="36"/>
        <v/>
      </c>
      <c r="V105" s="74" t="str">
        <f t="shared" si="37"/>
        <v/>
      </c>
      <c r="W105" s="74" t="str">
        <f t="shared" si="38"/>
        <v/>
      </c>
      <c r="X105" s="74" t="str">
        <f t="shared" si="39"/>
        <v/>
      </c>
      <c r="Y105" s="74" t="str">
        <f t="shared" si="40"/>
        <v/>
      </c>
    </row>
    <row r="106" spans="3:25">
      <c r="D106" s="74">
        <f>RCL!C106</f>
        <v>0</v>
      </c>
      <c r="E106" s="74">
        <f>RCL!D106</f>
        <v>0</v>
      </c>
      <c r="F106" s="74">
        <f>RCL!E106</f>
        <v>0</v>
      </c>
      <c r="G106" s="75">
        <f>RCL!F106</f>
        <v>0</v>
      </c>
      <c r="H106" s="75">
        <f>RCL!G106</f>
        <v>0</v>
      </c>
      <c r="I106" s="74">
        <f>RCL!H106</f>
        <v>0</v>
      </c>
      <c r="J106" s="74">
        <f>RCL!I106</f>
        <v>0</v>
      </c>
      <c r="K106" s="74">
        <f>RCL!J106</f>
        <v>0</v>
      </c>
      <c r="L106" s="74" t="str">
        <f>RCL!L106</f>
        <v/>
      </c>
      <c r="N106">
        <f t="shared" si="41"/>
        <v>0</v>
      </c>
      <c r="O106">
        <f>IF(Checks!D106&lt;&gt;0,SUM(N102:N106),0)</f>
        <v>0</v>
      </c>
      <c r="P106">
        <f t="shared" si="34"/>
        <v>0</v>
      </c>
      <c r="Q106">
        <f t="shared" si="35"/>
        <v>0</v>
      </c>
      <c r="R106" t="str">
        <f>IF(AND(H106&gt;0,H106&lt;G106),END_BEFORE_START,IF(O106&gt;MAX_HPY_LIT,NOTICE_HPY_REACHED&amp;NOTICE_NOUN_RCP,""))&amp;IF(OR(AND(RCL!C106="",RCL!D106="",RCL!E106="",RCL!F106="",RCL!H106="",RCL!I106="",RCL!J106=""),AND(RCL!C106&lt;&gt;"",RCL!D106&lt;&gt;"",RCL!E106&lt;&gt;"",RCL!F106&lt;&gt;"",RCL!H106&lt;&gt;"",RCL!I106&lt;&gt;"",RCL!J106&lt;&gt;"")),IF(AND(D106&lt;&gt;0,S106=0),INCOMPLETE_REVIEW,"")," "&amp;INCOMPLETE_ENTRY)</f>
        <v/>
      </c>
      <c r="U106" s="74" t="str">
        <f t="shared" si="36"/>
        <v/>
      </c>
      <c r="V106" s="74" t="str">
        <f t="shared" si="37"/>
        <v/>
      </c>
      <c r="W106" s="74" t="str">
        <f t="shared" si="38"/>
        <v/>
      </c>
      <c r="X106" s="74" t="str">
        <f t="shared" si="39"/>
        <v/>
      </c>
      <c r="Y106" s="74" t="str">
        <f t="shared" si="40"/>
        <v/>
      </c>
    </row>
    <row r="107" spans="3:25">
      <c r="D107" s="74">
        <f>RCL!C107</f>
        <v>0</v>
      </c>
      <c r="E107" s="74">
        <f>RCL!D107</f>
        <v>0</v>
      </c>
      <c r="F107" s="74">
        <f>RCL!E107</f>
        <v>0</v>
      </c>
      <c r="G107" s="75">
        <f>RCL!F107</f>
        <v>0</v>
      </c>
      <c r="H107" s="75">
        <f>RCL!G107</f>
        <v>0</v>
      </c>
      <c r="I107" s="74">
        <f>RCL!H107</f>
        <v>0</v>
      </c>
      <c r="J107" s="74">
        <f>RCL!I107</f>
        <v>0</v>
      </c>
      <c r="K107" s="74">
        <f>RCL!J107</f>
        <v>0</v>
      </c>
      <c r="L107" s="74" t="str">
        <f>RCL!L107</f>
        <v/>
      </c>
      <c r="N107">
        <f t="shared" si="41"/>
        <v>0</v>
      </c>
      <c r="O107">
        <f>IF(Checks!D107&lt;&gt;0,SUM(N102:N107),0)</f>
        <v>0</v>
      </c>
      <c r="P107">
        <f t="shared" si="34"/>
        <v>0</v>
      </c>
      <c r="Q107">
        <f t="shared" si="35"/>
        <v>0</v>
      </c>
      <c r="R107" t="str">
        <f>IF(AND(H107&gt;0,H107&lt;G107),END_BEFORE_START,IF(O107&gt;MAX_HPY_LIT,NOTICE_HPY_REACHED&amp;NOTICE_NOUN_RCP,""))&amp;IF(OR(AND(RCL!C107="",RCL!D107="",RCL!E107="",RCL!F107="",RCL!H107="",RCL!I107="",RCL!J107=""),AND(RCL!C107&lt;&gt;"",RCL!D107&lt;&gt;"",RCL!E107&lt;&gt;"",RCL!F107&lt;&gt;"",RCL!H107&lt;&gt;"",RCL!I107&lt;&gt;"",RCL!J107&lt;&gt;"")),IF(AND(D107&lt;&gt;0,S107=0),INCOMPLETE_REVIEW,"")," "&amp;INCOMPLETE_ENTRY)</f>
        <v/>
      </c>
      <c r="U107" s="74" t="str">
        <f t="shared" si="36"/>
        <v/>
      </c>
      <c r="V107" s="74" t="str">
        <f t="shared" si="37"/>
        <v/>
      </c>
      <c r="W107" s="74" t="str">
        <f t="shared" si="38"/>
        <v/>
      </c>
      <c r="X107" s="74" t="str">
        <f t="shared" si="39"/>
        <v/>
      </c>
      <c r="Y107" s="74" t="str">
        <f t="shared" si="40"/>
        <v/>
      </c>
    </row>
    <row r="108" spans="3:25">
      <c r="D108" s="74">
        <f>RCL!C108</f>
        <v>0</v>
      </c>
      <c r="E108" s="74">
        <f>RCL!D108</f>
        <v>0</v>
      </c>
      <c r="F108" s="74">
        <f>RCL!E108</f>
        <v>0</v>
      </c>
      <c r="G108" s="75">
        <f>RCL!F108</f>
        <v>0</v>
      </c>
      <c r="H108" s="75">
        <f>RCL!G108</f>
        <v>0</v>
      </c>
      <c r="I108" s="74">
        <f>RCL!H108</f>
        <v>0</v>
      </c>
      <c r="J108" s="74">
        <f>RCL!I108</f>
        <v>0</v>
      </c>
      <c r="K108" s="74">
        <f>RCL!J108</f>
        <v>0</v>
      </c>
      <c r="L108" s="74" t="str">
        <f>RCL!L108</f>
        <v/>
      </c>
      <c r="N108">
        <f t="shared" si="41"/>
        <v>0</v>
      </c>
      <c r="O108">
        <f>IF(Checks!D108&lt;&gt;0,SUM(N102:N108),0)</f>
        <v>0</v>
      </c>
      <c r="P108">
        <f t="shared" si="34"/>
        <v>0</v>
      </c>
      <c r="Q108">
        <f t="shared" si="35"/>
        <v>0</v>
      </c>
      <c r="R108" t="str">
        <f>IF(AND(H108&gt;0,H108&lt;G108),END_BEFORE_START,IF(O108&gt;MAX_HPY_LIT,NOTICE_HPY_REACHED&amp;NOTICE_NOUN_RCP,""))&amp;IF(OR(AND(RCL!C108="",RCL!D108="",RCL!E108="",RCL!F108="",RCL!H108="",RCL!I108="",RCL!J108=""),AND(RCL!C108&lt;&gt;"",RCL!D108&lt;&gt;"",RCL!E108&lt;&gt;"",RCL!F108&lt;&gt;"",RCL!H108&lt;&gt;"",RCL!I108&lt;&gt;"",RCL!J108&lt;&gt;"")),IF(AND(D108&lt;&gt;0,S108=0),INCOMPLETE_REVIEW,"")," "&amp;INCOMPLETE_ENTRY)</f>
        <v/>
      </c>
      <c r="U108" s="74" t="str">
        <f t="shared" si="36"/>
        <v/>
      </c>
      <c r="V108" s="74" t="str">
        <f t="shared" si="37"/>
        <v/>
      </c>
      <c r="W108" s="74" t="str">
        <f t="shared" si="38"/>
        <v/>
      </c>
      <c r="X108" s="74" t="str">
        <f t="shared" si="39"/>
        <v/>
      </c>
      <c r="Y108" s="74" t="str">
        <f t="shared" si="40"/>
        <v/>
      </c>
    </row>
    <row r="109" spans="3:25">
      <c r="C109" s="76" t="s">
        <v>245</v>
      </c>
    </row>
    <row r="110" spans="3:25">
      <c r="C110" s="76">
        <v>200</v>
      </c>
      <c r="D110" s="74" t="str">
        <f>RCL!C110</f>
        <v>Lesen abonnierter PM Magazine</v>
      </c>
      <c r="E110" s="74"/>
      <c r="F110" s="74"/>
      <c r="G110" s="74"/>
      <c r="H110" s="74"/>
      <c r="I110" s="74"/>
      <c r="J110" s="74"/>
      <c r="K110" s="74"/>
      <c r="L110" s="74">
        <f>RCL!L110</f>
        <v>0</v>
      </c>
    </row>
    <row r="111" spans="3:25">
      <c r="D111" s="74" t="str">
        <f>RCL!C111</f>
        <v>Titel / Thema</v>
      </c>
      <c r="E111" s="74" t="str">
        <f>RCL!D111</f>
        <v>Herausgeber</v>
      </c>
      <c r="F111" s="74" t="str">
        <f>RCL!E111</f>
        <v>Ort</v>
      </c>
      <c r="G111" s="74" t="str">
        <f>RCL!F111</f>
        <v>Start Datum</v>
      </c>
      <c r="H111" s="74" t="str">
        <f>RCL!G111</f>
        <v>End Datum</v>
      </c>
      <c r="I111" s="74" t="str">
        <f>RCL!H111</f>
        <v>Anz. Gelesener Ausgaben</v>
      </c>
      <c r="J111" s="74" t="str">
        <f>RCL!I111</f>
        <v>ICB Element Referenz 1</v>
      </c>
      <c r="K111" s="74" t="str">
        <f>RCL!J111</f>
        <v>ICB Element Referenz 2</v>
      </c>
      <c r="L111" s="74" t="str">
        <f>RCL!L111</f>
        <v>Anerkennungsfähige Dauer (Std.)</v>
      </c>
    </row>
    <row r="112" spans="3:25">
      <c r="D112" s="74">
        <f>RCL!C112</f>
        <v>0</v>
      </c>
      <c r="E112" s="74">
        <f>RCL!D112</f>
        <v>0</v>
      </c>
      <c r="F112" s="74">
        <f>RCL!E112</f>
        <v>0</v>
      </c>
      <c r="G112" s="75">
        <f>RCL!F112</f>
        <v>0</v>
      </c>
      <c r="H112" s="75">
        <f>RCL!G112</f>
        <v>0</v>
      </c>
      <c r="I112" s="74">
        <f>RCL!H112</f>
        <v>0</v>
      </c>
      <c r="J112" s="74">
        <f>RCL!I112</f>
        <v>0</v>
      </c>
      <c r="K112" s="74">
        <f>RCL!J112</f>
        <v>0</v>
      </c>
      <c r="L112" s="74" t="str">
        <f>RCL!L112</f>
        <v/>
      </c>
      <c r="N112">
        <f>IF((I112*6)&gt;30,30,(I112*6))</f>
        <v>0</v>
      </c>
      <c r="O112">
        <f>IF(Checks!D112&lt;&gt;0,SUM(N112:N112),0)</f>
        <v>0</v>
      </c>
      <c r="P112">
        <f>IF(O112&gt;MAX_HPY_JRN,MAX_HPY_JRN,O112)</f>
        <v>0</v>
      </c>
      <c r="Q112">
        <f>IF((N112-(O112-P112))&gt;0,N112-(O112-P112),0)</f>
        <v>0</v>
      </c>
      <c r="R112" t="str">
        <f>IF(AND(H112&gt;0,H112&lt;G112),END_BEFORE_START,IF(O112&gt;MAX_HPY_JRN,NOTICE_HPY_REACHED&amp;NOTICE_NOUN_RCP,""))&amp;IF(OR(AND(RCL!C112="",RCL!D112="",RCL!E112="",RCL!F112="",RCL!H112="",RCL!I112="",RCL!J112=""),AND(RCL!C112&lt;&gt;"",RCL!D112&lt;&gt;"",RCL!E112&lt;&gt;"",RCL!F112&lt;&gt;"",RCL!H112&lt;&gt;"",RCL!I112&lt;&gt;"",RCL!J112&lt;&gt;"")),IF(AND(D112&lt;&gt;0,S112=0),INCOMPLETE_REVIEW,"")," "&amp;INCOMPLETE_ENTRY)</f>
        <v/>
      </c>
      <c r="U112" s="74" t="str">
        <f>IF(Q112=0,"",Q112/5)</f>
        <v/>
      </c>
      <c r="V112" s="74" t="str">
        <f>IF(Q112=0,"",Q112/5)</f>
        <v/>
      </c>
      <c r="W112" s="74" t="str">
        <f>IF(Q112=0,"",Q112/5)</f>
        <v/>
      </c>
      <c r="X112" s="74" t="str">
        <f>IF(Q112=0,"",Q112/5)</f>
        <v/>
      </c>
      <c r="Y112" s="74" t="str">
        <f>IF(Q112=0,"",Q112/5)</f>
        <v/>
      </c>
    </row>
    <row r="113" spans="3:25">
      <c r="D113" s="74">
        <f>RCL!C113</f>
        <v>0</v>
      </c>
      <c r="E113" s="74">
        <f>RCL!D113</f>
        <v>0</v>
      </c>
      <c r="F113" s="74">
        <f>RCL!E113</f>
        <v>0</v>
      </c>
      <c r="G113" s="75">
        <f>RCL!F113</f>
        <v>0</v>
      </c>
      <c r="H113" s="75">
        <f>RCL!G113</f>
        <v>0</v>
      </c>
      <c r="I113" s="74">
        <f>RCL!H113</f>
        <v>0</v>
      </c>
      <c r="J113" s="74">
        <f>RCL!I113</f>
        <v>0</v>
      </c>
      <c r="K113" s="74">
        <f>RCL!J113</f>
        <v>0</v>
      </c>
      <c r="L113" s="74" t="str">
        <f>RCL!L113</f>
        <v/>
      </c>
      <c r="N113">
        <f t="shared" ref="N113:N114" si="42">IF((I113*6)&gt;30,30,(I113*6))</f>
        <v>0</v>
      </c>
      <c r="O113">
        <f>IF(Checks!D113&lt;&gt;0,SUM(N112:N113),0)</f>
        <v>0</v>
      </c>
      <c r="P113">
        <f>IF(O113&gt;MAX_HPY_JRN,MAX_HPY_JRN,O113)</f>
        <v>0</v>
      </c>
      <c r="Q113">
        <f>IF((N113-(O113-P113))&gt;0,N113-(O113-P113),0)</f>
        <v>0</v>
      </c>
      <c r="R113" t="str">
        <f>IF(AND(H113&gt;0,H113&lt;G113),END_BEFORE_START,IF(O113&gt;MAX_HPY_JRN,NOTICE_HPY_REACHED&amp;NOTICE_NOUN_RCP,""))&amp;IF(OR(AND(RCL!C113="",RCL!D113="",RCL!E113="",RCL!F113="",RCL!H113="",RCL!I113="",RCL!J113=""),AND(RCL!C113&lt;&gt;"",RCL!D113&lt;&gt;"",RCL!E113&lt;&gt;"",RCL!F113&lt;&gt;"",RCL!H113&lt;&gt;"",RCL!I113&lt;&gt;"",RCL!J113&lt;&gt;"")),IF(AND(D113&lt;&gt;0,S113=0),INCOMPLETE_REVIEW,"")," "&amp;INCOMPLETE_ENTRY)</f>
        <v/>
      </c>
      <c r="U113" s="74" t="str">
        <f>IF(Q113=0,"",Q113/5)</f>
        <v/>
      </c>
      <c r="V113" s="74" t="str">
        <f>IF(Q113=0,"",Q113/5)</f>
        <v/>
      </c>
      <c r="W113" s="74" t="str">
        <f>IF(Q113=0,"",Q113/5)</f>
        <v/>
      </c>
      <c r="X113" s="74" t="str">
        <f>IF(Q113=0,"",Q113/5)</f>
        <v/>
      </c>
      <c r="Y113" s="74" t="str">
        <f>IF(Q113=0,"",Q113/5)</f>
        <v/>
      </c>
    </row>
    <row r="114" spans="3:25">
      <c r="D114" s="74">
        <f>RCL!C114</f>
        <v>0</v>
      </c>
      <c r="E114" s="74">
        <f>RCL!D114</f>
        <v>0</v>
      </c>
      <c r="F114" s="74">
        <f>RCL!E114</f>
        <v>0</v>
      </c>
      <c r="G114" s="75">
        <f>RCL!F114</f>
        <v>0</v>
      </c>
      <c r="H114" s="75">
        <f>RCL!G114</f>
        <v>0</v>
      </c>
      <c r="I114" s="74">
        <f>RCL!H114</f>
        <v>0</v>
      </c>
      <c r="J114" s="74">
        <f>RCL!I114</f>
        <v>0</v>
      </c>
      <c r="K114" s="74">
        <f>RCL!J114</f>
        <v>0</v>
      </c>
      <c r="L114" s="74" t="str">
        <f>RCL!L114</f>
        <v/>
      </c>
      <c r="N114">
        <f t="shared" si="42"/>
        <v>0</v>
      </c>
      <c r="O114">
        <f>IF(Checks!D114&lt;&gt;0,SUM(N112:N114),0)</f>
        <v>0</v>
      </c>
      <c r="P114">
        <f>IF(O114&gt;MAX_HPY_JRN,MAX_HPY_JRN,O114)</f>
        <v>0</v>
      </c>
      <c r="Q114">
        <f>IF((N114-(O114-P114))&gt;0,N114-(O114-P114),0)</f>
        <v>0</v>
      </c>
      <c r="R114" t="str">
        <f>IF(AND(H114&gt;0,H114&lt;G114),END_BEFORE_START,IF(O114&gt;MAX_HPY_JRN,NOTICE_HPY_REACHED&amp;NOTICE_NOUN_RCP,""))&amp;IF(OR(AND(RCL!C114="",RCL!D114="",RCL!E114="",RCL!F114="",RCL!H114="",RCL!I114="",RCL!J114=""),AND(RCL!C114&lt;&gt;"",RCL!D114&lt;&gt;"",RCL!E114&lt;&gt;"",RCL!F114&lt;&gt;"",RCL!H114&lt;&gt;"",RCL!I114&lt;&gt;"",RCL!J114&lt;&gt;"")),IF(AND(D114&lt;&gt;0,S114=0),INCOMPLETE_REVIEW,"")," "&amp;INCOMPLETE_ENTRY)</f>
        <v/>
      </c>
      <c r="U114" s="74" t="str">
        <f>IF(Q114=0,"",Q114/5)</f>
        <v/>
      </c>
      <c r="V114" s="74" t="str">
        <f>IF(Q114=0,"",Q114/5)</f>
        <v/>
      </c>
      <c r="W114" s="74" t="str">
        <f>IF(Q114=0,"",Q114/5)</f>
        <v/>
      </c>
      <c r="X114" s="74" t="str">
        <f>IF(Q114=0,"",Q114/5)</f>
        <v/>
      </c>
      <c r="Y114" s="74" t="str">
        <f>IF(Q114=0,"",Q114/5)</f>
        <v/>
      </c>
    </row>
    <row r="119" spans="3:25">
      <c r="D119" t="s">
        <v>248</v>
      </c>
    </row>
    <row r="120" spans="3:25">
      <c r="C120" s="76" t="s">
        <v>236</v>
      </c>
    </row>
    <row r="121" spans="3:25">
      <c r="C121" s="76">
        <v>200</v>
      </c>
      <c r="D121" s="74" t="str">
        <f>RCT!C22</f>
        <v>Trainings geben (intern und extern)</v>
      </c>
      <c r="E121" s="74"/>
      <c r="F121" s="74"/>
      <c r="G121" s="74"/>
      <c r="H121" s="74"/>
      <c r="I121" s="74"/>
      <c r="J121" s="74"/>
      <c r="K121" s="74"/>
      <c r="L121" s="74">
        <f>RCT!L22</f>
        <v>0</v>
      </c>
      <c r="N121" t="s">
        <v>234</v>
      </c>
      <c r="O121" t="s">
        <v>238</v>
      </c>
      <c r="P121" t="s">
        <v>237</v>
      </c>
      <c r="Q121" t="s">
        <v>239</v>
      </c>
      <c r="R121" t="s">
        <v>235</v>
      </c>
    </row>
    <row r="122" spans="3:25">
      <c r="D122" s="74">
        <f>RCT!C24</f>
        <v>0</v>
      </c>
      <c r="E122" s="74">
        <f>RCT!D24</f>
        <v>0</v>
      </c>
      <c r="F122" s="74">
        <f>RCT!E24</f>
        <v>0</v>
      </c>
      <c r="G122" s="75">
        <f>RCT!F24</f>
        <v>0</v>
      </c>
      <c r="H122" s="75">
        <f>RCT!G24</f>
        <v>0</v>
      </c>
      <c r="I122" s="77">
        <f>RCT!H24*IF((H122-G122)&gt;0,3,4)</f>
        <v>0</v>
      </c>
      <c r="J122" s="74">
        <f>RCT!I24</f>
        <v>0</v>
      </c>
      <c r="K122" s="74">
        <f>RCT!K24</f>
        <v>0</v>
      </c>
      <c r="L122" s="74" t="str">
        <f>RCT!L24</f>
        <v/>
      </c>
      <c r="N122" t="str">
        <f t="shared" ref="N122:N131" si="43">IF(YEAR(G122)&gt;1900,YEAR(G122),"")</f>
        <v/>
      </c>
      <c r="O122">
        <f>I122</f>
        <v>0</v>
      </c>
      <c r="P122">
        <f t="shared" ref="P122:P131" si="44">IF(O122&gt;MAX_HPY_TRN,MAX_HPY_TRN,O122)</f>
        <v>0</v>
      </c>
      <c r="Q122">
        <f t="shared" ref="Q122:Q131" si="45">IF(AND(H122&gt;0,H122&lt;G122),0,IF((I122-(O122-P122))&gt;0,I122-(O122-P122),0))</f>
        <v>0</v>
      </c>
      <c r="R122" t="str">
        <f>IF(AND(H122&gt;0,H122&lt;G122),END_BEFORE_START,IF(O122&gt;MAX_HPY_TRN,NOTICE_HPY_REACHED&amp;N122&amp;"!",""))&amp;IF(OR(AND(RCT!C24="",RCT!D24="",RCT!E24="",RCT!F24="",RCT!H24="",RCT!I24="",RCT!K24=""),AND(RCT!C24&lt;&gt;"",RCT!D24&lt;&gt;"",RCT!E24&lt;&gt;"",RCT!F24&lt;&gt;"",RCT!H24&lt;&gt;"",RCT!I24&lt;&gt;"",RCT!K24&lt;&gt;"")),""," "&amp;INCOMPLETE_ENTRY)</f>
        <v/>
      </c>
      <c r="U122" s="74" t="str">
        <f t="shared" ref="U122:U131" si="46">IF(AND(G122&gt;RC_YEAR_1_START,G122&lt;RC_YEAR_1_END),Q122,"")</f>
        <v/>
      </c>
      <c r="V122" s="74" t="str">
        <f t="shared" ref="V122:V131" si="47">IF(AND(G122&gt;RC_YEAR_2_START,G122&lt;RC_YEAR_2_END),Q122,"")</f>
        <v/>
      </c>
      <c r="W122" s="74" t="str">
        <f t="shared" ref="W122:W131" si="48">IF(AND(G122&gt;RC_YEAR_3_START,G122&lt;RC_YEAR_3_END),Q122,"")</f>
        <v/>
      </c>
      <c r="X122" s="74" t="str">
        <f t="shared" ref="X122:X131" si="49">IF(AND(G122&gt;RC_YEAR_4_START,G122&lt;RC_YEAR_4_END),Q122,"")</f>
        <v/>
      </c>
      <c r="Y122" s="74" t="str">
        <f t="shared" ref="Y122:Y131" si="50">IF(AND(G122&gt;RC_YEAR_5_START,G122&lt;RC_YEAR_5_END),Q122,"")</f>
        <v/>
      </c>
    </row>
    <row r="123" spans="3:25">
      <c r="D123" s="74">
        <f>RCT!C25</f>
        <v>0</v>
      </c>
      <c r="E123" s="74">
        <f>RCT!D25</f>
        <v>0</v>
      </c>
      <c r="F123" s="74">
        <f>RCT!E25</f>
        <v>0</v>
      </c>
      <c r="G123" s="75">
        <f>RCT!F25</f>
        <v>0</v>
      </c>
      <c r="H123" s="75">
        <f>RCT!G25</f>
        <v>0</v>
      </c>
      <c r="I123" s="77">
        <f>RCT!H25*IF((H123-G123)&gt;0,3,4)</f>
        <v>0</v>
      </c>
      <c r="J123" s="74">
        <f>RCT!I25</f>
        <v>0</v>
      </c>
      <c r="K123" s="74">
        <f>RCT!K25</f>
        <v>0</v>
      </c>
      <c r="L123" s="74" t="str">
        <f>RCT!L25</f>
        <v/>
      </c>
      <c r="N123" t="str">
        <f t="shared" si="43"/>
        <v/>
      </c>
      <c r="O123">
        <f>SUMIF(N122:N123,N123,I122:I123)</f>
        <v>0</v>
      </c>
      <c r="P123">
        <f t="shared" si="44"/>
        <v>0</v>
      </c>
      <c r="Q123">
        <f t="shared" si="45"/>
        <v>0</v>
      </c>
      <c r="R123" t="str">
        <f>IF(AND(H123&gt;0,H123&lt;G123),END_BEFORE_START,IF(O123&gt;MAX_HPY_TRN,NOTICE_HPY_REACHED&amp;N123&amp;"!",""))&amp;IF(OR(AND(RCT!C25="",RCT!D25="",RCT!E25="",RCT!F25="",RCT!H25="",RCT!I25="",RCT!K25=""),AND(RCT!C25&lt;&gt;"",RCT!D25&lt;&gt;"",RCT!E25&lt;&gt;"",RCT!F25&lt;&gt;"",RCT!H25&lt;&gt;"",RCT!I25&lt;&gt;"",RCT!K25&lt;&gt;"")),""," "&amp;INCOMPLETE_ENTRY)</f>
        <v/>
      </c>
      <c r="U123" s="74" t="str">
        <f t="shared" si="46"/>
        <v/>
      </c>
      <c r="V123" s="74" t="str">
        <f t="shared" si="47"/>
        <v/>
      </c>
      <c r="W123" s="74" t="str">
        <f t="shared" si="48"/>
        <v/>
      </c>
      <c r="X123" s="74" t="str">
        <f t="shared" si="49"/>
        <v/>
      </c>
      <c r="Y123" s="74" t="str">
        <f t="shared" si="50"/>
        <v/>
      </c>
    </row>
    <row r="124" spans="3:25">
      <c r="D124" s="74">
        <f>RCT!C26</f>
        <v>0</v>
      </c>
      <c r="E124" s="74">
        <f>RCT!D26</f>
        <v>0</v>
      </c>
      <c r="F124" s="74">
        <f>RCT!E26</f>
        <v>0</v>
      </c>
      <c r="G124" s="75">
        <f>RCT!F26</f>
        <v>0</v>
      </c>
      <c r="H124" s="75">
        <f>RCT!G26</f>
        <v>0</v>
      </c>
      <c r="I124" s="77">
        <f>RCT!H26*IF((H124-G124)&gt;0,3,4)</f>
        <v>0</v>
      </c>
      <c r="J124" s="74">
        <f>RCT!I26</f>
        <v>0</v>
      </c>
      <c r="K124" s="74">
        <f>RCT!K26</f>
        <v>0</v>
      </c>
      <c r="L124" s="74" t="str">
        <f>RCT!L26</f>
        <v/>
      </c>
      <c r="N124" t="str">
        <f t="shared" si="43"/>
        <v/>
      </c>
      <c r="O124">
        <f>SUMIF(N122:N124,N124,I122:I124)</f>
        <v>0</v>
      </c>
      <c r="P124">
        <f t="shared" si="44"/>
        <v>0</v>
      </c>
      <c r="Q124">
        <f t="shared" si="45"/>
        <v>0</v>
      </c>
      <c r="R124" t="str">
        <f>IF(AND(H124&gt;0,H124&lt;G124),END_BEFORE_START,IF(O124&gt;MAX_HPY_TRN,NOTICE_HPY_REACHED&amp;N124&amp;"!",""))&amp;IF(OR(AND(RCT!C26="",RCT!D26="",RCT!E26="",RCT!F26="",RCT!H26="",RCT!I26="",RCT!K26=""),AND(RCT!C26&lt;&gt;"",RCT!D26&lt;&gt;"",RCT!E26&lt;&gt;"",RCT!F26&lt;&gt;"",RCT!H26&lt;&gt;"",RCT!I26&lt;&gt;"",RCT!K26&lt;&gt;"")),""," "&amp;INCOMPLETE_ENTRY)</f>
        <v/>
      </c>
      <c r="U124" s="74" t="str">
        <f t="shared" si="46"/>
        <v/>
      </c>
      <c r="V124" s="74" t="str">
        <f t="shared" si="47"/>
        <v/>
      </c>
      <c r="W124" s="74" t="str">
        <f t="shared" si="48"/>
        <v/>
      </c>
      <c r="X124" s="74" t="str">
        <f t="shared" si="49"/>
        <v/>
      </c>
      <c r="Y124" s="74" t="str">
        <f t="shared" si="50"/>
        <v/>
      </c>
    </row>
    <row r="125" spans="3:25">
      <c r="D125" s="74">
        <f>RCT!C27</f>
        <v>0</v>
      </c>
      <c r="E125" s="74">
        <f>RCT!D27</f>
        <v>0</v>
      </c>
      <c r="F125" s="74">
        <f>RCT!E27</f>
        <v>0</v>
      </c>
      <c r="G125" s="75">
        <f>RCT!F27</f>
        <v>0</v>
      </c>
      <c r="H125" s="75">
        <f>RCT!G27</f>
        <v>0</v>
      </c>
      <c r="I125" s="77">
        <f>RCT!H27*IF((H125-G125)&gt;0,3,4)</f>
        <v>0</v>
      </c>
      <c r="J125" s="74">
        <f>RCT!I27</f>
        <v>0</v>
      </c>
      <c r="K125" s="74">
        <f>RCT!K27</f>
        <v>0</v>
      </c>
      <c r="L125" s="74" t="str">
        <f>RCT!L27</f>
        <v/>
      </c>
      <c r="N125" t="str">
        <f t="shared" si="43"/>
        <v/>
      </c>
      <c r="O125">
        <f>SUMIF(N122:N125,N125,I122:I125)</f>
        <v>0</v>
      </c>
      <c r="P125">
        <f t="shared" si="44"/>
        <v>0</v>
      </c>
      <c r="Q125">
        <f t="shared" si="45"/>
        <v>0</v>
      </c>
      <c r="R125" t="str">
        <f>IF(AND(H125&gt;0,H125&lt;G125),END_BEFORE_START,IF(O125&gt;MAX_HPY_TRN,NOTICE_HPY_REACHED&amp;N125&amp;"!",""))&amp;IF(OR(AND(RCT!C27="",RCT!D27="",RCT!E27="",RCT!F27="",RCT!H27="",RCT!I27="",RCT!K27=""),AND(RCT!C27&lt;&gt;"",RCT!D27&lt;&gt;"",RCT!E27&lt;&gt;"",RCT!F27&lt;&gt;"",RCT!H27&lt;&gt;"",RCT!I27&lt;&gt;"",RCT!K27&lt;&gt;"")),""," "&amp;INCOMPLETE_ENTRY)</f>
        <v/>
      </c>
      <c r="U125" s="74" t="str">
        <f t="shared" si="46"/>
        <v/>
      </c>
      <c r="V125" s="74" t="str">
        <f t="shared" si="47"/>
        <v/>
      </c>
      <c r="W125" s="74" t="str">
        <f t="shared" si="48"/>
        <v/>
      </c>
      <c r="X125" s="74" t="str">
        <f t="shared" si="49"/>
        <v/>
      </c>
      <c r="Y125" s="74" t="str">
        <f t="shared" si="50"/>
        <v/>
      </c>
    </row>
    <row r="126" spans="3:25">
      <c r="D126" s="74">
        <f>RCT!C28</f>
        <v>0</v>
      </c>
      <c r="E126" s="74">
        <f>RCT!D28</f>
        <v>0</v>
      </c>
      <c r="F126" s="74">
        <f>RCT!E28</f>
        <v>0</v>
      </c>
      <c r="G126" s="75">
        <f>RCT!F28</f>
        <v>0</v>
      </c>
      <c r="H126" s="75">
        <f>RCT!G28</f>
        <v>0</v>
      </c>
      <c r="I126" s="77">
        <f>RCT!H28*IF((H126-G126)&gt;0,3,4)</f>
        <v>0</v>
      </c>
      <c r="J126" s="74">
        <f>RCT!I28</f>
        <v>0</v>
      </c>
      <c r="K126" s="74">
        <f>RCT!K28</f>
        <v>0</v>
      </c>
      <c r="L126" s="74" t="str">
        <f>RCT!L28</f>
        <v/>
      </c>
      <c r="N126" t="str">
        <f t="shared" si="43"/>
        <v/>
      </c>
      <c r="O126">
        <f>SUMIF(N122:N126,N126,I122:I126)</f>
        <v>0</v>
      </c>
      <c r="P126">
        <f t="shared" si="44"/>
        <v>0</v>
      </c>
      <c r="Q126">
        <f t="shared" si="45"/>
        <v>0</v>
      </c>
      <c r="R126" t="str">
        <f>IF(AND(H126&gt;0,H126&lt;G126),END_BEFORE_START,IF(O126&gt;MAX_HPY_TRN,NOTICE_HPY_REACHED&amp;N126&amp;"!",""))&amp;IF(OR(AND(RCT!C28="",RCT!D28="",RCT!E28="",RCT!F28="",RCT!H28="",RCT!I28="",RCT!K28=""),AND(RCT!C28&lt;&gt;"",RCT!D28&lt;&gt;"",RCT!E28&lt;&gt;"",RCT!F28&lt;&gt;"",RCT!H28&lt;&gt;"",RCT!I28&lt;&gt;"",RCT!K28&lt;&gt;"")),""," "&amp;INCOMPLETE_ENTRY)</f>
        <v/>
      </c>
      <c r="U126" s="74" t="str">
        <f t="shared" si="46"/>
        <v/>
      </c>
      <c r="V126" s="74" t="str">
        <f t="shared" si="47"/>
        <v/>
      </c>
      <c r="W126" s="74" t="str">
        <f t="shared" si="48"/>
        <v/>
      </c>
      <c r="X126" s="74" t="str">
        <f t="shared" si="49"/>
        <v/>
      </c>
      <c r="Y126" s="74" t="str">
        <f t="shared" si="50"/>
        <v/>
      </c>
    </row>
    <row r="127" spans="3:25">
      <c r="D127" s="74">
        <f>RCT!C29</f>
        <v>0</v>
      </c>
      <c r="E127" s="74">
        <f>RCT!D29</f>
        <v>0</v>
      </c>
      <c r="F127" s="74">
        <f>RCT!E29</f>
        <v>0</v>
      </c>
      <c r="G127" s="75">
        <f>RCT!F29</f>
        <v>0</v>
      </c>
      <c r="H127" s="75">
        <f>RCT!G29</f>
        <v>0</v>
      </c>
      <c r="I127" s="77">
        <f>RCT!H29*IF((H127-G127)&gt;0,3,4)</f>
        <v>0</v>
      </c>
      <c r="J127" s="74">
        <f>RCT!I29</f>
        <v>0</v>
      </c>
      <c r="K127" s="74">
        <f>RCT!K29</f>
        <v>0</v>
      </c>
      <c r="L127" s="74" t="str">
        <f>RCT!L29</f>
        <v/>
      </c>
      <c r="N127" t="str">
        <f t="shared" si="43"/>
        <v/>
      </c>
      <c r="O127">
        <f>SUMIF(N122:N127,N127,I122:I127)</f>
        <v>0</v>
      </c>
      <c r="P127">
        <f t="shared" si="44"/>
        <v>0</v>
      </c>
      <c r="Q127">
        <f t="shared" si="45"/>
        <v>0</v>
      </c>
      <c r="R127" t="str">
        <f>IF(AND(H127&gt;0,H127&lt;G127),END_BEFORE_START,IF(O127&gt;MAX_HPY_TRN,NOTICE_HPY_REACHED&amp;N127&amp;"!",""))&amp;IF(OR(AND(RCT!C29="",RCT!D29="",RCT!E29="",RCT!F29="",RCT!H29="",RCT!I29="",RCT!K29=""),AND(RCT!C29&lt;&gt;"",RCT!D29&lt;&gt;"",RCT!E29&lt;&gt;"",RCT!F29&lt;&gt;"",RCT!H29&lt;&gt;"",RCT!I29&lt;&gt;"",RCT!K29&lt;&gt;"")),""," "&amp;INCOMPLETE_ENTRY)</f>
        <v/>
      </c>
      <c r="U127" s="74" t="str">
        <f t="shared" si="46"/>
        <v/>
      </c>
      <c r="V127" s="74" t="str">
        <f t="shared" si="47"/>
        <v/>
      </c>
      <c r="W127" s="74" t="str">
        <f t="shared" si="48"/>
        <v/>
      </c>
      <c r="X127" s="74" t="str">
        <f t="shared" si="49"/>
        <v/>
      </c>
      <c r="Y127" s="74" t="str">
        <f t="shared" si="50"/>
        <v/>
      </c>
    </row>
    <row r="128" spans="3:25">
      <c r="D128" s="74">
        <f>RCT!C30</f>
        <v>0</v>
      </c>
      <c r="E128" s="74">
        <f>RCT!D30</f>
        <v>0</v>
      </c>
      <c r="F128" s="74">
        <f>RCT!E30</f>
        <v>0</v>
      </c>
      <c r="G128" s="75">
        <f>RCT!F30</f>
        <v>0</v>
      </c>
      <c r="H128" s="75">
        <f>RCT!G30</f>
        <v>0</v>
      </c>
      <c r="I128" s="77">
        <f>RCT!H30*IF((H128-G128)&gt;0,3,4)</f>
        <v>0</v>
      </c>
      <c r="J128" s="74">
        <f>RCT!I30</f>
        <v>0</v>
      </c>
      <c r="K128" s="74">
        <f>RCT!K30</f>
        <v>0</v>
      </c>
      <c r="L128" s="74" t="str">
        <f>RCT!L30</f>
        <v/>
      </c>
      <c r="N128" t="str">
        <f t="shared" si="43"/>
        <v/>
      </c>
      <c r="O128">
        <f>SUMIF(N122:N128,N128,I122:I128)</f>
        <v>0</v>
      </c>
      <c r="P128">
        <f t="shared" si="44"/>
        <v>0</v>
      </c>
      <c r="Q128">
        <f t="shared" si="45"/>
        <v>0</v>
      </c>
      <c r="R128" t="str">
        <f>IF(AND(H128&gt;0,H128&lt;G128),END_BEFORE_START,IF(O128&gt;MAX_HPY_TRN,NOTICE_HPY_REACHED&amp;N128&amp;"!",""))&amp;IF(OR(AND(RCT!C30="",RCT!D30="",RCT!E30="",RCT!F30="",RCT!H30="",RCT!I30="",RCT!K30=""),AND(RCT!C30&lt;&gt;"",RCT!D30&lt;&gt;"",RCT!E30&lt;&gt;"",RCT!F30&lt;&gt;"",RCT!H30&lt;&gt;"",RCT!I30&lt;&gt;"",RCT!K30&lt;&gt;"")),""," "&amp;INCOMPLETE_ENTRY)</f>
        <v/>
      </c>
      <c r="U128" s="74" t="str">
        <f t="shared" si="46"/>
        <v/>
      </c>
      <c r="V128" s="74" t="str">
        <f t="shared" si="47"/>
        <v/>
      </c>
      <c r="W128" s="74" t="str">
        <f t="shared" si="48"/>
        <v/>
      </c>
      <c r="X128" s="74" t="str">
        <f t="shared" si="49"/>
        <v/>
      </c>
      <c r="Y128" s="74" t="str">
        <f t="shared" si="50"/>
        <v/>
      </c>
    </row>
    <row r="129" spans="3:25">
      <c r="D129" s="74">
        <f>RCT!C31</f>
        <v>0</v>
      </c>
      <c r="E129" s="74">
        <f>RCT!D31</f>
        <v>0</v>
      </c>
      <c r="F129" s="74">
        <f>RCT!E31</f>
        <v>0</v>
      </c>
      <c r="G129" s="75">
        <f>RCT!F31</f>
        <v>0</v>
      </c>
      <c r="H129" s="75">
        <f>RCT!G31</f>
        <v>0</v>
      </c>
      <c r="I129" s="77">
        <f>RCT!H31*IF((H129-G129)&gt;0,3,4)</f>
        <v>0</v>
      </c>
      <c r="J129" s="74">
        <f>RCT!I31</f>
        <v>0</v>
      </c>
      <c r="K129" s="74">
        <f>RCT!K31</f>
        <v>0</v>
      </c>
      <c r="L129" s="74" t="str">
        <f>RCT!L31</f>
        <v/>
      </c>
      <c r="N129" t="str">
        <f t="shared" si="43"/>
        <v/>
      </c>
      <c r="O129">
        <f>SUMIF(N122:N129,N129,I122:I129)</f>
        <v>0</v>
      </c>
      <c r="P129">
        <f t="shared" si="44"/>
        <v>0</v>
      </c>
      <c r="Q129">
        <f t="shared" si="45"/>
        <v>0</v>
      </c>
      <c r="R129" t="str">
        <f>IF(AND(H129&gt;0,H129&lt;G129),END_BEFORE_START,IF(O129&gt;MAX_HPY_TRN,NOTICE_HPY_REACHED&amp;N129&amp;"!",""))&amp;IF(OR(AND(RCT!C31="",RCT!D31="",RCT!E31="",RCT!F31="",RCT!H31="",RCT!I31="",RCT!K31=""),AND(RCT!C31&lt;&gt;"",RCT!D31&lt;&gt;"",RCT!E31&lt;&gt;"",RCT!F31&lt;&gt;"",RCT!H31&lt;&gt;"",RCT!I31&lt;&gt;"",RCT!K31&lt;&gt;"")),""," "&amp;INCOMPLETE_ENTRY)</f>
        <v/>
      </c>
      <c r="U129" s="74" t="str">
        <f t="shared" si="46"/>
        <v/>
      </c>
      <c r="V129" s="74" t="str">
        <f t="shared" si="47"/>
        <v/>
      </c>
      <c r="W129" s="74" t="str">
        <f t="shared" si="48"/>
        <v/>
      </c>
      <c r="X129" s="74" t="str">
        <f t="shared" si="49"/>
        <v/>
      </c>
      <c r="Y129" s="74" t="str">
        <f t="shared" si="50"/>
        <v/>
      </c>
    </row>
    <row r="130" spans="3:25">
      <c r="D130" s="74">
        <f>RCT!C32</f>
        <v>0</v>
      </c>
      <c r="E130" s="74">
        <f>RCT!D32</f>
        <v>0</v>
      </c>
      <c r="F130" s="74">
        <f>RCT!E32</f>
        <v>0</v>
      </c>
      <c r="G130" s="75">
        <f>RCT!F32</f>
        <v>0</v>
      </c>
      <c r="H130" s="75">
        <f>RCT!G32</f>
        <v>0</v>
      </c>
      <c r="I130" s="77">
        <f>RCT!H32*IF((H130-G130)&gt;0,3,4)</f>
        <v>0</v>
      </c>
      <c r="J130" s="74">
        <f>RCT!I32</f>
        <v>0</v>
      </c>
      <c r="K130" s="74">
        <f>RCT!K32</f>
        <v>0</v>
      </c>
      <c r="L130" s="74" t="str">
        <f>RCT!L32</f>
        <v/>
      </c>
      <c r="N130" t="str">
        <f t="shared" si="43"/>
        <v/>
      </c>
      <c r="O130">
        <f>SUMIF(N122:N130,N130,I122:I130)</f>
        <v>0</v>
      </c>
      <c r="P130">
        <f t="shared" si="44"/>
        <v>0</v>
      </c>
      <c r="Q130">
        <f t="shared" si="45"/>
        <v>0</v>
      </c>
      <c r="R130" t="str">
        <f>IF(AND(H130&gt;0,H130&lt;G130),END_BEFORE_START,IF(O130&gt;MAX_HPY_TRN,NOTICE_HPY_REACHED&amp;N130&amp;"!",""))&amp;IF(OR(AND(RCT!C32="",RCT!D32="",RCT!E32="",RCT!F32="",RCT!H32="",RCT!I32="",RCT!K32=""),AND(RCT!C32&lt;&gt;"",RCT!D32&lt;&gt;"",RCT!E32&lt;&gt;"",RCT!F32&lt;&gt;"",RCT!H32&lt;&gt;"",RCT!I32&lt;&gt;"",RCT!K32&lt;&gt;"")),""," "&amp;INCOMPLETE_ENTRY)</f>
        <v/>
      </c>
      <c r="U130" s="74" t="str">
        <f t="shared" si="46"/>
        <v/>
      </c>
      <c r="V130" s="74" t="str">
        <f t="shared" si="47"/>
        <v/>
      </c>
      <c r="W130" s="74" t="str">
        <f t="shared" si="48"/>
        <v/>
      </c>
      <c r="X130" s="74" t="str">
        <f t="shared" si="49"/>
        <v/>
      </c>
      <c r="Y130" s="74" t="str">
        <f t="shared" si="50"/>
        <v/>
      </c>
    </row>
    <row r="131" spans="3:25">
      <c r="D131" s="74">
        <f>RCT!C33</f>
        <v>0</v>
      </c>
      <c r="E131" s="74">
        <f>RCT!D33</f>
        <v>0</v>
      </c>
      <c r="F131" s="74">
        <f>RCT!E33</f>
        <v>0</v>
      </c>
      <c r="G131" s="75">
        <f>RCT!F33</f>
        <v>0</v>
      </c>
      <c r="H131" s="75">
        <f>RCT!G33</f>
        <v>0</v>
      </c>
      <c r="I131" s="77">
        <f>RCT!H33*IF((H131-G131)&gt;0,3,4)</f>
        <v>0</v>
      </c>
      <c r="J131" s="74">
        <f>RCT!I33</f>
        <v>0</v>
      </c>
      <c r="K131" s="74">
        <f>RCT!K33</f>
        <v>0</v>
      </c>
      <c r="L131" s="74" t="str">
        <f>RCT!L33</f>
        <v/>
      </c>
      <c r="N131" t="str">
        <f t="shared" si="43"/>
        <v/>
      </c>
      <c r="O131">
        <f>SUMIF(N122:N131,N131,I122:I131)</f>
        <v>0</v>
      </c>
      <c r="P131">
        <f t="shared" si="44"/>
        <v>0</v>
      </c>
      <c r="Q131">
        <f t="shared" si="45"/>
        <v>0</v>
      </c>
      <c r="R131" t="str">
        <f>IF(AND(H131&gt;0,H131&lt;G131),END_BEFORE_START,IF(O131&gt;MAX_HPY_TRN,NOTICE_HPY_REACHED&amp;N131&amp;"!",""))&amp;IF(OR(AND(RCT!C33="",RCT!D33="",RCT!E33="",RCT!F33="",RCT!H33="",RCT!I33="",RCT!K33=""),AND(RCT!C33&lt;&gt;"",RCT!D33&lt;&gt;"",RCT!E33&lt;&gt;"",RCT!F33&lt;&gt;"",RCT!H33&lt;&gt;"",RCT!I33&lt;&gt;"",RCT!K33&lt;&gt;"")),""," "&amp;INCOMPLETE_ENTRY)</f>
        <v/>
      </c>
      <c r="U131" s="74" t="str">
        <f t="shared" si="46"/>
        <v/>
      </c>
      <c r="V131" s="74" t="str">
        <f t="shared" si="47"/>
        <v/>
      </c>
      <c r="W131" s="74" t="str">
        <f t="shared" si="48"/>
        <v/>
      </c>
      <c r="X131" s="74" t="str">
        <f t="shared" si="49"/>
        <v/>
      </c>
      <c r="Y131" s="74" t="str">
        <f t="shared" si="50"/>
        <v/>
      </c>
    </row>
    <row r="132" spans="3:25">
      <c r="C132" s="76" t="s">
        <v>236</v>
      </c>
    </row>
    <row r="133" spans="3:25">
      <c r="C133" s="76">
        <v>200</v>
      </c>
      <c r="D133" s="74" t="str">
        <f>RCT!C35</f>
        <v>Mentor sein</v>
      </c>
      <c r="E133" s="74"/>
      <c r="F133" s="74"/>
      <c r="G133" s="74"/>
      <c r="H133" s="74"/>
      <c r="I133" s="74"/>
      <c r="J133" s="74"/>
      <c r="K133" s="74"/>
      <c r="L133" s="74">
        <f>RCT!L35</f>
        <v>0</v>
      </c>
      <c r="N133" t="s">
        <v>234</v>
      </c>
      <c r="O133" t="s">
        <v>238</v>
      </c>
      <c r="P133" t="s">
        <v>237</v>
      </c>
      <c r="Q133" t="s">
        <v>239</v>
      </c>
      <c r="R133" t="s">
        <v>235</v>
      </c>
    </row>
    <row r="134" spans="3:25">
      <c r="D134" s="74">
        <f>RCT!C37</f>
        <v>0</v>
      </c>
      <c r="E134" s="74">
        <f>RCT!D37</f>
        <v>0</v>
      </c>
      <c r="F134" s="74">
        <f>RCT!E37</f>
        <v>0</v>
      </c>
      <c r="G134" s="75">
        <f>RCT!F37</f>
        <v>0</v>
      </c>
      <c r="H134" s="75">
        <f>RCT!G37</f>
        <v>0</v>
      </c>
      <c r="I134" s="77">
        <f>RCT!H37*4</f>
        <v>0</v>
      </c>
      <c r="J134" s="74">
        <f>RCT!I37</f>
        <v>0</v>
      </c>
      <c r="K134" s="74">
        <f>RCT!J37</f>
        <v>0</v>
      </c>
      <c r="L134" s="74" t="str">
        <f>RCT!L37</f>
        <v/>
      </c>
      <c r="N134" t="str">
        <f t="shared" ref="N134:N143" si="51">IF(YEAR(G134)&gt;1900,YEAR(G134),"")</f>
        <v/>
      </c>
      <c r="O134">
        <f>I134</f>
        <v>0</v>
      </c>
      <c r="P134">
        <f t="shared" ref="P134:P143" si="52">IF(O134&gt;MAX_HPY_MENTOR,MAX_HPY_MENTOR,O134)</f>
        <v>0</v>
      </c>
      <c r="Q134">
        <f t="shared" ref="Q134:Q143" si="53">IF(AND(H134&gt;0,H134&lt;G134),0,IF((I134-(O134-P134))&gt;0,I134-(O134-P134),0))</f>
        <v>0</v>
      </c>
      <c r="R134" t="str">
        <f>IF(AND(H134&gt;0,H134&lt;G134),END_BEFORE_START,IF(O134&gt;MAX_HPY_MENTOR,NOTICE_HPY_REACHED&amp;N134&amp;"!",""))&amp;IF(OR(AND(RCT!C37="",RCT!D37="",RCT!E37="",RCT!F37="",RCT!H37="",RCT!I37="",RCT!J37=""),AND(RCT!C37&lt;&gt;"",RCT!D37&lt;&gt;"",RCT!E37&lt;&gt;"",RCT!F37&lt;&gt;"",RCT!H37&lt;&gt;"",RCT!I37&lt;&gt;"",RCT!J37&lt;&gt;"")),""," "&amp;INCOMPLETE_ENTRY)</f>
        <v/>
      </c>
      <c r="U134" s="74" t="str">
        <f t="shared" ref="U134:U143" si="54">IF(AND(G134&gt;RC_YEAR_1_START,G134&lt;RC_YEAR_1_END),Q134,"")</f>
        <v/>
      </c>
      <c r="V134" s="74" t="str">
        <f t="shared" ref="V134:V143" si="55">IF(AND(G134&gt;RC_YEAR_2_START,G134&lt;RC_YEAR_2_END),Q134,"")</f>
        <v/>
      </c>
      <c r="W134" s="74" t="str">
        <f t="shared" ref="W134:W143" si="56">IF(AND(G134&gt;RC_YEAR_3_START,G134&lt;RC_YEAR_3_END),Q134,"")</f>
        <v/>
      </c>
      <c r="X134" s="74" t="str">
        <f t="shared" ref="X134:X143" si="57">IF(AND(G134&gt;RC_YEAR_4_START,G134&lt;RC_YEAR_4_END),Q134,"")</f>
        <v/>
      </c>
      <c r="Y134" s="74" t="str">
        <f t="shared" ref="Y134:Y143" si="58">IF(AND(G134&gt;RC_YEAR_5_START,G134&lt;RC_YEAR_5_END),Q134,"")</f>
        <v/>
      </c>
    </row>
    <row r="135" spans="3:25">
      <c r="D135" s="74">
        <f>RCT!C38</f>
        <v>0</v>
      </c>
      <c r="E135" s="74">
        <f>RCT!D38</f>
        <v>0</v>
      </c>
      <c r="F135" s="74">
        <f>RCT!E38</f>
        <v>0</v>
      </c>
      <c r="G135" s="75">
        <f>RCT!F38</f>
        <v>0</v>
      </c>
      <c r="H135" s="75">
        <f>RCT!G38</f>
        <v>0</v>
      </c>
      <c r="I135" s="77">
        <f>RCT!H38*4</f>
        <v>0</v>
      </c>
      <c r="J135" s="74">
        <f>RCT!I38</f>
        <v>0</v>
      </c>
      <c r="K135" s="74">
        <f>RCT!J38</f>
        <v>0</v>
      </c>
      <c r="L135" s="74" t="str">
        <f>RCT!L38</f>
        <v/>
      </c>
      <c r="N135" t="str">
        <f t="shared" si="51"/>
        <v/>
      </c>
      <c r="O135">
        <f>SUMIF(N134:N135,N135,I134:I135)</f>
        <v>0</v>
      </c>
      <c r="P135">
        <f t="shared" si="52"/>
        <v>0</v>
      </c>
      <c r="Q135">
        <f t="shared" si="53"/>
        <v>0</v>
      </c>
      <c r="R135" t="str">
        <f>IF(AND(H135&gt;0,H135&lt;G135),END_BEFORE_START,IF(O135&gt;MAX_HPY_MENTOR,NOTICE_HPY_REACHED&amp;N135&amp;"!",""))&amp;IF(OR(AND(RCT!C38="",RCT!D38="",RCT!E38="",RCT!F38="",RCT!H38="",RCT!I38="",RCT!J38=""),AND(RCT!C38&lt;&gt;"",RCT!D38&lt;&gt;"",RCT!E38&lt;&gt;"",RCT!F38&lt;&gt;"",RCT!H38&lt;&gt;"",RCT!I38&lt;&gt;"",RCT!J38&lt;&gt;"")),""," "&amp;INCOMPLETE_ENTRY)</f>
        <v/>
      </c>
      <c r="U135" s="74" t="str">
        <f t="shared" si="54"/>
        <v/>
      </c>
      <c r="V135" s="74" t="str">
        <f t="shared" si="55"/>
        <v/>
      </c>
      <c r="W135" s="74" t="str">
        <f t="shared" si="56"/>
        <v/>
      </c>
      <c r="X135" s="74" t="str">
        <f t="shared" si="57"/>
        <v/>
      </c>
      <c r="Y135" s="74" t="str">
        <f t="shared" si="58"/>
        <v/>
      </c>
    </row>
    <row r="136" spans="3:25">
      <c r="D136" s="74">
        <f>RCT!C39</f>
        <v>0</v>
      </c>
      <c r="E136" s="74">
        <f>RCT!D39</f>
        <v>0</v>
      </c>
      <c r="F136" s="74">
        <f>RCT!E39</f>
        <v>0</v>
      </c>
      <c r="G136" s="75">
        <f>RCT!F39</f>
        <v>0</v>
      </c>
      <c r="H136" s="75">
        <f>RCT!G39</f>
        <v>0</v>
      </c>
      <c r="I136" s="77">
        <f>RCT!H39*4</f>
        <v>0</v>
      </c>
      <c r="J136" s="74">
        <f>RCT!I39</f>
        <v>0</v>
      </c>
      <c r="K136" s="74">
        <f>RCT!J39</f>
        <v>0</v>
      </c>
      <c r="L136" s="74" t="str">
        <f>RCT!L39</f>
        <v/>
      </c>
      <c r="N136" t="str">
        <f t="shared" si="51"/>
        <v/>
      </c>
      <c r="O136">
        <f>SUMIF(N134:N136,N136,I134:I136)</f>
        <v>0</v>
      </c>
      <c r="P136">
        <f t="shared" si="52"/>
        <v>0</v>
      </c>
      <c r="Q136">
        <f t="shared" si="53"/>
        <v>0</v>
      </c>
      <c r="R136" t="str">
        <f>IF(AND(H136&gt;0,H136&lt;G136),END_BEFORE_START,IF(O136&gt;MAX_HPY_MENTOR,NOTICE_HPY_REACHED&amp;N136&amp;"!",""))&amp;IF(OR(AND(RCT!C39="",RCT!D39="",RCT!E39="",RCT!F39="",RCT!H39="",RCT!I39="",RCT!J39=""),AND(RCT!C39&lt;&gt;"",RCT!D39&lt;&gt;"",RCT!E39&lt;&gt;"",RCT!F39&lt;&gt;"",RCT!H39&lt;&gt;"",RCT!I39&lt;&gt;"",RCT!J39&lt;&gt;"")),""," "&amp;INCOMPLETE_ENTRY)</f>
        <v/>
      </c>
      <c r="U136" s="74" t="str">
        <f t="shared" si="54"/>
        <v/>
      </c>
      <c r="V136" s="74" t="str">
        <f t="shared" si="55"/>
        <v/>
      </c>
      <c r="W136" s="74" t="str">
        <f t="shared" si="56"/>
        <v/>
      </c>
      <c r="X136" s="74" t="str">
        <f t="shared" si="57"/>
        <v/>
      </c>
      <c r="Y136" s="74" t="str">
        <f t="shared" si="58"/>
        <v/>
      </c>
    </row>
    <row r="137" spans="3:25">
      <c r="D137" s="74">
        <f>RCT!C40</f>
        <v>0</v>
      </c>
      <c r="E137" s="74">
        <f>RCT!D40</f>
        <v>0</v>
      </c>
      <c r="F137" s="74">
        <f>RCT!E40</f>
        <v>0</v>
      </c>
      <c r="G137" s="75">
        <f>RCT!F40</f>
        <v>0</v>
      </c>
      <c r="H137" s="75">
        <f>RCT!G40</f>
        <v>0</v>
      </c>
      <c r="I137" s="77">
        <f>RCT!H40*4</f>
        <v>0</v>
      </c>
      <c r="J137" s="74">
        <f>RCT!I40</f>
        <v>0</v>
      </c>
      <c r="K137" s="74">
        <f>RCT!J40</f>
        <v>0</v>
      </c>
      <c r="L137" s="74" t="str">
        <f>RCT!L40</f>
        <v/>
      </c>
      <c r="N137" t="str">
        <f t="shared" si="51"/>
        <v/>
      </c>
      <c r="O137">
        <f>SUMIF(N134:N137,N137,I134:I137)</f>
        <v>0</v>
      </c>
      <c r="P137">
        <f t="shared" si="52"/>
        <v>0</v>
      </c>
      <c r="Q137">
        <f t="shared" si="53"/>
        <v>0</v>
      </c>
      <c r="R137" t="str">
        <f>IF(AND(H137&gt;0,H137&lt;G137),END_BEFORE_START,IF(O137&gt;MAX_HPY_MENTOR,NOTICE_HPY_REACHED&amp;N137&amp;"!",""))&amp;IF(OR(AND(RCT!C40="",RCT!D40="",RCT!E40="",RCT!F40="",RCT!H40="",RCT!I40="",RCT!J40=""),AND(RCT!C40&lt;&gt;"",RCT!D40&lt;&gt;"",RCT!E40&lt;&gt;"",RCT!F40&lt;&gt;"",RCT!H40&lt;&gt;"",RCT!I40&lt;&gt;"",RCT!J40&lt;&gt;"")),""," "&amp;INCOMPLETE_ENTRY)</f>
        <v/>
      </c>
      <c r="U137" s="74" t="str">
        <f t="shared" si="54"/>
        <v/>
      </c>
      <c r="V137" s="74" t="str">
        <f t="shared" si="55"/>
        <v/>
      </c>
      <c r="W137" s="74" t="str">
        <f t="shared" si="56"/>
        <v/>
      </c>
      <c r="X137" s="74" t="str">
        <f t="shared" si="57"/>
        <v/>
      </c>
      <c r="Y137" s="74" t="str">
        <f t="shared" si="58"/>
        <v/>
      </c>
    </row>
    <row r="138" spans="3:25">
      <c r="D138" s="74">
        <f>RCT!C41</f>
        <v>0</v>
      </c>
      <c r="E138" s="74">
        <f>RCT!D41</f>
        <v>0</v>
      </c>
      <c r="F138" s="74">
        <f>RCT!E41</f>
        <v>0</v>
      </c>
      <c r="G138" s="75">
        <f>RCT!F41</f>
        <v>0</v>
      </c>
      <c r="H138" s="75">
        <f>RCT!G41</f>
        <v>0</v>
      </c>
      <c r="I138" s="77">
        <f>RCT!H41*4</f>
        <v>0</v>
      </c>
      <c r="J138" s="74">
        <f>RCT!I41</f>
        <v>0</v>
      </c>
      <c r="K138" s="74">
        <f>RCT!J41</f>
        <v>0</v>
      </c>
      <c r="L138" s="74" t="str">
        <f>RCT!L41</f>
        <v/>
      </c>
      <c r="N138" t="str">
        <f t="shared" si="51"/>
        <v/>
      </c>
      <c r="O138">
        <f>SUMIF(N134:N138,N138,I134:I138)</f>
        <v>0</v>
      </c>
      <c r="P138">
        <f t="shared" si="52"/>
        <v>0</v>
      </c>
      <c r="Q138">
        <f t="shared" si="53"/>
        <v>0</v>
      </c>
      <c r="R138" t="str">
        <f>IF(AND(H138&gt;0,H138&lt;G138),END_BEFORE_START,IF(O138&gt;MAX_HPY_MENTOR,NOTICE_HPY_REACHED&amp;N138&amp;"!",""))&amp;IF(OR(AND(RCT!C41="",RCT!D41="",RCT!E41="",RCT!F41="",RCT!H41="",RCT!I41="",RCT!J41=""),AND(RCT!C41&lt;&gt;"",RCT!D41&lt;&gt;"",RCT!E41&lt;&gt;"",RCT!F41&lt;&gt;"",RCT!H41&lt;&gt;"",RCT!I41&lt;&gt;"",RCT!J41&lt;&gt;"")),""," "&amp;INCOMPLETE_ENTRY)</f>
        <v/>
      </c>
      <c r="U138" s="74" t="str">
        <f t="shared" si="54"/>
        <v/>
      </c>
      <c r="V138" s="74" t="str">
        <f t="shared" si="55"/>
        <v/>
      </c>
      <c r="W138" s="74" t="str">
        <f t="shared" si="56"/>
        <v/>
      </c>
      <c r="X138" s="74" t="str">
        <f t="shared" si="57"/>
        <v/>
      </c>
      <c r="Y138" s="74" t="str">
        <f t="shared" si="58"/>
        <v/>
      </c>
    </row>
    <row r="139" spans="3:25">
      <c r="D139" s="74">
        <f>RCT!C42</f>
        <v>0</v>
      </c>
      <c r="E139" s="74">
        <f>RCT!D42</f>
        <v>0</v>
      </c>
      <c r="F139" s="74">
        <f>RCT!E42</f>
        <v>0</v>
      </c>
      <c r="G139" s="75">
        <f>RCT!F42</f>
        <v>0</v>
      </c>
      <c r="H139" s="75">
        <f>RCT!G42</f>
        <v>0</v>
      </c>
      <c r="I139" s="77">
        <f>RCT!H42*4</f>
        <v>0</v>
      </c>
      <c r="J139" s="74">
        <f>RCT!I42</f>
        <v>0</v>
      </c>
      <c r="K139" s="74">
        <f>RCT!J42</f>
        <v>0</v>
      </c>
      <c r="L139" s="74" t="str">
        <f>RCT!L42</f>
        <v/>
      </c>
      <c r="N139" t="str">
        <f t="shared" si="51"/>
        <v/>
      </c>
      <c r="O139">
        <f>SUMIF(N134:N139,N139,I134:I139)</f>
        <v>0</v>
      </c>
      <c r="P139">
        <f t="shared" si="52"/>
        <v>0</v>
      </c>
      <c r="Q139">
        <f t="shared" si="53"/>
        <v>0</v>
      </c>
      <c r="R139" t="str">
        <f>IF(AND(H139&gt;0,H139&lt;G139),END_BEFORE_START,IF(O139&gt;MAX_HPY_MENTOR,NOTICE_HPY_REACHED&amp;N139&amp;"!",""))&amp;IF(OR(AND(RCT!C42="",RCT!D42="",RCT!E42="",RCT!F42="",RCT!H42="",RCT!I42="",RCT!J42=""),AND(RCT!C42&lt;&gt;"",RCT!D42&lt;&gt;"",RCT!E42&lt;&gt;"",RCT!F42&lt;&gt;"",RCT!H42&lt;&gt;"",RCT!I42&lt;&gt;"",RCT!J42&lt;&gt;"")),""," "&amp;INCOMPLETE_ENTRY)</f>
        <v/>
      </c>
      <c r="U139" s="74" t="str">
        <f t="shared" si="54"/>
        <v/>
      </c>
      <c r="V139" s="74" t="str">
        <f t="shared" si="55"/>
        <v/>
      </c>
      <c r="W139" s="74" t="str">
        <f t="shared" si="56"/>
        <v/>
      </c>
      <c r="X139" s="74" t="str">
        <f t="shared" si="57"/>
        <v/>
      </c>
      <c r="Y139" s="74" t="str">
        <f t="shared" si="58"/>
        <v/>
      </c>
    </row>
    <row r="140" spans="3:25">
      <c r="D140" s="74">
        <f>RCT!C43</f>
        <v>0</v>
      </c>
      <c r="E140" s="74">
        <f>RCT!D43</f>
        <v>0</v>
      </c>
      <c r="F140" s="74">
        <f>RCT!E43</f>
        <v>0</v>
      </c>
      <c r="G140" s="75">
        <f>RCT!F43</f>
        <v>0</v>
      </c>
      <c r="H140" s="75">
        <f>RCT!G43</f>
        <v>0</v>
      </c>
      <c r="I140" s="77">
        <f>RCT!H43*4</f>
        <v>0</v>
      </c>
      <c r="J140" s="74">
        <f>RCT!I43</f>
        <v>0</v>
      </c>
      <c r="K140" s="74">
        <f>RCT!J43</f>
        <v>0</v>
      </c>
      <c r="L140" s="74" t="str">
        <f>RCT!L43</f>
        <v/>
      </c>
      <c r="N140" t="str">
        <f t="shared" si="51"/>
        <v/>
      </c>
      <c r="O140">
        <f>SUMIF(N134:N140,N140,I134:I140)</f>
        <v>0</v>
      </c>
      <c r="P140">
        <f t="shared" si="52"/>
        <v>0</v>
      </c>
      <c r="Q140">
        <f t="shared" si="53"/>
        <v>0</v>
      </c>
      <c r="R140" t="str">
        <f>IF(AND(H140&gt;0,H140&lt;G140),END_BEFORE_START,IF(O140&gt;MAX_HPY_MENTOR,NOTICE_HPY_REACHED&amp;N140&amp;"!",""))&amp;IF(OR(AND(RCT!C43="",RCT!D43="",RCT!E43="",RCT!F43="",RCT!H43="",RCT!I43="",RCT!J43=""),AND(RCT!C43&lt;&gt;"",RCT!D43&lt;&gt;"",RCT!E43&lt;&gt;"",RCT!F43&lt;&gt;"",RCT!H43&lt;&gt;"",RCT!I43&lt;&gt;"",RCT!J43&lt;&gt;"")),""," "&amp;INCOMPLETE_ENTRY)</f>
        <v/>
      </c>
      <c r="U140" s="74" t="str">
        <f t="shared" si="54"/>
        <v/>
      </c>
      <c r="V140" s="74" t="str">
        <f t="shared" si="55"/>
        <v/>
      </c>
      <c r="W140" s="74" t="str">
        <f t="shared" si="56"/>
        <v/>
      </c>
      <c r="X140" s="74" t="str">
        <f t="shared" si="57"/>
        <v/>
      </c>
      <c r="Y140" s="74" t="str">
        <f t="shared" si="58"/>
        <v/>
      </c>
    </row>
    <row r="141" spans="3:25">
      <c r="D141" s="74">
        <f>RCT!C44</f>
        <v>0</v>
      </c>
      <c r="E141" s="74">
        <f>RCT!D44</f>
        <v>0</v>
      </c>
      <c r="F141" s="74">
        <f>RCT!E44</f>
        <v>0</v>
      </c>
      <c r="G141" s="75">
        <f>RCT!F44</f>
        <v>0</v>
      </c>
      <c r="H141" s="75">
        <f>RCT!G44</f>
        <v>0</v>
      </c>
      <c r="I141" s="77">
        <f>RCT!H44*4</f>
        <v>0</v>
      </c>
      <c r="J141" s="74">
        <f>RCT!I44</f>
        <v>0</v>
      </c>
      <c r="K141" s="74">
        <f>RCT!J44</f>
        <v>0</v>
      </c>
      <c r="L141" s="74" t="str">
        <f>RCT!L44</f>
        <v/>
      </c>
      <c r="N141" t="str">
        <f t="shared" si="51"/>
        <v/>
      </c>
      <c r="O141">
        <f>SUMIF(N134:N141,N141,I134:I141)</f>
        <v>0</v>
      </c>
      <c r="P141">
        <f t="shared" si="52"/>
        <v>0</v>
      </c>
      <c r="Q141">
        <f t="shared" si="53"/>
        <v>0</v>
      </c>
      <c r="R141" t="str">
        <f>IF(AND(H141&gt;0,H141&lt;G141),END_BEFORE_START,IF(O141&gt;MAX_HPY_MENTOR,NOTICE_HPY_REACHED&amp;N141&amp;"!",""))&amp;IF(OR(AND(RCT!C44="",RCT!D44="",RCT!E44="",RCT!F44="",RCT!H44="",RCT!I44="",RCT!J44=""),AND(RCT!C44&lt;&gt;"",RCT!D44&lt;&gt;"",RCT!E44&lt;&gt;"",RCT!F44&lt;&gt;"",RCT!H44&lt;&gt;"",RCT!I44&lt;&gt;"",RCT!J44&lt;&gt;"")),""," "&amp;INCOMPLETE_ENTRY)</f>
        <v/>
      </c>
      <c r="U141" s="74" t="str">
        <f t="shared" si="54"/>
        <v/>
      </c>
      <c r="V141" s="74" t="str">
        <f t="shared" si="55"/>
        <v/>
      </c>
      <c r="W141" s="74" t="str">
        <f t="shared" si="56"/>
        <v/>
      </c>
      <c r="X141" s="74" t="str">
        <f t="shared" si="57"/>
        <v/>
      </c>
      <c r="Y141" s="74" t="str">
        <f t="shared" si="58"/>
        <v/>
      </c>
    </row>
    <row r="142" spans="3:25">
      <c r="D142" s="74">
        <f>RCT!C45</f>
        <v>0</v>
      </c>
      <c r="E142" s="74">
        <f>RCT!D45</f>
        <v>0</v>
      </c>
      <c r="F142" s="74">
        <f>RCT!E45</f>
        <v>0</v>
      </c>
      <c r="G142" s="75">
        <f>RCT!F45</f>
        <v>0</v>
      </c>
      <c r="H142" s="75">
        <f>RCT!G45</f>
        <v>0</v>
      </c>
      <c r="I142" s="77">
        <f>RCT!H45*4</f>
        <v>0</v>
      </c>
      <c r="J142" s="74">
        <f>RCT!I45</f>
        <v>0</v>
      </c>
      <c r="K142" s="74">
        <f>RCT!J45</f>
        <v>0</v>
      </c>
      <c r="L142" s="74" t="str">
        <f>RCT!L45</f>
        <v/>
      </c>
      <c r="N142" t="str">
        <f t="shared" si="51"/>
        <v/>
      </c>
      <c r="O142">
        <f>SUMIF(N134:N142,N142,I134:I142)</f>
        <v>0</v>
      </c>
      <c r="P142">
        <f t="shared" si="52"/>
        <v>0</v>
      </c>
      <c r="Q142">
        <f t="shared" si="53"/>
        <v>0</v>
      </c>
      <c r="R142" t="str">
        <f>IF(AND(H142&gt;0,H142&lt;G142),END_BEFORE_START,IF(O142&gt;MAX_HPY_MENTOR,NOTICE_HPY_REACHED&amp;N142&amp;"!",""))&amp;IF(OR(AND(RCT!C45="",RCT!D45="",RCT!E45="",RCT!F45="",RCT!H45="",RCT!I45="",RCT!J45=""),AND(RCT!C45&lt;&gt;"",RCT!D45&lt;&gt;"",RCT!E45&lt;&gt;"",RCT!F45&lt;&gt;"",RCT!H45&lt;&gt;"",RCT!I45&lt;&gt;"",RCT!J45&lt;&gt;"")),""," "&amp;INCOMPLETE_ENTRY)</f>
        <v/>
      </c>
      <c r="U142" s="74" t="str">
        <f t="shared" si="54"/>
        <v/>
      </c>
      <c r="V142" s="74" t="str">
        <f t="shared" si="55"/>
        <v/>
      </c>
      <c r="W142" s="74" t="str">
        <f t="shared" si="56"/>
        <v/>
      </c>
      <c r="X142" s="74" t="str">
        <f t="shared" si="57"/>
        <v/>
      </c>
      <c r="Y142" s="74" t="str">
        <f t="shared" si="58"/>
        <v/>
      </c>
    </row>
    <row r="143" spans="3:25">
      <c r="D143" s="74">
        <f>RCT!C46</f>
        <v>0</v>
      </c>
      <c r="E143" s="74">
        <f>RCT!D46</f>
        <v>0</v>
      </c>
      <c r="F143" s="74">
        <f>RCT!E46</f>
        <v>0</v>
      </c>
      <c r="G143" s="75">
        <f>RCT!F46</f>
        <v>0</v>
      </c>
      <c r="H143" s="75">
        <f>RCT!G46</f>
        <v>0</v>
      </c>
      <c r="I143" s="77">
        <f>RCT!H46*4</f>
        <v>0</v>
      </c>
      <c r="J143" s="74">
        <f>RCT!I46</f>
        <v>0</v>
      </c>
      <c r="K143" s="74">
        <f>RCT!J46</f>
        <v>0</v>
      </c>
      <c r="L143" s="74" t="str">
        <f>RCT!L46</f>
        <v/>
      </c>
      <c r="N143" t="str">
        <f t="shared" si="51"/>
        <v/>
      </c>
      <c r="O143">
        <f>SUMIF(N134:N143,N143,I134:I143)</f>
        <v>0</v>
      </c>
      <c r="P143">
        <f t="shared" si="52"/>
        <v>0</v>
      </c>
      <c r="Q143">
        <f t="shared" si="53"/>
        <v>0</v>
      </c>
      <c r="R143" t="str">
        <f>IF(AND(H143&gt;0,H143&lt;G143),END_BEFORE_START,IF(O143&gt;MAX_HPY_MENTOR,NOTICE_HPY_REACHED&amp;N143&amp;"!",""))&amp;IF(OR(AND(RCT!C46="",RCT!D46="",RCT!E46="",RCT!F46="",RCT!H46="",RCT!I46="",RCT!J46=""),AND(RCT!C46&lt;&gt;"",RCT!D46&lt;&gt;"",RCT!E46&lt;&gt;"",RCT!F46&lt;&gt;"",RCT!H46&lt;&gt;"",RCT!I46&lt;&gt;"",RCT!J46&lt;&gt;"")),""," "&amp;INCOMPLETE_ENTRY)</f>
        <v/>
      </c>
      <c r="U143" s="74" t="str">
        <f t="shared" si="54"/>
        <v/>
      </c>
      <c r="V143" s="74" t="str">
        <f t="shared" si="55"/>
        <v/>
      </c>
      <c r="W143" s="74" t="str">
        <f t="shared" si="56"/>
        <v/>
      </c>
      <c r="X143" s="74" t="str">
        <f t="shared" si="57"/>
        <v/>
      </c>
      <c r="Y143" s="74" t="str">
        <f t="shared" si="58"/>
        <v/>
      </c>
    </row>
    <row r="144" spans="3:25">
      <c r="C144" s="76" t="s">
        <v>236</v>
      </c>
    </row>
    <row r="145" spans="3:25">
      <c r="C145" s="76">
        <v>200</v>
      </c>
      <c r="D145" s="74" t="str">
        <f>RCT!C9</f>
        <v>Präsentieren (intern und extern)</v>
      </c>
      <c r="E145" s="74"/>
      <c r="F145" s="74"/>
      <c r="G145" s="74"/>
      <c r="H145" s="74"/>
      <c r="I145" s="74"/>
      <c r="J145" s="74"/>
      <c r="K145" s="74"/>
      <c r="L145" s="74"/>
    </row>
    <row r="146" spans="3:25">
      <c r="D146" s="74" t="str">
        <f>RCT!C10</f>
        <v>Veranstaltung / Titel der Präsentation</v>
      </c>
      <c r="E146" s="74" t="str">
        <f>RCT!D10</f>
        <v>Zielgruppe</v>
      </c>
      <c r="F146" s="74" t="str">
        <f>RCT!E10</f>
        <v>Ort</v>
      </c>
      <c r="G146" s="74" t="str">
        <f>RCT!F10</f>
        <v>Start Datum</v>
      </c>
      <c r="H146" s="74" t="str">
        <f>RCT!G10</f>
        <v>End Datum</v>
      </c>
      <c r="I146" s="74" t="str">
        <f>RCT!H10</f>
        <v>Dauer (Std.)</v>
      </c>
      <c r="J146" s="74" t="str">
        <f>RCT!I10</f>
        <v>ICB Element Referenz 1</v>
      </c>
      <c r="K146" s="74" t="str">
        <f>RCT!K10</f>
        <v>Präsentationsdokument</v>
      </c>
      <c r="L146" s="74" t="str">
        <f>RCT!L10</f>
        <v>Anerkennungsfähige Dauer (Std.)</v>
      </c>
      <c r="N146" t="s">
        <v>234</v>
      </c>
      <c r="O146" t="s">
        <v>238</v>
      </c>
      <c r="P146" t="s">
        <v>237</v>
      </c>
      <c r="Q146" t="s">
        <v>239</v>
      </c>
      <c r="R146" t="s">
        <v>235</v>
      </c>
    </row>
    <row r="147" spans="3:25">
      <c r="D147" s="74">
        <f>RCT!C11</f>
        <v>0</v>
      </c>
      <c r="E147" s="74">
        <f>RCT!D11</f>
        <v>0</v>
      </c>
      <c r="F147" s="74">
        <f>RCT!E11</f>
        <v>0</v>
      </c>
      <c r="G147" s="75">
        <f>RCT!F11</f>
        <v>0</v>
      </c>
      <c r="H147" s="75">
        <f>RCT!G11</f>
        <v>0</v>
      </c>
      <c r="I147" s="77">
        <f>RCT!H11*4</f>
        <v>0</v>
      </c>
      <c r="J147" s="74">
        <f>RCT!I11</f>
        <v>0</v>
      </c>
      <c r="K147" s="74">
        <f>RCT!K11</f>
        <v>0</v>
      </c>
      <c r="L147" s="74" t="str">
        <f>RCT!L11</f>
        <v/>
      </c>
      <c r="N147" t="str">
        <f t="shared" ref="N147:N156" si="59">IF(YEAR(G147)&gt;1900,YEAR(G147),"")</f>
        <v/>
      </c>
      <c r="O147">
        <f>I147</f>
        <v>0</v>
      </c>
      <c r="P147">
        <f t="shared" ref="P147:P156" si="60">IF(O147&gt;MAX_HPY_PRES,MAX_HPY_PRES,O147)</f>
        <v>0</v>
      </c>
      <c r="Q147">
        <f t="shared" ref="Q147:Q156" si="61">IF(AND(H147&gt;0,H147&lt;G147),0,IF((I147-(O147-P147))&gt;0,I147-(O147-P147),0))</f>
        <v>0</v>
      </c>
      <c r="R147" t="str">
        <f>IF(AND(H147&gt;0,H147&lt;G147),END_BEFORE_START,IF(O147&gt;MAX_HPY_PRES,NOTICE_HPY_REACHED&amp;N147&amp;"!",""))&amp;IF(OR(AND(RCT!C11="",RCT!D11="",RCT!E11="",RCT!F11="",RCT!H11="",RCT!I11="",RCT!K11=""),AND(RCT!C11&lt;&gt;"",RCT!D11&lt;&gt;"",RCT!E11&lt;&gt;"",RCT!F11&lt;&gt;"",RCT!H11&lt;&gt;"",RCT!I11&lt;&gt;"",RCT!K11&lt;&gt;"")),""," "&amp;INCOMPLETE_ENTRY)</f>
        <v/>
      </c>
      <c r="U147" s="74" t="str">
        <f t="shared" ref="U147:U156" si="62">IF(AND(G147&gt;RC_YEAR_1_START,G147&lt;RC_YEAR_1_END),Q147,"")</f>
        <v/>
      </c>
      <c r="V147" s="74" t="str">
        <f t="shared" ref="V147:V156" si="63">IF(AND(G147&gt;RC_YEAR_2_START,G147&lt;RC_YEAR_2_END),Q147,"")</f>
        <v/>
      </c>
      <c r="W147" s="74" t="str">
        <f t="shared" ref="W147:W156" si="64">IF(AND(G147&gt;RC_YEAR_3_START,G147&lt;RC_YEAR_3_END),Q147,"")</f>
        <v/>
      </c>
      <c r="X147" s="74" t="str">
        <f t="shared" ref="X147:X156" si="65">IF(AND(G147&gt;RC_YEAR_4_START,G147&lt;RC_YEAR_4_END),Q147,"")</f>
        <v/>
      </c>
      <c r="Y147" s="74" t="str">
        <f t="shared" ref="Y147:Y156" si="66">IF(AND(G147&gt;RC_YEAR_5_START,G147&lt;RC_YEAR_5_END),Q147,"")</f>
        <v/>
      </c>
    </row>
    <row r="148" spans="3:25">
      <c r="D148" s="74">
        <f>RCT!C12</f>
        <v>0</v>
      </c>
      <c r="E148" s="74">
        <f>RCT!D12</f>
        <v>0</v>
      </c>
      <c r="F148" s="74">
        <f>RCT!E12</f>
        <v>0</v>
      </c>
      <c r="G148" s="75">
        <f>RCT!F12</f>
        <v>0</v>
      </c>
      <c r="H148" s="75">
        <f>RCT!G12</f>
        <v>0</v>
      </c>
      <c r="I148" s="77">
        <f>RCT!H12*4</f>
        <v>0</v>
      </c>
      <c r="J148" s="74">
        <f>RCT!I12</f>
        <v>0</v>
      </c>
      <c r="K148" s="74">
        <f>RCT!K12</f>
        <v>0</v>
      </c>
      <c r="L148" s="74" t="str">
        <f>RCT!L12</f>
        <v/>
      </c>
      <c r="N148" t="str">
        <f t="shared" si="59"/>
        <v/>
      </c>
      <c r="O148">
        <f>SUMIF(N147:N148,N148,I147:I148)</f>
        <v>0</v>
      </c>
      <c r="P148">
        <f t="shared" si="60"/>
        <v>0</v>
      </c>
      <c r="Q148">
        <f t="shared" si="61"/>
        <v>0</v>
      </c>
      <c r="R148" t="str">
        <f>IF(AND(H148&gt;0,H148&lt;G148),END_BEFORE_START,IF(O148&gt;MAX_HPY_PRES,NOTICE_HPY_REACHED&amp;N148&amp;"!",""))&amp;IF(OR(AND(RCT!C12="",RCT!D12="",RCT!E12="",RCT!F12="",RCT!H12="",RCT!I12="",RCT!K12=""),AND(RCT!C12&lt;&gt;"",RCT!D12&lt;&gt;"",RCT!E12&lt;&gt;"",RCT!F12&lt;&gt;"",RCT!H12&lt;&gt;"",RCT!I12&lt;&gt;"",RCT!K12&lt;&gt;"")),""," "&amp;INCOMPLETE_ENTRY)</f>
        <v/>
      </c>
      <c r="U148" s="74" t="str">
        <f t="shared" si="62"/>
        <v/>
      </c>
      <c r="V148" s="74" t="str">
        <f t="shared" si="63"/>
        <v/>
      </c>
      <c r="W148" s="74" t="str">
        <f t="shared" si="64"/>
        <v/>
      </c>
      <c r="X148" s="74" t="str">
        <f t="shared" si="65"/>
        <v/>
      </c>
      <c r="Y148" s="74" t="str">
        <f t="shared" si="66"/>
        <v/>
      </c>
    </row>
    <row r="149" spans="3:25">
      <c r="D149" s="74">
        <f>RCT!C13</f>
        <v>0</v>
      </c>
      <c r="E149" s="74">
        <f>RCT!D13</f>
        <v>0</v>
      </c>
      <c r="F149" s="74">
        <f>RCT!E13</f>
        <v>0</v>
      </c>
      <c r="G149" s="75">
        <f>RCT!F13</f>
        <v>0</v>
      </c>
      <c r="H149" s="75">
        <f>RCT!G13</f>
        <v>0</v>
      </c>
      <c r="I149" s="77">
        <f>RCT!H13*4</f>
        <v>0</v>
      </c>
      <c r="J149" s="74">
        <f>RCT!I13</f>
        <v>0</v>
      </c>
      <c r="K149" s="74">
        <f>RCT!K13</f>
        <v>0</v>
      </c>
      <c r="L149" s="74" t="str">
        <f>RCT!L13</f>
        <v/>
      </c>
      <c r="N149" t="str">
        <f t="shared" si="59"/>
        <v/>
      </c>
      <c r="O149">
        <f>SUMIF(N147:N149,N149,I147:I149)</f>
        <v>0</v>
      </c>
      <c r="P149">
        <f t="shared" si="60"/>
        <v>0</v>
      </c>
      <c r="Q149">
        <f t="shared" si="61"/>
        <v>0</v>
      </c>
      <c r="R149" t="str">
        <f>IF(AND(H149&gt;0,H149&lt;G149),END_BEFORE_START,IF(O149&gt;MAX_HPY_PRES,NOTICE_HPY_REACHED&amp;N149&amp;"!",""))&amp;IF(OR(AND(RCT!C13="",RCT!D13="",RCT!E13="",RCT!F13="",RCT!H13="",RCT!I13="",RCT!K13=""),AND(RCT!C13&lt;&gt;"",RCT!D13&lt;&gt;"",RCT!E13&lt;&gt;"",RCT!F13&lt;&gt;"",RCT!H13&lt;&gt;"",RCT!I13&lt;&gt;"",RCT!K13&lt;&gt;"")),""," "&amp;INCOMPLETE_ENTRY)</f>
        <v/>
      </c>
      <c r="U149" s="74" t="str">
        <f t="shared" si="62"/>
        <v/>
      </c>
      <c r="V149" s="74" t="str">
        <f t="shared" si="63"/>
        <v/>
      </c>
      <c r="W149" s="74" t="str">
        <f t="shared" si="64"/>
        <v/>
      </c>
      <c r="X149" s="74" t="str">
        <f t="shared" si="65"/>
        <v/>
      </c>
      <c r="Y149" s="74" t="str">
        <f t="shared" si="66"/>
        <v/>
      </c>
    </row>
    <row r="150" spans="3:25">
      <c r="D150" s="74">
        <f>RCT!C14</f>
        <v>0</v>
      </c>
      <c r="E150" s="74">
        <f>RCT!D14</f>
        <v>0</v>
      </c>
      <c r="F150" s="74">
        <f>RCT!E14</f>
        <v>0</v>
      </c>
      <c r="G150" s="75">
        <f>RCT!F14</f>
        <v>0</v>
      </c>
      <c r="H150" s="75">
        <f>RCT!G14</f>
        <v>0</v>
      </c>
      <c r="I150" s="77">
        <f>RCT!H14*4</f>
        <v>0</v>
      </c>
      <c r="J150" s="74">
        <f>RCT!I14</f>
        <v>0</v>
      </c>
      <c r="K150" s="74">
        <f>RCT!K14</f>
        <v>0</v>
      </c>
      <c r="L150" s="74" t="str">
        <f>RCT!L14</f>
        <v/>
      </c>
      <c r="N150" t="str">
        <f t="shared" si="59"/>
        <v/>
      </c>
      <c r="O150">
        <f>SUMIF(N147:N150,N150,I147:I150)</f>
        <v>0</v>
      </c>
      <c r="P150">
        <f t="shared" si="60"/>
        <v>0</v>
      </c>
      <c r="Q150">
        <f t="shared" si="61"/>
        <v>0</v>
      </c>
      <c r="R150" t="str">
        <f>IF(AND(H150&gt;0,H150&lt;G150),END_BEFORE_START,IF(O150&gt;MAX_HPY_PRES,NOTICE_HPY_REACHED&amp;N150&amp;"!",""))&amp;IF(OR(AND(RCT!C14="",RCT!D14="",RCT!E14="",RCT!F14="",RCT!H14="",RCT!I14="",RCT!K14=""),AND(RCT!C14&lt;&gt;"",RCT!D14&lt;&gt;"",RCT!E14&lt;&gt;"",RCT!F14&lt;&gt;"",RCT!H14&lt;&gt;"",RCT!I14&lt;&gt;"",RCT!K14&lt;&gt;"")),""," "&amp;INCOMPLETE_ENTRY)</f>
        <v/>
      </c>
      <c r="U150" s="74" t="str">
        <f t="shared" si="62"/>
        <v/>
      </c>
      <c r="V150" s="74" t="str">
        <f t="shared" si="63"/>
        <v/>
      </c>
      <c r="W150" s="74" t="str">
        <f t="shared" si="64"/>
        <v/>
      </c>
      <c r="X150" s="74" t="str">
        <f t="shared" si="65"/>
        <v/>
      </c>
      <c r="Y150" s="74" t="str">
        <f t="shared" si="66"/>
        <v/>
      </c>
    </row>
    <row r="151" spans="3:25">
      <c r="D151" s="74">
        <f>RCT!C15</f>
        <v>0</v>
      </c>
      <c r="E151" s="74">
        <f>RCT!D15</f>
        <v>0</v>
      </c>
      <c r="F151" s="74">
        <f>RCT!E15</f>
        <v>0</v>
      </c>
      <c r="G151" s="75">
        <f>RCT!F15</f>
        <v>0</v>
      </c>
      <c r="H151" s="75">
        <f>RCT!G15</f>
        <v>0</v>
      </c>
      <c r="I151" s="77">
        <f>RCT!H15*4</f>
        <v>0</v>
      </c>
      <c r="J151" s="74">
        <f>RCT!I15</f>
        <v>0</v>
      </c>
      <c r="K151" s="74">
        <f>RCT!K15</f>
        <v>0</v>
      </c>
      <c r="L151" s="74" t="str">
        <f>RCT!L15</f>
        <v/>
      </c>
      <c r="N151" t="str">
        <f t="shared" si="59"/>
        <v/>
      </c>
      <c r="O151">
        <f>SUMIF(N147:N151,N151,I147:I151)</f>
        <v>0</v>
      </c>
      <c r="P151">
        <f t="shared" si="60"/>
        <v>0</v>
      </c>
      <c r="Q151">
        <f t="shared" si="61"/>
        <v>0</v>
      </c>
      <c r="R151" t="str">
        <f>IF(AND(H151&gt;0,H151&lt;G151),END_BEFORE_START,IF(O151&gt;MAX_HPY_PRES,NOTICE_HPY_REACHED&amp;N151&amp;"!",""))&amp;IF(OR(AND(RCT!C15="",RCT!D15="",RCT!E15="",RCT!F15="",RCT!H15="",RCT!I15="",RCT!K15=""),AND(RCT!C15&lt;&gt;"",RCT!D15&lt;&gt;"",RCT!E15&lt;&gt;"",RCT!F15&lt;&gt;"",RCT!H15&lt;&gt;"",RCT!I15&lt;&gt;"",RCT!K15&lt;&gt;"")),""," "&amp;INCOMPLETE_ENTRY)</f>
        <v/>
      </c>
      <c r="U151" s="74" t="str">
        <f t="shared" si="62"/>
        <v/>
      </c>
      <c r="V151" s="74" t="str">
        <f t="shared" si="63"/>
        <v/>
      </c>
      <c r="W151" s="74" t="str">
        <f t="shared" si="64"/>
        <v/>
      </c>
      <c r="X151" s="74" t="str">
        <f t="shared" si="65"/>
        <v/>
      </c>
      <c r="Y151" s="74" t="str">
        <f t="shared" si="66"/>
        <v/>
      </c>
    </row>
    <row r="152" spans="3:25">
      <c r="D152" s="74">
        <f>RCT!C16</f>
        <v>0</v>
      </c>
      <c r="E152" s="74">
        <f>RCT!D16</f>
        <v>0</v>
      </c>
      <c r="F152" s="74">
        <f>RCT!E16</f>
        <v>0</v>
      </c>
      <c r="G152" s="75">
        <f>RCT!F16</f>
        <v>0</v>
      </c>
      <c r="H152" s="75">
        <f>RCT!G16</f>
        <v>0</v>
      </c>
      <c r="I152" s="77">
        <f>RCT!H16*4</f>
        <v>0</v>
      </c>
      <c r="J152" s="74">
        <f>RCT!I16</f>
        <v>0</v>
      </c>
      <c r="K152" s="74">
        <f>RCT!K16</f>
        <v>0</v>
      </c>
      <c r="L152" s="74" t="str">
        <f>RCT!L16</f>
        <v/>
      </c>
      <c r="N152" t="str">
        <f t="shared" si="59"/>
        <v/>
      </c>
      <c r="O152">
        <f>SUMIF(N147:N152,N152,I147:I152)</f>
        <v>0</v>
      </c>
      <c r="P152">
        <f t="shared" si="60"/>
        <v>0</v>
      </c>
      <c r="Q152">
        <f t="shared" si="61"/>
        <v>0</v>
      </c>
      <c r="R152" t="str">
        <f>IF(AND(H152&gt;0,H152&lt;G152),END_BEFORE_START,IF(O152&gt;MAX_HPY_PRES,NOTICE_HPY_REACHED&amp;N152&amp;"!",""))&amp;IF(OR(AND(RCT!C16="",RCT!D16="",RCT!E16="",RCT!F16="",RCT!H16="",RCT!I16="",RCT!K16=""),AND(RCT!C16&lt;&gt;"",RCT!D16&lt;&gt;"",RCT!E16&lt;&gt;"",RCT!F16&lt;&gt;"",RCT!H16&lt;&gt;"",RCT!I16&lt;&gt;"",RCT!K16&lt;&gt;"")),""," "&amp;INCOMPLETE_ENTRY)</f>
        <v/>
      </c>
      <c r="U152" s="74" t="str">
        <f t="shared" si="62"/>
        <v/>
      </c>
      <c r="V152" s="74" t="str">
        <f t="shared" si="63"/>
        <v/>
      </c>
      <c r="W152" s="74" t="str">
        <f t="shared" si="64"/>
        <v/>
      </c>
      <c r="X152" s="74" t="str">
        <f t="shared" si="65"/>
        <v/>
      </c>
      <c r="Y152" s="74" t="str">
        <f t="shared" si="66"/>
        <v/>
      </c>
    </row>
    <row r="153" spans="3:25">
      <c r="D153" s="74">
        <f>RCT!C17</f>
        <v>0</v>
      </c>
      <c r="E153" s="74">
        <f>RCT!D17</f>
        <v>0</v>
      </c>
      <c r="F153" s="74">
        <f>RCT!E17</f>
        <v>0</v>
      </c>
      <c r="G153" s="75">
        <f>RCT!F17</f>
        <v>0</v>
      </c>
      <c r="H153" s="75">
        <f>RCT!G17</f>
        <v>0</v>
      </c>
      <c r="I153" s="77">
        <f>RCT!H17*4</f>
        <v>0</v>
      </c>
      <c r="J153" s="74">
        <f>RCT!I17</f>
        <v>0</v>
      </c>
      <c r="K153" s="74">
        <f>RCT!K17</f>
        <v>0</v>
      </c>
      <c r="L153" s="74" t="str">
        <f>RCT!L17</f>
        <v/>
      </c>
      <c r="N153" t="str">
        <f t="shared" si="59"/>
        <v/>
      </c>
      <c r="O153">
        <f>SUMIF(N147:N153,N153,I147:I153)</f>
        <v>0</v>
      </c>
      <c r="P153">
        <f t="shared" si="60"/>
        <v>0</v>
      </c>
      <c r="Q153">
        <f t="shared" si="61"/>
        <v>0</v>
      </c>
      <c r="R153" t="str">
        <f>IF(AND(H153&gt;0,H153&lt;G153),END_BEFORE_START,IF(O153&gt;MAX_HPY_PRES,NOTICE_HPY_REACHED&amp;N153&amp;"!",""))&amp;IF(OR(AND(RCT!C17="",RCT!D17="",RCT!E17="",RCT!F17="",RCT!H17="",RCT!I17="",RCT!K17=""),AND(RCT!C17&lt;&gt;"",RCT!D17&lt;&gt;"",RCT!E17&lt;&gt;"",RCT!F17&lt;&gt;"",RCT!H17&lt;&gt;"",RCT!I17&lt;&gt;"",RCT!K17&lt;&gt;"")),""," "&amp;INCOMPLETE_ENTRY)</f>
        <v/>
      </c>
      <c r="U153" s="74" t="str">
        <f t="shared" si="62"/>
        <v/>
      </c>
      <c r="V153" s="74" t="str">
        <f t="shared" si="63"/>
        <v/>
      </c>
      <c r="W153" s="74" t="str">
        <f t="shared" si="64"/>
        <v/>
      </c>
      <c r="X153" s="74" t="str">
        <f t="shared" si="65"/>
        <v/>
      </c>
      <c r="Y153" s="74" t="str">
        <f t="shared" si="66"/>
        <v/>
      </c>
    </row>
    <row r="154" spans="3:25">
      <c r="D154" s="74">
        <f>RCT!C18</f>
        <v>0</v>
      </c>
      <c r="E154" s="74">
        <f>RCT!D18</f>
        <v>0</v>
      </c>
      <c r="F154" s="74">
        <f>RCT!E18</f>
        <v>0</v>
      </c>
      <c r="G154" s="75">
        <f>RCT!F18</f>
        <v>0</v>
      </c>
      <c r="H154" s="75">
        <f>RCT!G18</f>
        <v>0</v>
      </c>
      <c r="I154" s="77">
        <f>RCT!H18*4</f>
        <v>0</v>
      </c>
      <c r="J154" s="74">
        <f>RCT!I18</f>
        <v>0</v>
      </c>
      <c r="K154" s="74">
        <f>RCT!K18</f>
        <v>0</v>
      </c>
      <c r="L154" s="74" t="str">
        <f>RCT!L18</f>
        <v/>
      </c>
      <c r="N154" t="str">
        <f t="shared" si="59"/>
        <v/>
      </c>
      <c r="O154">
        <f>SUMIF(N147:N154,N154,I147:I154)</f>
        <v>0</v>
      </c>
      <c r="P154">
        <f t="shared" si="60"/>
        <v>0</v>
      </c>
      <c r="Q154">
        <f t="shared" si="61"/>
        <v>0</v>
      </c>
      <c r="R154" t="str">
        <f>IF(AND(H154&gt;0,H154&lt;G154),END_BEFORE_START,IF(O154&gt;MAX_HPY_PRES,NOTICE_HPY_REACHED&amp;N154&amp;"!",""))&amp;IF(OR(AND(RCT!C18="",RCT!D18="",RCT!E18="",RCT!F18="",RCT!H18="",RCT!I18="",RCT!K18=""),AND(RCT!C18&lt;&gt;"",RCT!D18&lt;&gt;"",RCT!E18&lt;&gt;"",RCT!F18&lt;&gt;"",RCT!H18&lt;&gt;"",RCT!I18&lt;&gt;"",RCT!K18&lt;&gt;"")),""," "&amp;INCOMPLETE_ENTRY)</f>
        <v/>
      </c>
      <c r="U154" s="74" t="str">
        <f t="shared" si="62"/>
        <v/>
      </c>
      <c r="V154" s="74" t="str">
        <f t="shared" si="63"/>
        <v/>
      </c>
      <c r="W154" s="74" t="str">
        <f t="shared" si="64"/>
        <v/>
      </c>
      <c r="X154" s="74" t="str">
        <f t="shared" si="65"/>
        <v/>
      </c>
      <c r="Y154" s="74" t="str">
        <f t="shared" si="66"/>
        <v/>
      </c>
    </row>
    <row r="155" spans="3:25">
      <c r="D155" s="74">
        <f>RCT!C19</f>
        <v>0</v>
      </c>
      <c r="E155" s="74">
        <f>RCT!D19</f>
        <v>0</v>
      </c>
      <c r="F155" s="74">
        <f>RCT!E19</f>
        <v>0</v>
      </c>
      <c r="G155" s="75">
        <f>RCT!F19</f>
        <v>0</v>
      </c>
      <c r="H155" s="75">
        <f>RCT!G19</f>
        <v>0</v>
      </c>
      <c r="I155" s="77">
        <f>RCT!H19*4</f>
        <v>0</v>
      </c>
      <c r="J155" s="74">
        <f>RCT!I19</f>
        <v>0</v>
      </c>
      <c r="K155" s="74">
        <f>RCT!K19</f>
        <v>0</v>
      </c>
      <c r="L155" s="74" t="str">
        <f>RCT!L19</f>
        <v/>
      </c>
      <c r="N155" t="str">
        <f t="shared" si="59"/>
        <v/>
      </c>
      <c r="O155">
        <f>SUMIF(N147:N155,N155,I147:I155)</f>
        <v>0</v>
      </c>
      <c r="P155">
        <f t="shared" si="60"/>
        <v>0</v>
      </c>
      <c r="Q155">
        <f t="shared" si="61"/>
        <v>0</v>
      </c>
      <c r="R155" t="str">
        <f>IF(AND(H155&gt;0,H155&lt;G155),END_BEFORE_START,IF(O155&gt;MAX_HPY_PRES,NOTICE_HPY_REACHED&amp;N155&amp;"!",""))&amp;IF(OR(AND(RCT!C19="",RCT!D19="",RCT!E19="",RCT!F19="",RCT!H19="",RCT!I19="",RCT!K19=""),AND(RCT!C19&lt;&gt;"",RCT!D19&lt;&gt;"",RCT!E19&lt;&gt;"",RCT!F19&lt;&gt;"",RCT!H19&lt;&gt;"",RCT!I19&lt;&gt;"",RCT!K19&lt;&gt;"")),""," "&amp;INCOMPLETE_ENTRY)</f>
        <v/>
      </c>
      <c r="U155" s="74" t="str">
        <f t="shared" si="62"/>
        <v/>
      </c>
      <c r="V155" s="74" t="str">
        <f t="shared" si="63"/>
        <v/>
      </c>
      <c r="W155" s="74" t="str">
        <f t="shared" si="64"/>
        <v/>
      </c>
      <c r="X155" s="74" t="str">
        <f t="shared" si="65"/>
        <v/>
      </c>
      <c r="Y155" s="74" t="str">
        <f t="shared" si="66"/>
        <v/>
      </c>
    </row>
    <row r="156" spans="3:25">
      <c r="D156" s="74">
        <f>RCT!C20</f>
        <v>0</v>
      </c>
      <c r="E156" s="74">
        <f>RCT!D20</f>
        <v>0</v>
      </c>
      <c r="F156" s="74">
        <f>RCT!E20</f>
        <v>0</v>
      </c>
      <c r="G156" s="75">
        <f>RCT!F20</f>
        <v>0</v>
      </c>
      <c r="H156" s="75">
        <f>RCT!G20</f>
        <v>0</v>
      </c>
      <c r="I156" s="77">
        <f>RCT!H20*4</f>
        <v>0</v>
      </c>
      <c r="J156" s="74">
        <f>RCT!I20</f>
        <v>0</v>
      </c>
      <c r="K156" s="74">
        <f>RCT!K20</f>
        <v>0</v>
      </c>
      <c r="L156" s="74" t="str">
        <f>RCT!L20</f>
        <v/>
      </c>
      <c r="N156" t="str">
        <f t="shared" si="59"/>
        <v/>
      </c>
      <c r="O156">
        <f>SUMIF(N147:N156,N156,I147:I156)</f>
        <v>0</v>
      </c>
      <c r="P156">
        <f t="shared" si="60"/>
        <v>0</v>
      </c>
      <c r="Q156">
        <f t="shared" si="61"/>
        <v>0</v>
      </c>
      <c r="R156" t="str">
        <f>IF(AND(H156&gt;0,H156&lt;G156),END_BEFORE_START,IF(O156&gt;MAX_HPY_PRES,NOTICE_HPY_REACHED&amp;N156&amp;"!",""))&amp;IF(OR(AND(RCT!C20="",RCT!D20="",RCT!E20="",RCT!F20="",RCT!H20="",RCT!I20="",RCT!K20=""),AND(RCT!C20&lt;&gt;"",RCT!D20&lt;&gt;"",RCT!E20&lt;&gt;"",RCT!F20&lt;&gt;"",RCT!H20&lt;&gt;"",RCT!I20&lt;&gt;"",RCT!K20&lt;&gt;"")),""," "&amp;INCOMPLETE_ENTRY)</f>
        <v/>
      </c>
      <c r="U156" s="74" t="str">
        <f t="shared" si="62"/>
        <v/>
      </c>
      <c r="V156" s="74" t="str">
        <f t="shared" si="63"/>
        <v/>
      </c>
      <c r="W156" s="74" t="str">
        <f t="shared" si="64"/>
        <v/>
      </c>
      <c r="X156" s="74" t="str">
        <f t="shared" si="65"/>
        <v/>
      </c>
      <c r="Y156" s="74" t="str">
        <f t="shared" si="66"/>
        <v/>
      </c>
    </row>
    <row r="157" spans="3:25">
      <c r="C157" s="76" t="s">
        <v>236</v>
      </c>
    </row>
    <row r="158" spans="3:25">
      <c r="C158" s="76">
        <v>200</v>
      </c>
      <c r="D158" s="74" t="str">
        <f>RCT!C22</f>
        <v>Trainings geben (intern und extern)</v>
      </c>
      <c r="E158" s="74"/>
      <c r="F158" s="74"/>
      <c r="G158" s="74"/>
      <c r="H158" s="74"/>
      <c r="I158" s="74"/>
      <c r="J158" s="74"/>
      <c r="K158" s="74"/>
      <c r="L158" s="74"/>
    </row>
    <row r="159" spans="3:25">
      <c r="D159" s="74" t="str">
        <f>RCT!C49</f>
        <v>Titel / Thema</v>
      </c>
      <c r="E159" s="74" t="str">
        <f>RCT!D49</f>
        <v>Verlag</v>
      </c>
      <c r="F159" s="74" t="str">
        <f>RCT!E49</f>
        <v>Ort</v>
      </c>
      <c r="G159" s="74" t="str">
        <f>RCT!F49</f>
        <v>Veröffentlichungsdatum</v>
      </c>
      <c r="H159" s="74" t="str">
        <f>RCT!G49</f>
        <v xml:space="preserve"> </v>
      </c>
      <c r="I159" s="74" t="str">
        <f>RCT!H49</f>
        <v>Seitenanzahl</v>
      </c>
      <c r="J159" s="74" t="str">
        <f>RCT!I49</f>
        <v>ICB Element Referenz 1</v>
      </c>
      <c r="K159" s="74" t="str">
        <f>RCT!J49</f>
        <v>ICB Element Referenz 2</v>
      </c>
      <c r="L159" s="74" t="str">
        <f>RCT!L49</f>
        <v>Anerkennungsfähige Dauer (Std.)</v>
      </c>
      <c r="N159" t="s">
        <v>234</v>
      </c>
      <c r="O159" t="s">
        <v>238</v>
      </c>
      <c r="P159" t="s">
        <v>237</v>
      </c>
      <c r="Q159" t="s">
        <v>239</v>
      </c>
      <c r="R159" t="s">
        <v>235</v>
      </c>
    </row>
    <row r="160" spans="3:25">
      <c r="D160" s="74">
        <f>RCT!C50</f>
        <v>0</v>
      </c>
      <c r="E160" s="74">
        <f>RCT!D50</f>
        <v>0</v>
      </c>
      <c r="F160" s="74">
        <f>RCT!E50</f>
        <v>0</v>
      </c>
      <c r="G160" s="75">
        <f>RCT!F50</f>
        <v>0</v>
      </c>
      <c r="H160" s="75">
        <f>RCT!G50</f>
        <v>0</v>
      </c>
      <c r="I160" s="77">
        <f>RCT!H50*2</f>
        <v>0</v>
      </c>
      <c r="J160" s="74">
        <f>RCT!I50</f>
        <v>0</v>
      </c>
      <c r="K160" s="74">
        <f>RCT!J50</f>
        <v>0</v>
      </c>
      <c r="L160" s="74" t="str">
        <f>RCT!L50</f>
        <v/>
      </c>
      <c r="N160" t="str">
        <f t="shared" ref="N160:N169" si="67">IF(YEAR(G160)&gt;1900,YEAR(G160),"")</f>
        <v/>
      </c>
      <c r="O160">
        <f>I160</f>
        <v>0</v>
      </c>
      <c r="P160">
        <f t="shared" ref="P160:P169" si="68">IF(O160&gt;MAX_HPY_PRES,MAX_HPY_PUB,O160)</f>
        <v>0</v>
      </c>
      <c r="Q160">
        <f t="shared" ref="Q160:Q169" si="69">IF(AND(H160&gt;0,H160&lt;G160),0,IF((I160-(O160-P160))&gt;0,I160-(O160-P160),0))</f>
        <v>0</v>
      </c>
      <c r="R160" t="str">
        <f>IF(AND(H160&gt;0,H160&lt;G160),END_BEFORE_START,IF(O160&gt;MAX_HPY_PUB,NOTICE_HPY_REACHED&amp;N160&amp;"!",""))&amp;IF(OR(AND(RCT!C50="",RCT!D50="",RCT!E50="",RCT!F50="",RCT!H50="",RCT!I50="",RCT!J50=""),AND(RCT!C50&lt;&gt;"",RCT!D50&lt;&gt;"",RCT!E50&lt;&gt;"",RCT!F50&lt;&gt;"",RCT!H50&lt;&gt;"",RCT!I50&lt;&gt;"",RCT!J50&lt;&gt;"")),""," "&amp;INCOMPLETE_ENTRY)</f>
        <v/>
      </c>
      <c r="U160" s="74" t="str">
        <f t="shared" ref="U160:U169" si="70">IF(AND(G160&gt;RC_YEAR_1_START,G160&lt;RC_YEAR_1_END),Q160,"")</f>
        <v/>
      </c>
      <c r="V160" s="74" t="str">
        <f t="shared" ref="V160:V169" si="71">IF(AND(G160&gt;RC_YEAR_2_START,G160&lt;RC_YEAR_2_END),Q160,"")</f>
        <v/>
      </c>
      <c r="W160" s="74" t="str">
        <f t="shared" ref="W160:W169" si="72">IF(AND(G160&gt;RC_YEAR_3_START,G160&lt;RC_YEAR_3_END),Q160,"")</f>
        <v/>
      </c>
      <c r="X160" s="74" t="str">
        <f t="shared" ref="X160:X169" si="73">IF(AND(G160&gt;RC_YEAR_4_START,G160&lt;RC_YEAR_4_END),Q160,"")</f>
        <v/>
      </c>
      <c r="Y160" s="74" t="str">
        <f t="shared" ref="Y160:Y169" si="74">IF(AND(G160&gt;RC_YEAR_5_START,G160&lt;RC_YEAR_5_END),Q160,"")</f>
        <v/>
      </c>
    </row>
    <row r="161" spans="2:25">
      <c r="D161" s="74">
        <f>RCT!C51</f>
        <v>0</v>
      </c>
      <c r="E161" s="74">
        <f>RCT!D51</f>
        <v>0</v>
      </c>
      <c r="F161" s="74">
        <f>RCT!E51</f>
        <v>0</v>
      </c>
      <c r="G161" s="75">
        <f>RCT!F51</f>
        <v>0</v>
      </c>
      <c r="H161" s="75">
        <f>RCT!G51</f>
        <v>0</v>
      </c>
      <c r="I161" s="77">
        <f>RCT!H51*2</f>
        <v>0</v>
      </c>
      <c r="J161" s="74">
        <f>RCT!I51</f>
        <v>0</v>
      </c>
      <c r="K161" s="74">
        <f>RCT!J51</f>
        <v>0</v>
      </c>
      <c r="L161" s="74" t="str">
        <f>RCT!L51</f>
        <v/>
      </c>
      <c r="N161" t="str">
        <f t="shared" si="67"/>
        <v/>
      </c>
      <c r="O161">
        <f>SUMIF(N160:N161,N161,I160:I161)</f>
        <v>0</v>
      </c>
      <c r="P161">
        <f t="shared" si="68"/>
        <v>0</v>
      </c>
      <c r="Q161">
        <f t="shared" si="69"/>
        <v>0</v>
      </c>
      <c r="R161" t="str">
        <f>IF(AND(H161&gt;0,H161&lt;G161),END_BEFORE_START,IF(O161&gt;MAX_HPY_PUB,NOTICE_HPY_REACHED&amp;N161&amp;"!",""))&amp;IF(OR(AND(RCT!C51="",RCT!D51="",RCT!E51="",RCT!F51="",RCT!H51="",RCT!I51="",RCT!J51=""),AND(RCT!C51&lt;&gt;"",RCT!D51&lt;&gt;"",RCT!E51&lt;&gt;"",RCT!F51&lt;&gt;"",RCT!H51&lt;&gt;"",RCT!I51&lt;&gt;"",RCT!J51&lt;&gt;"")),""," "&amp;INCOMPLETE_ENTRY)</f>
        <v/>
      </c>
      <c r="U161" s="74" t="str">
        <f t="shared" si="70"/>
        <v/>
      </c>
      <c r="V161" s="74" t="str">
        <f t="shared" si="71"/>
        <v/>
      </c>
      <c r="W161" s="74" t="str">
        <f t="shared" si="72"/>
        <v/>
      </c>
      <c r="X161" s="74" t="str">
        <f t="shared" si="73"/>
        <v/>
      </c>
      <c r="Y161" s="74" t="str">
        <f t="shared" si="74"/>
        <v/>
      </c>
    </row>
    <row r="162" spans="2:25">
      <c r="D162" s="74">
        <f>RCT!C52</f>
        <v>0</v>
      </c>
      <c r="E162" s="74">
        <f>RCT!D52</f>
        <v>0</v>
      </c>
      <c r="F162" s="74">
        <f>RCT!E52</f>
        <v>0</v>
      </c>
      <c r="G162" s="75">
        <f>RCT!F52</f>
        <v>0</v>
      </c>
      <c r="H162" s="75">
        <f>RCT!G52</f>
        <v>0</v>
      </c>
      <c r="I162" s="77">
        <f>RCT!H52*2</f>
        <v>0</v>
      </c>
      <c r="J162" s="74">
        <f>RCT!I52</f>
        <v>0</v>
      </c>
      <c r="K162" s="74">
        <f>RCT!J52</f>
        <v>0</v>
      </c>
      <c r="L162" s="74" t="str">
        <f>RCT!L52</f>
        <v/>
      </c>
      <c r="N162" t="str">
        <f t="shared" si="67"/>
        <v/>
      </c>
      <c r="O162">
        <f>SUMIF(N160:N162,N162,I160:I162)</f>
        <v>0</v>
      </c>
      <c r="P162">
        <f t="shared" si="68"/>
        <v>0</v>
      </c>
      <c r="Q162">
        <f t="shared" si="69"/>
        <v>0</v>
      </c>
      <c r="R162" t="str">
        <f>IF(AND(H162&gt;0,H162&lt;G162),END_BEFORE_START,IF(O162&gt;MAX_HPY_PUB,NOTICE_HPY_REACHED&amp;N162&amp;"!",""))&amp;IF(OR(AND(RCT!C52="",RCT!D52="",RCT!E52="",RCT!F52="",RCT!H52="",RCT!I52="",RCT!J52=""),AND(RCT!C52&lt;&gt;"",RCT!D52&lt;&gt;"",RCT!E52&lt;&gt;"",RCT!F52&lt;&gt;"",RCT!H52&lt;&gt;"",RCT!I52&lt;&gt;"",RCT!J52&lt;&gt;"")),""," "&amp;INCOMPLETE_ENTRY)</f>
        <v/>
      </c>
      <c r="U162" s="74" t="str">
        <f t="shared" si="70"/>
        <v/>
      </c>
      <c r="V162" s="74" t="str">
        <f t="shared" si="71"/>
        <v/>
      </c>
      <c r="W162" s="74" t="str">
        <f t="shared" si="72"/>
        <v/>
      </c>
      <c r="X162" s="74" t="str">
        <f t="shared" si="73"/>
        <v/>
      </c>
      <c r="Y162" s="74" t="str">
        <f t="shared" si="74"/>
        <v/>
      </c>
    </row>
    <row r="163" spans="2:25">
      <c r="D163" s="74">
        <f>RCT!C53</f>
        <v>0</v>
      </c>
      <c r="E163" s="74">
        <f>RCT!D53</f>
        <v>0</v>
      </c>
      <c r="F163" s="74">
        <f>RCT!E53</f>
        <v>0</v>
      </c>
      <c r="G163" s="75">
        <f>RCT!F53</f>
        <v>0</v>
      </c>
      <c r="H163" s="75">
        <f>RCT!G53</f>
        <v>0</v>
      </c>
      <c r="I163" s="77">
        <f>RCT!H53*2</f>
        <v>0</v>
      </c>
      <c r="J163" s="74">
        <f>RCT!I53</f>
        <v>0</v>
      </c>
      <c r="K163" s="74">
        <f>RCT!J53</f>
        <v>0</v>
      </c>
      <c r="L163" s="74" t="str">
        <f>RCT!L53</f>
        <v/>
      </c>
      <c r="N163" t="str">
        <f t="shared" si="67"/>
        <v/>
      </c>
      <c r="O163">
        <f>SUMIF(N160:N163,N163,I160:I163)</f>
        <v>0</v>
      </c>
      <c r="P163">
        <f t="shared" si="68"/>
        <v>0</v>
      </c>
      <c r="Q163">
        <f t="shared" si="69"/>
        <v>0</v>
      </c>
      <c r="R163" t="str">
        <f>IF(AND(H163&gt;0,H163&lt;G163),END_BEFORE_START,IF(O163&gt;MAX_HPY_PUB,NOTICE_HPY_REACHED&amp;N163&amp;"!",""))&amp;IF(OR(AND(RCT!C53="",RCT!D53="",RCT!E53="",RCT!F53="",RCT!H53="",RCT!I53="",RCT!J53=""),AND(RCT!C53&lt;&gt;"",RCT!D53&lt;&gt;"",RCT!E53&lt;&gt;"",RCT!F53&lt;&gt;"",RCT!H53&lt;&gt;"",RCT!I53&lt;&gt;"",RCT!J53&lt;&gt;"")),""," "&amp;INCOMPLETE_ENTRY)</f>
        <v/>
      </c>
      <c r="U163" s="74" t="str">
        <f t="shared" si="70"/>
        <v/>
      </c>
      <c r="V163" s="74" t="str">
        <f t="shared" si="71"/>
        <v/>
      </c>
      <c r="W163" s="74" t="str">
        <f t="shared" si="72"/>
        <v/>
      </c>
      <c r="X163" s="74" t="str">
        <f t="shared" si="73"/>
        <v/>
      </c>
      <c r="Y163" s="74" t="str">
        <f t="shared" si="74"/>
        <v/>
      </c>
    </row>
    <row r="164" spans="2:25">
      <c r="D164" s="74">
        <f>RCT!C54</f>
        <v>0</v>
      </c>
      <c r="E164" s="74">
        <f>RCT!D54</f>
        <v>0</v>
      </c>
      <c r="F164" s="74">
        <f>RCT!E54</f>
        <v>0</v>
      </c>
      <c r="G164" s="75">
        <f>RCT!F54</f>
        <v>0</v>
      </c>
      <c r="H164" s="75">
        <f>RCT!G54</f>
        <v>0</v>
      </c>
      <c r="I164" s="77">
        <f>RCT!H54*2</f>
        <v>0</v>
      </c>
      <c r="J164" s="74">
        <f>RCT!I54</f>
        <v>0</v>
      </c>
      <c r="K164" s="74">
        <f>RCT!J54</f>
        <v>0</v>
      </c>
      <c r="L164" s="74" t="str">
        <f>RCT!L54</f>
        <v/>
      </c>
      <c r="N164" t="str">
        <f t="shared" si="67"/>
        <v/>
      </c>
      <c r="O164">
        <f>SUMIF(N160:N164,N164,I160:I164)</f>
        <v>0</v>
      </c>
      <c r="P164">
        <f t="shared" si="68"/>
        <v>0</v>
      </c>
      <c r="Q164">
        <f t="shared" si="69"/>
        <v>0</v>
      </c>
      <c r="R164" t="str">
        <f>IF(AND(H164&gt;0,H164&lt;G164),END_BEFORE_START,IF(O164&gt;MAX_HPY_PUB,NOTICE_HPY_REACHED&amp;N164&amp;"!",""))&amp;IF(OR(AND(RCT!C54="",RCT!D54="",RCT!E54="",RCT!F54="",RCT!H54="",RCT!I54="",RCT!J54=""),AND(RCT!C54&lt;&gt;"",RCT!D54&lt;&gt;"",RCT!E54&lt;&gt;"",RCT!F54&lt;&gt;"",RCT!H54&lt;&gt;"",RCT!I54&lt;&gt;"",RCT!J54&lt;&gt;"")),""," "&amp;INCOMPLETE_ENTRY)</f>
        <v/>
      </c>
      <c r="U164" s="74" t="str">
        <f t="shared" si="70"/>
        <v/>
      </c>
      <c r="V164" s="74" t="str">
        <f t="shared" si="71"/>
        <v/>
      </c>
      <c r="W164" s="74" t="str">
        <f t="shared" si="72"/>
        <v/>
      </c>
      <c r="X164" s="74" t="str">
        <f t="shared" si="73"/>
        <v/>
      </c>
      <c r="Y164" s="74" t="str">
        <f t="shared" si="74"/>
        <v/>
      </c>
    </row>
    <row r="165" spans="2:25">
      <c r="D165" s="74">
        <f>RCT!C55</f>
        <v>0</v>
      </c>
      <c r="E165" s="74">
        <f>RCT!D55</f>
        <v>0</v>
      </c>
      <c r="F165" s="74">
        <f>RCT!E55</f>
        <v>0</v>
      </c>
      <c r="G165" s="75">
        <f>RCT!F55</f>
        <v>0</v>
      </c>
      <c r="H165" s="75">
        <f>RCT!G55</f>
        <v>0</v>
      </c>
      <c r="I165" s="77">
        <f>RCT!H55*2</f>
        <v>0</v>
      </c>
      <c r="J165" s="74">
        <f>RCT!I55</f>
        <v>0</v>
      </c>
      <c r="K165" s="74">
        <f>RCT!J55</f>
        <v>0</v>
      </c>
      <c r="L165" s="74" t="str">
        <f>RCT!L55</f>
        <v/>
      </c>
      <c r="N165" t="str">
        <f t="shared" si="67"/>
        <v/>
      </c>
      <c r="O165">
        <f>SUMIF(N160:N165,N165,I160:I165)</f>
        <v>0</v>
      </c>
      <c r="P165">
        <f t="shared" si="68"/>
        <v>0</v>
      </c>
      <c r="Q165">
        <f t="shared" si="69"/>
        <v>0</v>
      </c>
      <c r="R165" t="str">
        <f>IF(AND(H165&gt;0,H165&lt;G165),END_BEFORE_START,IF(O165&gt;MAX_HPY_PUB,NOTICE_HPY_REACHED&amp;N165&amp;"!",""))&amp;IF(OR(AND(RCT!C55="",RCT!D55="",RCT!E55="",RCT!F55="",RCT!H55="",RCT!I55="",RCT!J55=""),AND(RCT!C55&lt;&gt;"",RCT!D55&lt;&gt;"",RCT!E55&lt;&gt;"",RCT!F55&lt;&gt;"",RCT!H55&lt;&gt;"",RCT!I55&lt;&gt;"",RCT!J55&lt;&gt;"")),""," "&amp;INCOMPLETE_ENTRY)</f>
        <v/>
      </c>
      <c r="U165" s="74" t="str">
        <f t="shared" si="70"/>
        <v/>
      </c>
      <c r="V165" s="74" t="str">
        <f t="shared" si="71"/>
        <v/>
      </c>
      <c r="W165" s="74" t="str">
        <f t="shared" si="72"/>
        <v/>
      </c>
      <c r="X165" s="74" t="str">
        <f t="shared" si="73"/>
        <v/>
      </c>
      <c r="Y165" s="74" t="str">
        <f t="shared" si="74"/>
        <v/>
      </c>
    </row>
    <row r="166" spans="2:25">
      <c r="D166" s="74">
        <f>RCT!C56</f>
        <v>0</v>
      </c>
      <c r="E166" s="74">
        <f>RCT!D56</f>
        <v>0</v>
      </c>
      <c r="F166" s="74">
        <f>RCT!E56</f>
        <v>0</v>
      </c>
      <c r="G166" s="75">
        <f>RCT!F56</f>
        <v>0</v>
      </c>
      <c r="H166" s="75">
        <f>RCT!G56</f>
        <v>0</v>
      </c>
      <c r="I166" s="77">
        <f>RCT!H56*2</f>
        <v>0</v>
      </c>
      <c r="J166" s="74">
        <f>RCT!I56</f>
        <v>0</v>
      </c>
      <c r="K166" s="74">
        <f>RCT!J56</f>
        <v>0</v>
      </c>
      <c r="L166" s="74" t="str">
        <f>RCT!L56</f>
        <v/>
      </c>
      <c r="N166" t="str">
        <f t="shared" si="67"/>
        <v/>
      </c>
      <c r="O166">
        <f>SUMIF(N160:N166,N166,I160:I166)</f>
        <v>0</v>
      </c>
      <c r="P166">
        <f t="shared" si="68"/>
        <v>0</v>
      </c>
      <c r="Q166">
        <f t="shared" si="69"/>
        <v>0</v>
      </c>
      <c r="R166" t="str">
        <f>IF(AND(H166&gt;0,H166&lt;G166),END_BEFORE_START,IF(O166&gt;MAX_HPY_PUB,NOTICE_HPY_REACHED&amp;N166&amp;"!",""))&amp;IF(OR(AND(RCT!C56="",RCT!D56="",RCT!E56="",RCT!F56="",RCT!H56="",RCT!I56="",RCT!J56=""),AND(RCT!C56&lt;&gt;"",RCT!D56&lt;&gt;"",RCT!E56&lt;&gt;"",RCT!F56&lt;&gt;"",RCT!H56&lt;&gt;"",RCT!I56&lt;&gt;"",RCT!J56&lt;&gt;"")),""," "&amp;INCOMPLETE_ENTRY)</f>
        <v/>
      </c>
      <c r="U166" s="74" t="str">
        <f t="shared" si="70"/>
        <v/>
      </c>
      <c r="V166" s="74" t="str">
        <f t="shared" si="71"/>
        <v/>
      </c>
      <c r="W166" s="74" t="str">
        <f t="shared" si="72"/>
        <v/>
      </c>
      <c r="X166" s="74" t="str">
        <f t="shared" si="73"/>
        <v/>
      </c>
      <c r="Y166" s="74" t="str">
        <f t="shared" si="74"/>
        <v/>
      </c>
    </row>
    <row r="167" spans="2:25">
      <c r="D167" s="74">
        <f>RCT!C57</f>
        <v>0</v>
      </c>
      <c r="E167" s="74">
        <f>RCT!D57</f>
        <v>0</v>
      </c>
      <c r="F167" s="74">
        <f>RCT!E57</f>
        <v>0</v>
      </c>
      <c r="G167" s="75">
        <f>RCT!F57</f>
        <v>0</v>
      </c>
      <c r="H167" s="75">
        <f>RCT!G57</f>
        <v>0</v>
      </c>
      <c r="I167" s="77">
        <f>RCT!H57*2</f>
        <v>0</v>
      </c>
      <c r="J167" s="74">
        <f>RCT!I57</f>
        <v>0</v>
      </c>
      <c r="K167" s="74">
        <f>RCT!J57</f>
        <v>0</v>
      </c>
      <c r="L167" s="74" t="str">
        <f>RCT!L57</f>
        <v/>
      </c>
      <c r="N167" t="str">
        <f t="shared" si="67"/>
        <v/>
      </c>
      <c r="O167">
        <f>SUMIF(N160:N167,N167,I160:I167)</f>
        <v>0</v>
      </c>
      <c r="P167">
        <f t="shared" si="68"/>
        <v>0</v>
      </c>
      <c r="Q167">
        <f t="shared" si="69"/>
        <v>0</v>
      </c>
      <c r="R167" t="str">
        <f>IF(AND(H167&gt;0,H167&lt;G167),END_BEFORE_START,IF(O167&gt;MAX_HPY_PUB,NOTICE_HPY_REACHED&amp;N167&amp;"!",""))&amp;IF(OR(AND(RCT!C57="",RCT!D57="",RCT!E57="",RCT!F57="",RCT!H57="",RCT!I57="",RCT!J57=""),AND(RCT!C57&lt;&gt;"",RCT!D57&lt;&gt;"",RCT!E57&lt;&gt;"",RCT!F57&lt;&gt;"",RCT!H57&lt;&gt;"",RCT!I57&lt;&gt;"",RCT!J57&lt;&gt;"")),""," "&amp;INCOMPLETE_ENTRY)</f>
        <v/>
      </c>
      <c r="U167" s="74" t="str">
        <f t="shared" si="70"/>
        <v/>
      </c>
      <c r="V167" s="74" t="str">
        <f t="shared" si="71"/>
        <v/>
      </c>
      <c r="W167" s="74" t="str">
        <f t="shared" si="72"/>
        <v/>
      </c>
      <c r="X167" s="74" t="str">
        <f t="shared" si="73"/>
        <v/>
      </c>
      <c r="Y167" s="74" t="str">
        <f t="shared" si="74"/>
        <v/>
      </c>
    </row>
    <row r="168" spans="2:25">
      <c r="D168" s="74">
        <f>RCT!C58</f>
        <v>0</v>
      </c>
      <c r="E168" s="74">
        <f>RCT!D58</f>
        <v>0</v>
      </c>
      <c r="F168" s="74">
        <f>RCT!E58</f>
        <v>0</v>
      </c>
      <c r="G168" s="75">
        <f>RCT!F58</f>
        <v>0</v>
      </c>
      <c r="H168" s="75">
        <f>RCT!G58</f>
        <v>0</v>
      </c>
      <c r="I168" s="77">
        <f>RCT!H58*2</f>
        <v>0</v>
      </c>
      <c r="J168" s="74">
        <f>RCT!I58</f>
        <v>0</v>
      </c>
      <c r="K168" s="74">
        <f>RCT!J58</f>
        <v>0</v>
      </c>
      <c r="L168" s="74" t="str">
        <f>RCT!L58</f>
        <v/>
      </c>
      <c r="N168" t="str">
        <f t="shared" si="67"/>
        <v/>
      </c>
      <c r="O168">
        <f>SUMIF(N160:N168,N168,I160:I168)</f>
        <v>0</v>
      </c>
      <c r="P168">
        <f t="shared" si="68"/>
        <v>0</v>
      </c>
      <c r="Q168">
        <f t="shared" si="69"/>
        <v>0</v>
      </c>
      <c r="R168" t="str">
        <f>IF(AND(H168&gt;0,H168&lt;G168),END_BEFORE_START,IF(O168&gt;MAX_HPY_PUB,NOTICE_HPY_REACHED&amp;N168&amp;"!",""))&amp;IF(OR(AND(RCT!C58="",RCT!D58="",RCT!E58="",RCT!F58="",RCT!H58="",RCT!I58="",RCT!J58=""),AND(RCT!C58&lt;&gt;"",RCT!D58&lt;&gt;"",RCT!E58&lt;&gt;"",RCT!F58&lt;&gt;"",RCT!H58&lt;&gt;"",RCT!I58&lt;&gt;"",RCT!J58&lt;&gt;"")),""," "&amp;INCOMPLETE_ENTRY)</f>
        <v/>
      </c>
      <c r="U168" s="74" t="str">
        <f t="shared" si="70"/>
        <v/>
      </c>
      <c r="V168" s="74" t="str">
        <f t="shared" si="71"/>
        <v/>
      </c>
      <c r="W168" s="74" t="str">
        <f t="shared" si="72"/>
        <v/>
      </c>
      <c r="X168" s="74" t="str">
        <f t="shared" si="73"/>
        <v/>
      </c>
      <c r="Y168" s="74" t="str">
        <f t="shared" si="74"/>
        <v/>
      </c>
    </row>
    <row r="169" spans="2:25">
      <c r="D169" s="74">
        <f>RCT!C59</f>
        <v>0</v>
      </c>
      <c r="E169" s="74">
        <f>RCT!D59</f>
        <v>0</v>
      </c>
      <c r="F169" s="74">
        <f>RCT!E59</f>
        <v>0</v>
      </c>
      <c r="G169" s="75">
        <f>RCT!F59</f>
        <v>0</v>
      </c>
      <c r="H169" s="75">
        <f>RCT!G59</f>
        <v>0</v>
      </c>
      <c r="I169" s="77">
        <f>RCT!H59*2</f>
        <v>0</v>
      </c>
      <c r="J169" s="74">
        <f>RCT!I59</f>
        <v>0</v>
      </c>
      <c r="K169" s="74">
        <f>RCT!J59</f>
        <v>0</v>
      </c>
      <c r="L169" s="74" t="str">
        <f>RCT!L59</f>
        <v/>
      </c>
      <c r="N169" t="str">
        <f t="shared" si="67"/>
        <v/>
      </c>
      <c r="O169">
        <f>SUMIF(N160:N169,N169,I160:I169)</f>
        <v>0</v>
      </c>
      <c r="P169">
        <f t="shared" si="68"/>
        <v>0</v>
      </c>
      <c r="Q169">
        <f t="shared" si="69"/>
        <v>0</v>
      </c>
      <c r="R169" t="str">
        <f>IF(AND(H169&gt;0,H169&lt;G169),END_BEFORE_START,IF(O169&gt;MAX_HPY_PUB,NOTICE_HPY_REACHED&amp;N169&amp;"!",""))&amp;IF(OR(AND(RCT!C59="",RCT!D59="",RCT!E59="",RCT!F59="",RCT!H59="",RCT!I59="",RCT!J59=""),AND(RCT!C59&lt;&gt;"",RCT!D59&lt;&gt;"",RCT!E59&lt;&gt;"",RCT!F59&lt;&gt;"",RCT!H59&lt;&gt;"",RCT!I59&lt;&gt;"",RCT!J59&lt;&gt;"")),""," "&amp;INCOMPLETE_ENTRY)</f>
        <v/>
      </c>
      <c r="U169" s="74" t="str">
        <f t="shared" si="70"/>
        <v/>
      </c>
      <c r="V169" s="74" t="str">
        <f t="shared" si="71"/>
        <v/>
      </c>
      <c r="W169" s="74" t="str">
        <f t="shared" si="72"/>
        <v/>
      </c>
      <c r="X169" s="74" t="str">
        <f t="shared" si="73"/>
        <v/>
      </c>
      <c r="Y169" s="74" t="str">
        <f t="shared" si="74"/>
        <v/>
      </c>
    </row>
    <row r="171" spans="2:25">
      <c r="T171" s="168" t="s">
        <v>707</v>
      </c>
      <c r="U171" s="74">
        <f>SUM(U11:U169)</f>
        <v>0</v>
      </c>
      <c r="V171" s="74">
        <f>SUM(V11:V169)</f>
        <v>0</v>
      </c>
      <c r="W171" s="74">
        <f>SUM(W11:W169)</f>
        <v>0</v>
      </c>
      <c r="X171" s="74">
        <f>SUM(X11:X169)</f>
        <v>0</v>
      </c>
      <c r="Y171" s="74">
        <f>SUM(Y11:Y169)</f>
        <v>0</v>
      </c>
    </row>
    <row r="176" spans="2:25" ht="19">
      <c r="B176" s="2509" t="s">
        <v>692</v>
      </c>
      <c r="C176" s="2509"/>
      <c r="D176" s="2509"/>
      <c r="E176" s="2509"/>
      <c r="F176" s="2509"/>
      <c r="G176" s="2509"/>
      <c r="H176" s="2509"/>
      <c r="I176" s="2509"/>
      <c r="J176" s="2509"/>
      <c r="K176" s="2509"/>
      <c r="L176" s="2509"/>
    </row>
    <row r="178" spans="4:6">
      <c r="E178" t="s">
        <v>698</v>
      </c>
      <c r="F178" t="s">
        <v>699</v>
      </c>
    </row>
    <row r="179" spans="4:6">
      <c r="D179" t="s">
        <v>693</v>
      </c>
      <c r="E179" s="167" t="str">
        <f>COV!E12</f>
        <v/>
      </c>
      <c r="F179" s="167" t="str">
        <f>IF(RC_YEAR_1_START="","",EDATE(E179,12))</f>
        <v/>
      </c>
    </row>
    <row r="180" spans="4:6">
      <c r="D180" t="s">
        <v>694</v>
      </c>
      <c r="E180" s="167" t="str">
        <f>F179</f>
        <v/>
      </c>
      <c r="F180" s="167" t="str">
        <f>IF(RC_YEAR_1_START="","",EDATE(E180,12))</f>
        <v/>
      </c>
    </row>
    <row r="181" spans="4:6">
      <c r="D181" t="s">
        <v>695</v>
      </c>
      <c r="E181" s="167" t="str">
        <f>F180</f>
        <v/>
      </c>
      <c r="F181" s="167" t="str">
        <f>IF(RC_YEAR_1_START="","",EDATE(E181,12))</f>
        <v/>
      </c>
    </row>
    <row r="182" spans="4:6">
      <c r="D182" t="s">
        <v>696</v>
      </c>
      <c r="E182" s="167" t="str">
        <f>F181</f>
        <v/>
      </c>
      <c r="F182" s="167" t="str">
        <f>IF(RC_YEAR_1_START="","",EDATE(E182,12))</f>
        <v/>
      </c>
    </row>
    <row r="183" spans="4:6">
      <c r="D183" t="s">
        <v>697</v>
      </c>
      <c r="E183" s="167" t="str">
        <f>F182</f>
        <v/>
      </c>
      <c r="F183" s="167" t="str">
        <f>IF(RC_YEAR_1_START="","",EDATE(E183,12))</f>
        <v/>
      </c>
    </row>
  </sheetData>
  <sheetProtection algorithmName="SHA-512" hashValue="K+hr/md8G7h4Z4al+Xyug3x4CVS49otiniynQEFU8G2Ie8KWqiyx4JoUN3KVeCU6TT2Q2nMJ6Dza/ygjHfJTaA==" saltValue="p4rm8X7abCqKCHM9/kgzUw==" spinCount="100000" sheet="1" objects="1" scenarios="1" selectLockedCells="1" selectUnlockedCells="1"/>
  <mergeCells count="2">
    <mergeCell ref="B176:L176"/>
    <mergeCell ref="U9:Y9"/>
  </mergeCells>
  <pageMargins left="0.7" right="0.7" top="0.78740157499999996" bottom="0.78740157499999996" header="0.3" footer="0.3"/>
  <pageSetup paperSize="9" scale="46" orientation="portrait" r:id="rId1"/>
  <headerFooter>
    <oddFooter>&amp;LDok.-Nr./Rev./Datum
F01         /  03   / 04.12.2020
&amp;F&amp;C&amp;U&amp;A&amp;RSeite &amp;P / &amp;N</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76E9C-A503-4DA1-A894-6954D1B60E83}">
  <sheetPr codeName="Level_D_Dp_Int">
    <tabColor rgb="FFC00000"/>
  </sheetPr>
  <dimension ref="B1:AG201"/>
  <sheetViews>
    <sheetView showGridLines="0" zoomScale="80" zoomScaleNormal="80" zoomScalePageLayoutView="125" workbookViewId="0">
      <pane ySplit="9" topLeftCell="A10" activePane="bottomLeft" state="frozen"/>
      <selection activeCell="B109" sqref="B109"/>
      <selection pane="bottomLeft" activeCell="E103" sqref="E103"/>
    </sheetView>
  </sheetViews>
  <sheetFormatPr baseColWidth="10" defaultColWidth="10" defaultRowHeight="14"/>
  <cols>
    <col min="1" max="1" width="2.33203125" style="314" customWidth="1"/>
    <col min="2" max="2" width="7.5" style="313" customWidth="1"/>
    <col min="3" max="3" width="51.83203125" style="314" customWidth="1"/>
    <col min="4" max="4" width="0.83203125" style="314" customWidth="1"/>
    <col min="5" max="5" width="17.83203125" style="314" customWidth="1"/>
    <col min="6" max="6" width="1" style="314" customWidth="1"/>
    <col min="7" max="7" width="17.83203125" style="314" customWidth="1"/>
    <col min="8" max="8" width="1" style="314" hidden="1" customWidth="1"/>
    <col min="9" max="9" width="6.33203125" style="314" hidden="1" customWidth="1"/>
    <col min="10" max="10" width="1" style="314" hidden="1" customWidth="1"/>
    <col min="11" max="11" width="6.33203125" style="314" hidden="1" customWidth="1"/>
    <col min="12" max="12" width="1" style="314" hidden="1" customWidth="1"/>
    <col min="13" max="13" width="6.33203125" style="314" hidden="1" customWidth="1"/>
    <col min="14" max="14" width="1" style="314" hidden="1" customWidth="1"/>
    <col min="15" max="15" width="6.33203125" style="314" hidden="1" customWidth="1"/>
    <col min="16" max="16" width="0.83203125" style="314" customWidth="1"/>
    <col min="17" max="17" width="2" style="315" customWidth="1"/>
    <col min="18" max="18" width="17.83203125" style="314" customWidth="1"/>
    <col min="19" max="19" width="0.83203125" style="314" customWidth="1"/>
    <col min="20" max="20" width="4.83203125" style="314" hidden="1" customWidth="1"/>
    <col min="21" max="21" width="0.83203125" style="314" customWidth="1"/>
    <col min="22" max="22" width="13.1640625" style="313" customWidth="1"/>
    <col min="23" max="23" width="0.83203125" style="314" customWidth="1"/>
    <col min="24" max="24" width="14.6640625" style="314" customWidth="1"/>
    <col min="25" max="25" width="20.33203125" style="314" customWidth="1"/>
    <col min="26" max="26" width="14.6640625" style="314" customWidth="1"/>
    <col min="27" max="27" width="1.6640625" style="314" customWidth="1"/>
    <col min="28" max="28" width="21.1640625" style="314" customWidth="1"/>
    <col min="29" max="29" width="14" style="314" customWidth="1"/>
    <col min="30" max="30" width="14" style="314" hidden="1" customWidth="1"/>
    <col min="31" max="32" width="9.5" style="314" hidden="1" customWidth="1"/>
    <col min="33" max="33" width="9.5" style="314" customWidth="1"/>
    <col min="34" max="34" width="10" style="314" customWidth="1"/>
    <col min="35" max="16384" width="10" style="314"/>
  </cols>
  <sheetData>
    <row r="1" spans="2:33" ht="40.5" customHeight="1">
      <c r="C1" s="316" t="str">
        <f>IF(GC_Flag="",Dictionary!B932,Dictionary!B933&amp;": Interview")</f>
        <v>Bewertung Level D</v>
      </c>
    </row>
    <row r="2" spans="2:33" ht="18" customHeight="1">
      <c r="C2" s="324" t="str">
        <f>'EXP Eval'!B3</f>
        <v xml:space="preserve">, </v>
      </c>
      <c r="F2" s="386"/>
      <c r="G2" s="386"/>
      <c r="H2" s="386"/>
      <c r="I2" s="386"/>
      <c r="J2" s="386"/>
      <c r="K2" s="387"/>
      <c r="L2" s="386"/>
      <c r="R2" s="388"/>
      <c r="S2" s="388"/>
      <c r="T2" s="388"/>
      <c r="U2" s="388"/>
      <c r="V2" s="387" t="s">
        <v>289</v>
      </c>
      <c r="W2" s="388"/>
      <c r="X2" s="389" t="str">
        <f>COV!V13</f>
        <v>Lead Assessor:</v>
      </c>
      <c r="Y2" s="387" t="s">
        <v>482</v>
      </c>
      <c r="Z2" s="389" t="str">
        <f>COV!V14</f>
        <v>Co Assessor:</v>
      </c>
      <c r="AA2" s="317"/>
      <c r="AB2" s="317"/>
      <c r="AC2" s="317"/>
      <c r="AD2" s="317"/>
      <c r="AE2" s="318"/>
      <c r="AF2" s="318"/>
      <c r="AG2" s="318"/>
    </row>
    <row r="3" spans="2:33" ht="19.25" customHeight="1">
      <c r="D3" s="320"/>
      <c r="E3" s="317"/>
      <c r="F3" s="317"/>
      <c r="G3" s="317"/>
      <c r="H3" s="317"/>
      <c r="I3" s="317"/>
      <c r="J3" s="317"/>
      <c r="K3" s="317"/>
      <c r="L3" s="317"/>
      <c r="R3" s="317"/>
      <c r="S3" s="317"/>
      <c r="T3" s="317"/>
      <c r="U3" s="317"/>
      <c r="V3" s="317"/>
      <c r="W3" s="317"/>
      <c r="X3" s="317"/>
      <c r="Y3" s="317"/>
      <c r="Z3" s="317"/>
      <c r="AA3" s="317"/>
      <c r="AB3" s="321"/>
      <c r="AC3" s="321"/>
      <c r="AD3" s="321"/>
      <c r="AE3" s="321"/>
      <c r="AF3" s="321"/>
      <c r="AG3" s="321"/>
    </row>
    <row r="4" spans="2:33" ht="19.25" customHeight="1">
      <c r="B4" s="390">
        <f>R179</f>
        <v>0</v>
      </c>
      <c r="C4" s="391" t="str">
        <f>Dictionary!B923</f>
        <v>Perspective Kompetenz Elemente erfüllt</v>
      </c>
      <c r="D4" s="320"/>
      <c r="E4" s="2510" t="s">
        <v>4169</v>
      </c>
      <c r="F4" s="2511"/>
      <c r="G4" s="2511"/>
      <c r="H4" s="2511"/>
      <c r="I4" s="2511"/>
      <c r="J4" s="2511"/>
      <c r="K4" s="2511"/>
      <c r="L4" s="2511"/>
      <c r="M4" s="2511"/>
      <c r="N4" s="2511"/>
      <c r="O4" s="2511"/>
      <c r="P4" s="2511"/>
      <c r="Q4" s="2511"/>
      <c r="R4" s="2512"/>
      <c r="S4" s="317"/>
      <c r="T4" s="317"/>
      <c r="U4" s="317"/>
      <c r="V4" s="420"/>
      <c r="W4" s="421"/>
      <c r="X4" s="421"/>
      <c r="Y4" s="421"/>
      <c r="Z4" s="422"/>
      <c r="AA4" s="317"/>
      <c r="AD4" s="321"/>
      <c r="AE4" s="321"/>
      <c r="AF4" s="321"/>
      <c r="AG4" s="321"/>
    </row>
    <row r="5" spans="2:33" ht="19.25" customHeight="1">
      <c r="B5" s="394">
        <f>R180</f>
        <v>0</v>
      </c>
      <c r="C5" s="395" t="str">
        <f>Dictionary!B924</f>
        <v>People Kompetenz Elemente erfüllt</v>
      </c>
      <c r="D5" s="320"/>
      <c r="E5" s="2513"/>
      <c r="F5" s="2514"/>
      <c r="G5" s="2514"/>
      <c r="H5" s="2514"/>
      <c r="I5" s="2514"/>
      <c r="J5" s="2514"/>
      <c r="K5" s="2514"/>
      <c r="L5" s="2514"/>
      <c r="M5" s="2514"/>
      <c r="N5" s="2514"/>
      <c r="O5" s="2514"/>
      <c r="P5" s="2514"/>
      <c r="Q5" s="2514"/>
      <c r="R5" s="2515"/>
      <c r="S5" s="317"/>
      <c r="T5" s="317"/>
      <c r="U5" s="317"/>
      <c r="V5" s="423"/>
      <c r="W5" s="424"/>
      <c r="X5" s="314" t="s">
        <v>4090</v>
      </c>
      <c r="Y5" s="1766">
        <f>E185</f>
        <v>0</v>
      </c>
      <c r="Z5" s="1765"/>
      <c r="AA5" s="317"/>
      <c r="AD5" s="321"/>
      <c r="AE5" s="321"/>
      <c r="AF5" s="321"/>
      <c r="AG5" s="321"/>
    </row>
    <row r="6" spans="2:33" ht="19.25" customHeight="1">
      <c r="B6" s="394">
        <f>R181</f>
        <v>0</v>
      </c>
      <c r="C6" s="395" t="str">
        <f>Dictionary!B925</f>
        <v>Practice Kompetenz Elemente erfüllt</v>
      </c>
      <c r="D6" s="320"/>
      <c r="E6" s="2513"/>
      <c r="F6" s="2514"/>
      <c r="G6" s="2514"/>
      <c r="H6" s="2514"/>
      <c r="I6" s="2514"/>
      <c r="J6" s="2514"/>
      <c r="K6" s="2514"/>
      <c r="L6" s="2514"/>
      <c r="M6" s="2514"/>
      <c r="N6" s="2514"/>
      <c r="O6" s="2514"/>
      <c r="P6" s="2514"/>
      <c r="Q6" s="2514"/>
      <c r="R6" s="2515"/>
      <c r="S6" s="317"/>
      <c r="T6" s="317"/>
      <c r="U6" s="317"/>
      <c r="V6" s="423"/>
      <c r="W6" s="424"/>
      <c r="X6" s="424" t="s">
        <v>4091</v>
      </c>
      <c r="Y6" s="1769">
        <f>SUM(E179:E181)</f>
        <v>0</v>
      </c>
      <c r="Z6" s="1765"/>
      <c r="AA6" s="317"/>
      <c r="AD6" s="321"/>
      <c r="AE6" s="321"/>
      <c r="AF6" s="321"/>
      <c r="AG6" s="321"/>
    </row>
    <row r="7" spans="2:33" ht="17" customHeight="1">
      <c r="B7" s="1764">
        <f>SUM(B4:B6)</f>
        <v>0</v>
      </c>
      <c r="C7" s="397" t="str">
        <f>Dictionary!B946&amp;": "&amp;R182</f>
        <v xml:space="preserve">Gesamtergebnis: </v>
      </c>
      <c r="D7" s="318"/>
      <c r="E7" s="2516"/>
      <c r="F7" s="2517"/>
      <c r="G7" s="2517"/>
      <c r="H7" s="2517"/>
      <c r="I7" s="2517"/>
      <c r="J7" s="2517"/>
      <c r="K7" s="2517"/>
      <c r="L7" s="2517"/>
      <c r="M7" s="2517"/>
      <c r="N7" s="2517"/>
      <c r="O7" s="2517"/>
      <c r="P7" s="2517"/>
      <c r="Q7" s="2517"/>
      <c r="R7" s="2518"/>
      <c r="S7" s="317"/>
      <c r="T7" s="317"/>
      <c r="U7" s="317"/>
      <c r="V7" s="425"/>
      <c r="W7" s="426"/>
      <c r="X7" s="426"/>
      <c r="Y7" s="426"/>
      <c r="Z7" s="427"/>
      <c r="AA7" s="317"/>
      <c r="AB7" s="321"/>
      <c r="AC7" s="321"/>
      <c r="AD7" s="321"/>
      <c r="AE7" s="323"/>
      <c r="AF7" s="323"/>
      <c r="AG7" s="318"/>
    </row>
    <row r="8" spans="2:33" s="326" customFormat="1" ht="10.25" customHeight="1">
      <c r="B8" s="399"/>
      <c r="C8" s="400"/>
      <c r="D8" s="325"/>
      <c r="E8" s="325"/>
      <c r="F8" s="325"/>
      <c r="G8" s="325"/>
      <c r="H8" s="325"/>
      <c r="I8" s="325"/>
      <c r="J8" s="325"/>
      <c r="K8" s="325"/>
      <c r="L8" s="325"/>
      <c r="M8" s="325"/>
      <c r="N8" s="325"/>
      <c r="O8" s="317"/>
      <c r="Q8" s="327"/>
      <c r="R8" s="317"/>
      <c r="V8" s="328"/>
      <c r="W8" s="317"/>
      <c r="X8" s="329"/>
      <c r="Y8" s="330"/>
      <c r="Z8" s="321"/>
      <c r="AA8" s="321"/>
      <c r="AB8" s="321"/>
      <c r="AC8" s="321"/>
      <c r="AD8" s="321"/>
      <c r="AE8" s="331"/>
      <c r="AF8" s="331"/>
      <c r="AG8" s="325"/>
    </row>
    <row r="9" spans="2:33" s="326" customFormat="1" ht="36" customHeight="1">
      <c r="B9" s="332"/>
      <c r="C9" s="1836" t="str">
        <f>IF(SEGPMC_Flag="","","CE's marked blue already evaluated at Level C during written test.")</f>
        <v/>
      </c>
      <c r="D9" s="325"/>
      <c r="E9" s="333" t="s">
        <v>2513</v>
      </c>
      <c r="F9" s="334"/>
      <c r="G9" s="335" t="s">
        <v>4093</v>
      </c>
      <c r="H9" s="334"/>
      <c r="I9" s="335" t="s">
        <v>483</v>
      </c>
      <c r="J9" s="334"/>
      <c r="K9" s="335" t="s">
        <v>480</v>
      </c>
      <c r="L9" s="325"/>
      <c r="M9" s="336" t="s">
        <v>479</v>
      </c>
      <c r="N9" s="337"/>
      <c r="O9" s="338" t="s">
        <v>478</v>
      </c>
      <c r="Q9" s="331"/>
      <c r="R9" s="1768" t="str">
        <f>Dictionary!B939</f>
        <v>Interview Eergebnis</v>
      </c>
      <c r="V9" s="2373" t="s">
        <v>4168</v>
      </c>
      <c r="W9" s="2374"/>
      <c r="X9" s="2374"/>
      <c r="Y9" s="2374"/>
      <c r="Z9" s="2375"/>
      <c r="AA9" s="317"/>
      <c r="AB9" s="317"/>
      <c r="AC9" s="317"/>
      <c r="AD9" s="317"/>
    </row>
    <row r="10" spans="2:33" ht="18" customHeight="1">
      <c r="C10" s="334" t="str">
        <f>Dictionary!B1262</f>
        <v>Perspective Kompetenz Elemente</v>
      </c>
      <c r="D10" s="315"/>
      <c r="E10" s="315"/>
      <c r="F10" s="315"/>
      <c r="G10" s="315"/>
      <c r="H10" s="315"/>
      <c r="I10" s="315"/>
      <c r="J10" s="315"/>
      <c r="K10" s="315"/>
      <c r="L10" s="315"/>
      <c r="M10" s="315"/>
      <c r="N10" s="315"/>
      <c r="O10" s="315"/>
      <c r="R10" s="315"/>
      <c r="AE10" s="340"/>
      <c r="AF10" s="340"/>
      <c r="AG10" s="326"/>
    </row>
    <row r="11" spans="2:33" ht="20" customHeight="1">
      <c r="B11" s="341" t="s">
        <v>475</v>
      </c>
      <c r="C11" s="342" t="str">
        <f>Dictionary!B1263</f>
        <v>Strategie</v>
      </c>
      <c r="D11" s="343"/>
      <c r="E11" s="353"/>
      <c r="F11" s="343"/>
      <c r="G11" s="1767" t="str">
        <f>IF(AND('Level D Scoring'!E11="",'Level D Scoring'!G11=""),"",MAX('Level D Scoring'!E11,'Level D Scoring'!G11))</f>
        <v/>
      </c>
      <c r="H11" s="345"/>
      <c r="I11" s="344"/>
      <c r="J11" s="345"/>
      <c r="K11" s="344"/>
      <c r="L11" s="343"/>
      <c r="M11" s="344"/>
      <c r="N11" s="345"/>
      <c r="O11" s="344"/>
      <c r="Q11" s="343"/>
      <c r="R11" s="346" t="str">
        <f>IF(E11="","",IF(E11&gt;Dictionary!$I$52,"Pass","Fail"))</f>
        <v/>
      </c>
      <c r="T11" s="428">
        <f>COUNTIF(T12:T16,"&gt;3")/AE11</f>
        <v>0</v>
      </c>
      <c r="V11" s="2376"/>
      <c r="W11" s="2377"/>
      <c r="X11" s="2377"/>
      <c r="Y11" s="2377"/>
      <c r="Z11" s="2378"/>
      <c r="AA11" s="348"/>
      <c r="AB11" s="348"/>
      <c r="AC11" s="348"/>
      <c r="AD11" s="348"/>
      <c r="AE11" s="349">
        <v>5</v>
      </c>
      <c r="AF11" s="349">
        <f>ROUNDUP(AE11/2,0)</f>
        <v>3</v>
      </c>
    </row>
    <row r="12" spans="2:33" ht="18" hidden="1" customHeight="1">
      <c r="B12" s="350" t="str">
        <f>".1"</f>
        <v>.1</v>
      </c>
      <c r="C12" s="351" t="s">
        <v>474</v>
      </c>
      <c r="D12" s="352"/>
      <c r="E12" s="353"/>
      <c r="F12" s="354"/>
      <c r="G12" s="1767" t="str">
        <f>IF(AND('Level D Scoring'!E12="",'Level D Scoring'!G12=""),"",MAX('Level D Scoring'!E12,'Level D Scoring'!G12))</f>
        <v/>
      </c>
      <c r="H12" s="354"/>
      <c r="I12" s="353"/>
      <c r="J12" s="354"/>
      <c r="K12" s="353"/>
      <c r="L12" s="354"/>
      <c r="M12" s="349" t="str">
        <f>IF(MAX(E12,G12,I12,K12)=0,"",MAX(E12,G12,I12,K12))</f>
        <v/>
      </c>
      <c r="N12" s="354"/>
      <c r="O12" s="355"/>
      <c r="Q12" s="356" t="str">
        <f>IF(T12&gt;0,T12,"")</f>
        <v/>
      </c>
      <c r="R12" s="346" t="str">
        <f>IF(E12="","",IF(E12&gt;Dictionary!$I$52,"Pass","Fail"))</f>
        <v/>
      </c>
      <c r="T12" s="349" t="str">
        <f>Scoring!U14</f>
        <v/>
      </c>
      <c r="V12" s="2376"/>
      <c r="W12" s="2377"/>
      <c r="X12" s="2377"/>
      <c r="Y12" s="2377"/>
      <c r="Z12" s="2378"/>
      <c r="AA12" s="348"/>
      <c r="AB12" s="348"/>
      <c r="AC12" s="348"/>
      <c r="AD12" s="348"/>
      <c r="AE12" s="349"/>
      <c r="AF12" s="349"/>
    </row>
    <row r="13" spans="2:33" ht="24" hidden="1" customHeight="1">
      <c r="B13" s="350" t="str">
        <f>".2"</f>
        <v>.2</v>
      </c>
      <c r="C13" s="351" t="s">
        <v>473</v>
      </c>
      <c r="D13" s="352"/>
      <c r="E13" s="353"/>
      <c r="F13" s="354"/>
      <c r="G13" s="1767" t="str">
        <f>IF(AND('Level D Scoring'!E13="",'Level D Scoring'!G13=""),"",MAX('Level D Scoring'!E13,'Level D Scoring'!G13))</f>
        <v/>
      </c>
      <c r="H13" s="354"/>
      <c r="I13" s="353"/>
      <c r="J13" s="354"/>
      <c r="K13" s="353"/>
      <c r="L13" s="354"/>
      <c r="M13" s="349" t="str">
        <f t="shared" ref="M13:M39" si="0">IF(MAX(E13,G13,I13,K13)=0,"",MAX(E13,G13,I13,K13))</f>
        <v/>
      </c>
      <c r="N13" s="354"/>
      <c r="O13" s="355"/>
      <c r="Q13" s="356" t="str">
        <f>IF(T13&gt;0,T13,"")</f>
        <v/>
      </c>
      <c r="R13" s="346" t="str">
        <f>IF(E13="","",IF(E13&gt;Dictionary!$I$52,"Pass","Fail"))</f>
        <v/>
      </c>
      <c r="T13" s="349" t="str">
        <f>Scoring!U15</f>
        <v/>
      </c>
      <c r="V13" s="2376"/>
      <c r="W13" s="2377"/>
      <c r="X13" s="2377"/>
      <c r="Y13" s="2377"/>
      <c r="Z13" s="2378"/>
      <c r="AA13" s="348"/>
      <c r="AB13" s="348"/>
      <c r="AC13" s="348"/>
      <c r="AD13" s="348"/>
      <c r="AE13" s="349"/>
      <c r="AF13" s="349"/>
    </row>
    <row r="14" spans="2:33" ht="24" hidden="1" customHeight="1">
      <c r="B14" s="350" t="str">
        <f>".3"</f>
        <v>.3</v>
      </c>
      <c r="C14" s="351" t="s">
        <v>472</v>
      </c>
      <c r="D14" s="352"/>
      <c r="E14" s="353"/>
      <c r="F14" s="354"/>
      <c r="G14" s="1767" t="str">
        <f>IF(AND('Level D Scoring'!E14="",'Level D Scoring'!G14=""),"",MAX('Level D Scoring'!E14,'Level D Scoring'!G14))</f>
        <v/>
      </c>
      <c r="H14" s="354"/>
      <c r="I14" s="353"/>
      <c r="J14" s="354"/>
      <c r="K14" s="353"/>
      <c r="L14" s="354"/>
      <c r="M14" s="349" t="str">
        <f t="shared" si="0"/>
        <v/>
      </c>
      <c r="N14" s="354"/>
      <c r="O14" s="355"/>
      <c r="Q14" s="356" t="str">
        <f>IF(T14&gt;0,T14,"")</f>
        <v/>
      </c>
      <c r="R14" s="346" t="str">
        <f>IF(E14="","",IF(E14&gt;Dictionary!$I$52,"Pass","Fail"))</f>
        <v/>
      </c>
      <c r="T14" s="349" t="str">
        <f>Scoring!U16</f>
        <v/>
      </c>
      <c r="V14" s="2376"/>
      <c r="W14" s="2377"/>
      <c r="X14" s="2377"/>
      <c r="Y14" s="2377"/>
      <c r="Z14" s="2378"/>
      <c r="AA14" s="348"/>
      <c r="AB14" s="348"/>
      <c r="AC14" s="348"/>
      <c r="AD14" s="348"/>
      <c r="AE14" s="349"/>
      <c r="AF14" s="349"/>
    </row>
    <row r="15" spans="2:33" ht="18" hidden="1" customHeight="1">
      <c r="B15" s="350" t="str">
        <f>".4"</f>
        <v>.4</v>
      </c>
      <c r="C15" s="351" t="s">
        <v>471</v>
      </c>
      <c r="D15" s="352"/>
      <c r="E15" s="353"/>
      <c r="F15" s="354"/>
      <c r="G15" s="1767" t="str">
        <f>IF(AND('Level D Scoring'!E15="",'Level D Scoring'!G15=""),"",MAX('Level D Scoring'!E15,'Level D Scoring'!G15))</f>
        <v/>
      </c>
      <c r="H15" s="354"/>
      <c r="I15" s="353"/>
      <c r="J15" s="354"/>
      <c r="K15" s="353"/>
      <c r="L15" s="354"/>
      <c r="M15" s="349" t="str">
        <f t="shared" si="0"/>
        <v/>
      </c>
      <c r="N15" s="354"/>
      <c r="O15" s="355"/>
      <c r="Q15" s="356" t="str">
        <f>IF(T15&gt;0,T15,"")</f>
        <v/>
      </c>
      <c r="R15" s="346" t="str">
        <f>IF(E15="","",IF(E15&gt;Dictionary!$I$52,"Pass","Fail"))</f>
        <v/>
      </c>
      <c r="T15" s="349" t="str">
        <f>Scoring!U17</f>
        <v/>
      </c>
      <c r="V15" s="2376"/>
      <c r="W15" s="2377"/>
      <c r="X15" s="2377"/>
      <c r="Y15" s="2377"/>
      <c r="Z15" s="2378"/>
      <c r="AA15" s="348"/>
      <c r="AB15" s="348"/>
      <c r="AC15" s="348"/>
      <c r="AD15" s="348"/>
      <c r="AE15" s="349"/>
      <c r="AF15" s="349"/>
    </row>
    <row r="16" spans="2:33" ht="18" hidden="1" customHeight="1">
      <c r="B16" s="350" t="str">
        <f>".5"</f>
        <v>.5</v>
      </c>
      <c r="C16" s="351" t="s">
        <v>470</v>
      </c>
      <c r="D16" s="352"/>
      <c r="E16" s="353"/>
      <c r="F16" s="354"/>
      <c r="G16" s="1767" t="str">
        <f>IF(AND('Level D Scoring'!E16="",'Level D Scoring'!G16=""),"",MAX('Level D Scoring'!E16,'Level D Scoring'!G16))</f>
        <v/>
      </c>
      <c r="H16" s="354"/>
      <c r="I16" s="353"/>
      <c r="J16" s="354"/>
      <c r="K16" s="353"/>
      <c r="L16" s="354"/>
      <c r="M16" s="349" t="str">
        <f t="shared" si="0"/>
        <v/>
      </c>
      <c r="N16" s="354"/>
      <c r="O16" s="355"/>
      <c r="Q16" s="356" t="str">
        <f>IF(T16&gt;0,T16,"")</f>
        <v/>
      </c>
      <c r="R16" s="346" t="str">
        <f>IF(E16="","",IF(E16&gt;Dictionary!$I$52,"Pass","Fail"))</f>
        <v/>
      </c>
      <c r="T16" s="349" t="str">
        <f>Scoring!U18</f>
        <v/>
      </c>
      <c r="V16" s="2376"/>
      <c r="W16" s="2377"/>
      <c r="X16" s="2377"/>
      <c r="Y16" s="2377"/>
      <c r="Z16" s="2378"/>
      <c r="AA16" s="348"/>
      <c r="AB16" s="348"/>
      <c r="AC16" s="348"/>
      <c r="AD16" s="348"/>
      <c r="AE16" s="349"/>
      <c r="AF16" s="349"/>
    </row>
    <row r="17" spans="2:32" ht="20" customHeight="1">
      <c r="B17" s="341" t="s">
        <v>469</v>
      </c>
      <c r="C17" s="342" t="str">
        <f>Dictionary!B1271</f>
        <v>Governance, Strukturen und Prozesse</v>
      </c>
      <c r="D17" s="343"/>
      <c r="E17" s="353"/>
      <c r="F17" s="315"/>
      <c r="G17" s="1767" t="str">
        <f>IF(AND('Level D Scoring'!E17="",'Level D Scoring'!G17=""),"",MAX('Level D Scoring'!E17,'Level D Scoring'!G17))</f>
        <v/>
      </c>
      <c r="H17" s="360"/>
      <c r="I17" s="359"/>
      <c r="J17" s="360"/>
      <c r="K17" s="359"/>
      <c r="L17" s="315"/>
      <c r="M17" s="359"/>
      <c r="N17" s="360"/>
      <c r="O17" s="359"/>
      <c r="Q17" s="356"/>
      <c r="R17" s="346" t="str">
        <f>IF(E17="","",IF(E17&gt;Dictionary!$I$52,"Pass","Fail"))</f>
        <v/>
      </c>
      <c r="T17" s="428">
        <f>COUNTIF(T18:T24,"&gt;3")/AE17</f>
        <v>0</v>
      </c>
      <c r="V17" s="2376"/>
      <c r="W17" s="2377"/>
      <c r="X17" s="2377"/>
      <c r="Y17" s="2377"/>
      <c r="Z17" s="2378"/>
      <c r="AA17" s="348"/>
      <c r="AB17" s="348"/>
      <c r="AC17" s="348"/>
      <c r="AD17" s="348"/>
      <c r="AE17" s="362">
        <v>7</v>
      </c>
      <c r="AF17" s="349">
        <f>ROUNDUP(AE17/2,0)</f>
        <v>4</v>
      </c>
    </row>
    <row r="18" spans="2:32" ht="24" hidden="1" customHeight="1">
      <c r="B18" s="350" t="s">
        <v>516</v>
      </c>
      <c r="C18" s="351" t="s">
        <v>468</v>
      </c>
      <c r="D18" s="352"/>
      <c r="E18" s="353"/>
      <c r="F18" s="354"/>
      <c r="G18" s="1767" t="str">
        <f>IF(AND('Level D Scoring'!E18="",'Level D Scoring'!G18=""),"",MAX('Level D Scoring'!E18,'Level D Scoring'!G18))</f>
        <v/>
      </c>
      <c r="H18" s="354"/>
      <c r="I18" s="353"/>
      <c r="J18" s="354"/>
      <c r="K18" s="353"/>
      <c r="L18" s="354"/>
      <c r="M18" s="349" t="str">
        <f t="shared" si="0"/>
        <v/>
      </c>
      <c r="N18" s="354"/>
      <c r="O18" s="355"/>
      <c r="Q18" s="356" t="str">
        <f t="shared" ref="Q18:Q24" si="1">IF(T18&gt;0,T18,"")</f>
        <v/>
      </c>
      <c r="R18" s="346" t="str">
        <f>IF(E18="","",IF(E18&gt;Dictionary!$I$52,"Pass","Fail"))</f>
        <v/>
      </c>
      <c r="T18" s="349" t="str">
        <f>Scoring!U20</f>
        <v/>
      </c>
      <c r="V18" s="2376"/>
      <c r="W18" s="2377"/>
      <c r="X18" s="2377"/>
      <c r="Y18" s="2377"/>
      <c r="Z18" s="2378"/>
      <c r="AA18" s="348"/>
      <c r="AB18" s="348"/>
      <c r="AC18" s="348"/>
      <c r="AD18" s="348"/>
      <c r="AE18" s="349"/>
      <c r="AF18" s="349"/>
    </row>
    <row r="19" spans="2:32" ht="24" hidden="1" customHeight="1">
      <c r="B19" s="350" t="s">
        <v>517</v>
      </c>
      <c r="C19" s="351" t="s">
        <v>518</v>
      </c>
      <c r="D19" s="352"/>
      <c r="E19" s="353"/>
      <c r="F19" s="354"/>
      <c r="G19" s="1767" t="str">
        <f>IF(AND('Level D Scoring'!E19="",'Level D Scoring'!G19=""),"",MAX('Level D Scoring'!E19,'Level D Scoring'!G19))</f>
        <v/>
      </c>
      <c r="H19" s="354"/>
      <c r="I19" s="353"/>
      <c r="J19" s="354"/>
      <c r="K19" s="353"/>
      <c r="L19" s="354"/>
      <c r="M19" s="349" t="str">
        <f t="shared" si="0"/>
        <v/>
      </c>
      <c r="N19" s="354"/>
      <c r="O19" s="355"/>
      <c r="Q19" s="356" t="str">
        <f t="shared" si="1"/>
        <v/>
      </c>
      <c r="R19" s="346" t="str">
        <f>IF(E19="","",IF(E19&gt;Dictionary!$I$52,"Pass","Fail"))</f>
        <v/>
      </c>
      <c r="T19" s="349" t="str">
        <f>Scoring!U21</f>
        <v/>
      </c>
      <c r="V19" s="429"/>
      <c r="W19" s="430"/>
      <c r="X19" s="430"/>
      <c r="Y19" s="430"/>
      <c r="Z19" s="431"/>
      <c r="AA19" s="348"/>
      <c r="AB19" s="348"/>
      <c r="AC19" s="348"/>
      <c r="AD19" s="348"/>
      <c r="AE19" s="349"/>
      <c r="AF19" s="349"/>
    </row>
    <row r="20" spans="2:32" ht="24" hidden="1" customHeight="1">
      <c r="B20" s="350" t="s">
        <v>519</v>
      </c>
      <c r="C20" s="351" t="s">
        <v>520</v>
      </c>
      <c r="D20" s="352"/>
      <c r="E20" s="353"/>
      <c r="F20" s="354"/>
      <c r="G20" s="1767" t="str">
        <f>IF(AND('Level D Scoring'!E20="",'Level D Scoring'!G20=""),"",MAX('Level D Scoring'!E20,'Level D Scoring'!G20))</f>
        <v/>
      </c>
      <c r="H20" s="354"/>
      <c r="I20" s="353"/>
      <c r="J20" s="354"/>
      <c r="K20" s="353"/>
      <c r="L20" s="354"/>
      <c r="M20" s="349" t="str">
        <f t="shared" si="0"/>
        <v/>
      </c>
      <c r="N20" s="354"/>
      <c r="O20" s="355"/>
      <c r="Q20" s="356" t="str">
        <f t="shared" si="1"/>
        <v/>
      </c>
      <c r="R20" s="346" t="str">
        <f>IF(E20="","",IF(E20&gt;Dictionary!$I$52,"Pass","Fail"))</f>
        <v/>
      </c>
      <c r="T20" s="349" t="str">
        <f>Scoring!U22</f>
        <v/>
      </c>
      <c r="V20" s="429"/>
      <c r="W20" s="430"/>
      <c r="X20" s="430"/>
      <c r="Y20" s="430"/>
      <c r="Z20" s="431"/>
      <c r="AA20" s="348"/>
      <c r="AB20" s="348"/>
      <c r="AC20" s="348"/>
      <c r="AD20" s="348"/>
      <c r="AE20" s="349"/>
      <c r="AF20" s="349"/>
    </row>
    <row r="21" spans="2:32" ht="18" hidden="1" customHeight="1">
      <c r="B21" s="350" t="s">
        <v>521</v>
      </c>
      <c r="C21" s="351" t="s">
        <v>467</v>
      </c>
      <c r="D21" s="352"/>
      <c r="E21" s="353"/>
      <c r="F21" s="354"/>
      <c r="G21" s="1767" t="str">
        <f>IF(AND('Level D Scoring'!E21="",'Level D Scoring'!G21=""),"",MAX('Level D Scoring'!E21,'Level D Scoring'!G21))</f>
        <v/>
      </c>
      <c r="H21" s="354"/>
      <c r="I21" s="353"/>
      <c r="J21" s="354"/>
      <c r="K21" s="353"/>
      <c r="L21" s="354"/>
      <c r="M21" s="349" t="str">
        <f t="shared" si="0"/>
        <v/>
      </c>
      <c r="N21" s="354"/>
      <c r="O21" s="355"/>
      <c r="Q21" s="356" t="str">
        <f t="shared" si="1"/>
        <v/>
      </c>
      <c r="R21" s="346" t="str">
        <f>IF(E21="","",IF(E21&gt;Dictionary!$I$52,"Pass","Fail"))</f>
        <v/>
      </c>
      <c r="T21" s="349" t="str">
        <f>Scoring!U23</f>
        <v/>
      </c>
      <c r="V21" s="2376"/>
      <c r="W21" s="2377"/>
      <c r="X21" s="2377"/>
      <c r="Y21" s="2377"/>
      <c r="Z21" s="2378"/>
      <c r="AA21" s="348"/>
      <c r="AB21" s="348"/>
      <c r="AC21" s="348"/>
      <c r="AD21" s="348"/>
      <c r="AE21" s="349"/>
      <c r="AF21" s="349"/>
    </row>
    <row r="22" spans="2:32" ht="24" hidden="1" customHeight="1">
      <c r="B22" s="350" t="s">
        <v>522</v>
      </c>
      <c r="C22" s="351" t="s">
        <v>466</v>
      </c>
      <c r="D22" s="352"/>
      <c r="E22" s="353"/>
      <c r="F22" s="354"/>
      <c r="G22" s="1767" t="str">
        <f>IF(AND('Level D Scoring'!E22="",'Level D Scoring'!G22=""),"",MAX('Level D Scoring'!E22,'Level D Scoring'!G22))</f>
        <v/>
      </c>
      <c r="H22" s="354"/>
      <c r="I22" s="353"/>
      <c r="J22" s="354"/>
      <c r="K22" s="353"/>
      <c r="L22" s="354"/>
      <c r="M22" s="349" t="str">
        <f t="shared" si="0"/>
        <v/>
      </c>
      <c r="N22" s="354"/>
      <c r="O22" s="355"/>
      <c r="Q22" s="356" t="str">
        <f t="shared" si="1"/>
        <v/>
      </c>
      <c r="R22" s="346" t="str">
        <f>IF(E22="","",IF(E22&gt;Dictionary!$I$52,"Pass","Fail"))</f>
        <v/>
      </c>
      <c r="T22" s="349" t="str">
        <f>Scoring!U24</f>
        <v/>
      </c>
      <c r="V22" s="2376"/>
      <c r="W22" s="2377"/>
      <c r="X22" s="2377"/>
      <c r="Y22" s="2377"/>
      <c r="Z22" s="2378"/>
      <c r="AA22" s="348"/>
      <c r="AB22" s="348"/>
      <c r="AC22" s="348"/>
      <c r="AD22" s="348"/>
      <c r="AE22" s="349"/>
      <c r="AF22" s="349"/>
    </row>
    <row r="23" spans="2:32" ht="24" hidden="1" customHeight="1">
      <c r="B23" s="350" t="s">
        <v>523</v>
      </c>
      <c r="C23" s="351" t="s">
        <v>465</v>
      </c>
      <c r="D23" s="352"/>
      <c r="E23" s="353"/>
      <c r="F23" s="354"/>
      <c r="G23" s="1767" t="str">
        <f>IF(AND('Level D Scoring'!E23="",'Level D Scoring'!G23=""),"",MAX('Level D Scoring'!E23,'Level D Scoring'!G23))</f>
        <v/>
      </c>
      <c r="H23" s="354"/>
      <c r="I23" s="353"/>
      <c r="J23" s="354"/>
      <c r="K23" s="353"/>
      <c r="L23" s="354"/>
      <c r="M23" s="349" t="str">
        <f t="shared" si="0"/>
        <v/>
      </c>
      <c r="N23" s="354"/>
      <c r="O23" s="355"/>
      <c r="Q23" s="356" t="str">
        <f t="shared" si="1"/>
        <v/>
      </c>
      <c r="R23" s="346" t="str">
        <f>IF(E23="","",IF(E23&gt;Dictionary!$I$52,"Pass","Fail"))</f>
        <v/>
      </c>
      <c r="T23" s="349" t="str">
        <f>Scoring!U25</f>
        <v/>
      </c>
      <c r="V23" s="2376"/>
      <c r="W23" s="2377"/>
      <c r="X23" s="2377"/>
      <c r="Y23" s="2377"/>
      <c r="Z23" s="2378"/>
      <c r="AA23" s="348"/>
      <c r="AB23" s="348"/>
      <c r="AC23" s="348"/>
      <c r="AD23" s="348"/>
      <c r="AE23" s="349"/>
      <c r="AF23" s="349"/>
    </row>
    <row r="24" spans="2:32" ht="24" hidden="1" customHeight="1">
      <c r="B24" s="350" t="s">
        <v>524</v>
      </c>
      <c r="C24" s="351" t="s">
        <v>464</v>
      </c>
      <c r="D24" s="352"/>
      <c r="E24" s="353"/>
      <c r="F24" s="354"/>
      <c r="G24" s="1767" t="str">
        <f>IF(AND('Level D Scoring'!E24="",'Level D Scoring'!G24=""),"",MAX('Level D Scoring'!E24,'Level D Scoring'!G24))</f>
        <v/>
      </c>
      <c r="H24" s="354"/>
      <c r="I24" s="353"/>
      <c r="J24" s="354"/>
      <c r="K24" s="353"/>
      <c r="L24" s="354"/>
      <c r="M24" s="349" t="str">
        <f t="shared" si="0"/>
        <v/>
      </c>
      <c r="N24" s="354"/>
      <c r="O24" s="355"/>
      <c r="Q24" s="356" t="str">
        <f t="shared" si="1"/>
        <v/>
      </c>
      <c r="R24" s="346" t="str">
        <f>IF(E24="","",IF(E24&gt;Dictionary!$I$52,"Pass","Fail"))</f>
        <v/>
      </c>
      <c r="T24" s="349" t="str">
        <f>Scoring!U26</f>
        <v/>
      </c>
      <c r="V24" s="2376"/>
      <c r="W24" s="2377"/>
      <c r="X24" s="2377"/>
      <c r="Y24" s="2377"/>
      <c r="Z24" s="2378"/>
      <c r="AA24" s="348"/>
      <c r="AB24" s="348"/>
      <c r="AC24" s="348"/>
      <c r="AD24" s="348"/>
      <c r="AE24" s="349"/>
      <c r="AF24" s="349"/>
    </row>
    <row r="25" spans="2:32" ht="20" customHeight="1">
      <c r="B25" s="341" t="s">
        <v>463</v>
      </c>
      <c r="C25" s="342" t="str">
        <f>Dictionary!B1280</f>
        <v>Compliance, Standards und Regularien</v>
      </c>
      <c r="D25" s="343"/>
      <c r="E25" s="353"/>
      <c r="F25" s="315"/>
      <c r="G25" s="1767" t="str">
        <f>IF(AND('Level D Scoring'!E25="",'Level D Scoring'!G25=""),"",MAX('Level D Scoring'!E25,'Level D Scoring'!G25))</f>
        <v/>
      </c>
      <c r="H25" s="360"/>
      <c r="I25" s="359"/>
      <c r="J25" s="360"/>
      <c r="K25" s="359"/>
      <c r="L25" s="315"/>
      <c r="M25" s="359"/>
      <c r="N25" s="360"/>
      <c r="O25" s="359"/>
      <c r="Q25" s="356"/>
      <c r="R25" s="346" t="str">
        <f>IF(E25="","",IF(E25&gt;Dictionary!$I$52,"Pass","Fail"))</f>
        <v/>
      </c>
      <c r="T25" s="428">
        <f>COUNTIF(T26:T31,"&gt;3")/AE25</f>
        <v>0</v>
      </c>
      <c r="V25" s="2376"/>
      <c r="W25" s="2377"/>
      <c r="X25" s="2377"/>
      <c r="Y25" s="2377"/>
      <c r="Z25" s="2378"/>
      <c r="AA25" s="348"/>
      <c r="AB25" s="348"/>
      <c r="AC25" s="348"/>
      <c r="AD25" s="348"/>
      <c r="AE25" s="349">
        <v>6</v>
      </c>
      <c r="AF25" s="349">
        <f>ROUNDUP(AE25/2,0)</f>
        <v>3</v>
      </c>
    </row>
    <row r="26" spans="2:32" ht="24" hidden="1" customHeight="1">
      <c r="B26" s="350" t="str">
        <f>".1"</f>
        <v>.1</v>
      </c>
      <c r="C26" s="351" t="s">
        <v>462</v>
      </c>
      <c r="D26" s="352"/>
      <c r="E26" s="353"/>
      <c r="F26" s="354"/>
      <c r="G26" s="1767" t="str">
        <f>IF(AND('Level D Scoring'!E26="",'Level D Scoring'!G26=""),"",MAX('Level D Scoring'!E26,'Level D Scoring'!G26))</f>
        <v/>
      </c>
      <c r="H26" s="354"/>
      <c r="I26" s="353"/>
      <c r="J26" s="354"/>
      <c r="K26" s="353"/>
      <c r="L26" s="354"/>
      <c r="M26" s="349" t="str">
        <f t="shared" si="0"/>
        <v/>
      </c>
      <c r="N26" s="354"/>
      <c r="O26" s="355"/>
      <c r="Q26" s="356" t="str">
        <f t="shared" ref="Q26:Q31" si="2">IF(T26&gt;0,T26,"")</f>
        <v/>
      </c>
      <c r="R26" s="346" t="str">
        <f>IF(E26="","",IF(E26&gt;Dictionary!$I$52,"Pass","Fail"))</f>
        <v/>
      </c>
      <c r="T26" s="349" t="str">
        <f>Scoring!U28</f>
        <v/>
      </c>
      <c r="V26" s="2376"/>
      <c r="W26" s="2377"/>
      <c r="X26" s="2377"/>
      <c r="Y26" s="2377"/>
      <c r="Z26" s="2378"/>
      <c r="AA26" s="348"/>
      <c r="AB26" s="348"/>
      <c r="AC26" s="348"/>
      <c r="AD26" s="348"/>
      <c r="AE26" s="349"/>
      <c r="AF26" s="349"/>
    </row>
    <row r="27" spans="2:32" ht="36" hidden="1" customHeight="1">
      <c r="B27" s="350" t="str">
        <f>".2"</f>
        <v>.2</v>
      </c>
      <c r="C27" s="351" t="s">
        <v>461</v>
      </c>
      <c r="D27" s="352"/>
      <c r="E27" s="353"/>
      <c r="F27" s="354"/>
      <c r="G27" s="1767" t="str">
        <f>IF(AND('Level D Scoring'!E27="",'Level D Scoring'!G27=""),"",MAX('Level D Scoring'!E27,'Level D Scoring'!G27))</f>
        <v/>
      </c>
      <c r="H27" s="354"/>
      <c r="I27" s="353"/>
      <c r="J27" s="354"/>
      <c r="K27" s="353"/>
      <c r="L27" s="354"/>
      <c r="M27" s="349" t="str">
        <f t="shared" si="0"/>
        <v/>
      </c>
      <c r="N27" s="354"/>
      <c r="O27" s="355"/>
      <c r="Q27" s="356" t="str">
        <f t="shared" si="2"/>
        <v/>
      </c>
      <c r="R27" s="346" t="str">
        <f>IF(E27="","",IF(E27&gt;Dictionary!$I$52,"Pass","Fail"))</f>
        <v/>
      </c>
      <c r="T27" s="349" t="str">
        <f>Scoring!U29</f>
        <v/>
      </c>
      <c r="V27" s="2376"/>
      <c r="W27" s="2377"/>
      <c r="X27" s="2377"/>
      <c r="Y27" s="2377"/>
      <c r="Z27" s="2378"/>
      <c r="AA27" s="348"/>
      <c r="AB27" s="348"/>
      <c r="AC27" s="348"/>
      <c r="AD27" s="348"/>
      <c r="AE27" s="349"/>
      <c r="AF27" s="349"/>
    </row>
    <row r="28" spans="2:32" ht="24" hidden="1" customHeight="1">
      <c r="B28" s="350" t="str">
        <f>".3"</f>
        <v>.3</v>
      </c>
      <c r="C28" s="351" t="s">
        <v>460</v>
      </c>
      <c r="D28" s="352"/>
      <c r="E28" s="353"/>
      <c r="F28" s="354"/>
      <c r="G28" s="1767" t="str">
        <f>IF(AND('Level D Scoring'!E28="",'Level D Scoring'!G28=""),"",MAX('Level D Scoring'!E28,'Level D Scoring'!G28))</f>
        <v/>
      </c>
      <c r="H28" s="354"/>
      <c r="I28" s="353"/>
      <c r="J28" s="354"/>
      <c r="K28" s="353"/>
      <c r="L28" s="354"/>
      <c r="M28" s="349" t="str">
        <f t="shared" si="0"/>
        <v/>
      </c>
      <c r="N28" s="354"/>
      <c r="O28" s="355"/>
      <c r="Q28" s="356" t="str">
        <f t="shared" si="2"/>
        <v/>
      </c>
      <c r="R28" s="346" t="str">
        <f>IF(E28="","",IF(E28&gt;Dictionary!$I$52,"Pass","Fail"))</f>
        <v/>
      </c>
      <c r="T28" s="349" t="str">
        <f>Scoring!U30</f>
        <v/>
      </c>
      <c r="V28" s="2376"/>
      <c r="W28" s="2377"/>
      <c r="X28" s="2377"/>
      <c r="Y28" s="2377"/>
      <c r="Z28" s="2378"/>
      <c r="AA28" s="348"/>
      <c r="AB28" s="348"/>
      <c r="AC28" s="348"/>
      <c r="AD28" s="348"/>
      <c r="AE28" s="349"/>
      <c r="AF28" s="349"/>
    </row>
    <row r="29" spans="2:32" ht="24" hidden="1" customHeight="1">
      <c r="B29" s="350" t="str">
        <f>".4"</f>
        <v>.4</v>
      </c>
      <c r="C29" s="351" t="s">
        <v>459</v>
      </c>
      <c r="D29" s="352"/>
      <c r="E29" s="353"/>
      <c r="F29" s="354"/>
      <c r="G29" s="1767" t="str">
        <f>IF(AND('Level D Scoring'!E29="",'Level D Scoring'!G29=""),"",MAX('Level D Scoring'!E29,'Level D Scoring'!G29))</f>
        <v/>
      </c>
      <c r="H29" s="354"/>
      <c r="I29" s="353"/>
      <c r="J29" s="354"/>
      <c r="K29" s="353"/>
      <c r="L29" s="354"/>
      <c r="M29" s="349" t="str">
        <f t="shared" si="0"/>
        <v/>
      </c>
      <c r="N29" s="354"/>
      <c r="O29" s="355"/>
      <c r="Q29" s="356" t="str">
        <f t="shared" si="2"/>
        <v/>
      </c>
      <c r="R29" s="346" t="str">
        <f>IF(E29="","",IF(E29&gt;Dictionary!$I$52,"Pass","Fail"))</f>
        <v/>
      </c>
      <c r="T29" s="349" t="str">
        <f>Scoring!U31</f>
        <v/>
      </c>
      <c r="V29" s="2376"/>
      <c r="W29" s="2377"/>
      <c r="X29" s="2377"/>
      <c r="Y29" s="2377"/>
      <c r="Z29" s="2378"/>
      <c r="AA29" s="348"/>
      <c r="AB29" s="348"/>
      <c r="AC29" s="348"/>
      <c r="AD29" s="348"/>
      <c r="AE29" s="349"/>
      <c r="AF29" s="349"/>
    </row>
    <row r="30" spans="2:32" ht="24" hidden="1" customHeight="1">
      <c r="B30" s="350" t="str">
        <f>".5"</f>
        <v>.5</v>
      </c>
      <c r="C30" s="351" t="s">
        <v>458</v>
      </c>
      <c r="D30" s="352"/>
      <c r="E30" s="353"/>
      <c r="F30" s="354"/>
      <c r="G30" s="1767" t="str">
        <f>IF(AND('Level D Scoring'!E30="",'Level D Scoring'!G30=""),"",MAX('Level D Scoring'!E30,'Level D Scoring'!G30))</f>
        <v/>
      </c>
      <c r="H30" s="354"/>
      <c r="I30" s="353"/>
      <c r="J30" s="354"/>
      <c r="K30" s="353"/>
      <c r="L30" s="354"/>
      <c r="M30" s="349" t="str">
        <f t="shared" si="0"/>
        <v/>
      </c>
      <c r="N30" s="354"/>
      <c r="O30" s="355"/>
      <c r="Q30" s="356" t="str">
        <f t="shared" si="2"/>
        <v/>
      </c>
      <c r="R30" s="346" t="str">
        <f>IF(E30="","",IF(E30&gt;Dictionary!$I$52,"Pass","Fail"))</f>
        <v/>
      </c>
      <c r="T30" s="349" t="str">
        <f>Scoring!U32</f>
        <v/>
      </c>
      <c r="V30" s="2376"/>
      <c r="W30" s="2377"/>
      <c r="X30" s="2377"/>
      <c r="Y30" s="2377"/>
      <c r="Z30" s="2378"/>
      <c r="AA30" s="348"/>
      <c r="AB30" s="348"/>
      <c r="AC30" s="348"/>
      <c r="AD30" s="348"/>
      <c r="AE30" s="349"/>
      <c r="AF30" s="349"/>
    </row>
    <row r="31" spans="2:32" ht="24" hidden="1" customHeight="1">
      <c r="B31" s="350" t="str">
        <f>".6"</f>
        <v>.6</v>
      </c>
      <c r="C31" s="351" t="s">
        <v>457</v>
      </c>
      <c r="D31" s="352"/>
      <c r="E31" s="353"/>
      <c r="F31" s="354"/>
      <c r="G31" s="1767" t="str">
        <f>IF(AND('Level D Scoring'!E31="",'Level D Scoring'!G31=""),"",MAX('Level D Scoring'!E31,'Level D Scoring'!G31))</f>
        <v/>
      </c>
      <c r="H31" s="354"/>
      <c r="I31" s="353"/>
      <c r="J31" s="354"/>
      <c r="K31" s="353"/>
      <c r="L31" s="354"/>
      <c r="M31" s="349" t="str">
        <f t="shared" si="0"/>
        <v/>
      </c>
      <c r="N31" s="354"/>
      <c r="O31" s="355"/>
      <c r="Q31" s="356" t="str">
        <f t="shared" si="2"/>
        <v/>
      </c>
      <c r="R31" s="346" t="str">
        <f>IF(E31="","",IF(E31&gt;Dictionary!$I$52,"Pass","Fail"))</f>
        <v/>
      </c>
      <c r="T31" s="349" t="str">
        <f>Scoring!U33</f>
        <v/>
      </c>
      <c r="V31" s="2376"/>
      <c r="W31" s="2377"/>
      <c r="X31" s="2377"/>
      <c r="Y31" s="2377"/>
      <c r="Z31" s="2378"/>
      <c r="AA31" s="348"/>
      <c r="AB31" s="348"/>
      <c r="AC31" s="348"/>
      <c r="AD31" s="348"/>
      <c r="AE31" s="349"/>
      <c r="AF31" s="349"/>
    </row>
    <row r="32" spans="2:32" ht="20" customHeight="1">
      <c r="B32" s="341" t="s">
        <v>456</v>
      </c>
      <c r="C32" s="342" t="str">
        <f>Dictionary!B1289</f>
        <v>Macht und Interessen</v>
      </c>
      <c r="D32" s="343"/>
      <c r="E32" s="353"/>
      <c r="F32" s="315"/>
      <c r="G32" s="1767" t="str">
        <f>IF(AND('Level D Scoring'!E32="",'Level D Scoring'!G32=""),"",MAX('Level D Scoring'!E32,'Level D Scoring'!G32))</f>
        <v/>
      </c>
      <c r="H32" s="360"/>
      <c r="I32" s="359"/>
      <c r="J32" s="360"/>
      <c r="K32" s="359"/>
      <c r="L32" s="315"/>
      <c r="M32" s="359"/>
      <c r="N32" s="360"/>
      <c r="O32" s="359"/>
      <c r="Q32" s="356"/>
      <c r="R32" s="346" t="str">
        <f>IF(E32="","",IF(E32&gt;Dictionary!$I$52,"Pass","Fail"))</f>
        <v/>
      </c>
      <c r="T32" s="428">
        <f>COUNTIF(T33:T35,"&gt;3")/AE32</f>
        <v>0</v>
      </c>
      <c r="V32" s="2376"/>
      <c r="W32" s="2377"/>
      <c r="X32" s="2377"/>
      <c r="Y32" s="2377"/>
      <c r="Z32" s="2378"/>
      <c r="AA32" s="348"/>
      <c r="AB32" s="348"/>
      <c r="AC32" s="348"/>
      <c r="AD32" s="348"/>
      <c r="AE32" s="349">
        <v>3</v>
      </c>
      <c r="AF32" s="349">
        <f>ROUNDUP(AE32/2,0)</f>
        <v>2</v>
      </c>
    </row>
    <row r="33" spans="2:32" ht="24" hidden="1" customHeight="1">
      <c r="B33" s="350" t="str">
        <f>".1"</f>
        <v>.1</v>
      </c>
      <c r="C33" s="351" t="s">
        <v>455</v>
      </c>
      <c r="D33" s="352"/>
      <c r="E33" s="353"/>
      <c r="F33" s="354"/>
      <c r="G33" s="1767" t="str">
        <f>IF(AND('Level D Scoring'!E33="",'Level D Scoring'!G33=""),"",MAX('Level D Scoring'!E33,'Level D Scoring'!G33))</f>
        <v/>
      </c>
      <c r="H33" s="354"/>
      <c r="I33" s="353"/>
      <c r="J33" s="354"/>
      <c r="K33" s="353"/>
      <c r="L33" s="354"/>
      <c r="M33" s="349" t="str">
        <f t="shared" si="0"/>
        <v/>
      </c>
      <c r="N33" s="354"/>
      <c r="O33" s="355"/>
      <c r="Q33" s="356" t="str">
        <f>IF(T33&gt;0,T33,"")</f>
        <v/>
      </c>
      <c r="R33" s="346" t="str">
        <f>IF(E33="","",IF(E33&gt;Dictionary!$I$52,"Pass","Fail"))</f>
        <v/>
      </c>
      <c r="T33" s="349" t="str">
        <f>Scoring!U35</f>
        <v/>
      </c>
      <c r="V33" s="2376"/>
      <c r="W33" s="2377"/>
      <c r="X33" s="2377"/>
      <c r="Y33" s="2377"/>
      <c r="Z33" s="2378"/>
      <c r="AA33" s="348"/>
      <c r="AB33" s="348"/>
      <c r="AC33" s="348"/>
      <c r="AD33" s="348"/>
      <c r="AE33" s="349"/>
      <c r="AF33" s="349"/>
    </row>
    <row r="34" spans="2:32" ht="24" hidden="1" customHeight="1">
      <c r="B34" s="350" t="str">
        <f>".2"</f>
        <v>.2</v>
      </c>
      <c r="C34" s="351" t="s">
        <v>454</v>
      </c>
      <c r="D34" s="352"/>
      <c r="E34" s="353"/>
      <c r="F34" s="354"/>
      <c r="G34" s="1767" t="str">
        <f>IF(AND('Level D Scoring'!E34="",'Level D Scoring'!G34=""),"",MAX('Level D Scoring'!E34,'Level D Scoring'!G34))</f>
        <v/>
      </c>
      <c r="H34" s="354"/>
      <c r="I34" s="353"/>
      <c r="J34" s="354"/>
      <c r="K34" s="353"/>
      <c r="L34" s="354"/>
      <c r="M34" s="349" t="str">
        <f t="shared" si="0"/>
        <v/>
      </c>
      <c r="N34" s="354"/>
      <c r="O34" s="355"/>
      <c r="Q34" s="356" t="str">
        <f>IF(T34&gt;0,T34,"")</f>
        <v/>
      </c>
      <c r="R34" s="346" t="str">
        <f>IF(E34="","",IF(E34&gt;Dictionary!$I$52,"Pass","Fail"))</f>
        <v/>
      </c>
      <c r="T34" s="349" t="str">
        <f>Scoring!U36</f>
        <v/>
      </c>
      <c r="V34" s="2376"/>
      <c r="W34" s="2377"/>
      <c r="X34" s="2377"/>
      <c r="Y34" s="2377"/>
      <c r="Z34" s="2378"/>
      <c r="AA34" s="348"/>
      <c r="AB34" s="348"/>
      <c r="AC34" s="348"/>
      <c r="AD34" s="348"/>
      <c r="AE34" s="349"/>
      <c r="AF34" s="349"/>
    </row>
    <row r="35" spans="2:32" ht="24" hidden="1" customHeight="1">
      <c r="B35" s="350" t="str">
        <f>".3"</f>
        <v>.3</v>
      </c>
      <c r="C35" s="351" t="s">
        <v>453</v>
      </c>
      <c r="D35" s="352"/>
      <c r="E35" s="353"/>
      <c r="F35" s="354"/>
      <c r="G35" s="1767" t="str">
        <f>IF(AND('Level D Scoring'!E35="",'Level D Scoring'!G35=""),"",MAX('Level D Scoring'!E35,'Level D Scoring'!G35))</f>
        <v/>
      </c>
      <c r="H35" s="354"/>
      <c r="I35" s="353"/>
      <c r="J35" s="354"/>
      <c r="K35" s="353"/>
      <c r="L35" s="354"/>
      <c r="M35" s="349" t="str">
        <f t="shared" si="0"/>
        <v/>
      </c>
      <c r="N35" s="354"/>
      <c r="O35" s="355"/>
      <c r="Q35" s="356" t="str">
        <f>IF(T35&gt;0,T35,"")</f>
        <v/>
      </c>
      <c r="R35" s="346" t="str">
        <f>IF(E35="","",IF(E35&gt;Dictionary!$I$52,"Pass","Fail"))</f>
        <v/>
      </c>
      <c r="T35" s="349" t="str">
        <f>Scoring!U37</f>
        <v/>
      </c>
      <c r="V35" s="2376"/>
      <c r="W35" s="2377"/>
      <c r="X35" s="2377"/>
      <c r="Y35" s="2377"/>
      <c r="Z35" s="2378"/>
      <c r="AA35" s="348"/>
      <c r="AB35" s="348"/>
      <c r="AC35" s="348"/>
      <c r="AD35" s="348"/>
      <c r="AE35" s="349"/>
      <c r="AF35" s="349"/>
    </row>
    <row r="36" spans="2:32" ht="20" customHeight="1">
      <c r="B36" s="341" t="s">
        <v>452</v>
      </c>
      <c r="C36" s="342" t="str">
        <f>Dictionary!B1295</f>
        <v>Kultur und Werte</v>
      </c>
      <c r="D36" s="343"/>
      <c r="E36" s="353"/>
      <c r="F36" s="315"/>
      <c r="G36" s="1767" t="str">
        <f>IF(AND('Level D Scoring'!E36="",'Level D Scoring'!G36=""),"",MAX('Level D Scoring'!E36,'Level D Scoring'!G36))</f>
        <v/>
      </c>
      <c r="H36" s="360"/>
      <c r="I36" s="359"/>
      <c r="J36" s="360"/>
      <c r="K36" s="359"/>
      <c r="L36" s="315"/>
      <c r="M36" s="359"/>
      <c r="N36" s="360"/>
      <c r="O36" s="359"/>
      <c r="Q36" s="356"/>
      <c r="R36" s="346" t="str">
        <f>IF(E36="","",IF(E36&gt;Dictionary!$I$52,"Pass","Fail"))</f>
        <v/>
      </c>
      <c r="T36" s="428">
        <f>COUNTIF(T37:T39,"&gt;3")/AE36</f>
        <v>0</v>
      </c>
      <c r="V36" s="2376"/>
      <c r="W36" s="2377"/>
      <c r="X36" s="2377"/>
      <c r="Y36" s="2377"/>
      <c r="Z36" s="2378"/>
      <c r="AA36" s="348"/>
      <c r="AB36" s="348"/>
      <c r="AC36" s="348"/>
      <c r="AD36" s="348"/>
      <c r="AE36" s="349">
        <v>3</v>
      </c>
      <c r="AF36" s="349">
        <f>ROUNDUP(AE36/2,0)</f>
        <v>2</v>
      </c>
    </row>
    <row r="37" spans="2:32" ht="24" hidden="1" customHeight="1">
      <c r="B37" s="350" t="str">
        <f>".1"</f>
        <v>.1</v>
      </c>
      <c r="C37" s="351" t="s">
        <v>451</v>
      </c>
      <c r="D37" s="352"/>
      <c r="E37" s="404" t="str">
        <f>IF('(8) Exam Evaluation'!Y39="","",'(8) Exam Evaluation'!Y39)</f>
        <v/>
      </c>
      <c r="F37" s="354"/>
      <c r="G37" s="353"/>
      <c r="H37" s="354"/>
      <c r="I37" s="353"/>
      <c r="J37" s="354"/>
      <c r="K37" s="353"/>
      <c r="L37" s="354"/>
      <c r="M37" s="349" t="str">
        <f t="shared" si="0"/>
        <v/>
      </c>
      <c r="N37" s="354"/>
      <c r="O37" s="355"/>
      <c r="Q37" s="356" t="str">
        <f>IF(T37&gt;0,T37,"")</f>
        <v/>
      </c>
      <c r="T37" s="349" t="str">
        <f>Scoring!U39</f>
        <v/>
      </c>
      <c r="V37" s="2376"/>
      <c r="W37" s="2377"/>
      <c r="X37" s="2377"/>
      <c r="Y37" s="2377"/>
      <c r="Z37" s="2378"/>
      <c r="AA37" s="348"/>
      <c r="AB37" s="348"/>
      <c r="AC37" s="348"/>
      <c r="AD37" s="348"/>
      <c r="AE37" s="349"/>
      <c r="AF37" s="349"/>
    </row>
    <row r="38" spans="2:32" ht="24" hidden="1" customHeight="1">
      <c r="B38" s="350" t="str">
        <f>".2"</f>
        <v>.2</v>
      </c>
      <c r="C38" s="351" t="s">
        <v>450</v>
      </c>
      <c r="D38" s="352"/>
      <c r="E38" s="404" t="str">
        <f>IF('(8) Exam Evaluation'!Y40="","",'(8) Exam Evaluation'!Y40)</f>
        <v/>
      </c>
      <c r="F38" s="354"/>
      <c r="G38" s="353"/>
      <c r="H38" s="354"/>
      <c r="I38" s="353"/>
      <c r="J38" s="354"/>
      <c r="K38" s="353"/>
      <c r="L38" s="354"/>
      <c r="M38" s="349" t="str">
        <f t="shared" si="0"/>
        <v/>
      </c>
      <c r="N38" s="354"/>
      <c r="O38" s="355"/>
      <c r="Q38" s="356" t="str">
        <f>IF(T38&gt;0,T38,"")</f>
        <v/>
      </c>
      <c r="T38" s="349" t="str">
        <f>Scoring!U40</f>
        <v/>
      </c>
      <c r="V38" s="2376"/>
      <c r="W38" s="2377"/>
      <c r="X38" s="2377"/>
      <c r="Y38" s="2377"/>
      <c r="Z38" s="2378"/>
      <c r="AA38" s="348"/>
      <c r="AB38" s="348"/>
      <c r="AC38" s="348"/>
      <c r="AD38" s="348"/>
      <c r="AE38" s="349"/>
      <c r="AF38" s="349"/>
    </row>
    <row r="39" spans="2:32" ht="24" hidden="1" customHeight="1">
      <c r="B39" s="350" t="str">
        <f>".3"</f>
        <v>.3</v>
      </c>
      <c r="C39" s="351" t="s">
        <v>449</v>
      </c>
      <c r="D39" s="352"/>
      <c r="E39" s="404" t="str">
        <f>IF('(8) Exam Evaluation'!Y41="","",'(8) Exam Evaluation'!Y41)</f>
        <v/>
      </c>
      <c r="F39" s="354"/>
      <c r="G39" s="353"/>
      <c r="H39" s="354"/>
      <c r="I39" s="353"/>
      <c r="J39" s="354"/>
      <c r="K39" s="353"/>
      <c r="L39" s="354"/>
      <c r="M39" s="349" t="str">
        <f t="shared" si="0"/>
        <v/>
      </c>
      <c r="N39" s="354"/>
      <c r="O39" s="355"/>
      <c r="Q39" s="356" t="str">
        <f>IF(T39&gt;0,T39,"")</f>
        <v/>
      </c>
      <c r="T39" s="349" t="str">
        <f>Scoring!U41</f>
        <v/>
      </c>
      <c r="V39" s="2376"/>
      <c r="W39" s="2377"/>
      <c r="X39" s="2377"/>
      <c r="Y39" s="2377"/>
      <c r="Z39" s="2378"/>
      <c r="AA39" s="348"/>
      <c r="AB39" s="348"/>
      <c r="AC39" s="348"/>
      <c r="AD39" s="348"/>
      <c r="AE39" s="349"/>
      <c r="AF39" s="349"/>
    </row>
    <row r="40" spans="2:32" ht="30" customHeight="1">
      <c r="C40" s="363"/>
      <c r="D40" s="315"/>
      <c r="E40" s="406"/>
      <c r="F40" s="315"/>
      <c r="G40" s="315"/>
      <c r="H40" s="315"/>
      <c r="I40" s="315"/>
      <c r="J40" s="315"/>
      <c r="K40" s="315"/>
      <c r="L40" s="315"/>
      <c r="M40" s="315"/>
      <c r="N40" s="315"/>
      <c r="O40" s="315"/>
      <c r="Q40" s="356"/>
      <c r="R40" s="365"/>
      <c r="W40" s="313"/>
      <c r="X40" s="313"/>
      <c r="Y40" s="313"/>
      <c r="Z40" s="313"/>
      <c r="AA40" s="313"/>
      <c r="AB40" s="313"/>
      <c r="AC40" s="313"/>
      <c r="AD40" s="313"/>
      <c r="AE40" s="315"/>
      <c r="AF40" s="315"/>
    </row>
    <row r="41" spans="2:32" ht="30" customHeight="1">
      <c r="C41" s="366" t="str">
        <f>Dictionary!B1301</f>
        <v>People Kompetenz Elemente</v>
      </c>
      <c r="D41" s="315"/>
      <c r="E41" s="406"/>
      <c r="F41" s="315"/>
      <c r="G41" s="315"/>
      <c r="H41" s="315"/>
      <c r="I41" s="315"/>
      <c r="J41" s="315"/>
      <c r="K41" s="315"/>
      <c r="L41" s="315"/>
      <c r="M41" s="315"/>
      <c r="N41" s="315"/>
      <c r="O41" s="315"/>
      <c r="Q41" s="356"/>
      <c r="R41" s="367"/>
      <c r="W41" s="313"/>
      <c r="X41" s="313"/>
      <c r="Y41" s="313"/>
      <c r="Z41" s="313"/>
      <c r="AA41" s="313"/>
      <c r="AB41" s="313"/>
      <c r="AC41" s="313"/>
      <c r="AD41" s="313"/>
      <c r="AE41" s="334"/>
      <c r="AF41" s="334"/>
    </row>
    <row r="42" spans="2:32" ht="20" customHeight="1">
      <c r="B42" s="341" t="s">
        <v>448</v>
      </c>
      <c r="C42" s="342" t="str">
        <f>Dictionary!B1302</f>
        <v>Selbstreflexion und Selbstmanagement</v>
      </c>
      <c r="D42" s="343"/>
      <c r="E42" s="353"/>
      <c r="F42" s="315"/>
      <c r="G42" s="1767" t="str">
        <f>IF(AND('Level D Scoring'!E42="",'Level D Scoring'!G42=""),"",MAX('Level D Scoring'!E42,'Level D Scoring'!G42))</f>
        <v/>
      </c>
      <c r="H42" s="360"/>
      <c r="I42" s="359"/>
      <c r="J42" s="360"/>
      <c r="K42" s="359"/>
      <c r="L42" s="315"/>
      <c r="M42" s="359"/>
      <c r="N42" s="360"/>
      <c r="O42" s="359"/>
      <c r="Q42" s="356"/>
      <c r="R42" s="346" t="str">
        <f>IF(E42="","",IF(E42&gt;Dictionary!$I$52,"Pass","Fail"))</f>
        <v/>
      </c>
      <c r="T42" s="428">
        <f>COUNTIF(T43:T47,"&gt;3")/AE42</f>
        <v>0</v>
      </c>
      <c r="V42" s="2376"/>
      <c r="W42" s="2377"/>
      <c r="X42" s="2377"/>
      <c r="Y42" s="2377"/>
      <c r="Z42" s="2378"/>
      <c r="AA42" s="348"/>
      <c r="AB42" s="348"/>
      <c r="AC42" s="348"/>
      <c r="AD42" s="348"/>
      <c r="AE42" s="349">
        <v>5</v>
      </c>
      <c r="AF42" s="349">
        <f>ROUNDUP(AE42/2,0)</f>
        <v>3</v>
      </c>
    </row>
    <row r="43" spans="2:32" ht="24" hidden="1" customHeight="1">
      <c r="B43" s="350" t="str">
        <f>".1"</f>
        <v>.1</v>
      </c>
      <c r="C43" s="351" t="s">
        <v>447</v>
      </c>
      <c r="D43" s="352"/>
      <c r="E43" s="353"/>
      <c r="F43" s="354"/>
      <c r="G43" s="1767" t="str">
        <f>IF(AND('Level D Scoring'!E43="",'Level D Scoring'!G43=""),"",MAX('Level D Scoring'!E43,'Level D Scoring'!G43))</f>
        <v/>
      </c>
      <c r="H43" s="354"/>
      <c r="I43" s="353"/>
      <c r="J43" s="354"/>
      <c r="K43" s="353"/>
      <c r="L43" s="354"/>
      <c r="M43" s="349" t="str">
        <f t="shared" ref="M43:M77" si="3">IF(MAX(E43,G43,I43,K43)=0,"",MAX(E43,G43,I43,K43))</f>
        <v/>
      </c>
      <c r="N43" s="354"/>
      <c r="O43" s="355"/>
      <c r="Q43" s="356" t="str">
        <f>IF(T43&gt;0,T43,"")</f>
        <v/>
      </c>
      <c r="R43" s="346" t="str">
        <f>IF(E43="","",IF(E43&gt;Dictionary!$I$52,"Pass","Fail"))</f>
        <v/>
      </c>
      <c r="T43" s="349" t="str">
        <f>Scoring!U45</f>
        <v/>
      </c>
      <c r="V43" s="2376"/>
      <c r="W43" s="2377"/>
      <c r="X43" s="2377"/>
      <c r="Y43" s="2377"/>
      <c r="Z43" s="2378"/>
      <c r="AA43" s="348"/>
      <c r="AB43" s="348"/>
      <c r="AC43" s="348"/>
      <c r="AD43" s="348"/>
      <c r="AE43" s="349"/>
      <c r="AF43" s="349"/>
    </row>
    <row r="44" spans="2:32" ht="24" hidden="1" customHeight="1">
      <c r="B44" s="350" t="str">
        <f>".2"</f>
        <v>.2</v>
      </c>
      <c r="C44" s="351" t="s">
        <v>446</v>
      </c>
      <c r="D44" s="352"/>
      <c r="E44" s="353"/>
      <c r="F44" s="354"/>
      <c r="G44" s="1767" t="str">
        <f>IF(AND('Level D Scoring'!E44="",'Level D Scoring'!G44=""),"",MAX('Level D Scoring'!E44,'Level D Scoring'!G44))</f>
        <v/>
      </c>
      <c r="H44" s="354"/>
      <c r="I44" s="353"/>
      <c r="J44" s="354"/>
      <c r="K44" s="353"/>
      <c r="L44" s="354"/>
      <c r="M44" s="349" t="str">
        <f t="shared" si="3"/>
        <v/>
      </c>
      <c r="N44" s="354"/>
      <c r="O44" s="355"/>
      <c r="Q44" s="356" t="str">
        <f>IF(T44&gt;0,T44,"")</f>
        <v/>
      </c>
      <c r="R44" s="346" t="str">
        <f>IF(E44="","",IF(E44&gt;Dictionary!$I$52,"Pass","Fail"))</f>
        <v/>
      </c>
      <c r="T44" s="349" t="str">
        <f>Scoring!U46</f>
        <v/>
      </c>
      <c r="V44" s="2376"/>
      <c r="W44" s="2377"/>
      <c r="X44" s="2377"/>
      <c r="Y44" s="2377"/>
      <c r="Z44" s="2378"/>
      <c r="AA44" s="348"/>
      <c r="AB44" s="348"/>
      <c r="AC44" s="348"/>
      <c r="AD44" s="348"/>
      <c r="AE44" s="349"/>
      <c r="AF44" s="349"/>
    </row>
    <row r="45" spans="2:32" ht="24" hidden="1" customHeight="1">
      <c r="B45" s="350" t="str">
        <f>".3"</f>
        <v>.3</v>
      </c>
      <c r="C45" s="351" t="s">
        <v>445</v>
      </c>
      <c r="D45" s="352"/>
      <c r="E45" s="353"/>
      <c r="F45" s="354"/>
      <c r="G45" s="1767" t="str">
        <f>IF(AND('Level D Scoring'!E45="",'Level D Scoring'!G45=""),"",MAX('Level D Scoring'!E45,'Level D Scoring'!G45))</f>
        <v/>
      </c>
      <c r="H45" s="354"/>
      <c r="I45" s="353"/>
      <c r="J45" s="354"/>
      <c r="K45" s="353"/>
      <c r="L45" s="354"/>
      <c r="M45" s="349" t="str">
        <f t="shared" si="3"/>
        <v/>
      </c>
      <c r="N45" s="354"/>
      <c r="O45" s="355"/>
      <c r="Q45" s="356" t="str">
        <f>IF(T45&gt;0,T45,"")</f>
        <v/>
      </c>
      <c r="R45" s="346" t="str">
        <f>IF(E45="","",IF(E45&gt;Dictionary!$I$52,"Pass","Fail"))</f>
        <v/>
      </c>
      <c r="T45" s="349" t="str">
        <f>Scoring!U47</f>
        <v/>
      </c>
      <c r="V45" s="2376"/>
      <c r="W45" s="2377"/>
      <c r="X45" s="2377"/>
      <c r="Y45" s="2377"/>
      <c r="Z45" s="2378"/>
      <c r="AA45" s="348"/>
      <c r="AB45" s="348"/>
      <c r="AC45" s="348"/>
      <c r="AD45" s="348"/>
      <c r="AE45" s="349"/>
      <c r="AF45" s="349"/>
    </row>
    <row r="46" spans="2:32" ht="24" hidden="1" customHeight="1">
      <c r="B46" s="350" t="str">
        <f>".4"</f>
        <v>.4</v>
      </c>
      <c r="C46" s="351" t="s">
        <v>444</v>
      </c>
      <c r="D46" s="352"/>
      <c r="E46" s="353"/>
      <c r="F46" s="354"/>
      <c r="G46" s="1767" t="str">
        <f>IF(AND('Level D Scoring'!E46="",'Level D Scoring'!G46=""),"",MAX('Level D Scoring'!E46,'Level D Scoring'!G46))</f>
        <v/>
      </c>
      <c r="H46" s="354"/>
      <c r="I46" s="353"/>
      <c r="J46" s="354"/>
      <c r="K46" s="353"/>
      <c r="L46" s="354"/>
      <c r="M46" s="349" t="str">
        <f t="shared" si="3"/>
        <v/>
      </c>
      <c r="N46" s="354"/>
      <c r="O46" s="355"/>
      <c r="Q46" s="356" t="str">
        <f>IF(T46&gt;0,T46,"")</f>
        <v/>
      </c>
      <c r="R46" s="346" t="str">
        <f>IF(E46="","",IF(E46&gt;Dictionary!$I$52,"Pass","Fail"))</f>
        <v/>
      </c>
      <c r="T46" s="349" t="str">
        <f>Scoring!U48</f>
        <v/>
      </c>
      <c r="V46" s="2376"/>
      <c r="W46" s="2377"/>
      <c r="X46" s="2377"/>
      <c r="Y46" s="2377"/>
      <c r="Z46" s="2378"/>
      <c r="AA46" s="348"/>
      <c r="AB46" s="348"/>
      <c r="AC46" s="348"/>
      <c r="AD46" s="348"/>
      <c r="AE46" s="349"/>
      <c r="AF46" s="349"/>
    </row>
    <row r="47" spans="2:32" ht="18" hidden="1" customHeight="1">
      <c r="B47" s="350" t="str">
        <f>".5"</f>
        <v>.5</v>
      </c>
      <c r="C47" s="351" t="s">
        <v>443</v>
      </c>
      <c r="D47" s="352"/>
      <c r="E47" s="353"/>
      <c r="F47" s="354"/>
      <c r="G47" s="1767" t="str">
        <f>IF(AND('Level D Scoring'!E47="",'Level D Scoring'!G47=""),"",MAX('Level D Scoring'!E47,'Level D Scoring'!G47))</f>
        <v/>
      </c>
      <c r="H47" s="354"/>
      <c r="I47" s="353"/>
      <c r="J47" s="354"/>
      <c r="K47" s="353"/>
      <c r="L47" s="354"/>
      <c r="M47" s="349" t="str">
        <f t="shared" si="3"/>
        <v/>
      </c>
      <c r="N47" s="354"/>
      <c r="O47" s="355"/>
      <c r="Q47" s="356" t="str">
        <f>IF(T47&gt;0,T47,"")</f>
        <v/>
      </c>
      <c r="R47" s="346" t="str">
        <f>IF(E47="","",IF(E47&gt;Dictionary!$I$52,"Pass","Fail"))</f>
        <v/>
      </c>
      <c r="T47" s="349" t="str">
        <f>Scoring!U49</f>
        <v/>
      </c>
      <c r="V47" s="2376"/>
      <c r="W47" s="2377"/>
      <c r="X47" s="2377"/>
      <c r="Y47" s="2377"/>
      <c r="Z47" s="2378"/>
      <c r="AA47" s="348"/>
      <c r="AB47" s="348"/>
      <c r="AC47" s="348"/>
      <c r="AD47" s="348"/>
      <c r="AE47" s="349"/>
      <c r="AF47" s="349"/>
    </row>
    <row r="48" spans="2:32" ht="20" customHeight="1">
      <c r="B48" s="341" t="s">
        <v>442</v>
      </c>
      <c r="C48" s="342" t="str">
        <f>Dictionary!B1310</f>
        <v>Persönliche Integrität und Verlässlichkeit</v>
      </c>
      <c r="D48" s="368" t="str">
        <f>IF(COUNTBLANK(D49:D53)=$AE48,"",IF((COUNTIF(D49:D53,"&gt;=4")/$AE48*100)&gt;=50,"Pass","Fail"))</f>
        <v/>
      </c>
      <c r="E48" s="353"/>
      <c r="F48" s="315"/>
      <c r="G48" s="1767" t="str">
        <f>IF(AND('Level D Scoring'!E48="",'Level D Scoring'!G48=""),"",MAX('Level D Scoring'!E48,'Level D Scoring'!G48))</f>
        <v/>
      </c>
      <c r="H48" s="360"/>
      <c r="I48" s="359"/>
      <c r="J48" s="360"/>
      <c r="K48" s="359"/>
      <c r="L48" s="315"/>
      <c r="M48" s="359"/>
      <c r="N48" s="360"/>
      <c r="O48" s="359"/>
      <c r="Q48" s="356"/>
      <c r="R48" s="346" t="str">
        <f>IF(E48="","",IF(E48&gt;Dictionary!$I$52,"Pass","Fail"))</f>
        <v/>
      </c>
      <c r="T48" s="428">
        <f>COUNTIF(T49:T53,"&gt;3")/AE48</f>
        <v>0</v>
      </c>
      <c r="V48" s="2376"/>
      <c r="W48" s="2377"/>
      <c r="X48" s="2377"/>
      <c r="Y48" s="2377"/>
      <c r="Z48" s="2378"/>
      <c r="AA48" s="348"/>
      <c r="AB48" s="348"/>
      <c r="AC48" s="348"/>
      <c r="AD48" s="348"/>
      <c r="AE48" s="349">
        <v>5</v>
      </c>
      <c r="AF48" s="349">
        <f>ROUNDUP(AE48/2,0)</f>
        <v>3</v>
      </c>
    </row>
    <row r="49" spans="2:32" ht="24" hidden="1" customHeight="1">
      <c r="B49" s="350" t="str">
        <f>".1"</f>
        <v>.1</v>
      </c>
      <c r="C49" s="351" t="s">
        <v>441</v>
      </c>
      <c r="D49" s="352"/>
      <c r="E49" s="353"/>
      <c r="F49" s="354"/>
      <c r="G49" s="1767" t="str">
        <f>IF(AND('Level D Scoring'!E49="",'Level D Scoring'!G49=""),"",MAX('Level D Scoring'!E49,'Level D Scoring'!G49))</f>
        <v/>
      </c>
      <c r="H49" s="354"/>
      <c r="I49" s="353"/>
      <c r="J49" s="354"/>
      <c r="K49" s="353"/>
      <c r="L49" s="354"/>
      <c r="M49" s="349" t="str">
        <f t="shared" si="3"/>
        <v/>
      </c>
      <c r="N49" s="354"/>
      <c r="O49" s="355"/>
      <c r="Q49" s="356" t="str">
        <f>IF(T49&gt;0,T49,"")</f>
        <v/>
      </c>
      <c r="R49" s="346" t="str">
        <f>IF(E49="","",IF(E49&gt;Dictionary!$I$52,"Pass","Fail"))</f>
        <v/>
      </c>
      <c r="T49" s="349" t="str">
        <f>Scoring!U51</f>
        <v/>
      </c>
      <c r="V49" s="2376"/>
      <c r="W49" s="2377"/>
      <c r="X49" s="2377"/>
      <c r="Y49" s="2377"/>
      <c r="Z49" s="2378"/>
      <c r="AA49" s="348"/>
      <c r="AB49" s="348"/>
      <c r="AC49" s="348"/>
      <c r="AD49" s="348"/>
      <c r="AE49" s="349"/>
      <c r="AF49" s="349"/>
    </row>
    <row r="50" spans="2:32" ht="18" hidden="1" customHeight="1">
      <c r="B50" s="350" t="str">
        <f>".2"</f>
        <v>.2</v>
      </c>
      <c r="C50" s="351" t="s">
        <v>440</v>
      </c>
      <c r="D50" s="352"/>
      <c r="E50" s="353"/>
      <c r="F50" s="354"/>
      <c r="G50" s="1767" t="str">
        <f>IF(AND('Level D Scoring'!E50="",'Level D Scoring'!G50=""),"",MAX('Level D Scoring'!E50,'Level D Scoring'!G50))</f>
        <v/>
      </c>
      <c r="H50" s="354"/>
      <c r="I50" s="353"/>
      <c r="J50" s="354"/>
      <c r="K50" s="353"/>
      <c r="L50" s="354"/>
      <c r="M50" s="349" t="str">
        <f t="shared" si="3"/>
        <v/>
      </c>
      <c r="N50" s="354"/>
      <c r="O50" s="355"/>
      <c r="Q50" s="356" t="str">
        <f>IF(T50&gt;0,T50,"")</f>
        <v/>
      </c>
      <c r="R50" s="346" t="str">
        <f>IF(E50="","",IF(E50&gt;Dictionary!$I$52,"Pass","Fail"))</f>
        <v/>
      </c>
      <c r="T50" s="349" t="str">
        <f>Scoring!U52</f>
        <v/>
      </c>
      <c r="V50" s="2376"/>
      <c r="W50" s="2377"/>
      <c r="X50" s="2377"/>
      <c r="Y50" s="2377"/>
      <c r="Z50" s="2378"/>
      <c r="AA50" s="348"/>
      <c r="AB50" s="348"/>
      <c r="AC50" s="348"/>
      <c r="AD50" s="348"/>
      <c r="AE50" s="349"/>
      <c r="AF50" s="349"/>
    </row>
    <row r="51" spans="2:32" ht="18" hidden="1" customHeight="1">
      <c r="B51" s="350" t="str">
        <f>".3"</f>
        <v>.3</v>
      </c>
      <c r="C51" s="351" t="s">
        <v>439</v>
      </c>
      <c r="D51" s="352"/>
      <c r="E51" s="353"/>
      <c r="F51" s="354"/>
      <c r="G51" s="1767" t="str">
        <f>IF(AND('Level D Scoring'!E51="",'Level D Scoring'!G51=""),"",MAX('Level D Scoring'!E51,'Level D Scoring'!G51))</f>
        <v/>
      </c>
      <c r="H51" s="354"/>
      <c r="I51" s="353"/>
      <c r="J51" s="354"/>
      <c r="K51" s="353"/>
      <c r="L51" s="354"/>
      <c r="M51" s="349" t="str">
        <f t="shared" si="3"/>
        <v/>
      </c>
      <c r="N51" s="354"/>
      <c r="O51" s="355"/>
      <c r="Q51" s="356" t="str">
        <f>IF(T51&gt;0,T51,"")</f>
        <v/>
      </c>
      <c r="R51" s="346" t="str">
        <f>IF(E51="","",IF(E51&gt;Dictionary!$I$52,"Pass","Fail"))</f>
        <v/>
      </c>
      <c r="T51" s="349" t="str">
        <f>Scoring!U53</f>
        <v/>
      </c>
      <c r="V51" s="2376"/>
      <c r="W51" s="2377"/>
      <c r="X51" s="2377"/>
      <c r="Y51" s="2377"/>
      <c r="Z51" s="2378"/>
      <c r="AA51" s="348"/>
      <c r="AB51" s="348"/>
      <c r="AC51" s="348"/>
      <c r="AD51" s="348"/>
      <c r="AE51" s="349"/>
      <c r="AF51" s="349"/>
    </row>
    <row r="52" spans="2:32" ht="18" hidden="1" customHeight="1">
      <c r="B52" s="350" t="str">
        <f>".4"</f>
        <v>.4</v>
      </c>
      <c r="C52" s="351" t="s">
        <v>438</v>
      </c>
      <c r="D52" s="352"/>
      <c r="E52" s="353"/>
      <c r="F52" s="354"/>
      <c r="G52" s="1767" t="str">
        <f>IF(AND('Level D Scoring'!E52="",'Level D Scoring'!G52=""),"",MAX('Level D Scoring'!E52,'Level D Scoring'!G52))</f>
        <v/>
      </c>
      <c r="H52" s="354"/>
      <c r="I52" s="353"/>
      <c r="J52" s="354"/>
      <c r="K52" s="353"/>
      <c r="L52" s="354"/>
      <c r="M52" s="349" t="str">
        <f t="shared" si="3"/>
        <v/>
      </c>
      <c r="N52" s="354"/>
      <c r="O52" s="355"/>
      <c r="Q52" s="356" t="str">
        <f>IF(T52&gt;0,T52,"")</f>
        <v/>
      </c>
      <c r="R52" s="346" t="str">
        <f>IF(E52="","",IF(E52&gt;Dictionary!$I$52,"Pass","Fail"))</f>
        <v/>
      </c>
      <c r="T52" s="349" t="str">
        <f>Scoring!U54</f>
        <v/>
      </c>
      <c r="V52" s="2376"/>
      <c r="W52" s="2377"/>
      <c r="X52" s="2377"/>
      <c r="Y52" s="2377"/>
      <c r="Z52" s="2378"/>
      <c r="AA52" s="348"/>
      <c r="AB52" s="348"/>
      <c r="AC52" s="348"/>
      <c r="AD52" s="348"/>
      <c r="AE52" s="349"/>
      <c r="AF52" s="349"/>
    </row>
    <row r="53" spans="2:32" ht="24" hidden="1" customHeight="1">
      <c r="B53" s="350" t="str">
        <f>".5"</f>
        <v>.5</v>
      </c>
      <c r="C53" s="351" t="s">
        <v>437</v>
      </c>
      <c r="D53" s="352"/>
      <c r="E53" s="353"/>
      <c r="F53" s="354"/>
      <c r="G53" s="1767" t="str">
        <f>IF(AND('Level D Scoring'!E53="",'Level D Scoring'!G53=""),"",MAX('Level D Scoring'!E53,'Level D Scoring'!G53))</f>
        <v/>
      </c>
      <c r="H53" s="354"/>
      <c r="I53" s="353"/>
      <c r="J53" s="354"/>
      <c r="K53" s="353"/>
      <c r="L53" s="354"/>
      <c r="M53" s="349" t="str">
        <f t="shared" si="3"/>
        <v/>
      </c>
      <c r="N53" s="354"/>
      <c r="O53" s="355"/>
      <c r="Q53" s="356" t="str">
        <f>IF(T53&gt;0,T53,"")</f>
        <v/>
      </c>
      <c r="R53" s="346" t="str">
        <f>IF(E53="","",IF(E53&gt;Dictionary!$I$52,"Pass","Fail"))</f>
        <v/>
      </c>
      <c r="T53" s="349" t="str">
        <f>Scoring!U55</f>
        <v/>
      </c>
      <c r="V53" s="2376"/>
      <c r="W53" s="2377"/>
      <c r="X53" s="2377"/>
      <c r="Y53" s="2377"/>
      <c r="Z53" s="2378"/>
      <c r="AA53" s="348"/>
      <c r="AB53" s="348"/>
      <c r="AC53" s="348"/>
      <c r="AD53" s="348"/>
      <c r="AE53" s="349"/>
      <c r="AF53" s="349"/>
    </row>
    <row r="54" spans="2:32" ht="20" customHeight="1">
      <c r="B54" s="341" t="s">
        <v>436</v>
      </c>
      <c r="C54" s="342" t="str">
        <f>Dictionary!B1318</f>
        <v>Persönliche Kommunikation</v>
      </c>
      <c r="D54" s="343"/>
      <c r="E54" s="353"/>
      <c r="F54" s="315"/>
      <c r="G54" s="1767" t="str">
        <f>IF(AND('Level D Scoring'!E54="",'Level D Scoring'!G54=""),"",MAX('Level D Scoring'!E54,'Level D Scoring'!G54))</f>
        <v/>
      </c>
      <c r="H54" s="360"/>
      <c r="I54" s="359"/>
      <c r="J54" s="360"/>
      <c r="K54" s="359"/>
      <c r="L54" s="315"/>
      <c r="M54" s="359"/>
      <c r="N54" s="360"/>
      <c r="O54" s="359"/>
      <c r="Q54" s="356"/>
      <c r="R54" s="346" t="str">
        <f>IF(E54="","",IF(E54&gt;Dictionary!$I$52,"Pass","Fail"))</f>
        <v/>
      </c>
      <c r="T54" s="428">
        <f>COUNTIF(T55:T59,"&gt;3")/AE54</f>
        <v>0</v>
      </c>
      <c r="V54" s="2376"/>
      <c r="W54" s="2377"/>
      <c r="X54" s="2377"/>
      <c r="Y54" s="2377"/>
      <c r="Z54" s="2378"/>
      <c r="AA54" s="348"/>
      <c r="AB54" s="348"/>
      <c r="AC54" s="348"/>
      <c r="AD54" s="369"/>
      <c r="AE54" s="349">
        <v>5</v>
      </c>
      <c r="AF54" s="349">
        <f>ROUNDUP(AE54/2,0)</f>
        <v>3</v>
      </c>
    </row>
    <row r="55" spans="2:32" ht="24" hidden="1" customHeight="1">
      <c r="B55" s="350" t="str">
        <f>".1"</f>
        <v>.1</v>
      </c>
      <c r="C55" s="351" t="s">
        <v>435</v>
      </c>
      <c r="D55" s="352"/>
      <c r="E55" s="353"/>
      <c r="F55" s="354"/>
      <c r="G55" s="1767" t="str">
        <f>IF(AND('Level D Scoring'!E55="",'Level D Scoring'!G55=""),"",MAX('Level D Scoring'!E55,'Level D Scoring'!G55))</f>
        <v/>
      </c>
      <c r="H55" s="354"/>
      <c r="I55" s="353"/>
      <c r="J55" s="354"/>
      <c r="K55" s="353"/>
      <c r="L55" s="354"/>
      <c r="M55" s="349" t="str">
        <f t="shared" si="3"/>
        <v/>
      </c>
      <c r="N55" s="354"/>
      <c r="O55" s="355"/>
      <c r="Q55" s="356" t="str">
        <f>IF(T55&gt;0,T55,"")</f>
        <v/>
      </c>
      <c r="R55" s="346" t="str">
        <f>IF(E55="","",IF(E55&gt;Dictionary!$I$52,"Pass","Fail"))</f>
        <v/>
      </c>
      <c r="T55" s="349" t="str">
        <f>Scoring!U57</f>
        <v/>
      </c>
      <c r="V55" s="2376"/>
      <c r="W55" s="2377"/>
      <c r="X55" s="2377"/>
      <c r="Y55" s="2377"/>
      <c r="Z55" s="2378"/>
      <c r="AA55" s="348"/>
      <c r="AB55" s="348"/>
      <c r="AC55" s="348"/>
      <c r="AD55" s="348"/>
      <c r="AE55" s="349"/>
      <c r="AF55" s="349"/>
    </row>
    <row r="56" spans="2:32" ht="18" hidden="1" customHeight="1">
      <c r="B56" s="350" t="str">
        <f>".2"</f>
        <v>.2</v>
      </c>
      <c r="C56" s="351" t="s">
        <v>434</v>
      </c>
      <c r="D56" s="352"/>
      <c r="E56" s="353"/>
      <c r="F56" s="354"/>
      <c r="G56" s="1767" t="str">
        <f>IF(AND('Level D Scoring'!E56="",'Level D Scoring'!G56=""),"",MAX('Level D Scoring'!E56,'Level D Scoring'!G56))</f>
        <v/>
      </c>
      <c r="H56" s="354"/>
      <c r="I56" s="353"/>
      <c r="J56" s="354"/>
      <c r="K56" s="353"/>
      <c r="L56" s="354"/>
      <c r="M56" s="349" t="str">
        <f t="shared" si="3"/>
        <v/>
      </c>
      <c r="N56" s="354"/>
      <c r="O56" s="355"/>
      <c r="Q56" s="356" t="str">
        <f>IF(T56&gt;0,T56,"")</f>
        <v/>
      </c>
      <c r="R56" s="346" t="str">
        <f>IF(E56="","",IF(E56&gt;Dictionary!$I$52,"Pass","Fail"))</f>
        <v/>
      </c>
      <c r="T56" s="349" t="str">
        <f>Scoring!U58</f>
        <v/>
      </c>
      <c r="V56" s="2376"/>
      <c r="W56" s="2377"/>
      <c r="X56" s="2377"/>
      <c r="Y56" s="2377"/>
      <c r="Z56" s="2378"/>
      <c r="AA56" s="348"/>
      <c r="AB56" s="348"/>
      <c r="AC56" s="348"/>
      <c r="AD56" s="348"/>
      <c r="AE56" s="349"/>
      <c r="AF56" s="349"/>
    </row>
    <row r="57" spans="2:32" ht="24" hidden="1" customHeight="1">
      <c r="B57" s="350" t="str">
        <f>".3"</f>
        <v>.3</v>
      </c>
      <c r="C57" s="351" t="s">
        <v>433</v>
      </c>
      <c r="D57" s="352"/>
      <c r="E57" s="353"/>
      <c r="F57" s="354"/>
      <c r="G57" s="1767" t="str">
        <f>IF(AND('Level D Scoring'!E57="",'Level D Scoring'!G57=""),"",MAX('Level D Scoring'!E57,'Level D Scoring'!G57))</f>
        <v/>
      </c>
      <c r="H57" s="354"/>
      <c r="I57" s="353"/>
      <c r="J57" s="354"/>
      <c r="K57" s="353"/>
      <c r="L57" s="354"/>
      <c r="M57" s="349" t="str">
        <f t="shared" si="3"/>
        <v/>
      </c>
      <c r="N57" s="354"/>
      <c r="O57" s="355"/>
      <c r="Q57" s="356" t="str">
        <f>IF(T57&gt;0,T57,"")</f>
        <v/>
      </c>
      <c r="R57" s="346" t="str">
        <f>IF(E57="","",IF(E57&gt;Dictionary!$I$52,"Pass","Fail"))</f>
        <v/>
      </c>
      <c r="T57" s="349" t="str">
        <f>Scoring!U59</f>
        <v/>
      </c>
      <c r="V57" s="2376"/>
      <c r="W57" s="2377"/>
      <c r="X57" s="2377"/>
      <c r="Y57" s="2377"/>
      <c r="Z57" s="2378"/>
      <c r="AA57" s="348"/>
      <c r="AB57" s="348"/>
      <c r="AC57" s="348"/>
      <c r="AD57" s="348"/>
      <c r="AE57" s="349"/>
      <c r="AF57" s="349"/>
    </row>
    <row r="58" spans="2:32" ht="18" hidden="1" customHeight="1">
      <c r="B58" s="350" t="str">
        <f>".4"</f>
        <v>.4</v>
      </c>
      <c r="C58" s="351" t="s">
        <v>432</v>
      </c>
      <c r="D58" s="352"/>
      <c r="E58" s="353"/>
      <c r="F58" s="354"/>
      <c r="G58" s="1767" t="str">
        <f>IF(AND('Level D Scoring'!E58="",'Level D Scoring'!G58=""),"",MAX('Level D Scoring'!E58,'Level D Scoring'!G58))</f>
        <v/>
      </c>
      <c r="H58" s="354"/>
      <c r="I58" s="353"/>
      <c r="J58" s="354"/>
      <c r="K58" s="353"/>
      <c r="L58" s="354"/>
      <c r="M58" s="349" t="str">
        <f t="shared" si="3"/>
        <v/>
      </c>
      <c r="N58" s="354"/>
      <c r="O58" s="355"/>
      <c r="Q58" s="356" t="str">
        <f>IF(T58&gt;0,T58,"")</f>
        <v/>
      </c>
      <c r="R58" s="346" t="str">
        <f>IF(E58="","",IF(E58&gt;Dictionary!$I$52,"Pass","Fail"))</f>
        <v/>
      </c>
      <c r="T58" s="349" t="str">
        <f>Scoring!U60</f>
        <v/>
      </c>
      <c r="V58" s="2376"/>
      <c r="W58" s="2377"/>
      <c r="X58" s="2377"/>
      <c r="Y58" s="2377"/>
      <c r="Z58" s="2378"/>
      <c r="AA58" s="348"/>
      <c r="AB58" s="348"/>
      <c r="AC58" s="348"/>
      <c r="AD58" s="348"/>
      <c r="AE58" s="349"/>
      <c r="AF58" s="349"/>
    </row>
    <row r="59" spans="2:32" ht="18" hidden="1" customHeight="1">
      <c r="B59" s="350" t="str">
        <f>".5"</f>
        <v>.5</v>
      </c>
      <c r="C59" s="351" t="s">
        <v>431</v>
      </c>
      <c r="D59" s="352"/>
      <c r="E59" s="353"/>
      <c r="F59" s="354"/>
      <c r="G59" s="1767" t="str">
        <f>IF(AND('Level D Scoring'!E59="",'Level D Scoring'!G59=""),"",MAX('Level D Scoring'!E59,'Level D Scoring'!G59))</f>
        <v/>
      </c>
      <c r="H59" s="354"/>
      <c r="I59" s="353"/>
      <c r="J59" s="354"/>
      <c r="K59" s="353"/>
      <c r="L59" s="354"/>
      <c r="M59" s="349" t="str">
        <f t="shared" si="3"/>
        <v/>
      </c>
      <c r="N59" s="354"/>
      <c r="O59" s="355"/>
      <c r="Q59" s="356" t="str">
        <f>IF(T59&gt;0,T59,"")</f>
        <v/>
      </c>
      <c r="R59" s="346" t="str">
        <f>IF(E59="","",IF(E59&gt;Dictionary!$I$52,"Pass","Fail"))</f>
        <v/>
      </c>
      <c r="T59" s="349" t="str">
        <f>Scoring!U61</f>
        <v/>
      </c>
      <c r="V59" s="2376"/>
      <c r="W59" s="2377"/>
      <c r="X59" s="2377"/>
      <c r="Y59" s="2377"/>
      <c r="Z59" s="2378"/>
      <c r="AA59" s="348"/>
      <c r="AB59" s="348"/>
      <c r="AC59" s="348"/>
      <c r="AD59" s="348"/>
      <c r="AE59" s="349"/>
      <c r="AF59" s="349"/>
    </row>
    <row r="60" spans="2:32" ht="20" customHeight="1">
      <c r="B60" s="341" t="s">
        <v>430</v>
      </c>
      <c r="C60" s="342" t="str">
        <f>Dictionary!B1326</f>
        <v>Beziehungen und Engagement</v>
      </c>
      <c r="D60" s="343"/>
      <c r="E60" s="353"/>
      <c r="F60" s="315"/>
      <c r="G60" s="1767" t="str">
        <f>IF(AND('Level D Scoring'!E60="",'Level D Scoring'!G60=""),"",MAX('Level D Scoring'!E60,'Level D Scoring'!G60))</f>
        <v/>
      </c>
      <c r="H60" s="360"/>
      <c r="I60" s="359"/>
      <c r="J60" s="360"/>
      <c r="K60" s="359"/>
      <c r="L60" s="315"/>
      <c r="M60" s="359"/>
      <c r="N60" s="360"/>
      <c r="O60" s="359"/>
      <c r="Q60" s="356"/>
      <c r="R60" s="346" t="str">
        <f>IF(E60="","",IF(E60&gt;Dictionary!$I$52,"Pass","Fail"))</f>
        <v/>
      </c>
      <c r="T60" s="428">
        <f>COUNTIF(T61:T65,"&gt;3")/AE60</f>
        <v>0</v>
      </c>
      <c r="V60" s="2376"/>
      <c r="W60" s="2377"/>
      <c r="X60" s="2377"/>
      <c r="Y60" s="2377"/>
      <c r="Z60" s="2378"/>
      <c r="AA60" s="348"/>
      <c r="AB60" s="348"/>
      <c r="AC60" s="348"/>
      <c r="AD60" s="369"/>
      <c r="AE60" s="349">
        <v>5</v>
      </c>
      <c r="AF60" s="349">
        <f>ROUNDUP(AE60/2,0)</f>
        <v>3</v>
      </c>
    </row>
    <row r="61" spans="2:32" ht="18" hidden="1" customHeight="1">
      <c r="B61" s="350" t="str">
        <f>".1"</f>
        <v>.1</v>
      </c>
      <c r="C61" s="351" t="s">
        <v>429</v>
      </c>
      <c r="D61" s="352"/>
      <c r="E61" s="353"/>
      <c r="F61" s="354"/>
      <c r="G61" s="1767" t="str">
        <f>IF(AND('Level D Scoring'!E61="",'Level D Scoring'!G61=""),"",MAX('Level D Scoring'!E61,'Level D Scoring'!G61))</f>
        <v/>
      </c>
      <c r="H61" s="354"/>
      <c r="I61" s="353"/>
      <c r="J61" s="354"/>
      <c r="K61" s="353"/>
      <c r="L61" s="354"/>
      <c r="M61" s="349" t="str">
        <f t="shared" si="3"/>
        <v/>
      </c>
      <c r="N61" s="354"/>
      <c r="O61" s="355"/>
      <c r="Q61" s="356" t="str">
        <f>IF(T61&gt;0,T61,"")</f>
        <v/>
      </c>
      <c r="R61" s="346" t="str">
        <f>IF(E61="","",IF(E61&gt;Dictionary!$I$52,"Pass","Fail"))</f>
        <v/>
      </c>
      <c r="T61" s="349" t="str">
        <f>Scoring!U63</f>
        <v/>
      </c>
      <c r="V61" s="2376"/>
      <c r="W61" s="2377"/>
      <c r="X61" s="2377"/>
      <c r="Y61" s="2377"/>
      <c r="Z61" s="2378"/>
      <c r="AA61" s="348"/>
      <c r="AB61" s="348"/>
      <c r="AC61" s="348"/>
      <c r="AD61" s="348"/>
      <c r="AE61" s="349"/>
      <c r="AF61" s="349"/>
    </row>
    <row r="62" spans="2:32" ht="18" hidden="1" customHeight="1">
      <c r="B62" s="350" t="str">
        <f>".2"</f>
        <v>.2</v>
      </c>
      <c r="C62" s="351" t="s">
        <v>428</v>
      </c>
      <c r="D62" s="352"/>
      <c r="E62" s="353"/>
      <c r="F62" s="354"/>
      <c r="G62" s="1767" t="str">
        <f>IF(AND('Level D Scoring'!E62="",'Level D Scoring'!G62=""),"",MAX('Level D Scoring'!E62,'Level D Scoring'!G62))</f>
        <v/>
      </c>
      <c r="H62" s="354"/>
      <c r="I62" s="353"/>
      <c r="J62" s="354"/>
      <c r="K62" s="353"/>
      <c r="L62" s="354"/>
      <c r="M62" s="349" t="str">
        <f t="shared" si="3"/>
        <v/>
      </c>
      <c r="N62" s="354"/>
      <c r="O62" s="355"/>
      <c r="Q62" s="356" t="str">
        <f>IF(T62&gt;0,T62,"")</f>
        <v/>
      </c>
      <c r="R62" s="346" t="str">
        <f>IF(E62="","",IF(E62&gt;Dictionary!$I$52,"Pass","Fail"))</f>
        <v/>
      </c>
      <c r="T62" s="349" t="str">
        <f>Scoring!U64</f>
        <v/>
      </c>
      <c r="V62" s="2376"/>
      <c r="W62" s="2377"/>
      <c r="X62" s="2377"/>
      <c r="Y62" s="2377"/>
      <c r="Z62" s="2378"/>
      <c r="AA62" s="348"/>
      <c r="AB62" s="348"/>
      <c r="AC62" s="348"/>
      <c r="AD62" s="348"/>
      <c r="AE62" s="349"/>
      <c r="AF62" s="349"/>
    </row>
    <row r="63" spans="2:32" ht="24" hidden="1" customHeight="1">
      <c r="B63" s="350" t="str">
        <f>".3"</f>
        <v>.3</v>
      </c>
      <c r="C63" s="351" t="s">
        <v>427</v>
      </c>
      <c r="D63" s="352"/>
      <c r="E63" s="353"/>
      <c r="F63" s="354"/>
      <c r="G63" s="1767" t="str">
        <f>IF(AND('Level D Scoring'!E63="",'Level D Scoring'!G63=""),"",MAX('Level D Scoring'!E63,'Level D Scoring'!G63))</f>
        <v/>
      </c>
      <c r="H63" s="354"/>
      <c r="I63" s="353"/>
      <c r="J63" s="354"/>
      <c r="K63" s="353"/>
      <c r="L63" s="354"/>
      <c r="M63" s="349" t="str">
        <f t="shared" si="3"/>
        <v/>
      </c>
      <c r="N63" s="354"/>
      <c r="O63" s="355"/>
      <c r="Q63" s="356" t="str">
        <f>IF(T63&gt;0,T63,"")</f>
        <v/>
      </c>
      <c r="R63" s="346" t="str">
        <f>IF(E63="","",IF(E63&gt;Dictionary!$I$52,"Pass","Fail"))</f>
        <v/>
      </c>
      <c r="T63" s="349" t="str">
        <f>Scoring!U65</f>
        <v/>
      </c>
      <c r="V63" s="2376"/>
      <c r="W63" s="2377"/>
      <c r="X63" s="2377"/>
      <c r="Y63" s="2377"/>
      <c r="Z63" s="2378"/>
      <c r="AA63" s="348"/>
      <c r="AB63" s="348"/>
      <c r="AC63" s="348"/>
      <c r="AD63" s="348"/>
      <c r="AE63" s="349"/>
      <c r="AF63" s="349"/>
    </row>
    <row r="64" spans="2:32" ht="24" hidden="1" customHeight="1">
      <c r="B64" s="350" t="str">
        <f>".4"</f>
        <v>.4</v>
      </c>
      <c r="C64" s="351" t="s">
        <v>426</v>
      </c>
      <c r="D64" s="352"/>
      <c r="E64" s="353"/>
      <c r="F64" s="354"/>
      <c r="G64" s="1767" t="str">
        <f>IF(AND('Level D Scoring'!E64="",'Level D Scoring'!G64=""),"",MAX('Level D Scoring'!E64,'Level D Scoring'!G64))</f>
        <v/>
      </c>
      <c r="H64" s="354"/>
      <c r="I64" s="353"/>
      <c r="J64" s="354"/>
      <c r="K64" s="353"/>
      <c r="L64" s="354"/>
      <c r="M64" s="349" t="str">
        <f t="shared" si="3"/>
        <v/>
      </c>
      <c r="N64" s="354"/>
      <c r="O64" s="355"/>
      <c r="Q64" s="356" t="str">
        <f>IF(T64&gt;0,T64,"")</f>
        <v/>
      </c>
      <c r="R64" s="346" t="str">
        <f>IF(E64="","",IF(E64&gt;Dictionary!$I$52,"Pass","Fail"))</f>
        <v/>
      </c>
      <c r="T64" s="349" t="str">
        <f>Scoring!U66</f>
        <v/>
      </c>
      <c r="V64" s="2376"/>
      <c r="W64" s="2377"/>
      <c r="X64" s="2377"/>
      <c r="Y64" s="2377"/>
      <c r="Z64" s="2378"/>
      <c r="AA64" s="348"/>
      <c r="AB64" s="348"/>
      <c r="AC64" s="348"/>
      <c r="AD64" s="348"/>
      <c r="AE64" s="349"/>
      <c r="AF64" s="349"/>
    </row>
    <row r="65" spans="2:32" ht="24" hidden="1" customHeight="1">
      <c r="B65" s="350" t="str">
        <f>".5"</f>
        <v>.5</v>
      </c>
      <c r="C65" s="351" t="s">
        <v>425</v>
      </c>
      <c r="D65" s="352"/>
      <c r="E65" s="353"/>
      <c r="F65" s="354"/>
      <c r="G65" s="1767" t="str">
        <f>IF(AND('Level D Scoring'!E65="",'Level D Scoring'!G65=""),"",MAX('Level D Scoring'!E65,'Level D Scoring'!G65))</f>
        <v/>
      </c>
      <c r="H65" s="354"/>
      <c r="I65" s="353"/>
      <c r="J65" s="354"/>
      <c r="K65" s="353"/>
      <c r="L65" s="354"/>
      <c r="M65" s="349" t="str">
        <f t="shared" si="3"/>
        <v/>
      </c>
      <c r="N65" s="354"/>
      <c r="O65" s="355"/>
      <c r="Q65" s="356" t="str">
        <f>IF(T65&gt;0,T65,"")</f>
        <v/>
      </c>
      <c r="R65" s="346" t="str">
        <f>IF(E65="","",IF(E65&gt;Dictionary!$I$52,"Pass","Fail"))</f>
        <v/>
      </c>
      <c r="T65" s="349" t="str">
        <f>Scoring!U67</f>
        <v/>
      </c>
      <c r="V65" s="2376"/>
      <c r="W65" s="2377"/>
      <c r="X65" s="2377"/>
      <c r="Y65" s="2377"/>
      <c r="Z65" s="2378"/>
      <c r="AA65" s="348"/>
      <c r="AB65" s="348"/>
      <c r="AC65" s="348"/>
      <c r="AD65" s="348"/>
      <c r="AE65" s="349"/>
      <c r="AF65" s="349"/>
    </row>
    <row r="66" spans="2:32" ht="20" customHeight="1">
      <c r="B66" s="341" t="s">
        <v>424</v>
      </c>
      <c r="C66" s="342" t="str">
        <f>Dictionary!B1334</f>
        <v>Führung</v>
      </c>
      <c r="D66" s="343"/>
      <c r="E66" s="353"/>
      <c r="F66" s="315"/>
      <c r="G66" s="1767" t="str">
        <f>IF(AND('Level D Scoring'!E66="",'Level D Scoring'!G66=""),"",MAX('Level D Scoring'!E66,'Level D Scoring'!G66))</f>
        <v/>
      </c>
      <c r="H66" s="360"/>
      <c r="I66" s="359"/>
      <c r="J66" s="360"/>
      <c r="K66" s="359"/>
      <c r="L66" s="315"/>
      <c r="M66" s="359"/>
      <c r="N66" s="360"/>
      <c r="O66" s="359"/>
      <c r="Q66" s="356"/>
      <c r="R66" s="346" t="str">
        <f>IF(E66="","",IF(E66&gt;Dictionary!$I$52,"Pass","Fail"))</f>
        <v/>
      </c>
      <c r="T66" s="428">
        <f>COUNTIF(T67:T71,"&gt;3")/AE66</f>
        <v>0</v>
      </c>
      <c r="V66" s="2376"/>
      <c r="W66" s="2377"/>
      <c r="X66" s="2377"/>
      <c r="Y66" s="2377"/>
      <c r="Z66" s="2378"/>
      <c r="AA66" s="348"/>
      <c r="AB66" s="348"/>
      <c r="AC66" s="348"/>
      <c r="AD66" s="348"/>
      <c r="AE66" s="349">
        <v>5</v>
      </c>
      <c r="AF66" s="349">
        <f>ROUNDUP(AE66/2,0)</f>
        <v>3</v>
      </c>
    </row>
    <row r="67" spans="2:32" ht="18" hidden="1" customHeight="1">
      <c r="B67" s="350" t="str">
        <f>".1"</f>
        <v>.1</v>
      </c>
      <c r="C67" s="351" t="s">
        <v>423</v>
      </c>
      <c r="D67" s="352"/>
      <c r="E67" s="353"/>
      <c r="F67" s="354"/>
      <c r="G67" s="1767" t="str">
        <f>IF(AND('Level D Scoring'!E67="",'Level D Scoring'!G67=""),"",MAX('Level D Scoring'!E67,'Level D Scoring'!G67))</f>
        <v/>
      </c>
      <c r="H67" s="354"/>
      <c r="I67" s="353"/>
      <c r="J67" s="354"/>
      <c r="K67" s="353"/>
      <c r="L67" s="354"/>
      <c r="M67" s="349" t="str">
        <f t="shared" si="3"/>
        <v/>
      </c>
      <c r="N67" s="354"/>
      <c r="O67" s="355"/>
      <c r="Q67" s="356" t="str">
        <f>IF(T67&gt;0,T67,"")</f>
        <v/>
      </c>
      <c r="R67" s="346" t="str">
        <f>IF(E67="","",IF(E67&gt;Dictionary!$I$52,"Pass","Fail"))</f>
        <v/>
      </c>
      <c r="T67" s="349" t="str">
        <f>Scoring!U69</f>
        <v/>
      </c>
      <c r="V67" s="2376"/>
      <c r="W67" s="2377"/>
      <c r="X67" s="2377"/>
      <c r="Y67" s="2377"/>
      <c r="Z67" s="2378"/>
      <c r="AA67" s="348"/>
      <c r="AB67" s="348"/>
      <c r="AC67" s="348"/>
      <c r="AD67" s="348"/>
      <c r="AE67" s="349"/>
      <c r="AF67" s="349"/>
    </row>
    <row r="68" spans="2:32" ht="18" hidden="1" customHeight="1">
      <c r="B68" s="350" t="str">
        <f>".2"</f>
        <v>.2</v>
      </c>
      <c r="C68" s="351" t="s">
        <v>422</v>
      </c>
      <c r="D68" s="352"/>
      <c r="E68" s="353"/>
      <c r="F68" s="354"/>
      <c r="G68" s="1767" t="str">
        <f>IF(AND('Level D Scoring'!E68="",'Level D Scoring'!G68=""),"",MAX('Level D Scoring'!E68,'Level D Scoring'!G68))</f>
        <v/>
      </c>
      <c r="H68" s="354"/>
      <c r="I68" s="353"/>
      <c r="J68" s="354"/>
      <c r="K68" s="353"/>
      <c r="L68" s="354"/>
      <c r="M68" s="349" t="str">
        <f t="shared" si="3"/>
        <v/>
      </c>
      <c r="N68" s="354"/>
      <c r="O68" s="355"/>
      <c r="Q68" s="356" t="str">
        <f>IF(T68&gt;0,T68,"")</f>
        <v/>
      </c>
      <c r="R68" s="346" t="str">
        <f>IF(E68="","",IF(E68&gt;Dictionary!$I$52,"Pass","Fail"))</f>
        <v/>
      </c>
      <c r="T68" s="349" t="str">
        <f>Scoring!U70</f>
        <v/>
      </c>
      <c r="V68" s="2376"/>
      <c r="W68" s="2377"/>
      <c r="X68" s="2377"/>
      <c r="Y68" s="2377"/>
      <c r="Z68" s="2378"/>
      <c r="AA68" s="348"/>
      <c r="AB68" s="348"/>
      <c r="AC68" s="348"/>
      <c r="AD68" s="348"/>
      <c r="AE68" s="349"/>
      <c r="AF68" s="349"/>
    </row>
    <row r="69" spans="2:32" ht="24" hidden="1" customHeight="1">
      <c r="B69" s="350" t="str">
        <f>".3"</f>
        <v>.3</v>
      </c>
      <c r="C69" s="351" t="s">
        <v>421</v>
      </c>
      <c r="D69" s="352"/>
      <c r="E69" s="353"/>
      <c r="F69" s="354"/>
      <c r="G69" s="1767" t="str">
        <f>IF(AND('Level D Scoring'!E69="",'Level D Scoring'!G69=""),"",MAX('Level D Scoring'!E69,'Level D Scoring'!G69))</f>
        <v/>
      </c>
      <c r="H69" s="354"/>
      <c r="I69" s="353"/>
      <c r="J69" s="354"/>
      <c r="K69" s="353"/>
      <c r="L69" s="354"/>
      <c r="M69" s="349" t="str">
        <f t="shared" si="3"/>
        <v/>
      </c>
      <c r="N69" s="354"/>
      <c r="O69" s="355"/>
      <c r="Q69" s="356" t="str">
        <f>IF(T69&gt;0,T69,"")</f>
        <v/>
      </c>
      <c r="R69" s="346" t="str">
        <f>IF(E69="","",IF(E69&gt;Dictionary!$I$52,"Pass","Fail"))</f>
        <v/>
      </c>
      <c r="T69" s="349" t="str">
        <f>Scoring!U71</f>
        <v/>
      </c>
      <c r="V69" s="2376"/>
      <c r="W69" s="2377"/>
      <c r="X69" s="2377"/>
      <c r="Y69" s="2377"/>
      <c r="Z69" s="2378"/>
      <c r="AA69" s="348"/>
      <c r="AB69" s="348"/>
      <c r="AC69" s="348"/>
      <c r="AD69" s="348"/>
      <c r="AE69" s="349"/>
      <c r="AF69" s="349"/>
    </row>
    <row r="70" spans="2:32" ht="24" hidden="1" customHeight="1">
      <c r="B70" s="350" t="str">
        <f>".4"</f>
        <v>.4</v>
      </c>
      <c r="C70" s="351" t="s">
        <v>420</v>
      </c>
      <c r="D70" s="352"/>
      <c r="E70" s="353"/>
      <c r="F70" s="354"/>
      <c r="G70" s="1767" t="str">
        <f>IF(AND('Level D Scoring'!E70="",'Level D Scoring'!G70=""),"",MAX('Level D Scoring'!E70,'Level D Scoring'!G70))</f>
        <v/>
      </c>
      <c r="H70" s="354"/>
      <c r="I70" s="353"/>
      <c r="J70" s="354"/>
      <c r="K70" s="353"/>
      <c r="L70" s="354"/>
      <c r="M70" s="349" t="str">
        <f t="shared" si="3"/>
        <v/>
      </c>
      <c r="N70" s="354"/>
      <c r="O70" s="355"/>
      <c r="Q70" s="356" t="str">
        <f>IF(T70&gt;0,T70,"")</f>
        <v/>
      </c>
      <c r="R70" s="346" t="str">
        <f>IF(E70="","",IF(E70&gt;Dictionary!$I$52,"Pass","Fail"))</f>
        <v/>
      </c>
      <c r="T70" s="349" t="str">
        <f>Scoring!U72</f>
        <v/>
      </c>
      <c r="V70" s="2376"/>
      <c r="W70" s="2377"/>
      <c r="X70" s="2377"/>
      <c r="Y70" s="2377"/>
      <c r="Z70" s="2378"/>
      <c r="AA70" s="348"/>
      <c r="AB70" s="348"/>
      <c r="AC70" s="348"/>
      <c r="AD70" s="348"/>
      <c r="AE70" s="349"/>
      <c r="AF70" s="349"/>
    </row>
    <row r="71" spans="2:32" ht="18" hidden="1" customHeight="1">
      <c r="B71" s="350" t="str">
        <f>".5"</f>
        <v>.5</v>
      </c>
      <c r="C71" s="351" t="s">
        <v>419</v>
      </c>
      <c r="D71" s="352"/>
      <c r="E71" s="353"/>
      <c r="F71" s="354"/>
      <c r="G71" s="1767" t="str">
        <f>IF(AND('Level D Scoring'!E71="",'Level D Scoring'!G71=""),"",MAX('Level D Scoring'!E71,'Level D Scoring'!G71))</f>
        <v/>
      </c>
      <c r="H71" s="354"/>
      <c r="I71" s="353"/>
      <c r="J71" s="354"/>
      <c r="K71" s="353"/>
      <c r="L71" s="354"/>
      <c r="M71" s="349" t="str">
        <f t="shared" si="3"/>
        <v/>
      </c>
      <c r="N71" s="354"/>
      <c r="O71" s="355"/>
      <c r="Q71" s="356" t="str">
        <f>IF(T71&gt;0,T71,"")</f>
        <v/>
      </c>
      <c r="R71" s="346" t="str">
        <f>IF(E71="","",IF(E71&gt;Dictionary!$I$52,"Pass","Fail"))</f>
        <v/>
      </c>
      <c r="T71" s="349" t="str">
        <f>Scoring!U73</f>
        <v/>
      </c>
      <c r="V71" s="2376"/>
      <c r="W71" s="2377"/>
      <c r="X71" s="2377"/>
      <c r="Y71" s="2377"/>
      <c r="Z71" s="2378"/>
      <c r="AA71" s="348"/>
      <c r="AB71" s="348"/>
      <c r="AC71" s="348"/>
      <c r="AD71" s="348"/>
      <c r="AE71" s="349"/>
      <c r="AF71" s="349"/>
    </row>
    <row r="72" spans="2:32" ht="20" customHeight="1">
      <c r="B72" s="341" t="s">
        <v>418</v>
      </c>
      <c r="C72" s="342" t="str">
        <f>Dictionary!B1342</f>
        <v>Teamarbeit</v>
      </c>
      <c r="D72" s="343"/>
      <c r="E72" s="353"/>
      <c r="F72" s="315"/>
      <c r="G72" s="1767" t="str">
        <f>IF(AND('Level D Scoring'!E72="",'Level D Scoring'!G72=""),"",MAX('Level D Scoring'!E72,'Level D Scoring'!G72))</f>
        <v/>
      </c>
      <c r="H72" s="360"/>
      <c r="I72" s="359"/>
      <c r="J72" s="360"/>
      <c r="K72" s="359"/>
      <c r="L72" s="315"/>
      <c r="M72" s="359"/>
      <c r="N72" s="360"/>
      <c r="O72" s="359"/>
      <c r="Q72" s="356"/>
      <c r="R72" s="346" t="str">
        <f>IF(E72="","",IF(E72&gt;Dictionary!$I$52,"Pass","Fail"))</f>
        <v/>
      </c>
      <c r="T72" s="428">
        <f>COUNTIF(T73:T77,"&gt;3")/AE72</f>
        <v>0</v>
      </c>
      <c r="V72" s="2376"/>
      <c r="W72" s="2377"/>
      <c r="X72" s="2377"/>
      <c r="Y72" s="2377"/>
      <c r="Z72" s="2378"/>
      <c r="AA72" s="348"/>
      <c r="AB72" s="348"/>
      <c r="AC72" s="348"/>
      <c r="AD72" s="348"/>
      <c r="AE72" s="349">
        <v>5</v>
      </c>
      <c r="AF72" s="349">
        <f>ROUNDUP(AE72/2,0)</f>
        <v>3</v>
      </c>
    </row>
    <row r="73" spans="2:32" ht="18" hidden="1" customHeight="1">
      <c r="B73" s="350" t="str">
        <f>".1"</f>
        <v>.1</v>
      </c>
      <c r="C73" s="351" t="s">
        <v>417</v>
      </c>
      <c r="D73" s="352"/>
      <c r="E73" s="353"/>
      <c r="F73" s="354"/>
      <c r="G73" s="1767" t="str">
        <f>IF(AND('Level D Scoring'!E73="",'Level D Scoring'!G73=""),"",MAX('Level D Scoring'!E73,'Level D Scoring'!G73))</f>
        <v/>
      </c>
      <c r="H73" s="354"/>
      <c r="I73" s="353"/>
      <c r="J73" s="354"/>
      <c r="K73" s="353"/>
      <c r="L73" s="354"/>
      <c r="M73" s="349" t="str">
        <f t="shared" si="3"/>
        <v/>
      </c>
      <c r="N73" s="354"/>
      <c r="O73" s="355"/>
      <c r="Q73" s="356" t="str">
        <f>IF(T73&gt;0,T73,"")</f>
        <v/>
      </c>
      <c r="R73" s="346" t="str">
        <f>IF(E73="","",IF(E73&gt;Dictionary!$I$52,"Pass","Fail"))</f>
        <v/>
      </c>
      <c r="T73" s="349" t="str">
        <f>Scoring!U75</f>
        <v/>
      </c>
      <c r="V73" s="2376"/>
      <c r="W73" s="2377"/>
      <c r="X73" s="2377"/>
      <c r="Y73" s="2377"/>
      <c r="Z73" s="2378"/>
      <c r="AA73" s="348"/>
      <c r="AB73" s="348"/>
      <c r="AC73" s="348"/>
      <c r="AD73" s="348"/>
      <c r="AE73" s="349"/>
      <c r="AF73" s="349"/>
    </row>
    <row r="74" spans="2:32" ht="24" hidden="1" customHeight="1">
      <c r="B74" s="350" t="str">
        <f>".2"</f>
        <v>.2</v>
      </c>
      <c r="C74" s="351" t="s">
        <v>416</v>
      </c>
      <c r="D74" s="352"/>
      <c r="E74" s="353"/>
      <c r="F74" s="354"/>
      <c r="G74" s="1767" t="str">
        <f>IF(AND('Level D Scoring'!E74="",'Level D Scoring'!G74=""),"",MAX('Level D Scoring'!E74,'Level D Scoring'!G74))</f>
        <v/>
      </c>
      <c r="H74" s="354"/>
      <c r="I74" s="353"/>
      <c r="J74" s="354"/>
      <c r="K74" s="353"/>
      <c r="L74" s="354"/>
      <c r="M74" s="349" t="str">
        <f t="shared" si="3"/>
        <v/>
      </c>
      <c r="N74" s="354"/>
      <c r="O74" s="355"/>
      <c r="Q74" s="356" t="str">
        <f>IF(T74&gt;0,T74,"")</f>
        <v/>
      </c>
      <c r="R74" s="346" t="str">
        <f>IF(E74="","",IF(E74&gt;Dictionary!$I$52,"Pass","Fail"))</f>
        <v/>
      </c>
      <c r="T74" s="349" t="str">
        <f>Scoring!U76</f>
        <v/>
      </c>
      <c r="V74" s="2376"/>
      <c r="W74" s="2377"/>
      <c r="X74" s="2377"/>
      <c r="Y74" s="2377"/>
      <c r="Z74" s="2378"/>
      <c r="AA74" s="348"/>
      <c r="AB74" s="348"/>
      <c r="AC74" s="348"/>
      <c r="AD74" s="348"/>
      <c r="AE74" s="349"/>
      <c r="AF74" s="349"/>
    </row>
    <row r="75" spans="2:32" ht="24" hidden="1" customHeight="1">
      <c r="B75" s="350" t="str">
        <f>".3"</f>
        <v>.3</v>
      </c>
      <c r="C75" s="351" t="s">
        <v>415</v>
      </c>
      <c r="D75" s="352"/>
      <c r="E75" s="353"/>
      <c r="F75" s="354"/>
      <c r="G75" s="1767" t="str">
        <f>IF(AND('Level D Scoring'!E75="",'Level D Scoring'!G75=""),"",MAX('Level D Scoring'!E75,'Level D Scoring'!G75))</f>
        <v/>
      </c>
      <c r="H75" s="354"/>
      <c r="I75" s="353"/>
      <c r="J75" s="354"/>
      <c r="K75" s="353"/>
      <c r="L75" s="354"/>
      <c r="M75" s="349" t="str">
        <f t="shared" si="3"/>
        <v/>
      </c>
      <c r="N75" s="354"/>
      <c r="O75" s="355"/>
      <c r="Q75" s="356" t="str">
        <f>IF(T75&gt;0,T75,"")</f>
        <v/>
      </c>
      <c r="R75" s="346" t="str">
        <f>IF(E75="","",IF(E75&gt;Dictionary!$I$52,"Pass","Fail"))</f>
        <v/>
      </c>
      <c r="T75" s="349" t="str">
        <f>Scoring!U77</f>
        <v/>
      </c>
      <c r="V75" s="2376"/>
      <c r="W75" s="2377"/>
      <c r="X75" s="2377"/>
      <c r="Y75" s="2377"/>
      <c r="Z75" s="2378"/>
      <c r="AA75" s="348"/>
      <c r="AB75" s="348"/>
      <c r="AC75" s="348"/>
      <c r="AD75" s="348"/>
      <c r="AE75" s="349"/>
      <c r="AF75" s="349"/>
    </row>
    <row r="76" spans="2:32" ht="18" hidden="1" customHeight="1">
      <c r="B76" s="350" t="str">
        <f>".4"</f>
        <v>.4</v>
      </c>
      <c r="C76" s="351" t="s">
        <v>414</v>
      </c>
      <c r="D76" s="352"/>
      <c r="E76" s="353"/>
      <c r="F76" s="354"/>
      <c r="G76" s="1767" t="str">
        <f>IF(AND('Level D Scoring'!E76="",'Level D Scoring'!G76=""),"",MAX('Level D Scoring'!E76,'Level D Scoring'!G76))</f>
        <v/>
      </c>
      <c r="H76" s="354"/>
      <c r="I76" s="353"/>
      <c r="J76" s="354"/>
      <c r="K76" s="353"/>
      <c r="L76" s="354"/>
      <c r="M76" s="349" t="str">
        <f t="shared" si="3"/>
        <v/>
      </c>
      <c r="N76" s="354"/>
      <c r="O76" s="355"/>
      <c r="Q76" s="356" t="str">
        <f>IF(T76&gt;0,T76,"")</f>
        <v/>
      </c>
      <c r="R76" s="346" t="str">
        <f>IF(E76="","",IF(E76&gt;Dictionary!$I$52,"Pass","Fail"))</f>
        <v/>
      </c>
      <c r="T76" s="349" t="str">
        <f>Scoring!U78</f>
        <v/>
      </c>
      <c r="V76" s="2376"/>
      <c r="W76" s="2377"/>
      <c r="X76" s="2377"/>
      <c r="Y76" s="2377"/>
      <c r="Z76" s="2378"/>
      <c r="AA76" s="348"/>
      <c r="AB76" s="348"/>
      <c r="AC76" s="348"/>
      <c r="AD76" s="348"/>
      <c r="AE76" s="349"/>
      <c r="AF76" s="349"/>
    </row>
    <row r="77" spans="2:32" ht="18" hidden="1" customHeight="1">
      <c r="B77" s="350" t="str">
        <f>".5"</f>
        <v>.5</v>
      </c>
      <c r="C77" s="351" t="s">
        <v>413</v>
      </c>
      <c r="D77" s="352"/>
      <c r="E77" s="353"/>
      <c r="F77" s="354"/>
      <c r="G77" s="1767" t="str">
        <f>IF(AND('Level D Scoring'!E77="",'Level D Scoring'!G77=""),"",MAX('Level D Scoring'!E77,'Level D Scoring'!G77))</f>
        <v/>
      </c>
      <c r="H77" s="354"/>
      <c r="I77" s="353"/>
      <c r="J77" s="354"/>
      <c r="K77" s="353"/>
      <c r="L77" s="354"/>
      <c r="M77" s="349" t="str">
        <f t="shared" si="3"/>
        <v/>
      </c>
      <c r="N77" s="354"/>
      <c r="O77" s="355"/>
      <c r="Q77" s="356" t="str">
        <f>IF(T77&gt;0,T77,"")</f>
        <v/>
      </c>
      <c r="R77" s="346" t="str">
        <f>IF(E77="","",IF(E77&gt;Dictionary!$I$52,"Pass","Fail"))</f>
        <v/>
      </c>
      <c r="T77" s="349" t="str">
        <f>Scoring!U79</f>
        <v/>
      </c>
      <c r="V77" s="2376"/>
      <c r="W77" s="2377"/>
      <c r="X77" s="2377"/>
      <c r="Y77" s="2377"/>
      <c r="Z77" s="2378"/>
      <c r="AA77" s="348"/>
      <c r="AB77" s="348"/>
      <c r="AC77" s="348"/>
      <c r="AD77" s="348"/>
      <c r="AE77" s="349"/>
      <c r="AF77" s="349"/>
    </row>
    <row r="78" spans="2:32" ht="20" customHeight="1">
      <c r="B78" s="341" t="s">
        <v>412</v>
      </c>
      <c r="C78" s="342" t="str">
        <f>Dictionary!B1350</f>
        <v>Konflikte und Krisen</v>
      </c>
      <c r="D78" s="343"/>
      <c r="E78" s="353"/>
      <c r="F78" s="315"/>
      <c r="G78" s="1767" t="str">
        <f>IF(AND('Level D Scoring'!E78="",'Level D Scoring'!G78=""),"",MAX('Level D Scoring'!E78,'Level D Scoring'!G78))</f>
        <v/>
      </c>
      <c r="H78" s="360"/>
      <c r="I78" s="359"/>
      <c r="J78" s="360"/>
      <c r="K78" s="359"/>
      <c r="L78" s="315"/>
      <c r="M78" s="359"/>
      <c r="N78" s="360"/>
      <c r="O78" s="359"/>
      <c r="Q78" s="356"/>
      <c r="R78" s="346" t="str">
        <f>IF(E78="","",IF(E78&gt;Dictionary!$I$52,"Pass","Fail"))</f>
        <v/>
      </c>
      <c r="T78" s="428">
        <f>COUNTIF(T79:T82,"&gt;3")/AE78</f>
        <v>0</v>
      </c>
      <c r="V78" s="2376"/>
      <c r="W78" s="2377"/>
      <c r="X78" s="2377"/>
      <c r="Y78" s="2377"/>
      <c r="Z78" s="2378"/>
      <c r="AA78" s="348"/>
      <c r="AB78" s="348"/>
      <c r="AC78" s="348"/>
      <c r="AD78" s="348"/>
      <c r="AE78" s="349">
        <v>4</v>
      </c>
      <c r="AF78" s="349">
        <f>ROUNDUP(AE78/2,0)</f>
        <v>2</v>
      </c>
    </row>
    <row r="79" spans="2:32" ht="18" hidden="1" customHeight="1">
      <c r="B79" s="350" t="str">
        <f>".1"</f>
        <v>.1</v>
      </c>
      <c r="C79" s="351" t="s">
        <v>411</v>
      </c>
      <c r="D79" s="352"/>
      <c r="E79" s="353"/>
      <c r="F79" s="354"/>
      <c r="G79" s="1767" t="str">
        <f>IF(AND('Level D Scoring'!E79="",'Level D Scoring'!G79=""),"",MAX('Level D Scoring'!E79,'Level D Scoring'!G79))</f>
        <v/>
      </c>
      <c r="H79" s="354"/>
      <c r="I79" s="353"/>
      <c r="J79" s="354"/>
      <c r="K79" s="353"/>
      <c r="L79" s="354"/>
      <c r="M79" s="349" t="str">
        <f>IF(MAX(E79,G79,I79,K79)=0,"",MAX(E79,G79,I79,K79))</f>
        <v/>
      </c>
      <c r="N79" s="354"/>
      <c r="O79" s="355"/>
      <c r="Q79" s="356" t="str">
        <f>IF(T79&gt;0,T79,"")</f>
        <v/>
      </c>
      <c r="R79" s="346" t="str">
        <f>IF(E79="","",IF(E79&gt;Dictionary!$I$52,"Pass","Fail"))</f>
        <v/>
      </c>
      <c r="T79" s="349" t="str">
        <f>Scoring!U81</f>
        <v/>
      </c>
      <c r="V79" s="2376"/>
      <c r="W79" s="2377"/>
      <c r="X79" s="2377"/>
      <c r="Y79" s="2377"/>
      <c r="Z79" s="2378"/>
      <c r="AA79" s="348"/>
      <c r="AB79" s="348"/>
      <c r="AC79" s="348"/>
      <c r="AD79" s="348"/>
      <c r="AE79" s="349"/>
      <c r="AF79" s="349"/>
    </row>
    <row r="80" spans="2:32" ht="24" hidden="1" customHeight="1">
      <c r="B80" s="350" t="str">
        <f>".2"</f>
        <v>.2</v>
      </c>
      <c r="C80" s="351" t="s">
        <v>410</v>
      </c>
      <c r="D80" s="352"/>
      <c r="E80" s="353"/>
      <c r="F80" s="354"/>
      <c r="G80" s="1767" t="str">
        <f>IF(AND('Level D Scoring'!E80="",'Level D Scoring'!G80=""),"",MAX('Level D Scoring'!E80,'Level D Scoring'!G80))</f>
        <v/>
      </c>
      <c r="H80" s="354"/>
      <c r="I80" s="353"/>
      <c r="J80" s="354"/>
      <c r="K80" s="353"/>
      <c r="L80" s="354"/>
      <c r="M80" s="349" t="str">
        <f>IF(MAX(E80,G80,I80,K80)=0,"",MAX(E80,G80,I80,K80))</f>
        <v/>
      </c>
      <c r="N80" s="354"/>
      <c r="O80" s="355"/>
      <c r="Q80" s="356" t="str">
        <f>IF(T80&gt;0,T80,"")</f>
        <v/>
      </c>
      <c r="R80" s="346" t="str">
        <f>IF(E80="","",IF(E80&gt;Dictionary!$I$52,"Pass","Fail"))</f>
        <v/>
      </c>
      <c r="T80" s="349" t="str">
        <f>Scoring!U82</f>
        <v/>
      </c>
      <c r="V80" s="2376"/>
      <c r="W80" s="2377"/>
      <c r="X80" s="2377"/>
      <c r="Y80" s="2377"/>
      <c r="Z80" s="2378"/>
      <c r="AA80" s="348"/>
      <c r="AB80" s="348"/>
      <c r="AC80" s="348"/>
      <c r="AD80" s="348"/>
      <c r="AE80" s="349"/>
      <c r="AF80" s="349"/>
    </row>
    <row r="81" spans="2:32" ht="24" hidden="1" customHeight="1">
      <c r="B81" s="350" t="str">
        <f>".3"</f>
        <v>.3</v>
      </c>
      <c r="C81" s="351" t="s">
        <v>409</v>
      </c>
      <c r="D81" s="352"/>
      <c r="E81" s="353"/>
      <c r="F81" s="354"/>
      <c r="G81" s="1767" t="str">
        <f>IF(AND('Level D Scoring'!E81="",'Level D Scoring'!G81=""),"",MAX('Level D Scoring'!E81,'Level D Scoring'!G81))</f>
        <v/>
      </c>
      <c r="H81" s="354"/>
      <c r="I81" s="353"/>
      <c r="J81" s="354"/>
      <c r="K81" s="353"/>
      <c r="L81" s="354"/>
      <c r="M81" s="349" t="str">
        <f>IF(MAX(E81,G81,I81,K81)=0,"",MAX(E81,G81,I81,K81))</f>
        <v/>
      </c>
      <c r="N81" s="354"/>
      <c r="O81" s="355"/>
      <c r="Q81" s="356" t="str">
        <f>IF(T81&gt;0,T81,"")</f>
        <v/>
      </c>
      <c r="R81" s="346" t="str">
        <f>IF(E81="","",IF(E81&gt;Dictionary!$I$52,"Pass","Fail"))</f>
        <v/>
      </c>
      <c r="T81" s="349" t="str">
        <f>Scoring!U83</f>
        <v/>
      </c>
      <c r="V81" s="2376"/>
      <c r="W81" s="2377"/>
      <c r="X81" s="2377"/>
      <c r="Y81" s="2377"/>
      <c r="Z81" s="2378"/>
      <c r="AA81" s="348"/>
      <c r="AB81" s="348"/>
      <c r="AC81" s="348"/>
      <c r="AD81" s="348"/>
      <c r="AE81" s="349"/>
      <c r="AF81" s="349"/>
    </row>
    <row r="82" spans="2:32" ht="24" hidden="1" customHeight="1">
      <c r="B82" s="350" t="str">
        <f>".4"</f>
        <v>.4</v>
      </c>
      <c r="C82" s="351" t="s">
        <v>408</v>
      </c>
      <c r="D82" s="352"/>
      <c r="E82" s="353"/>
      <c r="F82" s="354"/>
      <c r="G82" s="1767" t="str">
        <f>IF(AND('Level D Scoring'!E82="",'Level D Scoring'!G82=""),"",MAX('Level D Scoring'!E82,'Level D Scoring'!G82))</f>
        <v/>
      </c>
      <c r="H82" s="354"/>
      <c r="I82" s="353"/>
      <c r="J82" s="354"/>
      <c r="K82" s="353"/>
      <c r="L82" s="354"/>
      <c r="M82" s="349" t="str">
        <f>IF(MAX(E82,G82,I82,K82)=0,"",MAX(E82,G82,I82,K82))</f>
        <v/>
      </c>
      <c r="N82" s="354"/>
      <c r="O82" s="355"/>
      <c r="Q82" s="356" t="str">
        <f>IF(T82&gt;0,T82,"")</f>
        <v/>
      </c>
      <c r="R82" s="346" t="str">
        <f>IF(E82="","",IF(E82&gt;Dictionary!$I$52,"Pass","Fail"))</f>
        <v/>
      </c>
      <c r="T82" s="349" t="str">
        <f>Scoring!U84</f>
        <v/>
      </c>
      <c r="V82" s="2376"/>
      <c r="W82" s="2377"/>
      <c r="X82" s="2377"/>
      <c r="Y82" s="2377"/>
      <c r="Z82" s="2378"/>
      <c r="AA82" s="348"/>
      <c r="AB82" s="348"/>
      <c r="AC82" s="348"/>
      <c r="AD82" s="348"/>
      <c r="AE82" s="349"/>
      <c r="AF82" s="349"/>
    </row>
    <row r="83" spans="2:32" ht="20" customHeight="1">
      <c r="B83" s="341" t="s">
        <v>407</v>
      </c>
      <c r="C83" s="342" t="str">
        <f>Dictionary!B1357</f>
        <v>Vielseitigkeit</v>
      </c>
      <c r="D83" s="343"/>
      <c r="E83" s="353"/>
      <c r="F83" s="315"/>
      <c r="G83" s="1767" t="str">
        <f>IF(AND('Level D Scoring'!E83="",'Level D Scoring'!G83=""),"",MAX('Level D Scoring'!E83,'Level D Scoring'!G83))</f>
        <v/>
      </c>
      <c r="H83" s="360"/>
      <c r="I83" s="359"/>
      <c r="J83" s="360"/>
      <c r="K83" s="359"/>
      <c r="L83" s="315"/>
      <c r="M83" s="359"/>
      <c r="N83" s="360"/>
      <c r="O83" s="359"/>
      <c r="Q83" s="356"/>
      <c r="R83" s="346" t="str">
        <f>IF(E83="","",IF(E83&gt;Dictionary!$I$52,"Pass","Fail"))</f>
        <v/>
      </c>
      <c r="T83" s="428">
        <f>COUNTIF(T84:T88,"&gt;3")/AE83</f>
        <v>0</v>
      </c>
      <c r="V83" s="2376"/>
      <c r="W83" s="2377"/>
      <c r="X83" s="2377"/>
      <c r="Y83" s="2377"/>
      <c r="Z83" s="2378"/>
      <c r="AA83" s="348"/>
      <c r="AB83" s="348"/>
      <c r="AC83" s="348"/>
      <c r="AD83" s="348"/>
      <c r="AE83" s="349">
        <v>5</v>
      </c>
      <c r="AF83" s="349">
        <f>ROUNDUP(AE83/2,0)</f>
        <v>3</v>
      </c>
    </row>
    <row r="84" spans="2:32" ht="18" hidden="1" customHeight="1">
      <c r="B84" s="350" t="str">
        <f>".1"</f>
        <v>.1</v>
      </c>
      <c r="C84" s="351" t="s">
        <v>406</v>
      </c>
      <c r="D84" s="352"/>
      <c r="E84" s="353"/>
      <c r="F84" s="354"/>
      <c r="G84" s="1767" t="str">
        <f>IF(AND('Level D Scoring'!E84="",'Level D Scoring'!G84=""),"",MAX('Level D Scoring'!E84,'Level D Scoring'!G84))</f>
        <v/>
      </c>
      <c r="H84" s="354"/>
      <c r="I84" s="353"/>
      <c r="J84" s="354"/>
      <c r="K84" s="353"/>
      <c r="L84" s="354"/>
      <c r="M84" s="349" t="str">
        <f t="shared" ref="M84:M100" si="4">IF(MAX(E84,G84,I84,K84)=0,"",MAX(E84,G84,I84,K84))</f>
        <v/>
      </c>
      <c r="N84" s="354"/>
      <c r="O84" s="355"/>
      <c r="Q84" s="356" t="str">
        <f>IF(T84&gt;0,T84,"")</f>
        <v/>
      </c>
      <c r="R84" s="346" t="str">
        <f>IF(E84="","",IF(E84&gt;Dictionary!$I$52,"Pass","Fail"))</f>
        <v/>
      </c>
      <c r="T84" s="349" t="str">
        <f>Scoring!U86</f>
        <v/>
      </c>
      <c r="V84" s="2376"/>
      <c r="W84" s="2377"/>
      <c r="X84" s="2377"/>
      <c r="Y84" s="2377"/>
      <c r="Z84" s="2378"/>
      <c r="AA84" s="348"/>
      <c r="AB84" s="348"/>
      <c r="AC84" s="348"/>
      <c r="AD84" s="348"/>
      <c r="AE84" s="349"/>
      <c r="AF84" s="349"/>
    </row>
    <row r="85" spans="2:32" ht="24" hidden="1" customHeight="1">
      <c r="B85" s="350" t="str">
        <f>".2"</f>
        <v>.2</v>
      </c>
      <c r="C85" s="351" t="s">
        <v>405</v>
      </c>
      <c r="D85" s="352"/>
      <c r="E85" s="353"/>
      <c r="F85" s="354"/>
      <c r="G85" s="1767" t="str">
        <f>IF(AND('Level D Scoring'!E85="",'Level D Scoring'!G85=""),"",MAX('Level D Scoring'!E85,'Level D Scoring'!G85))</f>
        <v/>
      </c>
      <c r="H85" s="354"/>
      <c r="I85" s="353"/>
      <c r="J85" s="354"/>
      <c r="K85" s="353"/>
      <c r="L85" s="354"/>
      <c r="M85" s="349" t="str">
        <f t="shared" si="4"/>
        <v/>
      </c>
      <c r="N85" s="354"/>
      <c r="O85" s="355"/>
      <c r="Q85" s="356" t="str">
        <f>IF(T85&gt;0,T85,"")</f>
        <v/>
      </c>
      <c r="R85" s="346" t="str">
        <f>IF(E85="","",IF(E85&gt;Dictionary!$I$52,"Pass","Fail"))</f>
        <v/>
      </c>
      <c r="T85" s="349" t="str">
        <f>Scoring!U87</f>
        <v/>
      </c>
      <c r="V85" s="2376"/>
      <c r="W85" s="2377"/>
      <c r="X85" s="2377"/>
      <c r="Y85" s="2377"/>
      <c r="Z85" s="2378"/>
      <c r="AA85" s="348"/>
      <c r="AB85" s="348"/>
      <c r="AC85" s="348"/>
      <c r="AD85" s="348"/>
      <c r="AE85" s="349"/>
      <c r="AF85" s="349"/>
    </row>
    <row r="86" spans="2:32" ht="24" hidden="1" customHeight="1">
      <c r="B86" s="350" t="str">
        <f>".3"</f>
        <v>.3</v>
      </c>
      <c r="C86" s="351" t="s">
        <v>404</v>
      </c>
      <c r="D86" s="352"/>
      <c r="E86" s="353"/>
      <c r="F86" s="354"/>
      <c r="G86" s="1767" t="str">
        <f>IF(AND('Level D Scoring'!E86="",'Level D Scoring'!G86=""),"",MAX('Level D Scoring'!E86,'Level D Scoring'!G86))</f>
        <v/>
      </c>
      <c r="H86" s="354"/>
      <c r="I86" s="353"/>
      <c r="J86" s="354"/>
      <c r="K86" s="353"/>
      <c r="L86" s="354"/>
      <c r="M86" s="349" t="str">
        <f t="shared" si="4"/>
        <v/>
      </c>
      <c r="N86" s="354"/>
      <c r="O86" s="355"/>
      <c r="Q86" s="356" t="str">
        <f>IF(T86&gt;0,T86,"")</f>
        <v/>
      </c>
      <c r="R86" s="346" t="str">
        <f>IF(E86="","",IF(E86&gt;Dictionary!$I$52,"Pass","Fail"))</f>
        <v/>
      </c>
      <c r="T86" s="349" t="str">
        <f>Scoring!U88</f>
        <v/>
      </c>
      <c r="V86" s="2376"/>
      <c r="W86" s="2377"/>
      <c r="X86" s="2377"/>
      <c r="Y86" s="2377"/>
      <c r="Z86" s="2378"/>
      <c r="AA86" s="348"/>
      <c r="AB86" s="348"/>
      <c r="AC86" s="348"/>
      <c r="AD86" s="348"/>
      <c r="AE86" s="349"/>
      <c r="AF86" s="349"/>
    </row>
    <row r="87" spans="2:32" ht="24" hidden="1" customHeight="1">
      <c r="B87" s="350" t="str">
        <f>".4"</f>
        <v>.4</v>
      </c>
      <c r="C87" s="351" t="s">
        <v>403</v>
      </c>
      <c r="D87" s="352"/>
      <c r="E87" s="353"/>
      <c r="F87" s="354"/>
      <c r="G87" s="1767" t="str">
        <f>IF(AND('Level D Scoring'!E87="",'Level D Scoring'!G87=""),"",MAX('Level D Scoring'!E87,'Level D Scoring'!G87))</f>
        <v/>
      </c>
      <c r="H87" s="354"/>
      <c r="I87" s="353"/>
      <c r="J87" s="354"/>
      <c r="K87" s="353"/>
      <c r="L87" s="354"/>
      <c r="M87" s="349" t="str">
        <f t="shared" si="4"/>
        <v/>
      </c>
      <c r="N87" s="354"/>
      <c r="O87" s="355"/>
      <c r="Q87" s="356" t="str">
        <f>IF(T87&gt;0,T87,"")</f>
        <v/>
      </c>
      <c r="R87" s="346" t="str">
        <f>IF(E87="","",IF(E87&gt;Dictionary!$I$52,"Pass","Fail"))</f>
        <v/>
      </c>
      <c r="T87" s="349" t="str">
        <f>Scoring!U89</f>
        <v/>
      </c>
      <c r="V87" s="2376"/>
      <c r="W87" s="2377"/>
      <c r="X87" s="2377"/>
      <c r="Y87" s="2377"/>
      <c r="Z87" s="2378"/>
      <c r="AA87" s="348"/>
      <c r="AB87" s="348"/>
      <c r="AC87" s="348"/>
      <c r="AD87" s="348"/>
      <c r="AE87" s="349"/>
      <c r="AF87" s="349"/>
    </row>
    <row r="88" spans="2:32" ht="24" hidden="1" customHeight="1">
      <c r="B88" s="350" t="str">
        <f>".5"</f>
        <v>.5</v>
      </c>
      <c r="C88" s="351" t="s">
        <v>402</v>
      </c>
      <c r="D88" s="352"/>
      <c r="E88" s="353"/>
      <c r="F88" s="354"/>
      <c r="G88" s="1767" t="str">
        <f>IF(AND('Level D Scoring'!E88="",'Level D Scoring'!G88=""),"",MAX('Level D Scoring'!E88,'Level D Scoring'!G88))</f>
        <v/>
      </c>
      <c r="H88" s="354"/>
      <c r="I88" s="353"/>
      <c r="J88" s="354"/>
      <c r="K88" s="353"/>
      <c r="L88" s="354"/>
      <c r="M88" s="349" t="str">
        <f t="shared" si="4"/>
        <v/>
      </c>
      <c r="N88" s="354"/>
      <c r="O88" s="355"/>
      <c r="Q88" s="356" t="str">
        <f>IF(T88&gt;0,T88,"")</f>
        <v/>
      </c>
      <c r="R88" s="346" t="str">
        <f>IF(E88="","",IF(E88&gt;Dictionary!$I$52,"Pass","Fail"))</f>
        <v/>
      </c>
      <c r="T88" s="349" t="str">
        <f>Scoring!U90</f>
        <v/>
      </c>
      <c r="V88" s="2376"/>
      <c r="W88" s="2377"/>
      <c r="X88" s="2377"/>
      <c r="Y88" s="2377"/>
      <c r="Z88" s="2378"/>
      <c r="AA88" s="348"/>
      <c r="AB88" s="348"/>
      <c r="AC88" s="348"/>
      <c r="AD88" s="348"/>
      <c r="AE88" s="349"/>
      <c r="AF88" s="349"/>
    </row>
    <row r="89" spans="2:32" ht="20" customHeight="1">
      <c r="B89" s="341" t="s">
        <v>401</v>
      </c>
      <c r="C89" s="342" t="str">
        <f>Dictionary!B1365</f>
        <v>Verhandlungen</v>
      </c>
      <c r="D89" s="343"/>
      <c r="E89" s="353"/>
      <c r="F89" s="315"/>
      <c r="G89" s="1767" t="str">
        <f>IF(AND('Level D Scoring'!E89="",'Level D Scoring'!G89=""),"",MAX('Level D Scoring'!E89,'Level D Scoring'!G89))</f>
        <v/>
      </c>
      <c r="H89" s="360"/>
      <c r="I89" s="359"/>
      <c r="J89" s="360"/>
      <c r="K89" s="359"/>
      <c r="L89" s="315"/>
      <c r="M89" s="359"/>
      <c r="N89" s="360"/>
      <c r="O89" s="359"/>
      <c r="Q89" s="356"/>
      <c r="R89" s="346" t="str">
        <f>IF(E89="","",IF(E89&gt;Dictionary!$I$52,"Pass","Fail"))</f>
        <v/>
      </c>
      <c r="T89" s="428">
        <f>COUNTIF(T90:T94,"&gt;3")/AE89</f>
        <v>0</v>
      </c>
      <c r="V89" s="2376"/>
      <c r="W89" s="2377"/>
      <c r="X89" s="2377"/>
      <c r="Y89" s="2377"/>
      <c r="Z89" s="2378"/>
      <c r="AA89" s="348"/>
      <c r="AB89" s="348"/>
      <c r="AC89" s="348"/>
      <c r="AD89" s="348"/>
      <c r="AE89" s="349">
        <v>5</v>
      </c>
      <c r="AF89" s="349">
        <f>ROUNDUP(AE89/2,0)</f>
        <v>3</v>
      </c>
    </row>
    <row r="90" spans="2:32" ht="24" hidden="1" customHeight="1">
      <c r="B90" s="350" t="str">
        <f>".1"</f>
        <v>.1</v>
      </c>
      <c r="C90" s="351" t="s">
        <v>400</v>
      </c>
      <c r="D90" s="352"/>
      <c r="E90" s="353"/>
      <c r="F90" s="354"/>
      <c r="G90" s="1767" t="str">
        <f>IF(AND('Level D Scoring'!E90="",'Level D Scoring'!G90=""),"",MAX('Level D Scoring'!E90,'Level D Scoring'!G90))</f>
        <v/>
      </c>
      <c r="H90" s="354"/>
      <c r="I90" s="353"/>
      <c r="J90" s="354"/>
      <c r="K90" s="353"/>
      <c r="L90" s="354"/>
      <c r="M90" s="349" t="str">
        <f t="shared" si="4"/>
        <v/>
      </c>
      <c r="N90" s="354"/>
      <c r="O90" s="355"/>
      <c r="Q90" s="356" t="str">
        <f>IF(T90&gt;0,T90,"")</f>
        <v/>
      </c>
      <c r="R90" s="346" t="str">
        <f>IF(E90="","",IF(E90&gt;Dictionary!$I$52,"Pass","Fail"))</f>
        <v/>
      </c>
      <c r="T90" s="349" t="str">
        <f>Scoring!U92</f>
        <v/>
      </c>
      <c r="V90" s="2376"/>
      <c r="W90" s="2377"/>
      <c r="X90" s="2377"/>
      <c r="Y90" s="2377"/>
      <c r="Z90" s="2378"/>
      <c r="AA90" s="348"/>
      <c r="AB90" s="348"/>
      <c r="AC90" s="348"/>
      <c r="AD90" s="348"/>
      <c r="AE90" s="349"/>
      <c r="AF90" s="349"/>
    </row>
    <row r="91" spans="2:32" ht="24" hidden="1" customHeight="1">
      <c r="B91" s="350" t="str">
        <f>".2"</f>
        <v>.2</v>
      </c>
      <c r="C91" s="351" t="s">
        <v>399</v>
      </c>
      <c r="D91" s="352"/>
      <c r="E91" s="353"/>
      <c r="F91" s="354"/>
      <c r="G91" s="1767" t="str">
        <f>IF(AND('Level D Scoring'!E91="",'Level D Scoring'!G91=""),"",MAX('Level D Scoring'!E91,'Level D Scoring'!G91))</f>
        <v/>
      </c>
      <c r="H91" s="354"/>
      <c r="I91" s="353"/>
      <c r="J91" s="354"/>
      <c r="K91" s="353"/>
      <c r="L91" s="354"/>
      <c r="M91" s="349" t="str">
        <f t="shared" si="4"/>
        <v/>
      </c>
      <c r="N91" s="354"/>
      <c r="O91" s="355"/>
      <c r="Q91" s="356" t="str">
        <f>IF(T91&gt;0,T91,"")</f>
        <v/>
      </c>
      <c r="R91" s="346" t="str">
        <f>IF(E91="","",IF(E91&gt;Dictionary!$I$52,"Pass","Fail"))</f>
        <v/>
      </c>
      <c r="T91" s="349" t="str">
        <f>Scoring!U93</f>
        <v/>
      </c>
      <c r="V91" s="2376"/>
      <c r="W91" s="2377"/>
      <c r="X91" s="2377"/>
      <c r="Y91" s="2377"/>
      <c r="Z91" s="2378"/>
      <c r="AA91" s="348"/>
      <c r="AB91" s="348"/>
      <c r="AC91" s="348"/>
      <c r="AD91" s="348"/>
      <c r="AE91" s="349"/>
      <c r="AF91" s="349"/>
    </row>
    <row r="92" spans="2:32" ht="24" hidden="1" customHeight="1">
      <c r="B92" s="350" t="str">
        <f>".3"</f>
        <v>.3</v>
      </c>
      <c r="C92" s="351" t="s">
        <v>398</v>
      </c>
      <c r="D92" s="352"/>
      <c r="E92" s="353"/>
      <c r="F92" s="354"/>
      <c r="G92" s="1767" t="str">
        <f>IF(AND('Level D Scoring'!E92="",'Level D Scoring'!G92=""),"",MAX('Level D Scoring'!E92,'Level D Scoring'!G92))</f>
        <v/>
      </c>
      <c r="H92" s="354"/>
      <c r="I92" s="353"/>
      <c r="J92" s="354"/>
      <c r="K92" s="353"/>
      <c r="L92" s="354"/>
      <c r="M92" s="349" t="str">
        <f t="shared" si="4"/>
        <v/>
      </c>
      <c r="N92" s="354"/>
      <c r="O92" s="355"/>
      <c r="Q92" s="356" t="str">
        <f>IF(T92&gt;0,T92,"")</f>
        <v/>
      </c>
      <c r="R92" s="346" t="str">
        <f>IF(E92="","",IF(E92&gt;Dictionary!$I$52,"Pass","Fail"))</f>
        <v/>
      </c>
      <c r="T92" s="349" t="str">
        <f>Scoring!U94</f>
        <v/>
      </c>
      <c r="V92" s="2376"/>
      <c r="W92" s="2377"/>
      <c r="X92" s="2377"/>
      <c r="Y92" s="2377"/>
      <c r="Z92" s="2378"/>
      <c r="AA92" s="348"/>
      <c r="AB92" s="348"/>
      <c r="AC92" s="348"/>
      <c r="AD92" s="348"/>
      <c r="AE92" s="349"/>
      <c r="AF92" s="349"/>
    </row>
    <row r="93" spans="2:32" ht="24" hidden="1" customHeight="1">
      <c r="B93" s="350" t="str">
        <f>".4"</f>
        <v>.4</v>
      </c>
      <c r="C93" s="351" t="s">
        <v>397</v>
      </c>
      <c r="D93" s="352"/>
      <c r="E93" s="353"/>
      <c r="F93" s="354"/>
      <c r="G93" s="1767" t="str">
        <f>IF(AND('Level D Scoring'!E93="",'Level D Scoring'!G93=""),"",MAX('Level D Scoring'!E93,'Level D Scoring'!G93))</f>
        <v/>
      </c>
      <c r="H93" s="354"/>
      <c r="I93" s="353"/>
      <c r="J93" s="354"/>
      <c r="K93" s="353"/>
      <c r="L93" s="354"/>
      <c r="M93" s="349" t="str">
        <f t="shared" si="4"/>
        <v/>
      </c>
      <c r="N93" s="354"/>
      <c r="O93" s="355"/>
      <c r="Q93" s="356" t="str">
        <f>IF(T93&gt;0,T93,"")</f>
        <v/>
      </c>
      <c r="R93" s="346" t="str">
        <f>IF(E93="","",IF(E93&gt;Dictionary!$I$52,"Pass","Fail"))</f>
        <v/>
      </c>
      <c r="T93" s="349" t="str">
        <f>Scoring!U95</f>
        <v/>
      </c>
      <c r="V93" s="2376"/>
      <c r="W93" s="2377"/>
      <c r="X93" s="2377"/>
      <c r="Y93" s="2377"/>
      <c r="Z93" s="2378"/>
      <c r="AA93" s="348"/>
      <c r="AB93" s="348"/>
      <c r="AC93" s="348"/>
      <c r="AD93" s="348"/>
      <c r="AE93" s="349"/>
      <c r="AF93" s="349"/>
    </row>
    <row r="94" spans="2:32" ht="24" hidden="1" customHeight="1">
      <c r="B94" s="350" t="str">
        <f>".5"</f>
        <v>.5</v>
      </c>
      <c r="C94" s="351" t="s">
        <v>396</v>
      </c>
      <c r="D94" s="352"/>
      <c r="E94" s="353"/>
      <c r="F94" s="354"/>
      <c r="G94" s="1767" t="str">
        <f>IF(AND('Level D Scoring'!E94="",'Level D Scoring'!G94=""),"",MAX('Level D Scoring'!E94,'Level D Scoring'!G94))</f>
        <v/>
      </c>
      <c r="H94" s="354"/>
      <c r="I94" s="353"/>
      <c r="J94" s="354"/>
      <c r="K94" s="353"/>
      <c r="L94" s="354"/>
      <c r="M94" s="349" t="str">
        <f t="shared" si="4"/>
        <v/>
      </c>
      <c r="N94" s="354"/>
      <c r="O94" s="355"/>
      <c r="Q94" s="356" t="str">
        <f>IF(T94&gt;0,T94,"")</f>
        <v/>
      </c>
      <c r="R94" s="346" t="str">
        <f>IF(E94="","",IF(E94&gt;Dictionary!$I$52,"Pass","Fail"))</f>
        <v/>
      </c>
      <c r="T94" s="349" t="str">
        <f>Scoring!U96</f>
        <v/>
      </c>
      <c r="V94" s="2376"/>
      <c r="W94" s="2377"/>
      <c r="X94" s="2377"/>
      <c r="Y94" s="2377"/>
      <c r="Z94" s="2378"/>
      <c r="AA94" s="348"/>
      <c r="AB94" s="348"/>
      <c r="AC94" s="348"/>
      <c r="AD94" s="348"/>
      <c r="AE94" s="349"/>
      <c r="AF94" s="349"/>
    </row>
    <row r="95" spans="2:32" ht="20" customHeight="1">
      <c r="B95" s="341" t="s">
        <v>395</v>
      </c>
      <c r="C95" s="342" t="str">
        <f>Dictionary!B1373</f>
        <v>Ergebnisorientierung</v>
      </c>
      <c r="D95" s="343"/>
      <c r="E95" s="353"/>
      <c r="F95" s="315"/>
      <c r="G95" s="1767" t="str">
        <f>IF(AND('Level D Scoring'!E95="",'Level D Scoring'!G95=""),"",MAX('Level D Scoring'!E95,'Level D Scoring'!G95))</f>
        <v/>
      </c>
      <c r="H95" s="360"/>
      <c r="I95" s="359"/>
      <c r="J95" s="360"/>
      <c r="K95" s="359"/>
      <c r="L95" s="315"/>
      <c r="M95" s="359"/>
      <c r="N95" s="360"/>
      <c r="O95" s="359"/>
      <c r="Q95" s="356"/>
      <c r="R95" s="346" t="str">
        <f>IF(E95="","",IF(E95&gt;Dictionary!$I$52,"Pass","Fail"))</f>
        <v/>
      </c>
      <c r="T95" s="428">
        <f>COUNTIF(T96:T100,"&gt;3")/AE95</f>
        <v>0</v>
      </c>
      <c r="V95" s="2376"/>
      <c r="W95" s="2377"/>
      <c r="X95" s="2377"/>
      <c r="Y95" s="2377"/>
      <c r="Z95" s="2378"/>
      <c r="AA95" s="348"/>
      <c r="AB95" s="348"/>
      <c r="AC95" s="348"/>
      <c r="AD95" s="348"/>
      <c r="AE95" s="349">
        <v>5</v>
      </c>
      <c r="AF95" s="349">
        <f>ROUNDUP(AE95/2,0)</f>
        <v>3</v>
      </c>
    </row>
    <row r="96" spans="2:32" ht="24" hidden="1" customHeight="1">
      <c r="B96" s="350" t="str">
        <f>".1"</f>
        <v>.1</v>
      </c>
      <c r="C96" s="351" t="s">
        <v>394</v>
      </c>
      <c r="D96" s="352"/>
      <c r="E96" s="404"/>
      <c r="F96" s="354"/>
      <c r="G96" s="353"/>
      <c r="H96" s="354"/>
      <c r="I96" s="353"/>
      <c r="J96" s="354"/>
      <c r="K96" s="353"/>
      <c r="L96" s="354"/>
      <c r="M96" s="349" t="str">
        <f t="shared" si="4"/>
        <v/>
      </c>
      <c r="N96" s="354"/>
      <c r="O96" s="355"/>
      <c r="Q96" s="356" t="str">
        <f>IF(T96&gt;0,T96,"")</f>
        <v/>
      </c>
      <c r="T96" s="349" t="str">
        <f>Scoring!U98</f>
        <v/>
      </c>
      <c r="V96" s="2376"/>
      <c r="W96" s="2377"/>
      <c r="X96" s="2377"/>
      <c r="Y96" s="2377"/>
      <c r="Z96" s="2378"/>
      <c r="AA96" s="348"/>
      <c r="AB96" s="348"/>
      <c r="AC96" s="348"/>
      <c r="AD96" s="348"/>
      <c r="AE96" s="349"/>
      <c r="AF96" s="349"/>
    </row>
    <row r="97" spans="2:32" ht="24" hidden="1" customHeight="1">
      <c r="B97" s="350" t="str">
        <f>".2"</f>
        <v>.2</v>
      </c>
      <c r="C97" s="351" t="s">
        <v>393</v>
      </c>
      <c r="D97" s="352"/>
      <c r="E97" s="404"/>
      <c r="F97" s="354"/>
      <c r="G97" s="353"/>
      <c r="H97" s="354"/>
      <c r="I97" s="353"/>
      <c r="J97" s="354"/>
      <c r="K97" s="353"/>
      <c r="L97" s="354"/>
      <c r="M97" s="349" t="str">
        <f t="shared" si="4"/>
        <v/>
      </c>
      <c r="N97" s="354"/>
      <c r="O97" s="355"/>
      <c r="Q97" s="356" t="str">
        <f>IF(T97&gt;0,T97,"")</f>
        <v/>
      </c>
      <c r="T97" s="349" t="str">
        <f>Scoring!U99</f>
        <v/>
      </c>
      <c r="V97" s="2376"/>
      <c r="W97" s="2377"/>
      <c r="X97" s="2377"/>
      <c r="Y97" s="2377"/>
      <c r="Z97" s="2378"/>
      <c r="AA97" s="348"/>
      <c r="AB97" s="348"/>
      <c r="AC97" s="348"/>
      <c r="AD97" s="348"/>
      <c r="AE97" s="349"/>
      <c r="AF97" s="349"/>
    </row>
    <row r="98" spans="2:32" ht="24" hidden="1" customHeight="1">
      <c r="B98" s="350" t="str">
        <f>".3"</f>
        <v>.3</v>
      </c>
      <c r="C98" s="351" t="s">
        <v>392</v>
      </c>
      <c r="D98" s="352"/>
      <c r="E98" s="404"/>
      <c r="F98" s="354"/>
      <c r="G98" s="353"/>
      <c r="H98" s="354"/>
      <c r="I98" s="353"/>
      <c r="J98" s="354"/>
      <c r="K98" s="353"/>
      <c r="L98" s="354"/>
      <c r="M98" s="349" t="str">
        <f t="shared" si="4"/>
        <v/>
      </c>
      <c r="N98" s="354"/>
      <c r="O98" s="355"/>
      <c r="Q98" s="356" t="str">
        <f>IF(T98&gt;0,T98,"")</f>
        <v/>
      </c>
      <c r="T98" s="349" t="str">
        <f>Scoring!U100</f>
        <v/>
      </c>
      <c r="V98" s="2376"/>
      <c r="W98" s="2377"/>
      <c r="X98" s="2377"/>
      <c r="Y98" s="2377"/>
      <c r="Z98" s="2378"/>
      <c r="AA98" s="348"/>
      <c r="AB98" s="348"/>
      <c r="AC98" s="348"/>
      <c r="AD98" s="348"/>
      <c r="AE98" s="349"/>
      <c r="AF98" s="349"/>
    </row>
    <row r="99" spans="2:32" ht="24" hidden="1" customHeight="1">
      <c r="B99" s="350" t="str">
        <f>".4"</f>
        <v>.4</v>
      </c>
      <c r="C99" s="351" t="s">
        <v>391</v>
      </c>
      <c r="D99" s="352"/>
      <c r="E99" s="404"/>
      <c r="F99" s="354"/>
      <c r="G99" s="353"/>
      <c r="H99" s="354"/>
      <c r="I99" s="353"/>
      <c r="J99" s="354"/>
      <c r="K99" s="353"/>
      <c r="L99" s="354"/>
      <c r="M99" s="349" t="str">
        <f t="shared" si="4"/>
        <v/>
      </c>
      <c r="N99" s="354"/>
      <c r="O99" s="355"/>
      <c r="Q99" s="356" t="str">
        <f>IF(T99&gt;0,T99,"")</f>
        <v/>
      </c>
      <c r="T99" s="349" t="str">
        <f>Scoring!U101</f>
        <v/>
      </c>
      <c r="V99" s="2376"/>
      <c r="W99" s="2377"/>
      <c r="X99" s="2377"/>
      <c r="Y99" s="2377"/>
      <c r="Z99" s="2378"/>
      <c r="AA99" s="348"/>
      <c r="AB99" s="348"/>
      <c r="AC99" s="348"/>
      <c r="AD99" s="348"/>
      <c r="AE99" s="349"/>
      <c r="AF99" s="349"/>
    </row>
    <row r="100" spans="2:32" ht="18" hidden="1" customHeight="1">
      <c r="B100" s="350" t="str">
        <f>".5"</f>
        <v>.5</v>
      </c>
      <c r="C100" s="351" t="s">
        <v>390</v>
      </c>
      <c r="D100" s="352"/>
      <c r="E100" s="404"/>
      <c r="F100" s="354"/>
      <c r="G100" s="353"/>
      <c r="H100" s="354"/>
      <c r="I100" s="353"/>
      <c r="J100" s="354"/>
      <c r="K100" s="353"/>
      <c r="L100" s="354"/>
      <c r="M100" s="349" t="str">
        <f t="shared" si="4"/>
        <v/>
      </c>
      <c r="N100" s="354"/>
      <c r="O100" s="355"/>
      <c r="Q100" s="356" t="str">
        <f>IF(T100&gt;0,T100,"")</f>
        <v/>
      </c>
      <c r="T100" s="349" t="str">
        <f>Scoring!U102</f>
        <v/>
      </c>
      <c r="V100" s="2376"/>
      <c r="W100" s="2377"/>
      <c r="X100" s="2377"/>
      <c r="Y100" s="2377"/>
      <c r="Z100" s="2378"/>
      <c r="AA100" s="348"/>
      <c r="AB100" s="348"/>
      <c r="AC100" s="348"/>
      <c r="AD100" s="348"/>
      <c r="AE100" s="349"/>
      <c r="AF100" s="349"/>
    </row>
    <row r="101" spans="2:32" ht="30" customHeight="1">
      <c r="C101" s="363"/>
      <c r="D101" s="315"/>
      <c r="E101" s="406"/>
      <c r="F101" s="315"/>
      <c r="G101" s="315"/>
      <c r="H101" s="315"/>
      <c r="I101" s="315"/>
      <c r="J101" s="315"/>
      <c r="K101" s="315"/>
      <c r="L101" s="315"/>
      <c r="M101" s="315"/>
      <c r="N101" s="315"/>
      <c r="O101" s="315"/>
      <c r="Q101" s="356"/>
      <c r="R101" s="365"/>
      <c r="W101" s="313"/>
      <c r="X101" s="313"/>
      <c r="Y101" s="313"/>
      <c r="Z101" s="313"/>
      <c r="AA101" s="313"/>
      <c r="AB101" s="313"/>
      <c r="AC101" s="313"/>
      <c r="AD101" s="313"/>
      <c r="AE101" s="370"/>
      <c r="AF101" s="370"/>
    </row>
    <row r="102" spans="2:32" ht="30" customHeight="1">
      <c r="C102" s="366" t="str">
        <f>Dictionary!B1380</f>
        <v>Practice Kompetenz Elements</v>
      </c>
      <c r="D102" s="315"/>
      <c r="E102" s="406"/>
      <c r="F102" s="315"/>
      <c r="G102" s="315"/>
      <c r="H102" s="315"/>
      <c r="I102" s="315"/>
      <c r="J102" s="315"/>
      <c r="K102" s="315"/>
      <c r="L102" s="315"/>
      <c r="M102" s="315"/>
      <c r="N102" s="315"/>
      <c r="O102" s="315"/>
      <c r="Q102" s="356"/>
      <c r="R102" s="367"/>
      <c r="W102" s="313"/>
      <c r="X102" s="313"/>
      <c r="Y102" s="313"/>
      <c r="Z102" s="313"/>
      <c r="AA102" s="313"/>
      <c r="AB102" s="313"/>
      <c r="AC102" s="313"/>
      <c r="AD102" s="313"/>
      <c r="AE102" s="334"/>
      <c r="AF102" s="334"/>
    </row>
    <row r="103" spans="2:32" ht="20" customHeight="1">
      <c r="B103" s="341" t="s">
        <v>388</v>
      </c>
      <c r="C103" s="342" t="str">
        <f>Dictionary!B1381</f>
        <v>Projektdesign</v>
      </c>
      <c r="D103" s="343"/>
      <c r="E103" s="353"/>
      <c r="F103" s="315"/>
      <c r="G103" s="1767" t="str">
        <f>IF(AND('Level D Scoring'!E103="",'Level D Scoring'!G103=""),"",MAX('Level D Scoring'!E103,'Level D Scoring'!G103))</f>
        <v/>
      </c>
      <c r="H103" s="360"/>
      <c r="I103" s="359"/>
      <c r="J103" s="360"/>
      <c r="K103" s="359"/>
      <c r="L103" s="315"/>
      <c r="M103" s="359"/>
      <c r="N103" s="360"/>
      <c r="O103" s="359"/>
      <c r="Q103" s="356"/>
      <c r="R103" s="346" t="str">
        <f>IF(E103="","",IF(E103&gt;Dictionary!$I$52,"Pass","Fail"))</f>
        <v/>
      </c>
      <c r="T103" s="428">
        <f>COUNTIF(T104:T108,"&gt;3")/AE103</f>
        <v>0</v>
      </c>
      <c r="V103" s="2376"/>
      <c r="W103" s="2377"/>
      <c r="X103" s="2377"/>
      <c r="Y103" s="2377"/>
      <c r="Z103" s="2378"/>
      <c r="AA103" s="348"/>
      <c r="AB103" s="348"/>
      <c r="AC103" s="348"/>
      <c r="AD103" s="348"/>
      <c r="AE103" s="349">
        <v>5</v>
      </c>
      <c r="AF103" s="349">
        <f>ROUNDUP(AE103/2,0)</f>
        <v>3</v>
      </c>
    </row>
    <row r="104" spans="2:32" ht="18" hidden="1" customHeight="1">
      <c r="B104" s="350" t="str">
        <f>".1"</f>
        <v>.1</v>
      </c>
      <c r="C104" s="351" t="s">
        <v>387</v>
      </c>
      <c r="D104" s="352"/>
      <c r="E104" s="353"/>
      <c r="F104" s="354"/>
      <c r="G104" s="1767" t="str">
        <f>IF(AND('Level D Scoring'!E104="",'Level D Scoring'!G104=""),"",MAX('Level D Scoring'!E104,'Level D Scoring'!G104))</f>
        <v/>
      </c>
      <c r="H104" s="354"/>
      <c r="I104" s="353"/>
      <c r="J104" s="354"/>
      <c r="K104" s="353"/>
      <c r="L104" s="354"/>
      <c r="M104" s="349" t="str">
        <f t="shared" ref="M104:M167" si="5">IF(MAX(E104,G104,I104,K104)=0,"",MAX(E104,G104,I104,K104))</f>
        <v/>
      </c>
      <c r="N104" s="354"/>
      <c r="O104" s="355"/>
      <c r="Q104" s="356" t="str">
        <f>IF(T104&gt;0,T104,"")</f>
        <v/>
      </c>
      <c r="R104" s="346" t="str">
        <f>IF(E104="","",IF(E104&gt;Dictionary!$I$52,"Pass","Fail"))</f>
        <v/>
      </c>
      <c r="T104" s="349" t="str">
        <f>Scoring!U106</f>
        <v/>
      </c>
      <c r="V104" s="2376"/>
      <c r="W104" s="2377"/>
      <c r="X104" s="2377"/>
      <c r="Y104" s="2377"/>
      <c r="Z104" s="2378"/>
      <c r="AA104" s="348"/>
      <c r="AB104" s="348"/>
      <c r="AC104" s="348"/>
      <c r="AD104" s="348"/>
      <c r="AE104" s="349"/>
      <c r="AF104" s="349"/>
    </row>
    <row r="105" spans="2:32" ht="24" hidden="1" customHeight="1">
      <c r="B105" s="350" t="str">
        <f>".2"</f>
        <v>.2</v>
      </c>
      <c r="C105" s="351" t="s">
        <v>386</v>
      </c>
      <c r="D105" s="352"/>
      <c r="E105" s="353"/>
      <c r="F105" s="354"/>
      <c r="G105" s="1767" t="str">
        <f>IF(AND('Level D Scoring'!E105="",'Level D Scoring'!G105=""),"",MAX('Level D Scoring'!E105,'Level D Scoring'!G105))</f>
        <v/>
      </c>
      <c r="H105" s="354"/>
      <c r="I105" s="353"/>
      <c r="J105" s="354"/>
      <c r="K105" s="353"/>
      <c r="L105" s="354"/>
      <c r="M105" s="349" t="str">
        <f t="shared" si="5"/>
        <v/>
      </c>
      <c r="N105" s="354"/>
      <c r="O105" s="355"/>
      <c r="Q105" s="356" t="str">
        <f>IF(T105&gt;0,T105,"")</f>
        <v/>
      </c>
      <c r="R105" s="346" t="str">
        <f>IF(E105="","",IF(E105&gt;Dictionary!$I$52,"Pass","Fail"))</f>
        <v/>
      </c>
      <c r="T105" s="349" t="str">
        <f>Scoring!U107</f>
        <v/>
      </c>
      <c r="V105" s="2376"/>
      <c r="W105" s="2377"/>
      <c r="X105" s="2377"/>
      <c r="Y105" s="2377"/>
      <c r="Z105" s="2378"/>
      <c r="AA105" s="348"/>
      <c r="AB105" s="348"/>
      <c r="AC105" s="348"/>
      <c r="AD105" s="348"/>
      <c r="AE105" s="349"/>
      <c r="AF105" s="349"/>
    </row>
    <row r="106" spans="2:32" ht="24" hidden="1" customHeight="1">
      <c r="B106" s="350" t="str">
        <f>".3"</f>
        <v>.3</v>
      </c>
      <c r="C106" s="351" t="s">
        <v>385</v>
      </c>
      <c r="D106" s="352"/>
      <c r="E106" s="353"/>
      <c r="F106" s="354"/>
      <c r="G106" s="1767" t="str">
        <f>IF(AND('Level D Scoring'!E106="",'Level D Scoring'!G106=""),"",MAX('Level D Scoring'!E106,'Level D Scoring'!G106))</f>
        <v/>
      </c>
      <c r="H106" s="354"/>
      <c r="I106" s="353"/>
      <c r="J106" s="354"/>
      <c r="K106" s="353"/>
      <c r="L106" s="354"/>
      <c r="M106" s="349" t="str">
        <f t="shared" si="5"/>
        <v/>
      </c>
      <c r="N106" s="354"/>
      <c r="O106" s="355"/>
      <c r="Q106" s="356" t="str">
        <f>IF(T106&gt;0,T106,"")</f>
        <v/>
      </c>
      <c r="R106" s="346" t="str">
        <f>IF(E106="","",IF(E106&gt;Dictionary!$I$52,"Pass","Fail"))</f>
        <v/>
      </c>
      <c r="T106" s="349" t="str">
        <f>Scoring!U108</f>
        <v/>
      </c>
      <c r="V106" s="2376"/>
      <c r="W106" s="2377"/>
      <c r="X106" s="2377"/>
      <c r="Y106" s="2377"/>
      <c r="Z106" s="2378"/>
      <c r="AA106" s="348"/>
      <c r="AB106" s="348"/>
      <c r="AC106" s="348"/>
      <c r="AD106" s="348"/>
      <c r="AE106" s="349"/>
      <c r="AF106" s="349"/>
    </row>
    <row r="107" spans="2:32" ht="18" hidden="1" customHeight="1">
      <c r="B107" s="350" t="str">
        <f>".4"</f>
        <v>.4</v>
      </c>
      <c r="C107" s="351" t="s">
        <v>384</v>
      </c>
      <c r="D107" s="352"/>
      <c r="E107" s="353"/>
      <c r="F107" s="354"/>
      <c r="G107" s="1767" t="str">
        <f>IF(AND('Level D Scoring'!E107="",'Level D Scoring'!G107=""),"",MAX('Level D Scoring'!E107,'Level D Scoring'!G107))</f>
        <v/>
      </c>
      <c r="H107" s="354"/>
      <c r="I107" s="353"/>
      <c r="J107" s="354"/>
      <c r="K107" s="353"/>
      <c r="L107" s="354"/>
      <c r="M107" s="349" t="str">
        <f t="shared" si="5"/>
        <v/>
      </c>
      <c r="N107" s="354"/>
      <c r="O107" s="355"/>
      <c r="Q107" s="356" t="str">
        <f>IF(T107&gt;0,T107,"")</f>
        <v/>
      </c>
      <c r="R107" s="346" t="str">
        <f>IF(E107="","",IF(E107&gt;Dictionary!$I$52,"Pass","Fail"))</f>
        <v/>
      </c>
      <c r="T107" s="349" t="str">
        <f>Scoring!U109</f>
        <v/>
      </c>
      <c r="V107" s="2376"/>
      <c r="W107" s="2377"/>
      <c r="X107" s="2377"/>
      <c r="Y107" s="2377"/>
      <c r="Z107" s="2378"/>
      <c r="AA107" s="348"/>
      <c r="AB107" s="348"/>
      <c r="AC107" s="348"/>
      <c r="AD107" s="348"/>
      <c r="AE107" s="349"/>
      <c r="AF107" s="349"/>
    </row>
    <row r="108" spans="2:32" ht="18" hidden="1" customHeight="1">
      <c r="B108" s="350" t="str">
        <f>".5"</f>
        <v>.5</v>
      </c>
      <c r="C108" s="351" t="s">
        <v>383</v>
      </c>
      <c r="D108" s="352"/>
      <c r="E108" s="353"/>
      <c r="F108" s="354"/>
      <c r="G108" s="1767" t="str">
        <f>IF(AND('Level D Scoring'!E108="",'Level D Scoring'!G108=""),"",MAX('Level D Scoring'!E108,'Level D Scoring'!G108))</f>
        <v/>
      </c>
      <c r="H108" s="354"/>
      <c r="I108" s="353"/>
      <c r="J108" s="354"/>
      <c r="K108" s="353"/>
      <c r="L108" s="354"/>
      <c r="M108" s="349" t="str">
        <f t="shared" si="5"/>
        <v/>
      </c>
      <c r="N108" s="354"/>
      <c r="O108" s="355"/>
      <c r="Q108" s="356" t="str">
        <f>IF(T108&gt;0,T108,"")</f>
        <v/>
      </c>
      <c r="R108" s="346" t="str">
        <f>IF(E108="","",IF(E108&gt;Dictionary!$I$52,"Pass","Fail"))</f>
        <v/>
      </c>
      <c r="T108" s="349" t="str">
        <f>Scoring!U110</f>
        <v/>
      </c>
      <c r="V108" s="2376"/>
      <c r="W108" s="2377"/>
      <c r="X108" s="2377"/>
      <c r="Y108" s="2377"/>
      <c r="Z108" s="2378"/>
      <c r="AA108" s="348"/>
      <c r="AB108" s="348"/>
      <c r="AC108" s="348"/>
      <c r="AD108" s="348"/>
      <c r="AE108" s="349"/>
      <c r="AF108" s="349"/>
    </row>
    <row r="109" spans="2:32" ht="20" customHeight="1">
      <c r="B109" s="341" t="s">
        <v>382</v>
      </c>
      <c r="C109" s="342" t="str">
        <f>Dictionary!B1392</f>
        <v>Anforderungen und Ziele</v>
      </c>
      <c r="D109" s="343"/>
      <c r="E109" s="353"/>
      <c r="F109" s="315"/>
      <c r="G109" s="1767" t="str">
        <f>IF(AND('Level D Scoring'!E109="",'Level D Scoring'!G109=""),"",MAX('Level D Scoring'!E109,'Level D Scoring'!G109))</f>
        <v/>
      </c>
      <c r="H109" s="360"/>
      <c r="I109" s="359"/>
      <c r="J109" s="360"/>
      <c r="K109" s="359"/>
      <c r="L109" s="315"/>
      <c r="M109" s="359"/>
      <c r="N109" s="360"/>
      <c r="O109" s="359"/>
      <c r="Q109" s="356"/>
      <c r="R109" s="346" t="str">
        <f>IF(E109="","",IF(E109&gt;Dictionary!$I$52,"Pass","Fail"))</f>
        <v/>
      </c>
      <c r="T109" s="428">
        <f>COUNTIF(T110:T112,"&gt;3")/AE109</f>
        <v>0</v>
      </c>
      <c r="V109" s="2376"/>
      <c r="W109" s="2377"/>
      <c r="X109" s="2377"/>
      <c r="Y109" s="2377"/>
      <c r="Z109" s="2378"/>
      <c r="AA109" s="348"/>
      <c r="AB109" s="348"/>
      <c r="AC109" s="348"/>
      <c r="AD109" s="348"/>
      <c r="AE109" s="349">
        <v>3</v>
      </c>
      <c r="AF109" s="349">
        <f>ROUNDUP(AE109/2,0)</f>
        <v>2</v>
      </c>
    </row>
    <row r="110" spans="2:32" ht="18" hidden="1" customHeight="1">
      <c r="B110" s="350" t="str">
        <f>".1"</f>
        <v>.1</v>
      </c>
      <c r="C110" s="351" t="s">
        <v>381</v>
      </c>
      <c r="D110" s="352"/>
      <c r="E110" s="353"/>
      <c r="F110" s="354"/>
      <c r="G110" s="1767" t="str">
        <f>IF(AND('Level D Scoring'!E110="",'Level D Scoring'!G110=""),"",MAX('Level D Scoring'!E110,'Level D Scoring'!G110))</f>
        <v/>
      </c>
      <c r="H110" s="354"/>
      <c r="I110" s="353"/>
      <c r="J110" s="354"/>
      <c r="K110" s="353"/>
      <c r="L110" s="354"/>
      <c r="M110" s="349" t="str">
        <f t="shared" si="5"/>
        <v/>
      </c>
      <c r="N110" s="354"/>
      <c r="O110" s="355"/>
      <c r="Q110" s="356" t="str">
        <f>IF(T110&gt;0,T110,"")</f>
        <v/>
      </c>
      <c r="R110" s="346" t="str">
        <f>IF(E110="","",IF(E110&gt;Dictionary!$I$52,"Pass","Fail"))</f>
        <v/>
      </c>
      <c r="T110" s="349" t="str">
        <f>Scoring!U115</f>
        <v/>
      </c>
      <c r="V110" s="2376"/>
      <c r="W110" s="2377"/>
      <c r="X110" s="2377"/>
      <c r="Y110" s="2377"/>
      <c r="Z110" s="2378"/>
      <c r="AA110" s="348"/>
      <c r="AB110" s="348"/>
      <c r="AC110" s="348"/>
      <c r="AD110" s="348"/>
      <c r="AE110" s="349"/>
      <c r="AF110" s="349"/>
    </row>
    <row r="111" spans="2:32" ht="24" hidden="1" customHeight="1">
      <c r="B111" s="350" t="str">
        <f>".2"</f>
        <v>.2</v>
      </c>
      <c r="C111" s="351" t="s">
        <v>380</v>
      </c>
      <c r="D111" s="352"/>
      <c r="E111" s="353"/>
      <c r="F111" s="354"/>
      <c r="G111" s="1767" t="str">
        <f>IF(AND('Level D Scoring'!E111="",'Level D Scoring'!G111=""),"",MAX('Level D Scoring'!E111,'Level D Scoring'!G111))</f>
        <v/>
      </c>
      <c r="H111" s="354"/>
      <c r="I111" s="353"/>
      <c r="J111" s="354"/>
      <c r="K111" s="353"/>
      <c r="L111" s="354"/>
      <c r="M111" s="349" t="str">
        <f t="shared" si="5"/>
        <v/>
      </c>
      <c r="N111" s="354"/>
      <c r="O111" s="355"/>
      <c r="Q111" s="356" t="str">
        <f>IF(T111&gt;0,T111,"")</f>
        <v/>
      </c>
      <c r="R111" s="346" t="str">
        <f>IF(E111="","",IF(E111&gt;Dictionary!$I$52,"Pass","Fail"))</f>
        <v/>
      </c>
      <c r="T111" s="349" t="str">
        <f>Scoring!U116</f>
        <v/>
      </c>
      <c r="V111" s="2376"/>
      <c r="W111" s="2377"/>
      <c r="X111" s="2377"/>
      <c r="Y111" s="2377"/>
      <c r="Z111" s="2378"/>
      <c r="AA111" s="348"/>
      <c r="AB111" s="348"/>
      <c r="AC111" s="348"/>
      <c r="AD111" s="348"/>
      <c r="AE111" s="349"/>
      <c r="AF111" s="349"/>
    </row>
    <row r="112" spans="2:32" ht="24" hidden="1" customHeight="1">
      <c r="B112" s="350" t="str">
        <f>".3"</f>
        <v>.3</v>
      </c>
      <c r="C112" s="351" t="s">
        <v>379</v>
      </c>
      <c r="D112" s="352"/>
      <c r="E112" s="353"/>
      <c r="F112" s="354"/>
      <c r="G112" s="1767" t="str">
        <f>IF(AND('Level D Scoring'!E112="",'Level D Scoring'!G112=""),"",MAX('Level D Scoring'!E112,'Level D Scoring'!G112))</f>
        <v/>
      </c>
      <c r="H112" s="354"/>
      <c r="I112" s="353"/>
      <c r="J112" s="354"/>
      <c r="K112" s="353"/>
      <c r="L112" s="354"/>
      <c r="M112" s="349" t="str">
        <f t="shared" si="5"/>
        <v/>
      </c>
      <c r="N112" s="354"/>
      <c r="O112" s="355"/>
      <c r="Q112" s="356" t="str">
        <f>IF(T112&gt;0,T112,"")</f>
        <v/>
      </c>
      <c r="R112" s="346" t="str">
        <f>IF(E112="","",IF(E112&gt;Dictionary!$I$52,"Pass","Fail"))</f>
        <v/>
      </c>
      <c r="T112" s="349" t="str">
        <f>Scoring!U117</f>
        <v/>
      </c>
      <c r="V112" s="2376"/>
      <c r="W112" s="2377"/>
      <c r="X112" s="2377"/>
      <c r="Y112" s="2377"/>
      <c r="Z112" s="2378"/>
      <c r="AA112" s="348"/>
      <c r="AB112" s="348"/>
      <c r="AC112" s="348"/>
      <c r="AD112" s="348"/>
      <c r="AE112" s="349"/>
      <c r="AF112" s="349"/>
    </row>
    <row r="113" spans="2:32" ht="20" customHeight="1">
      <c r="B113" s="341" t="s">
        <v>378</v>
      </c>
      <c r="C113" s="342" t="str">
        <f>Dictionary!B1400</f>
        <v>Leistungsumfang</v>
      </c>
      <c r="D113" s="343"/>
      <c r="E113" s="353"/>
      <c r="F113" s="315"/>
      <c r="G113" s="1767" t="str">
        <f>IF(AND('Level D Scoring'!E113="",'Level D Scoring'!G113=""),"",MAX('Level D Scoring'!E113,'Level D Scoring'!G113))</f>
        <v/>
      </c>
      <c r="H113" s="360"/>
      <c r="I113" s="359"/>
      <c r="J113" s="360"/>
      <c r="K113" s="359"/>
      <c r="L113" s="315"/>
      <c r="M113" s="359"/>
      <c r="N113" s="360"/>
      <c r="O113" s="359"/>
      <c r="Q113" s="356"/>
      <c r="R113" s="346" t="str">
        <f>IF(E113="","",IF(E113&gt;Dictionary!$I$52,"Pass","Fail"))</f>
        <v/>
      </c>
      <c r="T113" s="428">
        <f>COUNTIF(T114:T117,"&gt;3")/AE113</f>
        <v>0</v>
      </c>
      <c r="V113" s="2376"/>
      <c r="W113" s="2377"/>
      <c r="X113" s="2377"/>
      <c r="Y113" s="2377"/>
      <c r="Z113" s="2378"/>
      <c r="AA113" s="348"/>
      <c r="AB113" s="348"/>
      <c r="AC113" s="348"/>
      <c r="AD113" s="348"/>
      <c r="AE113" s="349">
        <v>4</v>
      </c>
      <c r="AF113" s="349">
        <f>ROUNDUP(AE113/2,0)</f>
        <v>2</v>
      </c>
    </row>
    <row r="114" spans="2:32" ht="18" hidden="1" customHeight="1">
      <c r="B114" s="350" t="str">
        <f>".1"</f>
        <v>.1</v>
      </c>
      <c r="C114" s="351" t="s">
        <v>377</v>
      </c>
      <c r="D114" s="352"/>
      <c r="E114" s="353"/>
      <c r="F114" s="354"/>
      <c r="G114" s="1767" t="str">
        <f>IF(AND('Level D Scoring'!E114="",'Level D Scoring'!G114=""),"",MAX('Level D Scoring'!E114,'Level D Scoring'!G114))</f>
        <v/>
      </c>
      <c r="H114" s="354"/>
      <c r="I114" s="353"/>
      <c r="J114" s="354"/>
      <c r="K114" s="353"/>
      <c r="L114" s="354"/>
      <c r="M114" s="349" t="str">
        <f t="shared" si="5"/>
        <v/>
      </c>
      <c r="N114" s="354"/>
      <c r="O114" s="355"/>
      <c r="Q114" s="356" t="str">
        <f>IF(T114&gt;0,T114,"")</f>
        <v/>
      </c>
      <c r="R114" s="346" t="str">
        <f>IF(E114="","",IF(E114&gt;Dictionary!$I$52,"Pass","Fail"))</f>
        <v/>
      </c>
      <c r="T114" s="349" t="str">
        <f>Scoring!U121</f>
        <v/>
      </c>
      <c r="V114" s="2376"/>
      <c r="W114" s="2377"/>
      <c r="X114" s="2377"/>
      <c r="Y114" s="2377"/>
      <c r="Z114" s="2378"/>
      <c r="AA114" s="348"/>
      <c r="AB114" s="348"/>
      <c r="AC114" s="348"/>
      <c r="AD114" s="348"/>
      <c r="AE114" s="349"/>
      <c r="AF114" s="349"/>
    </row>
    <row r="115" spans="2:32" ht="18" hidden="1" customHeight="1">
      <c r="B115" s="350" t="str">
        <f>".2"</f>
        <v>.2</v>
      </c>
      <c r="C115" s="351" t="s">
        <v>376</v>
      </c>
      <c r="D115" s="352"/>
      <c r="E115" s="353"/>
      <c r="F115" s="354"/>
      <c r="G115" s="1767" t="str">
        <f>IF(AND('Level D Scoring'!E115="",'Level D Scoring'!G115=""),"",MAX('Level D Scoring'!E115,'Level D Scoring'!G115))</f>
        <v/>
      </c>
      <c r="H115" s="354"/>
      <c r="I115" s="353"/>
      <c r="J115" s="354"/>
      <c r="K115" s="353"/>
      <c r="L115" s="354"/>
      <c r="M115" s="349" t="str">
        <f t="shared" si="5"/>
        <v/>
      </c>
      <c r="N115" s="354"/>
      <c r="O115" s="355"/>
      <c r="Q115" s="356" t="str">
        <f>IF(T115&gt;0,T115,"")</f>
        <v/>
      </c>
      <c r="R115" s="346" t="str">
        <f>IF(E115="","",IF(E115&gt;Dictionary!$I$52,"Pass","Fail"))</f>
        <v/>
      </c>
      <c r="T115" s="349" t="str">
        <f>Scoring!U122</f>
        <v/>
      </c>
      <c r="V115" s="2376"/>
      <c r="W115" s="2377"/>
      <c r="X115" s="2377"/>
      <c r="Y115" s="2377"/>
      <c r="Z115" s="2378"/>
      <c r="AA115" s="348"/>
      <c r="AB115" s="348"/>
      <c r="AC115" s="348"/>
      <c r="AD115" s="348"/>
      <c r="AE115" s="349"/>
      <c r="AF115" s="349"/>
    </row>
    <row r="116" spans="2:32" ht="18" hidden="1" customHeight="1">
      <c r="B116" s="350" t="str">
        <f>".3"</f>
        <v>.3</v>
      </c>
      <c r="C116" s="351" t="s">
        <v>375</v>
      </c>
      <c r="D116" s="352"/>
      <c r="E116" s="353"/>
      <c r="F116" s="354"/>
      <c r="G116" s="1767" t="str">
        <f>IF(AND('Level D Scoring'!E116="",'Level D Scoring'!G116=""),"",MAX('Level D Scoring'!E116,'Level D Scoring'!G116))</f>
        <v/>
      </c>
      <c r="H116" s="354"/>
      <c r="I116" s="353"/>
      <c r="J116" s="354"/>
      <c r="K116" s="353"/>
      <c r="L116" s="354"/>
      <c r="M116" s="349" t="str">
        <f t="shared" si="5"/>
        <v/>
      </c>
      <c r="N116" s="354"/>
      <c r="O116" s="355"/>
      <c r="Q116" s="356" t="str">
        <f>IF(T116&gt;0,T116,"")</f>
        <v/>
      </c>
      <c r="R116" s="346" t="str">
        <f>IF(E116="","",IF(E116&gt;Dictionary!$I$52,"Pass","Fail"))</f>
        <v/>
      </c>
      <c r="T116" s="349" t="str">
        <f>Scoring!U123</f>
        <v/>
      </c>
      <c r="V116" s="2376"/>
      <c r="W116" s="2377"/>
      <c r="X116" s="2377"/>
      <c r="Y116" s="2377"/>
      <c r="Z116" s="2378"/>
      <c r="AA116" s="348"/>
      <c r="AB116" s="348"/>
      <c r="AC116" s="348"/>
      <c r="AD116" s="348"/>
      <c r="AE116" s="349"/>
      <c r="AF116" s="349"/>
    </row>
    <row r="117" spans="2:32" ht="18" hidden="1" customHeight="1">
      <c r="B117" s="350" t="str">
        <f>".4"</f>
        <v>.4</v>
      </c>
      <c r="C117" s="351" t="s">
        <v>374</v>
      </c>
      <c r="D117" s="352"/>
      <c r="E117" s="353"/>
      <c r="F117" s="354"/>
      <c r="G117" s="1767" t="str">
        <f>IF(AND('Level D Scoring'!E117="",'Level D Scoring'!G117=""),"",MAX('Level D Scoring'!E117,'Level D Scoring'!G117))</f>
        <v/>
      </c>
      <c r="H117" s="354"/>
      <c r="I117" s="353"/>
      <c r="J117" s="354"/>
      <c r="K117" s="353"/>
      <c r="L117" s="354"/>
      <c r="M117" s="349" t="str">
        <f t="shared" si="5"/>
        <v/>
      </c>
      <c r="N117" s="354"/>
      <c r="O117" s="355"/>
      <c r="Q117" s="356" t="str">
        <f>IF(T117&gt;0,T117,"")</f>
        <v/>
      </c>
      <c r="R117" s="346" t="str">
        <f>IF(E117="","",IF(E117&gt;Dictionary!$I$52,"Pass","Fail"))</f>
        <v/>
      </c>
      <c r="T117" s="349" t="str">
        <f>Scoring!U124</f>
        <v/>
      </c>
      <c r="V117" s="2376"/>
      <c r="W117" s="2377"/>
      <c r="X117" s="2377"/>
      <c r="Y117" s="2377"/>
      <c r="Z117" s="2378"/>
      <c r="AA117" s="348"/>
      <c r="AB117" s="348"/>
      <c r="AC117" s="348"/>
      <c r="AD117" s="348"/>
      <c r="AE117" s="349"/>
      <c r="AF117" s="349"/>
    </row>
    <row r="118" spans="2:32" ht="20" customHeight="1">
      <c r="B118" s="341" t="s">
        <v>373</v>
      </c>
      <c r="C118" s="342" t="str">
        <f>Dictionary!B1407</f>
        <v>Ablauf und Termine</v>
      </c>
      <c r="D118" s="343"/>
      <c r="E118" s="353"/>
      <c r="F118" s="315"/>
      <c r="G118" s="1767" t="str">
        <f>IF(AND('Level D Scoring'!E118="",'Level D Scoring'!G118=""),"",MAX('Level D Scoring'!E118,'Level D Scoring'!G118))</f>
        <v/>
      </c>
      <c r="H118" s="360"/>
      <c r="I118" s="359"/>
      <c r="J118" s="360"/>
      <c r="K118" s="359"/>
      <c r="L118" s="315"/>
      <c r="M118" s="359" t="str">
        <f>IF(MAX(E118,G118,K118)=0,"",MAX(E118,G118,K118))</f>
        <v/>
      </c>
      <c r="N118" s="360"/>
      <c r="O118" s="359"/>
      <c r="Q118" s="356"/>
      <c r="R118" s="346" t="str">
        <f>IF(E118="","",IF(E118&gt;Dictionary!$I$52,"Pass","Fail"))</f>
        <v/>
      </c>
      <c r="T118" s="428">
        <f>COUNTIF(T119:T123,"&gt;3")/AE118</f>
        <v>0</v>
      </c>
      <c r="V118" s="2376"/>
      <c r="W118" s="2377"/>
      <c r="X118" s="2377"/>
      <c r="Y118" s="2377"/>
      <c r="Z118" s="2378"/>
      <c r="AA118" s="348"/>
      <c r="AB118" s="348"/>
      <c r="AC118" s="348"/>
      <c r="AD118" s="348"/>
      <c r="AE118" s="349">
        <v>5</v>
      </c>
      <c r="AF118" s="349">
        <f>ROUNDUP(AE118/2,0)</f>
        <v>3</v>
      </c>
    </row>
    <row r="119" spans="2:32" ht="18" hidden="1" customHeight="1">
      <c r="B119" s="350" t="str">
        <f>".1"</f>
        <v>.1</v>
      </c>
      <c r="C119" s="351" t="s">
        <v>372</v>
      </c>
      <c r="D119" s="352"/>
      <c r="E119" s="353"/>
      <c r="F119" s="354"/>
      <c r="G119" s="1767" t="str">
        <f>IF(AND('Level D Scoring'!E119="",'Level D Scoring'!G119=""),"",MAX('Level D Scoring'!E119,'Level D Scoring'!G119))</f>
        <v/>
      </c>
      <c r="H119" s="354"/>
      <c r="I119" s="353"/>
      <c r="J119" s="354"/>
      <c r="K119" s="353"/>
      <c r="L119" s="354"/>
      <c r="M119" s="349" t="str">
        <f t="shared" si="5"/>
        <v/>
      </c>
      <c r="N119" s="354"/>
      <c r="O119" s="355"/>
      <c r="Q119" s="356" t="str">
        <f>IF(T119&gt;0,T119,"")</f>
        <v/>
      </c>
      <c r="R119" s="346" t="str">
        <f>IF(E119="","",IF(E119&gt;Dictionary!$I$52,"Pass","Fail"))</f>
        <v/>
      </c>
      <c r="T119" s="349" t="str">
        <f>Scoring!U126</f>
        <v/>
      </c>
      <c r="V119" s="2376"/>
      <c r="W119" s="2377"/>
      <c r="X119" s="2377"/>
      <c r="Y119" s="2377"/>
      <c r="Z119" s="2378"/>
      <c r="AA119" s="348"/>
      <c r="AB119" s="348"/>
      <c r="AC119" s="348"/>
      <c r="AD119" s="348"/>
      <c r="AE119" s="349"/>
      <c r="AF119" s="349"/>
    </row>
    <row r="120" spans="2:32" ht="18" hidden="1" customHeight="1">
      <c r="B120" s="350" t="str">
        <f>".2"</f>
        <v>.2</v>
      </c>
      <c r="C120" s="351" t="s">
        <v>371</v>
      </c>
      <c r="D120" s="352"/>
      <c r="E120" s="353"/>
      <c r="F120" s="354"/>
      <c r="G120" s="1767" t="str">
        <f>IF(AND('Level D Scoring'!E120="",'Level D Scoring'!G120=""),"",MAX('Level D Scoring'!E120,'Level D Scoring'!G120))</f>
        <v/>
      </c>
      <c r="H120" s="354"/>
      <c r="I120" s="353"/>
      <c r="J120" s="354"/>
      <c r="K120" s="353"/>
      <c r="L120" s="354"/>
      <c r="M120" s="349" t="str">
        <f t="shared" si="5"/>
        <v/>
      </c>
      <c r="N120" s="354"/>
      <c r="O120" s="355"/>
      <c r="Q120" s="356" t="str">
        <f>IF(T120&gt;0,T120,"")</f>
        <v/>
      </c>
      <c r="R120" s="346" t="str">
        <f>IF(E120="","",IF(E120&gt;Dictionary!$I$52,"Pass","Fail"))</f>
        <v/>
      </c>
      <c r="T120" s="349" t="str">
        <f>Scoring!U127</f>
        <v/>
      </c>
      <c r="V120" s="2376"/>
      <c r="W120" s="2377"/>
      <c r="X120" s="2377"/>
      <c r="Y120" s="2377"/>
      <c r="Z120" s="2378"/>
      <c r="AA120" s="348"/>
      <c r="AB120" s="348"/>
      <c r="AC120" s="348"/>
      <c r="AD120" s="348"/>
      <c r="AE120" s="349"/>
      <c r="AF120" s="349"/>
    </row>
    <row r="121" spans="2:32" ht="18" hidden="1" customHeight="1">
      <c r="B121" s="350" t="str">
        <f>".3"</f>
        <v>.3</v>
      </c>
      <c r="C121" s="351" t="s">
        <v>370</v>
      </c>
      <c r="D121" s="352"/>
      <c r="E121" s="353"/>
      <c r="F121" s="354"/>
      <c r="G121" s="1767" t="str">
        <f>IF(AND('Level D Scoring'!E121="",'Level D Scoring'!G121=""),"",MAX('Level D Scoring'!E121,'Level D Scoring'!G121))</f>
        <v/>
      </c>
      <c r="H121" s="354"/>
      <c r="I121" s="353"/>
      <c r="J121" s="354"/>
      <c r="K121" s="353"/>
      <c r="L121" s="354"/>
      <c r="M121" s="349" t="str">
        <f t="shared" si="5"/>
        <v/>
      </c>
      <c r="N121" s="354"/>
      <c r="O121" s="355"/>
      <c r="Q121" s="356" t="str">
        <f>IF(T121&gt;0,T121,"")</f>
        <v/>
      </c>
      <c r="R121" s="346" t="str">
        <f>IF(E121="","",IF(E121&gt;Dictionary!$I$52,"Pass","Fail"))</f>
        <v/>
      </c>
      <c r="T121" s="349" t="str">
        <f>Scoring!U128</f>
        <v/>
      </c>
      <c r="V121" s="2376"/>
      <c r="W121" s="2377"/>
      <c r="X121" s="2377"/>
      <c r="Y121" s="2377"/>
      <c r="Z121" s="2378"/>
      <c r="AA121" s="348"/>
      <c r="AB121" s="348"/>
      <c r="AC121" s="348"/>
      <c r="AD121" s="348"/>
      <c r="AE121" s="349"/>
      <c r="AF121" s="349"/>
    </row>
    <row r="122" spans="2:32" ht="18" hidden="1" customHeight="1">
      <c r="B122" s="350" t="str">
        <f>".4"</f>
        <v>.4</v>
      </c>
      <c r="C122" s="351" t="s">
        <v>369</v>
      </c>
      <c r="D122" s="352"/>
      <c r="E122" s="353"/>
      <c r="F122" s="354"/>
      <c r="G122" s="1767" t="str">
        <f>IF(AND('Level D Scoring'!E122="",'Level D Scoring'!G122=""),"",MAX('Level D Scoring'!E122,'Level D Scoring'!G122))</f>
        <v/>
      </c>
      <c r="H122" s="354"/>
      <c r="I122" s="353"/>
      <c r="J122" s="354"/>
      <c r="K122" s="353"/>
      <c r="L122" s="354"/>
      <c r="M122" s="349" t="str">
        <f t="shared" si="5"/>
        <v/>
      </c>
      <c r="N122" s="354"/>
      <c r="O122" s="355"/>
      <c r="Q122" s="356" t="str">
        <f>IF(T122&gt;0,T122,"")</f>
        <v/>
      </c>
      <c r="R122" s="346" t="str">
        <f>IF(E122="","",IF(E122&gt;Dictionary!$I$52,"Pass","Fail"))</f>
        <v/>
      </c>
      <c r="T122" s="349" t="str">
        <f>Scoring!U129</f>
        <v/>
      </c>
      <c r="V122" s="2376"/>
      <c r="W122" s="2377"/>
      <c r="X122" s="2377"/>
      <c r="Y122" s="2377"/>
      <c r="Z122" s="2378"/>
      <c r="AA122" s="348"/>
      <c r="AB122" s="348"/>
      <c r="AC122" s="348"/>
      <c r="AD122" s="348"/>
      <c r="AE122" s="349"/>
      <c r="AF122" s="349"/>
    </row>
    <row r="123" spans="2:32" ht="24" hidden="1" customHeight="1">
      <c r="B123" s="350" t="str">
        <f>".5"</f>
        <v>.5</v>
      </c>
      <c r="C123" s="351" t="s">
        <v>368</v>
      </c>
      <c r="D123" s="352"/>
      <c r="E123" s="353"/>
      <c r="F123" s="354"/>
      <c r="G123" s="1767" t="str">
        <f>IF(AND('Level D Scoring'!E123="",'Level D Scoring'!G123=""),"",MAX('Level D Scoring'!E123,'Level D Scoring'!G123))</f>
        <v/>
      </c>
      <c r="H123" s="354"/>
      <c r="I123" s="353"/>
      <c r="J123" s="354"/>
      <c r="K123" s="353"/>
      <c r="L123" s="354"/>
      <c r="M123" s="349" t="str">
        <f t="shared" si="5"/>
        <v/>
      </c>
      <c r="N123" s="354"/>
      <c r="O123" s="355"/>
      <c r="Q123" s="356" t="str">
        <f>IF(T123&gt;0,T123,"")</f>
        <v/>
      </c>
      <c r="R123" s="346" t="str">
        <f>IF(E123="","",IF(E123&gt;Dictionary!$I$52,"Pass","Fail"))</f>
        <v/>
      </c>
      <c r="T123" s="349" t="str">
        <f>Scoring!U130</f>
        <v/>
      </c>
      <c r="V123" s="2376"/>
      <c r="W123" s="2377"/>
      <c r="X123" s="2377"/>
      <c r="Y123" s="2377"/>
      <c r="Z123" s="2378"/>
      <c r="AA123" s="348"/>
      <c r="AB123" s="348"/>
      <c r="AC123" s="348"/>
      <c r="AD123" s="348"/>
      <c r="AE123" s="349"/>
      <c r="AF123" s="349"/>
    </row>
    <row r="124" spans="2:32" ht="20" customHeight="1">
      <c r="B124" s="341" t="s">
        <v>367</v>
      </c>
      <c r="C124" s="342" t="str">
        <f>Dictionary!B1415</f>
        <v>Organisation und Information</v>
      </c>
      <c r="D124" s="343"/>
      <c r="E124" s="353"/>
      <c r="F124" s="315"/>
      <c r="G124" s="1767" t="str">
        <f>IF(AND('Level D Scoring'!E124="",'Level D Scoring'!G124=""),"",MAX('Level D Scoring'!E124,'Level D Scoring'!G124))</f>
        <v/>
      </c>
      <c r="H124" s="360"/>
      <c r="I124" s="359"/>
      <c r="J124" s="360"/>
      <c r="K124" s="359"/>
      <c r="L124" s="315"/>
      <c r="M124" s="359"/>
      <c r="N124" s="360"/>
      <c r="O124" s="359"/>
      <c r="Q124" s="356"/>
      <c r="R124" s="346" t="str">
        <f>IF(E124="","",IF(E124&gt;Dictionary!$I$52,"Pass","Fail"))</f>
        <v/>
      </c>
      <c r="T124" s="428">
        <f>COUNTIF(T125:T128,"&gt;3")/AE124</f>
        <v>0</v>
      </c>
      <c r="V124" s="2376"/>
      <c r="W124" s="2377"/>
      <c r="X124" s="2377"/>
      <c r="Y124" s="2377"/>
      <c r="Z124" s="2378"/>
      <c r="AA124" s="348"/>
      <c r="AB124" s="348"/>
      <c r="AC124" s="348"/>
      <c r="AD124" s="348"/>
      <c r="AE124" s="349">
        <v>4</v>
      </c>
      <c r="AF124" s="349">
        <f>ROUNDUP(AE124/2,0)</f>
        <v>2</v>
      </c>
    </row>
    <row r="125" spans="2:32" ht="24" hidden="1" customHeight="1">
      <c r="B125" s="350" t="str">
        <f>".1"</f>
        <v>.1</v>
      </c>
      <c r="C125" s="351" t="s">
        <v>365</v>
      </c>
      <c r="D125" s="352"/>
      <c r="E125" s="353"/>
      <c r="F125" s="354"/>
      <c r="G125" s="1767" t="str">
        <f>IF(AND('Level D Scoring'!E125="",'Level D Scoring'!G125=""),"",MAX('Level D Scoring'!E125,'Level D Scoring'!G125))</f>
        <v/>
      </c>
      <c r="H125" s="354"/>
      <c r="I125" s="353"/>
      <c r="J125" s="354"/>
      <c r="K125" s="353"/>
      <c r="L125" s="354"/>
      <c r="M125" s="349" t="str">
        <f t="shared" si="5"/>
        <v/>
      </c>
      <c r="N125" s="354"/>
      <c r="O125" s="355"/>
      <c r="Q125" s="356" t="str">
        <f>IF(T125&gt;0,T125,"")</f>
        <v/>
      </c>
      <c r="R125" s="346" t="str">
        <f>IF(E125="","",IF(E125&gt;Dictionary!$I$52,"Pass","Fail"))</f>
        <v/>
      </c>
      <c r="T125" s="349" t="str">
        <f>Scoring!U132</f>
        <v/>
      </c>
      <c r="V125" s="2376"/>
      <c r="W125" s="2377"/>
      <c r="X125" s="2377"/>
      <c r="Y125" s="2377"/>
      <c r="Z125" s="2378"/>
      <c r="AA125" s="348"/>
      <c r="AB125" s="348"/>
      <c r="AC125" s="348"/>
      <c r="AD125" s="348"/>
      <c r="AE125" s="349"/>
      <c r="AF125" s="349"/>
    </row>
    <row r="126" spans="2:32" ht="24" hidden="1" customHeight="1">
      <c r="B126" s="350" t="str">
        <f>".2"</f>
        <v>.2</v>
      </c>
      <c r="C126" s="351" t="s">
        <v>364</v>
      </c>
      <c r="D126" s="352"/>
      <c r="E126" s="353"/>
      <c r="F126" s="354"/>
      <c r="G126" s="1767" t="str">
        <f>IF(AND('Level D Scoring'!E126="",'Level D Scoring'!G126=""),"",MAX('Level D Scoring'!E126,'Level D Scoring'!G126))</f>
        <v/>
      </c>
      <c r="H126" s="354"/>
      <c r="I126" s="353"/>
      <c r="J126" s="354"/>
      <c r="K126" s="353"/>
      <c r="L126" s="354"/>
      <c r="M126" s="349" t="str">
        <f t="shared" si="5"/>
        <v/>
      </c>
      <c r="N126" s="354"/>
      <c r="O126" s="355"/>
      <c r="Q126" s="356" t="str">
        <f>IF(T126&gt;0,T126,"")</f>
        <v/>
      </c>
      <c r="R126" s="346" t="str">
        <f>IF(E126="","",IF(E126&gt;Dictionary!$I$52,"Pass","Fail"))</f>
        <v/>
      </c>
      <c r="T126" s="349" t="str">
        <f>Scoring!U133</f>
        <v/>
      </c>
      <c r="V126" s="2376"/>
      <c r="W126" s="2377"/>
      <c r="X126" s="2377"/>
      <c r="Y126" s="2377"/>
      <c r="Z126" s="2378"/>
      <c r="AA126" s="348"/>
      <c r="AB126" s="348"/>
      <c r="AC126" s="348"/>
      <c r="AD126" s="348"/>
      <c r="AE126" s="349"/>
      <c r="AF126" s="349"/>
    </row>
    <row r="127" spans="2:32" ht="24" hidden="1" customHeight="1">
      <c r="B127" s="350" t="str">
        <f>".3"</f>
        <v>.3</v>
      </c>
      <c r="C127" s="351" t="s">
        <v>363</v>
      </c>
      <c r="D127" s="352"/>
      <c r="E127" s="353"/>
      <c r="F127" s="354"/>
      <c r="G127" s="1767" t="str">
        <f>IF(AND('Level D Scoring'!E127="",'Level D Scoring'!G127=""),"",MAX('Level D Scoring'!E127,'Level D Scoring'!G127))</f>
        <v/>
      </c>
      <c r="H127" s="354"/>
      <c r="I127" s="353"/>
      <c r="J127" s="354"/>
      <c r="K127" s="353"/>
      <c r="L127" s="354"/>
      <c r="M127" s="349" t="str">
        <f t="shared" si="5"/>
        <v/>
      </c>
      <c r="N127" s="354"/>
      <c r="O127" s="355"/>
      <c r="Q127" s="356" t="str">
        <f>IF(T127&gt;0,T127,"")</f>
        <v/>
      </c>
      <c r="R127" s="346" t="str">
        <f>IF(E127="","",IF(E127&gt;Dictionary!$I$52,"Pass","Fail"))</f>
        <v/>
      </c>
      <c r="T127" s="349" t="str">
        <f>Scoring!U134</f>
        <v/>
      </c>
      <c r="V127" s="2376"/>
      <c r="W127" s="2377"/>
      <c r="X127" s="2377"/>
      <c r="Y127" s="2377"/>
      <c r="Z127" s="2378"/>
      <c r="AA127" s="348"/>
      <c r="AB127" s="348"/>
      <c r="AC127" s="348"/>
      <c r="AD127" s="348"/>
      <c r="AE127" s="349"/>
      <c r="AF127" s="349"/>
    </row>
    <row r="128" spans="2:32" ht="24" hidden="1" customHeight="1">
      <c r="B128" s="350" t="str">
        <f>".4"</f>
        <v>.4</v>
      </c>
      <c r="C128" s="351" t="s">
        <v>362</v>
      </c>
      <c r="D128" s="352"/>
      <c r="E128" s="353"/>
      <c r="F128" s="354"/>
      <c r="G128" s="1767" t="str">
        <f>IF(AND('Level D Scoring'!E128="",'Level D Scoring'!G128=""),"",MAX('Level D Scoring'!E128,'Level D Scoring'!G128))</f>
        <v/>
      </c>
      <c r="H128" s="354"/>
      <c r="I128" s="353"/>
      <c r="J128" s="354"/>
      <c r="K128" s="353"/>
      <c r="L128" s="354"/>
      <c r="M128" s="349" t="str">
        <f t="shared" si="5"/>
        <v/>
      </c>
      <c r="N128" s="354"/>
      <c r="O128" s="355"/>
      <c r="Q128" s="356" t="str">
        <f>IF(T128&gt;0,T128,"")</f>
        <v/>
      </c>
      <c r="R128" s="346" t="str">
        <f>IF(E128="","",IF(E128&gt;Dictionary!$I$52,"Pass","Fail"))</f>
        <v/>
      </c>
      <c r="T128" s="349" t="str">
        <f>Scoring!U135</f>
        <v/>
      </c>
      <c r="V128" s="2376"/>
      <c r="W128" s="2377"/>
      <c r="X128" s="2377"/>
      <c r="Y128" s="2377"/>
      <c r="Z128" s="2378"/>
      <c r="AA128" s="348"/>
      <c r="AB128" s="348"/>
      <c r="AC128" s="348"/>
      <c r="AD128" s="348"/>
      <c r="AE128" s="349"/>
      <c r="AF128" s="349"/>
    </row>
    <row r="129" spans="2:32" ht="20" customHeight="1">
      <c r="B129" s="341" t="s">
        <v>361</v>
      </c>
      <c r="C129" s="342" t="str">
        <f>Dictionary!B1422</f>
        <v>Qualität</v>
      </c>
      <c r="D129" s="343"/>
      <c r="E129" s="353"/>
      <c r="F129" s="315"/>
      <c r="G129" s="1767" t="str">
        <f>IF(AND('Level D Scoring'!E129="",'Level D Scoring'!G129=""),"",MAX('Level D Scoring'!E129,'Level D Scoring'!G129))</f>
        <v/>
      </c>
      <c r="H129" s="360"/>
      <c r="I129" s="359"/>
      <c r="J129" s="360"/>
      <c r="K129" s="359"/>
      <c r="L129" s="315"/>
      <c r="M129" s="359"/>
      <c r="N129" s="360"/>
      <c r="O129" s="359"/>
      <c r="Q129" s="356"/>
      <c r="R129" s="346" t="str">
        <f>IF(E129="","",IF(E129&gt;Dictionary!$I$52,"Pass","Fail"))</f>
        <v/>
      </c>
      <c r="T129" s="428">
        <f>COUNTIF(T130:T134,"&gt;3")/AE129</f>
        <v>0</v>
      </c>
      <c r="V129" s="2376"/>
      <c r="W129" s="2377"/>
      <c r="X129" s="2377"/>
      <c r="Y129" s="2377"/>
      <c r="Z129" s="2378"/>
      <c r="AA129" s="348"/>
      <c r="AB129" s="348"/>
      <c r="AC129" s="348"/>
      <c r="AD129" s="348"/>
      <c r="AE129" s="349">
        <v>5</v>
      </c>
      <c r="AF129" s="349">
        <f>ROUNDUP(AE129/2,0)</f>
        <v>3</v>
      </c>
    </row>
    <row r="130" spans="2:32" ht="24" hidden="1" customHeight="1">
      <c r="B130" s="350" t="str">
        <f>".1"</f>
        <v>.1</v>
      </c>
      <c r="C130" s="351" t="s">
        <v>360</v>
      </c>
      <c r="D130" s="352"/>
      <c r="E130" s="353"/>
      <c r="F130" s="354"/>
      <c r="G130" s="1767" t="str">
        <f>IF(AND('Level D Scoring'!E130="",'Level D Scoring'!G130=""),"",MAX('Level D Scoring'!E130,'Level D Scoring'!G130))</f>
        <v/>
      </c>
      <c r="H130" s="354"/>
      <c r="I130" s="353"/>
      <c r="J130" s="354"/>
      <c r="K130" s="353"/>
      <c r="L130" s="354"/>
      <c r="M130" s="349" t="str">
        <f t="shared" si="5"/>
        <v/>
      </c>
      <c r="N130" s="354"/>
      <c r="O130" s="355"/>
      <c r="Q130" s="356" t="str">
        <f>IF(T130&gt;0,T130,"")</f>
        <v/>
      </c>
      <c r="R130" s="346" t="str">
        <f>IF(E130="","",IF(E130&gt;Dictionary!$I$52,"Pass","Fail"))</f>
        <v/>
      </c>
      <c r="T130" s="349" t="str">
        <f>Scoring!U137</f>
        <v/>
      </c>
      <c r="V130" s="2376"/>
      <c r="W130" s="2377"/>
      <c r="X130" s="2377"/>
      <c r="Y130" s="2377"/>
      <c r="Z130" s="2378"/>
      <c r="AA130" s="348"/>
      <c r="AB130" s="348"/>
      <c r="AC130" s="348"/>
      <c r="AD130" s="348"/>
      <c r="AE130" s="349"/>
      <c r="AF130" s="349"/>
    </row>
    <row r="131" spans="2:32" ht="36" hidden="1" customHeight="1">
      <c r="B131" s="350" t="str">
        <f>".2"</f>
        <v>.2</v>
      </c>
      <c r="C131" s="351" t="s">
        <v>359</v>
      </c>
      <c r="D131" s="352"/>
      <c r="E131" s="353"/>
      <c r="F131" s="354"/>
      <c r="G131" s="1767" t="str">
        <f>IF(AND('Level D Scoring'!E131="",'Level D Scoring'!G131=""),"",MAX('Level D Scoring'!E131,'Level D Scoring'!G131))</f>
        <v/>
      </c>
      <c r="H131" s="354"/>
      <c r="I131" s="353"/>
      <c r="J131" s="354"/>
      <c r="K131" s="353"/>
      <c r="L131" s="354"/>
      <c r="M131" s="349" t="str">
        <f t="shared" si="5"/>
        <v/>
      </c>
      <c r="N131" s="354"/>
      <c r="O131" s="355"/>
      <c r="Q131" s="356" t="str">
        <f>IF(T131&gt;0,T131,"")</f>
        <v/>
      </c>
      <c r="R131" s="346" t="str">
        <f>IF(E131="","",IF(E131&gt;Dictionary!$I$52,"Pass","Fail"))</f>
        <v/>
      </c>
      <c r="T131" s="349" t="str">
        <f>Scoring!U138</f>
        <v/>
      </c>
      <c r="V131" s="2376"/>
      <c r="W131" s="2377"/>
      <c r="X131" s="2377"/>
      <c r="Y131" s="2377"/>
      <c r="Z131" s="2378"/>
      <c r="AA131" s="348"/>
      <c r="AB131" s="348"/>
      <c r="AC131" s="348"/>
      <c r="AD131" s="348"/>
      <c r="AE131" s="349"/>
      <c r="AF131" s="349"/>
    </row>
    <row r="132" spans="2:32" ht="36" hidden="1" customHeight="1">
      <c r="B132" s="350" t="str">
        <f>".3"</f>
        <v>.3</v>
      </c>
      <c r="C132" s="351" t="s">
        <v>358</v>
      </c>
      <c r="D132" s="352"/>
      <c r="E132" s="353"/>
      <c r="F132" s="354"/>
      <c r="G132" s="1767" t="str">
        <f>IF(AND('Level D Scoring'!E132="",'Level D Scoring'!G132=""),"",MAX('Level D Scoring'!E132,'Level D Scoring'!G132))</f>
        <v/>
      </c>
      <c r="H132" s="354"/>
      <c r="I132" s="353"/>
      <c r="J132" s="354"/>
      <c r="K132" s="353"/>
      <c r="L132" s="354"/>
      <c r="M132" s="349" t="str">
        <f t="shared" si="5"/>
        <v/>
      </c>
      <c r="N132" s="354"/>
      <c r="O132" s="355"/>
      <c r="Q132" s="356" t="str">
        <f>IF(T132&gt;0,T132,"")</f>
        <v/>
      </c>
      <c r="R132" s="346" t="str">
        <f>IF(E132="","",IF(E132&gt;Dictionary!$I$52,"Pass","Fail"))</f>
        <v/>
      </c>
      <c r="T132" s="349" t="str">
        <f>Scoring!U139</f>
        <v/>
      </c>
      <c r="V132" s="2376"/>
      <c r="W132" s="2377"/>
      <c r="X132" s="2377"/>
      <c r="Y132" s="2377"/>
      <c r="Z132" s="2378"/>
      <c r="AA132" s="348"/>
      <c r="AB132" s="348"/>
      <c r="AC132" s="348"/>
      <c r="AD132" s="348"/>
      <c r="AE132" s="349"/>
      <c r="AF132" s="349"/>
    </row>
    <row r="133" spans="2:32" ht="18" hidden="1" customHeight="1">
      <c r="B133" s="350" t="str">
        <f>".4"</f>
        <v>.4</v>
      </c>
      <c r="C133" s="351" t="s">
        <v>357</v>
      </c>
      <c r="D133" s="352"/>
      <c r="E133" s="353"/>
      <c r="F133" s="354"/>
      <c r="G133" s="1767" t="str">
        <f>IF(AND('Level D Scoring'!E133="",'Level D Scoring'!G133=""),"",MAX('Level D Scoring'!E133,'Level D Scoring'!G133))</f>
        <v/>
      </c>
      <c r="H133" s="354"/>
      <c r="I133" s="353"/>
      <c r="J133" s="354"/>
      <c r="K133" s="353"/>
      <c r="L133" s="354"/>
      <c r="M133" s="349" t="str">
        <f t="shared" si="5"/>
        <v/>
      </c>
      <c r="N133" s="354"/>
      <c r="O133" s="355"/>
      <c r="Q133" s="356" t="str">
        <f>IF(T133&gt;0,T133,"")</f>
        <v/>
      </c>
      <c r="R133" s="346" t="str">
        <f>IF(E133="","",IF(E133&gt;Dictionary!$I$52,"Pass","Fail"))</f>
        <v/>
      </c>
      <c r="T133" s="349" t="str">
        <f>Scoring!U140</f>
        <v/>
      </c>
      <c r="V133" s="2376"/>
      <c r="W133" s="2377"/>
      <c r="X133" s="2377"/>
      <c r="Y133" s="2377"/>
      <c r="Z133" s="2378"/>
      <c r="AA133" s="348"/>
      <c r="AB133" s="348"/>
      <c r="AC133" s="348"/>
      <c r="AD133" s="348"/>
      <c r="AE133" s="349"/>
      <c r="AF133" s="349"/>
    </row>
    <row r="134" spans="2:32" ht="18" hidden="1" customHeight="1">
      <c r="B134" s="350" t="str">
        <f>".5"</f>
        <v>.5</v>
      </c>
      <c r="C134" s="351" t="s">
        <v>356</v>
      </c>
      <c r="D134" s="352"/>
      <c r="E134" s="353"/>
      <c r="F134" s="354"/>
      <c r="G134" s="1767" t="str">
        <f>IF(AND('Level D Scoring'!E134="",'Level D Scoring'!G134=""),"",MAX('Level D Scoring'!E134,'Level D Scoring'!G134))</f>
        <v/>
      </c>
      <c r="H134" s="354"/>
      <c r="I134" s="353"/>
      <c r="J134" s="354"/>
      <c r="K134" s="353"/>
      <c r="L134" s="354"/>
      <c r="M134" s="349" t="str">
        <f t="shared" si="5"/>
        <v/>
      </c>
      <c r="N134" s="354"/>
      <c r="O134" s="355"/>
      <c r="Q134" s="356" t="str">
        <f>IF(T134&gt;0,T134,"")</f>
        <v/>
      </c>
      <c r="R134" s="346" t="str">
        <f>IF(E134="","",IF(E134&gt;Dictionary!$I$52,"Pass","Fail"))</f>
        <v/>
      </c>
      <c r="T134" s="349" t="str">
        <f>Scoring!U141</f>
        <v/>
      </c>
      <c r="V134" s="2376"/>
      <c r="W134" s="2377"/>
      <c r="X134" s="2377"/>
      <c r="Y134" s="2377"/>
      <c r="Z134" s="2378"/>
      <c r="AA134" s="348"/>
      <c r="AB134" s="348"/>
      <c r="AC134" s="348"/>
      <c r="AD134" s="348"/>
      <c r="AE134" s="349"/>
      <c r="AF134" s="349"/>
    </row>
    <row r="135" spans="2:32" ht="20" customHeight="1">
      <c r="B135" s="341" t="s">
        <v>355</v>
      </c>
      <c r="C135" s="342" t="str">
        <f>Dictionary!B1430</f>
        <v>Kosten &amp; Finanzierung</v>
      </c>
      <c r="D135" s="343"/>
      <c r="E135" s="353"/>
      <c r="F135" s="315"/>
      <c r="G135" s="1767" t="str">
        <f>IF(AND('Level D Scoring'!E135="",'Level D Scoring'!G135=""),"",MAX('Level D Scoring'!E135,'Level D Scoring'!G135))</f>
        <v/>
      </c>
      <c r="H135" s="360"/>
      <c r="I135" s="359"/>
      <c r="J135" s="360"/>
      <c r="K135" s="359"/>
      <c r="L135" s="315"/>
      <c r="M135" s="359"/>
      <c r="N135" s="360"/>
      <c r="O135" s="359"/>
      <c r="Q135" s="356"/>
      <c r="R135" s="346" t="str">
        <f>IF(E135="","",IF(E135&gt;Dictionary!$I$52,"Pass","Fail"))</f>
        <v/>
      </c>
      <c r="T135" s="428">
        <f>COUNTIF(T136:T140,"&gt;3")/AE135</f>
        <v>0</v>
      </c>
      <c r="V135" s="2376"/>
      <c r="W135" s="2377"/>
      <c r="X135" s="2377"/>
      <c r="Y135" s="2377"/>
      <c r="Z135" s="2378"/>
      <c r="AA135" s="348"/>
      <c r="AB135" s="348"/>
      <c r="AC135" s="348"/>
      <c r="AD135" s="348"/>
      <c r="AE135" s="349">
        <v>5</v>
      </c>
      <c r="AF135" s="349">
        <f>ROUNDUP(AE135/2,0)</f>
        <v>3</v>
      </c>
    </row>
    <row r="136" spans="2:32" ht="18" hidden="1" customHeight="1">
      <c r="B136" s="350" t="str">
        <f>".1"</f>
        <v>.1</v>
      </c>
      <c r="C136" s="351" t="s">
        <v>354</v>
      </c>
      <c r="D136" s="352"/>
      <c r="E136" s="353"/>
      <c r="F136" s="354"/>
      <c r="G136" s="1767" t="str">
        <f>IF(AND('Level D Scoring'!E136="",'Level D Scoring'!G136=""),"",MAX('Level D Scoring'!E136,'Level D Scoring'!G136))</f>
        <v/>
      </c>
      <c r="H136" s="354"/>
      <c r="I136" s="353"/>
      <c r="J136" s="354"/>
      <c r="K136" s="353"/>
      <c r="L136" s="354"/>
      <c r="M136" s="349" t="str">
        <f t="shared" si="5"/>
        <v/>
      </c>
      <c r="N136" s="354"/>
      <c r="O136" s="355"/>
      <c r="Q136" s="356" t="str">
        <f>IF(T136&gt;0,T136,"")</f>
        <v/>
      </c>
      <c r="R136" s="346" t="str">
        <f>IF(E136="","",IF(E136&gt;Dictionary!$I$52,"Pass","Fail"))</f>
        <v/>
      </c>
      <c r="T136" s="349" t="str">
        <f>Scoring!U143</f>
        <v/>
      </c>
      <c r="V136" s="2376"/>
      <c r="W136" s="2377"/>
      <c r="X136" s="2377"/>
      <c r="Y136" s="2377"/>
      <c r="Z136" s="2378"/>
      <c r="AA136" s="348"/>
      <c r="AB136" s="348"/>
      <c r="AC136" s="348"/>
      <c r="AD136" s="348"/>
      <c r="AE136" s="349"/>
      <c r="AF136" s="349"/>
    </row>
    <row r="137" spans="2:32" ht="18" hidden="1" customHeight="1">
      <c r="B137" s="350" t="str">
        <f>".2"</f>
        <v>.2</v>
      </c>
      <c r="C137" s="351" t="s">
        <v>353</v>
      </c>
      <c r="D137" s="352"/>
      <c r="E137" s="353"/>
      <c r="F137" s="354"/>
      <c r="G137" s="1767" t="str">
        <f>IF(AND('Level D Scoring'!E137="",'Level D Scoring'!G137=""),"",MAX('Level D Scoring'!E137,'Level D Scoring'!G137))</f>
        <v/>
      </c>
      <c r="H137" s="354"/>
      <c r="I137" s="353"/>
      <c r="J137" s="354"/>
      <c r="K137" s="353"/>
      <c r="L137" s="354"/>
      <c r="M137" s="349" t="str">
        <f t="shared" si="5"/>
        <v/>
      </c>
      <c r="N137" s="354"/>
      <c r="O137" s="355"/>
      <c r="Q137" s="356" t="str">
        <f>IF(T137&gt;0,T137,"")</f>
        <v/>
      </c>
      <c r="R137" s="346" t="str">
        <f>IF(E137="","",IF(E137&gt;Dictionary!$I$52,"Pass","Fail"))</f>
        <v/>
      </c>
      <c r="T137" s="349" t="str">
        <f>Scoring!U144</f>
        <v/>
      </c>
      <c r="V137" s="2376"/>
      <c r="W137" s="2377"/>
      <c r="X137" s="2377"/>
      <c r="Y137" s="2377"/>
      <c r="Z137" s="2378"/>
      <c r="AA137" s="348"/>
      <c r="AB137" s="348"/>
      <c r="AC137" s="348"/>
      <c r="AD137" s="348"/>
      <c r="AE137" s="349"/>
      <c r="AF137" s="349"/>
    </row>
    <row r="138" spans="2:32" ht="18" hidden="1" customHeight="1">
      <c r="B138" s="350" t="str">
        <f>".3"</f>
        <v>.3</v>
      </c>
      <c r="C138" s="351" t="s">
        <v>352</v>
      </c>
      <c r="D138" s="352"/>
      <c r="E138" s="353"/>
      <c r="F138" s="354"/>
      <c r="G138" s="1767" t="str">
        <f>IF(AND('Level D Scoring'!E138="",'Level D Scoring'!G138=""),"",MAX('Level D Scoring'!E138,'Level D Scoring'!G138))</f>
        <v/>
      </c>
      <c r="H138" s="354"/>
      <c r="I138" s="353"/>
      <c r="J138" s="354"/>
      <c r="K138" s="353"/>
      <c r="L138" s="354"/>
      <c r="M138" s="349" t="str">
        <f t="shared" si="5"/>
        <v/>
      </c>
      <c r="N138" s="354"/>
      <c r="O138" s="355"/>
      <c r="Q138" s="356" t="str">
        <f>IF(T138&gt;0,T138,"")</f>
        <v/>
      </c>
      <c r="R138" s="346" t="str">
        <f>IF(E138="","",IF(E138&gt;Dictionary!$I$52,"Pass","Fail"))</f>
        <v/>
      </c>
      <c r="T138" s="349" t="str">
        <f>Scoring!U145</f>
        <v/>
      </c>
      <c r="V138" s="2376"/>
      <c r="W138" s="2377"/>
      <c r="X138" s="2377"/>
      <c r="Y138" s="2377"/>
      <c r="Z138" s="2378"/>
      <c r="AA138" s="348"/>
      <c r="AB138" s="348"/>
      <c r="AC138" s="348"/>
      <c r="AD138" s="348"/>
      <c r="AE138" s="349"/>
      <c r="AF138" s="349"/>
    </row>
    <row r="139" spans="2:32" ht="24" hidden="1" customHeight="1">
      <c r="B139" s="350" t="str">
        <f>".4"</f>
        <v>.4</v>
      </c>
      <c r="C139" s="351" t="s">
        <v>351</v>
      </c>
      <c r="D139" s="352"/>
      <c r="E139" s="353"/>
      <c r="F139" s="354"/>
      <c r="G139" s="1767" t="str">
        <f>IF(AND('Level D Scoring'!E139="",'Level D Scoring'!G139=""),"",MAX('Level D Scoring'!E139,'Level D Scoring'!G139))</f>
        <v/>
      </c>
      <c r="H139" s="354"/>
      <c r="I139" s="353"/>
      <c r="J139" s="354"/>
      <c r="K139" s="353"/>
      <c r="L139" s="354"/>
      <c r="M139" s="349" t="str">
        <f t="shared" si="5"/>
        <v/>
      </c>
      <c r="N139" s="354"/>
      <c r="O139" s="355"/>
      <c r="Q139" s="356" t="str">
        <f>IF(T139&gt;0,T139,"")</f>
        <v/>
      </c>
      <c r="R139" s="346" t="str">
        <f>IF(E139="","",IF(E139&gt;Dictionary!$I$52,"Pass","Fail"))</f>
        <v/>
      </c>
      <c r="T139" s="349" t="str">
        <f>Scoring!U146</f>
        <v/>
      </c>
      <c r="V139" s="2376"/>
      <c r="W139" s="2377"/>
      <c r="X139" s="2377"/>
      <c r="Y139" s="2377"/>
      <c r="Z139" s="2378"/>
      <c r="AA139" s="348"/>
      <c r="AB139" s="348"/>
      <c r="AC139" s="348"/>
      <c r="AD139" s="348"/>
      <c r="AE139" s="349"/>
      <c r="AF139" s="349"/>
    </row>
    <row r="140" spans="2:32" ht="24" hidden="1" customHeight="1">
      <c r="B140" s="350" t="str">
        <f>".5"</f>
        <v>.5</v>
      </c>
      <c r="C140" s="351" t="s">
        <v>350</v>
      </c>
      <c r="D140" s="352"/>
      <c r="E140" s="353"/>
      <c r="F140" s="354"/>
      <c r="G140" s="1767" t="str">
        <f>IF(AND('Level D Scoring'!E140="",'Level D Scoring'!G140=""),"",MAX('Level D Scoring'!E140,'Level D Scoring'!G140))</f>
        <v/>
      </c>
      <c r="H140" s="354"/>
      <c r="I140" s="353"/>
      <c r="J140" s="354"/>
      <c r="K140" s="353"/>
      <c r="L140" s="354"/>
      <c r="M140" s="349" t="str">
        <f t="shared" si="5"/>
        <v/>
      </c>
      <c r="N140" s="354"/>
      <c r="O140" s="355"/>
      <c r="Q140" s="356" t="str">
        <f>IF(T140&gt;0,T140,"")</f>
        <v/>
      </c>
      <c r="R140" s="346" t="str">
        <f>IF(E140="","",IF(E140&gt;Dictionary!$I$52,"Pass","Fail"))</f>
        <v/>
      </c>
      <c r="T140" s="349" t="str">
        <f>Scoring!U147</f>
        <v/>
      </c>
      <c r="V140" s="2376"/>
      <c r="W140" s="2377"/>
      <c r="X140" s="2377"/>
      <c r="Y140" s="2377"/>
      <c r="Z140" s="2378"/>
      <c r="AA140" s="348"/>
      <c r="AB140" s="348"/>
      <c r="AC140" s="348"/>
      <c r="AD140" s="348"/>
      <c r="AE140" s="349"/>
      <c r="AF140" s="349"/>
    </row>
    <row r="141" spans="2:32" ht="20" customHeight="1">
      <c r="B141" s="341" t="s">
        <v>349</v>
      </c>
      <c r="C141" s="342" t="str">
        <f>Dictionary!B1438</f>
        <v>Ressourcen</v>
      </c>
      <c r="D141" s="343"/>
      <c r="E141" s="353"/>
      <c r="F141" s="315"/>
      <c r="G141" s="1767" t="str">
        <f>IF(AND('Level D Scoring'!E141="",'Level D Scoring'!G141=""),"",MAX('Level D Scoring'!E141,'Level D Scoring'!G141))</f>
        <v/>
      </c>
      <c r="H141" s="360"/>
      <c r="I141" s="359"/>
      <c r="J141" s="360"/>
      <c r="K141" s="359"/>
      <c r="L141" s="315"/>
      <c r="M141" s="359"/>
      <c r="N141" s="360"/>
      <c r="O141" s="359"/>
      <c r="Q141" s="356"/>
      <c r="R141" s="346" t="str">
        <f>IF(E141="","",IF(E141&gt;Dictionary!$I$52,"Pass","Fail"))</f>
        <v/>
      </c>
      <c r="T141" s="428">
        <f>COUNTIF(T142:T146,"&gt;3")/AE141</f>
        <v>0</v>
      </c>
      <c r="V141" s="2376"/>
      <c r="W141" s="2377"/>
      <c r="X141" s="2377"/>
      <c r="Y141" s="2377"/>
      <c r="Z141" s="2378"/>
      <c r="AA141" s="348"/>
      <c r="AB141" s="348"/>
      <c r="AC141" s="348"/>
      <c r="AD141" s="348"/>
      <c r="AE141" s="349">
        <v>5</v>
      </c>
      <c r="AF141" s="349">
        <f>ROUNDUP(AE141/2,0)</f>
        <v>3</v>
      </c>
    </row>
    <row r="142" spans="2:32" ht="18" hidden="1" customHeight="1">
      <c r="B142" s="350" t="str">
        <f>".1"</f>
        <v>.1</v>
      </c>
      <c r="C142" s="351" t="s">
        <v>348</v>
      </c>
      <c r="D142" s="352"/>
      <c r="E142" s="353"/>
      <c r="F142" s="354"/>
      <c r="G142" s="1767" t="str">
        <f>IF(AND('Level D Scoring'!E142="",'Level D Scoring'!G142=""),"",MAX('Level D Scoring'!E142,'Level D Scoring'!G142))</f>
        <v/>
      </c>
      <c r="H142" s="354"/>
      <c r="I142" s="353"/>
      <c r="J142" s="354"/>
      <c r="K142" s="353"/>
      <c r="L142" s="354"/>
      <c r="M142" s="349" t="str">
        <f t="shared" si="5"/>
        <v/>
      </c>
      <c r="N142" s="354"/>
      <c r="O142" s="355"/>
      <c r="Q142" s="356" t="str">
        <f>IF(T142&gt;0,T142,"")</f>
        <v/>
      </c>
      <c r="R142" s="346" t="str">
        <f>IF(E142="","",IF(E142&gt;Dictionary!$I$52,"Pass","Fail"))</f>
        <v/>
      </c>
      <c r="T142" s="349" t="str">
        <f>Scoring!U149</f>
        <v/>
      </c>
      <c r="V142" s="2376"/>
      <c r="W142" s="2377"/>
      <c r="X142" s="2377"/>
      <c r="Y142" s="2377"/>
      <c r="Z142" s="2378"/>
      <c r="AA142" s="348"/>
      <c r="AB142" s="348"/>
      <c r="AC142" s="348"/>
      <c r="AD142" s="348"/>
      <c r="AE142" s="349"/>
      <c r="AF142" s="349"/>
    </row>
    <row r="143" spans="2:32" ht="18" hidden="1" customHeight="1">
      <c r="B143" s="350" t="str">
        <f>".2"</f>
        <v>.2</v>
      </c>
      <c r="C143" s="351" t="s">
        <v>347</v>
      </c>
      <c r="D143" s="352"/>
      <c r="E143" s="353"/>
      <c r="F143" s="354"/>
      <c r="G143" s="1767" t="str">
        <f>IF(AND('Level D Scoring'!E143="",'Level D Scoring'!G143=""),"",MAX('Level D Scoring'!E143,'Level D Scoring'!G143))</f>
        <v/>
      </c>
      <c r="H143" s="354"/>
      <c r="I143" s="353"/>
      <c r="J143" s="354"/>
      <c r="K143" s="353"/>
      <c r="L143" s="354"/>
      <c r="M143" s="349" t="str">
        <f t="shared" si="5"/>
        <v/>
      </c>
      <c r="N143" s="354"/>
      <c r="O143" s="355"/>
      <c r="Q143" s="356" t="str">
        <f>IF(T143&gt;0,T143,"")</f>
        <v/>
      </c>
      <c r="R143" s="346" t="str">
        <f>IF(E143="","",IF(E143&gt;Dictionary!$I$52,"Pass","Fail"))</f>
        <v/>
      </c>
      <c r="T143" s="349" t="str">
        <f>Scoring!U150</f>
        <v/>
      </c>
      <c r="V143" s="2376"/>
      <c r="W143" s="2377"/>
      <c r="X143" s="2377"/>
      <c r="Y143" s="2377"/>
      <c r="Z143" s="2378"/>
      <c r="AA143" s="348"/>
      <c r="AB143" s="348"/>
      <c r="AC143" s="348"/>
      <c r="AD143" s="348"/>
      <c r="AE143" s="349"/>
      <c r="AF143" s="349"/>
    </row>
    <row r="144" spans="2:32" ht="24" hidden="1" customHeight="1">
      <c r="B144" s="350" t="str">
        <f>".3"</f>
        <v>.3</v>
      </c>
      <c r="C144" s="351" t="s">
        <v>346</v>
      </c>
      <c r="D144" s="352"/>
      <c r="E144" s="353"/>
      <c r="F144" s="354"/>
      <c r="G144" s="1767" t="str">
        <f>IF(AND('Level D Scoring'!E144="",'Level D Scoring'!G144=""),"",MAX('Level D Scoring'!E144,'Level D Scoring'!G144))</f>
        <v/>
      </c>
      <c r="H144" s="354"/>
      <c r="I144" s="353"/>
      <c r="J144" s="354"/>
      <c r="K144" s="353"/>
      <c r="L144" s="354"/>
      <c r="M144" s="349" t="str">
        <f t="shared" si="5"/>
        <v/>
      </c>
      <c r="N144" s="354"/>
      <c r="O144" s="355"/>
      <c r="Q144" s="356" t="str">
        <f>IF(T144&gt;0,T144,"")</f>
        <v/>
      </c>
      <c r="R144" s="346" t="str">
        <f>IF(E144="","",IF(E144&gt;Dictionary!$I$52,"Pass","Fail"))</f>
        <v/>
      </c>
      <c r="T144" s="349" t="str">
        <f>Scoring!U151</f>
        <v/>
      </c>
      <c r="V144" s="2376"/>
      <c r="W144" s="2377"/>
      <c r="X144" s="2377"/>
      <c r="Y144" s="2377"/>
      <c r="Z144" s="2378"/>
      <c r="AA144" s="348"/>
      <c r="AB144" s="348"/>
      <c r="AC144" s="348"/>
      <c r="AD144" s="348"/>
      <c r="AE144" s="349"/>
      <c r="AF144" s="349"/>
    </row>
    <row r="145" spans="2:32" ht="18" hidden="1" customHeight="1">
      <c r="B145" s="350" t="str">
        <f>".4"</f>
        <v>.4</v>
      </c>
      <c r="C145" s="351" t="s">
        <v>345</v>
      </c>
      <c r="D145" s="352"/>
      <c r="E145" s="353"/>
      <c r="F145" s="354"/>
      <c r="G145" s="1767" t="str">
        <f>IF(AND('Level D Scoring'!E145="",'Level D Scoring'!G145=""),"",MAX('Level D Scoring'!E145,'Level D Scoring'!G145))</f>
        <v/>
      </c>
      <c r="H145" s="354"/>
      <c r="I145" s="353"/>
      <c r="J145" s="354"/>
      <c r="K145" s="353"/>
      <c r="L145" s="354"/>
      <c r="M145" s="349" t="str">
        <f t="shared" si="5"/>
        <v/>
      </c>
      <c r="N145" s="354"/>
      <c r="O145" s="355"/>
      <c r="Q145" s="356" t="str">
        <f>IF(T145&gt;0,T145,"")</f>
        <v/>
      </c>
      <c r="R145" s="346" t="str">
        <f>IF(E145="","",IF(E145&gt;Dictionary!$I$52,"Pass","Fail"))</f>
        <v/>
      </c>
      <c r="T145" s="349" t="str">
        <f>Scoring!U152</f>
        <v/>
      </c>
      <c r="V145" s="2376"/>
      <c r="W145" s="2377"/>
      <c r="X145" s="2377"/>
      <c r="Y145" s="2377"/>
      <c r="Z145" s="2378"/>
      <c r="AA145" s="348"/>
      <c r="AB145" s="348"/>
      <c r="AC145" s="348"/>
      <c r="AD145" s="348"/>
      <c r="AE145" s="349"/>
      <c r="AF145" s="349"/>
    </row>
    <row r="146" spans="2:32" ht="24" hidden="1" customHeight="1">
      <c r="B146" s="350" t="str">
        <f>".5"</f>
        <v>.5</v>
      </c>
      <c r="C146" s="351" t="s">
        <v>344</v>
      </c>
      <c r="D146" s="352"/>
      <c r="E146" s="353"/>
      <c r="F146" s="354"/>
      <c r="G146" s="1767" t="str">
        <f>IF(AND('Level D Scoring'!E146="",'Level D Scoring'!G146=""),"",MAX('Level D Scoring'!E146,'Level D Scoring'!G146))</f>
        <v/>
      </c>
      <c r="H146" s="354"/>
      <c r="I146" s="353"/>
      <c r="J146" s="354"/>
      <c r="K146" s="353"/>
      <c r="L146" s="354"/>
      <c r="M146" s="349" t="str">
        <f t="shared" si="5"/>
        <v/>
      </c>
      <c r="N146" s="354"/>
      <c r="O146" s="355"/>
      <c r="Q146" s="356" t="str">
        <f>IF(T146&gt;0,T146,"")</f>
        <v/>
      </c>
      <c r="R146" s="346" t="str">
        <f>IF(E146="","",IF(E146&gt;Dictionary!$I$52,"Pass","Fail"))</f>
        <v/>
      </c>
      <c r="T146" s="349" t="str">
        <f>Scoring!U153</f>
        <v/>
      </c>
      <c r="V146" s="2376"/>
      <c r="W146" s="2377"/>
      <c r="X146" s="2377"/>
      <c r="Y146" s="2377"/>
      <c r="Z146" s="2378"/>
      <c r="AA146" s="348"/>
      <c r="AB146" s="348"/>
      <c r="AC146" s="348"/>
      <c r="AD146" s="348"/>
      <c r="AE146" s="349"/>
      <c r="AF146" s="349"/>
    </row>
    <row r="147" spans="2:32" ht="20" customHeight="1">
      <c r="B147" s="341" t="s">
        <v>343</v>
      </c>
      <c r="C147" s="342" t="str">
        <f>Dictionary!B1446</f>
        <v>Beschaffung</v>
      </c>
      <c r="D147" s="343"/>
      <c r="E147" s="353"/>
      <c r="F147" s="315"/>
      <c r="G147" s="1767" t="str">
        <f>IF(AND('Level D Scoring'!E147="",'Level D Scoring'!G147=""),"",MAX('Level D Scoring'!E147,'Level D Scoring'!G147))</f>
        <v/>
      </c>
      <c r="H147" s="360"/>
      <c r="I147" s="359"/>
      <c r="J147" s="360"/>
      <c r="K147" s="359"/>
      <c r="L147" s="315"/>
      <c r="M147" s="359"/>
      <c r="N147" s="360"/>
      <c r="O147" s="359"/>
      <c r="Q147" s="356"/>
      <c r="R147" s="346" t="str">
        <f>IF(E147="","",IF(E147&gt;Dictionary!$I$52,"Pass","Fail"))</f>
        <v/>
      </c>
      <c r="T147" s="428">
        <f>COUNTIF(T148:T151,"&gt;3")/AE147</f>
        <v>0</v>
      </c>
      <c r="V147" s="2376"/>
      <c r="W147" s="2377"/>
      <c r="X147" s="2377"/>
      <c r="Y147" s="2377"/>
      <c r="Z147" s="2378"/>
      <c r="AA147" s="348"/>
      <c r="AB147" s="348"/>
      <c r="AC147" s="348"/>
      <c r="AD147" s="348"/>
      <c r="AE147" s="349">
        <v>4</v>
      </c>
      <c r="AF147" s="349">
        <f>ROUNDUP(AE147/2,0)</f>
        <v>2</v>
      </c>
    </row>
    <row r="148" spans="2:32" ht="18" hidden="1" customHeight="1">
      <c r="B148" s="350" t="str">
        <f>".1"</f>
        <v>.1</v>
      </c>
      <c r="C148" s="351" t="s">
        <v>342</v>
      </c>
      <c r="D148" s="352"/>
      <c r="E148" s="353"/>
      <c r="F148" s="354"/>
      <c r="G148" s="1767" t="str">
        <f>IF(AND('Level D Scoring'!E148="",'Level D Scoring'!G148=""),"",MAX('Level D Scoring'!E148,'Level D Scoring'!G148))</f>
        <v/>
      </c>
      <c r="H148" s="354"/>
      <c r="I148" s="353"/>
      <c r="J148" s="354"/>
      <c r="K148" s="353"/>
      <c r="L148" s="354"/>
      <c r="M148" s="349" t="str">
        <f t="shared" si="5"/>
        <v/>
      </c>
      <c r="N148" s="354"/>
      <c r="O148" s="355"/>
      <c r="Q148" s="356" t="str">
        <f>IF(T148&gt;0,T148,"")</f>
        <v/>
      </c>
      <c r="R148" s="346" t="str">
        <f>IF(E148="","",IF(E148&gt;Dictionary!$I$52,"Pass","Fail"))</f>
        <v/>
      </c>
      <c r="T148" s="349" t="str">
        <f>Scoring!U155</f>
        <v/>
      </c>
      <c r="V148" s="2376"/>
      <c r="W148" s="2377"/>
      <c r="X148" s="2377"/>
      <c r="Y148" s="2377"/>
      <c r="Z148" s="2378"/>
      <c r="AA148" s="348"/>
      <c r="AB148" s="348"/>
      <c r="AC148" s="348"/>
      <c r="AD148" s="348"/>
      <c r="AE148" s="349"/>
      <c r="AF148" s="349"/>
    </row>
    <row r="149" spans="2:32" ht="24" hidden="1" customHeight="1">
      <c r="B149" s="350" t="str">
        <f>".2"</f>
        <v>.2</v>
      </c>
      <c r="C149" s="351" t="s">
        <v>341</v>
      </c>
      <c r="D149" s="352"/>
      <c r="E149" s="353"/>
      <c r="F149" s="354"/>
      <c r="G149" s="1767" t="str">
        <f>IF(AND('Level D Scoring'!E149="",'Level D Scoring'!G149=""),"",MAX('Level D Scoring'!E149,'Level D Scoring'!G149))</f>
        <v/>
      </c>
      <c r="H149" s="354"/>
      <c r="I149" s="353"/>
      <c r="J149" s="354"/>
      <c r="K149" s="353"/>
      <c r="L149" s="354"/>
      <c r="M149" s="349" t="str">
        <f t="shared" si="5"/>
        <v/>
      </c>
      <c r="N149" s="354"/>
      <c r="O149" s="355"/>
      <c r="Q149" s="356" t="str">
        <f>IF(T149&gt;0,T149,"")</f>
        <v/>
      </c>
      <c r="R149" s="346" t="str">
        <f>IF(E149="","",IF(E149&gt;Dictionary!$I$52,"Pass","Fail"))</f>
        <v/>
      </c>
      <c r="T149" s="349" t="str">
        <f>Scoring!U156</f>
        <v/>
      </c>
      <c r="V149" s="2376"/>
      <c r="W149" s="2377"/>
      <c r="X149" s="2377"/>
      <c r="Y149" s="2377"/>
      <c r="Z149" s="2378"/>
      <c r="AA149" s="348"/>
      <c r="AB149" s="348"/>
      <c r="AC149" s="348"/>
      <c r="AD149" s="348"/>
      <c r="AE149" s="349"/>
      <c r="AF149" s="349"/>
    </row>
    <row r="150" spans="2:32" ht="24" hidden="1" customHeight="1">
      <c r="B150" s="350" t="str">
        <f>".3"</f>
        <v>.3</v>
      </c>
      <c r="C150" s="351" t="s">
        <v>340</v>
      </c>
      <c r="D150" s="352"/>
      <c r="E150" s="353"/>
      <c r="F150" s="354"/>
      <c r="G150" s="1767" t="str">
        <f>IF(AND('Level D Scoring'!E150="",'Level D Scoring'!G150=""),"",MAX('Level D Scoring'!E150,'Level D Scoring'!G150))</f>
        <v/>
      </c>
      <c r="H150" s="354"/>
      <c r="I150" s="353"/>
      <c r="J150" s="354"/>
      <c r="K150" s="353"/>
      <c r="L150" s="354"/>
      <c r="M150" s="349" t="str">
        <f t="shared" si="5"/>
        <v/>
      </c>
      <c r="N150" s="354"/>
      <c r="O150" s="355"/>
      <c r="Q150" s="356" t="str">
        <f>IF(T150&gt;0,T150,"")</f>
        <v/>
      </c>
      <c r="R150" s="346" t="str">
        <f>IF(E150="","",IF(E150&gt;Dictionary!$I$52,"Pass","Fail"))</f>
        <v/>
      </c>
      <c r="T150" s="349" t="str">
        <f>Scoring!U157</f>
        <v/>
      </c>
      <c r="V150" s="2376"/>
      <c r="W150" s="2377"/>
      <c r="X150" s="2377"/>
      <c r="Y150" s="2377"/>
      <c r="Z150" s="2378"/>
      <c r="AA150" s="348"/>
      <c r="AB150" s="348"/>
      <c r="AC150" s="348"/>
      <c r="AD150" s="348"/>
      <c r="AE150" s="349"/>
      <c r="AF150" s="349"/>
    </row>
    <row r="151" spans="2:32" ht="24" hidden="1" customHeight="1">
      <c r="B151" s="350" t="str">
        <f>".4"</f>
        <v>.4</v>
      </c>
      <c r="C151" s="351" t="s">
        <v>339</v>
      </c>
      <c r="D151" s="352"/>
      <c r="E151" s="353"/>
      <c r="F151" s="354"/>
      <c r="G151" s="1767" t="str">
        <f>IF(AND('Level D Scoring'!E151="",'Level D Scoring'!G151=""),"",MAX('Level D Scoring'!E151,'Level D Scoring'!G151))</f>
        <v/>
      </c>
      <c r="H151" s="354"/>
      <c r="I151" s="353"/>
      <c r="J151" s="354"/>
      <c r="K151" s="353"/>
      <c r="L151" s="354"/>
      <c r="M151" s="349" t="str">
        <f t="shared" si="5"/>
        <v/>
      </c>
      <c r="N151" s="354"/>
      <c r="O151" s="355"/>
      <c r="Q151" s="356" t="str">
        <f>IF(T151&gt;0,T151,"")</f>
        <v/>
      </c>
      <c r="R151" s="346" t="str">
        <f>IF(E151="","",IF(E151&gt;Dictionary!$I$52,"Pass","Fail"))</f>
        <v/>
      </c>
      <c r="T151" s="349" t="str">
        <f>Scoring!U158</f>
        <v/>
      </c>
      <c r="V151" s="2376"/>
      <c r="W151" s="2377"/>
      <c r="X151" s="2377"/>
      <c r="Y151" s="2377"/>
      <c r="Z151" s="2378"/>
      <c r="AA151" s="348"/>
      <c r="AB151" s="348"/>
      <c r="AC151" s="348"/>
      <c r="AD151" s="348"/>
      <c r="AE151" s="349"/>
      <c r="AF151" s="349"/>
    </row>
    <row r="152" spans="2:32" ht="20" customHeight="1">
      <c r="B152" s="341" t="s">
        <v>338</v>
      </c>
      <c r="C152" s="342" t="str">
        <f>Dictionary!B1453</f>
        <v>Planung und Steuerung</v>
      </c>
      <c r="D152" s="343"/>
      <c r="E152" s="353"/>
      <c r="F152" s="315"/>
      <c r="G152" s="1767" t="str">
        <f>IF(AND('Level D Scoring'!E152="",'Level D Scoring'!G152=""),"",MAX('Level D Scoring'!E152,'Level D Scoring'!G152))</f>
        <v/>
      </c>
      <c r="H152" s="360"/>
      <c r="I152" s="359"/>
      <c r="J152" s="360"/>
      <c r="K152" s="359"/>
      <c r="L152" s="315"/>
      <c r="M152" s="359"/>
      <c r="N152" s="360"/>
      <c r="O152" s="359"/>
      <c r="Q152" s="356"/>
      <c r="R152" s="346" t="str">
        <f>IF(E152="","",IF(E152&gt;Dictionary!$I$52,"Pass","Fail"))</f>
        <v/>
      </c>
      <c r="T152" s="428">
        <f>COUNTIF(T153:T158,"&gt;3")/AE152</f>
        <v>0</v>
      </c>
      <c r="V152" s="2376"/>
      <c r="W152" s="2377"/>
      <c r="X152" s="2377"/>
      <c r="Y152" s="2377"/>
      <c r="Z152" s="2378"/>
      <c r="AA152" s="348"/>
      <c r="AB152" s="348"/>
      <c r="AC152" s="348"/>
      <c r="AD152" s="369"/>
      <c r="AE152" s="349">
        <v>6</v>
      </c>
      <c r="AF152" s="349">
        <f>ROUNDUP(AE152/2,0)</f>
        <v>3</v>
      </c>
    </row>
    <row r="153" spans="2:32" ht="24" hidden="1" customHeight="1">
      <c r="B153" s="350" t="str">
        <f>".1"</f>
        <v>.1</v>
      </c>
      <c r="C153" s="351" t="s">
        <v>337</v>
      </c>
      <c r="D153" s="352"/>
      <c r="E153" s="353"/>
      <c r="F153" s="354"/>
      <c r="G153" s="1767" t="str">
        <f>IF(AND('Level D Scoring'!E153="",'Level D Scoring'!G153=""),"",MAX('Level D Scoring'!E153,'Level D Scoring'!G153))</f>
        <v/>
      </c>
      <c r="H153" s="354"/>
      <c r="I153" s="353"/>
      <c r="J153" s="354"/>
      <c r="K153" s="353"/>
      <c r="L153" s="354"/>
      <c r="M153" s="349" t="str">
        <f t="shared" si="5"/>
        <v/>
      </c>
      <c r="N153" s="354"/>
      <c r="O153" s="355"/>
      <c r="Q153" s="356" t="str">
        <f t="shared" ref="Q153:Q158" si="6">IF(T153&gt;0,T153,"")</f>
        <v/>
      </c>
      <c r="R153" s="346" t="str">
        <f>IF(E153="","",IF(E153&gt;Dictionary!$I$52,"Pass","Fail"))</f>
        <v/>
      </c>
      <c r="T153" s="349" t="str">
        <f>Scoring!U160</f>
        <v/>
      </c>
      <c r="V153" s="2376"/>
      <c r="W153" s="2377"/>
      <c r="X153" s="2377"/>
      <c r="Y153" s="2377"/>
      <c r="Z153" s="2378"/>
      <c r="AA153" s="348"/>
      <c r="AB153" s="348"/>
      <c r="AC153" s="348"/>
      <c r="AD153" s="348"/>
      <c r="AE153" s="349"/>
      <c r="AF153" s="349"/>
    </row>
    <row r="154" spans="2:32" ht="18" hidden="1" customHeight="1">
      <c r="B154" s="350" t="str">
        <f>".2"</f>
        <v>.2</v>
      </c>
      <c r="C154" s="351" t="s">
        <v>336</v>
      </c>
      <c r="D154" s="352"/>
      <c r="E154" s="353"/>
      <c r="F154" s="354"/>
      <c r="G154" s="1767" t="str">
        <f>IF(AND('Level D Scoring'!E154="",'Level D Scoring'!G154=""),"",MAX('Level D Scoring'!E154,'Level D Scoring'!G154))</f>
        <v/>
      </c>
      <c r="H154" s="354"/>
      <c r="I154" s="353"/>
      <c r="J154" s="354"/>
      <c r="K154" s="353"/>
      <c r="L154" s="354"/>
      <c r="M154" s="349" t="str">
        <f t="shared" si="5"/>
        <v/>
      </c>
      <c r="N154" s="354"/>
      <c r="O154" s="355"/>
      <c r="Q154" s="356" t="str">
        <f t="shared" si="6"/>
        <v/>
      </c>
      <c r="R154" s="346" t="str">
        <f>IF(E154="","",IF(E154&gt;Dictionary!$I$52,"Pass","Fail"))</f>
        <v/>
      </c>
      <c r="T154" s="349" t="str">
        <f>Scoring!U161</f>
        <v/>
      </c>
      <c r="V154" s="2376"/>
      <c r="W154" s="2377"/>
      <c r="X154" s="2377"/>
      <c r="Y154" s="2377"/>
      <c r="Z154" s="2378"/>
      <c r="AA154" s="348"/>
      <c r="AB154" s="348"/>
      <c r="AC154" s="348"/>
      <c r="AD154" s="348"/>
      <c r="AE154" s="349"/>
      <c r="AF154" s="349"/>
    </row>
    <row r="155" spans="2:32" ht="24" hidden="1" customHeight="1">
      <c r="B155" s="350" t="str">
        <f>".3"</f>
        <v>.3</v>
      </c>
      <c r="C155" s="351" t="s">
        <v>335</v>
      </c>
      <c r="D155" s="352"/>
      <c r="E155" s="353"/>
      <c r="F155" s="354"/>
      <c r="G155" s="1767" t="str">
        <f>IF(AND('Level D Scoring'!E155="",'Level D Scoring'!G155=""),"",MAX('Level D Scoring'!E155,'Level D Scoring'!G155))</f>
        <v/>
      </c>
      <c r="H155" s="354"/>
      <c r="I155" s="353"/>
      <c r="J155" s="354"/>
      <c r="K155" s="353"/>
      <c r="L155" s="354"/>
      <c r="M155" s="349" t="str">
        <f t="shared" si="5"/>
        <v/>
      </c>
      <c r="N155" s="354"/>
      <c r="O155" s="355"/>
      <c r="Q155" s="356" t="str">
        <f t="shared" si="6"/>
        <v/>
      </c>
      <c r="R155" s="346" t="str">
        <f>IF(E155="","",IF(E155&gt;Dictionary!$I$52,"Pass","Fail"))</f>
        <v/>
      </c>
      <c r="T155" s="349" t="str">
        <f>Scoring!U162</f>
        <v/>
      </c>
      <c r="V155" s="2376"/>
      <c r="W155" s="2377"/>
      <c r="X155" s="2377"/>
      <c r="Y155" s="2377"/>
      <c r="Z155" s="2378"/>
      <c r="AA155" s="348"/>
      <c r="AB155" s="348"/>
      <c r="AC155" s="348"/>
      <c r="AD155" s="348"/>
      <c r="AE155" s="349"/>
      <c r="AF155" s="349"/>
    </row>
    <row r="156" spans="2:32" ht="18" hidden="1" customHeight="1">
      <c r="B156" s="350" t="str">
        <f>".4"</f>
        <v>.4</v>
      </c>
      <c r="C156" s="351" t="s">
        <v>334</v>
      </c>
      <c r="D156" s="352"/>
      <c r="E156" s="353"/>
      <c r="F156" s="354"/>
      <c r="G156" s="1767" t="str">
        <f>IF(AND('Level D Scoring'!E156="",'Level D Scoring'!G156=""),"",MAX('Level D Scoring'!E156,'Level D Scoring'!G156))</f>
        <v/>
      </c>
      <c r="H156" s="354"/>
      <c r="I156" s="353"/>
      <c r="J156" s="354"/>
      <c r="K156" s="353"/>
      <c r="L156" s="354"/>
      <c r="M156" s="349" t="str">
        <f t="shared" si="5"/>
        <v/>
      </c>
      <c r="N156" s="354"/>
      <c r="O156" s="355"/>
      <c r="Q156" s="356" t="str">
        <f t="shared" si="6"/>
        <v/>
      </c>
      <c r="R156" s="346" t="str">
        <f>IF(E156="","",IF(E156&gt;Dictionary!$I$52,"Pass","Fail"))</f>
        <v/>
      </c>
      <c r="T156" s="349" t="str">
        <f>Scoring!U163</f>
        <v/>
      </c>
      <c r="V156" s="2376"/>
      <c r="W156" s="2377"/>
      <c r="X156" s="2377"/>
      <c r="Y156" s="2377"/>
      <c r="Z156" s="2378"/>
      <c r="AA156" s="348"/>
      <c r="AB156" s="348"/>
      <c r="AC156" s="348"/>
      <c r="AD156" s="348"/>
      <c r="AE156" s="349"/>
      <c r="AF156" s="349"/>
    </row>
    <row r="157" spans="2:32" ht="18" hidden="1" customHeight="1">
      <c r="B157" s="350" t="str">
        <f>".5"</f>
        <v>.5</v>
      </c>
      <c r="C157" s="351" t="s">
        <v>333</v>
      </c>
      <c r="D157" s="352"/>
      <c r="E157" s="436"/>
      <c r="F157" s="354"/>
      <c r="G157" s="1767" t="str">
        <f>IF(AND('Level D Scoring'!E157="",'Level D Scoring'!G157=""),"",MAX('Level D Scoring'!E157,'Level D Scoring'!G157))</f>
        <v/>
      </c>
      <c r="H157" s="354"/>
      <c r="I157" s="353"/>
      <c r="J157" s="354"/>
      <c r="K157" s="353"/>
      <c r="L157" s="354"/>
      <c r="M157" s="349" t="str">
        <f t="shared" si="5"/>
        <v/>
      </c>
      <c r="N157" s="354"/>
      <c r="O157" s="355"/>
      <c r="Q157" s="356" t="str">
        <f t="shared" si="6"/>
        <v/>
      </c>
      <c r="R157" s="346" t="str">
        <f>IF(E157="","",IF(E157&gt;Dictionary!$I$52,"Pass","Fail"))</f>
        <v/>
      </c>
      <c r="T157" s="349" t="str">
        <f>Scoring!U164</f>
        <v/>
      </c>
      <c r="V157" s="2376"/>
      <c r="W157" s="2377"/>
      <c r="X157" s="2377"/>
      <c r="Y157" s="2377"/>
      <c r="Z157" s="2378"/>
      <c r="AA157" s="348"/>
      <c r="AB157" s="348"/>
      <c r="AC157" s="348"/>
      <c r="AD157" s="348"/>
      <c r="AE157" s="349"/>
      <c r="AF157" s="349"/>
    </row>
    <row r="158" spans="2:32" ht="18" hidden="1" customHeight="1">
      <c r="B158" s="350" t="str">
        <f>".6"</f>
        <v>.6</v>
      </c>
      <c r="C158" s="351" t="s">
        <v>332</v>
      </c>
      <c r="D158" s="352"/>
      <c r="E158" s="436"/>
      <c r="F158" s="354"/>
      <c r="G158" s="1767" t="str">
        <f>IF(AND('Level D Scoring'!E158="",'Level D Scoring'!G158=""),"",MAX('Level D Scoring'!E158,'Level D Scoring'!G158))</f>
        <v/>
      </c>
      <c r="H158" s="354"/>
      <c r="I158" s="353"/>
      <c r="J158" s="354"/>
      <c r="K158" s="353"/>
      <c r="L158" s="354"/>
      <c r="M158" s="349" t="str">
        <f t="shared" si="5"/>
        <v/>
      </c>
      <c r="N158" s="354"/>
      <c r="O158" s="355"/>
      <c r="Q158" s="356" t="str">
        <f t="shared" si="6"/>
        <v/>
      </c>
      <c r="R158" s="346" t="str">
        <f>IF(E158="","",IF(E158&gt;Dictionary!$I$52,"Pass","Fail"))</f>
        <v/>
      </c>
      <c r="T158" s="349" t="str">
        <f>Scoring!U165</f>
        <v/>
      </c>
      <c r="V158" s="2376"/>
      <c r="W158" s="2377"/>
      <c r="X158" s="2377"/>
      <c r="Y158" s="2377"/>
      <c r="Z158" s="2378"/>
      <c r="AA158" s="348"/>
      <c r="AB158" s="348"/>
      <c r="AC158" s="348"/>
      <c r="AD158" s="348"/>
      <c r="AE158" s="349"/>
      <c r="AF158" s="349"/>
    </row>
    <row r="159" spans="2:32" ht="20" customHeight="1">
      <c r="B159" s="341" t="s">
        <v>331</v>
      </c>
      <c r="C159" s="342" t="str">
        <f>Dictionary!B1462</f>
        <v>Risiken und Chancen</v>
      </c>
      <c r="D159" s="343"/>
      <c r="E159" s="353"/>
      <c r="F159" s="315"/>
      <c r="G159" s="1767" t="str">
        <f>IF(AND('Level D Scoring'!E159="",'Level D Scoring'!G159=""),"",MAX('Level D Scoring'!E159,'Level D Scoring'!G159))</f>
        <v/>
      </c>
      <c r="H159" s="360"/>
      <c r="I159" s="359"/>
      <c r="J159" s="360"/>
      <c r="K159" s="359"/>
      <c r="L159" s="315"/>
      <c r="M159" s="359"/>
      <c r="N159" s="360"/>
      <c r="O159" s="359"/>
      <c r="Q159" s="356"/>
      <c r="R159" s="346" t="str">
        <f>IF(E159="","",IF(E159&gt;Dictionary!$I$52,"Pass","Fail"))</f>
        <v/>
      </c>
      <c r="T159" s="428">
        <f>COUNTIF(T160:T164,"&gt;3")/AE159</f>
        <v>0</v>
      </c>
      <c r="V159" s="2376"/>
      <c r="W159" s="2377"/>
      <c r="X159" s="2377"/>
      <c r="Y159" s="2377"/>
      <c r="Z159" s="2378"/>
      <c r="AA159" s="348"/>
      <c r="AB159" s="348"/>
      <c r="AC159" s="348"/>
      <c r="AD159" s="369"/>
      <c r="AE159" s="349">
        <v>5</v>
      </c>
      <c r="AF159" s="349">
        <f>ROUNDUP(AE159/2,0)</f>
        <v>3</v>
      </c>
    </row>
    <row r="160" spans="2:32" ht="18" hidden="1" customHeight="1">
      <c r="B160" s="350" t="str">
        <f>".1"</f>
        <v>.1</v>
      </c>
      <c r="C160" s="351" t="s">
        <v>330</v>
      </c>
      <c r="D160" s="352"/>
      <c r="E160" s="353"/>
      <c r="F160" s="354"/>
      <c r="G160" s="1767" t="str">
        <f>IF(AND('Level D Scoring'!E160="",'Level D Scoring'!G160=""),"",MAX('Level D Scoring'!E160,'Level D Scoring'!G160))</f>
        <v/>
      </c>
      <c r="H160" s="354"/>
      <c r="I160" s="353"/>
      <c r="J160" s="354"/>
      <c r="K160" s="353"/>
      <c r="L160" s="354"/>
      <c r="M160" s="349" t="str">
        <f t="shared" si="5"/>
        <v/>
      </c>
      <c r="N160" s="354"/>
      <c r="O160" s="355"/>
      <c r="Q160" s="356" t="str">
        <f>IF(T160&gt;0,T160,"")</f>
        <v/>
      </c>
      <c r="R160" s="346" t="str">
        <f>IF(E160="","",IF(E160&gt;Dictionary!$I$52,"Pass","Fail"))</f>
        <v/>
      </c>
      <c r="T160" s="349" t="str">
        <f>Scoring!U167</f>
        <v/>
      </c>
      <c r="V160" s="2376"/>
      <c r="W160" s="2377"/>
      <c r="X160" s="2377"/>
      <c r="Y160" s="2377"/>
      <c r="Z160" s="2378"/>
      <c r="AA160" s="348"/>
      <c r="AB160" s="348"/>
      <c r="AC160" s="348"/>
      <c r="AD160" s="348"/>
      <c r="AE160" s="349"/>
      <c r="AF160" s="349"/>
    </row>
    <row r="161" spans="2:32" ht="18" hidden="1" customHeight="1">
      <c r="B161" s="350" t="str">
        <f>".2"</f>
        <v>.2</v>
      </c>
      <c r="C161" s="351" t="s">
        <v>329</v>
      </c>
      <c r="D161" s="352"/>
      <c r="E161" s="353"/>
      <c r="F161" s="354"/>
      <c r="G161" s="1767" t="str">
        <f>IF(AND('Level D Scoring'!E161="",'Level D Scoring'!G161=""),"",MAX('Level D Scoring'!E161,'Level D Scoring'!G161))</f>
        <v/>
      </c>
      <c r="H161" s="354"/>
      <c r="I161" s="353"/>
      <c r="J161" s="354"/>
      <c r="K161" s="353"/>
      <c r="L161" s="354"/>
      <c r="M161" s="349" t="str">
        <f t="shared" si="5"/>
        <v/>
      </c>
      <c r="N161" s="354"/>
      <c r="O161" s="355"/>
      <c r="Q161" s="356" t="str">
        <f>IF(T161&gt;0,T161,"")</f>
        <v/>
      </c>
      <c r="R161" s="346" t="str">
        <f>IF(E161="","",IF(E161&gt;Dictionary!$I$52,"Pass","Fail"))</f>
        <v/>
      </c>
      <c r="T161" s="349" t="str">
        <f>Scoring!U168</f>
        <v/>
      </c>
      <c r="V161" s="2376"/>
      <c r="W161" s="2377"/>
      <c r="X161" s="2377"/>
      <c r="Y161" s="2377"/>
      <c r="Z161" s="2378"/>
      <c r="AA161" s="348"/>
      <c r="AB161" s="348"/>
      <c r="AC161" s="348"/>
      <c r="AD161" s="348"/>
      <c r="AE161" s="349"/>
      <c r="AF161" s="349"/>
    </row>
    <row r="162" spans="2:32" ht="24" hidden="1" customHeight="1">
      <c r="B162" s="350" t="str">
        <f>".3"</f>
        <v>.3</v>
      </c>
      <c r="C162" s="351" t="s">
        <v>328</v>
      </c>
      <c r="D162" s="352"/>
      <c r="E162" s="353"/>
      <c r="F162" s="354"/>
      <c r="G162" s="1767" t="str">
        <f>IF(AND('Level D Scoring'!E162="",'Level D Scoring'!G162=""),"",MAX('Level D Scoring'!E162,'Level D Scoring'!G162))</f>
        <v/>
      </c>
      <c r="H162" s="354"/>
      <c r="I162" s="353"/>
      <c r="J162" s="354"/>
      <c r="K162" s="353"/>
      <c r="L162" s="354"/>
      <c r="M162" s="349" t="str">
        <f t="shared" si="5"/>
        <v/>
      </c>
      <c r="N162" s="354"/>
      <c r="O162" s="355"/>
      <c r="Q162" s="356" t="str">
        <f>IF(T162&gt;0,T162,"")</f>
        <v/>
      </c>
      <c r="R162" s="346" t="str">
        <f>IF(E162="","",IF(E162&gt;Dictionary!$I$52,"Pass","Fail"))</f>
        <v/>
      </c>
      <c r="T162" s="349" t="str">
        <f>Scoring!U169</f>
        <v/>
      </c>
      <c r="V162" s="2376"/>
      <c r="W162" s="2377"/>
      <c r="X162" s="2377"/>
      <c r="Y162" s="2377"/>
      <c r="Z162" s="2378"/>
      <c r="AA162" s="348"/>
      <c r="AB162" s="348"/>
      <c r="AC162" s="348"/>
      <c r="AD162" s="348"/>
      <c r="AE162" s="349"/>
      <c r="AF162" s="349"/>
    </row>
    <row r="163" spans="2:32" ht="24" hidden="1" customHeight="1">
      <c r="B163" s="350" t="str">
        <f>".4"</f>
        <v>.4</v>
      </c>
      <c r="C163" s="351" t="s">
        <v>327</v>
      </c>
      <c r="D163" s="352"/>
      <c r="E163" s="353"/>
      <c r="F163" s="354"/>
      <c r="G163" s="1767" t="str">
        <f>IF(AND('Level D Scoring'!E163="",'Level D Scoring'!G163=""),"",MAX('Level D Scoring'!E163,'Level D Scoring'!G163))</f>
        <v/>
      </c>
      <c r="H163" s="354"/>
      <c r="I163" s="353"/>
      <c r="J163" s="354"/>
      <c r="K163" s="353"/>
      <c r="L163" s="354"/>
      <c r="M163" s="349" t="str">
        <f t="shared" si="5"/>
        <v/>
      </c>
      <c r="N163" s="354"/>
      <c r="O163" s="355"/>
      <c r="Q163" s="356" t="str">
        <f>IF(T163&gt;0,T163,"")</f>
        <v/>
      </c>
      <c r="R163" s="346" t="str">
        <f>IF(E163="","",IF(E163&gt;Dictionary!$I$52,"Pass","Fail"))</f>
        <v/>
      </c>
      <c r="T163" s="349" t="str">
        <f>Scoring!U170</f>
        <v/>
      </c>
      <c r="V163" s="2376"/>
      <c r="W163" s="2377"/>
      <c r="X163" s="2377"/>
      <c r="Y163" s="2377"/>
      <c r="Z163" s="2378"/>
      <c r="AA163" s="348"/>
      <c r="AB163" s="348"/>
      <c r="AC163" s="348"/>
      <c r="AD163" s="348"/>
      <c r="AE163" s="349"/>
      <c r="AF163" s="349"/>
    </row>
    <row r="164" spans="2:32" ht="24" hidden="1" customHeight="1">
      <c r="B164" s="350" t="str">
        <f>".5"</f>
        <v>.5</v>
      </c>
      <c r="C164" s="351" t="s">
        <v>326</v>
      </c>
      <c r="D164" s="352"/>
      <c r="E164" s="353"/>
      <c r="F164" s="354"/>
      <c r="G164" s="1767" t="str">
        <f>IF(AND('Level D Scoring'!E164="",'Level D Scoring'!G164=""),"",MAX('Level D Scoring'!E164,'Level D Scoring'!G164))</f>
        <v/>
      </c>
      <c r="H164" s="354"/>
      <c r="I164" s="353"/>
      <c r="J164" s="354"/>
      <c r="K164" s="353"/>
      <c r="L164" s="354"/>
      <c r="M164" s="349" t="str">
        <f t="shared" si="5"/>
        <v/>
      </c>
      <c r="N164" s="354"/>
      <c r="O164" s="355"/>
      <c r="Q164" s="356" t="str">
        <f>IF(T164&gt;0,T164,"")</f>
        <v/>
      </c>
      <c r="R164" s="346" t="str">
        <f>IF(E164="","",IF(E164&gt;Dictionary!$I$52,"Pass","Fail"))</f>
        <v/>
      </c>
      <c r="T164" s="349" t="str">
        <f>Scoring!U171</f>
        <v/>
      </c>
      <c r="V164" s="2376"/>
      <c r="W164" s="2377"/>
      <c r="X164" s="2377"/>
      <c r="Y164" s="2377"/>
      <c r="Z164" s="2378"/>
      <c r="AA164" s="348"/>
      <c r="AB164" s="348"/>
      <c r="AC164" s="348"/>
      <c r="AD164" s="348"/>
      <c r="AE164" s="349"/>
      <c r="AF164" s="349"/>
    </row>
    <row r="165" spans="2:32" ht="20" customHeight="1">
      <c r="B165" s="341" t="s">
        <v>325</v>
      </c>
      <c r="C165" s="342" t="str">
        <f>Dictionary!B1470</f>
        <v>Stakeholder</v>
      </c>
      <c r="D165" s="343"/>
      <c r="E165" s="353"/>
      <c r="F165" s="315"/>
      <c r="G165" s="1767" t="str">
        <f>IF(AND('Level D Scoring'!E165="",'Level D Scoring'!G165=""),"",MAX('Level D Scoring'!E165,'Level D Scoring'!G165))</f>
        <v/>
      </c>
      <c r="H165" s="360"/>
      <c r="I165" s="359"/>
      <c r="J165" s="360"/>
      <c r="K165" s="359"/>
      <c r="L165" s="315"/>
      <c r="M165" s="359"/>
      <c r="N165" s="360"/>
      <c r="O165" s="359"/>
      <c r="Q165" s="356"/>
      <c r="R165" s="346" t="str">
        <f>IF(E165="","",IF(E165&gt;Dictionary!$I$52,"Pass","Fail"))</f>
        <v/>
      </c>
      <c r="T165" s="428">
        <f>COUNTIF(T166:T170,"&gt;3")/AE165</f>
        <v>0</v>
      </c>
      <c r="V165" s="2376"/>
      <c r="W165" s="2377"/>
      <c r="X165" s="2377"/>
      <c r="Y165" s="2377"/>
      <c r="Z165" s="2378"/>
      <c r="AA165" s="348"/>
      <c r="AB165" s="348"/>
      <c r="AC165" s="348"/>
      <c r="AD165" s="369"/>
      <c r="AE165" s="349">
        <v>5</v>
      </c>
      <c r="AF165" s="349">
        <f>ROUNDUP(AE165/2,0)</f>
        <v>3</v>
      </c>
    </row>
    <row r="166" spans="2:32" ht="24" hidden="1" customHeight="1">
      <c r="B166" s="350" t="str">
        <f>".1"</f>
        <v>.1</v>
      </c>
      <c r="C166" s="351" t="s">
        <v>324</v>
      </c>
      <c r="D166" s="352"/>
      <c r="E166" s="353"/>
      <c r="F166" s="354"/>
      <c r="G166" s="1767" t="str">
        <f>IF(AND('Level D Scoring'!E166="",'Level D Scoring'!G166=""),"",MAX('Level D Scoring'!E166,'Level D Scoring'!G166))</f>
        <v/>
      </c>
      <c r="H166" s="354"/>
      <c r="I166" s="353"/>
      <c r="J166" s="354"/>
      <c r="K166" s="353"/>
      <c r="L166" s="354"/>
      <c r="M166" s="349" t="str">
        <f t="shared" si="5"/>
        <v/>
      </c>
      <c r="N166" s="354"/>
      <c r="O166" s="355"/>
      <c r="Q166" s="356" t="str">
        <f>IF(T166&gt;0,T166,"")</f>
        <v/>
      </c>
      <c r="R166" s="346" t="str">
        <f>IF(E166="","",IF(E166&gt;Dictionary!$I$52,"Pass","Fail"))</f>
        <v/>
      </c>
      <c r="T166" s="349" t="str">
        <f>Scoring!U173</f>
        <v/>
      </c>
      <c r="V166" s="2376"/>
      <c r="W166" s="2377"/>
      <c r="X166" s="2377"/>
      <c r="Y166" s="2377"/>
      <c r="Z166" s="2378"/>
      <c r="AA166" s="348"/>
      <c r="AB166" s="348"/>
      <c r="AC166" s="348"/>
      <c r="AD166" s="348"/>
      <c r="AE166" s="349"/>
      <c r="AF166" s="349"/>
    </row>
    <row r="167" spans="2:32" ht="24" hidden="1" customHeight="1">
      <c r="B167" s="350" t="str">
        <f>".2"</f>
        <v>.2</v>
      </c>
      <c r="C167" s="351" t="s">
        <v>323</v>
      </c>
      <c r="D167" s="352"/>
      <c r="E167" s="353"/>
      <c r="F167" s="354"/>
      <c r="G167" s="1767" t="str">
        <f>IF(AND('Level D Scoring'!E167="",'Level D Scoring'!G167=""),"",MAX('Level D Scoring'!E167,'Level D Scoring'!G167))</f>
        <v/>
      </c>
      <c r="H167" s="354"/>
      <c r="I167" s="353"/>
      <c r="J167" s="354"/>
      <c r="K167" s="353"/>
      <c r="L167" s="354"/>
      <c r="M167" s="349" t="str">
        <f t="shared" si="5"/>
        <v/>
      </c>
      <c r="N167" s="354"/>
      <c r="O167" s="355"/>
      <c r="Q167" s="356" t="str">
        <f>IF(T167&gt;0,T167,"")</f>
        <v/>
      </c>
      <c r="R167" s="346" t="str">
        <f>IF(E167="","",IF(E167&gt;Dictionary!$I$52,"Pass","Fail"))</f>
        <v/>
      </c>
      <c r="T167" s="349" t="str">
        <f>Scoring!U174</f>
        <v/>
      </c>
      <c r="V167" s="2376"/>
      <c r="W167" s="2377"/>
      <c r="X167" s="2377"/>
      <c r="Y167" s="2377"/>
      <c r="Z167" s="2378"/>
      <c r="AA167" s="348"/>
      <c r="AB167" s="348"/>
      <c r="AC167" s="348"/>
      <c r="AD167" s="348"/>
      <c r="AE167" s="349"/>
      <c r="AF167" s="349"/>
    </row>
    <row r="168" spans="2:32" ht="36" hidden="1" customHeight="1">
      <c r="B168" s="350" t="str">
        <f>".3"</f>
        <v>.3</v>
      </c>
      <c r="C168" s="351" t="s">
        <v>322</v>
      </c>
      <c r="D168" s="352"/>
      <c r="E168" s="353"/>
      <c r="F168" s="354"/>
      <c r="G168" s="1767" t="str">
        <f>IF(AND('Level D Scoring'!E168="",'Level D Scoring'!G168=""),"",MAX('Level D Scoring'!E168,'Level D Scoring'!G168))</f>
        <v/>
      </c>
      <c r="H168" s="354"/>
      <c r="I168" s="353"/>
      <c r="J168" s="354"/>
      <c r="K168" s="353"/>
      <c r="L168" s="354"/>
      <c r="M168" s="349" t="str">
        <f>IF(MAX(E168,G168,I168,K168)=0,"",MAX(E168,G168,I168,K168))</f>
        <v/>
      </c>
      <c r="N168" s="354"/>
      <c r="O168" s="355"/>
      <c r="Q168" s="356" t="str">
        <f>IF(T168&gt;0,T168,"")</f>
        <v/>
      </c>
      <c r="R168" s="346" t="str">
        <f>IF(E168="","",IF(E168&gt;Dictionary!$I$52,"Pass","Fail"))</f>
        <v/>
      </c>
      <c r="T168" s="349" t="str">
        <f>Scoring!U175</f>
        <v/>
      </c>
      <c r="V168" s="2376"/>
      <c r="W168" s="2377"/>
      <c r="X168" s="2377"/>
      <c r="Y168" s="2377"/>
      <c r="Z168" s="2378"/>
      <c r="AA168" s="348"/>
      <c r="AB168" s="348"/>
      <c r="AC168" s="348"/>
      <c r="AD168" s="348"/>
      <c r="AE168" s="349"/>
      <c r="AF168" s="349"/>
    </row>
    <row r="169" spans="2:32" ht="24" hidden="1" customHeight="1">
      <c r="B169" s="350" t="str">
        <f>".4"</f>
        <v>.4</v>
      </c>
      <c r="C169" s="351" t="s">
        <v>321</v>
      </c>
      <c r="D169" s="352"/>
      <c r="E169" s="353"/>
      <c r="F169" s="354"/>
      <c r="G169" s="1767" t="str">
        <f>IF(AND('Level D Scoring'!E169="",'Level D Scoring'!G169=""),"",MAX('Level D Scoring'!E169,'Level D Scoring'!G169))</f>
        <v/>
      </c>
      <c r="H169" s="354"/>
      <c r="I169" s="353"/>
      <c r="J169" s="354"/>
      <c r="K169" s="353"/>
      <c r="L169" s="354"/>
      <c r="M169" s="349" t="str">
        <f>IF(MAX(E169,G169,I169,K169)=0,"",MAX(E169,G169,I169,K169))</f>
        <v/>
      </c>
      <c r="N169" s="354"/>
      <c r="O169" s="355"/>
      <c r="Q169" s="356" t="str">
        <f>IF(T169&gt;0,T169,"")</f>
        <v/>
      </c>
      <c r="R169" s="346" t="str">
        <f>IF(E169="","",IF(E169&gt;Dictionary!$I$52,"Pass","Fail"))</f>
        <v/>
      </c>
      <c r="T169" s="349" t="str">
        <f>Scoring!U176</f>
        <v/>
      </c>
      <c r="V169" s="2376"/>
      <c r="W169" s="2377"/>
      <c r="X169" s="2377"/>
      <c r="Y169" s="2377"/>
      <c r="Z169" s="2378"/>
      <c r="AA169" s="348"/>
      <c r="AB169" s="348"/>
      <c r="AC169" s="348"/>
      <c r="AD169" s="348"/>
      <c r="AE169" s="349"/>
      <c r="AF169" s="349"/>
    </row>
    <row r="170" spans="2:32" ht="18" hidden="1" customHeight="1">
      <c r="B170" s="350" t="str">
        <f>".5"</f>
        <v>.5</v>
      </c>
      <c r="C170" s="351" t="s">
        <v>320</v>
      </c>
      <c r="D170" s="352"/>
      <c r="E170" s="353"/>
      <c r="F170" s="354"/>
      <c r="G170" s="1767" t="str">
        <f>IF(AND('Level D Scoring'!E170="",'Level D Scoring'!G170=""),"",MAX('Level D Scoring'!E170,'Level D Scoring'!G170))</f>
        <v/>
      </c>
      <c r="H170" s="354"/>
      <c r="I170" s="353"/>
      <c r="J170" s="354"/>
      <c r="K170" s="353"/>
      <c r="L170" s="354"/>
      <c r="M170" s="349" t="str">
        <f>IF(MAX(E170,G170,I170,K170)=0,"",MAX(E170,G170,I170,K170))</f>
        <v/>
      </c>
      <c r="N170" s="354"/>
      <c r="O170" s="355"/>
      <c r="Q170" s="356" t="str">
        <f>IF(T170&gt;0,T170,"")</f>
        <v/>
      </c>
      <c r="R170" s="346" t="str">
        <f>IF(E170="","",IF(E170&gt;Dictionary!$I$52,"Pass","Fail"))</f>
        <v/>
      </c>
      <c r="T170" s="349" t="str">
        <f>Scoring!U177</f>
        <v/>
      </c>
      <c r="V170" s="2376"/>
      <c r="W170" s="2377"/>
      <c r="X170" s="2377"/>
      <c r="Y170" s="2377"/>
      <c r="Z170" s="2378"/>
      <c r="AA170" s="348"/>
      <c r="AB170" s="348"/>
      <c r="AC170" s="348"/>
      <c r="AD170" s="348"/>
      <c r="AE170" s="349"/>
      <c r="AF170" s="349"/>
    </row>
    <row r="171" spans="2:32" ht="20" customHeight="1">
      <c r="B171" s="341" t="s">
        <v>319</v>
      </c>
      <c r="C171" s="342" t="str">
        <f>Dictionary!B1478</f>
        <v>Change und Transformation</v>
      </c>
      <c r="D171" s="343"/>
      <c r="E171" s="353"/>
      <c r="F171" s="315"/>
      <c r="G171" s="1767" t="str">
        <f>IF(AND('Level D Scoring'!E171="",'Level D Scoring'!G171=""),"",MAX('Level D Scoring'!E171,'Level D Scoring'!G171))</f>
        <v/>
      </c>
      <c r="H171" s="360"/>
      <c r="I171" s="359"/>
      <c r="J171" s="360"/>
      <c r="K171" s="359"/>
      <c r="L171" s="315"/>
      <c r="M171" s="359"/>
      <c r="N171" s="360"/>
      <c r="O171" s="359"/>
      <c r="Q171" s="356"/>
      <c r="R171" s="346" t="str">
        <f>IF(E171="","",IF(E171&gt;Dictionary!$I$52,"Pass","Fail"))</f>
        <v/>
      </c>
      <c r="T171" s="428">
        <f>COUNTIF(T172:T175,"&gt;3")/AE171</f>
        <v>0</v>
      </c>
      <c r="V171" s="2376"/>
      <c r="W171" s="2377"/>
      <c r="X171" s="2377"/>
      <c r="Y171" s="2377"/>
      <c r="Z171" s="2378"/>
      <c r="AA171" s="348"/>
      <c r="AB171" s="348"/>
      <c r="AC171" s="348"/>
      <c r="AD171" s="369"/>
      <c r="AE171" s="349">
        <v>4</v>
      </c>
      <c r="AF171" s="349">
        <f>ROUNDUP(AE171/2,0)</f>
        <v>2</v>
      </c>
    </row>
    <row r="172" spans="2:32" ht="18" hidden="1" customHeight="1">
      <c r="B172" s="350" t="str">
        <f>".1"</f>
        <v>.1</v>
      </c>
      <c r="C172" s="351" t="s">
        <v>318</v>
      </c>
      <c r="D172" s="352"/>
      <c r="E172" s="404" t="str">
        <f>IF('(8) Exam Evaluation'!Y179="","",'(8) Exam Evaluation'!Y179)</f>
        <v/>
      </c>
      <c r="F172" s="354"/>
      <c r="G172" s="353"/>
      <c r="H172" s="354"/>
      <c r="I172" s="353"/>
      <c r="J172" s="354"/>
      <c r="K172" s="353"/>
      <c r="L172" s="354"/>
      <c r="M172" s="349" t="str">
        <f>IF(MAX(E172,G172,I172,K172)=0,"",MAX(E172,G172,I172,K172))</f>
        <v/>
      </c>
      <c r="N172" s="354"/>
      <c r="O172" s="355"/>
      <c r="Q172" s="356" t="str">
        <f>IF(T172&gt;0,T172,"")</f>
        <v/>
      </c>
      <c r="T172" s="349" t="str">
        <f>Scoring!U179</f>
        <v/>
      </c>
      <c r="V172" s="2376"/>
      <c r="W172" s="2377"/>
      <c r="X172" s="2377"/>
      <c r="Y172" s="2377"/>
      <c r="Z172" s="2378"/>
      <c r="AA172" s="348"/>
      <c r="AB172" s="348"/>
      <c r="AC172" s="348"/>
      <c r="AD172" s="348"/>
      <c r="AE172" s="349"/>
      <c r="AF172" s="349"/>
    </row>
    <row r="173" spans="2:32" ht="24" hidden="1" customHeight="1">
      <c r="B173" s="350" t="str">
        <f>".2"</f>
        <v>.2</v>
      </c>
      <c r="C173" s="351" t="s">
        <v>317</v>
      </c>
      <c r="D173" s="352"/>
      <c r="E173" s="404" t="str">
        <f>IF('(8) Exam Evaluation'!Y180="","",'(8) Exam Evaluation'!Y180)</f>
        <v/>
      </c>
      <c r="F173" s="354"/>
      <c r="G173" s="353"/>
      <c r="H173" s="354"/>
      <c r="I173" s="353"/>
      <c r="J173" s="354"/>
      <c r="K173" s="353"/>
      <c r="L173" s="354"/>
      <c r="M173" s="349" t="str">
        <f>IF(MAX(E173,G173,I173,K173)=0,"",MAX(E173,G173,I173,K173))</f>
        <v/>
      </c>
      <c r="N173" s="354"/>
      <c r="O173" s="355"/>
      <c r="Q173" s="356" t="str">
        <f>IF(T173&gt;0,T173,"")</f>
        <v/>
      </c>
      <c r="T173" s="349" t="str">
        <f>Scoring!U180</f>
        <v/>
      </c>
      <c r="V173" s="2376"/>
      <c r="W173" s="2377"/>
      <c r="X173" s="2377"/>
      <c r="Y173" s="2377"/>
      <c r="Z173" s="2378"/>
      <c r="AA173" s="348"/>
      <c r="AB173" s="348"/>
      <c r="AC173" s="348"/>
      <c r="AD173" s="348"/>
      <c r="AE173" s="349"/>
      <c r="AF173" s="349"/>
    </row>
    <row r="174" spans="2:32" ht="18" hidden="1" customHeight="1">
      <c r="B174" s="350" t="str">
        <f>".3"</f>
        <v>.3</v>
      </c>
      <c r="C174" s="351" t="s">
        <v>316</v>
      </c>
      <c r="D174" s="352"/>
      <c r="E174" s="404" t="str">
        <f>IF('(8) Exam Evaluation'!Y181="","",'(8) Exam Evaluation'!Y181)</f>
        <v/>
      </c>
      <c r="F174" s="354"/>
      <c r="G174" s="353"/>
      <c r="H174" s="354"/>
      <c r="I174" s="353"/>
      <c r="J174" s="354"/>
      <c r="K174" s="353"/>
      <c r="L174" s="354"/>
      <c r="M174" s="349" t="str">
        <f>IF(MAX(E174,G174,I174,K174)=0,"",MAX(E174,G174,I174,K174))</f>
        <v/>
      </c>
      <c r="N174" s="354"/>
      <c r="O174" s="355"/>
      <c r="Q174" s="356" t="str">
        <f>IF(T174&gt;0,T174,"")</f>
        <v/>
      </c>
      <c r="T174" s="349" t="str">
        <f>Scoring!U181</f>
        <v/>
      </c>
      <c r="V174" s="2376"/>
      <c r="W174" s="2377"/>
      <c r="X174" s="2377"/>
      <c r="Y174" s="2377"/>
      <c r="Z174" s="2378"/>
      <c r="AA174" s="348"/>
      <c r="AB174" s="348"/>
      <c r="AC174" s="348"/>
      <c r="AD174" s="348"/>
      <c r="AE174" s="349"/>
      <c r="AF174" s="349"/>
    </row>
    <row r="175" spans="2:32" ht="18" hidden="1" customHeight="1">
      <c r="B175" s="350" t="str">
        <f>".4"</f>
        <v>.4</v>
      </c>
      <c r="C175" s="351" t="s">
        <v>315</v>
      </c>
      <c r="D175" s="352"/>
      <c r="E175" s="404" t="str">
        <f>IF('(8) Exam Evaluation'!Y182="","",'(8) Exam Evaluation'!Y182)</f>
        <v/>
      </c>
      <c r="F175" s="354"/>
      <c r="G175" s="353"/>
      <c r="H175" s="354"/>
      <c r="I175" s="353"/>
      <c r="J175" s="354"/>
      <c r="K175" s="353"/>
      <c r="L175" s="354"/>
      <c r="M175" s="349" t="str">
        <f>IF(MAX(E175,G175,I175,K175)=0,"",MAX(E175,G175,I175,K175))</f>
        <v/>
      </c>
      <c r="N175" s="354"/>
      <c r="O175" s="355"/>
      <c r="Q175" s="356" t="str">
        <f>IF(T175&gt;0,T175,"")</f>
        <v/>
      </c>
      <c r="T175" s="349" t="str">
        <f>Scoring!U182</f>
        <v/>
      </c>
      <c r="V175" s="2376"/>
      <c r="W175" s="2377"/>
      <c r="X175" s="2377"/>
      <c r="Y175" s="2377"/>
      <c r="Z175" s="2378"/>
      <c r="AA175" s="348"/>
      <c r="AB175" s="348"/>
      <c r="AC175" s="348"/>
      <c r="AD175" s="348"/>
      <c r="AE175" s="349"/>
      <c r="AF175" s="349"/>
    </row>
    <row r="176" spans="2:32" s="321" customFormat="1" ht="16.25" customHeight="1">
      <c r="Q176" s="371"/>
      <c r="AE176" s="371"/>
      <c r="AF176" s="371"/>
    </row>
    <row r="177" spans="3:32" s="321" customFormat="1" ht="16.25" customHeight="1">
      <c r="C177" s="372" t="str">
        <f>Dictionary!B945</f>
        <v>Zusammenfassung</v>
      </c>
      <c r="Q177" s="371"/>
      <c r="R177" s="1768" t="str">
        <f>Dictionary!B941</f>
        <v>Endergebnis</v>
      </c>
      <c r="AD177" s="321" t="s">
        <v>303</v>
      </c>
      <c r="AE177" s="373">
        <f>SUM(AE11:AE175)</f>
        <v>133</v>
      </c>
      <c r="AF177" s="373">
        <f>SUM(AF11:AF175)</f>
        <v>77</v>
      </c>
    </row>
    <row r="178" spans="3:32" s="321" customFormat="1" ht="9" customHeight="1">
      <c r="C178" s="372"/>
      <c r="Q178" s="371"/>
      <c r="AE178" s="374"/>
      <c r="AF178" s="374"/>
    </row>
    <row r="179" spans="3:32" s="321" customFormat="1" ht="18" customHeight="1">
      <c r="C179" s="375" t="str">
        <f>Dictionary!B923</f>
        <v>Perspective Kompetenz Elemente erfüllt</v>
      </c>
      <c r="E179" s="432">
        <f>(E11&gt;Dictionary!$I$52)+(E17&gt;Dictionary!$I$52)+(E32&gt;Dictionary!$I$52)+(E25&gt;Dictionary!$I$52)+(E36&gt;Dictionary!$I$52)</f>
        <v>0</v>
      </c>
      <c r="F179" s="376"/>
      <c r="G179" s="432" cm="1">
        <f t="array" ref="G179">SUMPRODUCT(--(ISNUMBER(CHOOSE({1,2,3,4,5},G11,G17,G25,G32,G36))),--(CHOOSE({1,2,3,4,5},G11,G17,G25,G32,G36)&gt;Dictionary!$I$52))</f>
        <v>0</v>
      </c>
      <c r="H179" s="377"/>
      <c r="I179" s="377"/>
      <c r="J179" s="376"/>
      <c r="K179" s="377"/>
      <c r="L179" s="376"/>
      <c r="M179" s="377"/>
      <c r="N179" s="376"/>
      <c r="O179" s="377"/>
      <c r="Q179" s="371"/>
      <c r="R179" s="432">
        <f>COUNTIF(R11:R39,"Pass")</f>
        <v>0</v>
      </c>
      <c r="V179" s="2376"/>
      <c r="W179" s="2377"/>
      <c r="X179" s="2377"/>
      <c r="Y179" s="2377"/>
      <c r="Z179" s="2378"/>
      <c r="AE179" s="371"/>
      <c r="AF179" s="371"/>
    </row>
    <row r="180" spans="3:32" s="321" customFormat="1" ht="18" customHeight="1">
      <c r="C180" s="375" t="str">
        <f>Dictionary!B924</f>
        <v>People Kompetenz Elemente erfüllt</v>
      </c>
      <c r="E180" s="432">
        <f>(E42&gt;Dictionary!$I$52)+(E48&gt;Dictionary!$I$52)+(E54&gt;Dictionary!$I$52)+(E60&gt;Dictionary!$I$52)+(E66&gt;Dictionary!$I$52)+(E72&gt;Dictionary!$I$52)+(E78&gt;Dictionary!$I$52)+(E83&gt;Dictionary!$I$52)+(E89&gt;Dictionary!$I$52)+(E95&gt;Dictionary!$I$52)</f>
        <v>0</v>
      </c>
      <c r="F180" s="376"/>
      <c r="G180" s="432" cm="1">
        <f t="array" aca="1" ref="G180" ca="1">SUMPRODUCT(SUBTOTAL(103,OFFSET($G$42,ROW($G$42:$G$95)-ROW($G$42),0,1)),--ISNUMBER($G$42:$G$95),--($G$42:$G$95&gt;Dictionary!$I$52))</f>
        <v>0</v>
      </c>
      <c r="H180" s="377"/>
      <c r="I180" s="377"/>
      <c r="J180" s="376"/>
      <c r="K180" s="377"/>
      <c r="L180" s="376"/>
      <c r="M180" s="377"/>
      <c r="N180" s="376"/>
      <c r="O180" s="377"/>
      <c r="Q180" s="371"/>
      <c r="R180" s="432">
        <f>COUNTIF(R42:R100,"Pass")</f>
        <v>0</v>
      </c>
      <c r="V180" s="2376"/>
      <c r="W180" s="2377"/>
      <c r="X180" s="2377"/>
      <c r="Y180" s="2377"/>
      <c r="Z180" s="2378"/>
      <c r="AE180" s="371"/>
      <c r="AF180" s="371"/>
    </row>
    <row r="181" spans="3:32" s="321" customFormat="1" ht="18" customHeight="1">
      <c r="C181" s="375" t="str">
        <f>Dictionary!B925</f>
        <v>Practice Kompetenz Elemente erfüllt</v>
      </c>
      <c r="E181" s="432">
        <f>(E103&gt;Dictionary!$I$52)+(E109&gt;Dictionary!$I$52)+(E113&gt;Dictionary!$I$52)+(E118&gt;Dictionary!$I$52)+(E124&gt;Dictionary!$I$52)+(E129&gt;Dictionary!$I$52)+(E135&gt;Dictionary!$I$52)+(E141&gt;Dictionary!$I$52)+(E147&gt;Dictionary!$I$52)+(E152&gt;Dictionary!$I$52)+(E159&gt;Dictionary!$I$52)+(E165&gt;Dictionary!$I$52)+(E171&gt;Dictionary!$I$52)</f>
        <v>0</v>
      </c>
      <c r="F181" s="376"/>
      <c r="G181" s="432" cm="1">
        <f t="array" aca="1" ref="G181" ca="1">SUMPRODUCT(SUBTOTAL(103,OFFSET($G$103,ROW($G$103:$G$171)-ROW($G$103),0,1)),--ISNUMBER($G$103:$G$171),--($G$103:$G$171&gt;Dictionary!$I$52))</f>
        <v>0</v>
      </c>
      <c r="H181" s="377"/>
      <c r="I181" s="377"/>
      <c r="J181" s="376"/>
      <c r="K181" s="377"/>
      <c r="L181" s="376"/>
      <c r="M181" s="377"/>
      <c r="N181" s="376"/>
      <c r="O181" s="377"/>
      <c r="Q181" s="371"/>
      <c r="R181" s="432">
        <f>COUNTIF(R103:R175,"Pass")</f>
        <v>0</v>
      </c>
      <c r="V181" s="2376"/>
      <c r="W181" s="2377"/>
      <c r="X181" s="2377"/>
      <c r="Y181" s="2377"/>
      <c r="Z181" s="2378"/>
      <c r="AA181" s="378"/>
      <c r="AB181" s="378"/>
      <c r="AC181" s="378"/>
      <c r="AD181" s="378"/>
      <c r="AE181" s="371"/>
      <c r="AF181" s="371"/>
    </row>
    <row r="182" spans="3:32" s="321" customFormat="1" ht="18" customHeight="1">
      <c r="C182" s="379" t="str">
        <f>Dictionary!B946</f>
        <v>Gesamtergebnis</v>
      </c>
      <c r="E182" s="664" t="str">
        <f>IF(SUM(E179:E181)=0,"",IF(SUM(E179:E181)&gt;=E184,Dictionary!B9,Dictionary!B10))</f>
        <v/>
      </c>
      <c r="F182" s="376"/>
      <c r="G182" s="664" t="str">
        <f ca="1">IF(SUM(G179:G181)=0,"",IF(SUM(G179:G181)&gt;=G184,Dictionary!B9,Dictionary!B10))</f>
        <v/>
      </c>
      <c r="H182" s="665"/>
      <c r="I182" s="380"/>
      <c r="J182" s="376"/>
      <c r="K182" s="380"/>
      <c r="L182" s="376"/>
      <c r="M182" s="380"/>
      <c r="N182" s="376"/>
      <c r="O182" s="380"/>
      <c r="Q182" s="371"/>
      <c r="R182" s="664" t="str">
        <f>IF(SUM(E179:E181)=0,"",IF(AND(SUM(E179:E181)&gt;=E184,E185&gt;=E186,SUM('Level D Scoring'!R179:R181)&gt;='Level D Scoring'!R184),Dictionary!B9,Dictionary!B10))</f>
        <v/>
      </c>
      <c r="V182" s="2376"/>
      <c r="W182" s="2377"/>
      <c r="X182" s="2377"/>
      <c r="Y182" s="2377"/>
      <c r="Z182" s="2378"/>
      <c r="AA182" s="378"/>
      <c r="AB182" s="378"/>
      <c r="AC182" s="378"/>
      <c r="AD182" s="378"/>
      <c r="AE182" s="371"/>
      <c r="AF182" s="371"/>
    </row>
    <row r="183" spans="3:32" s="321" customFormat="1" ht="11" customHeight="1">
      <c r="C183" s="371"/>
      <c r="F183" s="376"/>
      <c r="H183" s="371"/>
      <c r="I183" s="371"/>
      <c r="K183" s="371"/>
      <c r="M183" s="371"/>
      <c r="Q183" s="371"/>
    </row>
    <row r="184" spans="3:32" ht="18" customHeight="1">
      <c r="C184" s="375" t="str">
        <f>Dictionary!B947&amp;" (no pass mark)"</f>
        <v>Individuelle Bestehensgrenze (no pass mark)</v>
      </c>
      <c r="E184" s="381">
        <v>0</v>
      </c>
      <c r="G184" s="381">
        <v>23</v>
      </c>
      <c r="R184" s="381">
        <f>E184</f>
        <v>0</v>
      </c>
      <c r="S184" s="321"/>
    </row>
    <row r="185" spans="3:32" s="321" customFormat="1" ht="20" customHeight="1">
      <c r="C185" s="375" t="s">
        <v>4089</v>
      </c>
      <c r="E185" s="371" cm="1">
        <f t="array" ref="E185">SUMPRODUCT(--(E11:E36&lt;&gt;""))+SUMPRODUCT(--(E42:E95&lt;&gt;""))+SUMPRODUCT(--(E103:E171&lt;&gt;""))</f>
        <v>0</v>
      </c>
      <c r="Q185" s="371"/>
    </row>
    <row r="186" spans="3:32" s="321" customFormat="1" ht="20" customHeight="1">
      <c r="C186" s="375" t="s">
        <v>4092</v>
      </c>
      <c r="E186" s="371">
        <v>4</v>
      </c>
      <c r="Q186" s="371"/>
    </row>
    <row r="187" spans="3:32" s="321" customFormat="1" ht="20" customHeight="1">
      <c r="C187" s="375"/>
      <c r="Q187" s="371"/>
    </row>
    <row r="188" spans="3:32" s="321" customFormat="1" ht="14.5" customHeight="1">
      <c r="C188" s="312" t="s">
        <v>105</v>
      </c>
      <c r="Q188" s="371"/>
    </row>
    <row r="189" spans="3:32" s="321" customFormat="1" ht="14.5" customHeight="1">
      <c r="C189" s="382"/>
      <c r="Q189" s="371"/>
    </row>
    <row r="190" spans="3:32" s="321" customFormat="1" ht="14.5" customHeight="1">
      <c r="Q190" s="371"/>
    </row>
    <row r="191" spans="3:32" s="321" customFormat="1" ht="14.5" customHeight="1">
      <c r="Q191" s="371"/>
    </row>
    <row r="192" spans="3:32" s="321" customFormat="1" ht="14.5" customHeight="1">
      <c r="Q192" s="371"/>
    </row>
    <row r="193" spans="3:29" s="321" customFormat="1" ht="14.5" customHeight="1">
      <c r="Q193" s="371"/>
    </row>
    <row r="194" spans="3:29" s="321" customFormat="1" ht="14.5" customHeight="1">
      <c r="Q194" s="371"/>
      <c r="AB194" s="433"/>
      <c r="AC194" s="433"/>
    </row>
    <row r="195" spans="3:29" s="321" customFormat="1" ht="14.5" customHeight="1">
      <c r="Q195" s="371"/>
    </row>
    <row r="196" spans="3:29" s="321" customFormat="1" ht="14.5" customHeight="1">
      <c r="Q196" s="371"/>
    </row>
    <row r="197" spans="3:29" s="321" customFormat="1" ht="14.5" customHeight="1">
      <c r="Q197" s="371"/>
    </row>
    <row r="198" spans="3:29" s="321" customFormat="1" ht="14.5" customHeight="1">
      <c r="Q198" s="371"/>
    </row>
    <row r="199" spans="3:29" s="321" customFormat="1" ht="14.5" customHeight="1">
      <c r="Q199" s="371"/>
    </row>
    <row r="200" spans="3:29" s="321" customFormat="1" ht="14.5" customHeight="1">
      <c r="Q200" s="371"/>
    </row>
    <row r="201" spans="3:29" s="321" customFormat="1" ht="14.5" customHeight="1">
      <c r="C201" s="314"/>
      <c r="O201" s="314"/>
      <c r="Q201" s="315"/>
      <c r="R201" s="314"/>
      <c r="V201" s="313"/>
      <c r="W201" s="314"/>
      <c r="X201" s="314"/>
    </row>
  </sheetData>
  <sheetProtection algorithmName="SHA-512" hashValue="kjsGCf+B19MtmAyfOqmq6mFiVs9hYNk1JR0l8hhueDWwWVavpXX9thYD0LWLBInBYegh0ib9VfD0mAv8/npkzQ==" saltValue="2OQaSYYffHYSzM0JazveDg==" spinCount="100000" sheet="1" objects="1" scenarios="1" formatColumns="0" selectLockedCells="1"/>
  <mergeCells count="165">
    <mergeCell ref="V179:Z179"/>
    <mergeCell ref="V180:Z180"/>
    <mergeCell ref="V181:Z181"/>
    <mergeCell ref="V182:Z182"/>
    <mergeCell ref="E4:R7"/>
    <mergeCell ref="V170:Z170"/>
    <mergeCell ref="V171:Z171"/>
    <mergeCell ref="V172:Z172"/>
    <mergeCell ref="V173:Z173"/>
    <mergeCell ref="V174:Z174"/>
    <mergeCell ref="V175:Z175"/>
    <mergeCell ref="V164:Z164"/>
    <mergeCell ref="V165:Z165"/>
    <mergeCell ref="V166:Z166"/>
    <mergeCell ref="V167:Z167"/>
    <mergeCell ref="V168:Z168"/>
    <mergeCell ref="V169:Z169"/>
    <mergeCell ref="V158:Z158"/>
    <mergeCell ref="V159:Z159"/>
    <mergeCell ref="V160:Z160"/>
    <mergeCell ref="V161:Z161"/>
    <mergeCell ref="V162:Z162"/>
    <mergeCell ref="V163:Z163"/>
    <mergeCell ref="V152:Z152"/>
    <mergeCell ref="V153:Z153"/>
    <mergeCell ref="V154:Z154"/>
    <mergeCell ref="V155:Z155"/>
    <mergeCell ref="V156:Z156"/>
    <mergeCell ref="V157:Z157"/>
    <mergeCell ref="V146:Z146"/>
    <mergeCell ref="V147:Z147"/>
    <mergeCell ref="V148:Z148"/>
    <mergeCell ref="V149:Z149"/>
    <mergeCell ref="V150:Z150"/>
    <mergeCell ref="V151:Z151"/>
    <mergeCell ref="V140:Z140"/>
    <mergeCell ref="V141:Z141"/>
    <mergeCell ref="V142:Z142"/>
    <mergeCell ref="V143:Z143"/>
    <mergeCell ref="V144:Z144"/>
    <mergeCell ref="V145:Z145"/>
    <mergeCell ref="V134:Z134"/>
    <mergeCell ref="V135:Z135"/>
    <mergeCell ref="V136:Z136"/>
    <mergeCell ref="V137:Z137"/>
    <mergeCell ref="V138:Z138"/>
    <mergeCell ref="V139:Z139"/>
    <mergeCell ref="V128:Z128"/>
    <mergeCell ref="V129:Z129"/>
    <mergeCell ref="V130:Z130"/>
    <mergeCell ref="V131:Z131"/>
    <mergeCell ref="V132:Z132"/>
    <mergeCell ref="V133:Z133"/>
    <mergeCell ref="V122:Z122"/>
    <mergeCell ref="V123:Z123"/>
    <mergeCell ref="V124:Z124"/>
    <mergeCell ref="V125:Z125"/>
    <mergeCell ref="V126:Z126"/>
    <mergeCell ref="V127:Z127"/>
    <mergeCell ref="V116:Z116"/>
    <mergeCell ref="V117:Z117"/>
    <mergeCell ref="V118:Z118"/>
    <mergeCell ref="V119:Z119"/>
    <mergeCell ref="V120:Z120"/>
    <mergeCell ref="V121:Z121"/>
    <mergeCell ref="V110:Z110"/>
    <mergeCell ref="V111:Z111"/>
    <mergeCell ref="V112:Z112"/>
    <mergeCell ref="V113:Z113"/>
    <mergeCell ref="V114:Z114"/>
    <mergeCell ref="V115:Z115"/>
    <mergeCell ref="V104:Z104"/>
    <mergeCell ref="V105:Z105"/>
    <mergeCell ref="V106:Z106"/>
    <mergeCell ref="V107:Z107"/>
    <mergeCell ref="V108:Z108"/>
    <mergeCell ref="V109:Z109"/>
    <mergeCell ref="V96:Z96"/>
    <mergeCell ref="V97:Z97"/>
    <mergeCell ref="V98:Z98"/>
    <mergeCell ref="V99:Z99"/>
    <mergeCell ref="V100:Z100"/>
    <mergeCell ref="V103:Z103"/>
    <mergeCell ref="V90:Z90"/>
    <mergeCell ref="V91:Z91"/>
    <mergeCell ref="V92:Z92"/>
    <mergeCell ref="V93:Z93"/>
    <mergeCell ref="V94:Z94"/>
    <mergeCell ref="V95:Z95"/>
    <mergeCell ref="V84:Z84"/>
    <mergeCell ref="V85:Z85"/>
    <mergeCell ref="V86:Z86"/>
    <mergeCell ref="V87:Z87"/>
    <mergeCell ref="V88:Z88"/>
    <mergeCell ref="V89:Z89"/>
    <mergeCell ref="V78:Z78"/>
    <mergeCell ref="V79:Z79"/>
    <mergeCell ref="V80:Z80"/>
    <mergeCell ref="V81:Z81"/>
    <mergeCell ref="V82:Z82"/>
    <mergeCell ref="V83:Z83"/>
    <mergeCell ref="V72:Z72"/>
    <mergeCell ref="V73:Z73"/>
    <mergeCell ref="V74:Z74"/>
    <mergeCell ref="V75:Z75"/>
    <mergeCell ref="V76:Z76"/>
    <mergeCell ref="V77:Z77"/>
    <mergeCell ref="V66:Z66"/>
    <mergeCell ref="V67:Z67"/>
    <mergeCell ref="V68:Z68"/>
    <mergeCell ref="V69:Z69"/>
    <mergeCell ref="V70:Z70"/>
    <mergeCell ref="V71:Z71"/>
    <mergeCell ref="V60:Z60"/>
    <mergeCell ref="V61:Z61"/>
    <mergeCell ref="V62:Z62"/>
    <mergeCell ref="V63:Z63"/>
    <mergeCell ref="V64:Z64"/>
    <mergeCell ref="V65:Z65"/>
    <mergeCell ref="V54:Z54"/>
    <mergeCell ref="V55:Z55"/>
    <mergeCell ref="V56:Z56"/>
    <mergeCell ref="V57:Z57"/>
    <mergeCell ref="V58:Z58"/>
    <mergeCell ref="V59:Z59"/>
    <mergeCell ref="V48:Z48"/>
    <mergeCell ref="V49:Z49"/>
    <mergeCell ref="V50:Z50"/>
    <mergeCell ref="V51:Z51"/>
    <mergeCell ref="V52:Z52"/>
    <mergeCell ref="V53:Z53"/>
    <mergeCell ref="V42:Z42"/>
    <mergeCell ref="V43:Z43"/>
    <mergeCell ref="V44:Z44"/>
    <mergeCell ref="V45:Z45"/>
    <mergeCell ref="V46:Z46"/>
    <mergeCell ref="V47:Z47"/>
    <mergeCell ref="V34:Z34"/>
    <mergeCell ref="V35:Z35"/>
    <mergeCell ref="V36:Z36"/>
    <mergeCell ref="V37:Z37"/>
    <mergeCell ref="V38:Z38"/>
    <mergeCell ref="V39:Z39"/>
    <mergeCell ref="V28:Z28"/>
    <mergeCell ref="V29:Z29"/>
    <mergeCell ref="V30:Z30"/>
    <mergeCell ref="V31:Z31"/>
    <mergeCell ref="V32:Z32"/>
    <mergeCell ref="V33:Z33"/>
    <mergeCell ref="V22:Z22"/>
    <mergeCell ref="V23:Z23"/>
    <mergeCell ref="V24:Z24"/>
    <mergeCell ref="V25:Z25"/>
    <mergeCell ref="V26:Z26"/>
    <mergeCell ref="V27:Z27"/>
    <mergeCell ref="V14:Z14"/>
    <mergeCell ref="V15:Z15"/>
    <mergeCell ref="V16:Z16"/>
    <mergeCell ref="V17:Z17"/>
    <mergeCell ref="V18:Z18"/>
    <mergeCell ref="V21:Z21"/>
    <mergeCell ref="V9:Z9"/>
    <mergeCell ref="V11:Z11"/>
    <mergeCell ref="V12:Z12"/>
    <mergeCell ref="V13:Z13"/>
  </mergeCells>
  <conditionalFormatting sqref="B7">
    <cfRule type="cellIs" dxfId="110" priority="53" operator="lessThan">
      <formula>$R$184</formula>
    </cfRule>
    <cfRule type="cellIs" dxfId="109" priority="52" operator="greaterThanOrEqual">
      <formula>$R$184</formula>
    </cfRule>
  </conditionalFormatting>
  <conditionalFormatting sqref="C11 C17 C32 C36 C89 C109 C147 C171">
    <cfRule type="expression" dxfId="106" priority="7">
      <formula>SEGPMC_Flag&lt;&gt;""</formula>
    </cfRule>
  </conditionalFormatting>
  <conditionalFormatting sqref="E182">
    <cfRule type="containsText" dxfId="105" priority="23" operator="containsText" text="Pass">
      <formula>NOT(ISERROR(SEARCH("Pass",E182)))</formula>
    </cfRule>
    <cfRule type="containsText" dxfId="104" priority="20" operator="containsText" text="noch nicht">
      <formula>NOT(ISERROR(SEARCH("noch nicht",E182)))</formula>
    </cfRule>
    <cfRule type="containsText" dxfId="103" priority="21" operator="containsText" text="not yet">
      <formula>NOT(ISERROR(SEARCH("not yet",E182)))</formula>
    </cfRule>
    <cfRule type="containsText" dxfId="102" priority="22" operator="containsText" text="bestanden">
      <formula>NOT(ISERROR(SEARCH("bestanden",E182)))</formula>
    </cfRule>
  </conditionalFormatting>
  <conditionalFormatting sqref="G182:H182">
    <cfRule type="containsText" dxfId="101" priority="16" operator="containsText" text="noch nicht">
      <formula>NOT(ISERROR(SEARCH("noch nicht",G182)))</formula>
    </cfRule>
    <cfRule type="containsText" dxfId="100" priority="17" operator="containsText" text="not yet">
      <formula>NOT(ISERROR(SEARCH("not yet",G182)))</formula>
    </cfRule>
    <cfRule type="containsText" dxfId="99" priority="18" operator="containsText" text="bestanden">
      <formula>NOT(ISERROR(SEARCH("bestanden",G182)))</formula>
    </cfRule>
    <cfRule type="containsText" dxfId="98" priority="19" operator="containsText" text="Pass">
      <formula>NOT(ISERROR(SEARCH("Pass",G182)))</formula>
    </cfRule>
  </conditionalFormatting>
  <conditionalFormatting sqref="R11:R36">
    <cfRule type="cellIs" dxfId="97" priority="57" operator="equal">
      <formula>"Pass"</formula>
    </cfRule>
    <cfRule type="cellIs" dxfId="96" priority="58" operator="equal">
      <formula>"Fail"</formula>
    </cfRule>
  </conditionalFormatting>
  <conditionalFormatting sqref="R42:R95">
    <cfRule type="cellIs" dxfId="95" priority="3" operator="equal">
      <formula>"Pass"</formula>
    </cfRule>
    <cfRule type="cellIs" dxfId="94" priority="4" operator="equal">
      <formula>"Fail"</formula>
    </cfRule>
  </conditionalFormatting>
  <conditionalFormatting sqref="R103:R171">
    <cfRule type="cellIs" dxfId="93" priority="1" operator="equal">
      <formula>"Pass"</formula>
    </cfRule>
    <cfRule type="cellIs" dxfId="92" priority="2" operator="equal">
      <formula>"Fail"</formula>
    </cfRule>
  </conditionalFormatting>
  <conditionalFormatting sqref="R182">
    <cfRule type="containsText" dxfId="91" priority="12" operator="containsText" text="noch nicht">
      <formula>NOT(ISERROR(SEARCH("noch nicht",R182)))</formula>
    </cfRule>
    <cfRule type="containsText" dxfId="90" priority="13" operator="containsText" text="not yet">
      <formula>NOT(ISERROR(SEARCH("not yet",R182)))</formula>
    </cfRule>
    <cfRule type="containsText" dxfId="89" priority="14" operator="containsText" text="bestanden">
      <formula>NOT(ISERROR(SEARCH("bestanden",R182)))</formula>
    </cfRule>
    <cfRule type="containsText" dxfId="88" priority="15" operator="containsText" text="Pass">
      <formula>NOT(ISERROR(SEARCH("Pass",R182)))</formula>
    </cfRule>
  </conditionalFormatting>
  <conditionalFormatting sqref="T11">
    <cfRule type="dataBar" priority="51">
      <dataBar>
        <cfvo type="num" val="0"/>
        <cfvo type="num" val="1"/>
        <color theme="4" tint="0.59996337778862885"/>
      </dataBar>
      <extLst>
        <ext xmlns:x14="http://schemas.microsoft.com/office/spreadsheetml/2009/9/main" uri="{B025F937-C7B1-47D3-B67F-A62EFF666E3E}">
          <x14:id>{5F3D53C0-752E-42C2-A8C5-5FCB36302F9F}</x14:id>
        </ext>
      </extLst>
    </cfRule>
  </conditionalFormatting>
  <conditionalFormatting sqref="T17">
    <cfRule type="dataBar" priority="50">
      <dataBar>
        <cfvo type="num" val="0"/>
        <cfvo type="num" val="1"/>
        <color theme="4" tint="0.59996337778862885"/>
      </dataBar>
      <extLst>
        <ext xmlns:x14="http://schemas.microsoft.com/office/spreadsheetml/2009/9/main" uri="{B025F937-C7B1-47D3-B67F-A62EFF666E3E}">
          <x14:id>{219EA76F-97E8-414E-AB42-4179745CFA28}</x14:id>
        </ext>
      </extLst>
    </cfRule>
  </conditionalFormatting>
  <conditionalFormatting sqref="T25">
    <cfRule type="dataBar" priority="49">
      <dataBar>
        <cfvo type="num" val="0"/>
        <cfvo type="num" val="1"/>
        <color theme="4" tint="0.59996337778862885"/>
      </dataBar>
      <extLst>
        <ext xmlns:x14="http://schemas.microsoft.com/office/spreadsheetml/2009/9/main" uri="{B025F937-C7B1-47D3-B67F-A62EFF666E3E}">
          <x14:id>{47E9AEC4-A797-4429-8F8B-AA5377454ED4}</x14:id>
        </ext>
      </extLst>
    </cfRule>
  </conditionalFormatting>
  <conditionalFormatting sqref="T32">
    <cfRule type="dataBar" priority="48">
      <dataBar>
        <cfvo type="num" val="0"/>
        <cfvo type="num" val="1"/>
        <color theme="4" tint="0.59996337778862885"/>
      </dataBar>
      <extLst>
        <ext xmlns:x14="http://schemas.microsoft.com/office/spreadsheetml/2009/9/main" uri="{B025F937-C7B1-47D3-B67F-A62EFF666E3E}">
          <x14:id>{8085184C-9C0D-4CB4-9957-09148BDEEEE7}</x14:id>
        </ext>
      </extLst>
    </cfRule>
  </conditionalFormatting>
  <conditionalFormatting sqref="T36">
    <cfRule type="dataBar" priority="47">
      <dataBar>
        <cfvo type="num" val="0"/>
        <cfvo type="num" val="1"/>
        <color theme="4" tint="0.59996337778862885"/>
      </dataBar>
      <extLst>
        <ext xmlns:x14="http://schemas.microsoft.com/office/spreadsheetml/2009/9/main" uri="{B025F937-C7B1-47D3-B67F-A62EFF666E3E}">
          <x14:id>{0F20A5BE-D9F3-4EC9-9907-05CF648074EA}</x14:id>
        </ext>
      </extLst>
    </cfRule>
  </conditionalFormatting>
  <conditionalFormatting sqref="T42">
    <cfRule type="dataBar" priority="46">
      <dataBar>
        <cfvo type="num" val="0"/>
        <cfvo type="num" val="1"/>
        <color theme="4" tint="0.59996337778862885"/>
      </dataBar>
      <extLst>
        <ext xmlns:x14="http://schemas.microsoft.com/office/spreadsheetml/2009/9/main" uri="{B025F937-C7B1-47D3-B67F-A62EFF666E3E}">
          <x14:id>{06524634-D7F6-46FD-8788-464C52820316}</x14:id>
        </ext>
      </extLst>
    </cfRule>
  </conditionalFormatting>
  <conditionalFormatting sqref="T48">
    <cfRule type="dataBar" priority="45">
      <dataBar>
        <cfvo type="num" val="0"/>
        <cfvo type="num" val="1"/>
        <color theme="4" tint="0.59996337778862885"/>
      </dataBar>
      <extLst>
        <ext xmlns:x14="http://schemas.microsoft.com/office/spreadsheetml/2009/9/main" uri="{B025F937-C7B1-47D3-B67F-A62EFF666E3E}">
          <x14:id>{03DB4FD8-93A3-4D3A-B6DE-AB84883E2FF7}</x14:id>
        </ext>
      </extLst>
    </cfRule>
  </conditionalFormatting>
  <conditionalFormatting sqref="T54">
    <cfRule type="dataBar" priority="44">
      <dataBar>
        <cfvo type="num" val="0"/>
        <cfvo type="num" val="1"/>
        <color theme="4" tint="0.59996337778862885"/>
      </dataBar>
      <extLst>
        <ext xmlns:x14="http://schemas.microsoft.com/office/spreadsheetml/2009/9/main" uri="{B025F937-C7B1-47D3-B67F-A62EFF666E3E}">
          <x14:id>{5BEB5046-84F1-418E-A4BD-51FE52E8FE3E}</x14:id>
        </ext>
      </extLst>
    </cfRule>
  </conditionalFormatting>
  <conditionalFormatting sqref="T60">
    <cfRule type="dataBar" priority="43">
      <dataBar>
        <cfvo type="num" val="0"/>
        <cfvo type="num" val="1"/>
        <color theme="4" tint="0.59996337778862885"/>
      </dataBar>
      <extLst>
        <ext xmlns:x14="http://schemas.microsoft.com/office/spreadsheetml/2009/9/main" uri="{B025F937-C7B1-47D3-B67F-A62EFF666E3E}">
          <x14:id>{8C567E3D-71B2-4EA3-BC0E-A09BF439DCE9}</x14:id>
        </ext>
      </extLst>
    </cfRule>
  </conditionalFormatting>
  <conditionalFormatting sqref="T66">
    <cfRule type="dataBar" priority="42">
      <dataBar>
        <cfvo type="num" val="0"/>
        <cfvo type="num" val="1"/>
        <color theme="4" tint="0.59996337778862885"/>
      </dataBar>
      <extLst>
        <ext xmlns:x14="http://schemas.microsoft.com/office/spreadsheetml/2009/9/main" uri="{B025F937-C7B1-47D3-B67F-A62EFF666E3E}">
          <x14:id>{DBC9C770-5E4F-4A90-8F21-9857079678E8}</x14:id>
        </ext>
      </extLst>
    </cfRule>
  </conditionalFormatting>
  <conditionalFormatting sqref="T72">
    <cfRule type="dataBar" priority="41">
      <dataBar>
        <cfvo type="num" val="0"/>
        <cfvo type="num" val="1"/>
        <color theme="4" tint="0.59996337778862885"/>
      </dataBar>
      <extLst>
        <ext xmlns:x14="http://schemas.microsoft.com/office/spreadsheetml/2009/9/main" uri="{B025F937-C7B1-47D3-B67F-A62EFF666E3E}">
          <x14:id>{57619A53-AB96-4A6F-9B13-6D5E97ADAF81}</x14:id>
        </ext>
      </extLst>
    </cfRule>
  </conditionalFormatting>
  <conditionalFormatting sqref="T78">
    <cfRule type="dataBar" priority="40">
      <dataBar>
        <cfvo type="num" val="0"/>
        <cfvo type="num" val="1"/>
        <color theme="4" tint="0.59996337778862885"/>
      </dataBar>
      <extLst>
        <ext xmlns:x14="http://schemas.microsoft.com/office/spreadsheetml/2009/9/main" uri="{B025F937-C7B1-47D3-B67F-A62EFF666E3E}">
          <x14:id>{7A724820-5710-44B8-92ED-3534704915D9}</x14:id>
        </ext>
      </extLst>
    </cfRule>
  </conditionalFormatting>
  <conditionalFormatting sqref="T83">
    <cfRule type="dataBar" priority="39">
      <dataBar>
        <cfvo type="num" val="0"/>
        <cfvo type="num" val="1"/>
        <color theme="4" tint="0.59996337778862885"/>
      </dataBar>
      <extLst>
        <ext xmlns:x14="http://schemas.microsoft.com/office/spreadsheetml/2009/9/main" uri="{B025F937-C7B1-47D3-B67F-A62EFF666E3E}">
          <x14:id>{DDADCCDC-1FB0-4351-B21A-F15AFA578750}</x14:id>
        </ext>
      </extLst>
    </cfRule>
  </conditionalFormatting>
  <conditionalFormatting sqref="T89">
    <cfRule type="dataBar" priority="38">
      <dataBar>
        <cfvo type="num" val="0"/>
        <cfvo type="num" val="1"/>
        <color theme="4" tint="0.59996337778862885"/>
      </dataBar>
      <extLst>
        <ext xmlns:x14="http://schemas.microsoft.com/office/spreadsheetml/2009/9/main" uri="{B025F937-C7B1-47D3-B67F-A62EFF666E3E}">
          <x14:id>{3005A6D4-EC68-411C-BF75-B5E1BF875733}</x14:id>
        </ext>
      </extLst>
    </cfRule>
  </conditionalFormatting>
  <conditionalFormatting sqref="T95">
    <cfRule type="dataBar" priority="37">
      <dataBar>
        <cfvo type="num" val="0"/>
        <cfvo type="num" val="1"/>
        <color theme="4" tint="0.59996337778862885"/>
      </dataBar>
      <extLst>
        <ext xmlns:x14="http://schemas.microsoft.com/office/spreadsheetml/2009/9/main" uri="{B025F937-C7B1-47D3-B67F-A62EFF666E3E}">
          <x14:id>{FA113320-E444-4F10-8233-F7C210C801D6}</x14:id>
        </ext>
      </extLst>
    </cfRule>
  </conditionalFormatting>
  <conditionalFormatting sqref="T103">
    <cfRule type="dataBar" priority="36">
      <dataBar>
        <cfvo type="num" val="0"/>
        <cfvo type="num" val="1"/>
        <color theme="4" tint="0.59996337778862885"/>
      </dataBar>
      <extLst>
        <ext xmlns:x14="http://schemas.microsoft.com/office/spreadsheetml/2009/9/main" uri="{B025F937-C7B1-47D3-B67F-A62EFF666E3E}">
          <x14:id>{3AA93B93-8A5A-4A04-A2C7-F52C338EEF05}</x14:id>
        </ext>
      </extLst>
    </cfRule>
  </conditionalFormatting>
  <conditionalFormatting sqref="T109">
    <cfRule type="dataBar" priority="33">
      <dataBar>
        <cfvo type="num" val="0"/>
        <cfvo type="num" val="1"/>
        <color theme="4" tint="0.59996337778862885"/>
      </dataBar>
      <extLst>
        <ext xmlns:x14="http://schemas.microsoft.com/office/spreadsheetml/2009/9/main" uri="{B025F937-C7B1-47D3-B67F-A62EFF666E3E}">
          <x14:id>{CDFC7213-B76C-46EA-9FD4-C7BDB4FC23C5}</x14:id>
        </ext>
      </extLst>
    </cfRule>
  </conditionalFormatting>
  <conditionalFormatting sqref="T113">
    <cfRule type="dataBar" priority="34">
      <dataBar>
        <cfvo type="num" val="0"/>
        <cfvo type="num" val="1"/>
        <color theme="4" tint="0.59996337778862885"/>
      </dataBar>
      <extLst>
        <ext xmlns:x14="http://schemas.microsoft.com/office/spreadsheetml/2009/9/main" uri="{B025F937-C7B1-47D3-B67F-A62EFF666E3E}">
          <x14:id>{71496227-C07B-4A79-8985-807D854A58D7}</x14:id>
        </ext>
      </extLst>
    </cfRule>
  </conditionalFormatting>
  <conditionalFormatting sqref="T118">
    <cfRule type="dataBar" priority="35">
      <dataBar>
        <cfvo type="num" val="0"/>
        <cfvo type="num" val="1"/>
        <color theme="4" tint="0.59996337778862885"/>
      </dataBar>
      <extLst>
        <ext xmlns:x14="http://schemas.microsoft.com/office/spreadsheetml/2009/9/main" uri="{B025F937-C7B1-47D3-B67F-A62EFF666E3E}">
          <x14:id>{69BEE9F6-B5ED-4699-83DF-5FE9B4ED9892}</x14:id>
        </ext>
      </extLst>
    </cfRule>
  </conditionalFormatting>
  <conditionalFormatting sqref="T124">
    <cfRule type="dataBar" priority="32">
      <dataBar>
        <cfvo type="num" val="0"/>
        <cfvo type="num" val="1"/>
        <color theme="4" tint="0.59996337778862885"/>
      </dataBar>
      <extLst>
        <ext xmlns:x14="http://schemas.microsoft.com/office/spreadsheetml/2009/9/main" uri="{B025F937-C7B1-47D3-B67F-A62EFF666E3E}">
          <x14:id>{AA1670BF-7D75-4B1A-BAFB-52656A111CF1}</x14:id>
        </ext>
      </extLst>
    </cfRule>
  </conditionalFormatting>
  <conditionalFormatting sqref="T129">
    <cfRule type="dataBar" priority="31">
      <dataBar>
        <cfvo type="num" val="0"/>
        <cfvo type="num" val="1"/>
        <color theme="4" tint="0.59996337778862885"/>
      </dataBar>
      <extLst>
        <ext xmlns:x14="http://schemas.microsoft.com/office/spreadsheetml/2009/9/main" uri="{B025F937-C7B1-47D3-B67F-A62EFF666E3E}">
          <x14:id>{C7896885-2C7F-461D-BE03-2E139439E756}</x14:id>
        </ext>
      </extLst>
    </cfRule>
  </conditionalFormatting>
  <conditionalFormatting sqref="T135">
    <cfRule type="dataBar" priority="30">
      <dataBar>
        <cfvo type="num" val="0"/>
        <cfvo type="num" val="1"/>
        <color theme="4" tint="0.59996337778862885"/>
      </dataBar>
      <extLst>
        <ext xmlns:x14="http://schemas.microsoft.com/office/spreadsheetml/2009/9/main" uri="{B025F937-C7B1-47D3-B67F-A62EFF666E3E}">
          <x14:id>{85BF58BB-3007-4958-BAEE-002301E7C7AC}</x14:id>
        </ext>
      </extLst>
    </cfRule>
  </conditionalFormatting>
  <conditionalFormatting sqref="T141">
    <cfRule type="dataBar" priority="29">
      <dataBar>
        <cfvo type="num" val="0"/>
        <cfvo type="num" val="1"/>
        <color theme="4" tint="0.59996337778862885"/>
      </dataBar>
      <extLst>
        <ext xmlns:x14="http://schemas.microsoft.com/office/spreadsheetml/2009/9/main" uri="{B025F937-C7B1-47D3-B67F-A62EFF666E3E}">
          <x14:id>{9A77416C-596D-4D22-8AB1-8183BC60A497}</x14:id>
        </ext>
      </extLst>
    </cfRule>
  </conditionalFormatting>
  <conditionalFormatting sqref="T147">
    <cfRule type="dataBar" priority="28">
      <dataBar>
        <cfvo type="num" val="0"/>
        <cfvo type="num" val="1"/>
        <color theme="4" tint="0.59996337778862885"/>
      </dataBar>
      <extLst>
        <ext xmlns:x14="http://schemas.microsoft.com/office/spreadsheetml/2009/9/main" uri="{B025F937-C7B1-47D3-B67F-A62EFF666E3E}">
          <x14:id>{1C1AF6EA-1ECA-439E-9B32-27EF3BD3E63E}</x14:id>
        </ext>
      </extLst>
    </cfRule>
  </conditionalFormatting>
  <conditionalFormatting sqref="T152">
    <cfRule type="dataBar" priority="27">
      <dataBar>
        <cfvo type="num" val="0"/>
        <cfvo type="num" val="1"/>
        <color theme="4" tint="0.59996337778862885"/>
      </dataBar>
      <extLst>
        <ext xmlns:x14="http://schemas.microsoft.com/office/spreadsheetml/2009/9/main" uri="{B025F937-C7B1-47D3-B67F-A62EFF666E3E}">
          <x14:id>{1EE90990-A6CA-4DF5-9A3C-F4EA6400D781}</x14:id>
        </ext>
      </extLst>
    </cfRule>
  </conditionalFormatting>
  <conditionalFormatting sqref="T159">
    <cfRule type="dataBar" priority="26">
      <dataBar>
        <cfvo type="num" val="0"/>
        <cfvo type="num" val="1"/>
        <color theme="4" tint="0.59996337778862885"/>
      </dataBar>
      <extLst>
        <ext xmlns:x14="http://schemas.microsoft.com/office/spreadsheetml/2009/9/main" uri="{B025F937-C7B1-47D3-B67F-A62EFF666E3E}">
          <x14:id>{50520FEE-F972-4B6B-96FA-BE8826D6639F}</x14:id>
        </ext>
      </extLst>
    </cfRule>
  </conditionalFormatting>
  <conditionalFormatting sqref="T165">
    <cfRule type="dataBar" priority="25">
      <dataBar>
        <cfvo type="num" val="0"/>
        <cfvo type="num" val="1"/>
        <color theme="4" tint="0.59996337778862885"/>
      </dataBar>
      <extLst>
        <ext xmlns:x14="http://schemas.microsoft.com/office/spreadsheetml/2009/9/main" uri="{B025F937-C7B1-47D3-B67F-A62EFF666E3E}">
          <x14:id>{7C2B6123-4DCC-4A44-8D92-62C468BAF844}</x14:id>
        </ext>
      </extLst>
    </cfRule>
  </conditionalFormatting>
  <conditionalFormatting sqref="T171">
    <cfRule type="dataBar" priority="24">
      <dataBar>
        <cfvo type="num" val="0"/>
        <cfvo type="num" val="1"/>
        <color theme="4" tint="0.59996337778862885"/>
      </dataBar>
      <extLst>
        <ext xmlns:x14="http://schemas.microsoft.com/office/spreadsheetml/2009/9/main" uri="{B025F937-C7B1-47D3-B67F-A62EFF666E3E}">
          <x14:id>{B88886DA-56D3-4247-801E-4E6A9060B6C0}</x14:id>
        </ext>
      </extLst>
    </cfRule>
  </conditionalFormatting>
  <conditionalFormatting sqref="Y5">
    <cfRule type="iconSet" priority="6">
      <iconSet iconSet="3Symbols2">
        <cfvo type="percent" val="0"/>
        <cfvo type="num" val="$E$186-1" gte="0"/>
        <cfvo type="num" val="$E$186"/>
      </iconSet>
    </cfRule>
  </conditionalFormatting>
  <conditionalFormatting sqref="Y6">
    <cfRule type="iconSet" priority="5">
      <iconSet iconSet="3Symbols2">
        <cfvo type="percent" val="0"/>
        <cfvo type="num" val="$E$184-1"/>
        <cfvo type="num" val="$E$184"/>
      </iconSet>
    </cfRule>
  </conditionalFormatting>
  <dataValidations count="1">
    <dataValidation type="whole" allowBlank="1" showInputMessage="1" showErrorMessage="1" sqref="D12:D16 F12:F16 H12:O16 D18:D24 F18:F24 H18:O24 D26:D31 F26:F31 H26:O31 D33:D35 F33:F35 H33:O35 D37:D39 F37:H39 I37:I41 J37:J39 K37:K41 L37:L39 M37:M41 N37:N39 O37:O41 E40:E41 G40:G41 R40:R41 D43:D47 F43:F47 H43:O47 D49:D53 F49:F53 H49:O53 D55:D59 F55:F59 H55:O59 D61:D65 F61:F65 H61:O65 D67:D71 F67:F71 H67:O71 D73:D77 F73:F77 H73:O77 D79:D82 F79:F82 H79:O82 D84:D88 F84:F88 H84:O88 D90:D94 F90:F94 H90:O94 D96:D100 F96:H100 I96:I102 J96:J100 K96:K102 L96:L100 M96:M102 N96:N100 O96:O102 E101:E102 G101:G102 R101:R102 D104:D108 F104:F108 H104:O108 D110:D112 F110:F112 H110:O112 D114:D117 F114:F117 H114:O117 D119:D123 F119:F123 H119:O123 D125:D128 F125:F128 H125:O128 D130:D134 F130:F134 H130:O134 D136:D140 F136:F140 H136:O140 D142:D146 F142:F146 H142:O146 D148:D151 F148:F151 H148:O151 D153:D158 F153:F158 H153:O158 D160:D164 F160:F164 H160:O164 D166:D170 F166:F170 H166:O170 D172:D175 F172:O175" xr:uid="{00000000-0002-0000-5300-000000000000}">
      <formula1>0</formula1>
      <formula2>5</formula2>
    </dataValidation>
  </dataValidations>
  <pageMargins left="0.7" right="0.7" top="0.78740157499999996" bottom="0.78740157499999996" header="0.3" footer="0.3"/>
  <pageSetup scale="46" orientation="landscape" r:id="rId1"/>
  <headerFooter>
    <oddFooter>&amp;LDok.-Nr./Rev./Datum
F01         /  03   / 04.12.2020
&amp;F&amp;C&amp;U&amp;A&amp;RSeite &amp;P / &amp;N</oddFooter>
  </headerFooter>
  <rowBreaks count="2" manualBreakCount="2">
    <brk id="40" max="16383" man="1"/>
    <brk id="101" max="16383" man="1"/>
  </rowBreaks>
  <extLst>
    <ext xmlns:x14="http://schemas.microsoft.com/office/spreadsheetml/2009/9/main" uri="{78C0D931-6437-407d-A8EE-F0AAD7539E65}">
      <x14:conditionalFormattings>
        <x14:conditionalFormatting xmlns:xm="http://schemas.microsoft.com/office/excel/2006/main">
          <x14:cfRule type="containsText" priority="55" operator="containsText" id="{74D180BC-9A6A-4915-B9D2-E26DF93B33C7}">
            <xm:f>NOT(ISERROR(SEARCH(Dictionary!$B$9,C7)))</xm:f>
            <xm:f>Dictionary!$B$9</xm:f>
            <x14:dxf>
              <font>
                <b/>
                <i/>
                <color theme="9"/>
              </font>
              <fill>
                <patternFill>
                  <bgColor theme="9" tint="0.79995117038483843"/>
                </patternFill>
              </fill>
            </x14:dxf>
          </x14:cfRule>
          <x14:cfRule type="containsText" priority="54" stopIfTrue="1" operator="containsText" id="{5993021D-4DFF-4539-9E3B-404D99C8EB7A}">
            <xm:f>NOT(ISERROR(SEARCH(Dictionary!$B$10,C7)))</xm:f>
            <xm:f>Dictionary!$B$10</xm:f>
            <x14:dxf>
              <font>
                <b/>
                <i/>
                <color rgb="FFC00000"/>
              </font>
              <fill>
                <patternFill>
                  <bgColor rgb="FFFFCCCC"/>
                </patternFill>
              </fill>
            </x14:dxf>
          </x14:cfRule>
          <xm:sqref>C7</xm:sqref>
        </x14:conditionalFormatting>
        <x14:conditionalFormatting xmlns:xm="http://schemas.microsoft.com/office/excel/2006/main">
          <x14:cfRule type="iconSet" priority="56" id="{6B00ECAB-7358-4EC0-B65F-27CA9BCC61DB}">
            <x14:iconSet iconSet="3Symbols" showValue="0" custom="1">
              <x14:cfvo type="percent">
                <xm:f>0</xm:f>
              </x14:cfvo>
              <x14:cfvo type="num" gte="0">
                <xm:f>2</xm:f>
              </x14:cfvo>
              <x14:cfvo type="num">
                <xm:f>4</xm:f>
              </x14:cfvo>
              <x14:cfIcon iconSet="3Symbols" iconId="0"/>
              <x14:cfIcon iconSet="3Symbols" iconId="1"/>
              <x14:cfIcon iconSet="3Symbols" iconId="2"/>
            </x14:iconSet>
          </x14:cfRule>
          <xm:sqref>Q12:Q175</xm:sqref>
        </x14:conditionalFormatting>
        <x14:conditionalFormatting xmlns:xm="http://schemas.microsoft.com/office/excel/2006/main">
          <x14:cfRule type="dataBar" id="{5F3D53C0-752E-42C2-A8C5-5FCB36302F9F}">
            <x14:dataBar minLength="0" maxLength="100" border="1" gradient="0">
              <x14:cfvo type="num">
                <xm:f>0</xm:f>
              </x14:cfvo>
              <x14:cfvo type="num">
                <xm:f>1</xm:f>
              </x14:cfvo>
              <x14:borderColor rgb="FF00B0F0"/>
              <x14:negativeFillColor rgb="FFFF0000"/>
              <x14:axisColor rgb="FF000000"/>
            </x14:dataBar>
          </x14:cfRule>
          <xm:sqref>T11</xm:sqref>
        </x14:conditionalFormatting>
        <x14:conditionalFormatting xmlns:xm="http://schemas.microsoft.com/office/excel/2006/main">
          <x14:cfRule type="dataBar" id="{219EA76F-97E8-414E-AB42-4179745CFA28}">
            <x14:dataBar minLength="0" maxLength="100" border="1" gradient="0">
              <x14:cfvo type="num">
                <xm:f>0</xm:f>
              </x14:cfvo>
              <x14:cfvo type="num">
                <xm:f>1</xm:f>
              </x14:cfvo>
              <x14:borderColor rgb="FF00B0F0"/>
              <x14:negativeFillColor rgb="FFFF0000"/>
              <x14:axisColor rgb="FF000000"/>
            </x14:dataBar>
          </x14:cfRule>
          <xm:sqref>T17</xm:sqref>
        </x14:conditionalFormatting>
        <x14:conditionalFormatting xmlns:xm="http://schemas.microsoft.com/office/excel/2006/main">
          <x14:cfRule type="dataBar" id="{47E9AEC4-A797-4429-8F8B-AA5377454ED4}">
            <x14:dataBar minLength="0" maxLength="100" border="1" gradient="0">
              <x14:cfvo type="num">
                <xm:f>0</xm:f>
              </x14:cfvo>
              <x14:cfvo type="num">
                <xm:f>1</xm:f>
              </x14:cfvo>
              <x14:borderColor rgb="FF00B0F0"/>
              <x14:negativeFillColor rgb="FFFF0000"/>
              <x14:axisColor rgb="FF000000"/>
            </x14:dataBar>
          </x14:cfRule>
          <xm:sqref>T25</xm:sqref>
        </x14:conditionalFormatting>
        <x14:conditionalFormatting xmlns:xm="http://schemas.microsoft.com/office/excel/2006/main">
          <x14:cfRule type="dataBar" id="{8085184C-9C0D-4CB4-9957-09148BDEEEE7}">
            <x14:dataBar minLength="0" maxLength="100" border="1" gradient="0">
              <x14:cfvo type="num">
                <xm:f>0</xm:f>
              </x14:cfvo>
              <x14:cfvo type="num">
                <xm:f>1</xm:f>
              </x14:cfvo>
              <x14:borderColor rgb="FF00B0F0"/>
              <x14:negativeFillColor rgb="FFFF0000"/>
              <x14:axisColor rgb="FF000000"/>
            </x14:dataBar>
          </x14:cfRule>
          <xm:sqref>T32</xm:sqref>
        </x14:conditionalFormatting>
        <x14:conditionalFormatting xmlns:xm="http://schemas.microsoft.com/office/excel/2006/main">
          <x14:cfRule type="dataBar" id="{0F20A5BE-D9F3-4EC9-9907-05CF648074EA}">
            <x14:dataBar minLength="0" maxLength="100" border="1" gradient="0">
              <x14:cfvo type="num">
                <xm:f>0</xm:f>
              </x14:cfvo>
              <x14:cfvo type="num">
                <xm:f>1</xm:f>
              </x14:cfvo>
              <x14:borderColor rgb="FF00B0F0"/>
              <x14:negativeFillColor rgb="FFFF0000"/>
              <x14:axisColor rgb="FF000000"/>
            </x14:dataBar>
          </x14:cfRule>
          <xm:sqref>T36</xm:sqref>
        </x14:conditionalFormatting>
        <x14:conditionalFormatting xmlns:xm="http://schemas.microsoft.com/office/excel/2006/main">
          <x14:cfRule type="dataBar" id="{06524634-D7F6-46FD-8788-464C52820316}">
            <x14:dataBar minLength="0" maxLength="100" border="1" gradient="0">
              <x14:cfvo type="num">
                <xm:f>0</xm:f>
              </x14:cfvo>
              <x14:cfvo type="num">
                <xm:f>1</xm:f>
              </x14:cfvo>
              <x14:borderColor rgb="FF00B0F0"/>
              <x14:negativeFillColor rgb="FFFF0000"/>
              <x14:axisColor rgb="FF000000"/>
            </x14:dataBar>
          </x14:cfRule>
          <xm:sqref>T42</xm:sqref>
        </x14:conditionalFormatting>
        <x14:conditionalFormatting xmlns:xm="http://schemas.microsoft.com/office/excel/2006/main">
          <x14:cfRule type="dataBar" id="{03DB4FD8-93A3-4D3A-B6DE-AB84883E2FF7}">
            <x14:dataBar minLength="0" maxLength="100" border="1" gradient="0">
              <x14:cfvo type="num">
                <xm:f>0</xm:f>
              </x14:cfvo>
              <x14:cfvo type="num">
                <xm:f>1</xm:f>
              </x14:cfvo>
              <x14:borderColor rgb="FF00B0F0"/>
              <x14:negativeFillColor rgb="FFFF0000"/>
              <x14:axisColor rgb="FF000000"/>
            </x14:dataBar>
          </x14:cfRule>
          <xm:sqref>T48</xm:sqref>
        </x14:conditionalFormatting>
        <x14:conditionalFormatting xmlns:xm="http://schemas.microsoft.com/office/excel/2006/main">
          <x14:cfRule type="dataBar" id="{5BEB5046-84F1-418E-A4BD-51FE52E8FE3E}">
            <x14:dataBar minLength="0" maxLength="100" border="1" gradient="0">
              <x14:cfvo type="num">
                <xm:f>0</xm:f>
              </x14:cfvo>
              <x14:cfvo type="num">
                <xm:f>1</xm:f>
              </x14:cfvo>
              <x14:borderColor rgb="FF00B0F0"/>
              <x14:negativeFillColor rgb="FFFF0000"/>
              <x14:axisColor rgb="FF000000"/>
            </x14:dataBar>
          </x14:cfRule>
          <xm:sqref>T54</xm:sqref>
        </x14:conditionalFormatting>
        <x14:conditionalFormatting xmlns:xm="http://schemas.microsoft.com/office/excel/2006/main">
          <x14:cfRule type="dataBar" id="{8C567E3D-71B2-4EA3-BC0E-A09BF439DCE9}">
            <x14:dataBar minLength="0" maxLength="100" border="1" gradient="0">
              <x14:cfvo type="num">
                <xm:f>0</xm:f>
              </x14:cfvo>
              <x14:cfvo type="num">
                <xm:f>1</xm:f>
              </x14:cfvo>
              <x14:borderColor rgb="FF00B0F0"/>
              <x14:negativeFillColor rgb="FFFF0000"/>
              <x14:axisColor rgb="FF000000"/>
            </x14:dataBar>
          </x14:cfRule>
          <xm:sqref>T60</xm:sqref>
        </x14:conditionalFormatting>
        <x14:conditionalFormatting xmlns:xm="http://schemas.microsoft.com/office/excel/2006/main">
          <x14:cfRule type="dataBar" id="{DBC9C770-5E4F-4A90-8F21-9857079678E8}">
            <x14:dataBar minLength="0" maxLength="100" border="1" gradient="0">
              <x14:cfvo type="num">
                <xm:f>0</xm:f>
              </x14:cfvo>
              <x14:cfvo type="num">
                <xm:f>1</xm:f>
              </x14:cfvo>
              <x14:borderColor rgb="FF00B0F0"/>
              <x14:negativeFillColor rgb="FFFF0000"/>
              <x14:axisColor rgb="FF000000"/>
            </x14:dataBar>
          </x14:cfRule>
          <xm:sqref>T66</xm:sqref>
        </x14:conditionalFormatting>
        <x14:conditionalFormatting xmlns:xm="http://schemas.microsoft.com/office/excel/2006/main">
          <x14:cfRule type="dataBar" id="{57619A53-AB96-4A6F-9B13-6D5E97ADAF81}">
            <x14:dataBar minLength="0" maxLength="100" border="1" gradient="0">
              <x14:cfvo type="num">
                <xm:f>0</xm:f>
              </x14:cfvo>
              <x14:cfvo type="num">
                <xm:f>1</xm:f>
              </x14:cfvo>
              <x14:borderColor rgb="FF00B0F0"/>
              <x14:negativeFillColor rgb="FFFF0000"/>
              <x14:axisColor rgb="FF000000"/>
            </x14:dataBar>
          </x14:cfRule>
          <xm:sqref>T72</xm:sqref>
        </x14:conditionalFormatting>
        <x14:conditionalFormatting xmlns:xm="http://schemas.microsoft.com/office/excel/2006/main">
          <x14:cfRule type="dataBar" id="{7A724820-5710-44B8-92ED-3534704915D9}">
            <x14:dataBar minLength="0" maxLength="100" border="1" gradient="0">
              <x14:cfvo type="num">
                <xm:f>0</xm:f>
              </x14:cfvo>
              <x14:cfvo type="num">
                <xm:f>1</xm:f>
              </x14:cfvo>
              <x14:borderColor rgb="FF00B0F0"/>
              <x14:negativeFillColor rgb="FFFF0000"/>
              <x14:axisColor rgb="FF000000"/>
            </x14:dataBar>
          </x14:cfRule>
          <xm:sqref>T78</xm:sqref>
        </x14:conditionalFormatting>
        <x14:conditionalFormatting xmlns:xm="http://schemas.microsoft.com/office/excel/2006/main">
          <x14:cfRule type="dataBar" id="{DDADCCDC-1FB0-4351-B21A-F15AFA578750}">
            <x14:dataBar minLength="0" maxLength="100" border="1" gradient="0">
              <x14:cfvo type="num">
                <xm:f>0</xm:f>
              </x14:cfvo>
              <x14:cfvo type="num">
                <xm:f>1</xm:f>
              </x14:cfvo>
              <x14:borderColor rgb="FF00B0F0"/>
              <x14:negativeFillColor rgb="FFFF0000"/>
              <x14:axisColor rgb="FF000000"/>
            </x14:dataBar>
          </x14:cfRule>
          <xm:sqref>T83</xm:sqref>
        </x14:conditionalFormatting>
        <x14:conditionalFormatting xmlns:xm="http://schemas.microsoft.com/office/excel/2006/main">
          <x14:cfRule type="dataBar" id="{3005A6D4-EC68-411C-BF75-B5E1BF875733}">
            <x14:dataBar minLength="0" maxLength="100" border="1" gradient="0">
              <x14:cfvo type="num">
                <xm:f>0</xm:f>
              </x14:cfvo>
              <x14:cfvo type="num">
                <xm:f>1</xm:f>
              </x14:cfvo>
              <x14:borderColor rgb="FF00B0F0"/>
              <x14:negativeFillColor rgb="FFFF0000"/>
              <x14:axisColor rgb="FF000000"/>
            </x14:dataBar>
          </x14:cfRule>
          <xm:sqref>T89</xm:sqref>
        </x14:conditionalFormatting>
        <x14:conditionalFormatting xmlns:xm="http://schemas.microsoft.com/office/excel/2006/main">
          <x14:cfRule type="dataBar" id="{FA113320-E444-4F10-8233-F7C210C801D6}">
            <x14:dataBar minLength="0" maxLength="100" border="1" gradient="0">
              <x14:cfvo type="num">
                <xm:f>0</xm:f>
              </x14:cfvo>
              <x14:cfvo type="num">
                <xm:f>1</xm:f>
              </x14:cfvo>
              <x14:borderColor rgb="FF00B0F0"/>
              <x14:negativeFillColor rgb="FFFF0000"/>
              <x14:axisColor rgb="FF000000"/>
            </x14:dataBar>
          </x14:cfRule>
          <xm:sqref>T95</xm:sqref>
        </x14:conditionalFormatting>
        <x14:conditionalFormatting xmlns:xm="http://schemas.microsoft.com/office/excel/2006/main">
          <x14:cfRule type="dataBar" id="{3AA93B93-8A5A-4A04-A2C7-F52C338EEF05}">
            <x14:dataBar minLength="0" maxLength="100" border="1" gradient="0">
              <x14:cfvo type="num">
                <xm:f>0</xm:f>
              </x14:cfvo>
              <x14:cfvo type="num">
                <xm:f>1</xm:f>
              </x14:cfvo>
              <x14:borderColor rgb="FF00B0F0"/>
              <x14:negativeFillColor rgb="FFFF0000"/>
              <x14:axisColor rgb="FF000000"/>
            </x14:dataBar>
          </x14:cfRule>
          <xm:sqref>T103</xm:sqref>
        </x14:conditionalFormatting>
        <x14:conditionalFormatting xmlns:xm="http://schemas.microsoft.com/office/excel/2006/main">
          <x14:cfRule type="dataBar" id="{CDFC7213-B76C-46EA-9FD4-C7BDB4FC23C5}">
            <x14:dataBar minLength="0" maxLength="100" border="1" gradient="0">
              <x14:cfvo type="num">
                <xm:f>0</xm:f>
              </x14:cfvo>
              <x14:cfvo type="num">
                <xm:f>1</xm:f>
              </x14:cfvo>
              <x14:borderColor rgb="FF00B0F0"/>
              <x14:negativeFillColor rgb="FFFF0000"/>
              <x14:axisColor rgb="FF000000"/>
            </x14:dataBar>
          </x14:cfRule>
          <xm:sqref>T109</xm:sqref>
        </x14:conditionalFormatting>
        <x14:conditionalFormatting xmlns:xm="http://schemas.microsoft.com/office/excel/2006/main">
          <x14:cfRule type="dataBar" id="{71496227-C07B-4A79-8985-807D854A58D7}">
            <x14:dataBar minLength="0" maxLength="100" border="1" gradient="0">
              <x14:cfvo type="num">
                <xm:f>0</xm:f>
              </x14:cfvo>
              <x14:cfvo type="num">
                <xm:f>1</xm:f>
              </x14:cfvo>
              <x14:borderColor rgb="FF00B0F0"/>
              <x14:negativeFillColor rgb="FFFF0000"/>
              <x14:axisColor rgb="FF000000"/>
            </x14:dataBar>
          </x14:cfRule>
          <xm:sqref>T113</xm:sqref>
        </x14:conditionalFormatting>
        <x14:conditionalFormatting xmlns:xm="http://schemas.microsoft.com/office/excel/2006/main">
          <x14:cfRule type="dataBar" id="{69BEE9F6-B5ED-4699-83DF-5FE9B4ED9892}">
            <x14:dataBar minLength="0" maxLength="100" border="1" gradient="0">
              <x14:cfvo type="num">
                <xm:f>0</xm:f>
              </x14:cfvo>
              <x14:cfvo type="num">
                <xm:f>1</xm:f>
              </x14:cfvo>
              <x14:borderColor rgb="FF00B0F0"/>
              <x14:negativeFillColor rgb="FFFF0000"/>
              <x14:axisColor rgb="FF000000"/>
            </x14:dataBar>
          </x14:cfRule>
          <xm:sqref>T118</xm:sqref>
        </x14:conditionalFormatting>
        <x14:conditionalFormatting xmlns:xm="http://schemas.microsoft.com/office/excel/2006/main">
          <x14:cfRule type="dataBar" id="{AA1670BF-7D75-4B1A-BAFB-52656A111CF1}">
            <x14:dataBar minLength="0" maxLength="100" border="1" gradient="0">
              <x14:cfvo type="num">
                <xm:f>0</xm:f>
              </x14:cfvo>
              <x14:cfvo type="num">
                <xm:f>1</xm:f>
              </x14:cfvo>
              <x14:borderColor rgb="FF00B0F0"/>
              <x14:negativeFillColor rgb="FFFF0000"/>
              <x14:axisColor rgb="FF000000"/>
            </x14:dataBar>
          </x14:cfRule>
          <xm:sqref>T124</xm:sqref>
        </x14:conditionalFormatting>
        <x14:conditionalFormatting xmlns:xm="http://schemas.microsoft.com/office/excel/2006/main">
          <x14:cfRule type="dataBar" id="{C7896885-2C7F-461D-BE03-2E139439E756}">
            <x14:dataBar minLength="0" maxLength="100" border="1" gradient="0">
              <x14:cfvo type="num">
                <xm:f>0</xm:f>
              </x14:cfvo>
              <x14:cfvo type="num">
                <xm:f>1</xm:f>
              </x14:cfvo>
              <x14:borderColor rgb="FF00B0F0"/>
              <x14:negativeFillColor rgb="FFFF0000"/>
              <x14:axisColor rgb="FF000000"/>
            </x14:dataBar>
          </x14:cfRule>
          <xm:sqref>T129</xm:sqref>
        </x14:conditionalFormatting>
        <x14:conditionalFormatting xmlns:xm="http://schemas.microsoft.com/office/excel/2006/main">
          <x14:cfRule type="dataBar" id="{85BF58BB-3007-4958-BAEE-002301E7C7AC}">
            <x14:dataBar minLength="0" maxLength="100" border="1" gradient="0">
              <x14:cfvo type="num">
                <xm:f>0</xm:f>
              </x14:cfvo>
              <x14:cfvo type="num">
                <xm:f>1</xm:f>
              </x14:cfvo>
              <x14:borderColor rgb="FF00B0F0"/>
              <x14:negativeFillColor rgb="FFFF0000"/>
              <x14:axisColor rgb="FF000000"/>
            </x14:dataBar>
          </x14:cfRule>
          <xm:sqref>T135</xm:sqref>
        </x14:conditionalFormatting>
        <x14:conditionalFormatting xmlns:xm="http://schemas.microsoft.com/office/excel/2006/main">
          <x14:cfRule type="dataBar" id="{9A77416C-596D-4D22-8AB1-8183BC60A497}">
            <x14:dataBar minLength="0" maxLength="100" border="1" gradient="0">
              <x14:cfvo type="num">
                <xm:f>0</xm:f>
              </x14:cfvo>
              <x14:cfvo type="num">
                <xm:f>1</xm:f>
              </x14:cfvo>
              <x14:borderColor rgb="FF00B0F0"/>
              <x14:negativeFillColor rgb="FFFF0000"/>
              <x14:axisColor rgb="FF000000"/>
            </x14:dataBar>
          </x14:cfRule>
          <xm:sqref>T141</xm:sqref>
        </x14:conditionalFormatting>
        <x14:conditionalFormatting xmlns:xm="http://schemas.microsoft.com/office/excel/2006/main">
          <x14:cfRule type="dataBar" id="{1C1AF6EA-1ECA-439E-9B32-27EF3BD3E63E}">
            <x14:dataBar minLength="0" maxLength="100" border="1" gradient="0">
              <x14:cfvo type="num">
                <xm:f>0</xm:f>
              </x14:cfvo>
              <x14:cfvo type="num">
                <xm:f>1</xm:f>
              </x14:cfvo>
              <x14:borderColor rgb="FF00B0F0"/>
              <x14:negativeFillColor rgb="FFFF0000"/>
              <x14:axisColor rgb="FF000000"/>
            </x14:dataBar>
          </x14:cfRule>
          <xm:sqref>T147</xm:sqref>
        </x14:conditionalFormatting>
        <x14:conditionalFormatting xmlns:xm="http://schemas.microsoft.com/office/excel/2006/main">
          <x14:cfRule type="dataBar" id="{1EE90990-A6CA-4DF5-9A3C-F4EA6400D781}">
            <x14:dataBar minLength="0" maxLength="100" border="1" gradient="0">
              <x14:cfvo type="num">
                <xm:f>0</xm:f>
              </x14:cfvo>
              <x14:cfvo type="num">
                <xm:f>1</xm:f>
              </x14:cfvo>
              <x14:borderColor rgb="FF00B0F0"/>
              <x14:negativeFillColor rgb="FFFF0000"/>
              <x14:axisColor rgb="FF000000"/>
            </x14:dataBar>
          </x14:cfRule>
          <xm:sqref>T152</xm:sqref>
        </x14:conditionalFormatting>
        <x14:conditionalFormatting xmlns:xm="http://schemas.microsoft.com/office/excel/2006/main">
          <x14:cfRule type="dataBar" id="{50520FEE-F972-4B6B-96FA-BE8826D6639F}">
            <x14:dataBar minLength="0" maxLength="100" border="1" gradient="0">
              <x14:cfvo type="num">
                <xm:f>0</xm:f>
              </x14:cfvo>
              <x14:cfvo type="num">
                <xm:f>1</xm:f>
              </x14:cfvo>
              <x14:borderColor rgb="FF00B0F0"/>
              <x14:negativeFillColor rgb="FFFF0000"/>
              <x14:axisColor rgb="FF000000"/>
            </x14:dataBar>
          </x14:cfRule>
          <xm:sqref>T159</xm:sqref>
        </x14:conditionalFormatting>
        <x14:conditionalFormatting xmlns:xm="http://schemas.microsoft.com/office/excel/2006/main">
          <x14:cfRule type="dataBar" id="{7C2B6123-4DCC-4A44-8D92-62C468BAF844}">
            <x14:dataBar minLength="0" maxLength="100" border="1" gradient="0">
              <x14:cfvo type="num">
                <xm:f>0</xm:f>
              </x14:cfvo>
              <x14:cfvo type="num">
                <xm:f>1</xm:f>
              </x14:cfvo>
              <x14:borderColor rgb="FF00B0F0"/>
              <x14:negativeFillColor rgb="FFFF0000"/>
              <x14:axisColor rgb="FF000000"/>
            </x14:dataBar>
          </x14:cfRule>
          <xm:sqref>T165</xm:sqref>
        </x14:conditionalFormatting>
        <x14:conditionalFormatting xmlns:xm="http://schemas.microsoft.com/office/excel/2006/main">
          <x14:cfRule type="dataBar" id="{B88886DA-56D3-4247-801E-4E6A9060B6C0}">
            <x14:dataBar minLength="0" maxLength="100" border="1" gradient="0">
              <x14:cfvo type="num">
                <xm:f>0</xm:f>
              </x14:cfvo>
              <x14:cfvo type="num">
                <xm:f>1</xm:f>
              </x14:cfvo>
              <x14:borderColor rgb="FF00B0F0"/>
              <x14:negativeFillColor rgb="FFFF0000"/>
              <x14:axisColor rgb="FF000000"/>
            </x14:dataBar>
          </x14:cfRule>
          <xm:sqref>T171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5300-000001000000}">
          <x14:formula1>
            <xm:f>Dictionary!$I$46:$I$51</xm:f>
          </x14:formula1>
          <xm:sqref>E11 E17:E36 E42:E95 E103:E171</xm:sqref>
        </x14:dataValidation>
      </x14:dataValidation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Admin_Overview">
    <tabColor rgb="FFC00000"/>
    <pageSetUpPr fitToPage="1"/>
  </sheetPr>
  <dimension ref="B1:T217"/>
  <sheetViews>
    <sheetView showGridLines="0" zoomScale="80" zoomScaleNormal="80" zoomScalePageLayoutView="125" workbookViewId="0">
      <selection activeCell="I12" sqref="I12:M28"/>
    </sheetView>
  </sheetViews>
  <sheetFormatPr baseColWidth="10" defaultColWidth="10" defaultRowHeight="14"/>
  <cols>
    <col min="1" max="1" width="2.33203125" style="314" customWidth="1"/>
    <col min="2" max="2" width="7.5" style="313" customWidth="1"/>
    <col min="3" max="3" width="48" style="314" customWidth="1"/>
    <col min="4" max="4" width="2.5" style="315" customWidth="1"/>
    <col min="5" max="5" width="13.33203125" style="314" customWidth="1"/>
    <col min="6" max="6" width="2.5" style="314" customWidth="1"/>
    <col min="7" max="7" width="10.6640625" style="314" customWidth="1"/>
    <col min="8" max="8" width="2.5" style="314" customWidth="1"/>
    <col min="9" max="9" width="16" style="313" customWidth="1"/>
    <col min="10" max="10" width="3.1640625" style="314" customWidth="1"/>
    <col min="11" max="11" width="14.6640625" style="314" customWidth="1"/>
    <col min="12" max="12" width="29" style="314" customWidth="1"/>
    <col min="13" max="13" width="14.6640625" style="314" customWidth="1"/>
    <col min="14" max="14" width="1.6640625" style="314" customWidth="1"/>
    <col min="15" max="16" width="14" style="314" customWidth="1"/>
    <col min="17" max="17" width="14" style="314" hidden="1" customWidth="1"/>
    <col min="18" max="20" width="9.5" style="314" hidden="1" customWidth="1"/>
    <col min="21" max="21" width="10" style="314" customWidth="1"/>
    <col min="22" max="16384" width="10" style="314"/>
  </cols>
  <sheetData>
    <row r="1" spans="2:20" ht="18.75" customHeight="1">
      <c r="M1" s="1831" t="str">
        <f>COV!L26</f>
        <v>PM ZERT</v>
      </c>
    </row>
    <row r="2" spans="2:20" ht="18" customHeight="1">
      <c r="B2" s="1660"/>
      <c r="C2" s="1896" t="str">
        <f>COV!D94&amp;IF(COV!D94="",""," ")&amp;Dictionary!B960</f>
        <v>Leistungsübersicht</v>
      </c>
      <c r="D2" s="1897"/>
      <c r="E2" s="1898"/>
      <c r="F2" s="1898"/>
      <c r="G2" s="1898"/>
      <c r="H2" s="1898"/>
      <c r="I2" s="1899"/>
      <c r="J2" s="1900"/>
      <c r="K2" s="1901"/>
      <c r="L2" s="1902" t="str">
        <f>F01_APPL_TYPE&amp;", "&amp;"Level:"</f>
        <v>Erstzertifizierung, Level:</v>
      </c>
      <c r="M2" s="1903" t="str">
        <f>APPLICATION_LVL&amp;", "&amp;APPLICATION_DOM</f>
        <v>A, Projekt</v>
      </c>
      <c r="N2" s="317"/>
      <c r="O2" s="317"/>
      <c r="Q2" s="317"/>
      <c r="R2" s="318"/>
      <c r="S2" s="318"/>
      <c r="T2" s="318"/>
    </row>
    <row r="3" spans="2:20" ht="19.25" customHeight="1">
      <c r="B3" s="1661"/>
      <c r="C3" s="1891" t="str">
        <f>'EXP Eval'!B3</f>
        <v xml:space="preserve">, </v>
      </c>
      <c r="D3" s="1892"/>
      <c r="E3" s="1893"/>
      <c r="F3" s="1893"/>
      <c r="G3" s="1893"/>
      <c r="H3" s="1893"/>
      <c r="I3" s="1894" t="str">
        <f>COV!D8</f>
        <v xml:space="preserve">Geburtsdatum: </v>
      </c>
      <c r="J3" s="2519">
        <f>COV!E8</f>
        <v>0</v>
      </c>
      <c r="K3" s="2520"/>
      <c r="L3" s="1894" t="str">
        <f>COV!S12</f>
        <v>Zert. Nummer:</v>
      </c>
      <c r="M3" s="1895" t="str">
        <f>Cert_Round</f>
        <v>Zert. Nummer:</v>
      </c>
      <c r="N3" s="317"/>
      <c r="O3" s="321"/>
      <c r="Q3" s="321"/>
      <c r="R3" s="321"/>
      <c r="S3" s="321"/>
      <c r="T3" s="321"/>
    </row>
    <row r="4" spans="2:20" ht="19.25" customHeight="1">
      <c r="C4" s="324"/>
      <c r="E4" s="317"/>
      <c r="F4" s="317"/>
      <c r="G4" s="317"/>
      <c r="H4" s="317"/>
      <c r="I4" s="328"/>
      <c r="J4" s="328"/>
      <c r="K4" s="526"/>
      <c r="L4" s="328"/>
      <c r="M4" s="526"/>
      <c r="N4" s="317"/>
      <c r="O4" s="321"/>
      <c r="P4" s="321"/>
      <c r="Q4" s="321"/>
      <c r="R4" s="321"/>
      <c r="S4" s="321"/>
      <c r="T4" s="321"/>
    </row>
    <row r="5" spans="2:20" ht="19.25" customHeight="1">
      <c r="B5" s="390">
        <f>IF(LD_MODE="",Scoring!C6,IF(GC_Flag="",'Level D Scoring'!B4,'D+ INT'!B4))</f>
        <v>0</v>
      </c>
      <c r="C5" s="1640" t="str">
        <f>Dictionary!B957</f>
        <v>Perspective Kompetenz Elemente erfüllt</v>
      </c>
      <c r="D5" s="317"/>
      <c r="E5" s="1653"/>
      <c r="F5" s="1654"/>
      <c r="G5" s="1655"/>
      <c r="H5" s="317"/>
      <c r="I5" s="420"/>
      <c r="J5" s="421"/>
      <c r="K5" s="421"/>
      <c r="L5" s="421"/>
      <c r="M5" s="422"/>
      <c r="N5" s="317"/>
      <c r="O5" s="321"/>
      <c r="P5" s="321"/>
      <c r="Q5" s="321"/>
      <c r="R5" s="321"/>
      <c r="S5" s="321"/>
      <c r="T5" s="321"/>
    </row>
    <row r="6" spans="2:20" ht="19.25" customHeight="1">
      <c r="B6" s="394">
        <f>IF(LD_MODE="",Scoring!C7,IF(GC_Flag="",'Level D Scoring'!B5,'D+ INT'!B5))</f>
        <v>0</v>
      </c>
      <c r="C6" s="1641" t="str">
        <f>Dictionary!B958</f>
        <v>People Kompetenz Elemente erfüllt</v>
      </c>
      <c r="D6" s="317"/>
      <c r="E6" s="1656"/>
      <c r="F6" s="317"/>
      <c r="G6" s="1657"/>
      <c r="H6" s="317"/>
      <c r="I6" s="423" t="str">
        <f>Dictionary!B961</f>
        <v>Schriftliche Prüfungsvariante:</v>
      </c>
      <c r="J6" s="424"/>
      <c r="K6" s="424"/>
      <c r="L6" s="2521" t="str">
        <f>IF('(8) Exam Evaluation'!C4="",IF('Level D Scoring'!Y5="",IF('BAS Scoring'!Y5="",Dictionary!B19,'BAS Scoring'!Y5),'Level D Scoring'!Y5),'(8) Exam Evaluation'!C4)</f>
        <v>Custom</v>
      </c>
      <c r="M6" s="2522"/>
      <c r="N6" s="317"/>
      <c r="O6" s="321"/>
      <c r="P6" s="321"/>
      <c r="Q6" s="321"/>
      <c r="R6" s="321"/>
      <c r="S6" s="321"/>
      <c r="T6" s="321"/>
    </row>
    <row r="7" spans="2:20" ht="19.25" customHeight="1">
      <c r="B7" s="394">
        <f>IF(LD_MODE="",Scoring!C8,IF(GC_Flag="",'Level D Scoring'!B6,'D+ INT'!B6))</f>
        <v>0</v>
      </c>
      <c r="C7" s="1641" t="str">
        <f>Dictionary!B959</f>
        <v>Practice Kompetenz Elemente erfüllt</v>
      </c>
      <c r="D7" s="317"/>
      <c r="E7" s="1656"/>
      <c r="F7" s="317"/>
      <c r="G7" s="1657"/>
      <c r="H7" s="317"/>
      <c r="I7" s="423" t="str">
        <f>Dictionary!B962</f>
        <v>Workshop-Szenario:</v>
      </c>
      <c r="J7" s="424"/>
      <c r="K7" s="424"/>
      <c r="L7" s="2523" t="str">
        <f>IF(Scoring!AG8="",Dictionary!B19,Scoring!AG8)</f>
        <v>- KEINE ANGABE -</v>
      </c>
      <c r="M7" s="2524"/>
      <c r="N7" s="317"/>
      <c r="O7" s="321"/>
      <c r="P7" s="321"/>
      <c r="Q7" s="321"/>
      <c r="R7" s="321"/>
      <c r="S7" s="321"/>
      <c r="T7" s="321"/>
    </row>
    <row r="8" spans="2:20" ht="17" customHeight="1">
      <c r="B8" s="1643">
        <f>Scoring!C9</f>
        <v>0</v>
      </c>
      <c r="C8" s="1642" t="str">
        <f>Scoring!D9</f>
        <v xml:space="preserve">Gesamt Ergebnis: </v>
      </c>
      <c r="D8" s="317"/>
      <c r="E8" s="1656"/>
      <c r="F8" s="317"/>
      <c r="G8" s="1657"/>
      <c r="H8" s="317"/>
      <c r="I8" s="1385"/>
      <c r="M8" s="1658"/>
      <c r="N8" s="317"/>
      <c r="O8" s="321"/>
      <c r="P8" s="321"/>
      <c r="Q8" s="321"/>
      <c r="R8" s="323"/>
      <c r="S8" s="323"/>
      <c r="T8" s="318"/>
    </row>
    <row r="9" spans="2:20" s="326" customFormat="1" ht="10.25" customHeight="1">
      <c r="B9" s="399"/>
      <c r="C9" s="400"/>
      <c r="D9" s="327"/>
      <c r="E9" s="425"/>
      <c r="F9" s="1651"/>
      <c r="G9" s="1652"/>
      <c r="I9" s="425"/>
      <c r="J9" s="426"/>
      <c r="K9" s="426"/>
      <c r="L9" s="426"/>
      <c r="M9" s="427"/>
      <c r="N9" s="321"/>
      <c r="O9" s="321"/>
      <c r="P9" s="321"/>
      <c r="Q9" s="321"/>
      <c r="R9" s="331"/>
      <c r="S9" s="331"/>
      <c r="T9" s="325"/>
    </row>
    <row r="10" spans="2:20" s="326" customFormat="1" ht="17.25" customHeight="1">
      <c r="B10" s="332"/>
      <c r="C10" s="401"/>
      <c r="D10" s="327"/>
      <c r="E10" s="317"/>
      <c r="I10" s="328"/>
      <c r="J10" s="328"/>
      <c r="K10" s="328"/>
      <c r="L10" s="330"/>
      <c r="M10" s="321"/>
      <c r="N10" s="321"/>
      <c r="O10" s="321"/>
      <c r="P10" s="321"/>
      <c r="Q10" s="321"/>
      <c r="R10" s="331"/>
      <c r="S10" s="331"/>
      <c r="T10" s="325"/>
    </row>
    <row r="11" spans="2:20" s="326" customFormat="1" ht="17.25" customHeight="1">
      <c r="B11" s="1645"/>
      <c r="C11" s="1662" t="str">
        <f>EVAL_RECORD_H1_STEP</f>
        <v>Prozessschritt:</v>
      </c>
      <c r="D11" s="1662"/>
      <c r="E11" s="1662" t="str">
        <f>COV!L8</f>
        <v>Datum:</v>
      </c>
      <c r="F11" s="1662"/>
      <c r="G11" s="1662" t="str">
        <f>EVAL_RECORD_H1_RES</f>
        <v>Ergebnis:</v>
      </c>
      <c r="H11" s="1585"/>
      <c r="I11" s="2528" t="str">
        <f>I30</f>
        <v>Kommentare</v>
      </c>
      <c r="J11" s="2529"/>
      <c r="K11" s="2529"/>
      <c r="L11" s="2529"/>
      <c r="M11" s="2530"/>
      <c r="N11" s="321"/>
      <c r="O11" s="321"/>
      <c r="P11" s="321"/>
      <c r="Q11" s="321"/>
      <c r="R11" s="331"/>
      <c r="S11" s="331"/>
      <c r="T11" s="325"/>
    </row>
    <row r="12" spans="2:20" s="326" customFormat="1" ht="17.25" customHeight="1">
      <c r="B12" s="1663">
        <f>COV!I9</f>
        <v>1</v>
      </c>
      <c r="C12" s="1639" t="str">
        <f>IF(COV!M9="","",COV!M9)</f>
        <v/>
      </c>
      <c r="D12" s="1646"/>
      <c r="E12" s="1644" t="str">
        <f>IF(COV!L9="","",COV!L9)</f>
        <v/>
      </c>
      <c r="F12" s="1646"/>
      <c r="G12" s="1644" t="str">
        <f>IF(COV!N9="","",COV!N9)</f>
        <v/>
      </c>
      <c r="H12" s="1647"/>
      <c r="I12" s="2531"/>
      <c r="J12" s="2532"/>
      <c r="K12" s="2532"/>
      <c r="L12" s="2532"/>
      <c r="M12" s="2533"/>
      <c r="N12" s="321"/>
      <c r="O12" s="321"/>
      <c r="P12" s="321"/>
      <c r="Q12" s="321"/>
      <c r="R12" s="331"/>
      <c r="S12" s="331"/>
      <c r="T12" s="325"/>
    </row>
    <row r="13" spans="2:20" s="326" customFormat="1" ht="17.25" customHeight="1">
      <c r="B13" s="1663">
        <f>COV!I10</f>
        <v>2</v>
      </c>
      <c r="C13" s="1639" t="str">
        <f>IF(COV!M10="","",COV!M10)</f>
        <v/>
      </c>
      <c r="D13" s="1646"/>
      <c r="E13" s="1644" t="str">
        <f>IF(COV!L10="","",COV!L10)</f>
        <v/>
      </c>
      <c r="F13" s="1646"/>
      <c r="G13" s="1644" t="str">
        <f>IF(COV!N10="","",COV!N10)</f>
        <v/>
      </c>
      <c r="H13" s="1647"/>
      <c r="I13" s="2534"/>
      <c r="J13" s="2535"/>
      <c r="K13" s="2535"/>
      <c r="L13" s="2535"/>
      <c r="M13" s="2536"/>
      <c r="N13" s="321"/>
      <c r="O13" s="321"/>
      <c r="P13" s="321"/>
      <c r="Q13" s="321"/>
      <c r="R13" s="331"/>
      <c r="S13" s="331"/>
      <c r="T13" s="325"/>
    </row>
    <row r="14" spans="2:20" s="326" customFormat="1" ht="17.25" customHeight="1">
      <c r="B14" s="1663">
        <f>COV!I11</f>
        <v>3</v>
      </c>
      <c r="C14" s="1639" t="str">
        <f>IF(COV!M11="","",COV!M11)</f>
        <v/>
      </c>
      <c r="D14" s="1646"/>
      <c r="E14" s="1644" t="str">
        <f>IF(COV!L11="","",COV!L11)</f>
        <v/>
      </c>
      <c r="F14" s="1646"/>
      <c r="G14" s="1644" t="str">
        <f>IF(COV!N11="","",COV!N11)</f>
        <v/>
      </c>
      <c r="H14" s="1647"/>
      <c r="I14" s="2534"/>
      <c r="J14" s="2535"/>
      <c r="K14" s="2535"/>
      <c r="L14" s="2535"/>
      <c r="M14" s="2536"/>
      <c r="N14" s="321"/>
      <c r="O14" s="321"/>
      <c r="P14" s="321"/>
      <c r="Q14" s="321"/>
      <c r="R14" s="331"/>
      <c r="S14" s="331"/>
      <c r="T14" s="325"/>
    </row>
    <row r="15" spans="2:20" s="326" customFormat="1" ht="17.25" customHeight="1">
      <c r="B15" s="1663">
        <f>COV!I12</f>
        <v>4</v>
      </c>
      <c r="C15" s="1639" t="str">
        <f>IF(COV!M12="","",COV!M12)</f>
        <v/>
      </c>
      <c r="D15" s="1646"/>
      <c r="E15" s="1644" t="str">
        <f>IF(COV!L12="","",COV!L12)</f>
        <v/>
      </c>
      <c r="F15" s="1646"/>
      <c r="G15" s="1644" t="str">
        <f>IF(COV!N12="","",COV!N12)</f>
        <v/>
      </c>
      <c r="H15" s="1647"/>
      <c r="I15" s="2534"/>
      <c r="J15" s="2535"/>
      <c r="K15" s="2535"/>
      <c r="L15" s="2535"/>
      <c r="M15" s="2536"/>
      <c r="N15" s="321"/>
      <c r="O15" s="321"/>
      <c r="P15" s="321"/>
      <c r="Q15" s="321"/>
      <c r="R15" s="331"/>
      <c r="S15" s="331"/>
      <c r="T15" s="325"/>
    </row>
    <row r="16" spans="2:20" s="326" customFormat="1" ht="17.25" customHeight="1">
      <c r="B16" s="1663">
        <f>COV!I13</f>
        <v>5</v>
      </c>
      <c r="C16" s="1639" t="str">
        <f>IF(COV!M13="","",COV!M13)</f>
        <v/>
      </c>
      <c r="D16" s="1646"/>
      <c r="E16" s="1644" t="str">
        <f>IF(COV!L13="","",COV!L13)</f>
        <v/>
      </c>
      <c r="F16" s="1646"/>
      <c r="G16" s="1644" t="str">
        <f>IF(COV!N13="","",COV!N13)</f>
        <v/>
      </c>
      <c r="H16" s="1647"/>
      <c r="I16" s="2534"/>
      <c r="J16" s="2535"/>
      <c r="K16" s="2535"/>
      <c r="L16" s="2535"/>
      <c r="M16" s="2536"/>
      <c r="N16" s="321"/>
      <c r="O16" s="321"/>
      <c r="P16" s="321"/>
      <c r="Q16" s="321"/>
      <c r="R16" s="331"/>
      <c r="S16" s="331"/>
      <c r="T16" s="325"/>
    </row>
    <row r="17" spans="2:20" s="326" customFormat="1" ht="17.25" customHeight="1">
      <c r="B17" s="1663">
        <f>COV!I14</f>
        <v>6</v>
      </c>
      <c r="C17" s="1639" t="str">
        <f>IF(COV!M14="","",COV!M14)</f>
        <v/>
      </c>
      <c r="D17" s="1646"/>
      <c r="E17" s="1644" t="str">
        <f>IF(COV!L14="","",COV!L14)</f>
        <v/>
      </c>
      <c r="F17" s="1646"/>
      <c r="G17" s="1644" t="str">
        <f>IF(COV!N14="","",COV!N14)</f>
        <v/>
      </c>
      <c r="H17" s="1647"/>
      <c r="I17" s="2534"/>
      <c r="J17" s="2535"/>
      <c r="K17" s="2535"/>
      <c r="L17" s="2535"/>
      <c r="M17" s="2536"/>
      <c r="N17" s="321"/>
      <c r="O17" s="321"/>
      <c r="P17" s="321"/>
      <c r="Q17" s="321"/>
      <c r="R17" s="331"/>
      <c r="S17" s="331"/>
      <c r="T17" s="325"/>
    </row>
    <row r="18" spans="2:20" s="326" customFormat="1" ht="17.25" customHeight="1">
      <c r="B18" s="1663">
        <f>COV!I15</f>
        <v>7</v>
      </c>
      <c r="C18" s="1639" t="str">
        <f>IF(COV!M15="","",COV!M15)</f>
        <v/>
      </c>
      <c r="D18" s="1646"/>
      <c r="E18" s="1644" t="str">
        <f>IF(COV!L15="","",COV!L15)</f>
        <v/>
      </c>
      <c r="F18" s="1646"/>
      <c r="G18" s="1644" t="str">
        <f>IF(COV!N15="","",COV!N15)</f>
        <v/>
      </c>
      <c r="H18" s="1647"/>
      <c r="I18" s="2534"/>
      <c r="J18" s="2535"/>
      <c r="K18" s="2535"/>
      <c r="L18" s="2535"/>
      <c r="M18" s="2536"/>
      <c r="N18" s="321"/>
      <c r="O18" s="321"/>
      <c r="P18" s="321"/>
      <c r="Q18" s="321"/>
      <c r="R18" s="331"/>
      <c r="S18" s="331"/>
      <c r="T18" s="325"/>
    </row>
    <row r="19" spans="2:20" s="326" customFormat="1" ht="17.25" customHeight="1">
      <c r="B19" s="1663">
        <f>COV!I16</f>
        <v>8</v>
      </c>
      <c r="C19" s="1639" t="str">
        <f>IF(COV!M16="","",COV!M16)</f>
        <v/>
      </c>
      <c r="D19" s="1646"/>
      <c r="E19" s="1644" t="str">
        <f>IF(COV!L16="","",COV!L16)</f>
        <v/>
      </c>
      <c r="F19" s="1646"/>
      <c r="G19" s="1644" t="str">
        <f>IF(COV!N16="","",COV!N16)</f>
        <v/>
      </c>
      <c r="H19" s="1647"/>
      <c r="I19" s="2534"/>
      <c r="J19" s="2535"/>
      <c r="K19" s="2535"/>
      <c r="L19" s="2535"/>
      <c r="M19" s="2536"/>
      <c r="N19" s="321"/>
      <c r="O19" s="321"/>
      <c r="P19" s="321"/>
      <c r="Q19" s="321"/>
      <c r="R19" s="331"/>
      <c r="S19" s="331"/>
      <c r="T19" s="325"/>
    </row>
    <row r="20" spans="2:20" s="326" customFormat="1" ht="17.25" customHeight="1">
      <c r="B20" s="1663">
        <f>COV!I17</f>
        <v>9</v>
      </c>
      <c r="C20" s="1639" t="str">
        <f>IF(COV!M17="","",COV!M17)</f>
        <v/>
      </c>
      <c r="D20" s="1646"/>
      <c r="E20" s="1644" t="str">
        <f>IF(COV!L17="","",COV!L17)</f>
        <v/>
      </c>
      <c r="F20" s="1646"/>
      <c r="G20" s="1644" t="str">
        <f>IF(COV!N17="","",COV!N17)</f>
        <v/>
      </c>
      <c r="H20" s="1647"/>
      <c r="I20" s="2534"/>
      <c r="J20" s="2535"/>
      <c r="K20" s="2535"/>
      <c r="L20" s="2535"/>
      <c r="M20" s="2536"/>
      <c r="N20" s="321"/>
      <c r="O20" s="321"/>
      <c r="P20" s="321"/>
      <c r="Q20" s="321"/>
      <c r="R20" s="331"/>
      <c r="S20" s="331"/>
      <c r="T20" s="325"/>
    </row>
    <row r="21" spans="2:20" s="326" customFormat="1" ht="17.25" customHeight="1">
      <c r="B21" s="1663">
        <f>COV!I18</f>
        <v>10</v>
      </c>
      <c r="C21" s="1639" t="str">
        <f>IF(COV!M18="","",COV!M18)</f>
        <v/>
      </c>
      <c r="D21" s="1646"/>
      <c r="E21" s="1644" t="str">
        <f>IF(COV!L18="","",COV!L18)</f>
        <v/>
      </c>
      <c r="F21" s="1646"/>
      <c r="G21" s="1644" t="str">
        <f>IF(COV!N18="","",COV!N18)</f>
        <v/>
      </c>
      <c r="H21" s="1647"/>
      <c r="I21" s="2534"/>
      <c r="J21" s="2535"/>
      <c r="K21" s="2535"/>
      <c r="L21" s="2535"/>
      <c r="M21" s="2536"/>
      <c r="N21" s="321"/>
      <c r="O21" s="321"/>
      <c r="P21" s="321"/>
      <c r="Q21" s="321"/>
      <c r="R21" s="331"/>
      <c r="S21" s="331"/>
      <c r="T21" s="325"/>
    </row>
    <row r="22" spans="2:20" s="326" customFormat="1" ht="17.25" customHeight="1">
      <c r="B22" s="1663">
        <f>COV!I19</f>
        <v>11</v>
      </c>
      <c r="C22" s="1639" t="str">
        <f>IF(COV!M19="","",COV!M19)</f>
        <v/>
      </c>
      <c r="D22" s="1646"/>
      <c r="E22" s="1644" t="str">
        <f>IF(COV!L19="","",COV!L19)</f>
        <v/>
      </c>
      <c r="F22" s="1646"/>
      <c r="G22" s="1644" t="str">
        <f>IF(COV!N19="","",COV!N19)</f>
        <v/>
      </c>
      <c r="H22" s="1647"/>
      <c r="I22" s="2534"/>
      <c r="J22" s="2535"/>
      <c r="K22" s="2535"/>
      <c r="L22" s="2535"/>
      <c r="M22" s="2536"/>
      <c r="N22" s="321"/>
      <c r="O22" s="321"/>
      <c r="P22" s="321"/>
      <c r="Q22" s="321"/>
      <c r="R22" s="331"/>
      <c r="S22" s="331"/>
      <c r="T22" s="325"/>
    </row>
    <row r="23" spans="2:20" s="326" customFormat="1" ht="17.25" customHeight="1">
      <c r="B23" s="1663">
        <f>COV!I20</f>
        <v>12</v>
      </c>
      <c r="C23" s="1639" t="str">
        <f>IF(COV!M20="","",COV!M20)</f>
        <v/>
      </c>
      <c r="D23" s="1646"/>
      <c r="E23" s="1644" t="str">
        <f>IF(COV!L20="","",COV!L20)</f>
        <v/>
      </c>
      <c r="F23" s="1646"/>
      <c r="G23" s="1644" t="str">
        <f>IF(COV!N20="","",COV!N20)</f>
        <v/>
      </c>
      <c r="H23" s="1647"/>
      <c r="I23" s="2534"/>
      <c r="J23" s="2535"/>
      <c r="K23" s="2535"/>
      <c r="L23" s="2535"/>
      <c r="M23" s="2536"/>
      <c r="N23" s="321"/>
      <c r="O23" s="321"/>
      <c r="P23" s="321"/>
      <c r="Q23" s="321"/>
      <c r="R23" s="331"/>
      <c r="S23" s="331"/>
      <c r="T23" s="325"/>
    </row>
    <row r="24" spans="2:20" s="326" customFormat="1" ht="17.25" customHeight="1">
      <c r="B24" s="1663">
        <f>COV!I21</f>
        <v>13</v>
      </c>
      <c r="C24" s="1639" t="str">
        <f>IF(COV!M21="","",COV!M21)</f>
        <v/>
      </c>
      <c r="D24" s="1646"/>
      <c r="E24" s="1644" t="str">
        <f>IF(COV!L21="","",COV!L21)</f>
        <v/>
      </c>
      <c r="F24" s="1646"/>
      <c r="G24" s="1644" t="str">
        <f>IF(COV!N21="","",COV!N21)</f>
        <v/>
      </c>
      <c r="H24" s="1647"/>
      <c r="I24" s="2534"/>
      <c r="J24" s="2535"/>
      <c r="K24" s="2535"/>
      <c r="L24" s="2535"/>
      <c r="M24" s="2536"/>
      <c r="N24" s="321"/>
      <c r="O24" s="321"/>
      <c r="P24" s="321"/>
      <c r="Q24" s="321"/>
      <c r="R24" s="331"/>
      <c r="S24" s="331"/>
      <c r="T24" s="325"/>
    </row>
    <row r="25" spans="2:20" s="326" customFormat="1" ht="17.25" customHeight="1">
      <c r="B25" s="1663">
        <f>COV!I22</f>
        <v>14</v>
      </c>
      <c r="C25" s="1639" t="str">
        <f>IF(COV!M22="","",COV!M22)</f>
        <v/>
      </c>
      <c r="D25" s="1646"/>
      <c r="E25" s="1644" t="str">
        <f>IF(COV!L22="","",COV!L22)</f>
        <v/>
      </c>
      <c r="F25" s="1646"/>
      <c r="G25" s="1644" t="str">
        <f>IF(COV!N22="","",COV!N22)</f>
        <v/>
      </c>
      <c r="H25" s="1647"/>
      <c r="I25" s="2534"/>
      <c r="J25" s="2535"/>
      <c r="K25" s="2535"/>
      <c r="L25" s="2535"/>
      <c r="M25" s="2536"/>
      <c r="N25" s="321"/>
      <c r="O25" s="321"/>
      <c r="P25" s="321"/>
      <c r="Q25" s="321"/>
      <c r="R25" s="331"/>
      <c r="S25" s="331"/>
      <c r="T25" s="325"/>
    </row>
    <row r="26" spans="2:20" s="326" customFormat="1" ht="17.25" customHeight="1">
      <c r="B26" s="1663">
        <f>COV!I23</f>
        <v>15</v>
      </c>
      <c r="C26" s="1639" t="str">
        <f>IF(COV!M23="","",COV!M23)</f>
        <v/>
      </c>
      <c r="D26" s="1646"/>
      <c r="E26" s="1644" t="str">
        <f>IF(COV!L23="","",COV!L23)</f>
        <v/>
      </c>
      <c r="F26" s="1646"/>
      <c r="G26" s="1644" t="str">
        <f>IF(COV!N23="","",COV!N23)</f>
        <v/>
      </c>
      <c r="H26" s="1647"/>
      <c r="I26" s="2534"/>
      <c r="J26" s="2535"/>
      <c r="K26" s="2535"/>
      <c r="L26" s="2535"/>
      <c r="M26" s="2536"/>
      <c r="N26" s="321"/>
      <c r="O26" s="321"/>
      <c r="P26" s="321"/>
      <c r="Q26" s="321"/>
      <c r="R26" s="331"/>
      <c r="S26" s="331"/>
      <c r="T26" s="325"/>
    </row>
    <row r="27" spans="2:20" s="326" customFormat="1" ht="17.25" customHeight="1">
      <c r="B27" s="1663">
        <f>COV!I24</f>
        <v>16</v>
      </c>
      <c r="C27" s="1639" t="str">
        <f>IF(COV!M24="","",COV!M24)</f>
        <v/>
      </c>
      <c r="D27" s="1646"/>
      <c r="E27" s="1644" t="str">
        <f>IF(COV!L24="","",COV!L24)</f>
        <v/>
      </c>
      <c r="F27" s="1646"/>
      <c r="G27" s="1644" t="str">
        <f>IF(COV!N24="","",COV!N24)</f>
        <v/>
      </c>
      <c r="H27" s="1647"/>
      <c r="I27" s="2534"/>
      <c r="J27" s="2535"/>
      <c r="K27" s="2535"/>
      <c r="L27" s="2535"/>
      <c r="M27" s="2536"/>
      <c r="N27" s="321"/>
      <c r="O27" s="321"/>
      <c r="P27" s="321"/>
      <c r="Q27" s="321"/>
      <c r="R27" s="331"/>
      <c r="S27" s="331"/>
      <c r="T27" s="325"/>
    </row>
    <row r="28" spans="2:20" s="326" customFormat="1" ht="17.25" customHeight="1">
      <c r="B28" s="1648"/>
      <c r="C28" s="1649"/>
      <c r="D28" s="1650"/>
      <c r="E28" s="426"/>
      <c r="F28" s="1651"/>
      <c r="G28" s="1651"/>
      <c r="H28" s="1652"/>
      <c r="I28" s="2537"/>
      <c r="J28" s="2538"/>
      <c r="K28" s="2538"/>
      <c r="L28" s="2538"/>
      <c r="M28" s="2539"/>
      <c r="N28" s="321"/>
      <c r="O28" s="321"/>
      <c r="P28" s="321"/>
      <c r="Q28" s="321"/>
      <c r="R28" s="331"/>
      <c r="S28" s="331"/>
      <c r="T28" s="325"/>
    </row>
    <row r="29" spans="2:20" s="326" customFormat="1" ht="17.25" customHeight="1">
      <c r="B29" s="340"/>
      <c r="C29" s="401"/>
      <c r="D29" s="327"/>
      <c r="E29" s="317"/>
      <c r="I29" s="328"/>
      <c r="J29" s="317"/>
      <c r="K29" s="329"/>
      <c r="L29" s="330"/>
      <c r="M29" s="321"/>
      <c r="N29" s="321"/>
      <c r="O29" s="321"/>
      <c r="P29" s="321"/>
      <c r="Q29" s="321"/>
      <c r="R29" s="331"/>
      <c r="S29" s="331"/>
      <c r="T29" s="325"/>
    </row>
    <row r="30" spans="2:20" s="326" customFormat="1" ht="16">
      <c r="B30" s="332"/>
      <c r="D30" s="331"/>
      <c r="E30" s="1659" t="str">
        <f>Dictionary!B964</f>
        <v>Endergebnis</v>
      </c>
      <c r="I30" s="2525" t="str">
        <f>Dictionary!B965</f>
        <v>Kommentare</v>
      </c>
      <c r="J30" s="2526"/>
      <c r="K30" s="2526"/>
      <c r="L30" s="2526"/>
      <c r="M30" s="2527"/>
      <c r="N30" s="317"/>
      <c r="O30" s="317"/>
      <c r="P30" s="317"/>
      <c r="Q30" s="317"/>
    </row>
    <row r="31" spans="2:20" ht="18" customHeight="1">
      <c r="C31" s="334" t="str">
        <f>Dictionary!B1262</f>
        <v>Perspective Kompetenz Elemente</v>
      </c>
      <c r="E31" s="315"/>
      <c r="R31" s="340"/>
      <c r="S31" s="340"/>
      <c r="T31" s="326"/>
    </row>
    <row r="32" spans="2:20" ht="20" customHeight="1">
      <c r="B32" s="341" t="s">
        <v>475</v>
      </c>
      <c r="C32" s="342" t="str">
        <f>Dictionary!B1263</f>
        <v>Strategie</v>
      </c>
      <c r="D32" s="343"/>
      <c r="E32" s="346" t="str">
        <f>IF(LD_MODE="",Scoring!U13,'Level D Scoring'!R11)</f>
        <v/>
      </c>
      <c r="G32" s="428">
        <f>COUNTIF(G33:G37,"&gt;"&amp;Dictionary!$I$52)/R32</f>
        <v>0</v>
      </c>
      <c r="I32" s="2376"/>
      <c r="J32" s="2377"/>
      <c r="K32" s="2377"/>
      <c r="L32" s="2377"/>
      <c r="M32" s="2378"/>
      <c r="N32" s="348"/>
      <c r="O32" s="348"/>
      <c r="P32" s="348"/>
      <c r="Q32" s="348"/>
      <c r="R32" s="349">
        <f>Scoring!AK13</f>
        <v>5</v>
      </c>
      <c r="S32" s="349">
        <f>ROUNDUP(R32/2,0)</f>
        <v>3</v>
      </c>
    </row>
    <row r="33" spans="2:19" ht="18" hidden="1" customHeight="1">
      <c r="B33" s="350" t="str">
        <f>".1"</f>
        <v>.1</v>
      </c>
      <c r="C33" s="351" t="s">
        <v>474</v>
      </c>
      <c r="D33" s="356" t="str">
        <f>IF(G33&gt;0,G33,"")</f>
        <v/>
      </c>
      <c r="G33" s="349" t="str">
        <f>Scoring!U14</f>
        <v/>
      </c>
      <c r="I33" s="2376"/>
      <c r="J33" s="2377"/>
      <c r="K33" s="2377"/>
      <c r="L33" s="2377"/>
      <c r="M33" s="2378"/>
      <c r="N33" s="348"/>
      <c r="O33" s="348"/>
      <c r="P33" s="348"/>
      <c r="Q33" s="348"/>
      <c r="R33" s="349"/>
      <c r="S33" s="349"/>
    </row>
    <row r="34" spans="2:19" ht="24" hidden="1" customHeight="1">
      <c r="B34" s="350" t="str">
        <f>".2"</f>
        <v>.2</v>
      </c>
      <c r="C34" s="351" t="s">
        <v>473</v>
      </c>
      <c r="D34" s="356" t="str">
        <f>IF(G34&gt;0,G34,"")</f>
        <v/>
      </c>
      <c r="G34" s="349" t="str">
        <f>Scoring!U15</f>
        <v/>
      </c>
      <c r="I34" s="2376"/>
      <c r="J34" s="2377"/>
      <c r="K34" s="2377"/>
      <c r="L34" s="2377"/>
      <c r="M34" s="2378"/>
      <c r="N34" s="348"/>
      <c r="O34" s="348"/>
      <c r="P34" s="348"/>
      <c r="Q34" s="348"/>
      <c r="R34" s="349"/>
      <c r="S34" s="349"/>
    </row>
    <row r="35" spans="2:19" ht="24" hidden="1" customHeight="1">
      <c r="B35" s="350" t="str">
        <f>".3"</f>
        <v>.3</v>
      </c>
      <c r="C35" s="351" t="s">
        <v>472</v>
      </c>
      <c r="D35" s="356" t="str">
        <f>IF(G35&gt;0,G35,"")</f>
        <v/>
      </c>
      <c r="G35" s="349" t="str">
        <f>Scoring!U16</f>
        <v/>
      </c>
      <c r="I35" s="2376"/>
      <c r="J35" s="2377"/>
      <c r="K35" s="2377"/>
      <c r="L35" s="2377"/>
      <c r="M35" s="2378"/>
      <c r="N35" s="348"/>
      <c r="O35" s="348"/>
      <c r="P35" s="348"/>
      <c r="Q35" s="348"/>
      <c r="R35" s="349"/>
      <c r="S35" s="349"/>
    </row>
    <row r="36" spans="2:19" ht="18" hidden="1" customHeight="1">
      <c r="B36" s="350" t="str">
        <f>".4"</f>
        <v>.4</v>
      </c>
      <c r="C36" s="351" t="s">
        <v>471</v>
      </c>
      <c r="D36" s="356" t="str">
        <f>IF(G36&gt;0,G36,"")</f>
        <v/>
      </c>
      <c r="G36" s="349" t="str">
        <f>Scoring!U17</f>
        <v/>
      </c>
      <c r="I36" s="2376"/>
      <c r="J36" s="2377"/>
      <c r="K36" s="2377"/>
      <c r="L36" s="2377"/>
      <c r="M36" s="2378"/>
      <c r="N36" s="348"/>
      <c r="O36" s="348"/>
      <c r="P36" s="348"/>
      <c r="Q36" s="348"/>
      <c r="R36" s="349"/>
      <c r="S36" s="349"/>
    </row>
    <row r="37" spans="2:19" ht="18" hidden="1" customHeight="1">
      <c r="B37" s="350" t="str">
        <f>".5"</f>
        <v>.5</v>
      </c>
      <c r="C37" s="351" t="s">
        <v>470</v>
      </c>
      <c r="D37" s="356" t="str">
        <f>IF(G37&gt;0,G37,"")</f>
        <v/>
      </c>
      <c r="G37" s="349" t="str">
        <f>Scoring!U18</f>
        <v/>
      </c>
      <c r="I37" s="2376"/>
      <c r="J37" s="2377"/>
      <c r="K37" s="2377"/>
      <c r="L37" s="2377"/>
      <c r="M37" s="2378"/>
      <c r="N37" s="348"/>
      <c r="O37" s="348"/>
      <c r="P37" s="348"/>
      <c r="Q37" s="348"/>
      <c r="R37" s="349"/>
      <c r="S37" s="349"/>
    </row>
    <row r="38" spans="2:19" ht="20" customHeight="1">
      <c r="B38" s="341" t="s">
        <v>469</v>
      </c>
      <c r="C38" s="342" t="str">
        <f>Dictionary!B1271</f>
        <v>Governance, Strukturen und Prozesse</v>
      </c>
      <c r="D38" s="356"/>
      <c r="E38" s="346" t="str">
        <f>IF(LD_MODE="",Scoring!U19,'Level D Scoring'!R17)</f>
        <v/>
      </c>
      <c r="G38" s="428">
        <f>COUNTIF(G39:G45,"&gt;"&amp;Dictionary!$I$52)/R38</f>
        <v>0</v>
      </c>
      <c r="I38" s="2376"/>
      <c r="J38" s="2377"/>
      <c r="K38" s="2377"/>
      <c r="L38" s="2377"/>
      <c r="M38" s="2378"/>
      <c r="N38" s="348"/>
      <c r="O38" s="348"/>
      <c r="P38" s="348"/>
      <c r="Q38" s="348"/>
      <c r="R38" s="349">
        <f>Scoring!AK19</f>
        <v>7</v>
      </c>
      <c r="S38" s="349">
        <f>ROUNDUP(R38/2,0)</f>
        <v>4</v>
      </c>
    </row>
    <row r="39" spans="2:19" ht="24" hidden="1" customHeight="1">
      <c r="B39" s="350" t="s">
        <v>516</v>
      </c>
      <c r="C39" s="351" t="s">
        <v>468</v>
      </c>
      <c r="D39" s="356" t="str">
        <f t="shared" ref="D39:D45" si="0">IF(G39&gt;0,G39,"")</f>
        <v/>
      </c>
      <c r="G39" s="349" t="str">
        <f>Scoring!U20</f>
        <v/>
      </c>
      <c r="I39" s="2376"/>
      <c r="J39" s="2377"/>
      <c r="K39" s="2377"/>
      <c r="L39" s="2377"/>
      <c r="M39" s="2378"/>
      <c r="N39" s="348"/>
      <c r="O39" s="348"/>
      <c r="P39" s="348"/>
      <c r="Q39" s="348"/>
      <c r="R39" s="349"/>
      <c r="S39" s="349"/>
    </row>
    <row r="40" spans="2:19" ht="24" hidden="1" customHeight="1">
      <c r="B40" s="350" t="s">
        <v>517</v>
      </c>
      <c r="C40" s="351" t="s">
        <v>518</v>
      </c>
      <c r="D40" s="356" t="str">
        <f t="shared" si="0"/>
        <v/>
      </c>
      <c r="G40" s="349" t="str">
        <f>Scoring!U21</f>
        <v/>
      </c>
      <c r="I40" s="429"/>
      <c r="J40" s="430"/>
      <c r="K40" s="430"/>
      <c r="L40" s="430"/>
      <c r="M40" s="431"/>
      <c r="N40" s="348"/>
      <c r="O40" s="348"/>
      <c r="P40" s="348"/>
      <c r="Q40" s="348"/>
      <c r="R40" s="349"/>
      <c r="S40" s="349"/>
    </row>
    <row r="41" spans="2:19" ht="24" hidden="1" customHeight="1">
      <c r="B41" s="350" t="s">
        <v>519</v>
      </c>
      <c r="C41" s="351" t="s">
        <v>520</v>
      </c>
      <c r="D41" s="356" t="str">
        <f t="shared" si="0"/>
        <v/>
      </c>
      <c r="G41" s="349" t="str">
        <f>Scoring!U22</f>
        <v/>
      </c>
      <c r="I41" s="429"/>
      <c r="J41" s="430"/>
      <c r="K41" s="430"/>
      <c r="L41" s="430"/>
      <c r="M41" s="431"/>
      <c r="N41" s="348"/>
      <c r="O41" s="348"/>
      <c r="P41" s="348"/>
      <c r="Q41" s="348"/>
      <c r="R41" s="349"/>
      <c r="S41" s="349"/>
    </row>
    <row r="42" spans="2:19" ht="18" hidden="1" customHeight="1">
      <c r="B42" s="350" t="s">
        <v>521</v>
      </c>
      <c r="C42" s="351" t="s">
        <v>467</v>
      </c>
      <c r="D42" s="356" t="str">
        <f t="shared" si="0"/>
        <v/>
      </c>
      <c r="G42" s="349" t="str">
        <f>Scoring!U23</f>
        <v/>
      </c>
      <c r="I42" s="2376"/>
      <c r="J42" s="2377"/>
      <c r="K42" s="2377"/>
      <c r="L42" s="2377"/>
      <c r="M42" s="2378"/>
      <c r="N42" s="348"/>
      <c r="O42" s="348"/>
      <c r="P42" s="348"/>
      <c r="Q42" s="348"/>
      <c r="R42" s="349"/>
      <c r="S42" s="349"/>
    </row>
    <row r="43" spans="2:19" ht="24" hidden="1" customHeight="1">
      <c r="B43" s="350" t="s">
        <v>522</v>
      </c>
      <c r="C43" s="351" t="s">
        <v>466</v>
      </c>
      <c r="D43" s="356" t="str">
        <f t="shared" si="0"/>
        <v/>
      </c>
      <c r="G43" s="349" t="str">
        <f>Scoring!U24</f>
        <v/>
      </c>
      <c r="I43" s="2376"/>
      <c r="J43" s="2377"/>
      <c r="K43" s="2377"/>
      <c r="L43" s="2377"/>
      <c r="M43" s="2378"/>
      <c r="N43" s="348"/>
      <c r="O43" s="348"/>
      <c r="P43" s="348"/>
      <c r="Q43" s="348"/>
      <c r="R43" s="349"/>
      <c r="S43" s="349"/>
    </row>
    <row r="44" spans="2:19" ht="24" hidden="1" customHeight="1">
      <c r="B44" s="350" t="s">
        <v>523</v>
      </c>
      <c r="C44" s="351" t="s">
        <v>465</v>
      </c>
      <c r="D44" s="356" t="str">
        <f t="shared" si="0"/>
        <v/>
      </c>
      <c r="G44" s="349" t="str">
        <f>Scoring!U25</f>
        <v/>
      </c>
      <c r="I44" s="2376"/>
      <c r="J44" s="2377"/>
      <c r="K44" s="2377"/>
      <c r="L44" s="2377"/>
      <c r="M44" s="2378"/>
      <c r="N44" s="348"/>
      <c r="O44" s="348"/>
      <c r="P44" s="348"/>
      <c r="Q44" s="348"/>
      <c r="R44" s="349"/>
      <c r="S44" s="349"/>
    </row>
    <row r="45" spans="2:19" ht="24" hidden="1" customHeight="1">
      <c r="B45" s="350" t="s">
        <v>524</v>
      </c>
      <c r="C45" s="351" t="s">
        <v>464</v>
      </c>
      <c r="D45" s="356" t="str">
        <f t="shared" si="0"/>
        <v/>
      </c>
      <c r="G45" s="349" t="str">
        <f>Scoring!U26</f>
        <v/>
      </c>
      <c r="I45" s="2376"/>
      <c r="J45" s="2377"/>
      <c r="K45" s="2377"/>
      <c r="L45" s="2377"/>
      <c r="M45" s="2378"/>
      <c r="N45" s="348"/>
      <c r="O45" s="348"/>
      <c r="P45" s="348"/>
      <c r="Q45" s="348"/>
      <c r="R45" s="349"/>
      <c r="S45" s="349"/>
    </row>
    <row r="46" spans="2:19" ht="20" customHeight="1">
      <c r="B46" s="341" t="s">
        <v>463</v>
      </c>
      <c r="C46" s="342" t="str">
        <f>Dictionary!B1280</f>
        <v>Compliance, Standards und Regularien</v>
      </c>
      <c r="D46" s="356"/>
      <c r="E46" s="346" t="str">
        <f>IF(LD_MODE="",Scoring!U27,'Level D Scoring'!R25)</f>
        <v/>
      </c>
      <c r="G46" s="428">
        <f>COUNTIF(G47:G52,"&gt;"&amp;Dictionary!$I$52)/R46</f>
        <v>0</v>
      </c>
      <c r="I46" s="2376"/>
      <c r="J46" s="2377"/>
      <c r="K46" s="2377"/>
      <c r="L46" s="2377"/>
      <c r="M46" s="2378"/>
      <c r="N46" s="348"/>
      <c r="O46" s="348"/>
      <c r="P46" s="348"/>
      <c r="Q46" s="348"/>
      <c r="R46" s="349">
        <f>Scoring!AK27</f>
        <v>6</v>
      </c>
      <c r="S46" s="349">
        <f>ROUNDUP(R46/2,0)</f>
        <v>3</v>
      </c>
    </row>
    <row r="47" spans="2:19" ht="24" hidden="1" customHeight="1">
      <c r="B47" s="350" t="str">
        <f>".1"</f>
        <v>.1</v>
      </c>
      <c r="C47" s="351" t="s">
        <v>462</v>
      </c>
      <c r="D47" s="356" t="str">
        <f t="shared" ref="D47:D52" si="1">IF(G47&gt;0,G47,"")</f>
        <v/>
      </c>
      <c r="G47" s="349" t="str">
        <f>Scoring!U28</f>
        <v/>
      </c>
      <c r="I47" s="2376"/>
      <c r="J47" s="2377"/>
      <c r="K47" s="2377"/>
      <c r="L47" s="2377"/>
      <c r="M47" s="2378"/>
      <c r="N47" s="348"/>
      <c r="O47" s="348"/>
      <c r="P47" s="348"/>
      <c r="Q47" s="348"/>
      <c r="R47" s="349"/>
      <c r="S47" s="349"/>
    </row>
    <row r="48" spans="2:19" ht="36" hidden="1" customHeight="1">
      <c r="B48" s="350" t="str">
        <f>".2"</f>
        <v>.2</v>
      </c>
      <c r="C48" s="351" t="s">
        <v>461</v>
      </c>
      <c r="D48" s="356" t="str">
        <f t="shared" si="1"/>
        <v/>
      </c>
      <c r="G48" s="349" t="str">
        <f>Scoring!U29</f>
        <v/>
      </c>
      <c r="I48" s="2376"/>
      <c r="J48" s="2377"/>
      <c r="K48" s="2377"/>
      <c r="L48" s="2377"/>
      <c r="M48" s="2378"/>
      <c r="N48" s="348"/>
      <c r="O48" s="348"/>
      <c r="P48" s="348"/>
      <c r="Q48" s="348"/>
      <c r="R48" s="349"/>
      <c r="S48" s="349"/>
    </row>
    <row r="49" spans="2:19" ht="24" hidden="1" customHeight="1">
      <c r="B49" s="350" t="str">
        <f>".3"</f>
        <v>.3</v>
      </c>
      <c r="C49" s="351" t="s">
        <v>460</v>
      </c>
      <c r="D49" s="356" t="str">
        <f t="shared" si="1"/>
        <v/>
      </c>
      <c r="G49" s="349" t="str">
        <f>Scoring!U30</f>
        <v/>
      </c>
      <c r="I49" s="2376"/>
      <c r="J49" s="2377"/>
      <c r="K49" s="2377"/>
      <c r="L49" s="2377"/>
      <c r="M49" s="2378"/>
      <c r="N49" s="348"/>
      <c r="O49" s="348"/>
      <c r="P49" s="348"/>
      <c r="Q49" s="348"/>
      <c r="R49" s="349"/>
      <c r="S49" s="349"/>
    </row>
    <row r="50" spans="2:19" ht="24" hidden="1" customHeight="1">
      <c r="B50" s="350" t="str">
        <f>".4"</f>
        <v>.4</v>
      </c>
      <c r="C50" s="351" t="s">
        <v>459</v>
      </c>
      <c r="D50" s="356" t="str">
        <f t="shared" si="1"/>
        <v/>
      </c>
      <c r="G50" s="349" t="str">
        <f>Scoring!U31</f>
        <v/>
      </c>
      <c r="I50" s="2376"/>
      <c r="J50" s="2377"/>
      <c r="K50" s="2377"/>
      <c r="L50" s="2377"/>
      <c r="M50" s="2378"/>
      <c r="N50" s="348"/>
      <c r="O50" s="348"/>
      <c r="P50" s="348"/>
      <c r="Q50" s="348"/>
      <c r="R50" s="349"/>
      <c r="S50" s="349"/>
    </row>
    <row r="51" spans="2:19" ht="24" hidden="1" customHeight="1">
      <c r="B51" s="350" t="str">
        <f>".5"</f>
        <v>.5</v>
      </c>
      <c r="C51" s="351" t="s">
        <v>458</v>
      </c>
      <c r="D51" s="356" t="str">
        <f t="shared" si="1"/>
        <v/>
      </c>
      <c r="G51" s="349" t="str">
        <f>Scoring!U32</f>
        <v/>
      </c>
      <c r="I51" s="2376"/>
      <c r="J51" s="2377"/>
      <c r="K51" s="2377"/>
      <c r="L51" s="2377"/>
      <c r="M51" s="2378"/>
      <c r="N51" s="348"/>
      <c r="O51" s="348"/>
      <c r="P51" s="348"/>
      <c r="Q51" s="348"/>
      <c r="R51" s="349"/>
      <c r="S51" s="349"/>
    </row>
    <row r="52" spans="2:19" ht="24" hidden="1" customHeight="1">
      <c r="B52" s="350" t="str">
        <f>".6"</f>
        <v>.6</v>
      </c>
      <c r="C52" s="351" t="s">
        <v>457</v>
      </c>
      <c r="D52" s="356" t="str">
        <f t="shared" si="1"/>
        <v/>
      </c>
      <c r="G52" s="349" t="str">
        <f>Scoring!U33</f>
        <v/>
      </c>
      <c r="I52" s="2376"/>
      <c r="J52" s="2377"/>
      <c r="K52" s="2377"/>
      <c r="L52" s="2377"/>
      <c r="M52" s="2378"/>
      <c r="N52" s="348"/>
      <c r="O52" s="348"/>
      <c r="P52" s="348"/>
      <c r="Q52" s="348"/>
      <c r="R52" s="349"/>
      <c r="S52" s="349"/>
    </row>
    <row r="53" spans="2:19" ht="20" customHeight="1">
      <c r="B53" s="341" t="s">
        <v>456</v>
      </c>
      <c r="C53" s="342" t="str">
        <f>Dictionary!B1289</f>
        <v>Macht und Interessen</v>
      </c>
      <c r="D53" s="356"/>
      <c r="E53" s="346" t="str">
        <f>IF(LD_MODE="",Scoring!U34,'Level D Scoring'!R32)</f>
        <v/>
      </c>
      <c r="G53" s="428">
        <f>COUNTIF(G54:G56,"&gt;"&amp;Dictionary!$I$52)/R53</f>
        <v>0</v>
      </c>
      <c r="I53" s="2376"/>
      <c r="J53" s="2377"/>
      <c r="K53" s="2377"/>
      <c r="L53" s="2377"/>
      <c r="M53" s="2378"/>
      <c r="N53" s="348"/>
      <c r="O53" s="348"/>
      <c r="P53" s="348"/>
      <c r="Q53" s="348"/>
      <c r="R53" s="349">
        <f>Scoring!AK34</f>
        <v>3</v>
      </c>
      <c r="S53" s="349">
        <f>ROUNDUP(R53/2,0)</f>
        <v>2</v>
      </c>
    </row>
    <row r="54" spans="2:19" ht="24" hidden="1" customHeight="1">
      <c r="B54" s="350" t="str">
        <f>".1"</f>
        <v>.1</v>
      </c>
      <c r="C54" s="351" t="s">
        <v>455</v>
      </c>
      <c r="D54" s="356" t="str">
        <f>IF(G54&gt;0,G54,"")</f>
        <v/>
      </c>
      <c r="G54" s="349" t="str">
        <f>Scoring!U35</f>
        <v/>
      </c>
      <c r="I54" s="2376"/>
      <c r="J54" s="2377"/>
      <c r="K54" s="2377"/>
      <c r="L54" s="2377"/>
      <c r="M54" s="2378"/>
      <c r="N54" s="348"/>
      <c r="O54" s="348"/>
      <c r="P54" s="348"/>
      <c r="Q54" s="348"/>
      <c r="R54" s="349"/>
      <c r="S54" s="349"/>
    </row>
    <row r="55" spans="2:19" ht="24" hidden="1" customHeight="1">
      <c r="B55" s="350" t="str">
        <f>".2"</f>
        <v>.2</v>
      </c>
      <c r="C55" s="351" t="s">
        <v>454</v>
      </c>
      <c r="D55" s="356" t="str">
        <f>IF(G55&gt;0,G55,"")</f>
        <v/>
      </c>
      <c r="G55" s="349" t="str">
        <f>Scoring!U36</f>
        <v/>
      </c>
      <c r="I55" s="2376"/>
      <c r="J55" s="2377"/>
      <c r="K55" s="2377"/>
      <c r="L55" s="2377"/>
      <c r="M55" s="2378"/>
      <c r="N55" s="348"/>
      <c r="O55" s="348"/>
      <c r="P55" s="348"/>
      <c r="Q55" s="348"/>
      <c r="R55" s="349"/>
      <c r="S55" s="349"/>
    </row>
    <row r="56" spans="2:19" ht="24" hidden="1" customHeight="1">
      <c r="B56" s="350" t="str">
        <f>".3"</f>
        <v>.3</v>
      </c>
      <c r="C56" s="351" t="s">
        <v>453</v>
      </c>
      <c r="D56" s="356" t="str">
        <f>IF(G56&gt;0,G56,"")</f>
        <v/>
      </c>
      <c r="G56" s="349" t="str">
        <f>Scoring!U37</f>
        <v/>
      </c>
      <c r="I56" s="2376"/>
      <c r="J56" s="2377"/>
      <c r="K56" s="2377"/>
      <c r="L56" s="2377"/>
      <c r="M56" s="2378"/>
      <c r="N56" s="348"/>
      <c r="O56" s="348"/>
      <c r="P56" s="348"/>
      <c r="Q56" s="348"/>
      <c r="R56" s="349"/>
      <c r="S56" s="349"/>
    </row>
    <row r="57" spans="2:19" ht="20" customHeight="1">
      <c r="B57" s="341" t="s">
        <v>452</v>
      </c>
      <c r="C57" s="342" t="str">
        <f>Dictionary!B1295</f>
        <v>Kultur und Werte</v>
      </c>
      <c r="D57" s="356"/>
      <c r="E57" s="346" t="str">
        <f>IF(LD_MODE="",Scoring!U38,'Level D Scoring'!R36)</f>
        <v/>
      </c>
      <c r="G57" s="428">
        <f>COUNTIF(G58:G60,"&gt;"&amp;Dictionary!$I$52)/R57</f>
        <v>0</v>
      </c>
      <c r="I57" s="2376"/>
      <c r="J57" s="2377"/>
      <c r="K57" s="2377"/>
      <c r="L57" s="2377"/>
      <c r="M57" s="2378"/>
      <c r="N57" s="348"/>
      <c r="O57" s="348"/>
      <c r="P57" s="348"/>
      <c r="Q57" s="348"/>
      <c r="R57" s="349">
        <f>Scoring!AK38</f>
        <v>3</v>
      </c>
      <c r="S57" s="349">
        <f>ROUNDUP(R57/2,0)</f>
        <v>2</v>
      </c>
    </row>
    <row r="58" spans="2:19" ht="24" hidden="1" customHeight="1">
      <c r="B58" s="350" t="str">
        <f>".1"</f>
        <v>.1</v>
      </c>
      <c r="C58" s="351" t="s">
        <v>451</v>
      </c>
      <c r="D58" s="356" t="str">
        <f>IF(G58&gt;0,G58,"")</f>
        <v/>
      </c>
      <c r="G58" s="349" t="str">
        <f>Scoring!U39</f>
        <v/>
      </c>
      <c r="I58" s="2376"/>
      <c r="J58" s="2377"/>
      <c r="K58" s="2377"/>
      <c r="L58" s="2377"/>
      <c r="M58" s="2378"/>
      <c r="N58" s="348"/>
      <c r="O58" s="348"/>
      <c r="P58" s="348"/>
      <c r="Q58" s="348"/>
      <c r="R58" s="349"/>
      <c r="S58" s="349"/>
    </row>
    <row r="59" spans="2:19" ht="24" hidden="1" customHeight="1">
      <c r="B59" s="350" t="str">
        <f>".2"</f>
        <v>.2</v>
      </c>
      <c r="C59" s="351" t="s">
        <v>450</v>
      </c>
      <c r="D59" s="356" t="str">
        <f>IF(G59&gt;0,G59,"")</f>
        <v/>
      </c>
      <c r="G59" s="349" t="str">
        <f>Scoring!U40</f>
        <v/>
      </c>
      <c r="I59" s="2376"/>
      <c r="J59" s="2377"/>
      <c r="K59" s="2377"/>
      <c r="L59" s="2377"/>
      <c r="M59" s="2378"/>
      <c r="N59" s="348"/>
      <c r="O59" s="348"/>
      <c r="P59" s="348"/>
      <c r="Q59" s="348"/>
      <c r="R59" s="349"/>
      <c r="S59" s="349"/>
    </row>
    <row r="60" spans="2:19" ht="24" hidden="1" customHeight="1">
      <c r="B60" s="350" t="str">
        <f>".3"</f>
        <v>.3</v>
      </c>
      <c r="C60" s="351" t="s">
        <v>449</v>
      </c>
      <c r="D60" s="356" t="str">
        <f>IF(G60&gt;0,G60,"")</f>
        <v/>
      </c>
      <c r="G60" s="349" t="str">
        <f>Scoring!U41</f>
        <v/>
      </c>
      <c r="I60" s="2376"/>
      <c r="J60" s="2377"/>
      <c r="K60" s="2377"/>
      <c r="L60" s="2377"/>
      <c r="M60" s="2378"/>
      <c r="N60" s="348"/>
      <c r="O60" s="348"/>
      <c r="P60" s="348"/>
      <c r="Q60" s="348"/>
      <c r="R60" s="349"/>
      <c r="S60" s="349"/>
    </row>
    <row r="61" spans="2:19" ht="16.5" customHeight="1">
      <c r="C61" s="363"/>
      <c r="D61" s="356"/>
      <c r="E61" s="365"/>
      <c r="J61" s="313"/>
      <c r="K61" s="313"/>
      <c r="L61" s="313"/>
      <c r="M61" s="313"/>
      <c r="N61" s="313"/>
      <c r="O61" s="313"/>
      <c r="P61" s="313"/>
      <c r="Q61" s="313"/>
      <c r="R61" s="315"/>
      <c r="S61" s="315"/>
    </row>
    <row r="62" spans="2:19" ht="30" customHeight="1">
      <c r="C62" s="366" t="str">
        <f>Dictionary!B1301</f>
        <v>People Kompetenz Elemente</v>
      </c>
      <c r="D62" s="356"/>
      <c r="E62" s="367"/>
      <c r="J62" s="313"/>
      <c r="K62" s="313"/>
      <c r="L62" s="313"/>
      <c r="M62" s="313"/>
      <c r="N62" s="313"/>
      <c r="O62" s="313"/>
      <c r="P62" s="313"/>
      <c r="Q62" s="313"/>
      <c r="R62" s="334"/>
      <c r="S62" s="334"/>
    </row>
    <row r="63" spans="2:19" ht="20" customHeight="1">
      <c r="B63" s="341" t="s">
        <v>448</v>
      </c>
      <c r="C63" s="342" t="str">
        <f>Dictionary!B1302</f>
        <v>Selbstreflexion und Selbstmanagement</v>
      </c>
      <c r="D63" s="356"/>
      <c r="E63" s="346" t="str">
        <f>IF(LD_MODE="",Scoring!U44,'Level D Scoring'!R42)</f>
        <v/>
      </c>
      <c r="G63" s="428">
        <f>COUNTIF(G64:G68,"&gt;"&amp;Dictionary!$I$52)/R63</f>
        <v>0</v>
      </c>
      <c r="I63" s="2376"/>
      <c r="J63" s="2377"/>
      <c r="K63" s="2377"/>
      <c r="L63" s="2377"/>
      <c r="M63" s="2378"/>
      <c r="N63" s="348"/>
      <c r="O63" s="348"/>
      <c r="P63" s="348"/>
      <c r="Q63" s="348"/>
      <c r="R63" s="349">
        <f>Scoring!AK44</f>
        <v>5</v>
      </c>
      <c r="S63" s="349">
        <f>ROUNDUP(R63/2,0)</f>
        <v>3</v>
      </c>
    </row>
    <row r="64" spans="2:19" ht="24" hidden="1" customHeight="1">
      <c r="B64" s="350" t="str">
        <f>".1"</f>
        <v>.1</v>
      </c>
      <c r="C64" s="351" t="s">
        <v>447</v>
      </c>
      <c r="D64" s="356" t="str">
        <f>IF(G64&gt;0,G64,"")</f>
        <v/>
      </c>
      <c r="G64" s="349" t="str">
        <f>Scoring!U45</f>
        <v/>
      </c>
      <c r="I64" s="2376"/>
      <c r="J64" s="2377"/>
      <c r="K64" s="2377"/>
      <c r="L64" s="2377"/>
      <c r="M64" s="2378"/>
      <c r="N64" s="348"/>
      <c r="O64" s="348"/>
      <c r="P64" s="348"/>
      <c r="Q64" s="348"/>
      <c r="R64" s="349"/>
      <c r="S64" s="349"/>
    </row>
    <row r="65" spans="2:19" ht="24" hidden="1" customHeight="1">
      <c r="B65" s="350" t="str">
        <f>".2"</f>
        <v>.2</v>
      </c>
      <c r="C65" s="351" t="s">
        <v>446</v>
      </c>
      <c r="D65" s="356" t="str">
        <f>IF(G65&gt;0,G65,"")</f>
        <v/>
      </c>
      <c r="G65" s="349" t="str">
        <f>Scoring!U46</f>
        <v/>
      </c>
      <c r="I65" s="2376"/>
      <c r="J65" s="2377"/>
      <c r="K65" s="2377"/>
      <c r="L65" s="2377"/>
      <c r="M65" s="2378"/>
      <c r="N65" s="348"/>
      <c r="O65" s="348"/>
      <c r="P65" s="348"/>
      <c r="Q65" s="348"/>
      <c r="R65" s="349"/>
      <c r="S65" s="349"/>
    </row>
    <row r="66" spans="2:19" ht="24" hidden="1" customHeight="1">
      <c r="B66" s="350" t="str">
        <f>".3"</f>
        <v>.3</v>
      </c>
      <c r="C66" s="351" t="s">
        <v>445</v>
      </c>
      <c r="D66" s="356" t="str">
        <f>IF(G66&gt;0,G66,"")</f>
        <v/>
      </c>
      <c r="G66" s="349" t="str">
        <f>Scoring!U47</f>
        <v/>
      </c>
      <c r="I66" s="2376"/>
      <c r="J66" s="2377"/>
      <c r="K66" s="2377"/>
      <c r="L66" s="2377"/>
      <c r="M66" s="2378"/>
      <c r="N66" s="348"/>
      <c r="O66" s="348"/>
      <c r="P66" s="348"/>
      <c r="Q66" s="348"/>
      <c r="R66" s="349"/>
      <c r="S66" s="349"/>
    </row>
    <row r="67" spans="2:19" ht="24" hidden="1" customHeight="1">
      <c r="B67" s="350" t="str">
        <f>".4"</f>
        <v>.4</v>
      </c>
      <c r="C67" s="351" t="s">
        <v>444</v>
      </c>
      <c r="D67" s="356" t="str">
        <f>IF(G67&gt;0,G67,"")</f>
        <v/>
      </c>
      <c r="G67" s="349" t="str">
        <f>Scoring!U48</f>
        <v/>
      </c>
      <c r="I67" s="2376"/>
      <c r="J67" s="2377"/>
      <c r="K67" s="2377"/>
      <c r="L67" s="2377"/>
      <c r="M67" s="2378"/>
      <c r="N67" s="348"/>
      <c r="O67" s="348"/>
      <c r="P67" s="348"/>
      <c r="Q67" s="348"/>
      <c r="R67" s="349"/>
      <c r="S67" s="349"/>
    </row>
    <row r="68" spans="2:19" ht="18" hidden="1" customHeight="1">
      <c r="B68" s="350" t="str">
        <f>".5"</f>
        <v>.5</v>
      </c>
      <c r="C68" s="351" t="s">
        <v>443</v>
      </c>
      <c r="D68" s="356" t="str">
        <f>IF(G68&gt;0,G68,"")</f>
        <v/>
      </c>
      <c r="G68" s="349" t="str">
        <f>Scoring!U49</f>
        <v/>
      </c>
      <c r="I68" s="2376"/>
      <c r="J68" s="2377"/>
      <c r="K68" s="2377"/>
      <c r="L68" s="2377"/>
      <c r="M68" s="2378"/>
      <c r="N68" s="348"/>
      <c r="O68" s="348"/>
      <c r="P68" s="348"/>
      <c r="Q68" s="348"/>
      <c r="R68" s="349"/>
      <c r="S68" s="349"/>
    </row>
    <row r="69" spans="2:19" ht="20" customHeight="1">
      <c r="B69" s="341" t="s">
        <v>442</v>
      </c>
      <c r="C69" s="342" t="str">
        <f>Dictionary!B1310</f>
        <v>Persönliche Integrität und Verlässlichkeit</v>
      </c>
      <c r="D69" s="356"/>
      <c r="E69" s="346" t="str">
        <f>IF(LD_MODE="",Scoring!U50,'Level D Scoring'!R48)</f>
        <v/>
      </c>
      <c r="G69" s="428">
        <f>COUNTIF(G70:G74,"&gt;"&amp;Dictionary!$I$52)/R69</f>
        <v>0</v>
      </c>
      <c r="I69" s="2376"/>
      <c r="J69" s="2377"/>
      <c r="K69" s="2377"/>
      <c r="L69" s="2377"/>
      <c r="M69" s="2378"/>
      <c r="N69" s="348"/>
      <c r="O69" s="348"/>
      <c r="P69" s="348"/>
      <c r="Q69" s="348"/>
      <c r="R69" s="349">
        <f>Scoring!AK50</f>
        <v>5</v>
      </c>
      <c r="S69" s="349">
        <f>ROUNDUP(R69/2,0)</f>
        <v>3</v>
      </c>
    </row>
    <row r="70" spans="2:19" ht="24" hidden="1" customHeight="1">
      <c r="B70" s="350" t="str">
        <f>".1"</f>
        <v>.1</v>
      </c>
      <c r="C70" s="351" t="s">
        <v>441</v>
      </c>
      <c r="D70" s="356" t="str">
        <f>IF(G70&gt;0,G70,"")</f>
        <v/>
      </c>
      <c r="G70" s="349" t="str">
        <f>Scoring!U51</f>
        <v/>
      </c>
      <c r="I70" s="2376"/>
      <c r="J70" s="2377"/>
      <c r="K70" s="2377"/>
      <c r="L70" s="2377"/>
      <c r="M70" s="2378"/>
      <c r="N70" s="348"/>
      <c r="O70" s="348"/>
      <c r="P70" s="348"/>
      <c r="Q70" s="348"/>
      <c r="R70" s="349"/>
      <c r="S70" s="349"/>
    </row>
    <row r="71" spans="2:19" ht="18" hidden="1" customHeight="1">
      <c r="B71" s="350" t="str">
        <f>".2"</f>
        <v>.2</v>
      </c>
      <c r="C71" s="351" t="s">
        <v>440</v>
      </c>
      <c r="D71" s="356" t="str">
        <f>IF(G71&gt;0,G71,"")</f>
        <v/>
      </c>
      <c r="G71" s="349" t="str">
        <f>Scoring!U52</f>
        <v/>
      </c>
      <c r="I71" s="2376"/>
      <c r="J71" s="2377"/>
      <c r="K71" s="2377"/>
      <c r="L71" s="2377"/>
      <c r="M71" s="2378"/>
      <c r="N71" s="348"/>
      <c r="O71" s="348"/>
      <c r="P71" s="348"/>
      <c r="Q71" s="348"/>
      <c r="R71" s="349"/>
      <c r="S71" s="349"/>
    </row>
    <row r="72" spans="2:19" ht="18" hidden="1" customHeight="1">
      <c r="B72" s="350" t="str">
        <f>".3"</f>
        <v>.3</v>
      </c>
      <c r="C72" s="351" t="s">
        <v>439</v>
      </c>
      <c r="D72" s="356" t="str">
        <f>IF(G72&gt;0,G72,"")</f>
        <v/>
      </c>
      <c r="G72" s="349" t="str">
        <f>Scoring!U53</f>
        <v/>
      </c>
      <c r="I72" s="2376"/>
      <c r="J72" s="2377"/>
      <c r="K72" s="2377"/>
      <c r="L72" s="2377"/>
      <c r="M72" s="2378"/>
      <c r="N72" s="348"/>
      <c r="O72" s="348"/>
      <c r="P72" s="348"/>
      <c r="Q72" s="348"/>
      <c r="R72" s="349"/>
      <c r="S72" s="349"/>
    </row>
    <row r="73" spans="2:19" ht="18" hidden="1" customHeight="1">
      <c r="B73" s="350" t="str">
        <f>".4"</f>
        <v>.4</v>
      </c>
      <c r="C73" s="351" t="s">
        <v>438</v>
      </c>
      <c r="D73" s="356" t="str">
        <f>IF(G73&gt;0,G73,"")</f>
        <v/>
      </c>
      <c r="G73" s="349" t="str">
        <f>Scoring!U54</f>
        <v/>
      </c>
      <c r="I73" s="2376"/>
      <c r="J73" s="2377"/>
      <c r="K73" s="2377"/>
      <c r="L73" s="2377"/>
      <c r="M73" s="2378"/>
      <c r="N73" s="348"/>
      <c r="O73" s="348"/>
      <c r="P73" s="348"/>
      <c r="Q73" s="348"/>
      <c r="R73" s="349"/>
      <c r="S73" s="349"/>
    </row>
    <row r="74" spans="2:19" ht="24" hidden="1" customHeight="1">
      <c r="B74" s="350" t="str">
        <f>".5"</f>
        <v>.5</v>
      </c>
      <c r="C74" s="351" t="s">
        <v>437</v>
      </c>
      <c r="D74" s="356" t="str">
        <f>IF(G74&gt;0,G74,"")</f>
        <v/>
      </c>
      <c r="G74" s="349" t="str">
        <f>Scoring!U55</f>
        <v/>
      </c>
      <c r="I74" s="2376"/>
      <c r="J74" s="2377"/>
      <c r="K74" s="2377"/>
      <c r="L74" s="2377"/>
      <c r="M74" s="2378"/>
      <c r="N74" s="348"/>
      <c r="O74" s="348"/>
      <c r="P74" s="348"/>
      <c r="Q74" s="348"/>
      <c r="R74" s="349"/>
      <c r="S74" s="349"/>
    </row>
    <row r="75" spans="2:19" ht="20" customHeight="1">
      <c r="B75" s="341" t="s">
        <v>436</v>
      </c>
      <c r="C75" s="342" t="str">
        <f>Dictionary!B1318</f>
        <v>Persönliche Kommunikation</v>
      </c>
      <c r="D75" s="356"/>
      <c r="E75" s="346" t="str">
        <f>IF(LD_MODE="",Scoring!U56,'Level D Scoring'!R54)</f>
        <v/>
      </c>
      <c r="G75" s="428">
        <f>COUNTIF(G76:G80,"&gt;"&amp;Dictionary!$I$52)/R75</f>
        <v>0</v>
      </c>
      <c r="I75" s="2376"/>
      <c r="J75" s="2377"/>
      <c r="K75" s="2377"/>
      <c r="L75" s="2377"/>
      <c r="M75" s="2378"/>
      <c r="N75" s="348"/>
      <c r="O75" s="348"/>
      <c r="P75" s="348"/>
      <c r="Q75" s="369"/>
      <c r="R75" s="349">
        <f>Scoring!AK56</f>
        <v>5</v>
      </c>
      <c r="S75" s="349">
        <f>ROUNDUP(R75/2,0)</f>
        <v>3</v>
      </c>
    </row>
    <row r="76" spans="2:19" ht="24" hidden="1" customHeight="1">
      <c r="B76" s="350" t="str">
        <f>".1"</f>
        <v>.1</v>
      </c>
      <c r="C76" s="351" t="s">
        <v>435</v>
      </c>
      <c r="D76" s="356" t="str">
        <f>IF(G76&gt;0,G76,"")</f>
        <v/>
      </c>
      <c r="G76" s="349" t="str">
        <f>Scoring!U57</f>
        <v/>
      </c>
      <c r="I76" s="2376"/>
      <c r="J76" s="2377"/>
      <c r="K76" s="2377"/>
      <c r="L76" s="2377"/>
      <c r="M76" s="2378"/>
      <c r="N76" s="348"/>
      <c r="O76" s="348"/>
      <c r="P76" s="348"/>
      <c r="Q76" s="348"/>
      <c r="R76" s="349"/>
      <c r="S76" s="349"/>
    </row>
    <row r="77" spans="2:19" ht="18" hidden="1" customHeight="1">
      <c r="B77" s="350" t="str">
        <f>".2"</f>
        <v>.2</v>
      </c>
      <c r="C77" s="351" t="s">
        <v>434</v>
      </c>
      <c r="D77" s="356" t="str">
        <f>IF(G77&gt;0,G77,"")</f>
        <v/>
      </c>
      <c r="G77" s="349" t="str">
        <f>Scoring!U58</f>
        <v/>
      </c>
      <c r="I77" s="2376"/>
      <c r="J77" s="2377"/>
      <c r="K77" s="2377"/>
      <c r="L77" s="2377"/>
      <c r="M77" s="2378"/>
      <c r="N77" s="348"/>
      <c r="O77" s="348"/>
      <c r="P77" s="348"/>
      <c r="Q77" s="348"/>
      <c r="R77" s="349"/>
      <c r="S77" s="349"/>
    </row>
    <row r="78" spans="2:19" ht="24" hidden="1" customHeight="1">
      <c r="B78" s="350" t="str">
        <f>".3"</f>
        <v>.3</v>
      </c>
      <c r="C78" s="351" t="s">
        <v>433</v>
      </c>
      <c r="D78" s="356" t="str">
        <f>IF(G78&gt;0,G78,"")</f>
        <v/>
      </c>
      <c r="G78" s="349" t="str">
        <f>Scoring!U59</f>
        <v/>
      </c>
      <c r="I78" s="2376"/>
      <c r="J78" s="2377"/>
      <c r="K78" s="2377"/>
      <c r="L78" s="2377"/>
      <c r="M78" s="2378"/>
      <c r="N78" s="348"/>
      <c r="O78" s="348"/>
      <c r="P78" s="348"/>
      <c r="Q78" s="348"/>
      <c r="R78" s="349"/>
      <c r="S78" s="349"/>
    </row>
    <row r="79" spans="2:19" ht="18" hidden="1" customHeight="1">
      <c r="B79" s="350" t="str">
        <f>".4"</f>
        <v>.4</v>
      </c>
      <c r="C79" s="351" t="s">
        <v>432</v>
      </c>
      <c r="D79" s="356" t="str">
        <f>IF(G79&gt;0,G79,"")</f>
        <v/>
      </c>
      <c r="G79" s="349" t="str">
        <f>Scoring!U60</f>
        <v/>
      </c>
      <c r="I79" s="2376"/>
      <c r="J79" s="2377"/>
      <c r="K79" s="2377"/>
      <c r="L79" s="2377"/>
      <c r="M79" s="2378"/>
      <c r="N79" s="348"/>
      <c r="O79" s="348"/>
      <c r="P79" s="348"/>
      <c r="Q79" s="348"/>
      <c r="R79" s="349"/>
      <c r="S79" s="349"/>
    </row>
    <row r="80" spans="2:19" ht="18" hidden="1" customHeight="1">
      <c r="B80" s="350" t="str">
        <f>".5"</f>
        <v>.5</v>
      </c>
      <c r="C80" s="351" t="s">
        <v>431</v>
      </c>
      <c r="D80" s="356" t="str">
        <f>IF(G80&gt;0,G80,"")</f>
        <v/>
      </c>
      <c r="G80" s="349" t="str">
        <f>Scoring!U61</f>
        <v/>
      </c>
      <c r="I80" s="2376"/>
      <c r="J80" s="2377"/>
      <c r="K80" s="2377"/>
      <c r="L80" s="2377"/>
      <c r="M80" s="2378"/>
      <c r="N80" s="348"/>
      <c r="O80" s="348"/>
      <c r="P80" s="348"/>
      <c r="Q80" s="348"/>
      <c r="R80" s="349"/>
      <c r="S80" s="349"/>
    </row>
    <row r="81" spans="2:19" ht="20" customHeight="1">
      <c r="B81" s="341" t="s">
        <v>430</v>
      </c>
      <c r="C81" s="342" t="str">
        <f>Dictionary!B1326</f>
        <v>Beziehungen und Engagement</v>
      </c>
      <c r="D81" s="356"/>
      <c r="E81" s="346" t="str">
        <f>IF(LD_MODE="",Scoring!U62,'Level D Scoring'!R60)</f>
        <v/>
      </c>
      <c r="G81" s="428">
        <f>COUNTIF(G82:G86,"&gt;"&amp;Dictionary!$I$52)/R81</f>
        <v>0</v>
      </c>
      <c r="I81" s="2376"/>
      <c r="J81" s="2377"/>
      <c r="K81" s="2377"/>
      <c r="L81" s="2377"/>
      <c r="M81" s="2378"/>
      <c r="N81" s="348"/>
      <c r="O81" s="348"/>
      <c r="P81" s="348"/>
      <c r="Q81" s="369"/>
      <c r="R81" s="349">
        <f>Scoring!AK62</f>
        <v>5</v>
      </c>
      <c r="S81" s="349">
        <f>ROUNDUP(R81/2,0)</f>
        <v>3</v>
      </c>
    </row>
    <row r="82" spans="2:19" ht="18" hidden="1" customHeight="1">
      <c r="B82" s="350" t="str">
        <f>".1"</f>
        <v>.1</v>
      </c>
      <c r="C82" s="351" t="s">
        <v>429</v>
      </c>
      <c r="D82" s="356" t="str">
        <f>IF(G82&gt;0,G82,"")</f>
        <v/>
      </c>
      <c r="G82" s="349" t="str">
        <f>Scoring!U63</f>
        <v/>
      </c>
      <c r="I82" s="2376"/>
      <c r="J82" s="2377"/>
      <c r="K82" s="2377"/>
      <c r="L82" s="2377"/>
      <c r="M82" s="2378"/>
      <c r="N82" s="348"/>
      <c r="O82" s="348"/>
      <c r="P82" s="348"/>
      <c r="Q82" s="348"/>
      <c r="R82" s="349"/>
      <c r="S82" s="349"/>
    </row>
    <row r="83" spans="2:19" ht="18" hidden="1" customHeight="1">
      <c r="B83" s="350" t="str">
        <f>".2"</f>
        <v>.2</v>
      </c>
      <c r="C83" s="351" t="s">
        <v>428</v>
      </c>
      <c r="D83" s="356" t="str">
        <f>IF(G83&gt;0,G83,"")</f>
        <v/>
      </c>
      <c r="G83" s="349" t="str">
        <f>Scoring!U64</f>
        <v/>
      </c>
      <c r="I83" s="2376"/>
      <c r="J83" s="2377"/>
      <c r="K83" s="2377"/>
      <c r="L83" s="2377"/>
      <c r="M83" s="2378"/>
      <c r="N83" s="348"/>
      <c r="O83" s="348"/>
      <c r="P83" s="348"/>
      <c r="Q83" s="348"/>
      <c r="R83" s="349"/>
      <c r="S83" s="349"/>
    </row>
    <row r="84" spans="2:19" ht="24" hidden="1" customHeight="1">
      <c r="B84" s="350" t="str">
        <f>".3"</f>
        <v>.3</v>
      </c>
      <c r="C84" s="351" t="s">
        <v>427</v>
      </c>
      <c r="D84" s="356" t="str">
        <f>IF(G84&gt;0,G84,"")</f>
        <v/>
      </c>
      <c r="G84" s="349" t="str">
        <f>Scoring!U65</f>
        <v/>
      </c>
      <c r="I84" s="2376"/>
      <c r="J84" s="2377"/>
      <c r="K84" s="2377"/>
      <c r="L84" s="2377"/>
      <c r="M84" s="2378"/>
      <c r="N84" s="348"/>
      <c r="O84" s="348"/>
      <c r="P84" s="348"/>
      <c r="Q84" s="348"/>
      <c r="R84" s="349"/>
      <c r="S84" s="349"/>
    </row>
    <row r="85" spans="2:19" ht="24" hidden="1" customHeight="1">
      <c r="B85" s="350" t="str">
        <f>".4"</f>
        <v>.4</v>
      </c>
      <c r="C85" s="351" t="s">
        <v>426</v>
      </c>
      <c r="D85" s="356" t="str">
        <f>IF(G85&gt;0,G85,"")</f>
        <v/>
      </c>
      <c r="G85" s="349" t="str">
        <f>Scoring!U66</f>
        <v/>
      </c>
      <c r="I85" s="2376"/>
      <c r="J85" s="2377"/>
      <c r="K85" s="2377"/>
      <c r="L85" s="2377"/>
      <c r="M85" s="2378"/>
      <c r="N85" s="348"/>
      <c r="O85" s="348"/>
      <c r="P85" s="348"/>
      <c r="Q85" s="348"/>
      <c r="R85" s="349"/>
      <c r="S85" s="349"/>
    </row>
    <row r="86" spans="2:19" ht="24" hidden="1" customHeight="1">
      <c r="B86" s="350" t="str">
        <f>".5"</f>
        <v>.5</v>
      </c>
      <c r="C86" s="351" t="s">
        <v>425</v>
      </c>
      <c r="D86" s="356" t="str">
        <f>IF(G86&gt;0,G86,"")</f>
        <v/>
      </c>
      <c r="G86" s="349" t="str">
        <f>Scoring!U67</f>
        <v/>
      </c>
      <c r="I86" s="2376"/>
      <c r="J86" s="2377"/>
      <c r="K86" s="2377"/>
      <c r="L86" s="2377"/>
      <c r="M86" s="2378"/>
      <c r="N86" s="348"/>
      <c r="O86" s="348"/>
      <c r="P86" s="348"/>
      <c r="Q86" s="348"/>
      <c r="R86" s="349"/>
      <c r="S86" s="349"/>
    </row>
    <row r="87" spans="2:19" ht="20" customHeight="1">
      <c r="B87" s="341" t="s">
        <v>424</v>
      </c>
      <c r="C87" s="342" t="str">
        <f>Dictionary!B1334</f>
        <v>Führung</v>
      </c>
      <c r="D87" s="356"/>
      <c r="E87" s="346" t="str">
        <f>IF(LD_MODE="",Scoring!U68,'Level D Scoring'!R66)</f>
        <v/>
      </c>
      <c r="G87" s="428">
        <f>COUNTIF(G88:G92,"&gt;"&amp;Dictionary!$I$52)/R87</f>
        <v>0</v>
      </c>
      <c r="I87" s="2376"/>
      <c r="J87" s="2377"/>
      <c r="K87" s="2377"/>
      <c r="L87" s="2377"/>
      <c r="M87" s="2378"/>
      <c r="N87" s="348"/>
      <c r="O87" s="348"/>
      <c r="P87" s="348"/>
      <c r="Q87" s="348"/>
      <c r="R87" s="349">
        <f>Scoring!AK68</f>
        <v>5</v>
      </c>
      <c r="S87" s="349">
        <f>ROUNDUP(R87/2,0)</f>
        <v>3</v>
      </c>
    </row>
    <row r="88" spans="2:19" ht="18" hidden="1" customHeight="1">
      <c r="B88" s="350" t="str">
        <f>".1"</f>
        <v>.1</v>
      </c>
      <c r="C88" s="351" t="s">
        <v>423</v>
      </c>
      <c r="D88" s="356" t="str">
        <f>IF(G88&gt;0,G88,"")</f>
        <v/>
      </c>
      <c r="G88" s="349" t="str">
        <f>Scoring!U69</f>
        <v/>
      </c>
      <c r="I88" s="2376"/>
      <c r="J88" s="2377"/>
      <c r="K88" s="2377"/>
      <c r="L88" s="2377"/>
      <c r="M88" s="2378"/>
      <c r="N88" s="348"/>
      <c r="O88" s="348"/>
      <c r="P88" s="348"/>
      <c r="Q88" s="348"/>
      <c r="R88" s="349"/>
      <c r="S88" s="349"/>
    </row>
    <row r="89" spans="2:19" ht="18" hidden="1" customHeight="1">
      <c r="B89" s="350" t="str">
        <f>".2"</f>
        <v>.2</v>
      </c>
      <c r="C89" s="351" t="s">
        <v>422</v>
      </c>
      <c r="D89" s="356" t="str">
        <f>IF(G89&gt;0,G89,"")</f>
        <v/>
      </c>
      <c r="G89" s="349" t="str">
        <f>Scoring!U70</f>
        <v/>
      </c>
      <c r="I89" s="2376"/>
      <c r="J89" s="2377"/>
      <c r="K89" s="2377"/>
      <c r="L89" s="2377"/>
      <c r="M89" s="2378"/>
      <c r="N89" s="348"/>
      <c r="O89" s="348"/>
      <c r="P89" s="348"/>
      <c r="Q89" s="348"/>
      <c r="R89" s="349"/>
      <c r="S89" s="349"/>
    </row>
    <row r="90" spans="2:19" ht="24" hidden="1" customHeight="1">
      <c r="B90" s="350" t="str">
        <f>".3"</f>
        <v>.3</v>
      </c>
      <c r="C90" s="351" t="s">
        <v>421</v>
      </c>
      <c r="D90" s="356" t="str">
        <f>IF(G90&gt;0,G90,"")</f>
        <v/>
      </c>
      <c r="G90" s="349" t="str">
        <f>Scoring!U71</f>
        <v/>
      </c>
      <c r="I90" s="2376"/>
      <c r="J90" s="2377"/>
      <c r="K90" s="2377"/>
      <c r="L90" s="2377"/>
      <c r="M90" s="2378"/>
      <c r="N90" s="348"/>
      <c r="O90" s="348"/>
      <c r="P90" s="348"/>
      <c r="Q90" s="348"/>
      <c r="R90" s="349"/>
      <c r="S90" s="349"/>
    </row>
    <row r="91" spans="2:19" ht="24" hidden="1" customHeight="1">
      <c r="B91" s="350" t="str">
        <f>".4"</f>
        <v>.4</v>
      </c>
      <c r="C91" s="351" t="s">
        <v>420</v>
      </c>
      <c r="D91" s="356" t="str">
        <f>IF(G91&gt;0,G91,"")</f>
        <v/>
      </c>
      <c r="G91" s="349" t="str">
        <f>Scoring!U72</f>
        <v/>
      </c>
      <c r="I91" s="2376"/>
      <c r="J91" s="2377"/>
      <c r="K91" s="2377"/>
      <c r="L91" s="2377"/>
      <c r="M91" s="2378"/>
      <c r="N91" s="348"/>
      <c r="O91" s="348"/>
      <c r="P91" s="348"/>
      <c r="Q91" s="348"/>
      <c r="R91" s="349"/>
      <c r="S91" s="349"/>
    </row>
    <row r="92" spans="2:19" ht="18" hidden="1" customHeight="1">
      <c r="B92" s="350" t="str">
        <f>".5"</f>
        <v>.5</v>
      </c>
      <c r="C92" s="351" t="s">
        <v>419</v>
      </c>
      <c r="D92" s="356" t="str">
        <f>IF(G92&gt;0,G92,"")</f>
        <v/>
      </c>
      <c r="G92" s="349" t="str">
        <f>Scoring!U73</f>
        <v/>
      </c>
      <c r="I92" s="2376"/>
      <c r="J92" s="2377"/>
      <c r="K92" s="2377"/>
      <c r="L92" s="2377"/>
      <c r="M92" s="2378"/>
      <c r="N92" s="348"/>
      <c r="O92" s="348"/>
      <c r="P92" s="348"/>
      <c r="Q92" s="348"/>
      <c r="R92" s="349"/>
      <c r="S92" s="349"/>
    </row>
    <row r="93" spans="2:19" ht="20" customHeight="1">
      <c r="B93" s="341" t="s">
        <v>418</v>
      </c>
      <c r="C93" s="342" t="str">
        <f>Dictionary!B1342</f>
        <v>Teamarbeit</v>
      </c>
      <c r="D93" s="356"/>
      <c r="E93" s="346" t="str">
        <f>IF(LD_MODE="",Scoring!U74,'Level D Scoring'!R72)</f>
        <v/>
      </c>
      <c r="G93" s="428">
        <f>COUNTIF(G94:G98,"&gt;"&amp;Dictionary!$I$52)/R93</f>
        <v>0</v>
      </c>
      <c r="I93" s="2376"/>
      <c r="J93" s="2377"/>
      <c r="K93" s="2377"/>
      <c r="L93" s="2377"/>
      <c r="M93" s="2378"/>
      <c r="N93" s="348"/>
      <c r="O93" s="348"/>
      <c r="P93" s="348"/>
      <c r="Q93" s="348"/>
      <c r="R93" s="349">
        <f>Scoring!AK74</f>
        <v>5</v>
      </c>
      <c r="S93" s="349">
        <f>ROUNDUP(R93/2,0)</f>
        <v>3</v>
      </c>
    </row>
    <row r="94" spans="2:19" ht="18" hidden="1" customHeight="1">
      <c r="B94" s="350" t="str">
        <f>".1"</f>
        <v>.1</v>
      </c>
      <c r="C94" s="351" t="s">
        <v>417</v>
      </c>
      <c r="D94" s="356" t="str">
        <f>IF(G94&gt;0,G94,"")</f>
        <v/>
      </c>
      <c r="G94" s="349" t="str">
        <f>Scoring!U75</f>
        <v/>
      </c>
      <c r="I94" s="2376"/>
      <c r="J94" s="2377"/>
      <c r="K94" s="2377"/>
      <c r="L94" s="2377"/>
      <c r="M94" s="2378"/>
      <c r="N94" s="348"/>
      <c r="O94" s="348"/>
      <c r="P94" s="348"/>
      <c r="Q94" s="348"/>
      <c r="R94" s="349"/>
      <c r="S94" s="349"/>
    </row>
    <row r="95" spans="2:19" ht="24" hidden="1" customHeight="1">
      <c r="B95" s="350" t="str">
        <f>".2"</f>
        <v>.2</v>
      </c>
      <c r="C95" s="351" t="s">
        <v>416</v>
      </c>
      <c r="D95" s="356" t="str">
        <f>IF(G95&gt;0,G95,"")</f>
        <v/>
      </c>
      <c r="G95" s="349" t="str">
        <f>Scoring!U76</f>
        <v/>
      </c>
      <c r="I95" s="2376"/>
      <c r="J95" s="2377"/>
      <c r="K95" s="2377"/>
      <c r="L95" s="2377"/>
      <c r="M95" s="2378"/>
      <c r="N95" s="348"/>
      <c r="O95" s="348"/>
      <c r="P95" s="348"/>
      <c r="Q95" s="348"/>
      <c r="R95" s="349"/>
      <c r="S95" s="349"/>
    </row>
    <row r="96" spans="2:19" ht="24" hidden="1" customHeight="1">
      <c r="B96" s="350" t="str">
        <f>".3"</f>
        <v>.3</v>
      </c>
      <c r="C96" s="351" t="s">
        <v>415</v>
      </c>
      <c r="D96" s="356" t="str">
        <f>IF(G96&gt;0,G96,"")</f>
        <v/>
      </c>
      <c r="G96" s="349" t="str">
        <f>Scoring!U77</f>
        <v/>
      </c>
      <c r="I96" s="2376"/>
      <c r="J96" s="2377"/>
      <c r="K96" s="2377"/>
      <c r="L96" s="2377"/>
      <c r="M96" s="2378"/>
      <c r="N96" s="348"/>
      <c r="O96" s="348"/>
      <c r="P96" s="348"/>
      <c r="Q96" s="348"/>
      <c r="R96" s="349"/>
      <c r="S96" s="349"/>
    </row>
    <row r="97" spans="2:19" ht="18" hidden="1" customHeight="1">
      <c r="B97" s="350" t="str">
        <f>".4"</f>
        <v>.4</v>
      </c>
      <c r="C97" s="351" t="s">
        <v>414</v>
      </c>
      <c r="D97" s="356" t="str">
        <f>IF(G97&gt;0,G97,"")</f>
        <v/>
      </c>
      <c r="G97" s="349" t="str">
        <f>Scoring!U78</f>
        <v/>
      </c>
      <c r="I97" s="2376"/>
      <c r="J97" s="2377"/>
      <c r="K97" s="2377"/>
      <c r="L97" s="2377"/>
      <c r="M97" s="2378"/>
      <c r="N97" s="348"/>
      <c r="O97" s="348"/>
      <c r="P97" s="348"/>
      <c r="Q97" s="348"/>
      <c r="R97" s="349"/>
      <c r="S97" s="349"/>
    </row>
    <row r="98" spans="2:19" ht="18" hidden="1" customHeight="1">
      <c r="B98" s="350" t="str">
        <f>".5"</f>
        <v>.5</v>
      </c>
      <c r="C98" s="351" t="s">
        <v>413</v>
      </c>
      <c r="D98" s="356" t="str">
        <f>IF(G98&gt;0,G98,"")</f>
        <v/>
      </c>
      <c r="G98" s="349" t="str">
        <f>Scoring!U79</f>
        <v/>
      </c>
      <c r="I98" s="2376"/>
      <c r="J98" s="2377"/>
      <c r="K98" s="2377"/>
      <c r="L98" s="2377"/>
      <c r="M98" s="2378"/>
      <c r="N98" s="348"/>
      <c r="O98" s="348"/>
      <c r="P98" s="348"/>
      <c r="Q98" s="348"/>
      <c r="R98" s="349"/>
      <c r="S98" s="349"/>
    </row>
    <row r="99" spans="2:19" ht="20" customHeight="1">
      <c r="B99" s="341" t="s">
        <v>412</v>
      </c>
      <c r="C99" s="342" t="str">
        <f>Dictionary!B1350</f>
        <v>Konflikte und Krisen</v>
      </c>
      <c r="D99" s="356"/>
      <c r="E99" s="346" t="str">
        <f>IF(LD_MODE="",Scoring!U80,'Level D Scoring'!R78)</f>
        <v/>
      </c>
      <c r="G99" s="428">
        <f>COUNTIF(G100:G103,"&gt;"&amp;Dictionary!$I$52)/R99</f>
        <v>0</v>
      </c>
      <c r="I99" s="2376"/>
      <c r="J99" s="2377"/>
      <c r="K99" s="2377"/>
      <c r="L99" s="2377"/>
      <c r="M99" s="2378"/>
      <c r="N99" s="348"/>
      <c r="O99" s="348"/>
      <c r="P99" s="348"/>
      <c r="Q99" s="348"/>
      <c r="R99" s="349">
        <f>Scoring!AK80</f>
        <v>4</v>
      </c>
      <c r="S99" s="349">
        <f>ROUNDUP(R99/2,0)</f>
        <v>2</v>
      </c>
    </row>
    <row r="100" spans="2:19" ht="18" hidden="1" customHeight="1">
      <c r="B100" s="350" t="str">
        <f>".1"</f>
        <v>.1</v>
      </c>
      <c r="C100" s="351" t="s">
        <v>411</v>
      </c>
      <c r="D100" s="356" t="str">
        <f>IF(G100&gt;0,G100,"")</f>
        <v/>
      </c>
      <c r="G100" s="349" t="str">
        <f>Scoring!U81</f>
        <v/>
      </c>
      <c r="I100" s="2376"/>
      <c r="J100" s="2377"/>
      <c r="K100" s="2377"/>
      <c r="L100" s="2377"/>
      <c r="M100" s="2378"/>
      <c r="N100" s="348"/>
      <c r="O100" s="348"/>
      <c r="P100" s="348"/>
      <c r="Q100" s="348"/>
      <c r="R100" s="349"/>
      <c r="S100" s="349"/>
    </row>
    <row r="101" spans="2:19" ht="24" hidden="1" customHeight="1">
      <c r="B101" s="350" t="str">
        <f>".2"</f>
        <v>.2</v>
      </c>
      <c r="C101" s="351" t="s">
        <v>410</v>
      </c>
      <c r="D101" s="356" t="str">
        <f>IF(G101&gt;0,G101,"")</f>
        <v/>
      </c>
      <c r="G101" s="349" t="str">
        <f>Scoring!U82</f>
        <v/>
      </c>
      <c r="I101" s="2376"/>
      <c r="J101" s="2377"/>
      <c r="K101" s="2377"/>
      <c r="L101" s="2377"/>
      <c r="M101" s="2378"/>
      <c r="N101" s="348"/>
      <c r="O101" s="348"/>
      <c r="P101" s="348"/>
      <c r="Q101" s="348"/>
      <c r="R101" s="349"/>
      <c r="S101" s="349"/>
    </row>
    <row r="102" spans="2:19" ht="24" hidden="1" customHeight="1">
      <c r="B102" s="350" t="str">
        <f>".3"</f>
        <v>.3</v>
      </c>
      <c r="C102" s="351" t="s">
        <v>409</v>
      </c>
      <c r="D102" s="356" t="str">
        <f>IF(G102&gt;0,G102,"")</f>
        <v/>
      </c>
      <c r="G102" s="349" t="str">
        <f>Scoring!U83</f>
        <v/>
      </c>
      <c r="I102" s="2376"/>
      <c r="J102" s="2377"/>
      <c r="K102" s="2377"/>
      <c r="L102" s="2377"/>
      <c r="M102" s="2378"/>
      <c r="N102" s="348"/>
      <c r="O102" s="348"/>
      <c r="P102" s="348"/>
      <c r="Q102" s="348"/>
      <c r="R102" s="349"/>
      <c r="S102" s="349"/>
    </row>
    <row r="103" spans="2:19" ht="24" hidden="1" customHeight="1">
      <c r="B103" s="350" t="str">
        <f>".4"</f>
        <v>.4</v>
      </c>
      <c r="C103" s="351" t="s">
        <v>408</v>
      </c>
      <c r="D103" s="356" t="str">
        <f>IF(G103&gt;0,G103,"")</f>
        <v/>
      </c>
      <c r="G103" s="349" t="str">
        <f>Scoring!U84</f>
        <v/>
      </c>
      <c r="I103" s="2376"/>
      <c r="J103" s="2377"/>
      <c r="K103" s="2377"/>
      <c r="L103" s="2377"/>
      <c r="M103" s="2378"/>
      <c r="N103" s="348"/>
      <c r="O103" s="348"/>
      <c r="P103" s="348"/>
      <c r="Q103" s="348"/>
      <c r="R103" s="349"/>
      <c r="S103" s="349"/>
    </row>
    <row r="104" spans="2:19" ht="20" customHeight="1">
      <c r="B104" s="341" t="s">
        <v>407</v>
      </c>
      <c r="C104" s="342" t="str">
        <f>Dictionary!B1357</f>
        <v>Vielseitigkeit</v>
      </c>
      <c r="D104" s="356"/>
      <c r="E104" s="346" t="str">
        <f>IF(LD_MODE="",Scoring!U85,'Level D Scoring'!R83)</f>
        <v/>
      </c>
      <c r="G104" s="428">
        <f>COUNTIF(G105:G109,"&gt;"&amp;Dictionary!$I$52)/R104</f>
        <v>0</v>
      </c>
      <c r="I104" s="2376"/>
      <c r="J104" s="2377"/>
      <c r="K104" s="2377"/>
      <c r="L104" s="2377"/>
      <c r="M104" s="2378"/>
      <c r="N104" s="348"/>
      <c r="O104" s="348"/>
      <c r="P104" s="348"/>
      <c r="Q104" s="348"/>
      <c r="R104" s="349">
        <f>Scoring!AK85</f>
        <v>5</v>
      </c>
      <c r="S104" s="349">
        <f>ROUNDUP(R104/2,0)</f>
        <v>3</v>
      </c>
    </row>
    <row r="105" spans="2:19" ht="18" hidden="1" customHeight="1">
      <c r="B105" s="350" t="str">
        <f>".1"</f>
        <v>.1</v>
      </c>
      <c r="C105" s="351" t="s">
        <v>406</v>
      </c>
      <c r="D105" s="356" t="str">
        <f>IF(G105&gt;0,G105,"")</f>
        <v/>
      </c>
      <c r="G105" s="349" t="str">
        <f>Scoring!U86</f>
        <v/>
      </c>
      <c r="I105" s="2376"/>
      <c r="J105" s="2377"/>
      <c r="K105" s="2377"/>
      <c r="L105" s="2377"/>
      <c r="M105" s="2378"/>
      <c r="N105" s="348"/>
      <c r="O105" s="348"/>
      <c r="P105" s="348"/>
      <c r="Q105" s="348"/>
      <c r="R105" s="349"/>
      <c r="S105" s="349"/>
    </row>
    <row r="106" spans="2:19" ht="24" hidden="1" customHeight="1">
      <c r="B106" s="350" t="str">
        <f>".2"</f>
        <v>.2</v>
      </c>
      <c r="C106" s="351" t="s">
        <v>405</v>
      </c>
      <c r="D106" s="356" t="str">
        <f>IF(G106&gt;0,G106,"")</f>
        <v/>
      </c>
      <c r="G106" s="349" t="str">
        <f>Scoring!U87</f>
        <v/>
      </c>
      <c r="I106" s="2376"/>
      <c r="J106" s="2377"/>
      <c r="K106" s="2377"/>
      <c r="L106" s="2377"/>
      <c r="M106" s="2378"/>
      <c r="N106" s="348"/>
      <c r="O106" s="348"/>
      <c r="P106" s="348"/>
      <c r="Q106" s="348"/>
      <c r="R106" s="349"/>
      <c r="S106" s="349"/>
    </row>
    <row r="107" spans="2:19" ht="24" hidden="1" customHeight="1">
      <c r="B107" s="350" t="str">
        <f>".3"</f>
        <v>.3</v>
      </c>
      <c r="C107" s="351" t="s">
        <v>404</v>
      </c>
      <c r="D107" s="356" t="str">
        <f>IF(G107&gt;0,G107,"")</f>
        <v/>
      </c>
      <c r="G107" s="349" t="str">
        <f>Scoring!U88</f>
        <v/>
      </c>
      <c r="I107" s="2376"/>
      <c r="J107" s="2377"/>
      <c r="K107" s="2377"/>
      <c r="L107" s="2377"/>
      <c r="M107" s="2378"/>
      <c r="N107" s="348"/>
      <c r="O107" s="348"/>
      <c r="P107" s="348"/>
      <c r="Q107" s="348"/>
      <c r="R107" s="349"/>
      <c r="S107" s="349"/>
    </row>
    <row r="108" spans="2:19" ht="24" hidden="1" customHeight="1">
      <c r="B108" s="350" t="str">
        <f>".4"</f>
        <v>.4</v>
      </c>
      <c r="C108" s="351" t="s">
        <v>403</v>
      </c>
      <c r="D108" s="356" t="str">
        <f>IF(G108&gt;0,G108,"")</f>
        <v/>
      </c>
      <c r="G108" s="349" t="str">
        <f>Scoring!U89</f>
        <v/>
      </c>
      <c r="I108" s="2376"/>
      <c r="J108" s="2377"/>
      <c r="K108" s="2377"/>
      <c r="L108" s="2377"/>
      <c r="M108" s="2378"/>
      <c r="N108" s="348"/>
      <c r="O108" s="348"/>
      <c r="P108" s="348"/>
      <c r="Q108" s="348"/>
      <c r="R108" s="349"/>
      <c r="S108" s="349"/>
    </row>
    <row r="109" spans="2:19" ht="24" hidden="1" customHeight="1">
      <c r="B109" s="350" t="str">
        <f>".5"</f>
        <v>.5</v>
      </c>
      <c r="C109" s="351" t="s">
        <v>402</v>
      </c>
      <c r="D109" s="356" t="str">
        <f>IF(G109&gt;0,G109,"")</f>
        <v/>
      </c>
      <c r="G109" s="349" t="str">
        <f>Scoring!U90</f>
        <v/>
      </c>
      <c r="I109" s="2376"/>
      <c r="J109" s="2377"/>
      <c r="K109" s="2377"/>
      <c r="L109" s="2377"/>
      <c r="M109" s="2378"/>
      <c r="N109" s="348"/>
      <c r="O109" s="348"/>
      <c r="P109" s="348"/>
      <c r="Q109" s="348"/>
      <c r="R109" s="349"/>
      <c r="S109" s="349"/>
    </row>
    <row r="110" spans="2:19" ht="20" customHeight="1">
      <c r="B110" s="341" t="s">
        <v>401</v>
      </c>
      <c r="C110" s="342" t="str">
        <f>Dictionary!B1365</f>
        <v>Verhandlungen</v>
      </c>
      <c r="D110" s="356"/>
      <c r="E110" s="346" t="str">
        <f>IF(LD_MODE="",Scoring!U91,'Level D Scoring'!R89)</f>
        <v/>
      </c>
      <c r="G110" s="428">
        <f>COUNTIF(G111:G115,"&gt;"&amp;Dictionary!$I$52)/R110</f>
        <v>0</v>
      </c>
      <c r="I110" s="2376"/>
      <c r="J110" s="2377"/>
      <c r="K110" s="2377"/>
      <c r="L110" s="2377"/>
      <c r="M110" s="2378"/>
      <c r="N110" s="348"/>
      <c r="O110" s="348"/>
      <c r="P110" s="348"/>
      <c r="Q110" s="348"/>
      <c r="R110" s="349">
        <f>Scoring!AK91</f>
        <v>5</v>
      </c>
      <c r="S110" s="349">
        <f>ROUNDUP(R110/2,0)</f>
        <v>3</v>
      </c>
    </row>
    <row r="111" spans="2:19" ht="24" hidden="1" customHeight="1">
      <c r="B111" s="350" t="str">
        <f>".1"</f>
        <v>.1</v>
      </c>
      <c r="C111" s="351" t="s">
        <v>400</v>
      </c>
      <c r="D111" s="356" t="str">
        <f>IF(G111&gt;0,G111,"")</f>
        <v/>
      </c>
      <c r="G111" s="349" t="str">
        <f>Scoring!U92</f>
        <v/>
      </c>
      <c r="I111" s="2376"/>
      <c r="J111" s="2377"/>
      <c r="K111" s="2377"/>
      <c r="L111" s="2377"/>
      <c r="M111" s="2378"/>
      <c r="N111" s="348"/>
      <c r="O111" s="348"/>
      <c r="P111" s="348"/>
      <c r="Q111" s="348"/>
      <c r="R111" s="349"/>
      <c r="S111" s="349"/>
    </row>
    <row r="112" spans="2:19" ht="24" hidden="1" customHeight="1">
      <c r="B112" s="350" t="str">
        <f>".2"</f>
        <v>.2</v>
      </c>
      <c r="C112" s="351" t="s">
        <v>399</v>
      </c>
      <c r="D112" s="356" t="str">
        <f>IF(G112&gt;0,G112,"")</f>
        <v/>
      </c>
      <c r="G112" s="349" t="str">
        <f>Scoring!U93</f>
        <v/>
      </c>
      <c r="I112" s="2376"/>
      <c r="J112" s="2377"/>
      <c r="K112" s="2377"/>
      <c r="L112" s="2377"/>
      <c r="M112" s="2378"/>
      <c r="N112" s="348"/>
      <c r="O112" s="348"/>
      <c r="P112" s="348"/>
      <c r="Q112" s="348"/>
      <c r="R112" s="349"/>
      <c r="S112" s="349"/>
    </row>
    <row r="113" spans="2:19" ht="24" hidden="1" customHeight="1">
      <c r="B113" s="350" t="str">
        <f>".3"</f>
        <v>.3</v>
      </c>
      <c r="C113" s="351" t="s">
        <v>398</v>
      </c>
      <c r="D113" s="356" t="str">
        <f>IF(G113&gt;0,G113,"")</f>
        <v/>
      </c>
      <c r="G113" s="349" t="str">
        <f>Scoring!U94</f>
        <v/>
      </c>
      <c r="I113" s="2376"/>
      <c r="J113" s="2377"/>
      <c r="K113" s="2377"/>
      <c r="L113" s="2377"/>
      <c r="M113" s="2378"/>
      <c r="N113" s="348"/>
      <c r="O113" s="348"/>
      <c r="P113" s="348"/>
      <c r="Q113" s="348"/>
      <c r="R113" s="349"/>
      <c r="S113" s="349"/>
    </row>
    <row r="114" spans="2:19" ht="24" hidden="1" customHeight="1">
      <c r="B114" s="350" t="str">
        <f>".4"</f>
        <v>.4</v>
      </c>
      <c r="C114" s="351" t="s">
        <v>397</v>
      </c>
      <c r="D114" s="356" t="str">
        <f>IF(G114&gt;0,G114,"")</f>
        <v/>
      </c>
      <c r="G114" s="349" t="str">
        <f>Scoring!U95</f>
        <v/>
      </c>
      <c r="I114" s="2376"/>
      <c r="J114" s="2377"/>
      <c r="K114" s="2377"/>
      <c r="L114" s="2377"/>
      <c r="M114" s="2378"/>
      <c r="N114" s="348"/>
      <c r="O114" s="348"/>
      <c r="P114" s="348"/>
      <c r="Q114" s="348"/>
      <c r="R114" s="349"/>
      <c r="S114" s="349"/>
    </row>
    <row r="115" spans="2:19" ht="24" hidden="1" customHeight="1">
      <c r="B115" s="350" t="str">
        <f>".5"</f>
        <v>.5</v>
      </c>
      <c r="C115" s="351" t="s">
        <v>396</v>
      </c>
      <c r="D115" s="356" t="str">
        <f>IF(G115&gt;0,G115,"")</f>
        <v/>
      </c>
      <c r="G115" s="349" t="str">
        <f>Scoring!U96</f>
        <v/>
      </c>
      <c r="I115" s="2376"/>
      <c r="J115" s="2377"/>
      <c r="K115" s="2377"/>
      <c r="L115" s="2377"/>
      <c r="M115" s="2378"/>
      <c r="N115" s="348"/>
      <c r="O115" s="348"/>
      <c r="P115" s="348"/>
      <c r="Q115" s="348"/>
      <c r="R115" s="349"/>
      <c r="S115" s="349"/>
    </row>
    <row r="116" spans="2:19" ht="20" customHeight="1">
      <c r="B116" s="341" t="s">
        <v>395</v>
      </c>
      <c r="C116" s="342" t="str">
        <f>Dictionary!B1373</f>
        <v>Ergebnisorientierung</v>
      </c>
      <c r="D116" s="356"/>
      <c r="E116" s="346" t="str">
        <f>IF(LD_MODE="",Scoring!U97,'Level D Scoring'!R95)</f>
        <v/>
      </c>
      <c r="G116" s="428">
        <f>COUNTIF(G117:G121,"&gt;"&amp;Dictionary!$I$52)/R116</f>
        <v>0</v>
      </c>
      <c r="I116" s="2376"/>
      <c r="J116" s="2377"/>
      <c r="K116" s="2377"/>
      <c r="L116" s="2377"/>
      <c r="M116" s="2378"/>
      <c r="N116" s="348"/>
      <c r="O116" s="348"/>
      <c r="P116" s="348"/>
      <c r="Q116" s="348"/>
      <c r="R116" s="349">
        <f>Scoring!AK97</f>
        <v>5</v>
      </c>
      <c r="S116" s="349">
        <f>ROUNDUP(R116/2,0)</f>
        <v>3</v>
      </c>
    </row>
    <row r="117" spans="2:19" ht="24" hidden="1" customHeight="1">
      <c r="B117" s="350" t="str">
        <f>".1"</f>
        <v>.1</v>
      </c>
      <c r="C117" s="351" t="s">
        <v>394</v>
      </c>
      <c r="D117" s="356" t="str">
        <f>IF(G117&gt;0,G117,"")</f>
        <v/>
      </c>
      <c r="G117" s="349" t="str">
        <f>Scoring!U98</f>
        <v/>
      </c>
      <c r="I117" s="2376"/>
      <c r="J117" s="2377"/>
      <c r="K117" s="2377"/>
      <c r="L117" s="2377"/>
      <c r="M117" s="2378"/>
      <c r="N117" s="348"/>
      <c r="O117" s="348"/>
      <c r="P117" s="348"/>
      <c r="Q117" s="348"/>
      <c r="R117" s="349"/>
      <c r="S117" s="349"/>
    </row>
    <row r="118" spans="2:19" ht="24" hidden="1" customHeight="1">
      <c r="B118" s="350" t="str">
        <f>".2"</f>
        <v>.2</v>
      </c>
      <c r="C118" s="351" t="s">
        <v>393</v>
      </c>
      <c r="D118" s="356" t="str">
        <f>IF(G118&gt;0,G118,"")</f>
        <v/>
      </c>
      <c r="G118" s="349" t="str">
        <f>Scoring!U99</f>
        <v/>
      </c>
      <c r="I118" s="2376"/>
      <c r="J118" s="2377"/>
      <c r="K118" s="2377"/>
      <c r="L118" s="2377"/>
      <c r="M118" s="2378"/>
      <c r="N118" s="348"/>
      <c r="O118" s="348"/>
      <c r="P118" s="348"/>
      <c r="Q118" s="348"/>
      <c r="R118" s="349"/>
      <c r="S118" s="349"/>
    </row>
    <row r="119" spans="2:19" ht="24" hidden="1" customHeight="1">
      <c r="B119" s="350" t="str">
        <f>".3"</f>
        <v>.3</v>
      </c>
      <c r="C119" s="351" t="s">
        <v>392</v>
      </c>
      <c r="D119" s="356" t="str">
        <f>IF(G119&gt;0,G119,"")</f>
        <v/>
      </c>
      <c r="G119" s="349" t="str">
        <f>Scoring!U100</f>
        <v/>
      </c>
      <c r="I119" s="2376"/>
      <c r="J119" s="2377"/>
      <c r="K119" s="2377"/>
      <c r="L119" s="2377"/>
      <c r="M119" s="2378"/>
      <c r="N119" s="348"/>
      <c r="O119" s="348"/>
      <c r="P119" s="348"/>
      <c r="Q119" s="348"/>
      <c r="R119" s="349"/>
      <c r="S119" s="349"/>
    </row>
    <row r="120" spans="2:19" ht="24" hidden="1" customHeight="1">
      <c r="B120" s="350" t="str">
        <f>".4"</f>
        <v>.4</v>
      </c>
      <c r="C120" s="351" t="s">
        <v>391</v>
      </c>
      <c r="D120" s="356" t="str">
        <f>IF(G120&gt;0,G120,"")</f>
        <v/>
      </c>
      <c r="G120" s="349" t="str">
        <f>Scoring!U101</f>
        <v/>
      </c>
      <c r="I120" s="2376"/>
      <c r="J120" s="2377"/>
      <c r="K120" s="2377"/>
      <c r="L120" s="2377"/>
      <c r="M120" s="2378"/>
      <c r="N120" s="348"/>
      <c r="O120" s="348"/>
      <c r="P120" s="348"/>
      <c r="Q120" s="348"/>
      <c r="R120" s="349"/>
      <c r="S120" s="349"/>
    </row>
    <row r="121" spans="2:19" ht="18" hidden="1" customHeight="1">
      <c r="B121" s="350" t="str">
        <f>".5"</f>
        <v>.5</v>
      </c>
      <c r="C121" s="351" t="s">
        <v>390</v>
      </c>
      <c r="D121" s="356" t="str">
        <f>IF(G121&gt;0,G121,"")</f>
        <v/>
      </c>
      <c r="G121" s="349" t="str">
        <f>Scoring!U102</f>
        <v/>
      </c>
      <c r="I121" s="2376"/>
      <c r="J121" s="2377"/>
      <c r="K121" s="2377"/>
      <c r="L121" s="2377"/>
      <c r="M121" s="2378"/>
      <c r="N121" s="348"/>
      <c r="O121" s="348"/>
      <c r="P121" s="348"/>
      <c r="Q121" s="348"/>
      <c r="R121" s="349"/>
      <c r="S121" s="349"/>
    </row>
    <row r="122" spans="2:19" ht="16.5" customHeight="1">
      <c r="C122" s="363"/>
      <c r="D122" s="356"/>
      <c r="E122" s="365"/>
      <c r="J122" s="313"/>
      <c r="K122" s="313"/>
      <c r="L122" s="313"/>
      <c r="M122" s="313"/>
      <c r="N122" s="313"/>
      <c r="O122" s="313"/>
      <c r="P122" s="313"/>
      <c r="Q122" s="313"/>
      <c r="R122" s="370"/>
      <c r="S122" s="370"/>
    </row>
    <row r="123" spans="2:19" ht="30" customHeight="1">
      <c r="C123" s="366" t="str">
        <f>Dictionary!B1380</f>
        <v>Practice Kompetenz Elements</v>
      </c>
      <c r="D123" s="356"/>
      <c r="E123" s="367"/>
      <c r="J123" s="313"/>
      <c r="K123" s="313"/>
      <c r="L123" s="313"/>
      <c r="M123" s="313"/>
      <c r="N123" s="313"/>
      <c r="O123" s="313"/>
      <c r="P123" s="313"/>
      <c r="Q123" s="313"/>
      <c r="R123" s="334"/>
      <c r="S123" s="334"/>
    </row>
    <row r="124" spans="2:19" ht="20" customHeight="1">
      <c r="B124" s="341" t="s">
        <v>388</v>
      </c>
      <c r="C124" s="342" t="str">
        <f>Dictionary!B1381</f>
        <v>Projektdesign</v>
      </c>
      <c r="D124" s="356"/>
      <c r="E124" s="346" t="str">
        <f>IF(LD_MODE="",Scoring!U105,'Level D Scoring'!R103)</f>
        <v/>
      </c>
      <c r="G124" s="428">
        <f>COUNTIF(G125:G129,"&gt;"&amp;Dictionary!$I$52)/R124</f>
        <v>0</v>
      </c>
      <c r="I124" s="2376"/>
      <c r="J124" s="2377"/>
      <c r="K124" s="2377"/>
      <c r="L124" s="2377"/>
      <c r="M124" s="2378"/>
      <c r="N124" s="348"/>
      <c r="O124" s="348"/>
      <c r="P124" s="348"/>
      <c r="Q124" s="348"/>
      <c r="R124" s="349">
        <f>Scoring!AK105</f>
        <v>5</v>
      </c>
      <c r="S124" s="349">
        <f>ROUNDUP(R124/2,0)</f>
        <v>3</v>
      </c>
    </row>
    <row r="125" spans="2:19" ht="18" hidden="1" customHeight="1">
      <c r="B125" s="350" t="str">
        <f>".1"</f>
        <v>.1</v>
      </c>
      <c r="C125" s="351" t="s">
        <v>387</v>
      </c>
      <c r="D125" s="356" t="str">
        <f>IF(G125&gt;0,G125,"")</f>
        <v/>
      </c>
      <c r="G125" s="349" t="str">
        <f>Scoring!U106</f>
        <v/>
      </c>
      <c r="I125" s="2376"/>
      <c r="J125" s="2377"/>
      <c r="K125" s="2377"/>
      <c r="L125" s="2377"/>
      <c r="M125" s="2378"/>
      <c r="N125" s="348"/>
      <c r="O125" s="348"/>
      <c r="P125" s="348"/>
      <c r="Q125" s="348"/>
      <c r="R125" s="349"/>
      <c r="S125" s="349"/>
    </row>
    <row r="126" spans="2:19" ht="24" hidden="1" customHeight="1">
      <c r="B126" s="350" t="str">
        <f>".2"</f>
        <v>.2</v>
      </c>
      <c r="C126" s="351" t="s">
        <v>386</v>
      </c>
      <c r="D126" s="356" t="str">
        <f>IF(G126&gt;0,G126,"")</f>
        <v/>
      </c>
      <c r="G126" s="349" t="str">
        <f>Scoring!U107</f>
        <v/>
      </c>
      <c r="I126" s="2376"/>
      <c r="J126" s="2377"/>
      <c r="K126" s="2377"/>
      <c r="L126" s="2377"/>
      <c r="M126" s="2378"/>
      <c r="N126" s="348"/>
      <c r="O126" s="348"/>
      <c r="P126" s="348"/>
      <c r="Q126" s="348"/>
      <c r="R126" s="349"/>
      <c r="S126" s="349"/>
    </row>
    <row r="127" spans="2:19" ht="24" hidden="1" customHeight="1">
      <c r="B127" s="350" t="str">
        <f>".3"</f>
        <v>.3</v>
      </c>
      <c r="C127" s="351" t="s">
        <v>385</v>
      </c>
      <c r="D127" s="356" t="str">
        <f>IF(G127&gt;0,G127,"")</f>
        <v/>
      </c>
      <c r="G127" s="349" t="str">
        <f>Scoring!U108</f>
        <v/>
      </c>
      <c r="I127" s="2376"/>
      <c r="J127" s="2377"/>
      <c r="K127" s="2377"/>
      <c r="L127" s="2377"/>
      <c r="M127" s="2378"/>
      <c r="N127" s="348"/>
      <c r="O127" s="348"/>
      <c r="P127" s="348"/>
      <c r="Q127" s="348"/>
      <c r="R127" s="349"/>
      <c r="S127" s="349"/>
    </row>
    <row r="128" spans="2:19" ht="18" hidden="1" customHeight="1">
      <c r="B128" s="350" t="str">
        <f>".4"</f>
        <v>.4</v>
      </c>
      <c r="C128" s="351" t="s">
        <v>384</v>
      </c>
      <c r="D128" s="356" t="str">
        <f>IF(G128&gt;0,G128,"")</f>
        <v/>
      </c>
      <c r="G128" s="349" t="str">
        <f>Scoring!U109</f>
        <v/>
      </c>
      <c r="I128" s="2376"/>
      <c r="J128" s="2377"/>
      <c r="K128" s="2377"/>
      <c r="L128" s="2377"/>
      <c r="M128" s="2378"/>
      <c r="N128" s="348"/>
      <c r="O128" s="348"/>
      <c r="P128" s="348"/>
      <c r="Q128" s="348"/>
      <c r="R128" s="349"/>
      <c r="S128" s="349"/>
    </row>
    <row r="129" spans="2:19" ht="18" hidden="1" customHeight="1">
      <c r="B129" s="350" t="str">
        <f>".5"</f>
        <v>.5</v>
      </c>
      <c r="C129" s="351" t="s">
        <v>383</v>
      </c>
      <c r="D129" s="356" t="str">
        <f>IF(G129&gt;0,G129,"")</f>
        <v/>
      </c>
      <c r="G129" s="349" t="str">
        <f>Scoring!U110</f>
        <v/>
      </c>
      <c r="I129" s="2376"/>
      <c r="J129" s="2377"/>
      <c r="K129" s="2377"/>
      <c r="L129" s="2377"/>
      <c r="M129" s="2378"/>
      <c r="N129" s="348"/>
      <c r="O129" s="348"/>
      <c r="P129" s="348"/>
      <c r="Q129" s="348"/>
      <c r="R129" s="349"/>
      <c r="S129" s="349"/>
    </row>
    <row r="130" spans="2:19" ht="20" customHeight="1">
      <c r="B130" s="341" t="s">
        <v>382</v>
      </c>
      <c r="C130" s="342" t="str">
        <f>Dictionary!B1392</f>
        <v>Anforderungen und Ziele</v>
      </c>
      <c r="D130" s="356"/>
      <c r="E130" s="346" t="str">
        <f>IF(LD_MODE="",Scoring!U114,'Level D Scoring'!R109)</f>
        <v/>
      </c>
      <c r="G130" s="428">
        <f>COUNTIF(G131:G133,"&gt;"&amp;Dictionary!$I$52)/R130</f>
        <v>0</v>
      </c>
      <c r="I130" s="2376"/>
      <c r="J130" s="2377"/>
      <c r="K130" s="2377"/>
      <c r="L130" s="2377"/>
      <c r="M130" s="2378"/>
      <c r="N130" s="348"/>
      <c r="O130" s="348"/>
      <c r="P130" s="348"/>
      <c r="Q130" s="348"/>
      <c r="R130" s="349">
        <f>Scoring!AK114</f>
        <v>3</v>
      </c>
      <c r="S130" s="349">
        <f>ROUNDUP(R130/2,0)</f>
        <v>2</v>
      </c>
    </row>
    <row r="131" spans="2:19" ht="18" hidden="1" customHeight="1">
      <c r="B131" s="350" t="str">
        <f>".1"</f>
        <v>.1</v>
      </c>
      <c r="C131" s="351" t="s">
        <v>381</v>
      </c>
      <c r="D131" s="356" t="str">
        <f>IF(G131&gt;0,G131,"")</f>
        <v/>
      </c>
      <c r="G131" s="349" t="str">
        <f>Scoring!U115</f>
        <v/>
      </c>
      <c r="I131" s="2376"/>
      <c r="J131" s="2377"/>
      <c r="K131" s="2377"/>
      <c r="L131" s="2377"/>
      <c r="M131" s="2378"/>
      <c r="N131" s="348"/>
      <c r="O131" s="348"/>
      <c r="P131" s="348"/>
      <c r="Q131" s="348"/>
      <c r="R131" s="349"/>
      <c r="S131" s="349"/>
    </row>
    <row r="132" spans="2:19" ht="24" hidden="1" customHeight="1">
      <c r="B132" s="350" t="str">
        <f>".2"</f>
        <v>.2</v>
      </c>
      <c r="C132" s="351" t="s">
        <v>380</v>
      </c>
      <c r="D132" s="356" t="str">
        <f>IF(G132&gt;0,G132,"")</f>
        <v/>
      </c>
      <c r="G132" s="349" t="str">
        <f>Scoring!U116</f>
        <v/>
      </c>
      <c r="I132" s="2376"/>
      <c r="J132" s="2377"/>
      <c r="K132" s="2377"/>
      <c r="L132" s="2377"/>
      <c r="M132" s="2378"/>
      <c r="N132" s="348"/>
      <c r="O132" s="348"/>
      <c r="P132" s="348"/>
      <c r="Q132" s="348"/>
      <c r="R132" s="349"/>
      <c r="S132" s="349"/>
    </row>
    <row r="133" spans="2:19" ht="24" hidden="1" customHeight="1">
      <c r="B133" s="350" t="str">
        <f>".3"</f>
        <v>.3</v>
      </c>
      <c r="C133" s="351" t="s">
        <v>379</v>
      </c>
      <c r="D133" s="356" t="str">
        <f>IF(G133&gt;0,G133,"")</f>
        <v/>
      </c>
      <c r="G133" s="349" t="str">
        <f>Scoring!U117</f>
        <v/>
      </c>
      <c r="I133" s="2376"/>
      <c r="J133" s="2377"/>
      <c r="K133" s="2377"/>
      <c r="L133" s="2377"/>
      <c r="M133" s="2378"/>
      <c r="N133" s="348"/>
      <c r="O133" s="348"/>
      <c r="P133" s="348"/>
      <c r="Q133" s="348"/>
      <c r="R133" s="349"/>
      <c r="S133" s="349"/>
    </row>
    <row r="134" spans="2:19" ht="20" customHeight="1">
      <c r="B134" s="341" t="s">
        <v>378</v>
      </c>
      <c r="C134" s="342" t="str">
        <f>Dictionary!B1400</f>
        <v>Leistungsumfang</v>
      </c>
      <c r="D134" s="356"/>
      <c r="E134" s="346" t="str">
        <f>IF(LD_MODE="",Scoring!U120,'Level D Scoring'!R113)</f>
        <v/>
      </c>
      <c r="G134" s="428">
        <f>COUNTIF(G135:G138,"&gt;"&amp;Dictionary!$I$52)/R134</f>
        <v>0</v>
      </c>
      <c r="I134" s="2376"/>
      <c r="J134" s="2377"/>
      <c r="K134" s="2377"/>
      <c r="L134" s="2377"/>
      <c r="M134" s="2378"/>
      <c r="N134" s="348"/>
      <c r="O134" s="348"/>
      <c r="P134" s="348"/>
      <c r="Q134" s="348"/>
      <c r="R134" s="349">
        <f>Scoring!AK120</f>
        <v>4</v>
      </c>
      <c r="S134" s="349">
        <f>ROUNDUP(R134/2,0)</f>
        <v>2</v>
      </c>
    </row>
    <row r="135" spans="2:19" ht="18" hidden="1" customHeight="1">
      <c r="B135" s="350" t="str">
        <f>".1"</f>
        <v>.1</v>
      </c>
      <c r="C135" s="351" t="s">
        <v>377</v>
      </c>
      <c r="D135" s="356" t="str">
        <f>IF(G135&gt;0,G135,"")</f>
        <v/>
      </c>
      <c r="G135" s="349" t="str">
        <f>Scoring!U121</f>
        <v/>
      </c>
      <c r="I135" s="2376"/>
      <c r="J135" s="2377"/>
      <c r="K135" s="2377"/>
      <c r="L135" s="2377"/>
      <c r="M135" s="2378"/>
      <c r="N135" s="348"/>
      <c r="O135" s="348"/>
      <c r="P135" s="348"/>
      <c r="Q135" s="348"/>
      <c r="R135" s="349"/>
      <c r="S135" s="349"/>
    </row>
    <row r="136" spans="2:19" ht="18" hidden="1" customHeight="1">
      <c r="B136" s="350" t="str">
        <f>".2"</f>
        <v>.2</v>
      </c>
      <c r="C136" s="351" t="s">
        <v>376</v>
      </c>
      <c r="D136" s="356" t="str">
        <f>IF(G136&gt;0,G136,"")</f>
        <v/>
      </c>
      <c r="G136" s="349" t="str">
        <f>Scoring!U122</f>
        <v/>
      </c>
      <c r="I136" s="2376"/>
      <c r="J136" s="2377"/>
      <c r="K136" s="2377"/>
      <c r="L136" s="2377"/>
      <c r="M136" s="2378"/>
      <c r="N136" s="348"/>
      <c r="O136" s="348"/>
      <c r="P136" s="348"/>
      <c r="Q136" s="348"/>
      <c r="R136" s="349"/>
      <c r="S136" s="349"/>
    </row>
    <row r="137" spans="2:19" ht="18" hidden="1" customHeight="1">
      <c r="B137" s="350" t="str">
        <f>".3"</f>
        <v>.3</v>
      </c>
      <c r="C137" s="351" t="s">
        <v>375</v>
      </c>
      <c r="D137" s="356" t="str">
        <f>IF(G137&gt;0,G137,"")</f>
        <v/>
      </c>
      <c r="G137" s="349" t="str">
        <f>Scoring!U123</f>
        <v/>
      </c>
      <c r="I137" s="2376"/>
      <c r="J137" s="2377"/>
      <c r="K137" s="2377"/>
      <c r="L137" s="2377"/>
      <c r="M137" s="2378"/>
      <c r="N137" s="348"/>
      <c r="O137" s="348"/>
      <c r="P137" s="348"/>
      <c r="Q137" s="348"/>
      <c r="R137" s="349"/>
      <c r="S137" s="349"/>
    </row>
    <row r="138" spans="2:19" ht="18" hidden="1" customHeight="1">
      <c r="B138" s="350" t="str">
        <f>".4"</f>
        <v>.4</v>
      </c>
      <c r="C138" s="351" t="s">
        <v>374</v>
      </c>
      <c r="D138" s="356" t="str">
        <f>IF(G138&gt;0,G138,"")</f>
        <v/>
      </c>
      <c r="G138" s="349" t="str">
        <f>Scoring!U124</f>
        <v/>
      </c>
      <c r="I138" s="2376"/>
      <c r="J138" s="2377"/>
      <c r="K138" s="2377"/>
      <c r="L138" s="2377"/>
      <c r="M138" s="2378"/>
      <c r="N138" s="348"/>
      <c r="O138" s="348"/>
      <c r="P138" s="348"/>
      <c r="Q138" s="348"/>
      <c r="R138" s="349"/>
      <c r="S138" s="349"/>
    </row>
    <row r="139" spans="2:19" ht="20" customHeight="1">
      <c r="B139" s="341" t="s">
        <v>373</v>
      </c>
      <c r="C139" s="342" t="str">
        <f>Dictionary!B1407</f>
        <v>Ablauf und Termine</v>
      </c>
      <c r="D139" s="356"/>
      <c r="E139" s="346" t="str">
        <f>IF(LD_MODE="",Scoring!U125,'Level D Scoring'!R118)</f>
        <v/>
      </c>
      <c r="G139" s="428">
        <f>COUNTIF(G140:G144,"&gt;"&amp;Dictionary!$I$52)/R139</f>
        <v>0</v>
      </c>
      <c r="I139" s="2376"/>
      <c r="J139" s="2377"/>
      <c r="K139" s="2377"/>
      <c r="L139" s="2377"/>
      <c r="M139" s="2378"/>
      <c r="N139" s="348"/>
      <c r="O139" s="348"/>
      <c r="P139" s="348"/>
      <c r="Q139" s="348"/>
      <c r="R139" s="349">
        <f>Scoring!AK125</f>
        <v>5</v>
      </c>
      <c r="S139" s="349">
        <f>ROUNDUP(R139/2,0)</f>
        <v>3</v>
      </c>
    </row>
    <row r="140" spans="2:19" ht="18" hidden="1" customHeight="1">
      <c r="B140" s="350" t="str">
        <f>".1"</f>
        <v>.1</v>
      </c>
      <c r="C140" s="351" t="s">
        <v>372</v>
      </c>
      <c r="D140" s="356" t="str">
        <f>IF(G140&gt;0,G140,"")</f>
        <v/>
      </c>
      <c r="G140" s="349" t="str">
        <f>Scoring!U126</f>
        <v/>
      </c>
      <c r="I140" s="2376"/>
      <c r="J140" s="2377"/>
      <c r="K140" s="2377"/>
      <c r="L140" s="2377"/>
      <c r="M140" s="2378"/>
      <c r="N140" s="348"/>
      <c r="O140" s="348"/>
      <c r="P140" s="348"/>
      <c r="Q140" s="348"/>
      <c r="R140" s="349"/>
      <c r="S140" s="349"/>
    </row>
    <row r="141" spans="2:19" ht="18" hidden="1" customHeight="1">
      <c r="B141" s="350" t="str">
        <f>".2"</f>
        <v>.2</v>
      </c>
      <c r="C141" s="351" t="s">
        <v>371</v>
      </c>
      <c r="D141" s="356" t="str">
        <f>IF(G141&gt;0,G141,"")</f>
        <v/>
      </c>
      <c r="G141" s="349" t="str">
        <f>Scoring!U127</f>
        <v/>
      </c>
      <c r="I141" s="2376"/>
      <c r="J141" s="2377"/>
      <c r="K141" s="2377"/>
      <c r="L141" s="2377"/>
      <c r="M141" s="2378"/>
      <c r="N141" s="348"/>
      <c r="O141" s="348"/>
      <c r="P141" s="348"/>
      <c r="Q141" s="348"/>
      <c r="R141" s="349"/>
      <c r="S141" s="349"/>
    </row>
    <row r="142" spans="2:19" ht="18" hidden="1" customHeight="1">
      <c r="B142" s="350" t="str">
        <f>".3"</f>
        <v>.3</v>
      </c>
      <c r="C142" s="351" t="s">
        <v>370</v>
      </c>
      <c r="D142" s="356" t="str">
        <f>IF(G142&gt;0,G142,"")</f>
        <v/>
      </c>
      <c r="G142" s="349" t="str">
        <f>Scoring!U128</f>
        <v/>
      </c>
      <c r="I142" s="2376"/>
      <c r="J142" s="2377"/>
      <c r="K142" s="2377"/>
      <c r="L142" s="2377"/>
      <c r="M142" s="2378"/>
      <c r="N142" s="348"/>
      <c r="O142" s="348"/>
      <c r="P142" s="348"/>
      <c r="Q142" s="348"/>
      <c r="R142" s="349"/>
      <c r="S142" s="349"/>
    </row>
    <row r="143" spans="2:19" ht="18" hidden="1" customHeight="1">
      <c r="B143" s="350" t="str">
        <f>".4"</f>
        <v>.4</v>
      </c>
      <c r="C143" s="351" t="s">
        <v>369</v>
      </c>
      <c r="D143" s="356" t="str">
        <f>IF(G143&gt;0,G143,"")</f>
        <v/>
      </c>
      <c r="G143" s="349" t="str">
        <f>Scoring!U129</f>
        <v/>
      </c>
      <c r="I143" s="2376"/>
      <c r="J143" s="2377"/>
      <c r="K143" s="2377"/>
      <c r="L143" s="2377"/>
      <c r="M143" s="2378"/>
      <c r="N143" s="348"/>
      <c r="O143" s="348"/>
      <c r="P143" s="348"/>
      <c r="Q143" s="348"/>
      <c r="R143" s="349"/>
      <c r="S143" s="349"/>
    </row>
    <row r="144" spans="2:19" ht="24" hidden="1" customHeight="1">
      <c r="B144" s="350" t="str">
        <f>".5"</f>
        <v>.5</v>
      </c>
      <c r="C144" s="351" t="s">
        <v>368</v>
      </c>
      <c r="D144" s="356" t="str">
        <f>IF(G144&gt;0,G144,"")</f>
        <v/>
      </c>
      <c r="G144" s="349" t="str">
        <f>Scoring!U130</f>
        <v/>
      </c>
      <c r="I144" s="2376"/>
      <c r="J144" s="2377"/>
      <c r="K144" s="2377"/>
      <c r="L144" s="2377"/>
      <c r="M144" s="2378"/>
      <c r="N144" s="348"/>
      <c r="O144" s="348"/>
      <c r="P144" s="348"/>
      <c r="Q144" s="348"/>
      <c r="R144" s="349"/>
      <c r="S144" s="349"/>
    </row>
    <row r="145" spans="2:19" ht="20" customHeight="1">
      <c r="B145" s="341" t="s">
        <v>367</v>
      </c>
      <c r="C145" s="342" t="str">
        <f>Dictionary!B1415</f>
        <v>Organisation und Information</v>
      </c>
      <c r="D145" s="356"/>
      <c r="E145" s="346" t="str">
        <f>IF(LD_MODE="",Scoring!U131,'Level D Scoring'!R124)</f>
        <v/>
      </c>
      <c r="G145" s="428">
        <f>COUNTIF(G146:G149,"&gt;"&amp;Dictionary!$I$52)/R145</f>
        <v>0</v>
      </c>
      <c r="I145" s="2376"/>
      <c r="J145" s="2377"/>
      <c r="K145" s="2377"/>
      <c r="L145" s="2377"/>
      <c r="M145" s="2378"/>
      <c r="N145" s="348"/>
      <c r="O145" s="348"/>
      <c r="P145" s="348"/>
      <c r="Q145" s="348"/>
      <c r="R145" s="349">
        <f>Scoring!AK131</f>
        <v>4</v>
      </c>
      <c r="S145" s="349">
        <f>ROUNDUP(R145/2,0)</f>
        <v>2</v>
      </c>
    </row>
    <row r="146" spans="2:19" ht="24" hidden="1" customHeight="1">
      <c r="B146" s="350" t="str">
        <f>".1"</f>
        <v>.1</v>
      </c>
      <c r="C146" s="351" t="s">
        <v>365</v>
      </c>
      <c r="D146" s="356" t="str">
        <f>IF(G146&gt;0,G146,"")</f>
        <v/>
      </c>
      <c r="G146" s="349" t="str">
        <f>Scoring!U132</f>
        <v/>
      </c>
      <c r="I146" s="2376"/>
      <c r="J146" s="2377"/>
      <c r="K146" s="2377"/>
      <c r="L146" s="2377"/>
      <c r="M146" s="2378"/>
      <c r="N146" s="348"/>
      <c r="O146" s="348"/>
      <c r="P146" s="348"/>
      <c r="Q146" s="348"/>
      <c r="R146" s="349"/>
      <c r="S146" s="349"/>
    </row>
    <row r="147" spans="2:19" ht="24" hidden="1" customHeight="1">
      <c r="B147" s="350" t="str">
        <f>".2"</f>
        <v>.2</v>
      </c>
      <c r="C147" s="351" t="s">
        <v>364</v>
      </c>
      <c r="D147" s="356" t="str">
        <f>IF(G147&gt;0,G147,"")</f>
        <v/>
      </c>
      <c r="G147" s="349" t="str">
        <f>Scoring!U133</f>
        <v/>
      </c>
      <c r="I147" s="2376"/>
      <c r="J147" s="2377"/>
      <c r="K147" s="2377"/>
      <c r="L147" s="2377"/>
      <c r="M147" s="2378"/>
      <c r="N147" s="348"/>
      <c r="O147" s="348"/>
      <c r="P147" s="348"/>
      <c r="Q147" s="348"/>
      <c r="R147" s="349"/>
      <c r="S147" s="349"/>
    </row>
    <row r="148" spans="2:19" ht="24" hidden="1" customHeight="1">
      <c r="B148" s="350" t="str">
        <f>".3"</f>
        <v>.3</v>
      </c>
      <c r="C148" s="351" t="s">
        <v>363</v>
      </c>
      <c r="D148" s="356" t="str">
        <f>IF(G148&gt;0,G148,"")</f>
        <v/>
      </c>
      <c r="G148" s="349" t="str">
        <f>Scoring!U134</f>
        <v/>
      </c>
      <c r="I148" s="2376"/>
      <c r="J148" s="2377"/>
      <c r="K148" s="2377"/>
      <c r="L148" s="2377"/>
      <c r="M148" s="2378"/>
      <c r="N148" s="348"/>
      <c r="O148" s="348"/>
      <c r="P148" s="348"/>
      <c r="Q148" s="348"/>
      <c r="R148" s="349"/>
      <c r="S148" s="349"/>
    </row>
    <row r="149" spans="2:19" ht="24" hidden="1" customHeight="1">
      <c r="B149" s="350" t="str">
        <f>".4"</f>
        <v>.4</v>
      </c>
      <c r="C149" s="351" t="s">
        <v>362</v>
      </c>
      <c r="D149" s="356" t="str">
        <f>IF(G149&gt;0,G149,"")</f>
        <v/>
      </c>
      <c r="G149" s="349" t="str">
        <f>Scoring!U135</f>
        <v/>
      </c>
      <c r="I149" s="2376"/>
      <c r="J149" s="2377"/>
      <c r="K149" s="2377"/>
      <c r="L149" s="2377"/>
      <c r="M149" s="2378"/>
      <c r="N149" s="348"/>
      <c r="O149" s="348"/>
      <c r="P149" s="348"/>
      <c r="Q149" s="348"/>
      <c r="R149" s="349"/>
      <c r="S149" s="349"/>
    </row>
    <row r="150" spans="2:19" ht="20" customHeight="1">
      <c r="B150" s="341" t="s">
        <v>361</v>
      </c>
      <c r="C150" s="342" t="str">
        <f>Dictionary!B1422</f>
        <v>Qualität</v>
      </c>
      <c r="D150" s="356"/>
      <c r="E150" s="346" t="str">
        <f>IF(LD_MODE="",Scoring!U136,'Level D Scoring'!R129)</f>
        <v/>
      </c>
      <c r="G150" s="428">
        <f>COUNTIF(G151:G155,"&gt;"&amp;Dictionary!$I$52)/R150</f>
        <v>0</v>
      </c>
      <c r="I150" s="2376"/>
      <c r="J150" s="2377"/>
      <c r="K150" s="2377"/>
      <c r="L150" s="2377"/>
      <c r="M150" s="2378"/>
      <c r="N150" s="348"/>
      <c r="O150" s="348"/>
      <c r="P150" s="348"/>
      <c r="Q150" s="348"/>
      <c r="R150" s="349">
        <f>Scoring!AK136</f>
        <v>5</v>
      </c>
      <c r="S150" s="349">
        <f>ROUNDUP(R150/2,0)</f>
        <v>3</v>
      </c>
    </row>
    <row r="151" spans="2:19" ht="24" hidden="1" customHeight="1">
      <c r="B151" s="350" t="str">
        <f>".1"</f>
        <v>.1</v>
      </c>
      <c r="C151" s="351" t="s">
        <v>360</v>
      </c>
      <c r="D151" s="356" t="str">
        <f>IF(G151&gt;0,G151,"")</f>
        <v/>
      </c>
      <c r="G151" s="349" t="str">
        <f>Scoring!U137</f>
        <v/>
      </c>
      <c r="I151" s="2376"/>
      <c r="J151" s="2377"/>
      <c r="K151" s="2377"/>
      <c r="L151" s="2377"/>
      <c r="M151" s="2378"/>
      <c r="N151" s="348"/>
      <c r="O151" s="348"/>
      <c r="P151" s="348"/>
      <c r="Q151" s="348"/>
      <c r="R151" s="349"/>
      <c r="S151" s="349"/>
    </row>
    <row r="152" spans="2:19" ht="36" hidden="1" customHeight="1">
      <c r="B152" s="350" t="str">
        <f>".2"</f>
        <v>.2</v>
      </c>
      <c r="C152" s="351" t="s">
        <v>359</v>
      </c>
      <c r="D152" s="356" t="str">
        <f>IF(G152&gt;0,G152,"")</f>
        <v/>
      </c>
      <c r="G152" s="349" t="str">
        <f>Scoring!U138</f>
        <v/>
      </c>
      <c r="I152" s="2376"/>
      <c r="J152" s="2377"/>
      <c r="K152" s="2377"/>
      <c r="L152" s="2377"/>
      <c r="M152" s="2378"/>
      <c r="N152" s="348"/>
      <c r="O152" s="348"/>
      <c r="P152" s="348"/>
      <c r="Q152" s="348"/>
      <c r="R152" s="349"/>
      <c r="S152" s="349"/>
    </row>
    <row r="153" spans="2:19" ht="36" hidden="1" customHeight="1">
      <c r="B153" s="350" t="str">
        <f>".3"</f>
        <v>.3</v>
      </c>
      <c r="C153" s="351" t="s">
        <v>358</v>
      </c>
      <c r="D153" s="356" t="str">
        <f>IF(G153&gt;0,G153,"")</f>
        <v/>
      </c>
      <c r="G153" s="349" t="str">
        <f>Scoring!U139</f>
        <v/>
      </c>
      <c r="I153" s="2376"/>
      <c r="J153" s="2377"/>
      <c r="K153" s="2377"/>
      <c r="L153" s="2377"/>
      <c r="M153" s="2378"/>
      <c r="N153" s="348"/>
      <c r="O153" s="348"/>
      <c r="P153" s="348"/>
      <c r="Q153" s="348"/>
      <c r="R153" s="349"/>
      <c r="S153" s="349"/>
    </row>
    <row r="154" spans="2:19" ht="18" hidden="1" customHeight="1">
      <c r="B154" s="350" t="str">
        <f>".4"</f>
        <v>.4</v>
      </c>
      <c r="C154" s="351" t="s">
        <v>357</v>
      </c>
      <c r="D154" s="356" t="str">
        <f>IF(G154&gt;0,G154,"")</f>
        <v/>
      </c>
      <c r="G154" s="349" t="str">
        <f>Scoring!U140</f>
        <v/>
      </c>
      <c r="I154" s="2376"/>
      <c r="J154" s="2377"/>
      <c r="K154" s="2377"/>
      <c r="L154" s="2377"/>
      <c r="M154" s="2378"/>
      <c r="N154" s="348"/>
      <c r="O154" s="348"/>
      <c r="P154" s="348"/>
      <c r="Q154" s="348"/>
      <c r="R154" s="349"/>
      <c r="S154" s="349"/>
    </row>
    <row r="155" spans="2:19" ht="18" hidden="1" customHeight="1">
      <c r="B155" s="350" t="str">
        <f>".5"</f>
        <v>.5</v>
      </c>
      <c r="C155" s="351" t="s">
        <v>356</v>
      </c>
      <c r="D155" s="356" t="str">
        <f>IF(G155&gt;0,G155,"")</f>
        <v/>
      </c>
      <c r="G155" s="349" t="str">
        <f>Scoring!U141</f>
        <v/>
      </c>
      <c r="I155" s="2376"/>
      <c r="J155" s="2377"/>
      <c r="K155" s="2377"/>
      <c r="L155" s="2377"/>
      <c r="M155" s="2378"/>
      <c r="N155" s="348"/>
      <c r="O155" s="348"/>
      <c r="P155" s="348"/>
      <c r="Q155" s="348"/>
      <c r="R155" s="349"/>
      <c r="S155" s="349"/>
    </row>
    <row r="156" spans="2:19" ht="20" customHeight="1">
      <c r="B156" s="341" t="s">
        <v>355</v>
      </c>
      <c r="C156" s="342" t="str">
        <f>Dictionary!B1430</f>
        <v>Kosten &amp; Finanzierung</v>
      </c>
      <c r="D156" s="356"/>
      <c r="E156" s="346" t="str">
        <f>IF(LD_MODE="",Scoring!U142,'Level D Scoring'!R135)</f>
        <v/>
      </c>
      <c r="G156" s="428">
        <f>COUNTIF(G157:G161,"&gt;"&amp;Dictionary!$I$52)/R156</f>
        <v>0</v>
      </c>
      <c r="I156" s="2376"/>
      <c r="J156" s="2377"/>
      <c r="K156" s="2377"/>
      <c r="L156" s="2377"/>
      <c r="M156" s="2378"/>
      <c r="N156" s="348"/>
      <c r="O156" s="348"/>
      <c r="P156" s="348"/>
      <c r="Q156" s="348"/>
      <c r="R156" s="349">
        <f>Scoring!AK142</f>
        <v>5</v>
      </c>
      <c r="S156" s="349">
        <f>ROUNDUP(R156/2,0)</f>
        <v>3</v>
      </c>
    </row>
    <row r="157" spans="2:19" ht="18" hidden="1" customHeight="1">
      <c r="B157" s="350" t="str">
        <f>".1"</f>
        <v>.1</v>
      </c>
      <c r="C157" s="351" t="s">
        <v>354</v>
      </c>
      <c r="D157" s="356" t="str">
        <f>IF(G157&gt;0,G157,"")</f>
        <v/>
      </c>
      <c r="G157" s="349" t="str">
        <f>Scoring!U143</f>
        <v/>
      </c>
      <c r="I157" s="2376"/>
      <c r="J157" s="2377"/>
      <c r="K157" s="2377"/>
      <c r="L157" s="2377"/>
      <c r="M157" s="2378"/>
      <c r="N157" s="348"/>
      <c r="O157" s="348"/>
      <c r="P157" s="348"/>
      <c r="Q157" s="348"/>
      <c r="R157" s="349"/>
      <c r="S157" s="349"/>
    </row>
    <row r="158" spans="2:19" ht="18" hidden="1" customHeight="1">
      <c r="B158" s="350" t="str">
        <f>".2"</f>
        <v>.2</v>
      </c>
      <c r="C158" s="351" t="s">
        <v>353</v>
      </c>
      <c r="D158" s="356" t="str">
        <f>IF(G158&gt;0,G158,"")</f>
        <v/>
      </c>
      <c r="G158" s="349" t="str">
        <f>Scoring!U144</f>
        <v/>
      </c>
      <c r="I158" s="2376"/>
      <c r="J158" s="2377"/>
      <c r="K158" s="2377"/>
      <c r="L158" s="2377"/>
      <c r="M158" s="2378"/>
      <c r="N158" s="348"/>
      <c r="O158" s="348"/>
      <c r="P158" s="348"/>
      <c r="Q158" s="348"/>
      <c r="R158" s="349"/>
      <c r="S158" s="349"/>
    </row>
    <row r="159" spans="2:19" ht="18" hidden="1" customHeight="1">
      <c r="B159" s="350" t="str">
        <f>".3"</f>
        <v>.3</v>
      </c>
      <c r="C159" s="351" t="s">
        <v>352</v>
      </c>
      <c r="D159" s="356" t="str">
        <f>IF(G159&gt;0,G159,"")</f>
        <v/>
      </c>
      <c r="G159" s="349" t="str">
        <f>Scoring!U145</f>
        <v/>
      </c>
      <c r="I159" s="2376"/>
      <c r="J159" s="2377"/>
      <c r="K159" s="2377"/>
      <c r="L159" s="2377"/>
      <c r="M159" s="2378"/>
      <c r="N159" s="348"/>
      <c r="O159" s="348"/>
      <c r="P159" s="348"/>
      <c r="Q159" s="348"/>
      <c r="R159" s="349"/>
      <c r="S159" s="349"/>
    </row>
    <row r="160" spans="2:19" ht="24" hidden="1" customHeight="1">
      <c r="B160" s="350" t="str">
        <f>".4"</f>
        <v>.4</v>
      </c>
      <c r="C160" s="351" t="s">
        <v>351</v>
      </c>
      <c r="D160" s="356" t="str">
        <f>IF(G160&gt;0,G160,"")</f>
        <v/>
      </c>
      <c r="G160" s="349" t="str">
        <f>Scoring!U146</f>
        <v/>
      </c>
      <c r="I160" s="2376"/>
      <c r="J160" s="2377"/>
      <c r="K160" s="2377"/>
      <c r="L160" s="2377"/>
      <c r="M160" s="2378"/>
      <c r="N160" s="348"/>
      <c r="O160" s="348"/>
      <c r="P160" s="348"/>
      <c r="Q160" s="348"/>
      <c r="R160" s="349"/>
      <c r="S160" s="349"/>
    </row>
    <row r="161" spans="2:19" ht="24" hidden="1" customHeight="1">
      <c r="B161" s="350" t="str">
        <f>".5"</f>
        <v>.5</v>
      </c>
      <c r="C161" s="351" t="s">
        <v>350</v>
      </c>
      <c r="D161" s="356" t="str">
        <f>IF(G161&gt;0,G161,"")</f>
        <v/>
      </c>
      <c r="G161" s="349" t="str">
        <f>Scoring!U147</f>
        <v/>
      </c>
      <c r="I161" s="2376"/>
      <c r="J161" s="2377"/>
      <c r="K161" s="2377"/>
      <c r="L161" s="2377"/>
      <c r="M161" s="2378"/>
      <c r="N161" s="348"/>
      <c r="O161" s="348"/>
      <c r="P161" s="348"/>
      <c r="Q161" s="348"/>
      <c r="R161" s="349"/>
      <c r="S161" s="349"/>
    </row>
    <row r="162" spans="2:19" ht="20" customHeight="1">
      <c r="B162" s="341" t="s">
        <v>349</v>
      </c>
      <c r="C162" s="342" t="str">
        <f>Dictionary!B1438</f>
        <v>Ressourcen</v>
      </c>
      <c r="D162" s="356"/>
      <c r="E162" s="346" t="str">
        <f>IF(LD_MODE="",Scoring!U148,'Level D Scoring'!R141)</f>
        <v/>
      </c>
      <c r="G162" s="428">
        <f>COUNTIF(G163:G167,"&gt;"&amp;Dictionary!$I$52)/R162</f>
        <v>0</v>
      </c>
      <c r="I162" s="2376"/>
      <c r="J162" s="2377"/>
      <c r="K162" s="2377"/>
      <c r="L162" s="2377"/>
      <c r="M162" s="2378"/>
      <c r="N162" s="348"/>
      <c r="O162" s="348"/>
      <c r="P162" s="348"/>
      <c r="Q162" s="348"/>
      <c r="R162" s="349">
        <f>Scoring!AK148</f>
        <v>5</v>
      </c>
      <c r="S162" s="349">
        <f>ROUNDUP(R162/2,0)</f>
        <v>3</v>
      </c>
    </row>
    <row r="163" spans="2:19" ht="18" hidden="1" customHeight="1">
      <c r="B163" s="350" t="str">
        <f>".1"</f>
        <v>.1</v>
      </c>
      <c r="C163" s="351" t="s">
        <v>348</v>
      </c>
      <c r="D163" s="356" t="str">
        <f>IF(G163&gt;0,G163,"")</f>
        <v/>
      </c>
      <c r="G163" s="349" t="str">
        <f>Scoring!U149</f>
        <v/>
      </c>
      <c r="I163" s="2376"/>
      <c r="J163" s="2377"/>
      <c r="K163" s="2377"/>
      <c r="L163" s="2377"/>
      <c r="M163" s="2378"/>
      <c r="N163" s="348"/>
      <c r="O163" s="348"/>
      <c r="P163" s="348"/>
      <c r="Q163" s="348"/>
      <c r="R163" s="349"/>
      <c r="S163" s="349"/>
    </row>
    <row r="164" spans="2:19" ht="18" hidden="1" customHeight="1">
      <c r="B164" s="350" t="str">
        <f>".2"</f>
        <v>.2</v>
      </c>
      <c r="C164" s="351" t="s">
        <v>347</v>
      </c>
      <c r="D164" s="356" t="str">
        <f>IF(G164&gt;0,G164,"")</f>
        <v/>
      </c>
      <c r="G164" s="349" t="str">
        <f>Scoring!U150</f>
        <v/>
      </c>
      <c r="I164" s="2376"/>
      <c r="J164" s="2377"/>
      <c r="K164" s="2377"/>
      <c r="L164" s="2377"/>
      <c r="M164" s="2378"/>
      <c r="N164" s="348"/>
      <c r="O164" s="348"/>
      <c r="P164" s="348"/>
      <c r="Q164" s="348"/>
      <c r="R164" s="349"/>
      <c r="S164" s="349"/>
    </row>
    <row r="165" spans="2:19" ht="24" hidden="1" customHeight="1">
      <c r="B165" s="350" t="str">
        <f>".3"</f>
        <v>.3</v>
      </c>
      <c r="C165" s="351" t="s">
        <v>346</v>
      </c>
      <c r="D165" s="356" t="str">
        <f>IF(G165&gt;0,G165,"")</f>
        <v/>
      </c>
      <c r="G165" s="349" t="str">
        <f>Scoring!U151</f>
        <v/>
      </c>
      <c r="I165" s="2376"/>
      <c r="J165" s="2377"/>
      <c r="K165" s="2377"/>
      <c r="L165" s="2377"/>
      <c r="M165" s="2378"/>
      <c r="N165" s="348"/>
      <c r="O165" s="348"/>
      <c r="P165" s="348"/>
      <c r="Q165" s="348"/>
      <c r="R165" s="349"/>
      <c r="S165" s="349"/>
    </row>
    <row r="166" spans="2:19" ht="18" hidden="1" customHeight="1">
      <c r="B166" s="350" t="str">
        <f>".4"</f>
        <v>.4</v>
      </c>
      <c r="C166" s="351" t="s">
        <v>345</v>
      </c>
      <c r="D166" s="356" t="str">
        <f>IF(G166&gt;0,G166,"")</f>
        <v/>
      </c>
      <c r="G166" s="349" t="str">
        <f>Scoring!U152</f>
        <v/>
      </c>
      <c r="I166" s="2376"/>
      <c r="J166" s="2377"/>
      <c r="K166" s="2377"/>
      <c r="L166" s="2377"/>
      <c r="M166" s="2378"/>
      <c r="N166" s="348"/>
      <c r="O166" s="348"/>
      <c r="P166" s="348"/>
      <c r="Q166" s="348"/>
      <c r="R166" s="349"/>
      <c r="S166" s="349"/>
    </row>
    <row r="167" spans="2:19" ht="24" hidden="1" customHeight="1">
      <c r="B167" s="350" t="str">
        <f>".5"</f>
        <v>.5</v>
      </c>
      <c r="C167" s="351" t="s">
        <v>344</v>
      </c>
      <c r="D167" s="356" t="str">
        <f>IF(G167&gt;0,G167,"")</f>
        <v/>
      </c>
      <c r="G167" s="349" t="str">
        <f>Scoring!U153</f>
        <v/>
      </c>
      <c r="I167" s="2376"/>
      <c r="J167" s="2377"/>
      <c r="K167" s="2377"/>
      <c r="L167" s="2377"/>
      <c r="M167" s="2378"/>
      <c r="N167" s="348"/>
      <c r="O167" s="348"/>
      <c r="P167" s="348"/>
      <c r="Q167" s="348"/>
      <c r="R167" s="349"/>
      <c r="S167" s="349"/>
    </row>
    <row r="168" spans="2:19" ht="20" customHeight="1">
      <c r="B168" s="341" t="s">
        <v>343</v>
      </c>
      <c r="C168" s="342" t="str">
        <f>Dictionary!B1446</f>
        <v>Beschaffung</v>
      </c>
      <c r="D168" s="356"/>
      <c r="E168" s="346" t="str">
        <f>IF(LD_MODE="",Scoring!U154,'Level D Scoring'!R147)</f>
        <v/>
      </c>
      <c r="G168" s="428">
        <f>COUNTIF(G169:G172,"&gt;"&amp;Dictionary!$I$52)/R168</f>
        <v>0</v>
      </c>
      <c r="I168" s="2376"/>
      <c r="J168" s="2377"/>
      <c r="K168" s="2377"/>
      <c r="L168" s="2377"/>
      <c r="M168" s="2378"/>
      <c r="N168" s="348"/>
      <c r="O168" s="348"/>
      <c r="P168" s="348"/>
      <c r="Q168" s="348"/>
      <c r="R168" s="349">
        <f>Scoring!AK154</f>
        <v>4</v>
      </c>
      <c r="S168" s="349">
        <f>ROUNDUP(R168/2,0)</f>
        <v>2</v>
      </c>
    </row>
    <row r="169" spans="2:19" ht="18" hidden="1" customHeight="1">
      <c r="B169" s="350" t="str">
        <f>".1"</f>
        <v>.1</v>
      </c>
      <c r="C169" s="351" t="s">
        <v>342</v>
      </c>
      <c r="D169" s="356" t="str">
        <f>IF(G169&gt;0,G169,"")</f>
        <v/>
      </c>
      <c r="G169" s="349" t="str">
        <f>Scoring!U155</f>
        <v/>
      </c>
      <c r="I169" s="2376"/>
      <c r="J169" s="2377"/>
      <c r="K169" s="2377"/>
      <c r="L169" s="2377"/>
      <c r="M169" s="2378"/>
      <c r="N169" s="348"/>
      <c r="O169" s="348"/>
      <c r="P169" s="348"/>
      <c r="Q169" s="348"/>
      <c r="R169" s="349"/>
      <c r="S169" s="349"/>
    </row>
    <row r="170" spans="2:19" ht="24" hidden="1" customHeight="1">
      <c r="B170" s="350" t="str">
        <f>".2"</f>
        <v>.2</v>
      </c>
      <c r="C170" s="351" t="s">
        <v>341</v>
      </c>
      <c r="D170" s="356" t="str">
        <f>IF(G170&gt;0,G170,"")</f>
        <v/>
      </c>
      <c r="G170" s="349" t="str">
        <f>Scoring!U156</f>
        <v/>
      </c>
      <c r="I170" s="2376"/>
      <c r="J170" s="2377"/>
      <c r="K170" s="2377"/>
      <c r="L170" s="2377"/>
      <c r="M170" s="2378"/>
      <c r="N170" s="348"/>
      <c r="O170" s="348"/>
      <c r="P170" s="348"/>
      <c r="Q170" s="348"/>
      <c r="R170" s="349"/>
      <c r="S170" s="349"/>
    </row>
    <row r="171" spans="2:19" ht="24" hidden="1" customHeight="1">
      <c r="B171" s="350" t="str">
        <f>".3"</f>
        <v>.3</v>
      </c>
      <c r="C171" s="351" t="s">
        <v>340</v>
      </c>
      <c r="D171" s="356" t="str">
        <f>IF(G171&gt;0,G171,"")</f>
        <v/>
      </c>
      <c r="G171" s="349" t="str">
        <f>Scoring!U157</f>
        <v/>
      </c>
      <c r="I171" s="2376"/>
      <c r="J171" s="2377"/>
      <c r="K171" s="2377"/>
      <c r="L171" s="2377"/>
      <c r="M171" s="2378"/>
      <c r="N171" s="348"/>
      <c r="O171" s="348"/>
      <c r="P171" s="348"/>
      <c r="Q171" s="348"/>
      <c r="R171" s="349"/>
      <c r="S171" s="349"/>
    </row>
    <row r="172" spans="2:19" ht="24" hidden="1" customHeight="1">
      <c r="B172" s="350" t="str">
        <f>".4"</f>
        <v>.4</v>
      </c>
      <c r="C172" s="351" t="s">
        <v>339</v>
      </c>
      <c r="D172" s="356" t="str">
        <f>IF(G172&gt;0,G172,"")</f>
        <v/>
      </c>
      <c r="G172" s="349" t="str">
        <f>Scoring!U158</f>
        <v/>
      </c>
      <c r="I172" s="2376"/>
      <c r="J172" s="2377"/>
      <c r="K172" s="2377"/>
      <c r="L172" s="2377"/>
      <c r="M172" s="2378"/>
      <c r="N172" s="348"/>
      <c r="O172" s="348"/>
      <c r="P172" s="348"/>
      <c r="Q172" s="348"/>
      <c r="R172" s="349"/>
      <c r="S172" s="349"/>
    </row>
    <row r="173" spans="2:19" ht="20" customHeight="1">
      <c r="B173" s="341" t="s">
        <v>338</v>
      </c>
      <c r="C173" s="342" t="str">
        <f>Dictionary!B1453</f>
        <v>Planung und Steuerung</v>
      </c>
      <c r="D173" s="356"/>
      <c r="E173" s="346" t="str">
        <f>IF(LD_MODE="",Scoring!U159,'Level D Scoring'!R152)</f>
        <v/>
      </c>
      <c r="G173" s="428">
        <f>COUNTIF(G174:G179,"&gt;"&amp;Dictionary!$I$52)/R173</f>
        <v>0</v>
      </c>
      <c r="I173" s="2376"/>
      <c r="J173" s="2377"/>
      <c r="K173" s="2377"/>
      <c r="L173" s="2377"/>
      <c r="M173" s="2378"/>
      <c r="N173" s="348"/>
      <c r="O173" s="348"/>
      <c r="P173" s="348"/>
      <c r="Q173" s="369"/>
      <c r="R173" s="349">
        <f>Scoring!AK159</f>
        <v>6</v>
      </c>
      <c r="S173" s="349">
        <f>ROUNDUP(R173/2,0)</f>
        <v>3</v>
      </c>
    </row>
    <row r="174" spans="2:19" ht="24" hidden="1" customHeight="1">
      <c r="B174" s="350" t="str">
        <f>".1"</f>
        <v>.1</v>
      </c>
      <c r="C174" s="351" t="s">
        <v>337</v>
      </c>
      <c r="D174" s="356" t="str">
        <f t="shared" ref="D174:D179" si="2">IF(G174&gt;0,G174,"")</f>
        <v/>
      </c>
      <c r="G174" s="349" t="str">
        <f>Scoring!U160</f>
        <v/>
      </c>
      <c r="I174" s="2376"/>
      <c r="J174" s="2377"/>
      <c r="K174" s="2377"/>
      <c r="L174" s="2377"/>
      <c r="M174" s="2378"/>
      <c r="N174" s="348"/>
      <c r="O174" s="348"/>
      <c r="P174" s="348"/>
      <c r="Q174" s="348"/>
      <c r="R174" s="349"/>
      <c r="S174" s="349"/>
    </row>
    <row r="175" spans="2:19" ht="18" hidden="1" customHeight="1">
      <c r="B175" s="350" t="str">
        <f>".2"</f>
        <v>.2</v>
      </c>
      <c r="C175" s="351" t="s">
        <v>336</v>
      </c>
      <c r="D175" s="356" t="str">
        <f t="shared" si="2"/>
        <v/>
      </c>
      <c r="G175" s="349" t="str">
        <f>Scoring!U161</f>
        <v/>
      </c>
      <c r="I175" s="2376"/>
      <c r="J175" s="2377"/>
      <c r="K175" s="2377"/>
      <c r="L175" s="2377"/>
      <c r="M175" s="2378"/>
      <c r="N175" s="348"/>
      <c r="O175" s="348"/>
      <c r="P175" s="348"/>
      <c r="Q175" s="348"/>
      <c r="R175" s="349"/>
      <c r="S175" s="349"/>
    </row>
    <row r="176" spans="2:19" ht="24" hidden="1" customHeight="1">
      <c r="B176" s="350" t="str">
        <f>".3"</f>
        <v>.3</v>
      </c>
      <c r="C176" s="351" t="s">
        <v>335</v>
      </c>
      <c r="D176" s="356" t="str">
        <f t="shared" si="2"/>
        <v/>
      </c>
      <c r="G176" s="349" t="str">
        <f>Scoring!U162</f>
        <v/>
      </c>
      <c r="I176" s="2376"/>
      <c r="J176" s="2377"/>
      <c r="K176" s="2377"/>
      <c r="L176" s="2377"/>
      <c r="M176" s="2378"/>
      <c r="N176" s="348"/>
      <c r="O176" s="348"/>
      <c r="P176" s="348"/>
      <c r="Q176" s="348"/>
      <c r="R176" s="349"/>
      <c r="S176" s="349"/>
    </row>
    <row r="177" spans="2:19" ht="18" hidden="1" customHeight="1">
      <c r="B177" s="350" t="str">
        <f>".4"</f>
        <v>.4</v>
      </c>
      <c r="C177" s="351" t="s">
        <v>334</v>
      </c>
      <c r="D177" s="356" t="str">
        <f t="shared" si="2"/>
        <v/>
      </c>
      <c r="G177" s="349" t="str">
        <f>Scoring!U163</f>
        <v/>
      </c>
      <c r="I177" s="2376"/>
      <c r="J177" s="2377"/>
      <c r="K177" s="2377"/>
      <c r="L177" s="2377"/>
      <c r="M177" s="2378"/>
      <c r="N177" s="348"/>
      <c r="O177" s="348"/>
      <c r="P177" s="348"/>
      <c r="Q177" s="348"/>
      <c r="R177" s="349"/>
      <c r="S177" s="349"/>
    </row>
    <row r="178" spans="2:19" ht="18" hidden="1" customHeight="1">
      <c r="B178" s="350" t="str">
        <f>".5"</f>
        <v>.5</v>
      </c>
      <c r="C178" s="351" t="s">
        <v>333</v>
      </c>
      <c r="D178" s="356" t="str">
        <f t="shared" si="2"/>
        <v/>
      </c>
      <c r="G178" s="349" t="str">
        <f>Scoring!U164</f>
        <v/>
      </c>
      <c r="I178" s="2376"/>
      <c r="J178" s="2377"/>
      <c r="K178" s="2377"/>
      <c r="L178" s="2377"/>
      <c r="M178" s="2378"/>
      <c r="N178" s="348"/>
      <c r="O178" s="348"/>
      <c r="P178" s="348"/>
      <c r="Q178" s="348"/>
      <c r="R178" s="349"/>
      <c r="S178" s="349"/>
    </row>
    <row r="179" spans="2:19" ht="18" hidden="1" customHeight="1">
      <c r="B179" s="350" t="str">
        <f>".6"</f>
        <v>.6</v>
      </c>
      <c r="C179" s="351" t="s">
        <v>332</v>
      </c>
      <c r="D179" s="356" t="str">
        <f t="shared" si="2"/>
        <v/>
      </c>
      <c r="G179" s="349" t="str">
        <f>Scoring!U165</f>
        <v/>
      </c>
      <c r="I179" s="2376"/>
      <c r="J179" s="2377"/>
      <c r="K179" s="2377"/>
      <c r="L179" s="2377"/>
      <c r="M179" s="2378"/>
      <c r="N179" s="348"/>
      <c r="O179" s="348"/>
      <c r="P179" s="348"/>
      <c r="Q179" s="348"/>
      <c r="R179" s="349"/>
      <c r="S179" s="349"/>
    </row>
    <row r="180" spans="2:19" ht="20" customHeight="1">
      <c r="B180" s="341" t="s">
        <v>331</v>
      </c>
      <c r="C180" s="342" t="str">
        <f>Dictionary!B1462</f>
        <v>Risiken und Chancen</v>
      </c>
      <c r="D180" s="356"/>
      <c r="E180" s="346" t="str">
        <f>IF(LD_MODE="",Scoring!U166,'Level D Scoring'!R159)</f>
        <v/>
      </c>
      <c r="G180" s="428">
        <f>COUNTIF(G181:G185,"&gt;"&amp;Dictionary!$I$52)/R180</f>
        <v>0</v>
      </c>
      <c r="I180" s="2376"/>
      <c r="J180" s="2377"/>
      <c r="K180" s="2377"/>
      <c r="L180" s="2377"/>
      <c r="M180" s="2378"/>
      <c r="N180" s="348"/>
      <c r="O180" s="348"/>
      <c r="P180" s="348"/>
      <c r="Q180" s="369"/>
      <c r="R180" s="349">
        <f>Scoring!AK166</f>
        <v>5</v>
      </c>
      <c r="S180" s="349">
        <f>ROUNDUP(R180/2,0)</f>
        <v>3</v>
      </c>
    </row>
    <row r="181" spans="2:19" ht="18" hidden="1" customHeight="1">
      <c r="B181" s="350" t="str">
        <f>".1"</f>
        <v>.1</v>
      </c>
      <c r="C181" s="351" t="s">
        <v>330</v>
      </c>
      <c r="D181" s="356" t="str">
        <f>IF(G181&gt;0,G181,"")</f>
        <v/>
      </c>
      <c r="G181" s="349" t="str">
        <f>Scoring!U167</f>
        <v/>
      </c>
      <c r="I181" s="2376"/>
      <c r="J181" s="2377"/>
      <c r="K181" s="2377"/>
      <c r="L181" s="2377"/>
      <c r="M181" s="2378"/>
      <c r="N181" s="348"/>
      <c r="O181" s="348"/>
      <c r="P181" s="348"/>
      <c r="Q181" s="348"/>
      <c r="R181" s="349"/>
      <c r="S181" s="349"/>
    </row>
    <row r="182" spans="2:19" ht="18" hidden="1" customHeight="1">
      <c r="B182" s="350" t="str">
        <f>".2"</f>
        <v>.2</v>
      </c>
      <c r="C182" s="351" t="s">
        <v>329</v>
      </c>
      <c r="D182" s="356" t="str">
        <f>IF(G182&gt;0,G182,"")</f>
        <v/>
      </c>
      <c r="G182" s="349" t="str">
        <f>Scoring!U168</f>
        <v/>
      </c>
      <c r="I182" s="2376"/>
      <c r="J182" s="2377"/>
      <c r="K182" s="2377"/>
      <c r="L182" s="2377"/>
      <c r="M182" s="2378"/>
      <c r="N182" s="348"/>
      <c r="O182" s="348"/>
      <c r="P182" s="348"/>
      <c r="Q182" s="348"/>
      <c r="R182" s="349"/>
      <c r="S182" s="349"/>
    </row>
    <row r="183" spans="2:19" ht="24" hidden="1" customHeight="1">
      <c r="B183" s="350" t="str">
        <f>".3"</f>
        <v>.3</v>
      </c>
      <c r="C183" s="351" t="s">
        <v>328</v>
      </c>
      <c r="D183" s="356" t="str">
        <f>IF(G183&gt;0,G183,"")</f>
        <v/>
      </c>
      <c r="G183" s="349" t="str">
        <f>Scoring!U169</f>
        <v/>
      </c>
      <c r="I183" s="2376"/>
      <c r="J183" s="2377"/>
      <c r="K183" s="2377"/>
      <c r="L183" s="2377"/>
      <c r="M183" s="2378"/>
      <c r="N183" s="348"/>
      <c r="O183" s="348"/>
      <c r="P183" s="348"/>
      <c r="Q183" s="348"/>
      <c r="R183" s="349"/>
      <c r="S183" s="349"/>
    </row>
    <row r="184" spans="2:19" ht="24" hidden="1" customHeight="1">
      <c r="B184" s="350" t="str">
        <f>".4"</f>
        <v>.4</v>
      </c>
      <c r="C184" s="351" t="s">
        <v>327</v>
      </c>
      <c r="D184" s="356" t="str">
        <f>IF(G184&gt;0,G184,"")</f>
        <v/>
      </c>
      <c r="G184" s="349" t="str">
        <f>Scoring!U170</f>
        <v/>
      </c>
      <c r="I184" s="2376"/>
      <c r="J184" s="2377"/>
      <c r="K184" s="2377"/>
      <c r="L184" s="2377"/>
      <c r="M184" s="2378"/>
      <c r="N184" s="348"/>
      <c r="O184" s="348"/>
      <c r="P184" s="348"/>
      <c r="Q184" s="348"/>
      <c r="R184" s="349"/>
      <c r="S184" s="349"/>
    </row>
    <row r="185" spans="2:19" ht="24" hidden="1" customHeight="1">
      <c r="B185" s="350" t="str">
        <f>".5"</f>
        <v>.5</v>
      </c>
      <c r="C185" s="351" t="s">
        <v>326</v>
      </c>
      <c r="D185" s="356" t="str">
        <f>IF(G185&gt;0,G185,"")</f>
        <v/>
      </c>
      <c r="G185" s="349" t="str">
        <f>Scoring!U171</f>
        <v/>
      </c>
      <c r="I185" s="2376"/>
      <c r="J185" s="2377"/>
      <c r="K185" s="2377"/>
      <c r="L185" s="2377"/>
      <c r="M185" s="2378"/>
      <c r="N185" s="348"/>
      <c r="O185" s="348"/>
      <c r="P185" s="348"/>
      <c r="Q185" s="348"/>
      <c r="R185" s="349"/>
      <c r="S185" s="349"/>
    </row>
    <row r="186" spans="2:19" ht="20" customHeight="1">
      <c r="B186" s="341" t="s">
        <v>325</v>
      </c>
      <c r="C186" s="342" t="str">
        <f>Dictionary!B1470</f>
        <v>Stakeholder</v>
      </c>
      <c r="D186" s="356"/>
      <c r="E186" s="346" t="str">
        <f>IF(LD_MODE="",Scoring!U172,'Level D Scoring'!R165)</f>
        <v/>
      </c>
      <c r="G186" s="428">
        <f>COUNTIF(G187:G191,"&gt;"&amp;Dictionary!$I$52)/R186</f>
        <v>0</v>
      </c>
      <c r="I186" s="2376"/>
      <c r="J186" s="2377"/>
      <c r="K186" s="2377"/>
      <c r="L186" s="2377"/>
      <c r="M186" s="2378"/>
      <c r="N186" s="348"/>
      <c r="O186" s="348"/>
      <c r="P186" s="348"/>
      <c r="Q186" s="369"/>
      <c r="R186" s="349">
        <f>Scoring!AK172</f>
        <v>5</v>
      </c>
      <c r="S186" s="349">
        <f>ROUNDUP(R186/2,0)</f>
        <v>3</v>
      </c>
    </row>
    <row r="187" spans="2:19" ht="24" hidden="1" customHeight="1">
      <c r="B187" s="350" t="str">
        <f>".1"</f>
        <v>.1</v>
      </c>
      <c r="C187" s="351" t="s">
        <v>324</v>
      </c>
      <c r="D187" s="356" t="str">
        <f>IF(G187&gt;0,G187,"")</f>
        <v/>
      </c>
      <c r="G187" s="349" t="str">
        <f>Scoring!U173</f>
        <v/>
      </c>
      <c r="I187" s="2376"/>
      <c r="J187" s="2377"/>
      <c r="K187" s="2377"/>
      <c r="L187" s="2377"/>
      <c r="M187" s="2378"/>
      <c r="N187" s="348"/>
      <c r="O187" s="348"/>
      <c r="P187" s="348"/>
      <c r="Q187" s="348"/>
      <c r="R187" s="349"/>
      <c r="S187" s="349"/>
    </row>
    <row r="188" spans="2:19" ht="24" hidden="1" customHeight="1">
      <c r="B188" s="350" t="str">
        <f>".2"</f>
        <v>.2</v>
      </c>
      <c r="C188" s="351" t="s">
        <v>323</v>
      </c>
      <c r="D188" s="356" t="str">
        <f>IF(G188&gt;0,G188,"")</f>
        <v/>
      </c>
      <c r="G188" s="349" t="str">
        <f>Scoring!U174</f>
        <v/>
      </c>
      <c r="I188" s="2376"/>
      <c r="J188" s="2377"/>
      <c r="K188" s="2377"/>
      <c r="L188" s="2377"/>
      <c r="M188" s="2378"/>
      <c r="N188" s="348"/>
      <c r="O188" s="348"/>
      <c r="P188" s="348"/>
      <c r="Q188" s="348"/>
      <c r="R188" s="349"/>
      <c r="S188" s="349"/>
    </row>
    <row r="189" spans="2:19" ht="36" hidden="1" customHeight="1">
      <c r="B189" s="350" t="str">
        <f>".3"</f>
        <v>.3</v>
      </c>
      <c r="C189" s="351" t="s">
        <v>322</v>
      </c>
      <c r="D189" s="356" t="str">
        <f>IF(G189&gt;0,G189,"")</f>
        <v/>
      </c>
      <c r="G189" s="349" t="str">
        <f>Scoring!U175</f>
        <v/>
      </c>
      <c r="I189" s="2376"/>
      <c r="J189" s="2377"/>
      <c r="K189" s="2377"/>
      <c r="L189" s="2377"/>
      <c r="M189" s="2378"/>
      <c r="N189" s="348"/>
      <c r="O189" s="348"/>
      <c r="P189" s="348"/>
      <c r="Q189" s="348"/>
      <c r="R189" s="349"/>
      <c r="S189" s="349"/>
    </row>
    <row r="190" spans="2:19" ht="24" hidden="1" customHeight="1">
      <c r="B190" s="350" t="str">
        <f>".4"</f>
        <v>.4</v>
      </c>
      <c r="C190" s="351" t="s">
        <v>321</v>
      </c>
      <c r="D190" s="356" t="str">
        <f>IF(G190&gt;0,G190,"")</f>
        <v/>
      </c>
      <c r="G190" s="349" t="str">
        <f>Scoring!U176</f>
        <v/>
      </c>
      <c r="I190" s="2376"/>
      <c r="J190" s="2377"/>
      <c r="K190" s="2377"/>
      <c r="L190" s="2377"/>
      <c r="M190" s="2378"/>
      <c r="N190" s="348"/>
      <c r="O190" s="348"/>
      <c r="P190" s="348"/>
      <c r="Q190" s="348"/>
      <c r="R190" s="349"/>
      <c r="S190" s="349"/>
    </row>
    <row r="191" spans="2:19" ht="18" hidden="1" customHeight="1">
      <c r="B191" s="350" t="str">
        <f>".5"</f>
        <v>.5</v>
      </c>
      <c r="C191" s="351" t="s">
        <v>320</v>
      </c>
      <c r="D191" s="356" t="str">
        <f>IF(G191&gt;0,G191,"")</f>
        <v/>
      </c>
      <c r="G191" s="349" t="str">
        <f>Scoring!U177</f>
        <v/>
      </c>
      <c r="I191" s="2376"/>
      <c r="J191" s="2377"/>
      <c r="K191" s="2377"/>
      <c r="L191" s="2377"/>
      <c r="M191" s="2378"/>
      <c r="N191" s="348"/>
      <c r="O191" s="348"/>
      <c r="P191" s="348"/>
      <c r="Q191" s="348"/>
      <c r="R191" s="349"/>
      <c r="S191" s="349"/>
    </row>
    <row r="192" spans="2:19" ht="20" customHeight="1">
      <c r="B192" s="341" t="s">
        <v>319</v>
      </c>
      <c r="C192" s="342" t="str">
        <f>Dictionary!B1478</f>
        <v>Change und Transformation</v>
      </c>
      <c r="D192" s="356"/>
      <c r="E192" s="346" t="str">
        <f>IF(LD_MODE="",Scoring!U178,'Level D Scoring'!R171)</f>
        <v/>
      </c>
      <c r="G192" s="428">
        <f>COUNTIF(G193:G196,"&gt;"&amp;Dictionary!$I$52)/R192</f>
        <v>0</v>
      </c>
      <c r="I192" s="2376"/>
      <c r="J192" s="2377"/>
      <c r="K192" s="2377"/>
      <c r="L192" s="2377"/>
      <c r="M192" s="2378"/>
      <c r="N192" s="348"/>
      <c r="O192" s="348"/>
      <c r="P192" s="348"/>
      <c r="Q192" s="369"/>
      <c r="R192" s="349">
        <f>Scoring!AK178</f>
        <v>4</v>
      </c>
      <c r="S192" s="349">
        <f>ROUNDUP(R192/2,0)</f>
        <v>2</v>
      </c>
    </row>
    <row r="193" spans="2:19" ht="18" hidden="1" customHeight="1">
      <c r="B193" s="350" t="str">
        <f>".1"</f>
        <v>.1</v>
      </c>
      <c r="C193" s="351" t="s">
        <v>318</v>
      </c>
      <c r="D193" s="356" t="str">
        <f>IF(G193&gt;0,G193,"")</f>
        <v/>
      </c>
      <c r="G193" s="349" t="str">
        <f>Scoring!U179</f>
        <v/>
      </c>
      <c r="I193" s="2376"/>
      <c r="J193" s="2377"/>
      <c r="K193" s="2377"/>
      <c r="L193" s="2377"/>
      <c r="M193" s="2378"/>
      <c r="N193" s="348"/>
      <c r="O193" s="348"/>
      <c r="P193" s="348"/>
      <c r="Q193" s="348"/>
      <c r="R193" s="349">
        <v>5</v>
      </c>
      <c r="S193" s="349">
        <f t="shared" ref="S193:S197" si="3">ROUNDUP(R193/2,0)</f>
        <v>3</v>
      </c>
    </row>
    <row r="194" spans="2:19" ht="24" hidden="1" customHeight="1">
      <c r="B194" s="350" t="str">
        <f>".2"</f>
        <v>.2</v>
      </c>
      <c r="C194" s="351" t="s">
        <v>317</v>
      </c>
      <c r="D194" s="356" t="str">
        <f>IF(G194&gt;0,G194,"")</f>
        <v/>
      </c>
      <c r="G194" s="349" t="str">
        <f>Scoring!U180</f>
        <v/>
      </c>
      <c r="I194" s="2376"/>
      <c r="J194" s="2377"/>
      <c r="K194" s="2377"/>
      <c r="L194" s="2377"/>
      <c r="M194" s="2378"/>
      <c r="N194" s="348"/>
      <c r="O194" s="348"/>
      <c r="P194" s="348"/>
      <c r="Q194" s="348"/>
      <c r="R194" s="349">
        <v>6</v>
      </c>
      <c r="S194" s="349">
        <f t="shared" si="3"/>
        <v>3</v>
      </c>
    </row>
    <row r="195" spans="2:19" ht="18" hidden="1" customHeight="1">
      <c r="B195" s="350" t="str">
        <f>".3"</f>
        <v>.3</v>
      </c>
      <c r="C195" s="351" t="s">
        <v>316</v>
      </c>
      <c r="D195" s="356" t="str">
        <f>IF(G195&gt;0,G195,"")</f>
        <v/>
      </c>
      <c r="G195" s="349" t="str">
        <f>Scoring!U181</f>
        <v/>
      </c>
      <c r="I195" s="2376"/>
      <c r="J195" s="2377"/>
      <c r="K195" s="2377"/>
      <c r="L195" s="2377"/>
      <c r="M195" s="2378"/>
      <c r="N195" s="348"/>
      <c r="O195" s="348"/>
      <c r="P195" s="348"/>
      <c r="Q195" s="348"/>
      <c r="R195" s="349">
        <v>7</v>
      </c>
      <c r="S195" s="349">
        <f t="shared" si="3"/>
        <v>4</v>
      </c>
    </row>
    <row r="196" spans="2:19" ht="18" hidden="1" customHeight="1">
      <c r="B196" s="350" t="str">
        <f>".4"</f>
        <v>.4</v>
      </c>
      <c r="C196" s="351" t="s">
        <v>315</v>
      </c>
      <c r="D196" s="356" t="str">
        <f>IF(G196&gt;0,G196,"")</f>
        <v/>
      </c>
      <c r="G196" s="349" t="str">
        <f>Scoring!U182</f>
        <v/>
      </c>
      <c r="I196" s="2376"/>
      <c r="J196" s="2377"/>
      <c r="K196" s="2377"/>
      <c r="L196" s="2377"/>
      <c r="M196" s="2378"/>
      <c r="N196" s="348"/>
      <c r="O196" s="348"/>
      <c r="P196" s="348"/>
      <c r="Q196" s="348"/>
      <c r="R196" s="349">
        <v>8</v>
      </c>
      <c r="S196" s="349">
        <f t="shared" si="3"/>
        <v>4</v>
      </c>
    </row>
    <row r="197" spans="2:19" s="321" customFormat="1" ht="16.25" customHeight="1">
      <c r="B197" s="341" t="str">
        <f>IF(C197="","","4.5.14")</f>
        <v/>
      </c>
      <c r="C197" s="342" t="str">
        <f>Dictionary!B1485</f>
        <v/>
      </c>
      <c r="D197" s="356"/>
      <c r="E197" s="346" t="str">
        <f>Scoring!U183</f>
        <v/>
      </c>
      <c r="F197" s="314"/>
      <c r="G197" s="428" t="str">
        <f>IF(R197=0,"",COUNTIF(G198:G201,"&gt;"&amp;Dictionary!$I$52)/R197)</f>
        <v/>
      </c>
      <c r="H197" s="314"/>
      <c r="I197" s="2376"/>
      <c r="J197" s="2377"/>
      <c r="K197" s="2377"/>
      <c r="L197" s="2377"/>
      <c r="M197" s="2378"/>
      <c r="R197" s="349">
        <f>Scoring!AK183</f>
        <v>0</v>
      </c>
      <c r="S197" s="349">
        <f t="shared" si="3"/>
        <v>0</v>
      </c>
    </row>
    <row r="198" spans="2:19" s="321" customFormat="1" ht="16.25" customHeight="1">
      <c r="D198" s="371"/>
      <c r="R198" s="371"/>
      <c r="S198" s="371"/>
    </row>
    <row r="199" spans="2:19" s="321" customFormat="1" ht="16.25" hidden="1" customHeight="1">
      <c r="C199" s="372" t="str">
        <f>Dictionary!B966</f>
        <v>Zusammenfassung</v>
      </c>
      <c r="D199" s="371"/>
      <c r="Q199" s="321" t="s">
        <v>303</v>
      </c>
      <c r="R199" s="373">
        <f>SUM(R32:R196)</f>
        <v>159</v>
      </c>
      <c r="S199" s="373">
        <f>SUM(S32:S196)</f>
        <v>91</v>
      </c>
    </row>
    <row r="200" spans="2:19" s="321" customFormat="1" ht="9" hidden="1" customHeight="1">
      <c r="C200" s="372"/>
      <c r="D200" s="371"/>
      <c r="R200" s="374"/>
      <c r="S200" s="374"/>
    </row>
    <row r="201" spans="2:19" s="321" customFormat="1" ht="18" hidden="1" customHeight="1">
      <c r="C201" s="375" t="str">
        <f>Dictionary!B957</f>
        <v>Perspective Kompetenz Elemente erfüllt</v>
      </c>
      <c r="D201" s="371"/>
      <c r="E201" s="432">
        <f>COUNTIF(E32:E60,"Pass")</f>
        <v>0</v>
      </c>
      <c r="I201" s="2376"/>
      <c r="J201" s="2377"/>
      <c r="K201" s="2377"/>
      <c r="L201" s="2377"/>
      <c r="M201" s="2378"/>
      <c r="R201" s="371"/>
      <c r="S201" s="371"/>
    </row>
    <row r="202" spans="2:19" s="321" customFormat="1" ht="18" hidden="1" customHeight="1">
      <c r="C202" s="375" t="str">
        <f>Dictionary!B958</f>
        <v>People Kompetenz Elemente erfüllt</v>
      </c>
      <c r="D202" s="371"/>
      <c r="E202" s="432">
        <f>COUNTIF(E63:E121,"Pass")</f>
        <v>0</v>
      </c>
      <c r="I202" s="2376"/>
      <c r="J202" s="2377"/>
      <c r="K202" s="2377"/>
      <c r="L202" s="2377"/>
      <c r="M202" s="2378"/>
      <c r="R202" s="371"/>
      <c r="S202" s="371"/>
    </row>
    <row r="203" spans="2:19" s="321" customFormat="1" ht="18" hidden="1" customHeight="1">
      <c r="C203" s="375" t="str">
        <f>Dictionary!B959</f>
        <v>Practice Kompetenz Elemente erfüllt</v>
      </c>
      <c r="D203" s="371"/>
      <c r="E203" s="432">
        <f>COUNTIF(E124:E196,"Pass")</f>
        <v>0</v>
      </c>
      <c r="I203" s="2376"/>
      <c r="J203" s="2377"/>
      <c r="K203" s="2377"/>
      <c r="L203" s="2377"/>
      <c r="M203" s="2378"/>
      <c r="N203" s="378"/>
      <c r="O203" s="378"/>
      <c r="P203" s="378"/>
      <c r="Q203" s="378"/>
      <c r="R203" s="371"/>
      <c r="S203" s="371"/>
    </row>
    <row r="204" spans="2:19" s="321" customFormat="1" ht="18" hidden="1" customHeight="1">
      <c r="C204" s="379" t="str">
        <f>Dictionary!B967</f>
        <v>Gesamtergebnis</v>
      </c>
      <c r="D204" s="371"/>
      <c r="E204" s="380" t="str">
        <f>IF(SUM(E201:E203)=0,"",IF(SUM(E201:E203)&gt;=E206,"Pass","Fail"))</f>
        <v/>
      </c>
      <c r="I204" s="2376"/>
      <c r="J204" s="2377"/>
      <c r="K204" s="2377"/>
      <c r="L204" s="2377"/>
      <c r="M204" s="2378"/>
      <c r="N204" s="378"/>
      <c r="O204" s="378"/>
      <c r="P204" s="378"/>
      <c r="Q204" s="378"/>
      <c r="R204" s="371"/>
      <c r="S204" s="371"/>
    </row>
    <row r="205" spans="2:19" s="321" customFormat="1" ht="11" hidden="1" customHeight="1">
      <c r="C205" s="371"/>
      <c r="D205" s="371"/>
    </row>
    <row r="206" spans="2:19" ht="18" hidden="1" customHeight="1">
      <c r="C206" s="375" t="str">
        <f>Dictionary!B968</f>
        <v>Zum Bestehen erforderlich</v>
      </c>
      <c r="E206" s="381">
        <f>ROUNDUP(28*0.8,0)</f>
        <v>23</v>
      </c>
    </row>
    <row r="207" spans="2:19" s="321" customFormat="1" ht="20" hidden="1" customHeight="1">
      <c r="D207" s="371"/>
    </row>
    <row r="208" spans="2:19" s="321" customFormat="1" ht="14.5" customHeight="1">
      <c r="C208" s="312" t="s">
        <v>105</v>
      </c>
      <c r="D208" s="371"/>
    </row>
    <row r="209" spans="3:11" s="321" customFormat="1" ht="14.5" customHeight="1">
      <c r="C209" s="382"/>
      <c r="D209" s="371"/>
    </row>
    <row r="210" spans="3:11" s="321" customFormat="1" ht="14.5" customHeight="1">
      <c r="D210" s="371"/>
    </row>
    <row r="211" spans="3:11" s="321" customFormat="1" ht="14.5" customHeight="1">
      <c r="D211" s="371"/>
    </row>
    <row r="212" spans="3:11" s="321" customFormat="1" ht="14.5" customHeight="1">
      <c r="D212" s="371"/>
    </row>
    <row r="213" spans="3:11" s="321" customFormat="1" ht="14.5" customHeight="1">
      <c r="D213" s="371"/>
    </row>
    <row r="214" spans="3:11" s="321" customFormat="1" ht="14.5" customHeight="1">
      <c r="D214" s="371"/>
    </row>
    <row r="215" spans="3:11" s="321" customFormat="1" ht="14.5" customHeight="1">
      <c r="D215" s="371"/>
    </row>
    <row r="216" spans="3:11" s="321" customFormat="1" ht="14.5" customHeight="1">
      <c r="D216" s="371"/>
    </row>
    <row r="217" spans="3:11" s="321" customFormat="1" ht="14.5" customHeight="1">
      <c r="C217" s="314"/>
      <c r="D217" s="315"/>
      <c r="E217" s="314"/>
      <c r="I217" s="313"/>
      <c r="J217" s="314"/>
      <c r="K217" s="314"/>
    </row>
  </sheetData>
  <sheetProtection algorithmName="SHA-512" hashValue="qdiywoA+gBSAzoxa56P0/WwIcXzfORwpz4NMTq1Q3OBFvIOaEzz/Agh6HbF+Kb667FVHwvb1kHsYqL822wd65A==" saltValue="lsdw8T7lnEOnY4cwkIZmfQ==" spinCount="100000" sheet="1" objects="1" scenarios="1" formatColumns="0" selectLockedCells="1"/>
  <mergeCells count="170">
    <mergeCell ref="I204:M204"/>
    <mergeCell ref="I201:M201"/>
    <mergeCell ref="I202:M202"/>
    <mergeCell ref="I203:M203"/>
    <mergeCell ref="I162:M162"/>
    <mergeCell ref="I168:M168"/>
    <mergeCell ref="I173:M173"/>
    <mergeCell ref="I180:M180"/>
    <mergeCell ref="I186:M186"/>
    <mergeCell ref="I192:M192"/>
    <mergeCell ref="I195:M195"/>
    <mergeCell ref="I196:M196"/>
    <mergeCell ref="I170:M170"/>
    <mergeCell ref="I171:M171"/>
    <mergeCell ref="I172:M172"/>
    <mergeCell ref="I166:M166"/>
    <mergeCell ref="I167:M167"/>
    <mergeCell ref="I169:M169"/>
    <mergeCell ref="I163:M163"/>
    <mergeCell ref="I164:M164"/>
    <mergeCell ref="I165:M165"/>
    <mergeCell ref="I181:M181"/>
    <mergeCell ref="I182:M182"/>
    <mergeCell ref="I194:M194"/>
    <mergeCell ref="I125:M125"/>
    <mergeCell ref="I117:M117"/>
    <mergeCell ref="I118:M118"/>
    <mergeCell ref="I119:M119"/>
    <mergeCell ref="I113:M113"/>
    <mergeCell ref="I114:M114"/>
    <mergeCell ref="I115:M115"/>
    <mergeCell ref="I116:M116"/>
    <mergeCell ref="I157:M157"/>
    <mergeCell ref="I142:M142"/>
    <mergeCell ref="I143:M143"/>
    <mergeCell ref="I137:M137"/>
    <mergeCell ref="I138:M138"/>
    <mergeCell ref="I158:M158"/>
    <mergeCell ref="I156:M156"/>
    <mergeCell ref="I152:M152"/>
    <mergeCell ref="I153:M153"/>
    <mergeCell ref="I154:M154"/>
    <mergeCell ref="I148:M148"/>
    <mergeCell ref="I149:M149"/>
    <mergeCell ref="I151:M151"/>
    <mergeCell ref="I150:M150"/>
    <mergeCell ref="I197:M197"/>
    <mergeCell ref="I140:M140"/>
    <mergeCell ref="I133:M133"/>
    <mergeCell ref="I135:M135"/>
    <mergeCell ref="I136:M136"/>
    <mergeCell ref="I129:M129"/>
    <mergeCell ref="I131:M131"/>
    <mergeCell ref="I132:M132"/>
    <mergeCell ref="I126:M126"/>
    <mergeCell ref="I127:M127"/>
    <mergeCell ref="I128:M128"/>
    <mergeCell ref="I144:M144"/>
    <mergeCell ref="I146:M146"/>
    <mergeCell ref="I147:M147"/>
    <mergeCell ref="I141:M141"/>
    <mergeCell ref="I183:M183"/>
    <mergeCell ref="I174:M174"/>
    <mergeCell ref="I175:M175"/>
    <mergeCell ref="I176:M176"/>
    <mergeCell ref="I130:M130"/>
    <mergeCell ref="I134:M134"/>
    <mergeCell ref="I145:M145"/>
    <mergeCell ref="I139:M139"/>
    <mergeCell ref="I155:M155"/>
    <mergeCell ref="I191:M191"/>
    <mergeCell ref="I193:M193"/>
    <mergeCell ref="I124:M124"/>
    <mergeCell ref="I121:M121"/>
    <mergeCell ref="I109:M109"/>
    <mergeCell ref="I111:M111"/>
    <mergeCell ref="I112:M112"/>
    <mergeCell ref="I110:M110"/>
    <mergeCell ref="I106:M106"/>
    <mergeCell ref="I107:M107"/>
    <mergeCell ref="I108:M108"/>
    <mergeCell ref="I120:M120"/>
    <mergeCell ref="I188:M188"/>
    <mergeCell ref="I189:M189"/>
    <mergeCell ref="I190:M190"/>
    <mergeCell ref="I184:M184"/>
    <mergeCell ref="I185:M185"/>
    <mergeCell ref="I187:M187"/>
    <mergeCell ref="I159:M159"/>
    <mergeCell ref="I160:M160"/>
    <mergeCell ref="I161:M161"/>
    <mergeCell ref="I177:M177"/>
    <mergeCell ref="I178:M178"/>
    <mergeCell ref="I179:M179"/>
    <mergeCell ref="I102:M102"/>
    <mergeCell ref="I103:M103"/>
    <mergeCell ref="I105:M105"/>
    <mergeCell ref="I104:M104"/>
    <mergeCell ref="I98:M98"/>
    <mergeCell ref="I100:M100"/>
    <mergeCell ref="I101:M101"/>
    <mergeCell ref="I95:M95"/>
    <mergeCell ref="I96:M96"/>
    <mergeCell ref="I97:M97"/>
    <mergeCell ref="I99:M99"/>
    <mergeCell ref="I91:M91"/>
    <mergeCell ref="I92:M92"/>
    <mergeCell ref="I94:M94"/>
    <mergeCell ref="I88:M88"/>
    <mergeCell ref="I89:M89"/>
    <mergeCell ref="I90:M90"/>
    <mergeCell ref="I84:M84"/>
    <mergeCell ref="I85:M85"/>
    <mergeCell ref="I86:M86"/>
    <mergeCell ref="I87:M87"/>
    <mergeCell ref="I93:M93"/>
    <mergeCell ref="I80:M80"/>
    <mergeCell ref="I82:M82"/>
    <mergeCell ref="I83:M83"/>
    <mergeCell ref="I77:M77"/>
    <mergeCell ref="I78:M78"/>
    <mergeCell ref="I79:M79"/>
    <mergeCell ref="I81:M81"/>
    <mergeCell ref="I73:M73"/>
    <mergeCell ref="I74:M74"/>
    <mergeCell ref="I76:M76"/>
    <mergeCell ref="I70:M70"/>
    <mergeCell ref="I71:M71"/>
    <mergeCell ref="I72:M72"/>
    <mergeCell ref="I66:M66"/>
    <mergeCell ref="I67:M67"/>
    <mergeCell ref="I68:M68"/>
    <mergeCell ref="I69:M69"/>
    <mergeCell ref="I75:M75"/>
    <mergeCell ref="I60:M60"/>
    <mergeCell ref="I64:M64"/>
    <mergeCell ref="I65:M65"/>
    <mergeCell ref="I56:M56"/>
    <mergeCell ref="I58:M58"/>
    <mergeCell ref="I59:M59"/>
    <mergeCell ref="I57:M57"/>
    <mergeCell ref="I63:M63"/>
    <mergeCell ref="I52:M52"/>
    <mergeCell ref="I54:M54"/>
    <mergeCell ref="I55:M55"/>
    <mergeCell ref="I49:M49"/>
    <mergeCell ref="I50:M50"/>
    <mergeCell ref="I51:M51"/>
    <mergeCell ref="J3:K3"/>
    <mergeCell ref="I45:M45"/>
    <mergeCell ref="I47:M47"/>
    <mergeCell ref="I48:M48"/>
    <mergeCell ref="I46:M46"/>
    <mergeCell ref="I53:M53"/>
    <mergeCell ref="L6:M6"/>
    <mergeCell ref="L7:M7"/>
    <mergeCell ref="I30:M30"/>
    <mergeCell ref="I42:M42"/>
    <mergeCell ref="I43:M43"/>
    <mergeCell ref="I44:M44"/>
    <mergeCell ref="I36:M36"/>
    <mergeCell ref="I37:M37"/>
    <mergeCell ref="I39:M39"/>
    <mergeCell ref="I33:M33"/>
    <mergeCell ref="I34:M34"/>
    <mergeCell ref="I35:M35"/>
    <mergeCell ref="I32:M32"/>
    <mergeCell ref="I38:M38"/>
    <mergeCell ref="I11:M11"/>
    <mergeCell ref="I12:M28"/>
  </mergeCells>
  <conditionalFormatting sqref="B8">
    <cfRule type="cellIs" dxfId="87" priority="151" operator="lessThan">
      <formula>$E$206</formula>
    </cfRule>
    <cfRule type="cellIs" dxfId="86" priority="150" operator="greaterThanOrEqual">
      <formula>$E$206</formula>
    </cfRule>
  </conditionalFormatting>
  <conditionalFormatting sqref="C8">
    <cfRule type="containsText" dxfId="85" priority="155" operator="containsText" text="Fail">
      <formula>NOT(ISERROR(SEARCH("Fail",C8)))</formula>
    </cfRule>
    <cfRule type="containsText" dxfId="84" priority="154" operator="containsText" text="Pass">
      <formula>NOT(ISERROR(SEARCH("Pass",C8)))</formula>
    </cfRule>
  </conditionalFormatting>
  <conditionalFormatting sqref="E32">
    <cfRule type="cellIs" dxfId="83" priority="218" operator="equal">
      <formula>"Fail"</formula>
    </cfRule>
    <cfRule type="cellIs" dxfId="82" priority="217" operator="equal">
      <formula>"Pass"</formula>
    </cfRule>
  </conditionalFormatting>
  <conditionalFormatting sqref="E38">
    <cfRule type="cellIs" dxfId="81" priority="54" operator="equal">
      <formula>"Fail"</formula>
    </cfRule>
    <cfRule type="cellIs" dxfId="80" priority="53" operator="equal">
      <formula>"Pass"</formula>
    </cfRule>
  </conditionalFormatting>
  <conditionalFormatting sqref="E46">
    <cfRule type="cellIs" dxfId="79" priority="52" operator="equal">
      <formula>"Fail"</formula>
    </cfRule>
    <cfRule type="cellIs" dxfId="78" priority="51" operator="equal">
      <formula>"Pass"</formula>
    </cfRule>
  </conditionalFormatting>
  <conditionalFormatting sqref="E53">
    <cfRule type="cellIs" dxfId="77" priority="49" operator="equal">
      <formula>"Pass"</formula>
    </cfRule>
    <cfRule type="cellIs" dxfId="76" priority="50" operator="equal">
      <formula>"Fail"</formula>
    </cfRule>
  </conditionalFormatting>
  <conditionalFormatting sqref="E57">
    <cfRule type="cellIs" dxfId="75" priority="47" operator="equal">
      <formula>"Pass"</formula>
    </cfRule>
    <cfRule type="cellIs" dxfId="74" priority="48" operator="equal">
      <formula>"Fail"</formula>
    </cfRule>
  </conditionalFormatting>
  <conditionalFormatting sqref="E63">
    <cfRule type="cellIs" dxfId="73" priority="46" operator="equal">
      <formula>"Fail"</formula>
    </cfRule>
    <cfRule type="cellIs" dxfId="72" priority="45" operator="equal">
      <formula>"Pass"</formula>
    </cfRule>
  </conditionalFormatting>
  <conditionalFormatting sqref="E69">
    <cfRule type="cellIs" dxfId="71" priority="44" operator="equal">
      <formula>"Fail"</formula>
    </cfRule>
    <cfRule type="cellIs" dxfId="70" priority="43" operator="equal">
      <formula>"Pass"</formula>
    </cfRule>
  </conditionalFormatting>
  <conditionalFormatting sqref="E75">
    <cfRule type="cellIs" dxfId="69" priority="42" operator="equal">
      <formula>"Fail"</formula>
    </cfRule>
    <cfRule type="cellIs" dxfId="68" priority="41" operator="equal">
      <formula>"Pass"</formula>
    </cfRule>
  </conditionalFormatting>
  <conditionalFormatting sqref="E81">
    <cfRule type="cellIs" dxfId="67" priority="40" operator="equal">
      <formula>"Fail"</formula>
    </cfRule>
    <cfRule type="cellIs" dxfId="66" priority="39" operator="equal">
      <formula>"Pass"</formula>
    </cfRule>
  </conditionalFormatting>
  <conditionalFormatting sqref="E87">
    <cfRule type="cellIs" dxfId="65" priority="38" operator="equal">
      <formula>"Fail"</formula>
    </cfRule>
    <cfRule type="cellIs" dxfId="64" priority="37" operator="equal">
      <formula>"Pass"</formula>
    </cfRule>
  </conditionalFormatting>
  <conditionalFormatting sqref="E93">
    <cfRule type="cellIs" dxfId="63" priority="36" operator="equal">
      <formula>"Fail"</formula>
    </cfRule>
    <cfRule type="cellIs" dxfId="62" priority="35" operator="equal">
      <formula>"Pass"</formula>
    </cfRule>
  </conditionalFormatting>
  <conditionalFormatting sqref="E99">
    <cfRule type="cellIs" dxfId="61" priority="34" operator="equal">
      <formula>"Fail"</formula>
    </cfRule>
    <cfRule type="cellIs" dxfId="60" priority="33" operator="equal">
      <formula>"Pass"</formula>
    </cfRule>
  </conditionalFormatting>
  <conditionalFormatting sqref="E104">
    <cfRule type="cellIs" dxfId="59" priority="32" operator="equal">
      <formula>"Fail"</formula>
    </cfRule>
    <cfRule type="cellIs" dxfId="58" priority="31" operator="equal">
      <formula>"Pass"</formula>
    </cfRule>
  </conditionalFormatting>
  <conditionalFormatting sqref="E110">
    <cfRule type="cellIs" dxfId="57" priority="30" operator="equal">
      <formula>"Fail"</formula>
    </cfRule>
    <cfRule type="cellIs" dxfId="56" priority="29" operator="equal">
      <formula>"Pass"</formula>
    </cfRule>
  </conditionalFormatting>
  <conditionalFormatting sqref="E116">
    <cfRule type="cellIs" dxfId="55" priority="28" operator="equal">
      <formula>"Fail"</formula>
    </cfRule>
    <cfRule type="cellIs" dxfId="54" priority="27" operator="equal">
      <formula>"Pass"</formula>
    </cfRule>
  </conditionalFormatting>
  <conditionalFormatting sqref="E124">
    <cfRule type="cellIs" dxfId="53" priority="26" operator="equal">
      <formula>"Fail"</formula>
    </cfRule>
    <cfRule type="cellIs" dxfId="52" priority="25" operator="equal">
      <formula>"Pass"</formula>
    </cfRule>
  </conditionalFormatting>
  <conditionalFormatting sqref="E130">
    <cfRule type="cellIs" dxfId="51" priority="24" operator="equal">
      <formula>"Fail"</formula>
    </cfRule>
    <cfRule type="cellIs" dxfId="50" priority="23" operator="equal">
      <formula>"Pass"</formula>
    </cfRule>
  </conditionalFormatting>
  <conditionalFormatting sqref="E134">
    <cfRule type="cellIs" dxfId="49" priority="22" operator="equal">
      <formula>"Fail"</formula>
    </cfRule>
    <cfRule type="cellIs" dxfId="48" priority="21" operator="equal">
      <formula>"Pass"</formula>
    </cfRule>
  </conditionalFormatting>
  <conditionalFormatting sqref="E139">
    <cfRule type="cellIs" dxfId="47" priority="20" operator="equal">
      <formula>"Fail"</formula>
    </cfRule>
    <cfRule type="cellIs" dxfId="46" priority="19" operator="equal">
      <formula>"Pass"</formula>
    </cfRule>
  </conditionalFormatting>
  <conditionalFormatting sqref="E145">
    <cfRule type="cellIs" dxfId="45" priority="18" operator="equal">
      <formula>"Fail"</formula>
    </cfRule>
    <cfRule type="cellIs" dxfId="44" priority="17" operator="equal">
      <formula>"Pass"</formula>
    </cfRule>
  </conditionalFormatting>
  <conditionalFormatting sqref="E150">
    <cfRule type="cellIs" dxfId="43" priority="16" operator="equal">
      <formula>"Fail"</formula>
    </cfRule>
    <cfRule type="cellIs" dxfId="42" priority="15" operator="equal">
      <formula>"Pass"</formula>
    </cfRule>
  </conditionalFormatting>
  <conditionalFormatting sqref="E156">
    <cfRule type="cellIs" dxfId="41" priority="13" operator="equal">
      <formula>"Pass"</formula>
    </cfRule>
    <cfRule type="cellIs" dxfId="40" priority="14" operator="equal">
      <formula>"Fail"</formula>
    </cfRule>
  </conditionalFormatting>
  <conditionalFormatting sqref="E162">
    <cfRule type="cellIs" dxfId="39" priority="12" operator="equal">
      <formula>"Fail"</formula>
    </cfRule>
    <cfRule type="cellIs" dxfId="38" priority="11" operator="equal">
      <formula>"Pass"</formula>
    </cfRule>
  </conditionalFormatting>
  <conditionalFormatting sqref="E168">
    <cfRule type="cellIs" dxfId="37" priority="10" operator="equal">
      <formula>"Fail"</formula>
    </cfRule>
    <cfRule type="cellIs" dxfId="36" priority="9" operator="equal">
      <formula>"Pass"</formula>
    </cfRule>
  </conditionalFormatting>
  <conditionalFormatting sqref="E173">
    <cfRule type="cellIs" dxfId="35" priority="7" operator="equal">
      <formula>"Pass"</formula>
    </cfRule>
    <cfRule type="cellIs" dxfId="34" priority="8" operator="equal">
      <formula>"Fail"</formula>
    </cfRule>
  </conditionalFormatting>
  <conditionalFormatting sqref="E180">
    <cfRule type="cellIs" dxfId="33" priority="5" operator="equal">
      <formula>"Pass"</formula>
    </cfRule>
    <cfRule type="cellIs" dxfId="32" priority="6" operator="equal">
      <formula>"Fail"</formula>
    </cfRule>
  </conditionalFormatting>
  <conditionalFormatting sqref="E186">
    <cfRule type="cellIs" dxfId="31" priority="3" operator="equal">
      <formula>"Pass"</formula>
    </cfRule>
    <cfRule type="cellIs" dxfId="30" priority="4" operator="equal">
      <formula>"Fail"</formula>
    </cfRule>
  </conditionalFormatting>
  <conditionalFormatting sqref="E192">
    <cfRule type="cellIs" dxfId="29" priority="1" operator="equal">
      <formula>"Pass"</formula>
    </cfRule>
    <cfRule type="cellIs" dxfId="28" priority="2" operator="equal">
      <formula>"Fail"</formula>
    </cfRule>
  </conditionalFormatting>
  <conditionalFormatting sqref="E197">
    <cfRule type="cellIs" dxfId="27" priority="65" operator="equal">
      <formula>"Pass"</formula>
    </cfRule>
    <cfRule type="cellIs" dxfId="26" priority="66" operator="equal">
      <formula>"Fail"</formula>
    </cfRule>
  </conditionalFormatting>
  <conditionalFormatting sqref="E204">
    <cfRule type="cellIs" dxfId="25" priority="162" operator="equal">
      <formula>"Pass"</formula>
    </cfRule>
    <cfRule type="cellIs" dxfId="24" priority="161" operator="equal">
      <formula>"Fail"</formula>
    </cfRule>
  </conditionalFormatting>
  <conditionalFormatting sqref="G12:G27">
    <cfRule type="cellIs" dxfId="23" priority="56" operator="equal">
      <formula>"NOK"</formula>
    </cfRule>
    <cfRule type="cellIs" dxfId="22" priority="57" operator="equal">
      <formula>"OK"</formula>
    </cfRule>
  </conditionalFormatting>
  <conditionalFormatting sqref="G32">
    <cfRule type="dataBar" priority="94">
      <dataBar>
        <cfvo type="num" val="0"/>
        <cfvo type="num" val="1"/>
        <color theme="4" tint="0.59996337778862885"/>
      </dataBar>
      <extLst>
        <ext xmlns:x14="http://schemas.microsoft.com/office/spreadsheetml/2009/9/main" uri="{B025F937-C7B1-47D3-B67F-A62EFF666E3E}">
          <x14:id>{746D225F-31DD-470A-84D6-CD2D9458E9A4}</x14:id>
        </ext>
      </extLst>
    </cfRule>
  </conditionalFormatting>
  <conditionalFormatting sqref="G38">
    <cfRule type="dataBar" priority="93">
      <dataBar>
        <cfvo type="num" val="0"/>
        <cfvo type="num" val="1"/>
        <color theme="4" tint="0.59996337778862885"/>
      </dataBar>
      <extLst>
        <ext xmlns:x14="http://schemas.microsoft.com/office/spreadsheetml/2009/9/main" uri="{B025F937-C7B1-47D3-B67F-A62EFF666E3E}">
          <x14:id>{EFBE309C-8B90-4B75-9564-F4EAC2273DB8}</x14:id>
        </ext>
      </extLst>
    </cfRule>
  </conditionalFormatting>
  <conditionalFormatting sqref="G46">
    <cfRule type="dataBar" priority="92">
      <dataBar>
        <cfvo type="num" val="0"/>
        <cfvo type="num" val="1"/>
        <color theme="4" tint="0.59996337778862885"/>
      </dataBar>
      <extLst>
        <ext xmlns:x14="http://schemas.microsoft.com/office/spreadsheetml/2009/9/main" uri="{B025F937-C7B1-47D3-B67F-A62EFF666E3E}">
          <x14:id>{6A289432-9E50-47A8-B9EC-F6D5246A30D3}</x14:id>
        </ext>
      </extLst>
    </cfRule>
  </conditionalFormatting>
  <conditionalFormatting sqref="G53">
    <cfRule type="dataBar" priority="91">
      <dataBar>
        <cfvo type="num" val="0"/>
        <cfvo type="num" val="1"/>
        <color theme="4" tint="0.59996337778862885"/>
      </dataBar>
      <extLst>
        <ext xmlns:x14="http://schemas.microsoft.com/office/spreadsheetml/2009/9/main" uri="{B025F937-C7B1-47D3-B67F-A62EFF666E3E}">
          <x14:id>{6E005E2C-0702-4517-9E65-FAC61F595F24}</x14:id>
        </ext>
      </extLst>
    </cfRule>
  </conditionalFormatting>
  <conditionalFormatting sqref="G57">
    <cfRule type="dataBar" priority="90">
      <dataBar>
        <cfvo type="num" val="0"/>
        <cfvo type="num" val="1"/>
        <color theme="4" tint="0.59996337778862885"/>
      </dataBar>
      <extLst>
        <ext xmlns:x14="http://schemas.microsoft.com/office/spreadsheetml/2009/9/main" uri="{B025F937-C7B1-47D3-B67F-A62EFF666E3E}">
          <x14:id>{36C6EBC9-9BF3-47B5-BE98-FB2F1A8A6D67}</x14:id>
        </ext>
      </extLst>
    </cfRule>
  </conditionalFormatting>
  <conditionalFormatting sqref="G63">
    <cfRule type="dataBar" priority="89">
      <dataBar>
        <cfvo type="num" val="0"/>
        <cfvo type="num" val="1"/>
        <color theme="4" tint="0.59996337778862885"/>
      </dataBar>
      <extLst>
        <ext xmlns:x14="http://schemas.microsoft.com/office/spreadsheetml/2009/9/main" uri="{B025F937-C7B1-47D3-B67F-A62EFF666E3E}">
          <x14:id>{AE2961B1-9FDC-4858-84B0-9C6245346E9E}</x14:id>
        </ext>
      </extLst>
    </cfRule>
  </conditionalFormatting>
  <conditionalFormatting sqref="G69">
    <cfRule type="dataBar" priority="88">
      <dataBar>
        <cfvo type="num" val="0"/>
        <cfvo type="num" val="1"/>
        <color theme="4" tint="0.59996337778862885"/>
      </dataBar>
      <extLst>
        <ext xmlns:x14="http://schemas.microsoft.com/office/spreadsheetml/2009/9/main" uri="{B025F937-C7B1-47D3-B67F-A62EFF666E3E}">
          <x14:id>{452FF450-BDD7-46C4-900F-23818E1204A9}</x14:id>
        </ext>
      </extLst>
    </cfRule>
  </conditionalFormatting>
  <conditionalFormatting sqref="G75">
    <cfRule type="dataBar" priority="87">
      <dataBar>
        <cfvo type="num" val="0"/>
        <cfvo type="num" val="1"/>
        <color theme="4" tint="0.59996337778862885"/>
      </dataBar>
      <extLst>
        <ext xmlns:x14="http://schemas.microsoft.com/office/spreadsheetml/2009/9/main" uri="{B025F937-C7B1-47D3-B67F-A62EFF666E3E}">
          <x14:id>{AE1ADB1B-C8D3-468F-998F-3C7F59CC5B61}</x14:id>
        </ext>
      </extLst>
    </cfRule>
  </conditionalFormatting>
  <conditionalFormatting sqref="G81">
    <cfRule type="dataBar" priority="86">
      <dataBar>
        <cfvo type="num" val="0"/>
        <cfvo type="num" val="1"/>
        <color theme="4" tint="0.59996337778862885"/>
      </dataBar>
      <extLst>
        <ext xmlns:x14="http://schemas.microsoft.com/office/spreadsheetml/2009/9/main" uri="{B025F937-C7B1-47D3-B67F-A62EFF666E3E}">
          <x14:id>{A3BB804F-A531-4021-A0D0-A1318A1392DA}</x14:id>
        </ext>
      </extLst>
    </cfRule>
  </conditionalFormatting>
  <conditionalFormatting sqref="G87">
    <cfRule type="dataBar" priority="85">
      <dataBar>
        <cfvo type="num" val="0"/>
        <cfvo type="num" val="1"/>
        <color theme="4" tint="0.59996337778862885"/>
      </dataBar>
      <extLst>
        <ext xmlns:x14="http://schemas.microsoft.com/office/spreadsheetml/2009/9/main" uri="{B025F937-C7B1-47D3-B67F-A62EFF666E3E}">
          <x14:id>{92BB81DF-25B6-4428-A153-F95AA04425CB}</x14:id>
        </ext>
      </extLst>
    </cfRule>
  </conditionalFormatting>
  <conditionalFormatting sqref="G93">
    <cfRule type="dataBar" priority="84">
      <dataBar>
        <cfvo type="num" val="0"/>
        <cfvo type="num" val="1"/>
        <color theme="4" tint="0.59996337778862885"/>
      </dataBar>
      <extLst>
        <ext xmlns:x14="http://schemas.microsoft.com/office/spreadsheetml/2009/9/main" uri="{B025F937-C7B1-47D3-B67F-A62EFF666E3E}">
          <x14:id>{DCC47049-0C7F-4825-AC47-B43815650CDF}</x14:id>
        </ext>
      </extLst>
    </cfRule>
  </conditionalFormatting>
  <conditionalFormatting sqref="G99">
    <cfRule type="dataBar" priority="83">
      <dataBar>
        <cfvo type="num" val="0"/>
        <cfvo type="num" val="1"/>
        <color theme="4" tint="0.59996337778862885"/>
      </dataBar>
      <extLst>
        <ext xmlns:x14="http://schemas.microsoft.com/office/spreadsheetml/2009/9/main" uri="{B025F937-C7B1-47D3-B67F-A62EFF666E3E}">
          <x14:id>{C917BC65-658C-4699-AC52-F4E774D48EEB}</x14:id>
        </ext>
      </extLst>
    </cfRule>
  </conditionalFormatting>
  <conditionalFormatting sqref="G104">
    <cfRule type="dataBar" priority="82">
      <dataBar>
        <cfvo type="num" val="0"/>
        <cfvo type="num" val="1"/>
        <color theme="4" tint="0.59996337778862885"/>
      </dataBar>
      <extLst>
        <ext xmlns:x14="http://schemas.microsoft.com/office/spreadsheetml/2009/9/main" uri="{B025F937-C7B1-47D3-B67F-A62EFF666E3E}">
          <x14:id>{F75F9A20-848F-44F1-AAEC-937F406C2978}</x14:id>
        </ext>
      </extLst>
    </cfRule>
  </conditionalFormatting>
  <conditionalFormatting sqref="G110">
    <cfRule type="dataBar" priority="81">
      <dataBar>
        <cfvo type="num" val="0"/>
        <cfvo type="num" val="1"/>
        <color theme="4" tint="0.59996337778862885"/>
      </dataBar>
      <extLst>
        <ext xmlns:x14="http://schemas.microsoft.com/office/spreadsheetml/2009/9/main" uri="{B025F937-C7B1-47D3-B67F-A62EFF666E3E}">
          <x14:id>{A389A2DB-AD32-4A56-BADE-E788EC5D6766}</x14:id>
        </ext>
      </extLst>
    </cfRule>
  </conditionalFormatting>
  <conditionalFormatting sqref="G116">
    <cfRule type="dataBar" priority="80">
      <dataBar>
        <cfvo type="num" val="0"/>
        <cfvo type="num" val="1"/>
        <color theme="4" tint="0.59996337778862885"/>
      </dataBar>
      <extLst>
        <ext xmlns:x14="http://schemas.microsoft.com/office/spreadsheetml/2009/9/main" uri="{B025F937-C7B1-47D3-B67F-A62EFF666E3E}">
          <x14:id>{0889FD3F-331C-4DDF-877C-59BC2D0F1EEB}</x14:id>
        </ext>
      </extLst>
    </cfRule>
  </conditionalFormatting>
  <conditionalFormatting sqref="G124">
    <cfRule type="dataBar" priority="79">
      <dataBar>
        <cfvo type="num" val="0"/>
        <cfvo type="num" val="1"/>
        <color theme="4" tint="0.59996337778862885"/>
      </dataBar>
      <extLst>
        <ext xmlns:x14="http://schemas.microsoft.com/office/spreadsheetml/2009/9/main" uri="{B025F937-C7B1-47D3-B67F-A62EFF666E3E}">
          <x14:id>{98978BE5-7980-4788-84B1-656626C6631F}</x14:id>
        </ext>
      </extLst>
    </cfRule>
  </conditionalFormatting>
  <conditionalFormatting sqref="G130">
    <cfRule type="dataBar" priority="76">
      <dataBar>
        <cfvo type="num" val="0"/>
        <cfvo type="num" val="1"/>
        <color theme="4" tint="0.59996337778862885"/>
      </dataBar>
      <extLst>
        <ext xmlns:x14="http://schemas.microsoft.com/office/spreadsheetml/2009/9/main" uri="{B025F937-C7B1-47D3-B67F-A62EFF666E3E}">
          <x14:id>{3AC989BD-0AC1-4512-95D9-6A3B080CB904}</x14:id>
        </ext>
      </extLst>
    </cfRule>
  </conditionalFormatting>
  <conditionalFormatting sqref="G134">
    <cfRule type="dataBar" priority="77">
      <dataBar>
        <cfvo type="num" val="0"/>
        <cfvo type="num" val="1"/>
        <color theme="4" tint="0.59996337778862885"/>
      </dataBar>
      <extLst>
        <ext xmlns:x14="http://schemas.microsoft.com/office/spreadsheetml/2009/9/main" uri="{B025F937-C7B1-47D3-B67F-A62EFF666E3E}">
          <x14:id>{748972A3-6AD8-45A9-92C5-0C18AAB17447}</x14:id>
        </ext>
      </extLst>
    </cfRule>
  </conditionalFormatting>
  <conditionalFormatting sqref="G139">
    <cfRule type="dataBar" priority="78">
      <dataBar>
        <cfvo type="num" val="0"/>
        <cfvo type="num" val="1"/>
        <color theme="4" tint="0.59996337778862885"/>
      </dataBar>
      <extLst>
        <ext xmlns:x14="http://schemas.microsoft.com/office/spreadsheetml/2009/9/main" uri="{B025F937-C7B1-47D3-B67F-A62EFF666E3E}">
          <x14:id>{D5934DC8-368E-473B-AAB9-13AC857FBF3D}</x14:id>
        </ext>
      </extLst>
    </cfRule>
  </conditionalFormatting>
  <conditionalFormatting sqref="G145">
    <cfRule type="dataBar" priority="75">
      <dataBar>
        <cfvo type="num" val="0"/>
        <cfvo type="num" val="1"/>
        <color theme="4" tint="0.59996337778862885"/>
      </dataBar>
      <extLst>
        <ext xmlns:x14="http://schemas.microsoft.com/office/spreadsheetml/2009/9/main" uri="{B025F937-C7B1-47D3-B67F-A62EFF666E3E}">
          <x14:id>{EB70DEF7-C883-4592-BF04-FD5B99D54851}</x14:id>
        </ext>
      </extLst>
    </cfRule>
  </conditionalFormatting>
  <conditionalFormatting sqref="G150">
    <cfRule type="dataBar" priority="74">
      <dataBar>
        <cfvo type="num" val="0"/>
        <cfvo type="num" val="1"/>
        <color theme="4" tint="0.59996337778862885"/>
      </dataBar>
      <extLst>
        <ext xmlns:x14="http://schemas.microsoft.com/office/spreadsheetml/2009/9/main" uri="{B025F937-C7B1-47D3-B67F-A62EFF666E3E}">
          <x14:id>{A06E0876-B01B-4C15-A572-BA86702E6B7A}</x14:id>
        </ext>
      </extLst>
    </cfRule>
  </conditionalFormatting>
  <conditionalFormatting sqref="G156">
    <cfRule type="dataBar" priority="73">
      <dataBar>
        <cfvo type="num" val="0"/>
        <cfvo type="num" val="1"/>
        <color theme="4" tint="0.59996337778862885"/>
      </dataBar>
      <extLst>
        <ext xmlns:x14="http://schemas.microsoft.com/office/spreadsheetml/2009/9/main" uri="{B025F937-C7B1-47D3-B67F-A62EFF666E3E}">
          <x14:id>{3934B580-9D9D-4F09-9D6A-3E56F5AD5EA9}</x14:id>
        </ext>
      </extLst>
    </cfRule>
  </conditionalFormatting>
  <conditionalFormatting sqref="G162">
    <cfRule type="dataBar" priority="72">
      <dataBar>
        <cfvo type="num" val="0"/>
        <cfvo type="num" val="1"/>
        <color theme="4" tint="0.59996337778862885"/>
      </dataBar>
      <extLst>
        <ext xmlns:x14="http://schemas.microsoft.com/office/spreadsheetml/2009/9/main" uri="{B025F937-C7B1-47D3-B67F-A62EFF666E3E}">
          <x14:id>{41B8AA16-8B45-4820-B1D9-645B463AF770}</x14:id>
        </ext>
      </extLst>
    </cfRule>
  </conditionalFormatting>
  <conditionalFormatting sqref="G168">
    <cfRule type="dataBar" priority="71">
      <dataBar>
        <cfvo type="num" val="0"/>
        <cfvo type="num" val="1"/>
        <color theme="4" tint="0.59996337778862885"/>
      </dataBar>
      <extLst>
        <ext xmlns:x14="http://schemas.microsoft.com/office/spreadsheetml/2009/9/main" uri="{B025F937-C7B1-47D3-B67F-A62EFF666E3E}">
          <x14:id>{719D0CF3-EA30-4063-BE51-9186C80F19D3}</x14:id>
        </ext>
      </extLst>
    </cfRule>
  </conditionalFormatting>
  <conditionalFormatting sqref="G173">
    <cfRule type="dataBar" priority="70">
      <dataBar>
        <cfvo type="num" val="0"/>
        <cfvo type="num" val="1"/>
        <color theme="4" tint="0.59996337778862885"/>
      </dataBar>
      <extLst>
        <ext xmlns:x14="http://schemas.microsoft.com/office/spreadsheetml/2009/9/main" uri="{B025F937-C7B1-47D3-B67F-A62EFF666E3E}">
          <x14:id>{D9FF4237-9E99-4B22-9EB2-8595C6C7F1F9}</x14:id>
        </ext>
      </extLst>
    </cfRule>
  </conditionalFormatting>
  <conditionalFormatting sqref="G180">
    <cfRule type="dataBar" priority="69">
      <dataBar>
        <cfvo type="num" val="0"/>
        <cfvo type="num" val="1"/>
        <color theme="4" tint="0.59996337778862885"/>
      </dataBar>
      <extLst>
        <ext xmlns:x14="http://schemas.microsoft.com/office/spreadsheetml/2009/9/main" uri="{B025F937-C7B1-47D3-B67F-A62EFF666E3E}">
          <x14:id>{29C5FB72-2063-495C-8079-E21F168D74F2}</x14:id>
        </ext>
      </extLst>
    </cfRule>
  </conditionalFormatting>
  <conditionalFormatting sqref="G186">
    <cfRule type="dataBar" priority="68">
      <dataBar>
        <cfvo type="num" val="0"/>
        <cfvo type="num" val="1"/>
        <color theme="4" tint="0.59996337778862885"/>
      </dataBar>
      <extLst>
        <ext xmlns:x14="http://schemas.microsoft.com/office/spreadsheetml/2009/9/main" uri="{B025F937-C7B1-47D3-B67F-A62EFF666E3E}">
          <x14:id>{B22CFDC4-9686-402A-9340-121AC85D59C3}</x14:id>
        </ext>
      </extLst>
    </cfRule>
  </conditionalFormatting>
  <conditionalFormatting sqref="G192">
    <cfRule type="dataBar" priority="67">
      <dataBar>
        <cfvo type="num" val="0"/>
        <cfvo type="num" val="1"/>
        <color theme="4" tint="0.59996337778862885"/>
      </dataBar>
      <extLst>
        <ext xmlns:x14="http://schemas.microsoft.com/office/spreadsheetml/2009/9/main" uri="{B025F937-C7B1-47D3-B67F-A62EFF666E3E}">
          <x14:id>{EB821A20-4704-4685-BD14-305C2850445A}</x14:id>
        </ext>
      </extLst>
    </cfRule>
  </conditionalFormatting>
  <conditionalFormatting sqref="G197">
    <cfRule type="dataBar" priority="64">
      <dataBar>
        <cfvo type="num" val="0"/>
        <cfvo type="num" val="1"/>
        <color theme="4" tint="0.59996337778862885"/>
      </dataBar>
      <extLst>
        <ext xmlns:x14="http://schemas.microsoft.com/office/spreadsheetml/2009/9/main" uri="{B025F937-C7B1-47D3-B67F-A62EFF666E3E}">
          <x14:id>{47DAAF2A-3225-444A-9442-3C2DBDDD17F3}</x14:id>
        </ext>
      </extLst>
    </cfRule>
  </conditionalFormatting>
  <dataValidations count="1">
    <dataValidation type="whole" allowBlank="1" showInputMessage="1" showErrorMessage="1" sqref="E61:E62 E122:E123" xr:uid="{00000000-0002-0000-5400-000000000000}">
      <formula1>0</formula1>
      <formula2>5</formula2>
    </dataValidation>
  </dataValidations>
  <pageMargins left="0.70866141732283505" right="0.70866141732283505" top="0.78740157480314998" bottom="0.78740157480314998" header="0.31496062992126" footer="0.31496062992126"/>
  <pageSetup scale="53" orientation="portrait" r:id="rId1"/>
  <headerFooter>
    <oddFooter>&amp;LFile:
&amp;F&amp;R &amp;D</oddFooter>
  </headerFooter>
  <rowBreaks count="2" manualBreakCount="2">
    <brk id="61" max="16383" man="1"/>
    <brk id="122" max="16383" man="1"/>
  </rowBreaks>
  <ignoredErrors>
    <ignoredError sqref="B39:B45" numberStoredAsText="1"/>
  </ignoredErrors>
  <extLst>
    <ext xmlns:x14="http://schemas.microsoft.com/office/spreadsheetml/2009/9/main" uri="{78C0D931-6437-407d-A8EE-F0AAD7539E65}">
      <x14:conditionalFormattings>
        <x14:conditionalFormatting xmlns:xm="http://schemas.microsoft.com/office/excel/2006/main">
          <x14:cfRule type="iconSet" priority="160" id="{C7BB5ACD-2FFC-4617-92BE-CC087D5D1D3E}">
            <x14:iconSet iconSet="3Symbols" showValue="0" custom="1">
              <x14:cfvo type="percent">
                <xm:f>0</xm:f>
              </x14:cfvo>
              <x14:cfvo type="num" gte="0">
                <xm:f>2</xm:f>
              </x14:cfvo>
              <x14:cfvo type="num">
                <xm:f>4</xm:f>
              </x14:cfvo>
              <x14:cfIcon iconSet="3Symbols" iconId="0"/>
              <x14:cfIcon iconSet="3Symbols" iconId="1"/>
              <x14:cfIcon iconSet="3Symbols" iconId="2"/>
            </x14:iconSet>
          </x14:cfRule>
          <xm:sqref>D33:D197</xm:sqref>
        </x14:conditionalFormatting>
        <x14:conditionalFormatting xmlns:xm="http://schemas.microsoft.com/office/excel/2006/main">
          <x14:cfRule type="dataBar" id="{746D225F-31DD-470A-84D6-CD2D9458E9A4}">
            <x14:dataBar minLength="0" maxLength="100" border="1" gradient="0">
              <x14:cfvo type="num">
                <xm:f>0</xm:f>
              </x14:cfvo>
              <x14:cfvo type="num">
                <xm:f>1</xm:f>
              </x14:cfvo>
              <x14:borderColor rgb="FF00B0F0"/>
              <x14:negativeFillColor rgb="FFFF0000"/>
              <x14:axisColor rgb="FF000000"/>
            </x14:dataBar>
          </x14:cfRule>
          <xm:sqref>G32</xm:sqref>
        </x14:conditionalFormatting>
        <x14:conditionalFormatting xmlns:xm="http://schemas.microsoft.com/office/excel/2006/main">
          <x14:cfRule type="expression" priority="55" id="{00000000-000E-0000-5400-000037000000}">
            <xm:f>COV!$V$74&lt;&gt;""</xm:f>
            <x14:dxf>
              <font>
                <color theme="0"/>
              </font>
              <border>
                <left/>
                <right/>
                <top/>
                <bottom/>
              </border>
            </x14:dxf>
          </x14:cfRule>
          <xm:sqref>G32:G57 G63:G116 G124:G197</xm:sqref>
        </x14:conditionalFormatting>
        <x14:conditionalFormatting xmlns:xm="http://schemas.microsoft.com/office/excel/2006/main">
          <x14:cfRule type="dataBar" id="{EFBE309C-8B90-4B75-9564-F4EAC2273DB8}">
            <x14:dataBar minLength="0" maxLength="100" border="1" gradient="0">
              <x14:cfvo type="num">
                <xm:f>0</xm:f>
              </x14:cfvo>
              <x14:cfvo type="num">
                <xm:f>1</xm:f>
              </x14:cfvo>
              <x14:borderColor rgb="FF00B0F0"/>
              <x14:negativeFillColor rgb="FFFF0000"/>
              <x14:axisColor rgb="FF000000"/>
            </x14:dataBar>
          </x14:cfRule>
          <xm:sqref>G38</xm:sqref>
        </x14:conditionalFormatting>
        <x14:conditionalFormatting xmlns:xm="http://schemas.microsoft.com/office/excel/2006/main">
          <x14:cfRule type="dataBar" id="{6A289432-9E50-47A8-B9EC-F6D5246A30D3}">
            <x14:dataBar minLength="0" maxLength="100" border="1" gradient="0">
              <x14:cfvo type="num">
                <xm:f>0</xm:f>
              </x14:cfvo>
              <x14:cfvo type="num">
                <xm:f>1</xm:f>
              </x14:cfvo>
              <x14:borderColor rgb="FF00B0F0"/>
              <x14:negativeFillColor rgb="FFFF0000"/>
              <x14:axisColor rgb="FF000000"/>
            </x14:dataBar>
          </x14:cfRule>
          <xm:sqref>G46</xm:sqref>
        </x14:conditionalFormatting>
        <x14:conditionalFormatting xmlns:xm="http://schemas.microsoft.com/office/excel/2006/main">
          <x14:cfRule type="dataBar" id="{6E005E2C-0702-4517-9E65-FAC61F595F24}">
            <x14:dataBar minLength="0" maxLength="100" border="1" gradient="0">
              <x14:cfvo type="num">
                <xm:f>0</xm:f>
              </x14:cfvo>
              <x14:cfvo type="num">
                <xm:f>1</xm:f>
              </x14:cfvo>
              <x14:borderColor rgb="FF00B0F0"/>
              <x14:negativeFillColor rgb="FFFF0000"/>
              <x14:axisColor rgb="FF000000"/>
            </x14:dataBar>
          </x14:cfRule>
          <xm:sqref>G53</xm:sqref>
        </x14:conditionalFormatting>
        <x14:conditionalFormatting xmlns:xm="http://schemas.microsoft.com/office/excel/2006/main">
          <x14:cfRule type="dataBar" id="{36C6EBC9-9BF3-47B5-BE98-FB2F1A8A6D67}">
            <x14:dataBar minLength="0" maxLength="100" border="1" gradient="0">
              <x14:cfvo type="num">
                <xm:f>0</xm:f>
              </x14:cfvo>
              <x14:cfvo type="num">
                <xm:f>1</xm:f>
              </x14:cfvo>
              <x14:borderColor rgb="FF00B0F0"/>
              <x14:negativeFillColor rgb="FFFF0000"/>
              <x14:axisColor rgb="FF000000"/>
            </x14:dataBar>
          </x14:cfRule>
          <xm:sqref>G57</xm:sqref>
        </x14:conditionalFormatting>
        <x14:conditionalFormatting xmlns:xm="http://schemas.microsoft.com/office/excel/2006/main">
          <x14:cfRule type="dataBar" id="{AE2961B1-9FDC-4858-84B0-9C6245346E9E}">
            <x14:dataBar minLength="0" maxLength="100" border="1" gradient="0">
              <x14:cfvo type="num">
                <xm:f>0</xm:f>
              </x14:cfvo>
              <x14:cfvo type="num">
                <xm:f>1</xm:f>
              </x14:cfvo>
              <x14:borderColor rgb="FF00B0F0"/>
              <x14:negativeFillColor rgb="FFFF0000"/>
              <x14:axisColor rgb="FF000000"/>
            </x14:dataBar>
          </x14:cfRule>
          <xm:sqref>G63</xm:sqref>
        </x14:conditionalFormatting>
        <x14:conditionalFormatting xmlns:xm="http://schemas.microsoft.com/office/excel/2006/main">
          <x14:cfRule type="dataBar" id="{452FF450-BDD7-46C4-900F-23818E1204A9}">
            <x14:dataBar minLength="0" maxLength="100" border="1" gradient="0">
              <x14:cfvo type="num">
                <xm:f>0</xm:f>
              </x14:cfvo>
              <x14:cfvo type="num">
                <xm:f>1</xm:f>
              </x14:cfvo>
              <x14:borderColor rgb="FF00B0F0"/>
              <x14:negativeFillColor rgb="FFFF0000"/>
              <x14:axisColor rgb="FF000000"/>
            </x14:dataBar>
          </x14:cfRule>
          <xm:sqref>G69</xm:sqref>
        </x14:conditionalFormatting>
        <x14:conditionalFormatting xmlns:xm="http://schemas.microsoft.com/office/excel/2006/main">
          <x14:cfRule type="dataBar" id="{AE1ADB1B-C8D3-468F-998F-3C7F59CC5B61}">
            <x14:dataBar minLength="0" maxLength="100" border="1" gradient="0">
              <x14:cfvo type="num">
                <xm:f>0</xm:f>
              </x14:cfvo>
              <x14:cfvo type="num">
                <xm:f>1</xm:f>
              </x14:cfvo>
              <x14:borderColor rgb="FF00B0F0"/>
              <x14:negativeFillColor rgb="FFFF0000"/>
              <x14:axisColor rgb="FF000000"/>
            </x14:dataBar>
          </x14:cfRule>
          <xm:sqref>G75</xm:sqref>
        </x14:conditionalFormatting>
        <x14:conditionalFormatting xmlns:xm="http://schemas.microsoft.com/office/excel/2006/main">
          <x14:cfRule type="dataBar" id="{A3BB804F-A531-4021-A0D0-A1318A1392DA}">
            <x14:dataBar minLength="0" maxLength="100" border="1" gradient="0">
              <x14:cfvo type="num">
                <xm:f>0</xm:f>
              </x14:cfvo>
              <x14:cfvo type="num">
                <xm:f>1</xm:f>
              </x14:cfvo>
              <x14:borderColor rgb="FF00B0F0"/>
              <x14:negativeFillColor rgb="FFFF0000"/>
              <x14:axisColor rgb="FF000000"/>
            </x14:dataBar>
          </x14:cfRule>
          <xm:sqref>G81</xm:sqref>
        </x14:conditionalFormatting>
        <x14:conditionalFormatting xmlns:xm="http://schemas.microsoft.com/office/excel/2006/main">
          <x14:cfRule type="dataBar" id="{92BB81DF-25B6-4428-A153-F95AA04425CB}">
            <x14:dataBar minLength="0" maxLength="100" border="1" gradient="0">
              <x14:cfvo type="num">
                <xm:f>0</xm:f>
              </x14:cfvo>
              <x14:cfvo type="num">
                <xm:f>1</xm:f>
              </x14:cfvo>
              <x14:borderColor rgb="FF00B0F0"/>
              <x14:negativeFillColor rgb="FFFF0000"/>
              <x14:axisColor rgb="FF000000"/>
            </x14:dataBar>
          </x14:cfRule>
          <xm:sqref>G87</xm:sqref>
        </x14:conditionalFormatting>
        <x14:conditionalFormatting xmlns:xm="http://schemas.microsoft.com/office/excel/2006/main">
          <x14:cfRule type="dataBar" id="{DCC47049-0C7F-4825-AC47-B43815650CDF}">
            <x14:dataBar minLength="0" maxLength="100" border="1" gradient="0">
              <x14:cfvo type="num">
                <xm:f>0</xm:f>
              </x14:cfvo>
              <x14:cfvo type="num">
                <xm:f>1</xm:f>
              </x14:cfvo>
              <x14:borderColor rgb="FF00B0F0"/>
              <x14:negativeFillColor rgb="FFFF0000"/>
              <x14:axisColor rgb="FF000000"/>
            </x14:dataBar>
          </x14:cfRule>
          <xm:sqref>G93</xm:sqref>
        </x14:conditionalFormatting>
        <x14:conditionalFormatting xmlns:xm="http://schemas.microsoft.com/office/excel/2006/main">
          <x14:cfRule type="dataBar" id="{C917BC65-658C-4699-AC52-F4E774D48EEB}">
            <x14:dataBar minLength="0" maxLength="100" border="1" gradient="0">
              <x14:cfvo type="num">
                <xm:f>0</xm:f>
              </x14:cfvo>
              <x14:cfvo type="num">
                <xm:f>1</xm:f>
              </x14:cfvo>
              <x14:borderColor rgb="FF00B0F0"/>
              <x14:negativeFillColor rgb="FFFF0000"/>
              <x14:axisColor rgb="FF000000"/>
            </x14:dataBar>
          </x14:cfRule>
          <xm:sqref>G99</xm:sqref>
        </x14:conditionalFormatting>
        <x14:conditionalFormatting xmlns:xm="http://schemas.microsoft.com/office/excel/2006/main">
          <x14:cfRule type="dataBar" id="{F75F9A20-848F-44F1-AAEC-937F406C2978}">
            <x14:dataBar minLength="0" maxLength="100" border="1" gradient="0">
              <x14:cfvo type="num">
                <xm:f>0</xm:f>
              </x14:cfvo>
              <x14:cfvo type="num">
                <xm:f>1</xm:f>
              </x14:cfvo>
              <x14:borderColor rgb="FF00B0F0"/>
              <x14:negativeFillColor rgb="FFFF0000"/>
              <x14:axisColor rgb="FF000000"/>
            </x14:dataBar>
          </x14:cfRule>
          <xm:sqref>G104</xm:sqref>
        </x14:conditionalFormatting>
        <x14:conditionalFormatting xmlns:xm="http://schemas.microsoft.com/office/excel/2006/main">
          <x14:cfRule type="dataBar" id="{A389A2DB-AD32-4A56-BADE-E788EC5D6766}">
            <x14:dataBar minLength="0" maxLength="100" border="1" gradient="0">
              <x14:cfvo type="num">
                <xm:f>0</xm:f>
              </x14:cfvo>
              <x14:cfvo type="num">
                <xm:f>1</xm:f>
              </x14:cfvo>
              <x14:borderColor rgb="FF00B0F0"/>
              <x14:negativeFillColor rgb="FFFF0000"/>
              <x14:axisColor rgb="FF000000"/>
            </x14:dataBar>
          </x14:cfRule>
          <xm:sqref>G110</xm:sqref>
        </x14:conditionalFormatting>
        <x14:conditionalFormatting xmlns:xm="http://schemas.microsoft.com/office/excel/2006/main">
          <x14:cfRule type="dataBar" id="{0889FD3F-331C-4DDF-877C-59BC2D0F1EEB}">
            <x14:dataBar minLength="0" maxLength="100" border="1" gradient="0">
              <x14:cfvo type="num">
                <xm:f>0</xm:f>
              </x14:cfvo>
              <x14:cfvo type="num">
                <xm:f>1</xm:f>
              </x14:cfvo>
              <x14:borderColor rgb="FF00B0F0"/>
              <x14:negativeFillColor rgb="FFFF0000"/>
              <x14:axisColor rgb="FF000000"/>
            </x14:dataBar>
          </x14:cfRule>
          <xm:sqref>G116</xm:sqref>
        </x14:conditionalFormatting>
        <x14:conditionalFormatting xmlns:xm="http://schemas.microsoft.com/office/excel/2006/main">
          <x14:cfRule type="dataBar" id="{98978BE5-7980-4788-84B1-656626C6631F}">
            <x14:dataBar minLength="0" maxLength="100" border="1" gradient="0">
              <x14:cfvo type="num">
                <xm:f>0</xm:f>
              </x14:cfvo>
              <x14:cfvo type="num">
                <xm:f>1</xm:f>
              </x14:cfvo>
              <x14:borderColor rgb="FF00B0F0"/>
              <x14:negativeFillColor rgb="FFFF0000"/>
              <x14:axisColor rgb="FF000000"/>
            </x14:dataBar>
          </x14:cfRule>
          <xm:sqref>G124</xm:sqref>
        </x14:conditionalFormatting>
        <x14:conditionalFormatting xmlns:xm="http://schemas.microsoft.com/office/excel/2006/main">
          <x14:cfRule type="dataBar" id="{3AC989BD-0AC1-4512-95D9-6A3B080CB904}">
            <x14:dataBar minLength="0" maxLength="100" border="1" gradient="0">
              <x14:cfvo type="num">
                <xm:f>0</xm:f>
              </x14:cfvo>
              <x14:cfvo type="num">
                <xm:f>1</xm:f>
              </x14:cfvo>
              <x14:borderColor rgb="FF00B0F0"/>
              <x14:negativeFillColor rgb="FFFF0000"/>
              <x14:axisColor rgb="FF000000"/>
            </x14:dataBar>
          </x14:cfRule>
          <xm:sqref>G130</xm:sqref>
        </x14:conditionalFormatting>
        <x14:conditionalFormatting xmlns:xm="http://schemas.microsoft.com/office/excel/2006/main">
          <x14:cfRule type="dataBar" id="{748972A3-6AD8-45A9-92C5-0C18AAB17447}">
            <x14:dataBar minLength="0" maxLength="100" border="1" gradient="0">
              <x14:cfvo type="num">
                <xm:f>0</xm:f>
              </x14:cfvo>
              <x14:cfvo type="num">
                <xm:f>1</xm:f>
              </x14:cfvo>
              <x14:borderColor rgb="FF00B0F0"/>
              <x14:negativeFillColor rgb="FFFF0000"/>
              <x14:axisColor rgb="FF000000"/>
            </x14:dataBar>
          </x14:cfRule>
          <xm:sqref>G134</xm:sqref>
        </x14:conditionalFormatting>
        <x14:conditionalFormatting xmlns:xm="http://schemas.microsoft.com/office/excel/2006/main">
          <x14:cfRule type="dataBar" id="{D5934DC8-368E-473B-AAB9-13AC857FBF3D}">
            <x14:dataBar minLength="0" maxLength="100" border="1" gradient="0">
              <x14:cfvo type="num">
                <xm:f>0</xm:f>
              </x14:cfvo>
              <x14:cfvo type="num">
                <xm:f>1</xm:f>
              </x14:cfvo>
              <x14:borderColor rgb="FF00B0F0"/>
              <x14:negativeFillColor rgb="FFFF0000"/>
              <x14:axisColor rgb="FF000000"/>
            </x14:dataBar>
          </x14:cfRule>
          <xm:sqref>G139</xm:sqref>
        </x14:conditionalFormatting>
        <x14:conditionalFormatting xmlns:xm="http://schemas.microsoft.com/office/excel/2006/main">
          <x14:cfRule type="dataBar" id="{EB70DEF7-C883-4592-BF04-FD5B99D54851}">
            <x14:dataBar minLength="0" maxLength="100" border="1" gradient="0">
              <x14:cfvo type="num">
                <xm:f>0</xm:f>
              </x14:cfvo>
              <x14:cfvo type="num">
                <xm:f>1</xm:f>
              </x14:cfvo>
              <x14:borderColor rgb="FF00B0F0"/>
              <x14:negativeFillColor rgb="FFFF0000"/>
              <x14:axisColor rgb="FF000000"/>
            </x14:dataBar>
          </x14:cfRule>
          <xm:sqref>G145</xm:sqref>
        </x14:conditionalFormatting>
        <x14:conditionalFormatting xmlns:xm="http://schemas.microsoft.com/office/excel/2006/main">
          <x14:cfRule type="dataBar" id="{A06E0876-B01B-4C15-A572-BA86702E6B7A}">
            <x14:dataBar minLength="0" maxLength="100" border="1" gradient="0">
              <x14:cfvo type="num">
                <xm:f>0</xm:f>
              </x14:cfvo>
              <x14:cfvo type="num">
                <xm:f>1</xm:f>
              </x14:cfvo>
              <x14:borderColor rgb="FF00B0F0"/>
              <x14:negativeFillColor rgb="FFFF0000"/>
              <x14:axisColor rgb="FF000000"/>
            </x14:dataBar>
          </x14:cfRule>
          <xm:sqref>G150</xm:sqref>
        </x14:conditionalFormatting>
        <x14:conditionalFormatting xmlns:xm="http://schemas.microsoft.com/office/excel/2006/main">
          <x14:cfRule type="dataBar" id="{3934B580-9D9D-4F09-9D6A-3E56F5AD5EA9}">
            <x14:dataBar minLength="0" maxLength="100" border="1" gradient="0">
              <x14:cfvo type="num">
                <xm:f>0</xm:f>
              </x14:cfvo>
              <x14:cfvo type="num">
                <xm:f>1</xm:f>
              </x14:cfvo>
              <x14:borderColor rgb="FF00B0F0"/>
              <x14:negativeFillColor rgb="FFFF0000"/>
              <x14:axisColor rgb="FF000000"/>
            </x14:dataBar>
          </x14:cfRule>
          <xm:sqref>G156</xm:sqref>
        </x14:conditionalFormatting>
        <x14:conditionalFormatting xmlns:xm="http://schemas.microsoft.com/office/excel/2006/main">
          <x14:cfRule type="dataBar" id="{41B8AA16-8B45-4820-B1D9-645B463AF770}">
            <x14:dataBar minLength="0" maxLength="100" border="1" gradient="0">
              <x14:cfvo type="num">
                <xm:f>0</xm:f>
              </x14:cfvo>
              <x14:cfvo type="num">
                <xm:f>1</xm:f>
              </x14:cfvo>
              <x14:borderColor rgb="FF00B0F0"/>
              <x14:negativeFillColor rgb="FFFF0000"/>
              <x14:axisColor rgb="FF000000"/>
            </x14:dataBar>
          </x14:cfRule>
          <xm:sqref>G162</xm:sqref>
        </x14:conditionalFormatting>
        <x14:conditionalFormatting xmlns:xm="http://schemas.microsoft.com/office/excel/2006/main">
          <x14:cfRule type="dataBar" id="{719D0CF3-EA30-4063-BE51-9186C80F19D3}">
            <x14:dataBar minLength="0" maxLength="100" border="1" gradient="0">
              <x14:cfvo type="num">
                <xm:f>0</xm:f>
              </x14:cfvo>
              <x14:cfvo type="num">
                <xm:f>1</xm:f>
              </x14:cfvo>
              <x14:borderColor rgb="FF00B0F0"/>
              <x14:negativeFillColor rgb="FFFF0000"/>
              <x14:axisColor rgb="FF000000"/>
            </x14:dataBar>
          </x14:cfRule>
          <xm:sqref>G168</xm:sqref>
        </x14:conditionalFormatting>
        <x14:conditionalFormatting xmlns:xm="http://schemas.microsoft.com/office/excel/2006/main">
          <x14:cfRule type="dataBar" id="{D9FF4237-9E99-4B22-9EB2-8595C6C7F1F9}">
            <x14:dataBar minLength="0" maxLength="100" border="1" gradient="0">
              <x14:cfvo type="num">
                <xm:f>0</xm:f>
              </x14:cfvo>
              <x14:cfvo type="num">
                <xm:f>1</xm:f>
              </x14:cfvo>
              <x14:borderColor rgb="FF00B0F0"/>
              <x14:negativeFillColor rgb="FFFF0000"/>
              <x14:axisColor rgb="FF000000"/>
            </x14:dataBar>
          </x14:cfRule>
          <xm:sqref>G173</xm:sqref>
        </x14:conditionalFormatting>
        <x14:conditionalFormatting xmlns:xm="http://schemas.microsoft.com/office/excel/2006/main">
          <x14:cfRule type="dataBar" id="{29C5FB72-2063-495C-8079-E21F168D74F2}">
            <x14:dataBar minLength="0" maxLength="100" border="1" gradient="0">
              <x14:cfvo type="num">
                <xm:f>0</xm:f>
              </x14:cfvo>
              <x14:cfvo type="num">
                <xm:f>1</xm:f>
              </x14:cfvo>
              <x14:borderColor rgb="FF00B0F0"/>
              <x14:negativeFillColor rgb="FFFF0000"/>
              <x14:axisColor rgb="FF000000"/>
            </x14:dataBar>
          </x14:cfRule>
          <xm:sqref>G180</xm:sqref>
        </x14:conditionalFormatting>
        <x14:conditionalFormatting xmlns:xm="http://schemas.microsoft.com/office/excel/2006/main">
          <x14:cfRule type="dataBar" id="{B22CFDC4-9686-402A-9340-121AC85D59C3}">
            <x14:dataBar minLength="0" maxLength="100" border="1" gradient="0">
              <x14:cfvo type="num">
                <xm:f>0</xm:f>
              </x14:cfvo>
              <x14:cfvo type="num">
                <xm:f>1</xm:f>
              </x14:cfvo>
              <x14:borderColor rgb="FF00B0F0"/>
              <x14:negativeFillColor rgb="FFFF0000"/>
              <x14:axisColor rgb="FF000000"/>
            </x14:dataBar>
          </x14:cfRule>
          <xm:sqref>G186</xm:sqref>
        </x14:conditionalFormatting>
        <x14:conditionalFormatting xmlns:xm="http://schemas.microsoft.com/office/excel/2006/main">
          <x14:cfRule type="dataBar" id="{EB821A20-4704-4685-BD14-305C2850445A}">
            <x14:dataBar minLength="0" maxLength="100" border="1" gradient="0">
              <x14:cfvo type="num">
                <xm:f>0</xm:f>
              </x14:cfvo>
              <x14:cfvo type="num">
                <xm:f>1</xm:f>
              </x14:cfvo>
              <x14:borderColor rgb="FF00B0F0"/>
              <x14:negativeFillColor rgb="FFFF0000"/>
              <x14:axisColor rgb="FF000000"/>
            </x14:dataBar>
          </x14:cfRule>
          <xm:sqref>G192</xm:sqref>
        </x14:conditionalFormatting>
        <x14:conditionalFormatting xmlns:xm="http://schemas.microsoft.com/office/excel/2006/main">
          <x14:cfRule type="dataBar" id="{47DAAF2A-3225-444A-9442-3C2DBDDD17F3}">
            <x14:dataBar minLength="0" maxLength="100" border="1" gradient="0">
              <x14:cfvo type="num">
                <xm:f>0</xm:f>
              </x14:cfvo>
              <x14:cfvo type="num">
                <xm:f>1</xm:f>
              </x14:cfvo>
              <x14:borderColor rgb="FF00B0F0"/>
              <x14:negativeFillColor rgb="FFFF0000"/>
              <x14:axisColor rgb="FF000000"/>
            </x14:dataBar>
          </x14:cfRule>
          <xm:sqref>G197</xm:sqref>
        </x14:conditionalFormatting>
      </x14:conditionalFormatting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6AE12-4143-4D24-B9B5-85A5E0404EC3}">
  <sheetPr codeName="Support_Sheet95">
    <tabColor theme="2" tint="-9.9948118533890809E-2"/>
  </sheetPr>
  <dimension ref="B2:L70"/>
  <sheetViews>
    <sheetView showGridLines="0" showZeros="0" workbookViewId="0">
      <pane xSplit="8" ySplit="9" topLeftCell="I23" activePane="bottomRight" state="frozenSplit"/>
      <selection activeCell="B109" sqref="B109"/>
      <selection pane="topRight" activeCell="B109" sqref="B109"/>
      <selection pane="bottomLeft" activeCell="B109" sqref="B109"/>
      <selection pane="bottomRight" activeCell="E5" sqref="E5"/>
    </sheetView>
  </sheetViews>
  <sheetFormatPr baseColWidth="10" defaultColWidth="10" defaultRowHeight="11"/>
  <cols>
    <col min="1" max="1" width="2.6640625" style="1801" customWidth="1"/>
    <col min="2" max="2" width="5.5" style="1800" customWidth="1"/>
    <col min="3" max="3" width="13" style="1801" customWidth="1"/>
    <col min="4" max="4" width="46.33203125" style="1801" customWidth="1"/>
    <col min="5" max="8" width="26.5" style="1801" customWidth="1"/>
    <col min="9" max="10" width="9.6640625" style="1800" customWidth="1"/>
    <col min="11" max="11" width="55.1640625" style="1802" customWidth="1"/>
    <col min="12" max="12" width="9.6640625" style="1801" customWidth="1"/>
    <col min="13" max="16384" width="10" style="1801"/>
  </cols>
  <sheetData>
    <row r="2" spans="2:11" s="1795" customFormat="1" ht="20" customHeight="1">
      <c r="B2" s="1790"/>
      <c r="C2" s="1791" t="s">
        <v>688</v>
      </c>
      <c r="D2" s="1791"/>
      <c r="E2" s="1792"/>
      <c r="F2" s="1791" t="s">
        <v>689</v>
      </c>
      <c r="G2" s="1793"/>
      <c r="H2" s="1792"/>
      <c r="I2" s="1792"/>
      <c r="J2" s="1792"/>
      <c r="K2" s="1794"/>
    </row>
    <row r="3" spans="2:11" s="1795" customFormat="1" ht="20" customHeight="1">
      <c r="B3" s="1790"/>
      <c r="C3" s="1796" t="s">
        <v>4107</v>
      </c>
      <c r="D3" s="1796"/>
      <c r="E3" s="1792"/>
      <c r="F3" s="2543" t="s">
        <v>4108</v>
      </c>
      <c r="G3" s="2543"/>
      <c r="H3" s="2543"/>
      <c r="I3" s="1798" t="str">
        <f>IF(LEN(F3)&lt;3,"Please complete cover sheet","")</f>
        <v/>
      </c>
      <c r="J3" s="1799"/>
    </row>
    <row r="4" spans="2:11" s="1795" customFormat="1" ht="20" customHeight="1">
      <c r="B4" s="1790"/>
      <c r="C4" s="1796"/>
      <c r="D4" s="1796"/>
      <c r="E4" s="1792"/>
      <c r="F4" s="1797"/>
      <c r="G4" s="1797"/>
      <c r="H4" s="1797"/>
      <c r="I4" s="1798"/>
      <c r="J4" s="1799"/>
    </row>
    <row r="5" spans="2:11" s="1795" customFormat="1" ht="20" customHeight="1">
      <c r="B5" s="1790"/>
      <c r="C5" s="1796"/>
      <c r="D5" s="1796"/>
      <c r="E5" s="1792"/>
      <c r="F5" s="1797"/>
      <c r="G5" s="1797"/>
      <c r="H5" s="1797"/>
      <c r="I5" s="1798"/>
      <c r="J5" s="1799"/>
    </row>
    <row r="6" spans="2:11" s="1795" customFormat="1" ht="20" customHeight="1">
      <c r="B6" s="1790"/>
      <c r="C6" s="1796"/>
      <c r="D6" s="1796"/>
      <c r="E6" s="1792"/>
      <c r="F6" s="1797"/>
      <c r="G6" s="1797"/>
      <c r="H6" s="1797"/>
      <c r="I6" s="1798"/>
      <c r="J6" s="1799"/>
    </row>
    <row r="7" spans="2:11" ht="15" customHeight="1"/>
    <row r="8" spans="2:11" s="1804" customFormat="1" ht="22.25" customHeight="1">
      <c r="B8" s="2544" t="s">
        <v>294</v>
      </c>
      <c r="C8" s="2544" t="s">
        <v>295</v>
      </c>
      <c r="D8" s="1803"/>
      <c r="E8" s="2546" t="s">
        <v>296</v>
      </c>
      <c r="F8" s="2546"/>
      <c r="G8" s="2546"/>
      <c r="H8" s="2546"/>
      <c r="I8" s="2547" t="s">
        <v>307</v>
      </c>
      <c r="J8" s="2548"/>
      <c r="K8" s="2549"/>
    </row>
    <row r="9" spans="2:11" s="1804" customFormat="1" ht="30" customHeight="1">
      <c r="B9" s="2545"/>
      <c r="C9" s="2545"/>
      <c r="D9" s="1805"/>
      <c r="E9" s="1806" t="s">
        <v>297</v>
      </c>
      <c r="F9" s="1806" t="s">
        <v>298</v>
      </c>
      <c r="G9" s="1806" t="s">
        <v>299</v>
      </c>
      <c r="H9" s="1806" t="s">
        <v>300</v>
      </c>
      <c r="I9" s="1807" t="s">
        <v>12</v>
      </c>
      <c r="J9" s="1808" t="s">
        <v>288</v>
      </c>
      <c r="K9" s="1808" t="s">
        <v>301</v>
      </c>
    </row>
    <row r="10" spans="2:11" ht="30" customHeight="1">
      <c r="B10" s="1809">
        <v>1</v>
      </c>
      <c r="C10" s="2540" t="s">
        <v>586</v>
      </c>
      <c r="D10" s="2541"/>
      <c r="E10" s="2541"/>
      <c r="F10" s="2541"/>
      <c r="G10" s="2541"/>
      <c r="H10" s="2542"/>
      <c r="K10" s="1810"/>
    </row>
    <row r="11" spans="2:11" ht="60">
      <c r="B11" s="1811">
        <f>B10+0.1</f>
        <v>1.1000000000000001</v>
      </c>
      <c r="C11" s="1812" t="s">
        <v>598</v>
      </c>
      <c r="D11" s="1812" t="s">
        <v>597</v>
      </c>
      <c r="E11" s="1813" t="s">
        <v>596</v>
      </c>
      <c r="F11" s="1813" t="s">
        <v>595</v>
      </c>
      <c r="G11" s="1813" t="s">
        <v>594</v>
      </c>
      <c r="H11" s="1813" t="s">
        <v>593</v>
      </c>
      <c r="I11" s="1814">
        <v>4</v>
      </c>
      <c r="J11" s="1814">
        <v>4</v>
      </c>
      <c r="K11" s="1815"/>
    </row>
    <row r="12" spans="2:11" ht="48">
      <c r="B12" s="1811">
        <f>B11+0.1</f>
        <v>1.2000000000000002</v>
      </c>
      <c r="C12" s="1812" t="s">
        <v>592</v>
      </c>
      <c r="D12" s="1812" t="s">
        <v>591</v>
      </c>
      <c r="E12" s="1813" t="s">
        <v>590</v>
      </c>
      <c r="F12" s="1813" t="s">
        <v>589</v>
      </c>
      <c r="G12" s="1813" t="s">
        <v>588</v>
      </c>
      <c r="H12" s="1813" t="s">
        <v>587</v>
      </c>
      <c r="I12" s="1814">
        <v>4</v>
      </c>
      <c r="J12" s="1814">
        <v>4</v>
      </c>
      <c r="K12" s="1815"/>
    </row>
    <row r="13" spans="2:11" ht="48">
      <c r="B13" s="1811">
        <f>B12+0.1</f>
        <v>1.3000000000000003</v>
      </c>
      <c r="C13" s="1812" t="s">
        <v>585</v>
      </c>
      <c r="D13" s="1812" t="s">
        <v>584</v>
      </c>
      <c r="E13" s="1813" t="s">
        <v>583</v>
      </c>
      <c r="F13" s="1813" t="s">
        <v>582</v>
      </c>
      <c r="G13" s="1813" t="s">
        <v>581</v>
      </c>
      <c r="H13" s="1813" t="s">
        <v>580</v>
      </c>
      <c r="I13" s="1814">
        <v>3</v>
      </c>
      <c r="J13" s="1814">
        <v>4</v>
      </c>
      <c r="K13" s="1815"/>
    </row>
    <row r="14" spans="2:11" ht="48">
      <c r="B14" s="1811">
        <f>B13+0.1</f>
        <v>1.4000000000000004</v>
      </c>
      <c r="C14" s="1812" t="s">
        <v>579</v>
      </c>
      <c r="D14" s="1812" t="s">
        <v>578</v>
      </c>
      <c r="E14" s="1813" t="s">
        <v>577</v>
      </c>
      <c r="F14" s="1813" t="s">
        <v>576</v>
      </c>
      <c r="G14" s="1813" t="s">
        <v>575</v>
      </c>
      <c r="H14" s="1813" t="s">
        <v>574</v>
      </c>
      <c r="I14" s="1814">
        <v>4</v>
      </c>
      <c r="J14" s="1814">
        <v>4</v>
      </c>
      <c r="K14" s="1815"/>
    </row>
    <row r="15" spans="2:11" s="1816" customFormat="1" ht="24" customHeight="1">
      <c r="H15" s="1816" t="s">
        <v>302</v>
      </c>
      <c r="I15" s="1817">
        <f>IF(SUM(I11:I14)=0,"",ROUNDDOWN(AVERAGE(I11:I14),1))</f>
        <v>3.7</v>
      </c>
      <c r="J15" s="1817">
        <f>IF(SUM(J11:J14)=0,"",ROUNDDOWN(AVERAGE(J11:J14),1))</f>
        <v>4</v>
      </c>
      <c r="K15" s="1818"/>
    </row>
    <row r="16" spans="2:11">
      <c r="C16" s="1802"/>
      <c r="D16" s="1802"/>
      <c r="E16" s="1819"/>
      <c r="F16" s="1819"/>
      <c r="G16" s="1819"/>
      <c r="H16" s="1819"/>
    </row>
    <row r="17" spans="2:11" ht="30" customHeight="1">
      <c r="B17" s="1809">
        <v>2</v>
      </c>
      <c r="C17" s="2540" t="s">
        <v>567</v>
      </c>
      <c r="D17" s="2541"/>
      <c r="E17" s="2541"/>
      <c r="F17" s="2541"/>
      <c r="G17" s="2541"/>
      <c r="H17" s="2542"/>
    </row>
    <row r="18" spans="2:11" ht="36">
      <c r="B18" s="1811">
        <f>B17+0.1</f>
        <v>2.1</v>
      </c>
      <c r="C18" s="1812" t="s">
        <v>573</v>
      </c>
      <c r="D18" s="1812" t="s">
        <v>572</v>
      </c>
      <c r="E18" s="1820" t="s">
        <v>571</v>
      </c>
      <c r="F18" s="1820" t="s">
        <v>570</v>
      </c>
      <c r="G18" s="1820" t="s">
        <v>569</v>
      </c>
      <c r="H18" s="1820" t="s">
        <v>568</v>
      </c>
      <c r="I18" s="1814">
        <v>4</v>
      </c>
      <c r="J18" s="1814">
        <v>4</v>
      </c>
      <c r="K18" s="1815"/>
    </row>
    <row r="19" spans="2:11" ht="96">
      <c r="B19" s="1811">
        <f>B18+0.1</f>
        <v>2.2000000000000002</v>
      </c>
      <c r="C19" s="1812" t="s">
        <v>566</v>
      </c>
      <c r="D19" s="1812" t="s">
        <v>565</v>
      </c>
      <c r="E19" s="1820" t="s">
        <v>564</v>
      </c>
      <c r="F19" s="1820" t="s">
        <v>601</v>
      </c>
      <c r="G19" s="1820" t="s">
        <v>563</v>
      </c>
      <c r="H19" s="1820" t="s">
        <v>562</v>
      </c>
      <c r="I19" s="1814">
        <v>4</v>
      </c>
      <c r="J19" s="1814">
        <v>4</v>
      </c>
      <c r="K19" s="1815"/>
    </row>
    <row r="20" spans="2:11" ht="48">
      <c r="B20" s="1811">
        <f>B19+0.1</f>
        <v>2.3000000000000003</v>
      </c>
      <c r="C20" s="1812" t="s">
        <v>561</v>
      </c>
      <c r="D20" s="1812" t="s">
        <v>560</v>
      </c>
      <c r="E20" s="1813" t="s">
        <v>559</v>
      </c>
      <c r="F20" s="1813" t="s">
        <v>558</v>
      </c>
      <c r="G20" s="1813" t="s">
        <v>557</v>
      </c>
      <c r="H20" s="1813" t="s">
        <v>556</v>
      </c>
      <c r="I20" s="1814">
        <v>4</v>
      </c>
      <c r="J20" s="1814">
        <v>4</v>
      </c>
      <c r="K20" s="1815"/>
    </row>
    <row r="21" spans="2:11" s="1816" customFormat="1" ht="24" customHeight="1">
      <c r="H21" s="1816" t="s">
        <v>302</v>
      </c>
      <c r="I21" s="1817">
        <f>IF(SUM(I18:I20)=0,"",ROUNDDOWN(AVERAGE(I18:I20),1))</f>
        <v>4</v>
      </c>
      <c r="J21" s="1817">
        <f>IF(SUM(J18:J20)=0,"",ROUNDDOWN(AVERAGE(J18:J20),1))</f>
        <v>4</v>
      </c>
      <c r="K21" s="1818"/>
    </row>
    <row r="22" spans="2:11">
      <c r="C22" s="1802"/>
      <c r="D22" s="1802"/>
      <c r="E22" s="1819"/>
      <c r="F22" s="1819"/>
      <c r="G22" s="1819"/>
      <c r="H22" s="1819"/>
    </row>
    <row r="23" spans="2:11" ht="30" customHeight="1">
      <c r="B23" s="1809">
        <v>3</v>
      </c>
      <c r="C23" s="2540" t="s">
        <v>549</v>
      </c>
      <c r="D23" s="2541"/>
      <c r="E23" s="2541"/>
      <c r="F23" s="2541"/>
      <c r="G23" s="2541"/>
      <c r="H23" s="2542"/>
    </row>
    <row r="24" spans="2:11" ht="72">
      <c r="B24" s="1811">
        <f>B23+0.1</f>
        <v>3.1</v>
      </c>
      <c r="C24" s="1821" t="s">
        <v>555</v>
      </c>
      <c r="D24" s="1821" t="s">
        <v>554</v>
      </c>
      <c r="E24" s="1820" t="s">
        <v>553</v>
      </c>
      <c r="F24" s="1820" t="s">
        <v>552</v>
      </c>
      <c r="G24" s="1820" t="s">
        <v>551</v>
      </c>
      <c r="H24" s="1820" t="s">
        <v>550</v>
      </c>
      <c r="I24" s="1814">
        <v>2</v>
      </c>
      <c r="J24" s="1814">
        <v>3</v>
      </c>
      <c r="K24" s="1815"/>
    </row>
    <row r="25" spans="2:11" ht="60">
      <c r="B25" s="1811">
        <f>B24+0.1</f>
        <v>3.2</v>
      </c>
      <c r="C25" s="1812" t="s">
        <v>548</v>
      </c>
      <c r="D25" s="1812" t="s">
        <v>547</v>
      </c>
      <c r="E25" s="1820" t="s">
        <v>546</v>
      </c>
      <c r="F25" s="1820" t="s">
        <v>545</v>
      </c>
      <c r="G25" s="1820" t="s">
        <v>544</v>
      </c>
      <c r="H25" s="1820" t="s">
        <v>543</v>
      </c>
      <c r="I25" s="1814">
        <v>4</v>
      </c>
      <c r="J25" s="1814">
        <v>3</v>
      </c>
      <c r="K25" s="1815"/>
    </row>
    <row r="26" spans="2:11" ht="48">
      <c r="B26" s="1811">
        <f>B25+0.1</f>
        <v>3.3000000000000003</v>
      </c>
      <c r="C26" s="1812" t="s">
        <v>542</v>
      </c>
      <c r="D26" s="1812" t="s">
        <v>541</v>
      </c>
      <c r="E26" s="1820" t="s">
        <v>540</v>
      </c>
      <c r="F26" s="1820" t="s">
        <v>539</v>
      </c>
      <c r="G26" s="1820" t="s">
        <v>538</v>
      </c>
      <c r="H26" s="1820" t="s">
        <v>537</v>
      </c>
      <c r="I26" s="1814">
        <v>3</v>
      </c>
      <c r="J26" s="1814">
        <v>3</v>
      </c>
      <c r="K26" s="1815"/>
    </row>
    <row r="27" spans="2:11" s="1816" customFormat="1" ht="24" customHeight="1">
      <c r="H27" s="1816" t="s">
        <v>302</v>
      </c>
      <c r="I27" s="1817">
        <f>IF(SUM(I24:I26)=0,"",ROUNDDOWN(AVERAGE(I24:I26),1))</f>
        <v>3</v>
      </c>
      <c r="J27" s="1817">
        <f>IF(SUM(J24:J26)=0,"",ROUNDDOWN(AVERAGE(J24:J26),1))</f>
        <v>3</v>
      </c>
      <c r="K27" s="1818"/>
    </row>
    <row r="28" spans="2:11">
      <c r="C28" s="1802"/>
      <c r="D28" s="1802"/>
      <c r="E28" s="1819"/>
      <c r="F28" s="1819"/>
      <c r="G28" s="1819"/>
      <c r="H28" s="1819"/>
    </row>
    <row r="29" spans="2:11" ht="17" customHeight="1"/>
    <row r="30" spans="2:11" ht="17" customHeight="1">
      <c r="F30" s="1804" t="s">
        <v>304</v>
      </c>
    </row>
    <row r="31" spans="2:11" ht="17" customHeight="1">
      <c r="G31" s="1822" t="s">
        <v>305</v>
      </c>
      <c r="H31" s="1800">
        <v>1</v>
      </c>
      <c r="I31" s="1823">
        <f>IF(I15="","",I15)</f>
        <v>3.7</v>
      </c>
      <c r="J31" s="1823">
        <f>IF(J15="","",J15)</f>
        <v>4</v>
      </c>
    </row>
    <row r="32" spans="2:11" ht="17" customHeight="1">
      <c r="G32" s="1822" t="s">
        <v>305</v>
      </c>
      <c r="H32" s="1800">
        <f>1+H31</f>
        <v>2</v>
      </c>
      <c r="I32" s="1824">
        <f>IF(I21="","",I21)</f>
        <v>4</v>
      </c>
      <c r="J32" s="1824">
        <f>IF(J21="","",J21)</f>
        <v>4</v>
      </c>
    </row>
    <row r="33" spans="2:12" ht="17" customHeight="1">
      <c r="G33" s="1822" t="s">
        <v>305</v>
      </c>
      <c r="H33" s="1800">
        <f>1+H32</f>
        <v>3</v>
      </c>
      <c r="I33" s="1824">
        <f>IF(I27="","",I27)</f>
        <v>3</v>
      </c>
      <c r="J33" s="1824">
        <f>IF(J27="","",J27)</f>
        <v>3</v>
      </c>
    </row>
    <row r="34" spans="2:12" s="1802" customFormat="1" ht="17" customHeight="1">
      <c r="B34" s="1800"/>
      <c r="C34" s="1801"/>
      <c r="D34" s="1801"/>
      <c r="E34" s="1801"/>
      <c r="F34" s="1801"/>
      <c r="G34" s="1801"/>
      <c r="H34" s="1816" t="s">
        <v>306</v>
      </c>
      <c r="I34" s="1824">
        <f>SUM(I11:I14)+SUM(I18:I20)+SUM(I24:I26)</f>
        <v>36</v>
      </c>
      <c r="J34" s="1824">
        <f>SUM(J11:J14)+SUM(J18:J20)+SUM(J24:J26)</f>
        <v>37</v>
      </c>
      <c r="L34" s="1801"/>
    </row>
    <row r="35" spans="2:12" s="1802" customFormat="1" ht="17" customHeight="1">
      <c r="B35" s="1800"/>
      <c r="C35" s="1801"/>
      <c r="D35" s="1801"/>
      <c r="E35" s="1801"/>
      <c r="F35" s="1801"/>
      <c r="G35" s="1801"/>
      <c r="H35" s="1816"/>
      <c r="I35" s="1825"/>
      <c r="J35" s="1825"/>
      <c r="L35" s="1801"/>
    </row>
    <row r="36" spans="2:12" s="1802" customFormat="1" ht="17" customHeight="1">
      <c r="B36" s="1800"/>
      <c r="C36" s="1826" t="s">
        <v>600</v>
      </c>
      <c r="D36" s="1826"/>
      <c r="E36" s="1801"/>
      <c r="F36" s="1801"/>
      <c r="G36" s="1801"/>
      <c r="H36" s="1801"/>
      <c r="I36" s="1800"/>
      <c r="J36" s="1800"/>
      <c r="L36" s="1801"/>
    </row>
    <row r="37" spans="2:12" s="1802" customFormat="1" ht="17" customHeight="1">
      <c r="B37" s="1800"/>
      <c r="C37" s="1801"/>
      <c r="D37" s="1801"/>
      <c r="E37" s="1801"/>
      <c r="F37" s="1801"/>
      <c r="G37" s="1801"/>
      <c r="H37" s="1801"/>
      <c r="I37" s="1800"/>
      <c r="J37" s="1800"/>
      <c r="L37" s="1801"/>
    </row>
    <row r="38" spans="2:12" s="1802" customFormat="1" ht="17" customHeight="1">
      <c r="B38" s="1800"/>
      <c r="C38" s="1801"/>
      <c r="D38" s="1801"/>
      <c r="E38" s="1801"/>
      <c r="F38" s="1801"/>
      <c r="G38" s="1801"/>
      <c r="H38" s="1801"/>
      <c r="I38" s="1800"/>
      <c r="J38" s="1800"/>
      <c r="L38" s="1801"/>
    </row>
    <row r="39" spans="2:12" s="1802" customFormat="1" ht="17" customHeight="1">
      <c r="B39" s="1800"/>
      <c r="C39" s="1801"/>
      <c r="D39" s="1801"/>
      <c r="E39" s="1801"/>
      <c r="F39" s="1801"/>
      <c r="G39" s="1801"/>
      <c r="H39" s="1801"/>
      <c r="I39" s="1800"/>
      <c r="J39" s="1800"/>
      <c r="L39" s="1801"/>
    </row>
    <row r="40" spans="2:12" s="1802" customFormat="1" ht="17" customHeight="1">
      <c r="B40" s="1800"/>
      <c r="C40" s="1801"/>
      <c r="D40" s="1801"/>
      <c r="E40" s="1801"/>
      <c r="F40" s="1801"/>
      <c r="G40" s="1801"/>
      <c r="H40" s="1801"/>
      <c r="I40" s="1800"/>
      <c r="J40" s="1800"/>
      <c r="L40" s="1801"/>
    </row>
    <row r="41" spans="2:12" s="1802" customFormat="1" ht="17" customHeight="1">
      <c r="B41" s="1800"/>
      <c r="C41" s="1801"/>
      <c r="D41" s="1801"/>
      <c r="E41" s="1801"/>
      <c r="F41" s="1801"/>
      <c r="G41" s="1801"/>
      <c r="H41" s="1801"/>
      <c r="I41" s="1800"/>
      <c r="J41" s="1800"/>
      <c r="L41" s="1801"/>
    </row>
    <row r="42" spans="2:12" s="1802" customFormat="1" ht="17" customHeight="1">
      <c r="B42" s="1800"/>
      <c r="C42" s="1801"/>
      <c r="D42" s="1801"/>
      <c r="E42" s="1801"/>
      <c r="F42" s="1801"/>
      <c r="G42" s="1801"/>
      <c r="H42" s="1801"/>
      <c r="I42" s="1800"/>
      <c r="J42" s="1800"/>
      <c r="L42" s="1801"/>
    </row>
    <row r="43" spans="2:12" s="1802" customFormat="1" ht="17" customHeight="1">
      <c r="B43" s="1800"/>
      <c r="C43" s="1801"/>
      <c r="D43" s="1801"/>
      <c r="E43" s="1801"/>
      <c r="F43" s="1801"/>
      <c r="G43" s="1801"/>
      <c r="H43" s="1801"/>
      <c r="I43" s="1800"/>
      <c r="J43" s="1800"/>
      <c r="L43" s="1801"/>
    </row>
    <row r="44" spans="2:12" s="1802" customFormat="1" ht="17" customHeight="1">
      <c r="B44" s="1800"/>
      <c r="C44" s="1801"/>
      <c r="D44" s="1801"/>
      <c r="E44" s="1801"/>
      <c r="F44" s="1801"/>
      <c r="G44" s="1801"/>
      <c r="H44" s="1801"/>
      <c r="I44" s="1800"/>
      <c r="J44" s="1800"/>
      <c r="L44" s="1801"/>
    </row>
    <row r="45" spans="2:12" s="1802" customFormat="1" ht="17" customHeight="1">
      <c r="B45" s="1800"/>
      <c r="C45" s="1801"/>
      <c r="D45" s="1801"/>
      <c r="E45" s="1801"/>
      <c r="F45" s="1801"/>
      <c r="G45" s="1801"/>
      <c r="H45" s="1801"/>
      <c r="I45" s="1800"/>
      <c r="J45" s="1800"/>
      <c r="L45" s="1801"/>
    </row>
    <row r="46" spans="2:12" ht="17" customHeight="1"/>
    <row r="47" spans="2:12" ht="17" customHeight="1"/>
    <row r="48" spans="2:12" ht="17" customHeight="1"/>
    <row r="49" spans="3:11" ht="17" customHeight="1"/>
    <row r="50" spans="3:11" ht="17" customHeight="1"/>
    <row r="51" spans="3:11" ht="17" customHeight="1"/>
    <row r="52" spans="3:11" s="1800" customFormat="1" ht="17" customHeight="1">
      <c r="C52" s="1801"/>
      <c r="D52" s="1801"/>
      <c r="E52" s="1801"/>
      <c r="F52" s="1801"/>
      <c r="G52" s="1801"/>
      <c r="H52" s="1801"/>
      <c r="K52" s="1802"/>
    </row>
    <row r="53" spans="3:11" s="1800" customFormat="1" ht="17" customHeight="1">
      <c r="C53" s="1801"/>
      <c r="D53" s="1801"/>
      <c r="E53" s="1801"/>
      <c r="F53" s="1801"/>
      <c r="G53" s="1801"/>
      <c r="H53" s="1801"/>
      <c r="K53" s="1802"/>
    </row>
    <row r="54" spans="3:11" s="1800" customFormat="1" ht="17" customHeight="1">
      <c r="C54" s="1801"/>
      <c r="D54" s="1801"/>
      <c r="E54" s="1801"/>
      <c r="F54" s="1801"/>
      <c r="G54" s="1801"/>
      <c r="H54" s="1801"/>
      <c r="K54" s="1802"/>
    </row>
    <row r="55" spans="3:11" s="1800" customFormat="1" ht="17" customHeight="1">
      <c r="C55" s="1801"/>
      <c r="D55" s="1801"/>
      <c r="E55" s="1801"/>
      <c r="F55" s="1801"/>
      <c r="G55" s="1801"/>
      <c r="H55" s="1801"/>
      <c r="K55" s="1802"/>
    </row>
    <row r="56" spans="3:11" s="1800" customFormat="1" ht="17" customHeight="1">
      <c r="C56" s="1801"/>
      <c r="D56" s="1801"/>
      <c r="E56" s="1801"/>
      <c r="F56" s="1801"/>
      <c r="G56" s="1801"/>
      <c r="H56" s="1801"/>
      <c r="K56" s="1802"/>
    </row>
    <row r="57" spans="3:11" s="1800" customFormat="1" ht="17" customHeight="1">
      <c r="C57" s="1801"/>
      <c r="D57" s="1801"/>
      <c r="E57" s="1801"/>
      <c r="F57" s="1801"/>
      <c r="G57" s="1801"/>
      <c r="H57" s="1801"/>
      <c r="K57" s="1802"/>
    </row>
    <row r="58" spans="3:11" s="1800" customFormat="1" ht="17" customHeight="1">
      <c r="C58" s="1801"/>
      <c r="D58" s="1801"/>
      <c r="E58" s="1801"/>
      <c r="F58" s="1801"/>
      <c r="G58" s="1801"/>
      <c r="H58" s="1801"/>
      <c r="K58" s="1802"/>
    </row>
    <row r="59" spans="3:11" s="1800" customFormat="1" ht="17" customHeight="1">
      <c r="C59" s="1801"/>
      <c r="D59" s="1801"/>
      <c r="E59" s="1801"/>
      <c r="F59" s="1801"/>
      <c r="G59" s="1801"/>
      <c r="H59" s="1801"/>
      <c r="K59" s="1802"/>
    </row>
    <row r="60" spans="3:11" s="1800" customFormat="1" ht="17" customHeight="1">
      <c r="C60" s="1801"/>
      <c r="D60" s="1801"/>
      <c r="E60" s="1801"/>
      <c r="F60" s="1801"/>
      <c r="G60" s="1801"/>
      <c r="H60" s="1801"/>
      <c r="K60" s="1802"/>
    </row>
    <row r="61" spans="3:11" s="1800" customFormat="1" ht="17" customHeight="1">
      <c r="C61" s="1801"/>
      <c r="D61" s="1801"/>
      <c r="E61" s="1801"/>
      <c r="F61" s="1801"/>
      <c r="G61" s="1801"/>
      <c r="H61" s="1801"/>
      <c r="K61" s="1802"/>
    </row>
    <row r="62" spans="3:11" s="1800" customFormat="1" ht="17" customHeight="1">
      <c r="C62" s="1801"/>
      <c r="D62" s="1801"/>
      <c r="E62" s="1801"/>
      <c r="F62" s="1801"/>
      <c r="G62" s="1801"/>
      <c r="H62" s="1801"/>
      <c r="K62" s="1802"/>
    </row>
    <row r="63" spans="3:11" s="1800" customFormat="1" ht="17" customHeight="1">
      <c r="C63" s="1801"/>
      <c r="D63" s="1801"/>
      <c r="E63" s="1801"/>
      <c r="F63" s="1801"/>
      <c r="G63" s="1801"/>
      <c r="H63" s="1801"/>
      <c r="K63" s="1802"/>
    </row>
    <row r="64" spans="3:11" s="1800" customFormat="1" ht="17" customHeight="1">
      <c r="C64" s="1801"/>
      <c r="D64" s="1801"/>
      <c r="E64" s="1801"/>
      <c r="F64" s="1801"/>
      <c r="G64" s="1801"/>
      <c r="H64" s="1801"/>
      <c r="K64" s="1802"/>
    </row>
    <row r="65" spans="3:11" s="1800" customFormat="1" ht="17" customHeight="1">
      <c r="C65" s="1801"/>
      <c r="D65" s="1801"/>
      <c r="E65" s="1801"/>
      <c r="F65" s="1801"/>
      <c r="G65" s="1801"/>
      <c r="H65" s="1801"/>
      <c r="K65" s="1802"/>
    </row>
    <row r="66" spans="3:11" s="1800" customFormat="1" ht="17" customHeight="1">
      <c r="C66" s="1801"/>
      <c r="D66" s="1801"/>
      <c r="E66" s="1801"/>
      <c r="F66" s="1801"/>
      <c r="G66" s="1801"/>
      <c r="H66" s="1801"/>
      <c r="K66" s="1802"/>
    </row>
    <row r="67" spans="3:11" s="1800" customFormat="1" ht="17" customHeight="1">
      <c r="C67" s="1801"/>
      <c r="D67" s="1801"/>
      <c r="E67" s="1801"/>
      <c r="F67" s="1801"/>
      <c r="G67" s="1801"/>
      <c r="H67" s="1801"/>
      <c r="K67" s="1802"/>
    </row>
    <row r="68" spans="3:11" s="1800" customFormat="1" ht="17" customHeight="1">
      <c r="C68" s="1801"/>
      <c r="D68" s="1801"/>
      <c r="E68" s="1801"/>
      <c r="F68" s="1801"/>
      <c r="G68" s="1801"/>
      <c r="H68" s="1801"/>
      <c r="K68" s="1802"/>
    </row>
    <row r="69" spans="3:11" s="1800" customFormat="1" ht="17" customHeight="1">
      <c r="C69" s="1801"/>
      <c r="D69" s="1801"/>
      <c r="E69" s="1801"/>
      <c r="F69" s="1801"/>
      <c r="G69" s="1801"/>
      <c r="H69" s="1801"/>
      <c r="K69" s="1802"/>
    </row>
    <row r="70" spans="3:11" s="1800" customFormat="1" ht="17" customHeight="1">
      <c r="C70" s="1801"/>
      <c r="D70" s="1801"/>
      <c r="E70" s="1801"/>
      <c r="F70" s="1801"/>
      <c r="G70" s="1801"/>
      <c r="H70" s="1801"/>
      <c r="K70" s="1802"/>
    </row>
  </sheetData>
  <sheetProtection algorithmName="SHA-512" hashValue="sL+L4UOZahgHs8JVKpn5ysop7biBlHC4KLQpeMQ7J1Num4ZtRIfE8bcZ1eInzukYW7C/QDxBc/47R1uS92Kyjg==" saltValue="SOhD2t609ntVT/ehUCXWFw==" spinCount="100000" sheet="1" objects="1" scenarios="1" selectLockedCells="1"/>
  <mergeCells count="8">
    <mergeCell ref="I8:K8"/>
    <mergeCell ref="C10:H10"/>
    <mergeCell ref="C17:H17"/>
    <mergeCell ref="C23:H23"/>
    <mergeCell ref="F3:H3"/>
    <mergeCell ref="B8:B9"/>
    <mergeCell ref="C8:C9"/>
    <mergeCell ref="E8:H8"/>
  </mergeCells>
  <conditionalFormatting sqref="I35:J35">
    <cfRule type="cellIs" dxfId="20" priority="1" operator="equal">
      <formula>"Yes"</formula>
    </cfRule>
    <cfRule type="cellIs" dxfId="19" priority="2" operator="equal">
      <formula>"No"</formula>
    </cfRule>
  </conditionalFormatting>
  <dataValidations count="1">
    <dataValidation type="whole" allowBlank="1" showInputMessage="1" showErrorMessage="1" sqref="I11:J14 I18:J20 I24:J26" xr:uid="{00000000-0002-0000-55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9F04D-5B4B-4B41-835A-990BFECC88BF}">
  <sheetPr codeName="Support_Sheet96">
    <tabColor theme="2" tint="-9.9948118533890809E-2"/>
  </sheetPr>
  <dimension ref="B2:L70"/>
  <sheetViews>
    <sheetView showGridLines="0" showZeros="0" zoomScale="90" zoomScaleNormal="90" workbookViewId="0">
      <pane xSplit="8" ySplit="9" topLeftCell="I19" activePane="bottomRight" state="frozenSplit"/>
      <selection activeCell="C6" sqref="C6"/>
      <selection pane="topRight" activeCell="C6" sqref="C6"/>
      <selection pane="bottomLeft" activeCell="C6" sqref="C6"/>
      <selection pane="bottomRight" activeCell="C6" sqref="C6"/>
    </sheetView>
  </sheetViews>
  <sheetFormatPr baseColWidth="10" defaultColWidth="10" defaultRowHeight="11"/>
  <cols>
    <col min="1" max="1" width="2.6640625" style="1801" customWidth="1"/>
    <col min="2" max="2" width="5.5" style="1800" customWidth="1"/>
    <col min="3" max="3" width="13" style="1801" customWidth="1"/>
    <col min="4" max="4" width="46.33203125" style="1801" customWidth="1"/>
    <col min="5" max="8" width="26.5" style="1801" customWidth="1"/>
    <col min="9" max="10" width="9.6640625" style="1800" customWidth="1"/>
    <col min="11" max="11" width="55.1640625" style="1802" customWidth="1"/>
    <col min="12" max="12" width="9.6640625" style="1801" customWidth="1"/>
    <col min="13" max="16384" width="10" style="1801"/>
  </cols>
  <sheetData>
    <row r="2" spans="2:11" s="1795" customFormat="1" ht="20" customHeight="1">
      <c r="B2" s="1790"/>
      <c r="C2" s="1791" t="s">
        <v>688</v>
      </c>
      <c r="D2" s="1791"/>
      <c r="E2" s="1792"/>
      <c r="F2" s="1791" t="s">
        <v>689</v>
      </c>
      <c r="G2" s="1793"/>
      <c r="H2" s="1792"/>
      <c r="I2" s="1792"/>
      <c r="J2" s="1792"/>
      <c r="K2" s="1794"/>
    </row>
    <row r="3" spans="2:11" s="1795" customFormat="1" ht="20" customHeight="1">
      <c r="B3" s="1790"/>
      <c r="C3" s="1796" t="s">
        <v>4109</v>
      </c>
      <c r="D3" s="1796"/>
      <c r="E3" s="1792"/>
      <c r="F3" s="2543" t="s">
        <v>4108</v>
      </c>
      <c r="G3" s="2543"/>
      <c r="H3" s="2543"/>
      <c r="I3" s="1798" t="str">
        <f>IF(LEN(F3)&lt;3,"Please complete cover sheet","")</f>
        <v/>
      </c>
      <c r="J3" s="1799"/>
    </row>
    <row r="4" spans="2:11" s="1795" customFormat="1" ht="20" customHeight="1">
      <c r="B4" s="1790"/>
      <c r="C4" s="1796"/>
      <c r="D4" s="1796"/>
      <c r="E4" s="1792"/>
      <c r="F4" s="1797"/>
      <c r="G4" s="1797"/>
      <c r="H4" s="1797"/>
      <c r="I4" s="1798"/>
      <c r="J4" s="1799"/>
    </row>
    <row r="5" spans="2:11" s="1795" customFormat="1" ht="20" customHeight="1">
      <c r="B5" s="1790"/>
      <c r="C5" s="1796"/>
      <c r="D5" s="1796"/>
      <c r="E5" s="1792"/>
      <c r="F5" s="1797"/>
      <c r="G5" s="1797"/>
      <c r="H5" s="1797"/>
      <c r="I5" s="1798"/>
      <c r="J5" s="1799"/>
    </row>
    <row r="6" spans="2:11" s="1795" customFormat="1" ht="20" customHeight="1">
      <c r="B6" s="1790"/>
      <c r="C6" s="1796"/>
      <c r="D6" s="1796"/>
      <c r="E6" s="1792"/>
      <c r="F6" s="1797"/>
      <c r="G6" s="1797"/>
      <c r="H6" s="1797"/>
      <c r="I6" s="1798"/>
      <c r="J6" s="1799"/>
    </row>
    <row r="7" spans="2:11" ht="15" customHeight="1"/>
    <row r="8" spans="2:11" s="1804" customFormat="1" ht="22.25" customHeight="1">
      <c r="B8" s="2544" t="s">
        <v>294</v>
      </c>
      <c r="C8" s="2544" t="s">
        <v>295</v>
      </c>
      <c r="D8" s="1803"/>
      <c r="E8" s="2546" t="s">
        <v>296</v>
      </c>
      <c r="F8" s="2546"/>
      <c r="G8" s="2546"/>
      <c r="H8" s="2546"/>
      <c r="I8" s="2547" t="s">
        <v>307</v>
      </c>
      <c r="J8" s="2548"/>
      <c r="K8" s="2549"/>
    </row>
    <row r="9" spans="2:11" s="1804" customFormat="1" ht="30" customHeight="1">
      <c r="B9" s="2545"/>
      <c r="C9" s="2545"/>
      <c r="D9" s="1805"/>
      <c r="E9" s="1806" t="s">
        <v>297</v>
      </c>
      <c r="F9" s="1806" t="s">
        <v>298</v>
      </c>
      <c r="G9" s="1806" t="s">
        <v>299</v>
      </c>
      <c r="H9" s="1806" t="s">
        <v>300</v>
      </c>
      <c r="I9" s="1807" t="s">
        <v>12</v>
      </c>
      <c r="J9" s="1808" t="s">
        <v>288</v>
      </c>
      <c r="K9" s="1808" t="s">
        <v>301</v>
      </c>
    </row>
    <row r="10" spans="2:11" ht="30" customHeight="1">
      <c r="B10" s="1809">
        <v>1</v>
      </c>
      <c r="C10" s="2540" t="s">
        <v>586</v>
      </c>
      <c r="D10" s="2541"/>
      <c r="E10" s="2541"/>
      <c r="F10" s="2541"/>
      <c r="G10" s="2541"/>
      <c r="H10" s="2542"/>
      <c r="K10" s="1810"/>
    </row>
    <row r="11" spans="2:11" ht="60">
      <c r="B11" s="1811">
        <f>B10+0.1</f>
        <v>1.1000000000000001</v>
      </c>
      <c r="C11" s="1812" t="s">
        <v>598</v>
      </c>
      <c r="D11" s="1812" t="s">
        <v>597</v>
      </c>
      <c r="E11" s="1813" t="s">
        <v>596</v>
      </c>
      <c r="F11" s="1813" t="s">
        <v>595</v>
      </c>
      <c r="G11" s="1813" t="s">
        <v>594</v>
      </c>
      <c r="H11" s="1813" t="s">
        <v>593</v>
      </c>
      <c r="I11" s="1814">
        <v>4</v>
      </c>
      <c r="J11" s="1814">
        <v>4</v>
      </c>
      <c r="K11" s="1815"/>
    </row>
    <row r="12" spans="2:11" ht="48">
      <c r="B12" s="1811">
        <f>B11+0.1</f>
        <v>1.2000000000000002</v>
      </c>
      <c r="C12" s="1812" t="s">
        <v>592</v>
      </c>
      <c r="D12" s="1812" t="s">
        <v>591</v>
      </c>
      <c r="E12" s="1813" t="s">
        <v>590</v>
      </c>
      <c r="F12" s="1813" t="s">
        <v>589</v>
      </c>
      <c r="G12" s="1813" t="s">
        <v>588</v>
      </c>
      <c r="H12" s="1813" t="s">
        <v>587</v>
      </c>
      <c r="I12" s="1814">
        <v>4</v>
      </c>
      <c r="J12" s="1814">
        <v>4</v>
      </c>
      <c r="K12" s="1815"/>
    </row>
    <row r="13" spans="2:11" ht="48">
      <c r="B13" s="1811">
        <f>B12+0.1</f>
        <v>1.3000000000000003</v>
      </c>
      <c r="C13" s="1812" t="s">
        <v>585</v>
      </c>
      <c r="D13" s="1812" t="s">
        <v>584</v>
      </c>
      <c r="E13" s="1813" t="s">
        <v>583</v>
      </c>
      <c r="F13" s="1813" t="s">
        <v>582</v>
      </c>
      <c r="G13" s="1813" t="s">
        <v>581</v>
      </c>
      <c r="H13" s="1813" t="s">
        <v>580</v>
      </c>
      <c r="I13" s="1814">
        <v>3</v>
      </c>
      <c r="J13" s="1814">
        <v>3</v>
      </c>
      <c r="K13" s="1815"/>
    </row>
    <row r="14" spans="2:11" ht="48">
      <c r="B14" s="1811">
        <f>B13+0.1</f>
        <v>1.4000000000000004</v>
      </c>
      <c r="C14" s="1812" t="s">
        <v>579</v>
      </c>
      <c r="D14" s="1812" t="s">
        <v>578</v>
      </c>
      <c r="E14" s="1813" t="s">
        <v>577</v>
      </c>
      <c r="F14" s="1813" t="s">
        <v>576</v>
      </c>
      <c r="G14" s="1813" t="s">
        <v>575</v>
      </c>
      <c r="H14" s="1813" t="s">
        <v>574</v>
      </c>
      <c r="I14" s="1814">
        <v>3</v>
      </c>
      <c r="J14" s="1814">
        <v>3</v>
      </c>
      <c r="K14" s="1815"/>
    </row>
    <row r="15" spans="2:11" s="1816" customFormat="1" ht="24" customHeight="1">
      <c r="H15" s="1816" t="s">
        <v>302</v>
      </c>
      <c r="I15" s="1817">
        <f>IF(SUM(I11:I14)=0,"",ROUNDDOWN(AVERAGE(I11:I14),1))</f>
        <v>3.5</v>
      </c>
      <c r="J15" s="1817">
        <f>IF(SUM(J11:J14)=0,"",ROUNDDOWN(AVERAGE(J11:J14),1))</f>
        <v>3.5</v>
      </c>
      <c r="K15" s="1818"/>
    </row>
    <row r="16" spans="2:11">
      <c r="C16" s="1802"/>
      <c r="D16" s="1802"/>
      <c r="E16" s="1819"/>
      <c r="F16" s="1819"/>
      <c r="G16" s="1819"/>
      <c r="H16" s="1819"/>
    </row>
    <row r="17" spans="2:11" ht="30" customHeight="1">
      <c r="B17" s="1809">
        <v>2</v>
      </c>
      <c r="C17" s="2540" t="s">
        <v>567</v>
      </c>
      <c r="D17" s="2541"/>
      <c r="E17" s="2541"/>
      <c r="F17" s="2541"/>
      <c r="G17" s="2541"/>
      <c r="H17" s="2542"/>
    </row>
    <row r="18" spans="2:11" ht="36">
      <c r="B18" s="1811">
        <f>B17+0.1</f>
        <v>2.1</v>
      </c>
      <c r="C18" s="1812" t="s">
        <v>573</v>
      </c>
      <c r="D18" s="1812" t="s">
        <v>572</v>
      </c>
      <c r="E18" s="1820" t="s">
        <v>571</v>
      </c>
      <c r="F18" s="1820" t="s">
        <v>570</v>
      </c>
      <c r="G18" s="1820" t="s">
        <v>569</v>
      </c>
      <c r="H18" s="1820" t="s">
        <v>568</v>
      </c>
      <c r="I18" s="1814">
        <v>4</v>
      </c>
      <c r="J18" s="1814">
        <v>4</v>
      </c>
      <c r="K18" s="1815"/>
    </row>
    <row r="19" spans="2:11" ht="96">
      <c r="B19" s="1811">
        <f>B18+0.1</f>
        <v>2.2000000000000002</v>
      </c>
      <c r="C19" s="1812" t="s">
        <v>566</v>
      </c>
      <c r="D19" s="1812" t="s">
        <v>565</v>
      </c>
      <c r="E19" s="1820" t="s">
        <v>564</v>
      </c>
      <c r="F19" s="1820" t="s">
        <v>601</v>
      </c>
      <c r="G19" s="1820" t="s">
        <v>563</v>
      </c>
      <c r="H19" s="1820" t="s">
        <v>562</v>
      </c>
      <c r="I19" s="1814">
        <v>4</v>
      </c>
      <c r="J19" s="1814">
        <v>3</v>
      </c>
      <c r="K19" s="1815"/>
    </row>
    <row r="20" spans="2:11" ht="48">
      <c r="B20" s="1811">
        <f>B19+0.1</f>
        <v>2.3000000000000003</v>
      </c>
      <c r="C20" s="1812" t="s">
        <v>561</v>
      </c>
      <c r="D20" s="1812" t="s">
        <v>560</v>
      </c>
      <c r="E20" s="1813" t="s">
        <v>559</v>
      </c>
      <c r="F20" s="1813" t="s">
        <v>558</v>
      </c>
      <c r="G20" s="1813" t="s">
        <v>557</v>
      </c>
      <c r="H20" s="1813" t="s">
        <v>556</v>
      </c>
      <c r="I20" s="1814">
        <v>3</v>
      </c>
      <c r="J20" s="1814">
        <v>3</v>
      </c>
      <c r="K20" s="1815"/>
    </row>
    <row r="21" spans="2:11" s="1816" customFormat="1" ht="24" customHeight="1">
      <c r="H21" s="1816" t="s">
        <v>302</v>
      </c>
      <c r="I21" s="1817">
        <f>IF(SUM(I18:I20)=0,"",ROUNDDOWN(AVERAGE(I18:I20),1))</f>
        <v>3.6</v>
      </c>
      <c r="J21" s="1817">
        <f>IF(SUM(J18:J20)=0,"",ROUNDDOWN(AVERAGE(J18:J20),1))</f>
        <v>3.3</v>
      </c>
      <c r="K21" s="1818"/>
    </row>
    <row r="22" spans="2:11">
      <c r="C22" s="1802"/>
      <c r="D22" s="1802"/>
      <c r="E22" s="1819"/>
      <c r="F22" s="1819"/>
      <c r="G22" s="1819"/>
      <c r="H22" s="1819"/>
    </row>
    <row r="23" spans="2:11" ht="30" customHeight="1">
      <c r="B23" s="1809">
        <v>3</v>
      </c>
      <c r="C23" s="2540" t="s">
        <v>549</v>
      </c>
      <c r="D23" s="2541"/>
      <c r="E23" s="2541"/>
      <c r="F23" s="2541"/>
      <c r="G23" s="2541"/>
      <c r="H23" s="2542"/>
    </row>
    <row r="24" spans="2:11" ht="72">
      <c r="B24" s="1811">
        <f>B23+0.1</f>
        <v>3.1</v>
      </c>
      <c r="C24" s="1821" t="s">
        <v>555</v>
      </c>
      <c r="D24" s="1821" t="s">
        <v>554</v>
      </c>
      <c r="E24" s="1820" t="s">
        <v>553</v>
      </c>
      <c r="F24" s="1820" t="s">
        <v>552</v>
      </c>
      <c r="G24" s="1820" t="s">
        <v>551</v>
      </c>
      <c r="H24" s="1820" t="s">
        <v>550</v>
      </c>
      <c r="I24" s="1814">
        <v>2</v>
      </c>
      <c r="J24" s="1814">
        <v>3</v>
      </c>
      <c r="K24" s="1815"/>
    </row>
    <row r="25" spans="2:11" ht="60">
      <c r="B25" s="1811">
        <f>B24+0.1</f>
        <v>3.2</v>
      </c>
      <c r="C25" s="1812" t="s">
        <v>548</v>
      </c>
      <c r="D25" s="1812" t="s">
        <v>547</v>
      </c>
      <c r="E25" s="1820" t="s">
        <v>546</v>
      </c>
      <c r="F25" s="1820" t="s">
        <v>545</v>
      </c>
      <c r="G25" s="1820" t="s">
        <v>544</v>
      </c>
      <c r="H25" s="1820" t="s">
        <v>543</v>
      </c>
      <c r="I25" s="1814">
        <v>4</v>
      </c>
      <c r="J25" s="1814">
        <v>3</v>
      </c>
      <c r="K25" s="1815"/>
    </row>
    <row r="26" spans="2:11" ht="48">
      <c r="B26" s="1811">
        <f>B25+0.1</f>
        <v>3.3000000000000003</v>
      </c>
      <c r="C26" s="1812" t="s">
        <v>542</v>
      </c>
      <c r="D26" s="1812" t="s">
        <v>541</v>
      </c>
      <c r="E26" s="1820" t="s">
        <v>540</v>
      </c>
      <c r="F26" s="1820" t="s">
        <v>539</v>
      </c>
      <c r="G26" s="1820" t="s">
        <v>538</v>
      </c>
      <c r="H26" s="1820" t="s">
        <v>537</v>
      </c>
      <c r="I26" s="1814">
        <v>3</v>
      </c>
      <c r="J26" s="1814">
        <v>3</v>
      </c>
      <c r="K26" s="1815"/>
    </row>
    <row r="27" spans="2:11" s="1816" customFormat="1" ht="24" customHeight="1">
      <c r="H27" s="1816" t="s">
        <v>302</v>
      </c>
      <c r="I27" s="1817">
        <f>IF(SUM(I24:I26)=0,"",ROUNDDOWN(AVERAGE(I24:I26),1))</f>
        <v>3</v>
      </c>
      <c r="J27" s="1817">
        <f>IF(SUM(J24:J26)=0,"",ROUNDDOWN(AVERAGE(J24:J26),1))</f>
        <v>3</v>
      </c>
      <c r="K27" s="1818"/>
    </row>
    <row r="28" spans="2:11">
      <c r="C28" s="1802"/>
      <c r="D28" s="1802"/>
      <c r="E28" s="1819"/>
      <c r="F28" s="1819"/>
      <c r="G28" s="1819"/>
      <c r="H28" s="1819"/>
    </row>
    <row r="29" spans="2:11" ht="17" customHeight="1"/>
    <row r="30" spans="2:11" ht="17" customHeight="1">
      <c r="F30" s="1804" t="s">
        <v>304</v>
      </c>
    </row>
    <row r="31" spans="2:11" ht="17" customHeight="1">
      <c r="G31" s="1822" t="s">
        <v>305</v>
      </c>
      <c r="H31" s="1800">
        <v>1</v>
      </c>
      <c r="I31" s="1823">
        <f>IF(I15="","",I15)</f>
        <v>3.5</v>
      </c>
      <c r="J31" s="1823">
        <f>IF(J15="","",J15)</f>
        <v>3.5</v>
      </c>
    </row>
    <row r="32" spans="2:11" ht="17" customHeight="1">
      <c r="G32" s="1822" t="s">
        <v>305</v>
      </c>
      <c r="H32" s="1800">
        <f>1+H31</f>
        <v>2</v>
      </c>
      <c r="I32" s="1824">
        <f>IF(I21="","",I21)</f>
        <v>3.6</v>
      </c>
      <c r="J32" s="1824">
        <f>IF(J21="","",J21)</f>
        <v>3.3</v>
      </c>
    </row>
    <row r="33" spans="2:12" ht="17" customHeight="1">
      <c r="G33" s="1822" t="s">
        <v>305</v>
      </c>
      <c r="H33" s="1800">
        <f>1+H32</f>
        <v>3</v>
      </c>
      <c r="I33" s="1824">
        <f>IF(I27="","",I27)</f>
        <v>3</v>
      </c>
      <c r="J33" s="1824">
        <f>IF(J27="","",J27)</f>
        <v>3</v>
      </c>
    </row>
    <row r="34" spans="2:12" s="1802" customFormat="1" ht="17" customHeight="1">
      <c r="B34" s="1800"/>
      <c r="C34" s="1801"/>
      <c r="D34" s="1801"/>
      <c r="E34" s="1801"/>
      <c r="F34" s="1801"/>
      <c r="G34" s="1801"/>
      <c r="H34" s="1816" t="s">
        <v>306</v>
      </c>
      <c r="I34" s="1824">
        <f>SUM(I11:I14)+SUM(I18:I20)+SUM(I24:I26)</f>
        <v>34</v>
      </c>
      <c r="J34" s="1824">
        <f>SUM(J11:J14)+SUM(J18:J20)+SUM(J24:J26)</f>
        <v>33</v>
      </c>
      <c r="L34" s="1801"/>
    </row>
    <row r="35" spans="2:12" s="1802" customFormat="1" ht="17" customHeight="1">
      <c r="B35" s="1800"/>
      <c r="C35" s="1801"/>
      <c r="D35" s="1801"/>
      <c r="E35" s="1801"/>
      <c r="F35" s="1801"/>
      <c r="G35" s="1801"/>
      <c r="H35" s="1816"/>
      <c r="I35" s="1825"/>
      <c r="J35" s="1825"/>
      <c r="L35" s="1801"/>
    </row>
    <row r="36" spans="2:12" s="1802" customFormat="1" ht="17" customHeight="1">
      <c r="B36" s="1800"/>
      <c r="C36" s="1826" t="s">
        <v>600</v>
      </c>
      <c r="D36" s="1826"/>
      <c r="E36" s="1801"/>
      <c r="F36" s="1801"/>
      <c r="G36" s="1801"/>
      <c r="H36" s="1801"/>
      <c r="I36" s="1800"/>
      <c r="J36" s="1800"/>
      <c r="L36" s="1801"/>
    </row>
    <row r="37" spans="2:12" s="1802" customFormat="1" ht="17" customHeight="1">
      <c r="B37" s="1800"/>
      <c r="C37" s="1801"/>
      <c r="D37" s="1801"/>
      <c r="E37" s="1801"/>
      <c r="F37" s="1801"/>
      <c r="G37" s="1801"/>
      <c r="H37" s="1801"/>
      <c r="I37" s="1800"/>
      <c r="J37" s="1800"/>
      <c r="L37" s="1801"/>
    </row>
    <row r="38" spans="2:12" s="1802" customFormat="1" ht="17" customHeight="1">
      <c r="B38" s="1800"/>
      <c r="C38" s="1801"/>
      <c r="D38" s="1801"/>
      <c r="E38" s="1801"/>
      <c r="F38" s="1801"/>
      <c r="G38" s="1801"/>
      <c r="H38" s="1801"/>
      <c r="I38" s="1800"/>
      <c r="J38" s="1800"/>
      <c r="L38" s="1801"/>
    </row>
    <row r="39" spans="2:12" s="1802" customFormat="1" ht="17" customHeight="1">
      <c r="B39" s="1800"/>
      <c r="C39" s="1801"/>
      <c r="D39" s="1801"/>
      <c r="E39" s="1801"/>
      <c r="F39" s="1801"/>
      <c r="G39" s="1801"/>
      <c r="H39" s="1801"/>
      <c r="I39" s="1800"/>
      <c r="J39" s="1800"/>
      <c r="L39" s="1801"/>
    </row>
    <row r="40" spans="2:12" s="1802" customFormat="1" ht="17" customHeight="1">
      <c r="B40" s="1800"/>
      <c r="C40" s="1801"/>
      <c r="D40" s="1801"/>
      <c r="E40" s="1801"/>
      <c r="F40" s="1801"/>
      <c r="G40" s="1801"/>
      <c r="H40" s="1801"/>
      <c r="I40" s="1800"/>
      <c r="J40" s="1800"/>
      <c r="L40" s="1801"/>
    </row>
    <row r="41" spans="2:12" s="1802" customFormat="1" ht="17" customHeight="1">
      <c r="B41" s="1800"/>
      <c r="C41" s="1801"/>
      <c r="D41" s="1801"/>
      <c r="E41" s="1801"/>
      <c r="F41" s="1801"/>
      <c r="G41" s="1801"/>
      <c r="H41" s="1801"/>
      <c r="I41" s="1800"/>
      <c r="J41" s="1800"/>
      <c r="L41" s="1801"/>
    </row>
    <row r="42" spans="2:12" s="1802" customFormat="1" ht="17" customHeight="1">
      <c r="B42" s="1800"/>
      <c r="C42" s="1801"/>
      <c r="D42" s="1801"/>
      <c r="E42" s="1801"/>
      <c r="F42" s="1801"/>
      <c r="G42" s="1801"/>
      <c r="H42" s="1801"/>
      <c r="I42" s="1800"/>
      <c r="J42" s="1800"/>
      <c r="L42" s="1801"/>
    </row>
    <row r="43" spans="2:12" s="1802" customFormat="1" ht="17" customHeight="1">
      <c r="B43" s="1800"/>
      <c r="C43" s="1801"/>
      <c r="D43" s="1801"/>
      <c r="E43" s="1801"/>
      <c r="F43" s="1801"/>
      <c r="G43" s="1801"/>
      <c r="H43" s="1801"/>
      <c r="I43" s="1800"/>
      <c r="J43" s="1800"/>
      <c r="L43" s="1801"/>
    </row>
    <row r="44" spans="2:12" s="1802" customFormat="1" ht="17" customHeight="1">
      <c r="B44" s="1800"/>
      <c r="C44" s="1801"/>
      <c r="D44" s="1801"/>
      <c r="E44" s="1801"/>
      <c r="F44" s="1801"/>
      <c r="G44" s="1801"/>
      <c r="H44" s="1801"/>
      <c r="I44" s="1800"/>
      <c r="J44" s="1800"/>
      <c r="L44" s="1801"/>
    </row>
    <row r="45" spans="2:12" s="1802" customFormat="1" ht="17" customHeight="1">
      <c r="B45" s="1800"/>
      <c r="C45" s="1801"/>
      <c r="D45" s="1801"/>
      <c r="E45" s="1801"/>
      <c r="F45" s="1801"/>
      <c r="G45" s="1801"/>
      <c r="H45" s="1801"/>
      <c r="I45" s="1800"/>
      <c r="J45" s="1800"/>
      <c r="L45" s="1801"/>
    </row>
    <row r="46" spans="2:12" ht="17" customHeight="1"/>
    <row r="47" spans="2:12" ht="17" customHeight="1"/>
    <row r="48" spans="2:12" ht="17" customHeight="1"/>
    <row r="49" spans="3:11" ht="17" customHeight="1"/>
    <row r="50" spans="3:11" ht="17" customHeight="1"/>
    <row r="51" spans="3:11" ht="17" customHeight="1"/>
    <row r="52" spans="3:11" s="1800" customFormat="1" ht="17" customHeight="1">
      <c r="C52" s="1801"/>
      <c r="D52" s="1801"/>
      <c r="E52" s="1801"/>
      <c r="F52" s="1801"/>
      <c r="G52" s="1801"/>
      <c r="H52" s="1801"/>
      <c r="K52" s="1802"/>
    </row>
    <row r="53" spans="3:11" s="1800" customFormat="1" ht="17" customHeight="1">
      <c r="C53" s="1801"/>
      <c r="D53" s="1801"/>
      <c r="E53" s="1801"/>
      <c r="F53" s="1801"/>
      <c r="G53" s="1801"/>
      <c r="H53" s="1801"/>
      <c r="K53" s="1802"/>
    </row>
    <row r="54" spans="3:11" s="1800" customFormat="1" ht="17" customHeight="1">
      <c r="C54" s="1801"/>
      <c r="D54" s="1801"/>
      <c r="E54" s="1801"/>
      <c r="F54" s="1801"/>
      <c r="G54" s="1801"/>
      <c r="H54" s="1801"/>
      <c r="K54" s="1802"/>
    </row>
    <row r="55" spans="3:11" s="1800" customFormat="1" ht="17" customHeight="1">
      <c r="C55" s="1801"/>
      <c r="D55" s="1801"/>
      <c r="E55" s="1801"/>
      <c r="F55" s="1801"/>
      <c r="G55" s="1801"/>
      <c r="H55" s="1801"/>
      <c r="K55" s="1802"/>
    </row>
    <row r="56" spans="3:11" s="1800" customFormat="1" ht="17" customHeight="1">
      <c r="C56" s="1801"/>
      <c r="D56" s="1801"/>
      <c r="E56" s="1801"/>
      <c r="F56" s="1801"/>
      <c r="G56" s="1801"/>
      <c r="H56" s="1801"/>
      <c r="K56" s="1802"/>
    </row>
    <row r="57" spans="3:11" s="1800" customFormat="1" ht="17" customHeight="1">
      <c r="C57" s="1801"/>
      <c r="D57" s="1801"/>
      <c r="E57" s="1801"/>
      <c r="F57" s="1801"/>
      <c r="G57" s="1801"/>
      <c r="H57" s="1801"/>
      <c r="K57" s="1802"/>
    </row>
    <row r="58" spans="3:11" s="1800" customFormat="1" ht="17" customHeight="1">
      <c r="C58" s="1801"/>
      <c r="D58" s="1801"/>
      <c r="E58" s="1801"/>
      <c r="F58" s="1801"/>
      <c r="G58" s="1801"/>
      <c r="H58" s="1801"/>
      <c r="K58" s="1802"/>
    </row>
    <row r="59" spans="3:11" s="1800" customFormat="1" ht="17" customHeight="1">
      <c r="C59" s="1801"/>
      <c r="D59" s="1801"/>
      <c r="E59" s="1801"/>
      <c r="F59" s="1801"/>
      <c r="G59" s="1801"/>
      <c r="H59" s="1801"/>
      <c r="K59" s="1802"/>
    </row>
    <row r="60" spans="3:11" s="1800" customFormat="1" ht="17" customHeight="1">
      <c r="C60" s="1801"/>
      <c r="D60" s="1801"/>
      <c r="E60" s="1801"/>
      <c r="F60" s="1801"/>
      <c r="G60" s="1801"/>
      <c r="H60" s="1801"/>
      <c r="K60" s="1802"/>
    </row>
    <row r="61" spans="3:11" s="1800" customFormat="1" ht="17" customHeight="1">
      <c r="C61" s="1801"/>
      <c r="D61" s="1801"/>
      <c r="E61" s="1801"/>
      <c r="F61" s="1801"/>
      <c r="G61" s="1801"/>
      <c r="H61" s="1801"/>
      <c r="K61" s="1802"/>
    </row>
    <row r="62" spans="3:11" s="1800" customFormat="1" ht="17" customHeight="1">
      <c r="C62" s="1801"/>
      <c r="D62" s="1801"/>
      <c r="E62" s="1801"/>
      <c r="F62" s="1801"/>
      <c r="G62" s="1801"/>
      <c r="H62" s="1801"/>
      <c r="K62" s="1802"/>
    </row>
    <row r="63" spans="3:11" s="1800" customFormat="1" ht="17" customHeight="1">
      <c r="C63" s="1801"/>
      <c r="D63" s="1801"/>
      <c r="E63" s="1801"/>
      <c r="F63" s="1801"/>
      <c r="G63" s="1801"/>
      <c r="H63" s="1801"/>
      <c r="K63" s="1802"/>
    </row>
    <row r="64" spans="3:11" s="1800" customFormat="1" ht="17" customHeight="1">
      <c r="C64" s="1801"/>
      <c r="D64" s="1801"/>
      <c r="E64" s="1801"/>
      <c r="F64" s="1801"/>
      <c r="G64" s="1801"/>
      <c r="H64" s="1801"/>
      <c r="K64" s="1802"/>
    </row>
    <row r="65" spans="3:11" s="1800" customFormat="1" ht="17" customHeight="1">
      <c r="C65" s="1801"/>
      <c r="D65" s="1801"/>
      <c r="E65" s="1801"/>
      <c r="F65" s="1801"/>
      <c r="G65" s="1801"/>
      <c r="H65" s="1801"/>
      <c r="K65" s="1802"/>
    </row>
    <row r="66" spans="3:11" s="1800" customFormat="1" ht="17" customHeight="1">
      <c r="C66" s="1801"/>
      <c r="D66" s="1801"/>
      <c r="E66" s="1801"/>
      <c r="F66" s="1801"/>
      <c r="G66" s="1801"/>
      <c r="H66" s="1801"/>
      <c r="K66" s="1802"/>
    </row>
    <row r="67" spans="3:11" s="1800" customFormat="1" ht="17" customHeight="1">
      <c r="C67" s="1801"/>
      <c r="D67" s="1801"/>
      <c r="E67" s="1801"/>
      <c r="F67" s="1801"/>
      <c r="G67" s="1801"/>
      <c r="H67" s="1801"/>
      <c r="K67" s="1802"/>
    </row>
    <row r="68" spans="3:11" s="1800" customFormat="1" ht="17" customHeight="1">
      <c r="C68" s="1801"/>
      <c r="D68" s="1801"/>
      <c r="E68" s="1801"/>
      <c r="F68" s="1801"/>
      <c r="G68" s="1801"/>
      <c r="H68" s="1801"/>
      <c r="K68" s="1802"/>
    </row>
    <row r="69" spans="3:11" s="1800" customFormat="1" ht="17" customHeight="1">
      <c r="C69" s="1801"/>
      <c r="D69" s="1801"/>
      <c r="E69" s="1801"/>
      <c r="F69" s="1801"/>
      <c r="G69" s="1801"/>
      <c r="H69" s="1801"/>
      <c r="K69" s="1802"/>
    </row>
    <row r="70" spans="3:11" s="1800" customFormat="1" ht="17" customHeight="1">
      <c r="C70" s="1801"/>
      <c r="D70" s="1801"/>
      <c r="E70" s="1801"/>
      <c r="F70" s="1801"/>
      <c r="G70" s="1801"/>
      <c r="H70" s="1801"/>
      <c r="K70" s="1802"/>
    </row>
  </sheetData>
  <sheetProtection algorithmName="SHA-512" hashValue="rnUbZ5onRRc8UbgbYyEcINHOm7sz7NQzV+zBTHK8Ix62/+Y9cZ3zKc8YoJ42qlEAZpibElnTnjMFlHDFG7+GYw==" saltValue="5Qgsb84zgUjF/B8uwU/L8Q==" spinCount="100000" sheet="1" objects="1" scenarios="1" selectLockedCells="1"/>
  <mergeCells count="8">
    <mergeCell ref="I8:K8"/>
    <mergeCell ref="C10:H10"/>
    <mergeCell ref="C17:H17"/>
    <mergeCell ref="C23:H23"/>
    <mergeCell ref="F3:H3"/>
    <mergeCell ref="B8:B9"/>
    <mergeCell ref="C8:C9"/>
    <mergeCell ref="E8:H8"/>
  </mergeCells>
  <conditionalFormatting sqref="I35:J35">
    <cfRule type="cellIs" dxfId="18" priority="1" operator="equal">
      <formula>"Yes"</formula>
    </cfRule>
    <cfRule type="cellIs" dxfId="17" priority="2" operator="equal">
      <formula>"No"</formula>
    </cfRule>
  </conditionalFormatting>
  <dataValidations count="1">
    <dataValidation type="whole" allowBlank="1" showInputMessage="1" showErrorMessage="1" sqref="I11:J14 I18:J20 I24:J26" xr:uid="{00000000-0002-0000-56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757EF-298D-4036-BF75-31738027CFE6}">
  <sheetPr codeName="Support_Sheet97">
    <tabColor theme="2" tint="-9.9948118533890809E-2"/>
  </sheetPr>
  <dimension ref="B2:L70"/>
  <sheetViews>
    <sheetView showGridLines="0" showZeros="0" zoomScale="90" zoomScaleNormal="90" workbookViewId="0">
      <pane xSplit="8" ySplit="9" topLeftCell="I19" activePane="bottomRight" state="frozenSplit"/>
      <selection activeCell="C6" sqref="C6"/>
      <selection pane="topRight" activeCell="C6" sqref="C6"/>
      <selection pane="bottomLeft" activeCell="C6" sqref="C6"/>
      <selection pane="bottomRight" activeCell="C6" sqref="C6"/>
    </sheetView>
  </sheetViews>
  <sheetFormatPr baseColWidth="10" defaultColWidth="10" defaultRowHeight="11"/>
  <cols>
    <col min="1" max="1" width="2.6640625" style="1801" customWidth="1"/>
    <col min="2" max="2" width="5.5" style="1800" customWidth="1"/>
    <col min="3" max="3" width="13" style="1801" customWidth="1"/>
    <col min="4" max="4" width="46.33203125" style="1801" customWidth="1"/>
    <col min="5" max="8" width="26.5" style="1801" customWidth="1"/>
    <col min="9" max="10" width="9.6640625" style="1800" customWidth="1"/>
    <col min="11" max="11" width="55.1640625" style="1802" customWidth="1"/>
    <col min="12" max="12" width="9.6640625" style="1801" customWidth="1"/>
    <col min="13" max="16384" width="10" style="1801"/>
  </cols>
  <sheetData>
    <row r="2" spans="2:11" s="1795" customFormat="1" ht="20" customHeight="1">
      <c r="B2" s="1790"/>
      <c r="C2" s="1791" t="s">
        <v>688</v>
      </c>
      <c r="D2" s="1791"/>
      <c r="E2" s="1792"/>
      <c r="F2" s="1791" t="s">
        <v>689</v>
      </c>
      <c r="G2" s="1793"/>
      <c r="H2" s="1792"/>
      <c r="I2" s="1792"/>
      <c r="J2" s="1792"/>
      <c r="K2" s="1794"/>
    </row>
    <row r="3" spans="2:11" s="1795" customFormat="1" ht="20" customHeight="1">
      <c r="B3" s="1790"/>
      <c r="C3" s="1796" t="s">
        <v>4110</v>
      </c>
      <c r="D3" s="1796"/>
      <c r="E3" s="1792"/>
      <c r="F3" s="2543" t="s">
        <v>4108</v>
      </c>
      <c r="G3" s="2543"/>
      <c r="H3" s="2543"/>
      <c r="I3" s="1798" t="str">
        <f>IF(LEN(F3)&lt;3,"Please complete cover sheet","")</f>
        <v/>
      </c>
      <c r="J3" s="1799"/>
    </row>
    <row r="4" spans="2:11" s="1795" customFormat="1" ht="20" customHeight="1">
      <c r="B4" s="1790"/>
      <c r="C4" s="1796"/>
      <c r="D4" s="1796"/>
      <c r="E4" s="1792"/>
      <c r="F4" s="1797"/>
      <c r="G4" s="1797"/>
      <c r="H4" s="1797"/>
      <c r="I4" s="1798"/>
      <c r="J4" s="1799"/>
    </row>
    <row r="5" spans="2:11" s="1795" customFormat="1" ht="20" customHeight="1">
      <c r="B5" s="1790"/>
      <c r="C5" s="1796"/>
      <c r="D5" s="1796"/>
      <c r="E5" s="1792"/>
      <c r="F5" s="1797"/>
      <c r="G5" s="1797"/>
      <c r="H5" s="1797"/>
      <c r="I5" s="1798"/>
      <c r="J5" s="1799"/>
    </row>
    <row r="6" spans="2:11" s="1795" customFormat="1" ht="20" customHeight="1">
      <c r="B6" s="1790"/>
      <c r="C6" s="1796"/>
      <c r="D6" s="1796"/>
      <c r="E6" s="1792"/>
      <c r="F6" s="1797"/>
      <c r="G6" s="1797"/>
      <c r="H6" s="1797"/>
      <c r="I6" s="1798"/>
      <c r="J6" s="1799"/>
    </row>
    <row r="7" spans="2:11" ht="15" customHeight="1"/>
    <row r="8" spans="2:11" s="1804" customFormat="1" ht="22.25" customHeight="1">
      <c r="B8" s="2544" t="s">
        <v>294</v>
      </c>
      <c r="C8" s="2544" t="s">
        <v>295</v>
      </c>
      <c r="D8" s="1803"/>
      <c r="E8" s="2546" t="s">
        <v>296</v>
      </c>
      <c r="F8" s="2546"/>
      <c r="G8" s="2546"/>
      <c r="H8" s="2546"/>
      <c r="I8" s="2547" t="s">
        <v>307</v>
      </c>
      <c r="J8" s="2548"/>
      <c r="K8" s="2549"/>
    </row>
    <row r="9" spans="2:11" s="1804" customFormat="1" ht="30" customHeight="1">
      <c r="B9" s="2545"/>
      <c r="C9" s="2545"/>
      <c r="D9" s="1805"/>
      <c r="E9" s="1806" t="s">
        <v>297</v>
      </c>
      <c r="F9" s="1806" t="s">
        <v>298</v>
      </c>
      <c r="G9" s="1806" t="s">
        <v>299</v>
      </c>
      <c r="H9" s="1806" t="s">
        <v>300</v>
      </c>
      <c r="I9" s="1807" t="s">
        <v>12</v>
      </c>
      <c r="J9" s="1808" t="s">
        <v>288</v>
      </c>
      <c r="K9" s="1808" t="s">
        <v>301</v>
      </c>
    </row>
    <row r="10" spans="2:11" ht="30" customHeight="1">
      <c r="B10" s="1809">
        <v>1</v>
      </c>
      <c r="C10" s="2540" t="s">
        <v>586</v>
      </c>
      <c r="D10" s="2541"/>
      <c r="E10" s="2541"/>
      <c r="F10" s="2541"/>
      <c r="G10" s="2541"/>
      <c r="H10" s="2542"/>
      <c r="K10" s="1810"/>
    </row>
    <row r="11" spans="2:11" ht="60">
      <c r="B11" s="1811">
        <f>B10+0.1</f>
        <v>1.1000000000000001</v>
      </c>
      <c r="C11" s="1812" t="s">
        <v>598</v>
      </c>
      <c r="D11" s="1812" t="s">
        <v>597</v>
      </c>
      <c r="E11" s="1813" t="s">
        <v>596</v>
      </c>
      <c r="F11" s="1813" t="s">
        <v>595</v>
      </c>
      <c r="G11" s="1813" t="s">
        <v>594</v>
      </c>
      <c r="H11" s="1813" t="s">
        <v>593</v>
      </c>
      <c r="I11" s="1814">
        <v>3</v>
      </c>
      <c r="J11" s="1814">
        <v>3</v>
      </c>
      <c r="K11" s="1815"/>
    </row>
    <row r="12" spans="2:11" ht="48">
      <c r="B12" s="1811">
        <f>B11+0.1</f>
        <v>1.2000000000000002</v>
      </c>
      <c r="C12" s="1812" t="s">
        <v>592</v>
      </c>
      <c r="D12" s="1812" t="s">
        <v>591</v>
      </c>
      <c r="E12" s="1813" t="s">
        <v>590</v>
      </c>
      <c r="F12" s="1813" t="s">
        <v>589</v>
      </c>
      <c r="G12" s="1813" t="s">
        <v>588</v>
      </c>
      <c r="H12" s="1813" t="s">
        <v>587</v>
      </c>
      <c r="I12" s="1814">
        <v>3</v>
      </c>
      <c r="J12" s="1814">
        <v>3</v>
      </c>
      <c r="K12" s="1815"/>
    </row>
    <row r="13" spans="2:11" ht="48">
      <c r="B13" s="1811">
        <f>B12+0.1</f>
        <v>1.3000000000000003</v>
      </c>
      <c r="C13" s="1812" t="s">
        <v>585</v>
      </c>
      <c r="D13" s="1812" t="s">
        <v>584</v>
      </c>
      <c r="E13" s="1813" t="s">
        <v>583</v>
      </c>
      <c r="F13" s="1813" t="s">
        <v>582</v>
      </c>
      <c r="G13" s="1813" t="s">
        <v>581</v>
      </c>
      <c r="H13" s="1813" t="s">
        <v>580</v>
      </c>
      <c r="I13" s="1814">
        <v>3</v>
      </c>
      <c r="J13" s="1814">
        <v>3</v>
      </c>
      <c r="K13" s="1815"/>
    </row>
    <row r="14" spans="2:11" ht="48">
      <c r="B14" s="1811">
        <f>B13+0.1</f>
        <v>1.4000000000000004</v>
      </c>
      <c r="C14" s="1812" t="s">
        <v>579</v>
      </c>
      <c r="D14" s="1812" t="s">
        <v>578</v>
      </c>
      <c r="E14" s="1813" t="s">
        <v>577</v>
      </c>
      <c r="F14" s="1813" t="s">
        <v>576</v>
      </c>
      <c r="G14" s="1813" t="s">
        <v>575</v>
      </c>
      <c r="H14" s="1813" t="s">
        <v>574</v>
      </c>
      <c r="I14" s="1814">
        <v>3</v>
      </c>
      <c r="J14" s="1814">
        <v>3</v>
      </c>
      <c r="K14" s="1815"/>
    </row>
    <row r="15" spans="2:11" s="1816" customFormat="1" ht="24" customHeight="1">
      <c r="H15" s="1816" t="s">
        <v>302</v>
      </c>
      <c r="I15" s="1817">
        <f>IF(SUM(I11:I14)=0,"",ROUNDDOWN(AVERAGE(I11:I14),1))</f>
        <v>3</v>
      </c>
      <c r="J15" s="1817">
        <f>IF(SUM(J11:J14)=0,"",ROUNDDOWN(AVERAGE(J11:J14),1))</f>
        <v>3</v>
      </c>
      <c r="K15" s="1818"/>
    </row>
    <row r="16" spans="2:11">
      <c r="C16" s="1802"/>
      <c r="D16" s="1802"/>
      <c r="E16" s="1819"/>
      <c r="F16" s="1819"/>
      <c r="G16" s="1819"/>
      <c r="H16" s="1819"/>
    </row>
    <row r="17" spans="2:11" ht="30" customHeight="1">
      <c r="B17" s="1809">
        <v>2</v>
      </c>
      <c r="C17" s="2540" t="s">
        <v>567</v>
      </c>
      <c r="D17" s="2541"/>
      <c r="E17" s="2541"/>
      <c r="F17" s="2541"/>
      <c r="G17" s="2541"/>
      <c r="H17" s="2542"/>
    </row>
    <row r="18" spans="2:11" ht="36">
      <c r="B18" s="1811">
        <f>B17+0.1</f>
        <v>2.1</v>
      </c>
      <c r="C18" s="1812" t="s">
        <v>573</v>
      </c>
      <c r="D18" s="1812" t="s">
        <v>572</v>
      </c>
      <c r="E18" s="1820" t="s">
        <v>571</v>
      </c>
      <c r="F18" s="1820" t="s">
        <v>570</v>
      </c>
      <c r="G18" s="1820" t="s">
        <v>569</v>
      </c>
      <c r="H18" s="1820" t="s">
        <v>568</v>
      </c>
      <c r="I18" s="1814">
        <v>3</v>
      </c>
      <c r="J18" s="1814">
        <v>3</v>
      </c>
      <c r="K18" s="1815"/>
    </row>
    <row r="19" spans="2:11" ht="96">
      <c r="B19" s="1811">
        <f>B18+0.1</f>
        <v>2.2000000000000002</v>
      </c>
      <c r="C19" s="1812" t="s">
        <v>566</v>
      </c>
      <c r="D19" s="1812" t="s">
        <v>565</v>
      </c>
      <c r="E19" s="1820" t="s">
        <v>564</v>
      </c>
      <c r="F19" s="1820" t="s">
        <v>601</v>
      </c>
      <c r="G19" s="1820" t="s">
        <v>563</v>
      </c>
      <c r="H19" s="1820" t="s">
        <v>562</v>
      </c>
      <c r="I19" s="1814">
        <v>3</v>
      </c>
      <c r="J19" s="1814">
        <v>3</v>
      </c>
      <c r="K19" s="1815"/>
    </row>
    <row r="20" spans="2:11" ht="48">
      <c r="B20" s="1811">
        <f>B19+0.1</f>
        <v>2.3000000000000003</v>
      </c>
      <c r="C20" s="1812" t="s">
        <v>561</v>
      </c>
      <c r="D20" s="1812" t="s">
        <v>560</v>
      </c>
      <c r="E20" s="1813" t="s">
        <v>559</v>
      </c>
      <c r="F20" s="1813" t="s">
        <v>558</v>
      </c>
      <c r="G20" s="1813" t="s">
        <v>557</v>
      </c>
      <c r="H20" s="1813" t="s">
        <v>556</v>
      </c>
      <c r="I20" s="1814">
        <v>3</v>
      </c>
      <c r="J20" s="1814">
        <v>3</v>
      </c>
      <c r="K20" s="1815"/>
    </row>
    <row r="21" spans="2:11" s="1816" customFormat="1" ht="24" customHeight="1">
      <c r="H21" s="1816" t="s">
        <v>302</v>
      </c>
      <c r="I21" s="1817">
        <f>IF(SUM(I18:I20)=0,"",ROUNDDOWN(AVERAGE(I18:I20),1))</f>
        <v>3</v>
      </c>
      <c r="J21" s="1817">
        <f>IF(SUM(J18:J20)=0,"",ROUNDDOWN(AVERAGE(J18:J20),1))</f>
        <v>3</v>
      </c>
      <c r="K21" s="1818"/>
    </row>
    <row r="22" spans="2:11">
      <c r="C22" s="1802"/>
      <c r="D22" s="1802"/>
      <c r="E22" s="1819"/>
      <c r="F22" s="1819"/>
      <c r="G22" s="1819"/>
      <c r="H22" s="1819"/>
    </row>
    <row r="23" spans="2:11" ht="30" customHeight="1">
      <c r="B23" s="1809">
        <v>3</v>
      </c>
      <c r="C23" s="2540" t="s">
        <v>549</v>
      </c>
      <c r="D23" s="2541"/>
      <c r="E23" s="2541"/>
      <c r="F23" s="2541"/>
      <c r="G23" s="2541"/>
      <c r="H23" s="2542"/>
    </row>
    <row r="24" spans="2:11" ht="72">
      <c r="B24" s="1811">
        <f>B23+0.1</f>
        <v>3.1</v>
      </c>
      <c r="C24" s="1821" t="s">
        <v>555</v>
      </c>
      <c r="D24" s="1821" t="s">
        <v>554</v>
      </c>
      <c r="E24" s="1820" t="s">
        <v>553</v>
      </c>
      <c r="F24" s="1820" t="s">
        <v>552</v>
      </c>
      <c r="G24" s="1820" t="s">
        <v>551</v>
      </c>
      <c r="H24" s="1820" t="s">
        <v>550</v>
      </c>
      <c r="I24" s="1814">
        <v>3</v>
      </c>
      <c r="J24" s="1814">
        <v>3</v>
      </c>
      <c r="K24" s="1815"/>
    </row>
    <row r="25" spans="2:11" ht="60">
      <c r="B25" s="1811">
        <f>B24+0.1</f>
        <v>3.2</v>
      </c>
      <c r="C25" s="1812" t="s">
        <v>548</v>
      </c>
      <c r="D25" s="1812" t="s">
        <v>547</v>
      </c>
      <c r="E25" s="1820" t="s">
        <v>546</v>
      </c>
      <c r="F25" s="1820" t="s">
        <v>545</v>
      </c>
      <c r="G25" s="1820" t="s">
        <v>544</v>
      </c>
      <c r="H25" s="1820" t="s">
        <v>543</v>
      </c>
      <c r="I25" s="1814">
        <v>3</v>
      </c>
      <c r="J25" s="1814">
        <v>3</v>
      </c>
      <c r="K25" s="1815"/>
    </row>
    <row r="26" spans="2:11" ht="48">
      <c r="B26" s="1811">
        <f>B25+0.1</f>
        <v>3.3000000000000003</v>
      </c>
      <c r="C26" s="1812" t="s">
        <v>542</v>
      </c>
      <c r="D26" s="1812" t="s">
        <v>541</v>
      </c>
      <c r="E26" s="1820" t="s">
        <v>540</v>
      </c>
      <c r="F26" s="1820" t="s">
        <v>539</v>
      </c>
      <c r="G26" s="1820" t="s">
        <v>538</v>
      </c>
      <c r="H26" s="1820" t="s">
        <v>537</v>
      </c>
      <c r="I26" s="1814">
        <v>3</v>
      </c>
      <c r="J26" s="1814">
        <v>3</v>
      </c>
      <c r="K26" s="1815"/>
    </row>
    <row r="27" spans="2:11" s="1816" customFormat="1" ht="24" customHeight="1">
      <c r="H27" s="1816" t="s">
        <v>302</v>
      </c>
      <c r="I27" s="1817">
        <f>IF(SUM(I24:I26)=0,"",ROUNDDOWN(AVERAGE(I24:I26),1))</f>
        <v>3</v>
      </c>
      <c r="J27" s="1817">
        <f>IF(SUM(J24:J26)=0,"",ROUNDDOWN(AVERAGE(J24:J26),1))</f>
        <v>3</v>
      </c>
      <c r="K27" s="1818"/>
    </row>
    <row r="28" spans="2:11">
      <c r="C28" s="1802"/>
      <c r="D28" s="1802"/>
      <c r="E28" s="1819"/>
      <c r="F28" s="1819"/>
      <c r="G28" s="1819"/>
      <c r="H28" s="1819"/>
    </row>
    <row r="29" spans="2:11" ht="17" customHeight="1"/>
    <row r="30" spans="2:11" ht="17" customHeight="1">
      <c r="F30" s="1804" t="s">
        <v>304</v>
      </c>
    </row>
    <row r="31" spans="2:11" ht="17" customHeight="1">
      <c r="G31" s="1822" t="s">
        <v>305</v>
      </c>
      <c r="H31" s="1800">
        <v>1</v>
      </c>
      <c r="I31" s="1823">
        <f>IF(I15="","",I15)</f>
        <v>3</v>
      </c>
      <c r="J31" s="1823">
        <f>IF(J15="","",J15)</f>
        <v>3</v>
      </c>
    </row>
    <row r="32" spans="2:11" ht="17" customHeight="1">
      <c r="G32" s="1822" t="s">
        <v>305</v>
      </c>
      <c r="H32" s="1800">
        <f>1+H31</f>
        <v>2</v>
      </c>
      <c r="I32" s="1824">
        <f>IF(I21="","",I21)</f>
        <v>3</v>
      </c>
      <c r="J32" s="1824">
        <f>IF(J21="","",J21)</f>
        <v>3</v>
      </c>
    </row>
    <row r="33" spans="2:12" ht="17" customHeight="1">
      <c r="G33" s="1822" t="s">
        <v>305</v>
      </c>
      <c r="H33" s="1800">
        <f>1+H32</f>
        <v>3</v>
      </c>
      <c r="I33" s="1824">
        <f>IF(I27="","",I27)</f>
        <v>3</v>
      </c>
      <c r="J33" s="1824">
        <f>IF(J27="","",J27)</f>
        <v>3</v>
      </c>
    </row>
    <row r="34" spans="2:12" s="1802" customFormat="1" ht="17" customHeight="1">
      <c r="B34" s="1800"/>
      <c r="C34" s="1801"/>
      <c r="D34" s="1801"/>
      <c r="E34" s="1801"/>
      <c r="F34" s="1801"/>
      <c r="G34" s="1801"/>
      <c r="H34" s="1816" t="s">
        <v>306</v>
      </c>
      <c r="I34" s="1824">
        <f>SUM(I11:I14)+SUM(I18:I20)+SUM(I24:I26)</f>
        <v>30</v>
      </c>
      <c r="J34" s="1824">
        <f>SUM(J11:J14)+SUM(J18:J20)+SUM(J24:J26)</f>
        <v>30</v>
      </c>
      <c r="L34" s="1801"/>
    </row>
    <row r="35" spans="2:12" s="1802" customFormat="1" ht="17" customHeight="1">
      <c r="B35" s="1800"/>
      <c r="C35" s="1801"/>
      <c r="D35" s="1801"/>
      <c r="E35" s="1801"/>
      <c r="F35" s="1801"/>
      <c r="G35" s="1801"/>
      <c r="H35" s="1816"/>
      <c r="I35" s="1825"/>
      <c r="J35" s="1825"/>
      <c r="L35" s="1801"/>
    </row>
    <row r="36" spans="2:12" s="1802" customFormat="1" ht="17" customHeight="1">
      <c r="B36" s="1800"/>
      <c r="C36" s="1826" t="s">
        <v>600</v>
      </c>
      <c r="D36" s="1826"/>
      <c r="E36" s="1801"/>
      <c r="F36" s="1801"/>
      <c r="G36" s="1801"/>
      <c r="H36" s="1801"/>
      <c r="I36" s="1800"/>
      <c r="J36" s="1800"/>
      <c r="L36" s="1801"/>
    </row>
    <row r="37" spans="2:12" s="1802" customFormat="1" ht="17" customHeight="1">
      <c r="B37" s="1800"/>
      <c r="C37" s="1801"/>
      <c r="D37" s="1801"/>
      <c r="E37" s="1801"/>
      <c r="F37" s="1801"/>
      <c r="G37" s="1801"/>
      <c r="H37" s="1801"/>
      <c r="I37" s="1800"/>
      <c r="J37" s="1800"/>
      <c r="L37" s="1801"/>
    </row>
    <row r="38" spans="2:12" s="1802" customFormat="1" ht="17" customHeight="1">
      <c r="B38" s="1800"/>
      <c r="C38" s="1801"/>
      <c r="D38" s="1801"/>
      <c r="E38" s="1801"/>
      <c r="F38" s="1801"/>
      <c r="G38" s="1801"/>
      <c r="H38" s="1801"/>
      <c r="I38" s="1800"/>
      <c r="J38" s="1800"/>
      <c r="L38" s="1801"/>
    </row>
    <row r="39" spans="2:12" s="1802" customFormat="1" ht="17" customHeight="1">
      <c r="B39" s="1800"/>
      <c r="C39" s="1801"/>
      <c r="D39" s="1801"/>
      <c r="E39" s="1801"/>
      <c r="F39" s="1801"/>
      <c r="G39" s="1801"/>
      <c r="H39" s="1801"/>
      <c r="I39" s="1800"/>
      <c r="J39" s="1800"/>
      <c r="L39" s="1801"/>
    </row>
    <row r="40" spans="2:12" s="1802" customFormat="1" ht="17" customHeight="1">
      <c r="B40" s="1800"/>
      <c r="C40" s="1801"/>
      <c r="D40" s="1801"/>
      <c r="E40" s="1801"/>
      <c r="F40" s="1801"/>
      <c r="G40" s="1801"/>
      <c r="H40" s="1801"/>
      <c r="I40" s="1800"/>
      <c r="J40" s="1800"/>
      <c r="L40" s="1801"/>
    </row>
    <row r="41" spans="2:12" s="1802" customFormat="1" ht="17" customHeight="1">
      <c r="B41" s="1800"/>
      <c r="C41" s="1801"/>
      <c r="D41" s="1801"/>
      <c r="E41" s="1801"/>
      <c r="F41" s="1801"/>
      <c r="G41" s="1801"/>
      <c r="H41" s="1801"/>
      <c r="I41" s="1800"/>
      <c r="J41" s="1800"/>
      <c r="L41" s="1801"/>
    </row>
    <row r="42" spans="2:12" s="1802" customFormat="1" ht="17" customHeight="1">
      <c r="B42" s="1800"/>
      <c r="C42" s="1801"/>
      <c r="D42" s="1801"/>
      <c r="E42" s="1801"/>
      <c r="F42" s="1801"/>
      <c r="G42" s="1801"/>
      <c r="H42" s="1801"/>
      <c r="I42" s="1800"/>
      <c r="J42" s="1800"/>
      <c r="L42" s="1801"/>
    </row>
    <row r="43" spans="2:12" s="1802" customFormat="1" ht="17" customHeight="1">
      <c r="B43" s="1800"/>
      <c r="C43" s="1801"/>
      <c r="D43" s="1801"/>
      <c r="E43" s="1801"/>
      <c r="F43" s="1801"/>
      <c r="G43" s="1801"/>
      <c r="H43" s="1801"/>
      <c r="I43" s="1800"/>
      <c r="J43" s="1800"/>
      <c r="L43" s="1801"/>
    </row>
    <row r="44" spans="2:12" s="1802" customFormat="1" ht="17" customHeight="1">
      <c r="B44" s="1800"/>
      <c r="C44" s="1801"/>
      <c r="D44" s="1801"/>
      <c r="E44" s="1801"/>
      <c r="F44" s="1801"/>
      <c r="G44" s="1801"/>
      <c r="H44" s="1801"/>
      <c r="I44" s="1800"/>
      <c r="J44" s="1800"/>
      <c r="L44" s="1801"/>
    </row>
    <row r="45" spans="2:12" s="1802" customFormat="1" ht="17" customHeight="1">
      <c r="B45" s="1800"/>
      <c r="C45" s="1801"/>
      <c r="D45" s="1801"/>
      <c r="E45" s="1801"/>
      <c r="F45" s="1801"/>
      <c r="G45" s="1801"/>
      <c r="H45" s="1801"/>
      <c r="I45" s="1800"/>
      <c r="J45" s="1800"/>
      <c r="L45" s="1801"/>
    </row>
    <row r="46" spans="2:12" ht="17" customHeight="1"/>
    <row r="47" spans="2:12" ht="17" customHeight="1"/>
    <row r="48" spans="2:12" ht="17" customHeight="1"/>
    <row r="49" spans="3:11" ht="17" customHeight="1"/>
    <row r="50" spans="3:11" ht="17" customHeight="1"/>
    <row r="51" spans="3:11" ht="17" customHeight="1"/>
    <row r="52" spans="3:11" s="1800" customFormat="1" ht="17" customHeight="1">
      <c r="C52" s="1801"/>
      <c r="D52" s="1801"/>
      <c r="E52" s="1801"/>
      <c r="F52" s="1801"/>
      <c r="G52" s="1801"/>
      <c r="H52" s="1801"/>
      <c r="K52" s="1802"/>
    </row>
    <row r="53" spans="3:11" s="1800" customFormat="1" ht="17" customHeight="1">
      <c r="C53" s="1801"/>
      <c r="D53" s="1801"/>
      <c r="E53" s="1801"/>
      <c r="F53" s="1801"/>
      <c r="G53" s="1801"/>
      <c r="H53" s="1801"/>
      <c r="K53" s="1802"/>
    </row>
    <row r="54" spans="3:11" s="1800" customFormat="1" ht="17" customHeight="1">
      <c r="C54" s="1801"/>
      <c r="D54" s="1801"/>
      <c r="E54" s="1801"/>
      <c r="F54" s="1801"/>
      <c r="G54" s="1801"/>
      <c r="H54" s="1801"/>
      <c r="K54" s="1802"/>
    </row>
    <row r="55" spans="3:11" s="1800" customFormat="1" ht="17" customHeight="1">
      <c r="C55" s="1801"/>
      <c r="D55" s="1801"/>
      <c r="E55" s="1801"/>
      <c r="F55" s="1801"/>
      <c r="G55" s="1801"/>
      <c r="H55" s="1801"/>
      <c r="K55" s="1802"/>
    </row>
    <row r="56" spans="3:11" s="1800" customFormat="1" ht="17" customHeight="1">
      <c r="C56" s="1801"/>
      <c r="D56" s="1801"/>
      <c r="E56" s="1801"/>
      <c r="F56" s="1801"/>
      <c r="G56" s="1801"/>
      <c r="H56" s="1801"/>
      <c r="K56" s="1802"/>
    </row>
    <row r="57" spans="3:11" s="1800" customFormat="1" ht="17" customHeight="1">
      <c r="C57" s="1801"/>
      <c r="D57" s="1801"/>
      <c r="E57" s="1801"/>
      <c r="F57" s="1801"/>
      <c r="G57" s="1801"/>
      <c r="H57" s="1801"/>
      <c r="K57" s="1802"/>
    </row>
    <row r="58" spans="3:11" s="1800" customFormat="1" ht="17" customHeight="1">
      <c r="C58" s="1801"/>
      <c r="D58" s="1801"/>
      <c r="E58" s="1801"/>
      <c r="F58" s="1801"/>
      <c r="G58" s="1801"/>
      <c r="H58" s="1801"/>
      <c r="K58" s="1802"/>
    </row>
    <row r="59" spans="3:11" s="1800" customFormat="1" ht="17" customHeight="1">
      <c r="C59" s="1801"/>
      <c r="D59" s="1801"/>
      <c r="E59" s="1801"/>
      <c r="F59" s="1801"/>
      <c r="G59" s="1801"/>
      <c r="H59" s="1801"/>
      <c r="K59" s="1802"/>
    </row>
    <row r="60" spans="3:11" s="1800" customFormat="1" ht="17" customHeight="1">
      <c r="C60" s="1801"/>
      <c r="D60" s="1801"/>
      <c r="E60" s="1801"/>
      <c r="F60" s="1801"/>
      <c r="G60" s="1801"/>
      <c r="H60" s="1801"/>
      <c r="K60" s="1802"/>
    </row>
    <row r="61" spans="3:11" s="1800" customFormat="1" ht="17" customHeight="1">
      <c r="C61" s="1801"/>
      <c r="D61" s="1801"/>
      <c r="E61" s="1801"/>
      <c r="F61" s="1801"/>
      <c r="G61" s="1801"/>
      <c r="H61" s="1801"/>
      <c r="K61" s="1802"/>
    </row>
    <row r="62" spans="3:11" s="1800" customFormat="1" ht="17" customHeight="1">
      <c r="C62" s="1801"/>
      <c r="D62" s="1801"/>
      <c r="E62" s="1801"/>
      <c r="F62" s="1801"/>
      <c r="G62" s="1801"/>
      <c r="H62" s="1801"/>
      <c r="K62" s="1802"/>
    </row>
    <row r="63" spans="3:11" s="1800" customFormat="1" ht="17" customHeight="1">
      <c r="C63" s="1801"/>
      <c r="D63" s="1801"/>
      <c r="E63" s="1801"/>
      <c r="F63" s="1801"/>
      <c r="G63" s="1801"/>
      <c r="H63" s="1801"/>
      <c r="K63" s="1802"/>
    </row>
    <row r="64" spans="3:11" s="1800" customFormat="1" ht="17" customHeight="1">
      <c r="C64" s="1801"/>
      <c r="D64" s="1801"/>
      <c r="E64" s="1801"/>
      <c r="F64" s="1801"/>
      <c r="G64" s="1801"/>
      <c r="H64" s="1801"/>
      <c r="K64" s="1802"/>
    </row>
    <row r="65" spans="3:11" s="1800" customFormat="1" ht="17" customHeight="1">
      <c r="C65" s="1801"/>
      <c r="D65" s="1801"/>
      <c r="E65" s="1801"/>
      <c r="F65" s="1801"/>
      <c r="G65" s="1801"/>
      <c r="H65" s="1801"/>
      <c r="K65" s="1802"/>
    </row>
    <row r="66" spans="3:11" s="1800" customFormat="1" ht="17" customHeight="1">
      <c r="C66" s="1801"/>
      <c r="D66" s="1801"/>
      <c r="E66" s="1801"/>
      <c r="F66" s="1801"/>
      <c r="G66" s="1801"/>
      <c r="H66" s="1801"/>
      <c r="K66" s="1802"/>
    </row>
    <row r="67" spans="3:11" s="1800" customFormat="1" ht="17" customHeight="1">
      <c r="C67" s="1801"/>
      <c r="D67" s="1801"/>
      <c r="E67" s="1801"/>
      <c r="F67" s="1801"/>
      <c r="G67" s="1801"/>
      <c r="H67" s="1801"/>
      <c r="K67" s="1802"/>
    </row>
    <row r="68" spans="3:11" s="1800" customFormat="1" ht="17" customHeight="1">
      <c r="C68" s="1801"/>
      <c r="D68" s="1801"/>
      <c r="E68" s="1801"/>
      <c r="F68" s="1801"/>
      <c r="G68" s="1801"/>
      <c r="H68" s="1801"/>
      <c r="K68" s="1802"/>
    </row>
    <row r="69" spans="3:11" s="1800" customFormat="1" ht="17" customHeight="1">
      <c r="C69" s="1801"/>
      <c r="D69" s="1801"/>
      <c r="E69" s="1801"/>
      <c r="F69" s="1801"/>
      <c r="G69" s="1801"/>
      <c r="H69" s="1801"/>
      <c r="K69" s="1802"/>
    </row>
    <row r="70" spans="3:11" s="1800" customFormat="1" ht="17" customHeight="1">
      <c r="C70" s="1801"/>
      <c r="D70" s="1801"/>
      <c r="E70" s="1801"/>
      <c r="F70" s="1801"/>
      <c r="G70" s="1801"/>
      <c r="H70" s="1801"/>
      <c r="K70" s="1802"/>
    </row>
  </sheetData>
  <sheetProtection algorithmName="SHA-512" hashValue="h2NALOwpO66XqMO8CzclptCxqDc0Q+kAloG57UP3IeninhuYu2LnAMl1iI8rYbMXOmEKvWRPHFke/CSdoRLhKw==" saltValue="hy/qkIgBE3qFpZKR+h/vWw==" spinCount="100000" sheet="1" objects="1" scenarios="1" selectLockedCells="1"/>
  <mergeCells count="8">
    <mergeCell ref="I8:K8"/>
    <mergeCell ref="C10:H10"/>
    <mergeCell ref="C17:H17"/>
    <mergeCell ref="C23:H23"/>
    <mergeCell ref="F3:H3"/>
    <mergeCell ref="B8:B9"/>
    <mergeCell ref="C8:C9"/>
    <mergeCell ref="E8:H8"/>
  </mergeCells>
  <conditionalFormatting sqref="I35:J35">
    <cfRule type="cellIs" dxfId="16" priority="1" operator="equal">
      <formula>"Yes"</formula>
    </cfRule>
    <cfRule type="cellIs" dxfId="15" priority="2" operator="equal">
      <formula>"No"</formula>
    </cfRule>
  </conditionalFormatting>
  <dataValidations count="1">
    <dataValidation type="whole" allowBlank="1" showInputMessage="1" showErrorMessage="1" sqref="I11:J14 I18:J20 I24:J26" xr:uid="{00000000-0002-0000-57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069A8-CD4A-4BD6-AC60-0A82F088A290}">
  <sheetPr codeName="Support_Sheet98">
    <tabColor theme="2" tint="-9.9948118533890809E-2"/>
  </sheetPr>
  <dimension ref="B2:L70"/>
  <sheetViews>
    <sheetView showGridLines="0" showZeros="0" zoomScale="90" zoomScaleNormal="90" workbookViewId="0">
      <pane xSplit="8" ySplit="9" topLeftCell="I10" activePane="bottomRight" state="frozenSplit"/>
      <selection activeCell="C6" sqref="C6"/>
      <selection pane="topRight" activeCell="C6" sqref="C6"/>
      <selection pane="bottomLeft" activeCell="C6" sqref="C6"/>
      <selection pane="bottomRight" activeCell="C6" sqref="C6"/>
    </sheetView>
  </sheetViews>
  <sheetFormatPr baseColWidth="10" defaultColWidth="10" defaultRowHeight="11"/>
  <cols>
    <col min="1" max="1" width="2.6640625" style="1801" customWidth="1"/>
    <col min="2" max="2" width="5.5" style="1800" customWidth="1"/>
    <col min="3" max="3" width="13" style="1801" customWidth="1"/>
    <col min="4" max="4" width="46.33203125" style="1801" customWidth="1"/>
    <col min="5" max="8" width="26.5" style="1801" customWidth="1"/>
    <col min="9" max="10" width="9.6640625" style="1800" customWidth="1"/>
    <col min="11" max="11" width="55.1640625" style="1802" customWidth="1"/>
    <col min="12" max="12" width="9.6640625" style="1801" customWidth="1"/>
    <col min="13" max="16384" width="10" style="1801"/>
  </cols>
  <sheetData>
    <row r="2" spans="2:11" s="1795" customFormat="1" ht="20" customHeight="1">
      <c r="B2" s="1790"/>
      <c r="C2" s="1791" t="s">
        <v>308</v>
      </c>
      <c r="D2" s="1791"/>
      <c r="E2" s="1792"/>
      <c r="F2" s="1791" t="s">
        <v>293</v>
      </c>
      <c r="G2" s="1793"/>
      <c r="H2" s="1792"/>
      <c r="I2" s="1792"/>
      <c r="J2" s="1792"/>
      <c r="K2" s="1794"/>
    </row>
    <row r="3" spans="2:11" s="1795" customFormat="1" ht="20" customHeight="1">
      <c r="B3" s="1790"/>
      <c r="C3" s="1796" t="s">
        <v>4111</v>
      </c>
      <c r="D3" s="1796"/>
      <c r="E3" s="1792"/>
      <c r="F3" s="2543" t="s">
        <v>4108</v>
      </c>
      <c r="G3" s="2543"/>
      <c r="H3" s="2543"/>
      <c r="I3" s="1798" t="str">
        <f>IF(LEN(F3)&lt;3,"Please complete cover sheet","")</f>
        <v/>
      </c>
      <c r="J3" s="1799"/>
    </row>
    <row r="4" spans="2:11" s="1795" customFormat="1" ht="20" customHeight="1">
      <c r="B4" s="1790"/>
      <c r="C4" s="1796"/>
      <c r="D4" s="1796"/>
      <c r="E4" s="1792"/>
      <c r="F4" s="1797"/>
      <c r="G4" s="1797"/>
      <c r="H4" s="1797"/>
      <c r="I4" s="1798"/>
      <c r="J4" s="1799"/>
    </row>
    <row r="5" spans="2:11" s="1795" customFormat="1" ht="20" customHeight="1">
      <c r="B5" s="1790"/>
      <c r="C5" s="1796"/>
      <c r="D5" s="1796"/>
      <c r="E5" s="1792"/>
      <c r="F5" s="1797"/>
      <c r="G5" s="1797"/>
      <c r="H5" s="1797"/>
      <c r="I5" s="1798"/>
      <c r="J5" s="1799"/>
    </row>
    <row r="6" spans="2:11" s="1795" customFormat="1" ht="20" customHeight="1">
      <c r="B6" s="1790"/>
      <c r="C6" s="1796"/>
      <c r="D6" s="1796"/>
      <c r="E6" s="1792"/>
      <c r="F6" s="1797"/>
      <c r="G6" s="1797"/>
      <c r="H6" s="1797"/>
      <c r="I6" s="1798"/>
      <c r="J6" s="1799"/>
    </row>
    <row r="7" spans="2:11" ht="15" customHeight="1"/>
    <row r="8" spans="2:11" s="1804" customFormat="1" ht="22.25" customHeight="1">
      <c r="B8" s="2544" t="s">
        <v>294</v>
      </c>
      <c r="C8" s="2544" t="s">
        <v>295</v>
      </c>
      <c r="D8" s="1803"/>
      <c r="E8" s="2546" t="s">
        <v>296</v>
      </c>
      <c r="F8" s="2546"/>
      <c r="G8" s="2546"/>
      <c r="H8" s="2546"/>
      <c r="I8" s="2547" t="s">
        <v>307</v>
      </c>
      <c r="J8" s="2548"/>
      <c r="K8" s="2549"/>
    </row>
    <row r="9" spans="2:11" s="1804" customFormat="1" ht="30" customHeight="1">
      <c r="B9" s="2545"/>
      <c r="C9" s="2545"/>
      <c r="D9" s="1805"/>
      <c r="E9" s="1806" t="s">
        <v>297</v>
      </c>
      <c r="F9" s="1806" t="s">
        <v>298</v>
      </c>
      <c r="G9" s="1806" t="s">
        <v>299</v>
      </c>
      <c r="H9" s="1806" t="s">
        <v>300</v>
      </c>
      <c r="I9" s="1807" t="s">
        <v>12</v>
      </c>
      <c r="J9" s="1808" t="s">
        <v>288</v>
      </c>
      <c r="K9" s="1808" t="s">
        <v>301</v>
      </c>
    </row>
    <row r="10" spans="2:11" ht="30" customHeight="1">
      <c r="B10" s="1809">
        <v>1</v>
      </c>
      <c r="C10" s="2540" t="s">
        <v>586</v>
      </c>
      <c r="D10" s="2541"/>
      <c r="E10" s="2541"/>
      <c r="F10" s="2541"/>
      <c r="G10" s="2541"/>
      <c r="H10" s="2542"/>
      <c r="K10" s="1810"/>
    </row>
    <row r="11" spans="2:11" ht="60">
      <c r="B11" s="1811">
        <f>B10+0.1</f>
        <v>1.1000000000000001</v>
      </c>
      <c r="C11" s="1812" t="s">
        <v>598</v>
      </c>
      <c r="D11" s="1812" t="s">
        <v>597</v>
      </c>
      <c r="E11" s="1813" t="s">
        <v>596</v>
      </c>
      <c r="F11" s="1813" t="s">
        <v>595</v>
      </c>
      <c r="G11" s="1813" t="s">
        <v>594</v>
      </c>
      <c r="H11" s="1813" t="s">
        <v>593</v>
      </c>
      <c r="I11" s="1814">
        <v>3</v>
      </c>
      <c r="J11" s="1814">
        <v>3</v>
      </c>
      <c r="K11" s="1815"/>
    </row>
    <row r="12" spans="2:11" ht="48">
      <c r="B12" s="1811">
        <f>B11+0.1</f>
        <v>1.2000000000000002</v>
      </c>
      <c r="C12" s="1812" t="s">
        <v>592</v>
      </c>
      <c r="D12" s="1812" t="s">
        <v>591</v>
      </c>
      <c r="E12" s="1813" t="s">
        <v>590</v>
      </c>
      <c r="F12" s="1813" t="s">
        <v>589</v>
      </c>
      <c r="G12" s="1813" t="s">
        <v>588</v>
      </c>
      <c r="H12" s="1813" t="s">
        <v>587</v>
      </c>
      <c r="I12" s="1814">
        <v>2</v>
      </c>
      <c r="J12" s="1814">
        <v>2</v>
      </c>
      <c r="K12" s="1815"/>
    </row>
    <row r="13" spans="2:11" ht="48">
      <c r="B13" s="1811">
        <f>B12+0.1</f>
        <v>1.3000000000000003</v>
      </c>
      <c r="C13" s="1812" t="s">
        <v>585</v>
      </c>
      <c r="D13" s="1812" t="s">
        <v>584</v>
      </c>
      <c r="E13" s="1813" t="s">
        <v>583</v>
      </c>
      <c r="F13" s="1813" t="s">
        <v>582</v>
      </c>
      <c r="G13" s="1813" t="s">
        <v>581</v>
      </c>
      <c r="H13" s="1813" t="s">
        <v>580</v>
      </c>
      <c r="I13" s="1814">
        <v>3</v>
      </c>
      <c r="J13" s="1814">
        <v>3</v>
      </c>
      <c r="K13" s="1815"/>
    </row>
    <row r="14" spans="2:11" ht="48">
      <c r="B14" s="1811">
        <f>B13+0.1</f>
        <v>1.4000000000000004</v>
      </c>
      <c r="C14" s="1812" t="s">
        <v>579</v>
      </c>
      <c r="D14" s="1812" t="s">
        <v>578</v>
      </c>
      <c r="E14" s="1813" t="s">
        <v>577</v>
      </c>
      <c r="F14" s="1813" t="s">
        <v>576</v>
      </c>
      <c r="G14" s="1813" t="s">
        <v>575</v>
      </c>
      <c r="H14" s="1813" t="s">
        <v>574</v>
      </c>
      <c r="I14" s="1814">
        <v>2</v>
      </c>
      <c r="J14" s="1814">
        <v>2</v>
      </c>
      <c r="K14" s="1815"/>
    </row>
    <row r="15" spans="2:11" s="1816" customFormat="1" ht="24" customHeight="1">
      <c r="H15" s="1816" t="s">
        <v>302</v>
      </c>
      <c r="I15" s="1817">
        <f>IF(SUM(I11:I14)=0,"",ROUNDDOWN(AVERAGE(I11:I14),1))</f>
        <v>2.5</v>
      </c>
      <c r="J15" s="1817">
        <f>IF(SUM(J11:J14)=0,"",ROUNDDOWN(AVERAGE(J11:J14),1))</f>
        <v>2.5</v>
      </c>
      <c r="K15" s="1818"/>
    </row>
    <row r="16" spans="2:11">
      <c r="C16" s="1802"/>
      <c r="D16" s="1802"/>
      <c r="E16" s="1819"/>
      <c r="F16" s="1819"/>
      <c r="G16" s="1819"/>
      <c r="H16" s="1819"/>
    </row>
    <row r="17" spans="2:11" ht="30" customHeight="1">
      <c r="B17" s="1809">
        <v>2</v>
      </c>
      <c r="C17" s="2540" t="s">
        <v>567</v>
      </c>
      <c r="D17" s="2541"/>
      <c r="E17" s="2541"/>
      <c r="F17" s="2541"/>
      <c r="G17" s="2541"/>
      <c r="H17" s="2542"/>
    </row>
    <row r="18" spans="2:11" ht="36">
      <c r="B18" s="1811">
        <f>B17+0.1</f>
        <v>2.1</v>
      </c>
      <c r="C18" s="1812" t="s">
        <v>573</v>
      </c>
      <c r="D18" s="1812" t="s">
        <v>572</v>
      </c>
      <c r="E18" s="1820" t="s">
        <v>571</v>
      </c>
      <c r="F18" s="1820" t="s">
        <v>570</v>
      </c>
      <c r="G18" s="1820" t="s">
        <v>569</v>
      </c>
      <c r="H18" s="1820" t="s">
        <v>568</v>
      </c>
      <c r="I18" s="1814">
        <v>2</v>
      </c>
      <c r="J18" s="1814">
        <v>2</v>
      </c>
      <c r="K18" s="1815"/>
    </row>
    <row r="19" spans="2:11" ht="96">
      <c r="B19" s="1811">
        <f>B18+0.1</f>
        <v>2.2000000000000002</v>
      </c>
      <c r="C19" s="1812" t="s">
        <v>566</v>
      </c>
      <c r="D19" s="1812" t="s">
        <v>565</v>
      </c>
      <c r="E19" s="1820" t="s">
        <v>564</v>
      </c>
      <c r="F19" s="1820" t="s">
        <v>601</v>
      </c>
      <c r="G19" s="1820" t="s">
        <v>563</v>
      </c>
      <c r="H19" s="1820" t="s">
        <v>562</v>
      </c>
      <c r="I19" s="1814">
        <v>3</v>
      </c>
      <c r="J19" s="1814">
        <v>2</v>
      </c>
      <c r="K19" s="1815"/>
    </row>
    <row r="20" spans="2:11" ht="48">
      <c r="B20" s="1811">
        <f>B19+0.1</f>
        <v>2.3000000000000003</v>
      </c>
      <c r="C20" s="1812" t="s">
        <v>561</v>
      </c>
      <c r="D20" s="1812" t="s">
        <v>560</v>
      </c>
      <c r="E20" s="1813" t="s">
        <v>559</v>
      </c>
      <c r="F20" s="1813" t="s">
        <v>558</v>
      </c>
      <c r="G20" s="1813" t="s">
        <v>557</v>
      </c>
      <c r="H20" s="1813" t="s">
        <v>556</v>
      </c>
      <c r="I20" s="1814">
        <v>3</v>
      </c>
      <c r="J20" s="1814">
        <v>3</v>
      </c>
      <c r="K20" s="1815"/>
    </row>
    <row r="21" spans="2:11" s="1816" customFormat="1" ht="24" customHeight="1">
      <c r="H21" s="1816" t="s">
        <v>302</v>
      </c>
      <c r="I21" s="1817">
        <f>IF(SUM(I18:I20)=0,"",ROUNDDOWN(AVERAGE(I18:I20),1))</f>
        <v>2.6</v>
      </c>
      <c r="J21" s="1817">
        <f>IF(SUM(J18:J20)=0,"",ROUNDDOWN(AVERAGE(J18:J20),1))</f>
        <v>2.2999999999999998</v>
      </c>
      <c r="K21" s="1818"/>
    </row>
    <row r="22" spans="2:11">
      <c r="C22" s="1802"/>
      <c r="D22" s="1802"/>
      <c r="E22" s="1819"/>
      <c r="F22" s="1819"/>
      <c r="G22" s="1819"/>
      <c r="H22" s="1819"/>
    </row>
    <row r="23" spans="2:11" ht="30" customHeight="1">
      <c r="B23" s="1809">
        <v>3</v>
      </c>
      <c r="C23" s="2540" t="s">
        <v>549</v>
      </c>
      <c r="D23" s="2541"/>
      <c r="E23" s="2541"/>
      <c r="F23" s="2541"/>
      <c r="G23" s="2541"/>
      <c r="H23" s="2542"/>
    </row>
    <row r="24" spans="2:11" ht="72">
      <c r="B24" s="1811">
        <f>B23+0.1</f>
        <v>3.1</v>
      </c>
      <c r="C24" s="1821" t="s">
        <v>555</v>
      </c>
      <c r="D24" s="1821" t="s">
        <v>554</v>
      </c>
      <c r="E24" s="1820" t="s">
        <v>553</v>
      </c>
      <c r="F24" s="1820" t="s">
        <v>552</v>
      </c>
      <c r="G24" s="1820" t="s">
        <v>551</v>
      </c>
      <c r="H24" s="1820" t="s">
        <v>550</v>
      </c>
      <c r="I24" s="1814">
        <v>3</v>
      </c>
      <c r="J24" s="1814">
        <v>3</v>
      </c>
      <c r="K24" s="1815"/>
    </row>
    <row r="25" spans="2:11" ht="60">
      <c r="B25" s="1811">
        <f>B24+0.1</f>
        <v>3.2</v>
      </c>
      <c r="C25" s="1812" t="s">
        <v>548</v>
      </c>
      <c r="D25" s="1812" t="s">
        <v>547</v>
      </c>
      <c r="E25" s="1820" t="s">
        <v>546</v>
      </c>
      <c r="F25" s="1820" t="s">
        <v>545</v>
      </c>
      <c r="G25" s="1820" t="s">
        <v>544</v>
      </c>
      <c r="H25" s="1820" t="s">
        <v>543</v>
      </c>
      <c r="I25" s="1814">
        <v>2</v>
      </c>
      <c r="J25" s="1814">
        <v>2</v>
      </c>
      <c r="K25" s="1815"/>
    </row>
    <row r="26" spans="2:11" ht="48">
      <c r="B26" s="1811">
        <f>B25+0.1</f>
        <v>3.3000000000000003</v>
      </c>
      <c r="C26" s="1812" t="s">
        <v>542</v>
      </c>
      <c r="D26" s="1812" t="s">
        <v>541</v>
      </c>
      <c r="E26" s="1820" t="s">
        <v>540</v>
      </c>
      <c r="F26" s="1820" t="s">
        <v>539</v>
      </c>
      <c r="G26" s="1820" t="s">
        <v>538</v>
      </c>
      <c r="H26" s="1820" t="s">
        <v>537</v>
      </c>
      <c r="I26" s="1814">
        <v>3</v>
      </c>
      <c r="J26" s="1814">
        <v>2</v>
      </c>
      <c r="K26" s="1815"/>
    </row>
    <row r="27" spans="2:11" s="1816" customFormat="1" ht="24" customHeight="1">
      <c r="H27" s="1816" t="s">
        <v>302</v>
      </c>
      <c r="I27" s="1817">
        <f>IF(SUM(I24:I26)=0,"",ROUNDDOWN(AVERAGE(I24:I26),1))</f>
        <v>2.6</v>
      </c>
      <c r="J27" s="1817">
        <f>IF(SUM(J24:J26)=0,"",ROUNDDOWN(AVERAGE(J24:J26),1))</f>
        <v>2.2999999999999998</v>
      </c>
      <c r="K27" s="1818"/>
    </row>
    <row r="28" spans="2:11">
      <c r="C28" s="1802"/>
      <c r="D28" s="1802"/>
      <c r="E28" s="1819"/>
      <c r="F28" s="1819"/>
      <c r="G28" s="1819"/>
      <c r="H28" s="1819"/>
    </row>
    <row r="29" spans="2:11" ht="17" customHeight="1"/>
    <row r="30" spans="2:11" ht="17" customHeight="1">
      <c r="F30" s="1804" t="s">
        <v>304</v>
      </c>
    </row>
    <row r="31" spans="2:11" ht="17" customHeight="1">
      <c r="G31" s="1822" t="s">
        <v>305</v>
      </c>
      <c r="H31" s="1800">
        <v>1</v>
      </c>
      <c r="I31" s="1823">
        <f>IF(I15="","",I15)</f>
        <v>2.5</v>
      </c>
      <c r="J31" s="1823">
        <f>IF(J15="","",J15)</f>
        <v>2.5</v>
      </c>
      <c r="K31" s="1802" t="s">
        <v>688</v>
      </c>
    </row>
    <row r="32" spans="2:11" ht="17" customHeight="1">
      <c r="G32" s="1822" t="s">
        <v>305</v>
      </c>
      <c r="H32" s="1800">
        <f>1+H31</f>
        <v>2</v>
      </c>
      <c r="I32" s="1824">
        <f>IF(I21="","",I21)</f>
        <v>2.6</v>
      </c>
      <c r="J32" s="1824">
        <f>IF(J21="","",J21)</f>
        <v>2.2999999999999998</v>
      </c>
    </row>
    <row r="33" spans="2:12" ht="17" customHeight="1">
      <c r="G33" s="1822" t="s">
        <v>305</v>
      </c>
      <c r="H33" s="1800">
        <f>1+H32</f>
        <v>3</v>
      </c>
      <c r="I33" s="1824">
        <f>IF(I27="","",I27)</f>
        <v>2.6</v>
      </c>
      <c r="J33" s="1824">
        <f>IF(J27="","",J27)</f>
        <v>2.2999999999999998</v>
      </c>
    </row>
    <row r="34" spans="2:12" s="1802" customFormat="1" ht="17" customHeight="1">
      <c r="B34" s="1800"/>
      <c r="C34" s="1801"/>
      <c r="D34" s="1801"/>
      <c r="E34" s="1801"/>
      <c r="F34" s="1801"/>
      <c r="G34" s="1801"/>
      <c r="H34" s="1816" t="s">
        <v>306</v>
      </c>
      <c r="I34" s="1824">
        <f>SUM(I11:I14)+SUM(I18:I20)+SUM(I24:I26)</f>
        <v>26</v>
      </c>
      <c r="J34" s="1824">
        <f>SUM(J11:J14)+SUM(J18:J20)+SUM(J24:J26)</f>
        <v>24</v>
      </c>
      <c r="L34" s="1801"/>
    </row>
    <row r="35" spans="2:12" s="1802" customFormat="1" ht="17" customHeight="1">
      <c r="B35" s="1800"/>
      <c r="C35" s="1801"/>
      <c r="D35" s="1801"/>
      <c r="E35" s="1801"/>
      <c r="F35" s="1801"/>
      <c r="G35" s="1801"/>
      <c r="H35" s="1816"/>
      <c r="I35" s="1825"/>
      <c r="J35" s="1825"/>
      <c r="L35" s="1801"/>
    </row>
    <row r="36" spans="2:12" s="1802" customFormat="1" ht="17" customHeight="1">
      <c r="B36" s="1800"/>
      <c r="C36" s="1826" t="s">
        <v>600</v>
      </c>
      <c r="D36" s="1826"/>
      <c r="E36" s="1801"/>
      <c r="F36" s="1801"/>
      <c r="G36" s="1801"/>
      <c r="H36" s="1801"/>
      <c r="I36" s="1800"/>
      <c r="J36" s="1800"/>
      <c r="L36" s="1801"/>
    </row>
    <row r="37" spans="2:12" s="1802" customFormat="1" ht="17" customHeight="1">
      <c r="B37" s="1800"/>
      <c r="C37" s="1801"/>
      <c r="D37" s="1801"/>
      <c r="E37" s="1801"/>
      <c r="F37" s="1801"/>
      <c r="G37" s="1801"/>
      <c r="H37" s="1801"/>
      <c r="I37" s="1800"/>
      <c r="J37" s="1800"/>
      <c r="L37" s="1801"/>
    </row>
    <row r="38" spans="2:12" s="1802" customFormat="1" ht="17" customHeight="1">
      <c r="B38" s="1800"/>
      <c r="C38" s="1801"/>
      <c r="D38" s="1801"/>
      <c r="E38" s="1801"/>
      <c r="F38" s="1801"/>
      <c r="G38" s="1801"/>
      <c r="H38" s="1801"/>
      <c r="I38" s="1800"/>
      <c r="J38" s="1800"/>
      <c r="L38" s="1801"/>
    </row>
    <row r="39" spans="2:12" s="1802" customFormat="1" ht="17" customHeight="1">
      <c r="B39" s="1800"/>
      <c r="C39" s="1801"/>
      <c r="D39" s="1801"/>
      <c r="E39" s="1801"/>
      <c r="F39" s="1801"/>
      <c r="G39" s="1801"/>
      <c r="H39" s="1801"/>
      <c r="I39" s="1800"/>
      <c r="J39" s="1800"/>
      <c r="L39" s="1801"/>
    </row>
    <row r="40" spans="2:12" s="1802" customFormat="1" ht="17" customHeight="1">
      <c r="B40" s="1800"/>
      <c r="C40" s="1801"/>
      <c r="D40" s="1801"/>
      <c r="E40" s="1801"/>
      <c r="F40" s="1801"/>
      <c r="G40" s="1801"/>
      <c r="H40" s="1801"/>
      <c r="I40" s="1800"/>
      <c r="J40" s="1800"/>
      <c r="L40" s="1801"/>
    </row>
    <row r="41" spans="2:12" s="1802" customFormat="1" ht="17" customHeight="1">
      <c r="B41" s="1800"/>
      <c r="C41" s="1801"/>
      <c r="D41" s="1801"/>
      <c r="E41" s="1801"/>
      <c r="F41" s="1801"/>
      <c r="G41" s="1801"/>
      <c r="H41" s="1801"/>
      <c r="I41" s="1800"/>
      <c r="J41" s="1800"/>
      <c r="L41" s="1801"/>
    </row>
    <row r="42" spans="2:12" s="1802" customFormat="1" ht="17" customHeight="1">
      <c r="B42" s="1800"/>
      <c r="C42" s="1801"/>
      <c r="D42" s="1801"/>
      <c r="E42" s="1801"/>
      <c r="F42" s="1801"/>
      <c r="G42" s="1801"/>
      <c r="H42" s="1801"/>
      <c r="I42" s="1800"/>
      <c r="J42" s="1800"/>
      <c r="L42" s="1801"/>
    </row>
    <row r="43" spans="2:12" s="1802" customFormat="1" ht="17" customHeight="1">
      <c r="B43" s="1800"/>
      <c r="C43" s="1801"/>
      <c r="D43" s="1801"/>
      <c r="E43" s="1801"/>
      <c r="F43" s="1801"/>
      <c r="G43" s="1801"/>
      <c r="H43" s="1801"/>
      <c r="I43" s="1800"/>
      <c r="J43" s="1800"/>
      <c r="L43" s="1801"/>
    </row>
    <row r="44" spans="2:12" s="1802" customFormat="1" ht="17" customHeight="1">
      <c r="B44" s="1800"/>
      <c r="C44" s="1801"/>
      <c r="D44" s="1801"/>
      <c r="E44" s="1801"/>
      <c r="F44" s="1801"/>
      <c r="G44" s="1801"/>
      <c r="H44" s="1801"/>
      <c r="I44" s="1800"/>
      <c r="J44" s="1800"/>
      <c r="L44" s="1801"/>
    </row>
    <row r="45" spans="2:12" s="1802" customFormat="1" ht="17" customHeight="1">
      <c r="B45" s="1800"/>
      <c r="C45" s="1801"/>
      <c r="D45" s="1801"/>
      <c r="E45" s="1801"/>
      <c r="F45" s="1801"/>
      <c r="G45" s="1801"/>
      <c r="H45" s="1801"/>
      <c r="I45" s="1800"/>
      <c r="J45" s="1800"/>
      <c r="L45" s="1801"/>
    </row>
    <row r="46" spans="2:12" ht="17" customHeight="1"/>
    <row r="47" spans="2:12" ht="17" customHeight="1"/>
    <row r="48" spans="2:12" ht="17" customHeight="1"/>
    <row r="49" spans="3:11" ht="17" customHeight="1"/>
    <row r="50" spans="3:11" ht="17" customHeight="1"/>
    <row r="51" spans="3:11" ht="17" customHeight="1"/>
    <row r="52" spans="3:11" s="1800" customFormat="1" ht="17" customHeight="1">
      <c r="C52" s="1801"/>
      <c r="D52" s="1801"/>
      <c r="E52" s="1801"/>
      <c r="F52" s="1801"/>
      <c r="G52" s="1801"/>
      <c r="H52" s="1801"/>
      <c r="K52" s="1802"/>
    </row>
    <row r="53" spans="3:11" s="1800" customFormat="1" ht="17" customHeight="1">
      <c r="C53" s="1801"/>
      <c r="D53" s="1801"/>
      <c r="E53" s="1801"/>
      <c r="F53" s="1801"/>
      <c r="G53" s="1801"/>
      <c r="H53" s="1801"/>
      <c r="K53" s="1802"/>
    </row>
    <row r="54" spans="3:11" s="1800" customFormat="1" ht="17" customHeight="1">
      <c r="C54" s="1801"/>
      <c r="D54" s="1801"/>
      <c r="E54" s="1801"/>
      <c r="F54" s="1801"/>
      <c r="G54" s="1801"/>
      <c r="H54" s="1801"/>
      <c r="K54" s="1802"/>
    </row>
    <row r="55" spans="3:11" s="1800" customFormat="1" ht="17" customHeight="1">
      <c r="C55" s="1801"/>
      <c r="D55" s="1801"/>
      <c r="E55" s="1801"/>
      <c r="F55" s="1801"/>
      <c r="G55" s="1801"/>
      <c r="H55" s="1801"/>
      <c r="K55" s="1802"/>
    </row>
    <row r="56" spans="3:11" s="1800" customFormat="1" ht="17" customHeight="1">
      <c r="C56" s="1801"/>
      <c r="D56" s="1801"/>
      <c r="E56" s="1801"/>
      <c r="F56" s="1801"/>
      <c r="G56" s="1801"/>
      <c r="H56" s="1801"/>
      <c r="K56" s="1802"/>
    </row>
    <row r="57" spans="3:11" s="1800" customFormat="1" ht="17" customHeight="1">
      <c r="C57" s="1801"/>
      <c r="D57" s="1801"/>
      <c r="E57" s="1801"/>
      <c r="F57" s="1801"/>
      <c r="G57" s="1801"/>
      <c r="H57" s="1801"/>
      <c r="K57" s="1802"/>
    </row>
    <row r="58" spans="3:11" s="1800" customFormat="1" ht="17" customHeight="1">
      <c r="C58" s="1801"/>
      <c r="D58" s="1801"/>
      <c r="E58" s="1801"/>
      <c r="F58" s="1801"/>
      <c r="G58" s="1801"/>
      <c r="H58" s="1801"/>
      <c r="K58" s="1802"/>
    </row>
    <row r="59" spans="3:11" s="1800" customFormat="1" ht="17" customHeight="1">
      <c r="C59" s="1801"/>
      <c r="D59" s="1801"/>
      <c r="E59" s="1801"/>
      <c r="F59" s="1801"/>
      <c r="G59" s="1801"/>
      <c r="H59" s="1801"/>
      <c r="K59" s="1802"/>
    </row>
    <row r="60" spans="3:11" s="1800" customFormat="1" ht="17" customHeight="1">
      <c r="C60" s="1801"/>
      <c r="D60" s="1801"/>
      <c r="E60" s="1801"/>
      <c r="F60" s="1801"/>
      <c r="G60" s="1801"/>
      <c r="H60" s="1801"/>
      <c r="K60" s="1802"/>
    </row>
    <row r="61" spans="3:11" s="1800" customFormat="1" ht="17" customHeight="1">
      <c r="C61" s="1801"/>
      <c r="D61" s="1801"/>
      <c r="E61" s="1801"/>
      <c r="F61" s="1801"/>
      <c r="G61" s="1801"/>
      <c r="H61" s="1801"/>
      <c r="K61" s="1802"/>
    </row>
    <row r="62" spans="3:11" s="1800" customFormat="1" ht="17" customHeight="1">
      <c r="C62" s="1801"/>
      <c r="D62" s="1801"/>
      <c r="E62" s="1801"/>
      <c r="F62" s="1801"/>
      <c r="G62" s="1801"/>
      <c r="H62" s="1801"/>
      <c r="K62" s="1802"/>
    </row>
    <row r="63" spans="3:11" s="1800" customFormat="1" ht="17" customHeight="1">
      <c r="C63" s="1801"/>
      <c r="D63" s="1801"/>
      <c r="E63" s="1801"/>
      <c r="F63" s="1801"/>
      <c r="G63" s="1801"/>
      <c r="H63" s="1801"/>
      <c r="K63" s="1802"/>
    </row>
    <row r="64" spans="3:11" s="1800" customFormat="1" ht="17" customHeight="1">
      <c r="C64" s="1801"/>
      <c r="D64" s="1801"/>
      <c r="E64" s="1801"/>
      <c r="F64" s="1801"/>
      <c r="G64" s="1801"/>
      <c r="H64" s="1801"/>
      <c r="K64" s="1802"/>
    </row>
    <row r="65" spans="3:11" s="1800" customFormat="1" ht="17" customHeight="1">
      <c r="C65" s="1801"/>
      <c r="D65" s="1801"/>
      <c r="E65" s="1801"/>
      <c r="F65" s="1801"/>
      <c r="G65" s="1801"/>
      <c r="H65" s="1801"/>
      <c r="K65" s="1802"/>
    </row>
    <row r="66" spans="3:11" s="1800" customFormat="1" ht="17" customHeight="1">
      <c r="C66" s="1801"/>
      <c r="D66" s="1801"/>
      <c r="E66" s="1801"/>
      <c r="F66" s="1801"/>
      <c r="G66" s="1801"/>
      <c r="H66" s="1801"/>
      <c r="K66" s="1802"/>
    </row>
    <row r="67" spans="3:11" s="1800" customFormat="1" ht="17" customHeight="1">
      <c r="C67" s="1801"/>
      <c r="D67" s="1801"/>
      <c r="E67" s="1801"/>
      <c r="F67" s="1801"/>
      <c r="G67" s="1801"/>
      <c r="H67" s="1801"/>
      <c r="K67" s="1802"/>
    </row>
    <row r="68" spans="3:11" s="1800" customFormat="1" ht="17" customHeight="1">
      <c r="C68" s="1801"/>
      <c r="D68" s="1801"/>
      <c r="E68" s="1801"/>
      <c r="F68" s="1801"/>
      <c r="G68" s="1801"/>
      <c r="H68" s="1801"/>
      <c r="K68" s="1802"/>
    </row>
    <row r="69" spans="3:11" s="1800" customFormat="1" ht="17" customHeight="1">
      <c r="C69" s="1801"/>
      <c r="D69" s="1801"/>
      <c r="E69" s="1801"/>
      <c r="F69" s="1801"/>
      <c r="G69" s="1801"/>
      <c r="H69" s="1801"/>
      <c r="K69" s="1802"/>
    </row>
    <row r="70" spans="3:11" s="1800" customFormat="1" ht="17" customHeight="1">
      <c r="C70" s="1801"/>
      <c r="D70" s="1801"/>
      <c r="E70" s="1801"/>
      <c r="F70" s="1801"/>
      <c r="G70" s="1801"/>
      <c r="H70" s="1801"/>
      <c r="K70" s="1802"/>
    </row>
  </sheetData>
  <sheetProtection algorithmName="SHA-512" hashValue="EIb0yscgrjs/kGAChN/YpVRaD2wEcAIqNaaGYC1/rqxkZJU7AzFFOU9Rq8V8iYT4+g3Sp0Wo6+qKuAStB9Sv2Q==" saltValue="Xvkh607IuzxDwUUnhkiYMw==" spinCount="100000" sheet="1" objects="1" scenarios="1" selectLockedCells="1"/>
  <mergeCells count="8">
    <mergeCell ref="I8:K8"/>
    <mergeCell ref="C10:H10"/>
    <mergeCell ref="C17:H17"/>
    <mergeCell ref="C23:H23"/>
    <mergeCell ref="F3:H3"/>
    <mergeCell ref="B8:B9"/>
    <mergeCell ref="C8:C9"/>
    <mergeCell ref="E8:H8"/>
  </mergeCells>
  <conditionalFormatting sqref="I35:J35">
    <cfRule type="cellIs" dxfId="14" priority="1" operator="equal">
      <formula>"Yes"</formula>
    </cfRule>
    <cfRule type="cellIs" dxfId="13" priority="2" operator="equal">
      <formula>"No"</formula>
    </cfRule>
  </conditionalFormatting>
  <dataValidations count="1">
    <dataValidation type="whole" allowBlank="1" showInputMessage="1" showErrorMessage="1" sqref="I11:J14 I18:J20 I24:J26" xr:uid="{00000000-0002-0000-58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77C27-3C30-4F36-B2FD-950FBD058573}">
  <sheetPr codeName="Recert_Learning">
    <tabColor theme="4"/>
  </sheetPr>
  <dimension ref="A1:S119"/>
  <sheetViews>
    <sheetView workbookViewId="0">
      <selection activeCell="D8" sqref="D8"/>
    </sheetView>
  </sheetViews>
  <sheetFormatPr baseColWidth="10" defaultColWidth="11.5" defaultRowHeight="15"/>
  <cols>
    <col min="1" max="2" width="5.5" style="172" customWidth="1"/>
    <col min="3" max="3" width="35.6640625" style="172" customWidth="1"/>
    <col min="4" max="4" width="27.5" style="172" customWidth="1"/>
    <col min="5" max="5" width="18.33203125" style="172" customWidth="1"/>
    <col min="6" max="7" width="27.5" style="172" customWidth="1"/>
    <col min="8" max="8" width="28.33203125" style="172" customWidth="1"/>
    <col min="9" max="10" width="29.83203125" style="172" customWidth="1"/>
    <col min="11" max="11" width="44.6640625" style="172" customWidth="1"/>
    <col min="12" max="12" width="34.6640625" style="706" bestFit="1" customWidth="1"/>
    <col min="13" max="13" width="72.5" style="684" customWidth="1"/>
    <col min="14" max="14" width="19.5" style="172" bestFit="1" customWidth="1"/>
    <col min="15" max="15" width="6.5" style="172" customWidth="1"/>
    <col min="16" max="17" width="11.5" style="172"/>
    <col min="18" max="18" width="0" style="172" hidden="1" customWidth="1"/>
    <col min="19" max="19" width="31.83203125" style="172" hidden="1" customWidth="1"/>
    <col min="20" max="20" width="0" style="172" hidden="1" customWidth="1"/>
    <col min="21" max="16384" width="11.5" style="172"/>
  </cols>
  <sheetData>
    <row r="1" spans="1:19" ht="17" thickBot="1">
      <c r="B1" s="459"/>
      <c r="C1" s="459"/>
      <c r="D1" s="459"/>
      <c r="E1" s="459"/>
      <c r="F1" s="459"/>
      <c r="G1" s="459"/>
      <c r="H1" s="459"/>
      <c r="I1" s="459"/>
      <c r="J1" s="459"/>
      <c r="K1" s="459"/>
      <c r="L1" s="459"/>
      <c r="M1" s="459"/>
      <c r="N1" s="190"/>
      <c r="O1" s="190"/>
      <c r="P1" s="190"/>
    </row>
    <row r="2" spans="1:19" ht="7.5" customHeight="1" thickTop="1">
      <c r="L2" s="172"/>
      <c r="N2" s="685"/>
      <c r="O2" s="685"/>
      <c r="P2" s="685"/>
      <c r="Q2" s="685"/>
    </row>
    <row r="3" spans="1:19" ht="26.25" customHeight="1">
      <c r="B3" s="2046" t="str">
        <f>Dictionary!B1045</f>
        <v>Professionelle Weiterbildung: Lernen</v>
      </c>
      <c r="C3" s="2046"/>
      <c r="D3" s="2046"/>
      <c r="E3" s="2046"/>
      <c r="F3" s="2046"/>
      <c r="G3" s="2046"/>
      <c r="H3" s="2046"/>
      <c r="I3" s="2046"/>
      <c r="J3" s="2046"/>
      <c r="K3" s="2046"/>
      <c r="L3" s="2046"/>
      <c r="M3" s="2046"/>
      <c r="N3" s="685"/>
      <c r="O3" s="685"/>
      <c r="P3" s="685"/>
      <c r="Q3" s="685"/>
    </row>
    <row r="4" spans="1:19">
      <c r="L4" s="172"/>
    </row>
    <row r="5" spans="1:19" ht="16">
      <c r="B5" s="2116" t="str">
        <f>COV!E7&amp;" "&amp;COV!E6&amp;", Level "&amp;COV!E16&amp;", "&amp;COV!E17&amp;" Management, "&amp;COV!T9</f>
        <v xml:space="preserve"> , Level A, Projekt Management, Erstzertifizierung</v>
      </c>
      <c r="C5" s="2116"/>
      <c r="D5" s="2116"/>
      <c r="E5" s="2116"/>
      <c r="F5" s="2116"/>
      <c r="G5" s="2116"/>
      <c r="H5" s="2116"/>
      <c r="I5" s="2116"/>
      <c r="J5" s="2116"/>
      <c r="K5" s="2117"/>
      <c r="L5" s="686" t="str">
        <f>Dictionary!B1040</f>
        <v>Anrechenbare Gesamt-Zeit</v>
      </c>
      <c r="M5" s="1745" t="str">
        <f>COV!$L$26</f>
        <v>PM ZERT</v>
      </c>
    </row>
    <row r="6" spans="1:19">
      <c r="L6" s="687">
        <f>SUM(Conferences[Credited Duration '[hrs']])+SUM(Trainings[Credited Duration '[hrs']])+SUM(Mentoring[Credited Duration '[hrs']])+SUM(Books[Credited Duration '[hrs']])+SUM(Magazines[Credited Duration '[hrs']])+'P-Dev Eval'!C17</f>
        <v>0</v>
      </c>
      <c r="M6" s="1746" t="str">
        <f>COV!$D$94</f>
        <v/>
      </c>
    </row>
    <row r="7" spans="1:19" ht="36" customHeight="1">
      <c r="C7" s="707" t="str">
        <f>IF(GC_Flag="",Dictionary!B1046,"")</f>
        <v>GPM Mitgliedschaft</v>
      </c>
      <c r="D7" s="2121" t="str">
        <f>IF(GC_Flag="",Dictionary!B1047,"")</f>
        <v>Geben Sie Ihre GPM Mitgliednummer an, um die hierfür anrechenbare Weiterbildungszeit gutgeschrieben zu bekommen.</v>
      </c>
      <c r="E7" s="2121"/>
      <c r="F7" s="2121"/>
      <c r="K7" s="1734"/>
      <c r="L7" s="172"/>
      <c r="M7" s="172"/>
    </row>
    <row r="8" spans="1:19">
      <c r="C8" s="1392" t="str">
        <f>IF(GC_Flag="",Dictionary!B1048,"")</f>
        <v>Mitgliedsnummer:</v>
      </c>
      <c r="D8" s="1393"/>
      <c r="K8" s="1734"/>
      <c r="L8" s="172"/>
      <c r="M8" s="172"/>
    </row>
    <row r="9" spans="1:19" s="211" customFormat="1" ht="42" customHeight="1">
      <c r="A9" s="2118" t="str">
        <f>Dictionary!B1044</f>
        <v>Eigenes Studium</v>
      </c>
      <c r="B9" s="688"/>
      <c r="C9" s="707" t="str">
        <f>Dictionary!B1049</f>
        <v>Teilnahme an Konferenzen (intern und extern)</v>
      </c>
      <c r="D9" s="172"/>
      <c r="E9" s="172"/>
      <c r="F9" s="172"/>
      <c r="G9" s="172"/>
      <c r="H9" s="172"/>
      <c r="I9" s="172"/>
      <c r="J9" s="172"/>
      <c r="K9" s="172"/>
      <c r="L9" s="2119"/>
      <c r="M9" s="2120"/>
      <c r="S9" s="172"/>
    </row>
    <row r="10" spans="1:19">
      <c r="A10" s="2118"/>
      <c r="B10" s="688"/>
      <c r="C10" s="776" t="str">
        <f>Dictionary!B1030</f>
        <v>Konferenz-Name / Titel</v>
      </c>
      <c r="D10" s="697" t="str">
        <f>Dictionary!B1031</f>
        <v>Veranstalter</v>
      </c>
      <c r="E10" s="697" t="str">
        <f>Dictionary!B1032</f>
        <v>Ort</v>
      </c>
      <c r="F10" s="697" t="str">
        <f>Dictionary!B1033</f>
        <v>Start Datum</v>
      </c>
      <c r="G10" s="697" t="str">
        <f>Dictionary!B1034</f>
        <v>End Datum</v>
      </c>
      <c r="H10" s="697" t="str">
        <f>Dictionary!B1035</f>
        <v>Dauer (Std.)</v>
      </c>
      <c r="I10" s="697" t="str">
        <f>Dictionary!B1036&amp;" 1"</f>
        <v>ICB Element Referenz 1</v>
      </c>
      <c r="J10" s="697" t="str">
        <f>Dictionary!B1036&amp;" 2"</f>
        <v>ICB Element Referenz 2</v>
      </c>
      <c r="K10" s="697" t="str">
        <f>Dictionary!B1037</f>
        <v>Nachweis der Teilnahme</v>
      </c>
      <c r="L10" s="777" t="str">
        <f>Dictionary!B1038</f>
        <v>Anerkennungsfähige Dauer (Std.)</v>
      </c>
      <c r="M10" s="778" t="str">
        <f>Dictionary!B1039</f>
        <v>Hinweise</v>
      </c>
    </row>
    <row r="11" spans="1:19">
      <c r="A11" s="2118"/>
      <c r="B11" s="689">
        <v>1</v>
      </c>
      <c r="C11" s="690"/>
      <c r="D11" s="690"/>
      <c r="E11" s="690"/>
      <c r="F11" s="691"/>
      <c r="G11" s="691"/>
      <c r="H11" s="692"/>
      <c r="I11" s="690"/>
      <c r="J11" s="690"/>
      <c r="K11" s="690"/>
      <c r="L11" s="693" t="str">
        <f>IF(Conferences[[#This Row],[Conference Name / Title]]="","",Checks!Q11)</f>
        <v/>
      </c>
      <c r="M11" s="694" t="str">
        <f>Checks!R11</f>
        <v/>
      </c>
    </row>
    <row r="12" spans="1:19">
      <c r="A12" s="2118"/>
      <c r="B12" s="689">
        <v>2</v>
      </c>
      <c r="C12" s="690"/>
      <c r="D12" s="690"/>
      <c r="E12" s="690"/>
      <c r="F12" s="691"/>
      <c r="G12" s="691"/>
      <c r="H12" s="692"/>
      <c r="I12" s="690"/>
      <c r="J12" s="690"/>
      <c r="K12" s="690"/>
      <c r="L12" s="693" t="str">
        <f>IF(Conferences[[#This Row],[Conference Name / Title]]="","",Checks!Q12)</f>
        <v/>
      </c>
      <c r="M12" s="694" t="str">
        <f>Checks!R12</f>
        <v/>
      </c>
    </row>
    <row r="13" spans="1:19">
      <c r="A13" s="2118"/>
      <c r="B13" s="689">
        <v>3</v>
      </c>
      <c r="C13" s="690"/>
      <c r="D13" s="690"/>
      <c r="E13" s="690"/>
      <c r="F13" s="691"/>
      <c r="G13" s="691"/>
      <c r="H13" s="692"/>
      <c r="I13" s="690"/>
      <c r="J13" s="690"/>
      <c r="K13" s="690"/>
      <c r="L13" s="693" t="str">
        <f>IF(Conferences[[#This Row],[Conference Name / Title]]="","",Checks!Q13)</f>
        <v/>
      </c>
      <c r="M13" s="694" t="str">
        <f>Checks!R13</f>
        <v/>
      </c>
    </row>
    <row r="14" spans="1:19">
      <c r="A14" s="2118"/>
      <c r="B14" s="689">
        <v>4</v>
      </c>
      <c r="C14" s="690"/>
      <c r="D14" s="690"/>
      <c r="E14" s="690"/>
      <c r="F14" s="691"/>
      <c r="G14" s="691"/>
      <c r="H14" s="692"/>
      <c r="I14" s="690"/>
      <c r="J14" s="690"/>
      <c r="K14" s="690"/>
      <c r="L14" s="693" t="str">
        <f>IF(Conferences[[#This Row],[Conference Name / Title]]="","",Checks!Q14)</f>
        <v/>
      </c>
      <c r="M14" s="694" t="str">
        <f>Checks!R14</f>
        <v/>
      </c>
    </row>
    <row r="15" spans="1:19">
      <c r="A15" s="2118"/>
      <c r="B15" s="689">
        <v>5</v>
      </c>
      <c r="C15" s="690"/>
      <c r="D15" s="690"/>
      <c r="E15" s="690"/>
      <c r="F15" s="691"/>
      <c r="G15" s="691"/>
      <c r="H15" s="692"/>
      <c r="I15" s="690"/>
      <c r="J15" s="690"/>
      <c r="K15" s="690"/>
      <c r="L15" s="693" t="str">
        <f>IF(Conferences[[#This Row],[Conference Name / Title]]="","",Checks!Q15)</f>
        <v/>
      </c>
      <c r="M15" s="694" t="str">
        <f>Checks!R15</f>
        <v/>
      </c>
    </row>
    <row r="16" spans="1:19">
      <c r="A16" s="2118"/>
      <c r="B16" s="689">
        <v>6</v>
      </c>
      <c r="C16" s="690"/>
      <c r="D16" s="690"/>
      <c r="E16" s="690"/>
      <c r="F16" s="691"/>
      <c r="G16" s="691"/>
      <c r="H16" s="692"/>
      <c r="I16" s="690"/>
      <c r="J16" s="690"/>
      <c r="K16" s="690"/>
      <c r="L16" s="693" t="str">
        <f>IF(Conferences[[#This Row],[Conference Name / Title]]="","",Checks!Q16)</f>
        <v/>
      </c>
      <c r="M16" s="694" t="str">
        <f>Checks!R16</f>
        <v/>
      </c>
    </row>
    <row r="17" spans="1:13">
      <c r="A17" s="2118"/>
      <c r="B17" s="689">
        <v>7</v>
      </c>
      <c r="C17" s="690"/>
      <c r="D17" s="690"/>
      <c r="E17" s="690"/>
      <c r="F17" s="691"/>
      <c r="G17" s="691"/>
      <c r="H17" s="692"/>
      <c r="I17" s="690"/>
      <c r="J17" s="690"/>
      <c r="K17" s="690"/>
      <c r="L17" s="693" t="str">
        <f>IF(Conferences[[#This Row],[Conference Name / Title]]="","",Checks!Q17)</f>
        <v/>
      </c>
      <c r="M17" s="694" t="str">
        <f>Checks!R17</f>
        <v/>
      </c>
    </row>
    <row r="18" spans="1:13">
      <c r="A18" s="2118"/>
      <c r="B18" s="689">
        <v>8</v>
      </c>
      <c r="C18" s="690"/>
      <c r="D18" s="690"/>
      <c r="E18" s="690"/>
      <c r="F18" s="691"/>
      <c r="G18" s="691"/>
      <c r="H18" s="692"/>
      <c r="I18" s="690"/>
      <c r="J18" s="690"/>
      <c r="K18" s="690"/>
      <c r="L18" s="693" t="str">
        <f>IF(Conferences[[#This Row],[Conference Name / Title]]="","",Checks!Q18)</f>
        <v/>
      </c>
      <c r="M18" s="694" t="str">
        <f>Checks!R18</f>
        <v/>
      </c>
    </row>
    <row r="19" spans="1:13">
      <c r="A19" s="2118"/>
      <c r="B19" s="689">
        <v>9</v>
      </c>
      <c r="C19" s="690"/>
      <c r="D19" s="690"/>
      <c r="E19" s="690"/>
      <c r="F19" s="691"/>
      <c r="G19" s="691"/>
      <c r="H19" s="692"/>
      <c r="I19" s="690"/>
      <c r="J19" s="690"/>
      <c r="K19" s="690"/>
      <c r="L19" s="693" t="str">
        <f>IF(Conferences[[#This Row],[Conference Name / Title]]="","",Checks!Q19)</f>
        <v/>
      </c>
      <c r="M19" s="694" t="str">
        <f>Checks!R19</f>
        <v/>
      </c>
    </row>
    <row r="20" spans="1:13">
      <c r="A20" s="2118"/>
      <c r="B20" s="689">
        <v>10</v>
      </c>
      <c r="C20" s="690"/>
      <c r="D20" s="690"/>
      <c r="E20" s="690"/>
      <c r="F20" s="691"/>
      <c r="G20" s="691"/>
      <c r="H20" s="692"/>
      <c r="I20" s="690"/>
      <c r="J20" s="690"/>
      <c r="K20" s="690"/>
      <c r="L20" s="693" t="str">
        <f>IF(Conferences[[#This Row],[Conference Name / Title]]="","",Checks!Q20)</f>
        <v/>
      </c>
      <c r="M20" s="694" t="str">
        <f>Checks!R20</f>
        <v/>
      </c>
    </row>
    <row r="21" spans="1:13">
      <c r="A21" s="2118"/>
      <c r="B21" s="689">
        <v>11</v>
      </c>
      <c r="C21" s="690"/>
      <c r="D21" s="690"/>
      <c r="E21" s="690"/>
      <c r="F21" s="691"/>
      <c r="G21" s="691"/>
      <c r="H21" s="692"/>
      <c r="I21" s="690"/>
      <c r="J21" s="690"/>
      <c r="K21" s="690"/>
      <c r="L21" s="693" t="str">
        <f>IF(Conferences[[#This Row],[Conference Name / Title]]="","",Checks!Q21)</f>
        <v/>
      </c>
      <c r="M21" s="694" t="str">
        <f>Checks!R21</f>
        <v/>
      </c>
    </row>
    <row r="22" spans="1:13">
      <c r="A22" s="2118"/>
      <c r="B22" s="689">
        <v>12</v>
      </c>
      <c r="C22" s="690"/>
      <c r="D22" s="690"/>
      <c r="E22" s="690"/>
      <c r="F22" s="691"/>
      <c r="G22" s="691"/>
      <c r="H22" s="692"/>
      <c r="I22" s="690"/>
      <c r="J22" s="690"/>
      <c r="K22" s="690"/>
      <c r="L22" s="693" t="str">
        <f>IF(Conferences[[#This Row],[Conference Name / Title]]="","",Checks!Q22)</f>
        <v/>
      </c>
      <c r="M22" s="694" t="str">
        <f>Checks!R22</f>
        <v/>
      </c>
    </row>
    <row r="23" spans="1:13">
      <c r="A23" s="2118"/>
      <c r="B23" s="689">
        <v>13</v>
      </c>
      <c r="C23" s="690"/>
      <c r="D23" s="690"/>
      <c r="E23" s="690"/>
      <c r="F23" s="691"/>
      <c r="G23" s="691"/>
      <c r="H23" s="692"/>
      <c r="I23" s="690"/>
      <c r="J23" s="690"/>
      <c r="K23" s="690"/>
      <c r="L23" s="693" t="str">
        <f>IF(Conferences[[#This Row],[Conference Name / Title]]="","",Checks!Q23)</f>
        <v/>
      </c>
      <c r="M23" s="694" t="str">
        <f>Checks!R23</f>
        <v/>
      </c>
    </row>
    <row r="24" spans="1:13">
      <c r="A24" s="2118"/>
      <c r="B24" s="689">
        <v>14</v>
      </c>
      <c r="C24" s="690"/>
      <c r="D24" s="690"/>
      <c r="E24" s="690"/>
      <c r="F24" s="691"/>
      <c r="G24" s="691"/>
      <c r="H24" s="692"/>
      <c r="I24" s="690"/>
      <c r="J24" s="690"/>
      <c r="K24" s="690"/>
      <c r="L24" s="693" t="str">
        <f>IF(Conferences[[#This Row],[Conference Name / Title]]="","",Checks!Q24)</f>
        <v/>
      </c>
      <c r="M24" s="694" t="str">
        <f>Checks!R24</f>
        <v/>
      </c>
    </row>
    <row r="25" spans="1:13">
      <c r="A25" s="2118"/>
      <c r="B25" s="689">
        <v>15</v>
      </c>
      <c r="C25" s="690"/>
      <c r="D25" s="690"/>
      <c r="E25" s="690"/>
      <c r="F25" s="691"/>
      <c r="G25" s="691"/>
      <c r="H25" s="692"/>
      <c r="I25" s="690"/>
      <c r="J25" s="690"/>
      <c r="K25" s="690"/>
      <c r="L25" s="693" t="str">
        <f>IF(Conferences[[#This Row],[Conference Name / Title]]="","",Checks!Q25)</f>
        <v/>
      </c>
      <c r="M25" s="694" t="str">
        <f>Checks!R25</f>
        <v/>
      </c>
    </row>
    <row r="26" spans="1:13">
      <c r="A26" s="2118"/>
      <c r="B26" s="689">
        <v>16</v>
      </c>
      <c r="C26" s="690"/>
      <c r="D26" s="690"/>
      <c r="E26" s="690"/>
      <c r="F26" s="691"/>
      <c r="G26" s="691"/>
      <c r="H26" s="692"/>
      <c r="I26" s="690"/>
      <c r="J26" s="690"/>
      <c r="K26" s="690"/>
      <c r="L26" s="693" t="str">
        <f>IF(Conferences[[#This Row],[Conference Name / Title]]="","",Checks!Q26)</f>
        <v/>
      </c>
      <c r="M26" s="694" t="str">
        <f>Checks!R26</f>
        <v/>
      </c>
    </row>
    <row r="27" spans="1:13">
      <c r="A27" s="2118"/>
      <c r="B27" s="689">
        <v>17</v>
      </c>
      <c r="C27" s="690"/>
      <c r="D27" s="690"/>
      <c r="E27" s="690"/>
      <c r="F27" s="691"/>
      <c r="G27" s="691"/>
      <c r="H27" s="692"/>
      <c r="I27" s="690"/>
      <c r="J27" s="690"/>
      <c r="K27" s="690"/>
      <c r="L27" s="693" t="str">
        <f>IF(Conferences[[#This Row],[Conference Name / Title]]="","",Checks!Q27)</f>
        <v/>
      </c>
      <c r="M27" s="694" t="str">
        <f>Checks!R27</f>
        <v/>
      </c>
    </row>
    <row r="28" spans="1:13">
      <c r="A28" s="2118"/>
      <c r="B28" s="689">
        <v>18</v>
      </c>
      <c r="C28" s="690"/>
      <c r="D28" s="690"/>
      <c r="E28" s="690"/>
      <c r="F28" s="691"/>
      <c r="G28" s="691"/>
      <c r="H28" s="692"/>
      <c r="I28" s="690"/>
      <c r="J28" s="690"/>
      <c r="K28" s="690"/>
      <c r="L28" s="693" t="str">
        <f>IF(Conferences[[#This Row],[Conference Name / Title]]="","",Checks!Q28)</f>
        <v/>
      </c>
      <c r="M28" s="694" t="str">
        <f>Checks!R28</f>
        <v/>
      </c>
    </row>
    <row r="29" spans="1:13">
      <c r="A29" s="2118"/>
      <c r="B29" s="689">
        <v>19</v>
      </c>
      <c r="C29" s="690"/>
      <c r="D29" s="690"/>
      <c r="E29" s="690"/>
      <c r="F29" s="691"/>
      <c r="G29" s="691"/>
      <c r="H29" s="692"/>
      <c r="I29" s="690"/>
      <c r="J29" s="690"/>
      <c r="K29" s="690"/>
      <c r="L29" s="693" t="str">
        <f>IF(Conferences[[#This Row],[Conference Name / Title]]="","",Checks!Q29)</f>
        <v/>
      </c>
      <c r="M29" s="694" t="str">
        <f>Checks!R29</f>
        <v/>
      </c>
    </row>
    <row r="30" spans="1:13">
      <c r="A30" s="2118"/>
      <c r="B30" s="689">
        <v>20</v>
      </c>
      <c r="C30" s="690"/>
      <c r="D30" s="690"/>
      <c r="E30" s="690"/>
      <c r="F30" s="691"/>
      <c r="G30" s="691"/>
      <c r="H30" s="692"/>
      <c r="I30" s="690"/>
      <c r="J30" s="690"/>
      <c r="K30" s="690"/>
      <c r="L30" s="693" t="str">
        <f>IF(Conferences[[#This Row],[Conference Name / Title]]="","",Checks!Q30)</f>
        <v/>
      </c>
      <c r="M30" s="694" t="str">
        <f>Checks!R30</f>
        <v/>
      </c>
    </row>
    <row r="31" spans="1:13">
      <c r="A31" s="2118"/>
      <c r="B31" s="689"/>
      <c r="L31" s="695"/>
    </row>
    <row r="32" spans="1:13" ht="42" customHeight="1">
      <c r="A32" s="2118"/>
      <c r="B32" s="689"/>
      <c r="C32" s="707" t="str">
        <f>Dictionary!B1051</f>
        <v>Teilnahme an Trainings (intern und extern)</v>
      </c>
      <c r="L32" s="2119"/>
      <c r="M32" s="2120"/>
    </row>
    <row r="33" spans="1:13">
      <c r="A33" s="2118"/>
      <c r="B33" s="689"/>
      <c r="C33" s="776" t="str">
        <f>Dictionary!B1052</f>
        <v>Name des Trainings</v>
      </c>
      <c r="D33" s="697" t="str">
        <f>Dictionary!B1031</f>
        <v>Veranstalter</v>
      </c>
      <c r="E33" s="697" t="str">
        <f>Dictionary!B1032</f>
        <v>Ort</v>
      </c>
      <c r="F33" s="697" t="str">
        <f>Dictionary!B1033</f>
        <v>Start Datum</v>
      </c>
      <c r="G33" s="697" t="str">
        <f>Dictionary!B1034</f>
        <v>End Datum</v>
      </c>
      <c r="H33" s="697" t="str">
        <f>Dictionary!B1035</f>
        <v>Dauer (Std.)</v>
      </c>
      <c r="I33" s="697" t="str">
        <f>Dictionary!B1036&amp;" 1"</f>
        <v>ICB Element Referenz 1</v>
      </c>
      <c r="J33" s="697" t="str">
        <f>Dictionary!B1036&amp;" 2"</f>
        <v>ICB Element Referenz 2</v>
      </c>
      <c r="K33" s="697" t="str">
        <f>Dictionary!B1037</f>
        <v>Nachweis der Teilnahme</v>
      </c>
      <c r="L33" s="698" t="str">
        <f>Dictionary!B1038</f>
        <v>Anerkennungsfähige Dauer (Std.)</v>
      </c>
      <c r="M33" s="778" t="str">
        <f>Dictionary!B1039</f>
        <v>Hinweise</v>
      </c>
    </row>
    <row r="34" spans="1:13">
      <c r="A34" s="2118"/>
      <c r="B34" s="689">
        <v>1</v>
      </c>
      <c r="C34" s="699"/>
      <c r="D34" s="700"/>
      <c r="E34" s="700"/>
      <c r="F34" s="701"/>
      <c r="G34" s="691"/>
      <c r="H34" s="702"/>
      <c r="I34" s="700"/>
      <c r="J34" s="700"/>
      <c r="K34" s="700"/>
      <c r="L34" s="693" t="str">
        <f>IF(Trainings[[#This Row],[Duration '[hrs']]]*1&gt;0,Checks!Q34,"")</f>
        <v/>
      </c>
      <c r="M34" s="694" t="str">
        <f>Checks!R34</f>
        <v/>
      </c>
    </row>
    <row r="35" spans="1:13">
      <c r="A35" s="2118"/>
      <c r="B35" s="689">
        <v>2</v>
      </c>
      <c r="C35" s="699"/>
      <c r="D35" s="699"/>
      <c r="E35" s="699"/>
      <c r="F35" s="703"/>
      <c r="G35" s="691"/>
      <c r="H35" s="704"/>
      <c r="I35" s="705"/>
      <c r="J35" s="705"/>
      <c r="K35" s="699"/>
      <c r="L35" s="693" t="str">
        <f>IF(Trainings[[#This Row],[Duration '[hrs']]]*1&gt;0,Checks!Q35,"")</f>
        <v/>
      </c>
      <c r="M35" s="694" t="str">
        <f>Checks!R35</f>
        <v/>
      </c>
    </row>
    <row r="36" spans="1:13">
      <c r="A36" s="2118"/>
      <c r="B36" s="689">
        <v>3</v>
      </c>
      <c r="C36" s="699"/>
      <c r="D36" s="699"/>
      <c r="E36" s="699"/>
      <c r="F36" s="703"/>
      <c r="G36" s="691"/>
      <c r="H36" s="704"/>
      <c r="I36" s="699"/>
      <c r="J36" s="699"/>
      <c r="K36" s="699"/>
      <c r="L36" s="693" t="str">
        <f>IF(Trainings[[#This Row],[Duration '[hrs']]]*1&gt;0,Checks!Q36,"")</f>
        <v/>
      </c>
      <c r="M36" s="694" t="str">
        <f>Checks!R36</f>
        <v/>
      </c>
    </row>
    <row r="37" spans="1:13">
      <c r="A37" s="2118"/>
      <c r="B37" s="689">
        <v>4</v>
      </c>
      <c r="C37" s="699"/>
      <c r="D37" s="699"/>
      <c r="E37" s="699"/>
      <c r="F37" s="703"/>
      <c r="G37" s="691"/>
      <c r="H37" s="704"/>
      <c r="I37" s="699"/>
      <c r="J37" s="699"/>
      <c r="K37" s="699"/>
      <c r="L37" s="693" t="str">
        <f>IF(Trainings[[#This Row],[Duration '[hrs']]]*1&gt;0,Checks!Q37,"")</f>
        <v/>
      </c>
      <c r="M37" s="694" t="str">
        <f>Checks!R37</f>
        <v/>
      </c>
    </row>
    <row r="38" spans="1:13">
      <c r="A38" s="2118"/>
      <c r="B38" s="689">
        <v>5</v>
      </c>
      <c r="C38" s="699"/>
      <c r="D38" s="699"/>
      <c r="E38" s="699"/>
      <c r="F38" s="703"/>
      <c r="G38" s="691"/>
      <c r="H38" s="704"/>
      <c r="I38" s="699"/>
      <c r="J38" s="699"/>
      <c r="K38" s="699"/>
      <c r="L38" s="693" t="str">
        <f>IF(Trainings[[#This Row],[Duration '[hrs']]]*1&gt;0,Checks!Q38,"")</f>
        <v/>
      </c>
      <c r="M38" s="694" t="str">
        <f>Checks!R38</f>
        <v/>
      </c>
    </row>
    <row r="39" spans="1:13">
      <c r="A39" s="2118"/>
      <c r="B39" s="689">
        <v>6</v>
      </c>
      <c r="C39" s="699"/>
      <c r="D39" s="699"/>
      <c r="E39" s="699"/>
      <c r="F39" s="703"/>
      <c r="G39" s="691"/>
      <c r="H39" s="704"/>
      <c r="I39" s="699"/>
      <c r="J39" s="699"/>
      <c r="K39" s="699"/>
      <c r="L39" s="693" t="str">
        <f>IF(Trainings[[#This Row],[Duration '[hrs']]]*1&gt;0,Checks!Q39,"")</f>
        <v/>
      </c>
      <c r="M39" s="694" t="str">
        <f>Checks!R39</f>
        <v/>
      </c>
    </row>
    <row r="40" spans="1:13">
      <c r="A40" s="2118"/>
      <c r="B40" s="689">
        <v>7</v>
      </c>
      <c r="C40" s="699"/>
      <c r="D40" s="699"/>
      <c r="E40" s="699"/>
      <c r="F40" s="703"/>
      <c r="G40" s="691"/>
      <c r="H40" s="704"/>
      <c r="I40" s="699"/>
      <c r="J40" s="699"/>
      <c r="K40" s="699"/>
      <c r="L40" s="693" t="str">
        <f>IF(Trainings[[#This Row],[Duration '[hrs']]]*1&gt;0,Checks!Q40,"")</f>
        <v/>
      </c>
      <c r="M40" s="694" t="str">
        <f>Checks!R40</f>
        <v/>
      </c>
    </row>
    <row r="41" spans="1:13">
      <c r="A41" s="2118"/>
      <c r="B41" s="689">
        <v>8</v>
      </c>
      <c r="C41" s="699"/>
      <c r="D41" s="699"/>
      <c r="E41" s="699"/>
      <c r="F41" s="703"/>
      <c r="G41" s="691"/>
      <c r="H41" s="704"/>
      <c r="I41" s="699"/>
      <c r="J41" s="699"/>
      <c r="K41" s="699"/>
      <c r="L41" s="693" t="str">
        <f>IF(Trainings[[#This Row],[Duration '[hrs']]]*1&gt;0,Checks!Q41,"")</f>
        <v/>
      </c>
      <c r="M41" s="694" t="str">
        <f>Checks!R41</f>
        <v/>
      </c>
    </row>
    <row r="42" spans="1:13">
      <c r="A42" s="2118"/>
      <c r="B42" s="689">
        <v>9</v>
      </c>
      <c r="C42" s="699"/>
      <c r="D42" s="699"/>
      <c r="E42" s="699"/>
      <c r="F42" s="703"/>
      <c r="G42" s="691"/>
      <c r="H42" s="704"/>
      <c r="I42" s="699"/>
      <c r="J42" s="699"/>
      <c r="K42" s="699"/>
      <c r="L42" s="693" t="str">
        <f>IF(Trainings[[#This Row],[Duration '[hrs']]]*1&gt;0,Checks!Q42,"")</f>
        <v/>
      </c>
      <c r="M42" s="694" t="str">
        <f>Checks!R42</f>
        <v/>
      </c>
    </row>
    <row r="43" spans="1:13">
      <c r="A43" s="2118"/>
      <c r="B43" s="689">
        <v>10</v>
      </c>
      <c r="C43" s="699"/>
      <c r="D43" s="699"/>
      <c r="E43" s="699"/>
      <c r="F43" s="703"/>
      <c r="G43" s="691"/>
      <c r="H43" s="704"/>
      <c r="I43" s="699"/>
      <c r="J43" s="699"/>
      <c r="K43" s="699"/>
      <c r="L43" s="693" t="str">
        <f>IF(Trainings[[#This Row],[Duration '[hrs']]]*1&gt;0,Checks!Q43,"")</f>
        <v/>
      </c>
      <c r="M43" s="694" t="str">
        <f>Checks!R43</f>
        <v/>
      </c>
    </row>
    <row r="44" spans="1:13">
      <c r="A44" s="2118"/>
      <c r="B44" s="689">
        <v>11</v>
      </c>
      <c r="C44" s="699"/>
      <c r="D44" s="699"/>
      <c r="E44" s="699"/>
      <c r="F44" s="703"/>
      <c r="G44" s="691"/>
      <c r="H44" s="704"/>
      <c r="I44" s="699"/>
      <c r="J44" s="699"/>
      <c r="K44" s="699"/>
      <c r="L44" s="693" t="str">
        <f>IF(Trainings[[#This Row],[Duration '[hrs']]]*1&gt;0,Checks!Q44,"")</f>
        <v/>
      </c>
      <c r="M44" s="694" t="str">
        <f>Checks!R44</f>
        <v/>
      </c>
    </row>
    <row r="45" spans="1:13">
      <c r="A45" s="2118"/>
      <c r="B45" s="689">
        <v>12</v>
      </c>
      <c r="C45" s="699"/>
      <c r="D45" s="699"/>
      <c r="E45" s="699"/>
      <c r="F45" s="703"/>
      <c r="G45" s="691"/>
      <c r="H45" s="704"/>
      <c r="I45" s="699"/>
      <c r="J45" s="699"/>
      <c r="K45" s="699"/>
      <c r="L45" s="693" t="str">
        <f>IF(Trainings[[#This Row],[Duration '[hrs']]]*1&gt;0,Checks!Q45,"")</f>
        <v/>
      </c>
      <c r="M45" s="694" t="str">
        <f>Checks!R45</f>
        <v/>
      </c>
    </row>
    <row r="46" spans="1:13">
      <c r="A46" s="2118"/>
      <c r="B46" s="689">
        <v>13</v>
      </c>
      <c r="C46" s="699"/>
      <c r="D46" s="699"/>
      <c r="E46" s="699"/>
      <c r="F46" s="703"/>
      <c r="G46" s="691"/>
      <c r="H46" s="704"/>
      <c r="I46" s="699"/>
      <c r="J46" s="699"/>
      <c r="K46" s="699"/>
      <c r="L46" s="693" t="str">
        <f>IF(Trainings[[#This Row],[Duration '[hrs']]]*1&gt;0,Checks!Q46,"")</f>
        <v/>
      </c>
      <c r="M46" s="694" t="str">
        <f>Checks!R46</f>
        <v/>
      </c>
    </row>
    <row r="47" spans="1:13">
      <c r="A47" s="2118"/>
      <c r="B47" s="689">
        <v>14</v>
      </c>
      <c r="C47" s="699"/>
      <c r="D47" s="699"/>
      <c r="E47" s="699"/>
      <c r="F47" s="703"/>
      <c r="G47" s="691"/>
      <c r="H47" s="704"/>
      <c r="I47" s="699"/>
      <c r="J47" s="699"/>
      <c r="K47" s="699"/>
      <c r="L47" s="693" t="str">
        <f>IF(Trainings[[#This Row],[Duration '[hrs']]]*1&gt;0,Checks!Q47,"")</f>
        <v/>
      </c>
      <c r="M47" s="694" t="str">
        <f>Checks!R47</f>
        <v/>
      </c>
    </row>
    <row r="48" spans="1:13">
      <c r="A48" s="2118"/>
      <c r="B48" s="689">
        <v>15</v>
      </c>
      <c r="C48" s="699"/>
      <c r="D48" s="699"/>
      <c r="E48" s="699"/>
      <c r="F48" s="703"/>
      <c r="G48" s="691"/>
      <c r="H48" s="704"/>
      <c r="I48" s="699"/>
      <c r="J48" s="699"/>
      <c r="K48" s="699"/>
      <c r="L48" s="693" t="str">
        <f>IF(Trainings[[#This Row],[Duration '[hrs']]]*1&gt;0,Checks!Q48,"")</f>
        <v/>
      </c>
      <c r="M48" s="694" t="str">
        <f>Checks!R48</f>
        <v/>
      </c>
    </row>
    <row r="49" spans="1:13">
      <c r="A49" s="2118"/>
      <c r="B49" s="689">
        <v>16</v>
      </c>
      <c r="C49" s="699"/>
      <c r="D49" s="699"/>
      <c r="E49" s="699"/>
      <c r="F49" s="703"/>
      <c r="G49" s="691"/>
      <c r="H49" s="704"/>
      <c r="I49" s="699"/>
      <c r="J49" s="699"/>
      <c r="K49" s="699"/>
      <c r="L49" s="693" t="str">
        <f>IF(Trainings[[#This Row],[Duration '[hrs']]]*1&gt;0,Checks!Q49,"")</f>
        <v/>
      </c>
      <c r="M49" s="694" t="str">
        <f>Checks!R49</f>
        <v/>
      </c>
    </row>
    <row r="50" spans="1:13">
      <c r="A50" s="2118"/>
      <c r="B50" s="689">
        <v>17</v>
      </c>
      <c r="C50" s="699"/>
      <c r="D50" s="699"/>
      <c r="E50" s="699"/>
      <c r="F50" s="703"/>
      <c r="G50" s="691"/>
      <c r="H50" s="704"/>
      <c r="I50" s="699"/>
      <c r="J50" s="699"/>
      <c r="K50" s="699"/>
      <c r="L50" s="693" t="str">
        <f>IF(Trainings[[#This Row],[Duration '[hrs']]]*1&gt;0,Checks!Q50,"")</f>
        <v/>
      </c>
      <c r="M50" s="694" t="str">
        <f>Checks!R50</f>
        <v/>
      </c>
    </row>
    <row r="51" spans="1:13">
      <c r="A51" s="2118"/>
      <c r="B51" s="689">
        <v>18</v>
      </c>
      <c r="C51" s="699"/>
      <c r="D51" s="699"/>
      <c r="E51" s="699"/>
      <c r="F51" s="703"/>
      <c r="G51" s="691"/>
      <c r="H51" s="704"/>
      <c r="I51" s="699"/>
      <c r="J51" s="699"/>
      <c r="K51" s="699"/>
      <c r="L51" s="693" t="str">
        <f>IF(Trainings[[#This Row],[Duration '[hrs']]]*1&gt;0,Checks!Q51,"")</f>
        <v/>
      </c>
      <c r="M51" s="694" t="str">
        <f>Checks!R51</f>
        <v/>
      </c>
    </row>
    <row r="52" spans="1:13">
      <c r="A52" s="2118"/>
      <c r="B52" s="689">
        <v>19</v>
      </c>
      <c r="C52" s="699"/>
      <c r="D52" s="699"/>
      <c r="E52" s="699"/>
      <c r="F52" s="703"/>
      <c r="G52" s="691"/>
      <c r="H52" s="704"/>
      <c r="I52" s="699"/>
      <c r="J52" s="699"/>
      <c r="K52" s="699"/>
      <c r="L52" s="693" t="str">
        <f>IF(Trainings[[#This Row],[Duration '[hrs']]]*1&gt;0,Checks!Q52,"")</f>
        <v/>
      </c>
      <c r="M52" s="694" t="str">
        <f>Checks!R52</f>
        <v/>
      </c>
    </row>
    <row r="53" spans="1:13">
      <c r="A53" s="2118"/>
      <c r="B53" s="689">
        <v>20</v>
      </c>
      <c r="C53" s="699"/>
      <c r="D53" s="699"/>
      <c r="E53" s="699"/>
      <c r="F53" s="703"/>
      <c r="G53" s="691"/>
      <c r="H53" s="704"/>
      <c r="I53" s="699"/>
      <c r="J53" s="699"/>
      <c r="K53" s="699"/>
      <c r="L53" s="693" t="str">
        <f>IF(Trainings[[#This Row],[Duration '[hrs']]]*1&gt;0,Checks!Q53,"")</f>
        <v/>
      </c>
      <c r="M53" s="694" t="str">
        <f>Checks!R53</f>
        <v/>
      </c>
    </row>
    <row r="54" spans="1:13">
      <c r="A54" s="2118"/>
      <c r="B54" s="689">
        <v>21</v>
      </c>
      <c r="C54" s="699"/>
      <c r="D54" s="699"/>
      <c r="E54" s="699"/>
      <c r="F54" s="703"/>
      <c r="G54" s="691"/>
      <c r="H54" s="704"/>
      <c r="I54" s="699"/>
      <c r="J54" s="699"/>
      <c r="K54" s="699"/>
      <c r="L54" s="693" t="str">
        <f>IF(Trainings[[#This Row],[Duration '[hrs']]]*1&gt;0,Checks!Q54,"")</f>
        <v/>
      </c>
      <c r="M54" s="694" t="str">
        <f>Checks!R54</f>
        <v/>
      </c>
    </row>
    <row r="55" spans="1:13">
      <c r="A55" s="2118"/>
      <c r="B55" s="689">
        <v>22</v>
      </c>
      <c r="C55" s="699"/>
      <c r="D55" s="699"/>
      <c r="E55" s="699"/>
      <c r="F55" s="703"/>
      <c r="G55" s="691"/>
      <c r="H55" s="704"/>
      <c r="I55" s="699"/>
      <c r="J55" s="699"/>
      <c r="K55" s="699"/>
      <c r="L55" s="693" t="str">
        <f>IF(Trainings[[#This Row],[Duration '[hrs']]]*1&gt;0,Checks!Q55,"")</f>
        <v/>
      </c>
      <c r="M55" s="694" t="str">
        <f>Checks!R55</f>
        <v/>
      </c>
    </row>
    <row r="56" spans="1:13">
      <c r="A56" s="2118"/>
      <c r="B56" s="689">
        <v>23</v>
      </c>
      <c r="C56" s="699"/>
      <c r="D56" s="699"/>
      <c r="E56" s="699"/>
      <c r="F56" s="703"/>
      <c r="G56" s="691"/>
      <c r="H56" s="704"/>
      <c r="I56" s="699"/>
      <c r="J56" s="699"/>
      <c r="K56" s="699"/>
      <c r="L56" s="693" t="str">
        <f>IF(Trainings[[#This Row],[Duration '[hrs']]]*1&gt;0,Checks!Q56,"")</f>
        <v/>
      </c>
      <c r="M56" s="694" t="str">
        <f>Checks!R56</f>
        <v/>
      </c>
    </row>
    <row r="57" spans="1:13">
      <c r="A57" s="2118"/>
      <c r="B57" s="689">
        <v>24</v>
      </c>
      <c r="C57" s="699"/>
      <c r="D57" s="699"/>
      <c r="E57" s="699"/>
      <c r="F57" s="703"/>
      <c r="G57" s="691"/>
      <c r="H57" s="704"/>
      <c r="I57" s="699"/>
      <c r="J57" s="699"/>
      <c r="K57" s="699"/>
      <c r="L57" s="693" t="str">
        <f>IF(Trainings[[#This Row],[Duration '[hrs']]]*1&gt;0,Checks!Q57,"")</f>
        <v/>
      </c>
      <c r="M57" s="694" t="str">
        <f>Checks!R57</f>
        <v/>
      </c>
    </row>
    <row r="58" spans="1:13">
      <c r="A58" s="2118"/>
      <c r="B58" s="689">
        <v>25</v>
      </c>
      <c r="C58" s="699"/>
      <c r="D58" s="699"/>
      <c r="E58" s="699"/>
      <c r="F58" s="703"/>
      <c r="G58" s="691"/>
      <c r="H58" s="704"/>
      <c r="I58" s="699"/>
      <c r="J58" s="699"/>
      <c r="K58" s="699"/>
      <c r="L58" s="693" t="str">
        <f>IF(Trainings[[#This Row],[Duration '[hrs']]]*1&gt;0,Checks!Q58,"")</f>
        <v/>
      </c>
      <c r="M58" s="694" t="str">
        <f>Checks!R58</f>
        <v/>
      </c>
    </row>
    <row r="59" spans="1:13">
      <c r="A59" s="2118"/>
      <c r="B59" s="689">
        <v>26</v>
      </c>
      <c r="C59" s="699"/>
      <c r="D59" s="699"/>
      <c r="E59" s="699"/>
      <c r="F59" s="703"/>
      <c r="G59" s="691"/>
      <c r="H59" s="704"/>
      <c r="I59" s="699"/>
      <c r="J59" s="699"/>
      <c r="K59" s="699"/>
      <c r="L59" s="693" t="str">
        <f>IF(Trainings[[#This Row],[Duration '[hrs']]]*1&gt;0,Checks!Q59,"")</f>
        <v/>
      </c>
      <c r="M59" s="694" t="str">
        <f>Checks!R59</f>
        <v/>
      </c>
    </row>
    <row r="60" spans="1:13">
      <c r="A60" s="2118"/>
      <c r="B60" s="689">
        <v>27</v>
      </c>
      <c r="C60" s="699"/>
      <c r="D60" s="699"/>
      <c r="E60" s="699"/>
      <c r="F60" s="703"/>
      <c r="G60" s="691"/>
      <c r="H60" s="704"/>
      <c r="I60" s="699"/>
      <c r="J60" s="699"/>
      <c r="K60" s="699"/>
      <c r="L60" s="693" t="str">
        <f>IF(Trainings[[#This Row],[Duration '[hrs']]]*1&gt;0,Checks!Q60,"")</f>
        <v/>
      </c>
      <c r="M60" s="694" t="str">
        <f>Checks!R60</f>
        <v/>
      </c>
    </row>
    <row r="61" spans="1:13">
      <c r="A61" s="2118"/>
      <c r="B61" s="689">
        <v>28</v>
      </c>
      <c r="C61" s="699"/>
      <c r="D61" s="699"/>
      <c r="E61" s="699"/>
      <c r="F61" s="703"/>
      <c r="G61" s="691"/>
      <c r="H61" s="704"/>
      <c r="I61" s="699"/>
      <c r="J61" s="699"/>
      <c r="K61" s="699"/>
      <c r="L61" s="693" t="str">
        <f>IF(Trainings[[#This Row],[Duration '[hrs']]]*1&gt;0,Checks!Q61,"")</f>
        <v/>
      </c>
      <c r="M61" s="694" t="str">
        <f>Checks!R61</f>
        <v/>
      </c>
    </row>
    <row r="62" spans="1:13">
      <c r="A62" s="2118"/>
      <c r="B62" s="689">
        <v>29</v>
      </c>
      <c r="C62" s="699"/>
      <c r="D62" s="699"/>
      <c r="E62" s="699"/>
      <c r="F62" s="703"/>
      <c r="G62" s="691"/>
      <c r="H62" s="704"/>
      <c r="I62" s="699"/>
      <c r="J62" s="699"/>
      <c r="K62" s="699"/>
      <c r="L62" s="693" t="str">
        <f>IF(Trainings[[#This Row],[Duration '[hrs']]]*1&gt;0,Checks!Q62,"")</f>
        <v/>
      </c>
      <c r="M62" s="694" t="str">
        <f>Checks!R62</f>
        <v/>
      </c>
    </row>
    <row r="63" spans="1:13">
      <c r="A63" s="2118"/>
      <c r="B63" s="689">
        <v>30</v>
      </c>
      <c r="C63" s="699"/>
      <c r="D63" s="699"/>
      <c r="E63" s="699"/>
      <c r="F63" s="703"/>
      <c r="G63" s="691"/>
      <c r="H63" s="704"/>
      <c r="I63" s="699"/>
      <c r="J63" s="699"/>
      <c r="K63" s="699"/>
      <c r="L63" s="693" t="str">
        <f>IF(Trainings[[#This Row],[Duration '[hrs']]]*1&gt;0,Checks!Q63,"")</f>
        <v/>
      </c>
      <c r="M63" s="694" t="str">
        <f>Checks!R63</f>
        <v/>
      </c>
    </row>
    <row r="64" spans="1:13">
      <c r="A64" s="2118"/>
      <c r="B64" s="689">
        <v>31</v>
      </c>
      <c r="C64" s="699"/>
      <c r="D64" s="699"/>
      <c r="E64" s="699"/>
      <c r="F64" s="703"/>
      <c r="G64" s="691"/>
      <c r="H64" s="704"/>
      <c r="I64" s="699"/>
      <c r="J64" s="699"/>
      <c r="K64" s="699"/>
      <c r="L64" s="693" t="str">
        <f>IF(Trainings[[#This Row],[Duration '[hrs']]]*1&gt;0,Checks!Q64,"")</f>
        <v/>
      </c>
      <c r="M64" s="694" t="str">
        <f>Checks!R64</f>
        <v/>
      </c>
    </row>
    <row r="65" spans="1:13">
      <c r="A65" s="2118"/>
      <c r="B65" s="689">
        <v>32</v>
      </c>
      <c r="C65" s="699"/>
      <c r="D65" s="699"/>
      <c r="E65" s="699"/>
      <c r="F65" s="703"/>
      <c r="G65" s="691"/>
      <c r="H65" s="704"/>
      <c r="I65" s="699"/>
      <c r="J65" s="699"/>
      <c r="K65" s="699"/>
      <c r="L65" s="693" t="str">
        <f>IF(Trainings[[#This Row],[Duration '[hrs']]]*1&gt;0,Checks!Q65,"")</f>
        <v/>
      </c>
      <c r="M65" s="694" t="str">
        <f>Checks!R65</f>
        <v/>
      </c>
    </row>
    <row r="66" spans="1:13">
      <c r="A66" s="2118"/>
      <c r="B66" s="689">
        <v>33</v>
      </c>
      <c r="C66" s="699"/>
      <c r="D66" s="699"/>
      <c r="E66" s="699"/>
      <c r="F66" s="703"/>
      <c r="G66" s="691"/>
      <c r="H66" s="704"/>
      <c r="I66" s="699"/>
      <c r="J66" s="699"/>
      <c r="K66" s="699"/>
      <c r="L66" s="693" t="str">
        <f>IF(Trainings[[#This Row],[Duration '[hrs']]]*1&gt;0,Checks!Q66,"")</f>
        <v/>
      </c>
      <c r="M66" s="694" t="str">
        <f>Checks!R66</f>
        <v/>
      </c>
    </row>
    <row r="67" spans="1:13">
      <c r="A67" s="2118"/>
      <c r="B67" s="689">
        <v>34</v>
      </c>
      <c r="C67" s="699"/>
      <c r="D67" s="699"/>
      <c r="E67" s="699"/>
      <c r="F67" s="703"/>
      <c r="G67" s="691"/>
      <c r="H67" s="704"/>
      <c r="I67" s="699"/>
      <c r="J67" s="699"/>
      <c r="K67" s="699"/>
      <c r="L67" s="693" t="str">
        <f>IF(Trainings[[#This Row],[Duration '[hrs']]]*1&gt;0,Checks!Q67,"")</f>
        <v/>
      </c>
      <c r="M67" s="694" t="str">
        <f>Checks!R67</f>
        <v/>
      </c>
    </row>
    <row r="68" spans="1:13">
      <c r="A68" s="2118"/>
      <c r="B68" s="689">
        <v>35</v>
      </c>
      <c r="C68" s="699"/>
      <c r="D68" s="699"/>
      <c r="E68" s="699"/>
      <c r="F68" s="703"/>
      <c r="G68" s="691"/>
      <c r="H68" s="704"/>
      <c r="I68" s="699"/>
      <c r="J68" s="699"/>
      <c r="K68" s="699"/>
      <c r="L68" s="693" t="str">
        <f>IF(Trainings[[#This Row],[Duration '[hrs']]]*1&gt;0,Checks!Q68,"")</f>
        <v/>
      </c>
      <c r="M68" s="694" t="str">
        <f>Checks!R68</f>
        <v/>
      </c>
    </row>
    <row r="69" spans="1:13">
      <c r="A69" s="2118"/>
      <c r="B69" s="689">
        <v>36</v>
      </c>
      <c r="C69" s="699"/>
      <c r="D69" s="699"/>
      <c r="E69" s="699"/>
      <c r="F69" s="703"/>
      <c r="G69" s="691"/>
      <c r="H69" s="704"/>
      <c r="I69" s="699"/>
      <c r="J69" s="699"/>
      <c r="K69" s="699"/>
      <c r="L69" s="693" t="str">
        <f>IF(Trainings[[#This Row],[Duration '[hrs']]]*1&gt;0,Checks!Q69,"")</f>
        <v/>
      </c>
      <c r="M69" s="694" t="str">
        <f>Checks!R69</f>
        <v/>
      </c>
    </row>
    <row r="70" spans="1:13">
      <c r="A70" s="2118"/>
      <c r="B70" s="689">
        <v>37</v>
      </c>
      <c r="C70" s="699"/>
      <c r="D70" s="699"/>
      <c r="E70" s="699"/>
      <c r="F70" s="703"/>
      <c r="G70" s="691"/>
      <c r="H70" s="704"/>
      <c r="I70" s="699"/>
      <c r="J70" s="699"/>
      <c r="K70" s="699"/>
      <c r="L70" s="693" t="str">
        <f>IF(Trainings[[#This Row],[Duration '[hrs']]]*1&gt;0,Checks!Q70,"")</f>
        <v/>
      </c>
      <c r="M70" s="694" t="str">
        <f>Checks!R70</f>
        <v/>
      </c>
    </row>
    <row r="71" spans="1:13">
      <c r="A71" s="2118"/>
      <c r="B71" s="689">
        <v>38</v>
      </c>
      <c r="C71" s="699"/>
      <c r="D71" s="699"/>
      <c r="E71" s="699"/>
      <c r="F71" s="703"/>
      <c r="G71" s="691"/>
      <c r="H71" s="704"/>
      <c r="I71" s="699"/>
      <c r="J71" s="699"/>
      <c r="K71" s="699"/>
      <c r="L71" s="693" t="str">
        <f>IF(Trainings[[#This Row],[Duration '[hrs']]]*1&gt;0,Checks!Q71,"")</f>
        <v/>
      </c>
      <c r="M71" s="694" t="str">
        <f>Checks!R71</f>
        <v/>
      </c>
    </row>
    <row r="72" spans="1:13">
      <c r="A72" s="2118"/>
      <c r="B72" s="689">
        <v>39</v>
      </c>
      <c r="C72" s="699"/>
      <c r="D72" s="699"/>
      <c r="E72" s="699"/>
      <c r="F72" s="703"/>
      <c r="G72" s="691"/>
      <c r="H72" s="704"/>
      <c r="I72" s="699"/>
      <c r="J72" s="699"/>
      <c r="K72" s="699"/>
      <c r="L72" s="693" t="str">
        <f>IF(Trainings[[#This Row],[Duration '[hrs']]]*1&gt;0,Checks!Q72,"")</f>
        <v/>
      </c>
      <c r="M72" s="694" t="str">
        <f>Checks!R72</f>
        <v/>
      </c>
    </row>
    <row r="73" spans="1:13">
      <c r="A73" s="2118"/>
      <c r="B73" s="689">
        <v>40</v>
      </c>
      <c r="C73" s="699"/>
      <c r="D73" s="699"/>
      <c r="E73" s="699"/>
      <c r="F73" s="703"/>
      <c r="G73" s="691"/>
      <c r="H73" s="704"/>
      <c r="I73" s="699"/>
      <c r="J73" s="699"/>
      <c r="K73" s="699"/>
      <c r="L73" s="693" t="str">
        <f>IF(Trainings[[#This Row],[Duration '[hrs']]]*1&gt;0,Checks!Q73,"")</f>
        <v/>
      </c>
      <c r="M73" s="694" t="str">
        <f>Checks!R73</f>
        <v/>
      </c>
    </row>
    <row r="74" spans="1:13">
      <c r="A74" s="2118"/>
      <c r="B74" s="689">
        <v>41</v>
      </c>
      <c r="C74" s="699"/>
      <c r="D74" s="699"/>
      <c r="E74" s="699"/>
      <c r="F74" s="703"/>
      <c r="G74" s="691"/>
      <c r="H74" s="704"/>
      <c r="I74" s="699"/>
      <c r="J74" s="699"/>
      <c r="K74" s="699"/>
      <c r="L74" s="693" t="str">
        <f>IF(Trainings[[#This Row],[Duration '[hrs']]]*1&gt;0,Checks!Q74,"")</f>
        <v/>
      </c>
      <c r="M74" s="694" t="str">
        <f>Checks!R74</f>
        <v/>
      </c>
    </row>
    <row r="75" spans="1:13">
      <c r="A75" s="2118"/>
      <c r="B75" s="689">
        <v>42</v>
      </c>
      <c r="C75" s="699"/>
      <c r="D75" s="699"/>
      <c r="E75" s="699"/>
      <c r="F75" s="703"/>
      <c r="G75" s="691"/>
      <c r="H75" s="704"/>
      <c r="I75" s="699"/>
      <c r="J75" s="699"/>
      <c r="K75" s="699"/>
      <c r="L75" s="693" t="str">
        <f>IF(Trainings[[#This Row],[Duration '[hrs']]]*1&gt;0,Checks!Q75,"")</f>
        <v/>
      </c>
      <c r="M75" s="694" t="str">
        <f>Checks!R75</f>
        <v/>
      </c>
    </row>
    <row r="76" spans="1:13">
      <c r="A76" s="2118"/>
      <c r="B76" s="689"/>
      <c r="D76" s="706"/>
      <c r="E76" s="706"/>
      <c r="F76" s="706"/>
      <c r="G76" s="706"/>
      <c r="H76" s="706"/>
      <c r="I76" s="706"/>
      <c r="J76" s="706"/>
      <c r="K76" s="706"/>
      <c r="L76" s="695"/>
    </row>
    <row r="77" spans="1:13" ht="42" customHeight="1">
      <c r="A77" s="2118"/>
      <c r="B77" s="689"/>
      <c r="C77" s="707" t="str">
        <f>Dictionary!B1054</f>
        <v>Einen Mentor / Coach haben</v>
      </c>
      <c r="D77" s="706"/>
      <c r="E77" s="706"/>
      <c r="F77" s="706"/>
      <c r="G77" s="708"/>
      <c r="H77" s="706"/>
      <c r="I77" s="706"/>
      <c r="J77" s="709"/>
      <c r="K77" s="709"/>
      <c r="L77" s="2119"/>
      <c r="M77" s="2120"/>
    </row>
    <row r="78" spans="1:13">
      <c r="A78" s="2118"/>
      <c r="B78" s="689"/>
      <c r="C78" s="779" t="str">
        <f>Dictionary!B1055</f>
        <v>Name des Mentors</v>
      </c>
      <c r="D78" s="780" t="str">
        <f>Dictionary!B1056</f>
        <v>Organisation des Mentors</v>
      </c>
      <c r="E78" s="780" t="str">
        <f>Dictionary!B1032</f>
        <v>Ort</v>
      </c>
      <c r="F78" s="780" t="str">
        <f>Dictionary!B1033</f>
        <v>Start Datum</v>
      </c>
      <c r="G78" s="780" t="str">
        <f>Dictionary!B1034</f>
        <v>End Datum</v>
      </c>
      <c r="H78" s="780" t="str">
        <f>Dictionary!B1057</f>
        <v>Kumul. Gesamt-Zeit (Std.)</v>
      </c>
      <c r="I78" s="780" t="str">
        <f>Dictionary!B1058</f>
        <v>Mentoring Thema</v>
      </c>
      <c r="J78" s="780" t="str">
        <f>Dictionary!B1036&amp;" 1"</f>
        <v>ICB Element Referenz 1</v>
      </c>
      <c r="K78" s="780" t="str">
        <f>Dictionary!B1036&amp;" 2"</f>
        <v>ICB Element Referenz 2</v>
      </c>
      <c r="L78" s="698" t="str">
        <f>Dictionary!B1038</f>
        <v>Anerkennungsfähige Dauer (Std.)</v>
      </c>
      <c r="M78" s="778" t="str">
        <f>Dictionary!B1039</f>
        <v>Hinweise</v>
      </c>
    </row>
    <row r="79" spans="1:13">
      <c r="A79" s="2118"/>
      <c r="B79" s="689">
        <v>1</v>
      </c>
      <c r="C79" s="710"/>
      <c r="D79" s="699"/>
      <c r="E79" s="699"/>
      <c r="F79" s="701"/>
      <c r="G79" s="691"/>
      <c r="H79" s="704"/>
      <c r="I79" s="699"/>
      <c r="J79" s="699"/>
      <c r="K79" s="699"/>
      <c r="L79" s="693" t="str">
        <f>IF(Mentoring[[#This Row],[Mentor]]="","",Checks!Q79)</f>
        <v/>
      </c>
      <c r="M79" s="694" t="str">
        <f>Checks!R79</f>
        <v/>
      </c>
    </row>
    <row r="80" spans="1:13">
      <c r="A80" s="2118"/>
      <c r="B80" s="689">
        <v>2</v>
      </c>
      <c r="C80" s="710"/>
      <c r="D80" s="699"/>
      <c r="E80" s="699"/>
      <c r="F80" s="701"/>
      <c r="G80" s="691"/>
      <c r="H80" s="704"/>
      <c r="I80" s="699"/>
      <c r="J80" s="699"/>
      <c r="K80" s="699"/>
      <c r="L80" s="693" t="str">
        <f>IF(Mentoring[[#This Row],[Mentor]]="","",Checks!Q80)</f>
        <v/>
      </c>
      <c r="M80" s="694" t="str">
        <f>Checks!R80</f>
        <v/>
      </c>
    </row>
    <row r="81" spans="1:13">
      <c r="A81" s="2118"/>
      <c r="B81" s="689">
        <v>3</v>
      </c>
      <c r="C81" s="710"/>
      <c r="D81" s="699"/>
      <c r="E81" s="699"/>
      <c r="F81" s="701"/>
      <c r="G81" s="691"/>
      <c r="H81" s="704"/>
      <c r="I81" s="699"/>
      <c r="J81" s="699"/>
      <c r="K81" s="699"/>
      <c r="L81" s="693" t="str">
        <f>IF(Mentoring[[#This Row],[Mentor]]="","",Checks!Q81)</f>
        <v/>
      </c>
      <c r="M81" s="694" t="str">
        <f>Checks!R81</f>
        <v/>
      </c>
    </row>
    <row r="82" spans="1:13">
      <c r="A82" s="2118"/>
      <c r="B82" s="689">
        <v>4</v>
      </c>
      <c r="C82" s="710"/>
      <c r="D82" s="699"/>
      <c r="E82" s="699"/>
      <c r="F82" s="701"/>
      <c r="G82" s="691"/>
      <c r="H82" s="704"/>
      <c r="I82" s="699"/>
      <c r="J82" s="699"/>
      <c r="K82" s="699"/>
      <c r="L82" s="693" t="str">
        <f>IF(Mentoring[[#This Row],[Mentor]]="","",Checks!Q82)</f>
        <v/>
      </c>
      <c r="M82" s="694" t="str">
        <f>Checks!R82</f>
        <v/>
      </c>
    </row>
    <row r="83" spans="1:13">
      <c r="A83" s="2118"/>
      <c r="B83" s="689">
        <v>5</v>
      </c>
      <c r="C83" s="710"/>
      <c r="D83" s="699"/>
      <c r="E83" s="699"/>
      <c r="F83" s="701"/>
      <c r="G83" s="691"/>
      <c r="H83" s="704"/>
      <c r="I83" s="699"/>
      <c r="J83" s="699"/>
      <c r="K83" s="699"/>
      <c r="L83" s="693" t="str">
        <f>IF(Mentoring[[#This Row],[Mentor]]="","",Checks!Q83)</f>
        <v/>
      </c>
      <c r="M83" s="694" t="str">
        <f>Checks!R83</f>
        <v/>
      </c>
    </row>
    <row r="84" spans="1:13">
      <c r="A84" s="2118"/>
      <c r="B84" s="689">
        <v>6</v>
      </c>
      <c r="C84" s="710"/>
      <c r="D84" s="699"/>
      <c r="E84" s="699"/>
      <c r="F84" s="701"/>
      <c r="G84" s="691"/>
      <c r="H84" s="704"/>
      <c r="I84" s="699"/>
      <c r="J84" s="699"/>
      <c r="K84" s="699"/>
      <c r="L84" s="693" t="str">
        <f>IF(Mentoring[[#This Row],[Mentor]]="","",Checks!Q84)</f>
        <v/>
      </c>
      <c r="M84" s="694" t="str">
        <f>Checks!R84</f>
        <v/>
      </c>
    </row>
    <row r="85" spans="1:13">
      <c r="A85" s="2118"/>
      <c r="B85" s="689">
        <v>7</v>
      </c>
      <c r="C85" s="710"/>
      <c r="D85" s="699"/>
      <c r="E85" s="699"/>
      <c r="F85" s="701"/>
      <c r="G85" s="691"/>
      <c r="H85" s="704"/>
      <c r="I85" s="699"/>
      <c r="J85" s="699"/>
      <c r="K85" s="699"/>
      <c r="L85" s="693" t="str">
        <f>IF(Mentoring[[#This Row],[Mentor]]="","",Checks!Q85)</f>
        <v/>
      </c>
      <c r="M85" s="694" t="str">
        <f>Checks!R85</f>
        <v/>
      </c>
    </row>
    <row r="86" spans="1:13">
      <c r="A86" s="2118"/>
      <c r="B86" s="689">
        <v>8</v>
      </c>
      <c r="C86" s="710"/>
      <c r="D86" s="699"/>
      <c r="E86" s="699"/>
      <c r="F86" s="701"/>
      <c r="G86" s="691"/>
      <c r="H86" s="704"/>
      <c r="I86" s="699"/>
      <c r="J86" s="699"/>
      <c r="K86" s="699"/>
      <c r="L86" s="693" t="str">
        <f>IF(Mentoring[[#This Row],[Mentor]]="","",Checks!Q86)</f>
        <v/>
      </c>
      <c r="M86" s="694" t="str">
        <f>Checks!R86</f>
        <v/>
      </c>
    </row>
    <row r="87" spans="1:13">
      <c r="A87" s="2118"/>
      <c r="B87" s="689">
        <v>9</v>
      </c>
      <c r="C87" s="710"/>
      <c r="D87" s="699"/>
      <c r="E87" s="699"/>
      <c r="F87" s="701"/>
      <c r="G87" s="691"/>
      <c r="H87" s="704"/>
      <c r="I87" s="699"/>
      <c r="J87" s="699"/>
      <c r="K87" s="699"/>
      <c r="L87" s="693" t="str">
        <f>IF(Mentoring[[#This Row],[Mentor]]="","",Checks!Q87)</f>
        <v/>
      </c>
      <c r="M87" s="694" t="str">
        <f>Checks!R87</f>
        <v/>
      </c>
    </row>
    <row r="88" spans="1:13">
      <c r="A88" s="2118"/>
      <c r="B88" s="689">
        <v>10</v>
      </c>
      <c r="C88" s="710"/>
      <c r="D88" s="699"/>
      <c r="E88" s="699"/>
      <c r="F88" s="701"/>
      <c r="G88" s="691"/>
      <c r="H88" s="704"/>
      <c r="I88" s="699"/>
      <c r="J88" s="699"/>
      <c r="K88" s="699"/>
      <c r="L88" s="693" t="str">
        <f>IF(Mentoring[[#This Row],[Mentor]]="","",Checks!Q88)</f>
        <v/>
      </c>
      <c r="M88" s="694" t="str">
        <f>Checks!R88</f>
        <v/>
      </c>
    </row>
    <row r="89" spans="1:13">
      <c r="A89" s="2118"/>
      <c r="B89" s="689">
        <v>11</v>
      </c>
      <c r="C89" s="710"/>
      <c r="D89" s="699"/>
      <c r="E89" s="699"/>
      <c r="F89" s="701"/>
      <c r="G89" s="691"/>
      <c r="H89" s="704"/>
      <c r="I89" s="699"/>
      <c r="J89" s="699"/>
      <c r="K89" s="699"/>
      <c r="L89" s="693" t="str">
        <f>IF(Mentoring[[#This Row],[Mentor]]="","",Checks!Q89)</f>
        <v/>
      </c>
      <c r="M89" s="694" t="str">
        <f>Checks!R89</f>
        <v/>
      </c>
    </row>
    <row r="90" spans="1:13">
      <c r="A90" s="2118"/>
      <c r="B90" s="689">
        <v>12</v>
      </c>
      <c r="C90" s="710"/>
      <c r="D90" s="699"/>
      <c r="E90" s="699"/>
      <c r="F90" s="701"/>
      <c r="G90" s="691"/>
      <c r="H90" s="704"/>
      <c r="I90" s="699"/>
      <c r="J90" s="699"/>
      <c r="K90" s="699"/>
      <c r="L90" s="693" t="str">
        <f>IF(Mentoring[[#This Row],[Mentor]]="","",Checks!Q90)</f>
        <v/>
      </c>
      <c r="M90" s="694" t="str">
        <f>Checks!R90</f>
        <v/>
      </c>
    </row>
    <row r="91" spans="1:13">
      <c r="A91" s="2118"/>
      <c r="B91" s="689">
        <v>13</v>
      </c>
      <c r="C91" s="710"/>
      <c r="D91" s="699"/>
      <c r="E91" s="699"/>
      <c r="F91" s="701"/>
      <c r="G91" s="691"/>
      <c r="H91" s="704"/>
      <c r="I91" s="699"/>
      <c r="J91" s="699"/>
      <c r="K91" s="699"/>
      <c r="L91" s="693" t="str">
        <f>IF(Mentoring[[#This Row],[Mentor]]="","",Checks!Q91)</f>
        <v/>
      </c>
      <c r="M91" s="694" t="str">
        <f>Checks!R91</f>
        <v/>
      </c>
    </row>
    <row r="92" spans="1:13">
      <c r="A92" s="2118"/>
      <c r="B92" s="689">
        <v>14</v>
      </c>
      <c r="C92" s="710"/>
      <c r="D92" s="699"/>
      <c r="E92" s="699"/>
      <c r="F92" s="701"/>
      <c r="G92" s="691"/>
      <c r="H92" s="704"/>
      <c r="I92" s="699"/>
      <c r="J92" s="699"/>
      <c r="K92" s="699"/>
      <c r="L92" s="693" t="str">
        <f>IF(Mentoring[[#This Row],[Mentor]]="","",Checks!Q92)</f>
        <v/>
      </c>
      <c r="M92" s="694" t="str">
        <f>Checks!R92</f>
        <v/>
      </c>
    </row>
    <row r="93" spans="1:13">
      <c r="A93" s="2118"/>
      <c r="B93" s="689">
        <v>15</v>
      </c>
      <c r="C93" s="710"/>
      <c r="D93" s="699"/>
      <c r="E93" s="699"/>
      <c r="F93" s="701"/>
      <c r="G93" s="691"/>
      <c r="H93" s="704"/>
      <c r="I93" s="699"/>
      <c r="J93" s="699"/>
      <c r="K93" s="699"/>
      <c r="L93" s="693" t="str">
        <f>IF(Mentoring[[#This Row],[Mentor]]="","",Checks!Q93)</f>
        <v/>
      </c>
      <c r="M93" s="694" t="str">
        <f>Checks!R93</f>
        <v/>
      </c>
    </row>
    <row r="94" spans="1:13">
      <c r="A94" s="2118"/>
      <c r="B94" s="689">
        <v>16</v>
      </c>
      <c r="C94" s="710"/>
      <c r="D94" s="699"/>
      <c r="E94" s="699"/>
      <c r="F94" s="701"/>
      <c r="G94" s="691"/>
      <c r="H94" s="704"/>
      <c r="I94" s="699"/>
      <c r="J94" s="699"/>
      <c r="K94" s="699"/>
      <c r="L94" s="693" t="str">
        <f>IF(Mentoring[[#This Row],[Mentor]]="","",Checks!Q94)</f>
        <v/>
      </c>
      <c r="M94" s="694" t="str">
        <f>Checks!R94</f>
        <v/>
      </c>
    </row>
    <row r="95" spans="1:13">
      <c r="A95" s="2118"/>
      <c r="B95" s="689">
        <v>17</v>
      </c>
      <c r="C95" s="710"/>
      <c r="D95" s="699"/>
      <c r="E95" s="699"/>
      <c r="F95" s="701"/>
      <c r="G95" s="691"/>
      <c r="H95" s="704"/>
      <c r="I95" s="699"/>
      <c r="J95" s="699"/>
      <c r="K95" s="699"/>
      <c r="L95" s="693" t="str">
        <f>IF(Mentoring[[#This Row],[Mentor]]="","",Checks!Q95)</f>
        <v/>
      </c>
      <c r="M95" s="694" t="str">
        <f>Checks!R95</f>
        <v/>
      </c>
    </row>
    <row r="96" spans="1:13">
      <c r="A96" s="2118"/>
      <c r="B96" s="689">
        <v>18</v>
      </c>
      <c r="C96" s="710"/>
      <c r="D96" s="699"/>
      <c r="E96" s="699"/>
      <c r="F96" s="701"/>
      <c r="G96" s="691"/>
      <c r="H96" s="704"/>
      <c r="I96" s="699"/>
      <c r="J96" s="699"/>
      <c r="K96" s="699"/>
      <c r="L96" s="693" t="str">
        <f>IF(Mentoring[[#This Row],[Mentor]]="","",Checks!Q96)</f>
        <v/>
      </c>
      <c r="M96" s="694" t="str">
        <f>Checks!R96</f>
        <v/>
      </c>
    </row>
    <row r="97" spans="1:19">
      <c r="A97" s="2118"/>
      <c r="B97" s="689">
        <v>19</v>
      </c>
      <c r="C97" s="710"/>
      <c r="D97" s="699"/>
      <c r="E97" s="699"/>
      <c r="F97" s="701"/>
      <c r="G97" s="691"/>
      <c r="H97" s="704"/>
      <c r="I97" s="699"/>
      <c r="J97" s="699"/>
      <c r="K97" s="699"/>
      <c r="L97" s="693" t="str">
        <f>IF(Mentoring[[#This Row],[Mentor]]="","",Checks!Q97)</f>
        <v/>
      </c>
      <c r="M97" s="694" t="str">
        <f>Checks!R97</f>
        <v/>
      </c>
    </row>
    <row r="98" spans="1:19">
      <c r="A98" s="2118"/>
      <c r="B98" s="689">
        <v>20</v>
      </c>
      <c r="C98" s="710"/>
      <c r="D98" s="699"/>
      <c r="E98" s="699"/>
      <c r="F98" s="701"/>
      <c r="G98" s="691"/>
      <c r="H98" s="704"/>
      <c r="I98" s="699"/>
      <c r="J98" s="699"/>
      <c r="K98" s="699"/>
      <c r="L98" s="693" t="str">
        <f>IF(Mentoring[[#This Row],[Mentor]]="","",Checks!Q98)</f>
        <v/>
      </c>
      <c r="M98" s="694" t="str">
        <f>Checks!R98</f>
        <v/>
      </c>
    </row>
    <row r="99" spans="1:19">
      <c r="A99" s="2118"/>
      <c r="B99" s="689"/>
      <c r="L99" s="695"/>
    </row>
    <row r="100" spans="1:19" ht="42" customHeight="1">
      <c r="A100" s="2118"/>
      <c r="B100" s="689"/>
      <c r="C100" s="707" t="str">
        <f>Dictionary!B1059</f>
        <v>Bücher und Veröffentlichungen Lesen</v>
      </c>
      <c r="E100" s="706"/>
      <c r="F100" s="706"/>
      <c r="G100" s="708"/>
      <c r="H100" s="706"/>
      <c r="I100" s="706"/>
      <c r="L100" s="2119"/>
      <c r="M100" s="2120"/>
    </row>
    <row r="101" spans="1:19">
      <c r="A101" s="2118"/>
      <c r="B101" s="689"/>
      <c r="C101" s="776" t="str">
        <f>Dictionary!B1041</f>
        <v>Titel / Thema</v>
      </c>
      <c r="D101" s="697" t="str">
        <f>Dictionary!B1061</f>
        <v>Verlag</v>
      </c>
      <c r="E101" s="697" t="str">
        <f>Dictionary!B1032</f>
        <v>Ort</v>
      </c>
      <c r="F101" s="780" t="str">
        <f>Dictionary!B1062</f>
        <v>Veröffentlichungsdatum</v>
      </c>
      <c r="G101" s="780" t="str">
        <f>Dictionary!B1063</f>
        <v>Lese-Datum</v>
      </c>
      <c r="H101" s="781" t="str">
        <f>Dictionary!B1064</f>
        <v>Seitenanzahl</v>
      </c>
      <c r="I101" s="697" t="str">
        <f>Dictionary!B1036&amp;" 1"</f>
        <v>ICB Element Referenz 1</v>
      </c>
      <c r="J101" s="781" t="str">
        <f>Dictionary!B1036&amp;" 2"</f>
        <v>ICB Element Referenz 2</v>
      </c>
      <c r="K101" s="1527"/>
      <c r="L101" s="698" t="str">
        <f>Dictionary!B1038</f>
        <v>Anerkennungsfähige Dauer (Std.)</v>
      </c>
      <c r="M101" s="778" t="str">
        <f>Dictionary!B1039</f>
        <v>Hinweise</v>
      </c>
    </row>
    <row r="102" spans="1:19">
      <c r="A102" s="2118"/>
      <c r="B102" s="689">
        <v>1</v>
      </c>
      <c r="C102" s="711"/>
      <c r="D102" s="711"/>
      <c r="E102" s="690"/>
      <c r="F102" s="691"/>
      <c r="G102" s="691"/>
      <c r="H102" s="692"/>
      <c r="I102" s="692"/>
      <c r="J102" s="782"/>
      <c r="K102" s="1528"/>
      <c r="L102" s="693" t="str">
        <f>IF(Books[[#This Row],[Pages]]*1&gt;0,Checks!Q102,"")</f>
        <v/>
      </c>
      <c r="M102" s="694" t="str">
        <f>Checks!R102</f>
        <v/>
      </c>
    </row>
    <row r="103" spans="1:19">
      <c r="A103" s="2118"/>
      <c r="B103" s="689">
        <v>2</v>
      </c>
      <c r="C103" s="711"/>
      <c r="D103" s="711"/>
      <c r="E103" s="690"/>
      <c r="F103" s="691"/>
      <c r="G103" s="691"/>
      <c r="H103" s="692"/>
      <c r="I103" s="692"/>
      <c r="J103" s="782"/>
      <c r="K103" s="1528"/>
      <c r="L103" s="693" t="str">
        <f>IF(Books[[#This Row],[Pages]]*1&gt;0,Checks!Q103,"")</f>
        <v/>
      </c>
      <c r="M103" s="694" t="str">
        <f>Checks!R103</f>
        <v/>
      </c>
    </row>
    <row r="104" spans="1:19">
      <c r="A104" s="2118"/>
      <c r="B104" s="689">
        <v>3</v>
      </c>
      <c r="C104" s="711"/>
      <c r="D104" s="711"/>
      <c r="E104" s="690"/>
      <c r="F104" s="691"/>
      <c r="G104" s="691"/>
      <c r="H104" s="692"/>
      <c r="I104" s="692"/>
      <c r="J104" s="782"/>
      <c r="K104" s="1528"/>
      <c r="L104" s="693" t="str">
        <f>IF(Books[[#This Row],[Pages]]*1&gt;0,Checks!Q104,"")</f>
        <v/>
      </c>
      <c r="M104" s="694" t="str">
        <f>Checks!R104</f>
        <v/>
      </c>
    </row>
    <row r="105" spans="1:19">
      <c r="A105" s="2118"/>
      <c r="B105" s="689">
        <v>4</v>
      </c>
      <c r="C105" s="711"/>
      <c r="D105" s="711"/>
      <c r="E105" s="690"/>
      <c r="F105" s="691"/>
      <c r="G105" s="691"/>
      <c r="H105" s="692"/>
      <c r="I105" s="692"/>
      <c r="J105" s="782"/>
      <c r="K105" s="1528"/>
      <c r="L105" s="693" t="str">
        <f>IF(Books[[#This Row],[Pages]]*1&gt;0,Checks!Q105,"")</f>
        <v/>
      </c>
      <c r="M105" s="694" t="str">
        <f>Checks!R105</f>
        <v/>
      </c>
    </row>
    <row r="106" spans="1:19">
      <c r="A106" s="2118"/>
      <c r="B106" s="689">
        <v>5</v>
      </c>
      <c r="C106" s="711"/>
      <c r="D106" s="711"/>
      <c r="E106" s="690"/>
      <c r="F106" s="691"/>
      <c r="G106" s="691"/>
      <c r="H106" s="692"/>
      <c r="I106" s="692"/>
      <c r="J106" s="782"/>
      <c r="K106" s="1528"/>
      <c r="L106" s="693" t="str">
        <f>IF(Books[[#This Row],[Pages]]*1&gt;0,Checks!Q106,"")</f>
        <v/>
      </c>
      <c r="M106" s="694" t="str">
        <f>Checks!R106</f>
        <v/>
      </c>
    </row>
    <row r="107" spans="1:19">
      <c r="A107" s="2118"/>
      <c r="B107" s="689">
        <v>6</v>
      </c>
      <c r="C107" s="711"/>
      <c r="D107" s="711"/>
      <c r="E107" s="690"/>
      <c r="F107" s="691"/>
      <c r="G107" s="691"/>
      <c r="H107" s="692"/>
      <c r="I107" s="692"/>
      <c r="J107" s="782"/>
      <c r="K107" s="1528"/>
      <c r="L107" s="693" t="str">
        <f>IF(Books[[#This Row],[Pages]]*1&gt;0,Checks!Q107,"")</f>
        <v/>
      </c>
      <c r="M107" s="694" t="str">
        <f>Checks!R107</f>
        <v/>
      </c>
    </row>
    <row r="108" spans="1:19">
      <c r="A108" s="2118"/>
      <c r="B108" s="689">
        <v>7</v>
      </c>
      <c r="C108" s="711"/>
      <c r="D108" s="711"/>
      <c r="E108" s="690"/>
      <c r="F108" s="691"/>
      <c r="G108" s="691"/>
      <c r="H108" s="692"/>
      <c r="I108" s="692"/>
      <c r="J108" s="782"/>
      <c r="K108" s="1528"/>
      <c r="L108" s="693" t="str">
        <f>IF(Books[[#This Row],[Pages]]*1&gt;0,Checks!Q108,"")</f>
        <v/>
      </c>
      <c r="M108" s="694" t="str">
        <f>Checks!R108</f>
        <v/>
      </c>
    </row>
    <row r="109" spans="1:19">
      <c r="A109" s="2118"/>
      <c r="B109" s="689"/>
      <c r="L109" s="695"/>
    </row>
    <row r="110" spans="1:19" ht="42" customHeight="1">
      <c r="A110" s="2118"/>
      <c r="B110" s="689"/>
      <c r="C110" s="707" t="str">
        <f>Dictionary!B1068</f>
        <v>Lesen abonnierter PM Magazine</v>
      </c>
      <c r="E110" s="706"/>
      <c r="F110" s="706"/>
      <c r="G110" s="708"/>
      <c r="H110" s="706"/>
      <c r="I110" s="706"/>
      <c r="L110" s="2119"/>
      <c r="M110" s="2120"/>
    </row>
    <row r="111" spans="1:19">
      <c r="A111" s="2118"/>
      <c r="B111" s="689"/>
      <c r="C111" s="776" t="str">
        <f>Dictionary!B1069</f>
        <v>Titel / Thema</v>
      </c>
      <c r="D111" s="697" t="str">
        <f>Dictionary!B1070</f>
        <v>Herausgeber</v>
      </c>
      <c r="E111" s="697" t="str">
        <f>Dictionary!B1032</f>
        <v>Ort</v>
      </c>
      <c r="F111" s="697" t="str">
        <f>Dictionary!B1033</f>
        <v>Start Datum</v>
      </c>
      <c r="G111" s="697" t="str">
        <f>Dictionary!B1034</f>
        <v>End Datum</v>
      </c>
      <c r="H111" s="697" t="str">
        <f>Dictionary!B1071</f>
        <v>Anz. Gelesener Ausgaben</v>
      </c>
      <c r="I111" s="697" t="str">
        <f>Dictionary!B1036&amp;" 1"</f>
        <v>ICB Element Referenz 1</v>
      </c>
      <c r="J111" s="781" t="str">
        <f>Dictionary!B1036&amp;" 2"</f>
        <v>ICB Element Referenz 2</v>
      </c>
      <c r="K111" s="781" t="str">
        <f>Dictionary!B1072</f>
        <v>Nachweis / Rechnung</v>
      </c>
      <c r="L111" s="777" t="str">
        <f>Dictionary!B1038</f>
        <v>Anerkennungsfähige Dauer (Std.)</v>
      </c>
      <c r="M111" s="778" t="str">
        <f>Dictionary!B1039</f>
        <v>Hinweise</v>
      </c>
    </row>
    <row r="112" spans="1:19">
      <c r="A112" s="2118"/>
      <c r="B112" s="689">
        <v>1</v>
      </c>
      <c r="C112" s="711"/>
      <c r="D112" s="711"/>
      <c r="E112" s="690"/>
      <c r="F112" s="691"/>
      <c r="G112" s="691"/>
      <c r="H112" s="692"/>
      <c r="I112" s="692"/>
      <c r="J112" s="782"/>
      <c r="K112" s="782"/>
      <c r="L112" s="693" t="str">
        <f>IF(Magazines[[#This Row],[Title / Topic]]="","",Checks!Q112)</f>
        <v/>
      </c>
      <c r="M112" s="694" t="str">
        <f>Checks!R112</f>
        <v/>
      </c>
      <c r="S112" s="712" t="str">
        <f ca="1">IF(Magazines[[#This Row],[Start Date]]="","",ROUNDDOWN((IF(Magazines[[#This Row],[End Date]]="",TODAY(),Magazines[[#This Row],[End Date]])-IF(Magazines[[#This Row],[Start Date]]&lt;COV!V9,COV!V9,Magazines[[#This Row],[Start Date]]))/365.24*12/12*6,0))</f>
        <v/>
      </c>
    </row>
    <row r="113" spans="1:19">
      <c r="A113" s="2118"/>
      <c r="B113" s="689">
        <v>2</v>
      </c>
      <c r="C113" s="711"/>
      <c r="D113" s="711"/>
      <c r="E113" s="690"/>
      <c r="F113" s="691"/>
      <c r="G113" s="691"/>
      <c r="H113" s="692"/>
      <c r="I113" s="692"/>
      <c r="J113" s="782"/>
      <c r="K113" s="782"/>
      <c r="L113" s="693" t="str">
        <f>IF(Magazines[[#This Row],[Title / Topic]]="","",Checks!Q113)</f>
        <v/>
      </c>
      <c r="M113" s="694" t="str">
        <f>Checks!R113</f>
        <v/>
      </c>
      <c r="S113" s="712" t="str">
        <f ca="1">IF(Magazines[[#This Row],[Start Date]]="","",ROUNDDOWN((IF(Magazines[[#This Row],[End Date]]="",TODAY(),Magazines[[#This Row],[End Date]])-IF(Magazines[[#This Row],[Start Date]]&lt;COV!V12,COV!V12,Magazines[[#This Row],[Start Date]]))/365.24*12/12*6,0))</f>
        <v/>
      </c>
    </row>
    <row r="114" spans="1:19">
      <c r="A114" s="2118"/>
      <c r="B114" s="689">
        <v>3</v>
      </c>
      <c r="C114" s="711"/>
      <c r="D114" s="711"/>
      <c r="E114" s="690"/>
      <c r="F114" s="691"/>
      <c r="G114" s="691"/>
      <c r="H114" s="692"/>
      <c r="I114" s="692"/>
      <c r="J114" s="782"/>
      <c r="K114" s="782"/>
      <c r="L114" s="693" t="str">
        <f>IF(Magazines[[#This Row],[Title / Topic]]="","",Checks!Q114)</f>
        <v/>
      </c>
      <c r="M114" s="694" t="str">
        <f>Checks!R114</f>
        <v/>
      </c>
      <c r="S114" s="712" t="str">
        <f ca="1">IF(Magazines[[#This Row],[Start Date]]="","",ROUNDDOWN((IF(Magazines[[#This Row],[End Date]]="",TODAY(),Magazines[[#This Row],[End Date]])-IF(Magazines[[#This Row],[Start Date]]&lt;COV!V13,COV!V13,Magazines[[#This Row],[Start Date]]))/365.24*12/12*6,0))</f>
        <v/>
      </c>
    </row>
    <row r="115" spans="1:19">
      <c r="A115" s="2118"/>
      <c r="B115" s="689"/>
      <c r="I115" s="173"/>
      <c r="J115" s="173"/>
      <c r="L115" s="172"/>
    </row>
    <row r="116" spans="1:19">
      <c r="L116" s="172"/>
    </row>
    <row r="117" spans="1:19">
      <c r="L117" s="172"/>
      <c r="M117" s="172"/>
    </row>
    <row r="118" spans="1:19" ht="17" thickBot="1">
      <c r="B118" s="460"/>
      <c r="C118" s="460"/>
      <c r="D118" s="460"/>
      <c r="E118" s="460"/>
      <c r="F118" s="460"/>
      <c r="G118" s="460"/>
      <c r="H118" s="460"/>
      <c r="I118" s="460"/>
      <c r="J118" s="460"/>
      <c r="K118" s="460"/>
      <c r="L118" s="460"/>
      <c r="M118" s="460"/>
    </row>
    <row r="119" spans="1:19" ht="16">
      <c r="B119" s="190"/>
      <c r="C119" s="190"/>
      <c r="D119" s="190"/>
      <c r="E119" s="190"/>
      <c r="F119" s="190"/>
      <c r="G119" s="190"/>
      <c r="H119" s="190"/>
      <c r="L119" s="172"/>
      <c r="M119" s="465" t="s">
        <v>105</v>
      </c>
    </row>
  </sheetData>
  <sheetProtection algorithmName="SHA-512" hashValue="4B3puKTeR6GcXfvgO5w+W9glOrHfB6FbJKnmGGs2E5Zpe0eYBxprD1IcL3hR2rn+8/GlMCFANDnJm6iclpwaeQ==" saltValue="LiVFiBR1LP6/MaNU4uU++Q==" spinCount="100000" sheet="1" objects="1" scenarios="1" selectLockedCells="1"/>
  <mergeCells count="9">
    <mergeCell ref="B5:K5"/>
    <mergeCell ref="B3:M3"/>
    <mergeCell ref="A9:A115"/>
    <mergeCell ref="L9:M9"/>
    <mergeCell ref="L32:M32"/>
    <mergeCell ref="L77:M77"/>
    <mergeCell ref="L100:M100"/>
    <mergeCell ref="L110:M110"/>
    <mergeCell ref="D7:F7"/>
  </mergeCells>
  <conditionalFormatting sqref="L11:L30">
    <cfRule type="cellIs" dxfId="446" priority="7" operator="equal">
      <formula>0</formula>
    </cfRule>
  </conditionalFormatting>
  <conditionalFormatting sqref="L34:L75">
    <cfRule type="cellIs" dxfId="445" priority="5" operator="equal">
      <formula>0</formula>
    </cfRule>
  </conditionalFormatting>
  <conditionalFormatting sqref="L79:L98">
    <cfRule type="cellIs" dxfId="444" priority="6" operator="equal">
      <formula>0</formula>
    </cfRule>
  </conditionalFormatting>
  <conditionalFormatting sqref="L102:L108">
    <cfRule type="cellIs" dxfId="443" priority="4" operator="equal">
      <formula>0</formula>
    </cfRule>
  </conditionalFormatting>
  <conditionalFormatting sqref="L112:L114">
    <cfRule type="cellIs" dxfId="442" priority="3" operator="equal">
      <formula>0</formula>
    </cfRule>
  </conditionalFormatting>
  <dataValidations count="8">
    <dataValidation type="date" operator="greaterThan" allowBlank="1" showErrorMessage="1" errorTitle="Invalid date" error="Please enter a valid date!" promptTitle="Publication date" prompt="Enter the publication date of the reference" sqref="F102:F108" xr:uid="{00000000-0002-0000-0800-000000000000}">
      <formula1>1</formula1>
    </dataValidation>
    <dataValidation type="decimal" operator="greaterThan" allowBlank="1" showInputMessage="1" showErrorMessage="1" promptTitle="Dauer in Std. / Duration in hrs" prompt="DE: Geben Sie eine Dauer in Stunden &gt;0 ein. _x000a__x000a_EN: Enter the duration in hours, must be greater than 0." sqref="H11:H30 H34:H75" xr:uid="{00000000-0002-0000-0800-000001000000}">
      <formula1>0</formula1>
    </dataValidation>
    <dataValidation type="whole" operator="greaterThan" allowBlank="1" showErrorMessage="1" promptTitle="Number of pages" prompt="Enter the number of pages you read (only whole numbers)" sqref="H102:H108" xr:uid="{00000000-0002-0000-0800-000002000000}">
      <formula1>0</formula1>
    </dataValidation>
    <dataValidation allowBlank="1" showErrorMessage="1" promptTitle="Competence Elements" prompt="Mention the CEs (or groups of CEs) that the journal mainly covers." sqref="I112:I114" xr:uid="{00000000-0002-0000-0800-000003000000}"/>
    <dataValidation type="decimal" operator="greaterThan" allowBlank="1" showErrorMessage="1" promptTitle="Duration in hours" prompt="Enter the duration in hours, must be greater than 0." sqref="H79:H98" xr:uid="{00000000-0002-0000-0800-000004000000}">
      <formula1>0</formula1>
    </dataValidation>
    <dataValidation allowBlank="1" showInputMessage="1" error="DE: Geben Sie ein gültiges Datum im Re-Zert Zeitraum an._x000a__x000a_EN: Enter a valid date that falls within the re-cert timeframe." sqref="G112:G114" xr:uid="{00000000-0002-0000-0800-000005000000}"/>
    <dataValidation type="date" allowBlank="1" showInputMessage="1" showErrorMessage="1" error="DE: Geben Sie ein gültiges Datum im Re-Zert Zeitraum an._x000a__x000a_EN: Enter a valid date that falls within the re-cert timeframe." sqref="F11:F30 F34:F75 F79:F98" xr:uid="{00000000-0002-0000-0800-000006000000}">
      <formula1>PM_EXP_START_DATE</formula1>
      <formula2>CERT_DATE_ENTRY</formula2>
    </dataValidation>
    <dataValidation type="date" operator="greaterThanOrEqual" allowBlank="1" showInputMessage="1" showErrorMessage="1" error="DE: Geben Sie ein gültiges Datum nach dem Startdatum an._x000a__x000a_EN: Enter a valid date that is greater or equal to the start date.." sqref="G11:G30 G34:G75 G79:G98" xr:uid="{00000000-0002-0000-0800-000007000000}">
      <formula1>F11</formula1>
    </dataValidation>
  </dataValidations>
  <pageMargins left="0.7" right="0.7" top="0.78740157499999996" bottom="0.78740157499999996" header="0.3" footer="0.3"/>
  <pageSetup paperSize="9" scale="46" fitToHeight="0" orientation="landscape" r:id="rId1"/>
  <headerFooter>
    <oddFooter>&amp;LDok.-Nr./Rev./Datum
F01         /  03   / 04.12.2020
&amp;F&amp;C&amp;U&amp;A&amp;RSeite &amp;P / &amp;N</oddFooter>
  </headerFooter>
  <legacyDrawing r:id="rId2"/>
  <tableParts count="5">
    <tablePart r:id="rId3"/>
    <tablePart r:id="rId4"/>
    <tablePart r:id="rId5"/>
    <tablePart r:id="rId6"/>
    <tablePart r:id="rId7"/>
  </tableParts>
  <extLst>
    <ext xmlns:x14="http://schemas.microsoft.com/office/spreadsheetml/2009/9/main" uri="{78C0D931-6437-407d-A8EE-F0AAD7539E65}">
      <x14:conditionalFormattings>
        <x14:conditionalFormatting xmlns:xm="http://schemas.microsoft.com/office/excel/2006/main">
          <x14:cfRule type="expression" priority="1" id="{00000000-000E-0000-0800-000001000000}">
            <xm:f>COV!$D$93&lt;&gt;""</xm:f>
            <x14:dxf>
              <font>
                <color theme="0"/>
              </font>
              <fill>
                <patternFill>
                  <bgColor theme="0"/>
                </patternFill>
              </fill>
              <border>
                <left/>
                <right/>
                <top/>
                <bottom/>
              </border>
            </x14:dxf>
          </x14:cfRule>
          <xm:sqref>C7:D8</xm:sqref>
        </x14:conditionalFormatting>
      </x14:conditionalFormattings>
    </ext>
    <ext xmlns:x14="http://schemas.microsoft.com/office/spreadsheetml/2009/9/main" uri="{CCE6A557-97BC-4b89-ADB6-D9C93CAAB3DF}">
      <x14:dataValidations xmlns:xm="http://schemas.microsoft.com/office/excel/2006/main" count="8">
        <x14:dataValidation type="date" allowBlank="1" showInputMessage="1" showErrorMessage="1" error="DE: Geben Sie ein gültiges Datum im Re-Zert Zeitraum an._x000a__x000a_EN: Enter a valid date that falls within the re-cert timeframe." xr:uid="{00000000-0002-0000-0800-000008000000}">
          <x14:formula1>
            <xm:f>COV!E12</xm:f>
          </x14:formula1>
          <x14:formula2>
            <xm:f>COV!E11</xm:f>
          </x14:formula2>
          <xm:sqref>G102</xm:sqref>
        </x14:dataValidation>
        <x14:dataValidation type="date" errorStyle="warning" allowBlank="1" error="DE: Geben Sie einültiges Darum  im Re-Zert Zeitraum an._x000a__x000a_EN: ENter a valid date that falls within the re-cert timeframe." xr:uid="{00000000-0002-0000-0800-000009000000}">
          <x14:formula1>
            <xm:f>COV!I12</xm:f>
          </x14:formula1>
          <x14:formula2>
            <xm:f>COV!I11</xm:f>
          </x14:formula2>
          <xm:sqref>F112:F114</xm:sqref>
        </x14:dataValidation>
        <x14:dataValidation type="date" allowBlank="1" showInputMessage="1" showErrorMessage="1" error="DE: Geben Sie ein gültiges Datum im Re-Zert Zeitraum an._x000a__x000a_EN: Enter a valid date that falls within the re-cert timeframe." xr:uid="{00000000-0002-0000-0800-00000A000000}">
          <x14:formula1>
            <xm:f>COV!E12</xm:f>
          </x14:formula1>
          <x14:formula2>
            <xm:f>COV!E11</xm:f>
          </x14:formula2>
          <xm:sqref>G103</xm:sqref>
        </x14:dataValidation>
        <x14:dataValidation type="date" allowBlank="1" showInputMessage="1" showErrorMessage="1" error="DE: Geben Sie ein gültiges Datum im Re-Zert Zeitraum an._x000a__x000a_EN: Enter a valid date that falls within the re-cert timeframe." xr:uid="{00000000-0002-0000-0800-00000B000000}">
          <x14:formula1>
            <xm:f>COV!E12</xm:f>
          </x14:formula1>
          <x14:formula2>
            <xm:f>COV!E11</xm:f>
          </x14:formula2>
          <xm:sqref>G104</xm:sqref>
        </x14:dataValidation>
        <x14:dataValidation type="date" allowBlank="1" showInputMessage="1" showErrorMessage="1" error="DE: Geben Sie ein gültiges Datum im Re-Zert Zeitraum an._x000a__x000a_EN: Enter a valid date that falls within the re-cert timeframe." xr:uid="{00000000-0002-0000-0800-00000C000000}">
          <x14:formula1>
            <xm:f>COV!E12</xm:f>
          </x14:formula1>
          <x14:formula2>
            <xm:f>COV!E11</xm:f>
          </x14:formula2>
          <xm:sqref>G105</xm:sqref>
        </x14:dataValidation>
        <x14:dataValidation type="date" allowBlank="1" showInputMessage="1" showErrorMessage="1" error="DE: Geben Sie ein gültiges Datum im Re-Zert Zeitraum an._x000a__x000a_EN: Enter a valid date that falls within the re-cert timeframe." xr:uid="{00000000-0002-0000-0800-00000D000000}">
          <x14:formula1>
            <xm:f>COV!E12</xm:f>
          </x14:formula1>
          <x14:formula2>
            <xm:f>COV!E11</xm:f>
          </x14:formula2>
          <xm:sqref>G106</xm:sqref>
        </x14:dataValidation>
        <x14:dataValidation type="date" allowBlank="1" showInputMessage="1" showErrorMessage="1" error="DE: Geben Sie ein gültiges Datum im Re-Zert Zeitraum an._x000a__x000a_EN: Enter a valid date that falls within the re-cert timeframe." xr:uid="{00000000-0002-0000-0800-00000E000000}">
          <x14:formula1>
            <xm:f>COV!E12</xm:f>
          </x14:formula1>
          <x14:formula2>
            <xm:f>COV!E11</xm:f>
          </x14:formula2>
          <xm:sqref>G107</xm:sqref>
        </x14:dataValidation>
        <x14:dataValidation type="date" allowBlank="1" showInputMessage="1" showErrorMessage="1" error="DE: Geben Sie ein gültiges Datum im Re-Zert Zeitraum an._x000a__x000a_EN: Enter a valid date that falls within the re-cert timeframe." xr:uid="{00000000-0002-0000-0800-00000F000000}">
          <x14:formula1>
            <xm:f>COV!E12</xm:f>
          </x14:formula1>
          <x14:formula2>
            <xm:f>COV!E11</xm:f>
          </x14:formula2>
          <xm:sqref>G108</xm:sqref>
        </x14:dataValidation>
      </x14:dataValidations>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31FD0-9DDF-4368-BC59-A6959A2262CA}">
  <sheetPr codeName="Support_Sheet99">
    <tabColor theme="2" tint="-9.9948118533890809E-2"/>
  </sheetPr>
  <dimension ref="B2:L70"/>
  <sheetViews>
    <sheetView showGridLines="0" showZeros="0" zoomScale="90" zoomScaleNormal="90" workbookViewId="0">
      <pane xSplit="8" ySplit="9" topLeftCell="I19" activePane="bottomRight" state="frozenSplit"/>
      <selection activeCell="C6" sqref="C6"/>
      <selection pane="topRight" activeCell="C6" sqref="C6"/>
      <selection pane="bottomLeft" activeCell="C6" sqref="C6"/>
      <selection pane="bottomRight" activeCell="C6" sqref="C6"/>
    </sheetView>
  </sheetViews>
  <sheetFormatPr baseColWidth="10" defaultColWidth="10" defaultRowHeight="11"/>
  <cols>
    <col min="1" max="1" width="2.6640625" style="1801" customWidth="1"/>
    <col min="2" max="2" width="5.5" style="1800" customWidth="1"/>
    <col min="3" max="3" width="13" style="1801" customWidth="1"/>
    <col min="4" max="4" width="46.33203125" style="1801" customWidth="1"/>
    <col min="5" max="8" width="26.5" style="1801" customWidth="1"/>
    <col min="9" max="10" width="9.6640625" style="1800" customWidth="1"/>
    <col min="11" max="11" width="55.1640625" style="1802" customWidth="1"/>
    <col min="12" max="12" width="9.6640625" style="1801" customWidth="1"/>
    <col min="13" max="16384" width="10" style="1801"/>
  </cols>
  <sheetData>
    <row r="2" spans="2:11" s="1795" customFormat="1" ht="20" customHeight="1">
      <c r="B2" s="1790"/>
      <c r="C2" s="1791" t="s">
        <v>688</v>
      </c>
      <c r="D2" s="1791"/>
      <c r="E2" s="1792"/>
      <c r="F2" s="1791" t="s">
        <v>689</v>
      </c>
      <c r="G2" s="1793"/>
      <c r="H2" s="1792"/>
      <c r="I2" s="1792"/>
      <c r="J2" s="1792"/>
      <c r="K2" s="1794"/>
    </row>
    <row r="3" spans="2:11" s="1795" customFormat="1" ht="20" customHeight="1">
      <c r="B3" s="1790"/>
      <c r="C3" s="1796" t="s">
        <v>4112</v>
      </c>
      <c r="D3" s="1796"/>
      <c r="E3" s="1792"/>
      <c r="F3" s="2543" t="s">
        <v>4108</v>
      </c>
      <c r="G3" s="2543"/>
      <c r="H3" s="2543"/>
      <c r="I3" s="1798" t="str">
        <f>IF(LEN(F3)&lt;3,"Please complete cover sheet","")</f>
        <v/>
      </c>
      <c r="J3" s="1799"/>
    </row>
    <row r="4" spans="2:11" s="1795" customFormat="1" ht="20" customHeight="1">
      <c r="B4" s="1790"/>
      <c r="C4" s="1796"/>
      <c r="D4" s="1796"/>
      <c r="E4" s="1792"/>
      <c r="F4" s="1797"/>
      <c r="G4" s="1797"/>
      <c r="H4" s="1797"/>
      <c r="I4" s="1798"/>
      <c r="J4" s="1799"/>
    </row>
    <row r="5" spans="2:11" s="1795" customFormat="1" ht="20" customHeight="1">
      <c r="B5" s="1790"/>
      <c r="C5" s="1796"/>
      <c r="D5" s="1796"/>
      <c r="E5" s="1792"/>
      <c r="F5" s="1797"/>
      <c r="G5" s="1797"/>
      <c r="H5" s="1797"/>
      <c r="I5" s="1798"/>
      <c r="J5" s="1799"/>
    </row>
    <row r="6" spans="2:11" s="1795" customFormat="1" ht="20" customHeight="1">
      <c r="B6" s="1790"/>
      <c r="C6" s="1796"/>
      <c r="D6" s="1796"/>
      <c r="E6" s="1792"/>
      <c r="F6" s="1797"/>
      <c r="G6" s="1797"/>
      <c r="H6" s="1797"/>
      <c r="I6" s="1798"/>
      <c r="J6" s="1799"/>
    </row>
    <row r="7" spans="2:11" ht="15" customHeight="1"/>
    <row r="8" spans="2:11" s="1804" customFormat="1" ht="22.25" customHeight="1">
      <c r="B8" s="2544" t="s">
        <v>294</v>
      </c>
      <c r="C8" s="2544" t="s">
        <v>295</v>
      </c>
      <c r="D8" s="1803"/>
      <c r="E8" s="2546" t="s">
        <v>296</v>
      </c>
      <c r="F8" s="2546"/>
      <c r="G8" s="2546"/>
      <c r="H8" s="2546"/>
      <c r="I8" s="2547" t="s">
        <v>307</v>
      </c>
      <c r="J8" s="2548"/>
      <c r="K8" s="2549"/>
    </row>
    <row r="9" spans="2:11" s="1804" customFormat="1" ht="30" customHeight="1">
      <c r="B9" s="2545"/>
      <c r="C9" s="2545"/>
      <c r="D9" s="1805"/>
      <c r="E9" s="1806" t="s">
        <v>297</v>
      </c>
      <c r="F9" s="1806" t="s">
        <v>298</v>
      </c>
      <c r="G9" s="1806" t="s">
        <v>299</v>
      </c>
      <c r="H9" s="1806" t="s">
        <v>300</v>
      </c>
      <c r="I9" s="1807" t="s">
        <v>12</v>
      </c>
      <c r="J9" s="1808" t="s">
        <v>288</v>
      </c>
      <c r="K9" s="1808" t="s">
        <v>301</v>
      </c>
    </row>
    <row r="10" spans="2:11" ht="30" customHeight="1">
      <c r="B10" s="1809">
        <v>1</v>
      </c>
      <c r="C10" s="2540" t="s">
        <v>586</v>
      </c>
      <c r="D10" s="2541"/>
      <c r="E10" s="2541"/>
      <c r="F10" s="2541"/>
      <c r="G10" s="2541"/>
      <c r="H10" s="2542"/>
      <c r="K10" s="1810"/>
    </row>
    <row r="11" spans="2:11" ht="60">
      <c r="B11" s="1811">
        <f>B10+0.1</f>
        <v>1.1000000000000001</v>
      </c>
      <c r="C11" s="1812" t="s">
        <v>598</v>
      </c>
      <c r="D11" s="1812" t="s">
        <v>597</v>
      </c>
      <c r="E11" s="1813" t="s">
        <v>596</v>
      </c>
      <c r="F11" s="1813" t="s">
        <v>595</v>
      </c>
      <c r="G11" s="1813" t="s">
        <v>594</v>
      </c>
      <c r="H11" s="1813" t="s">
        <v>593</v>
      </c>
      <c r="I11" s="1814">
        <v>2</v>
      </c>
      <c r="J11" s="1814">
        <v>2</v>
      </c>
      <c r="K11" s="1815"/>
    </row>
    <row r="12" spans="2:11" ht="48">
      <c r="B12" s="1811">
        <f>B11+0.1</f>
        <v>1.2000000000000002</v>
      </c>
      <c r="C12" s="1812" t="s">
        <v>592</v>
      </c>
      <c r="D12" s="1812" t="s">
        <v>591</v>
      </c>
      <c r="E12" s="1813" t="s">
        <v>590</v>
      </c>
      <c r="F12" s="1813" t="s">
        <v>589</v>
      </c>
      <c r="G12" s="1813" t="s">
        <v>588</v>
      </c>
      <c r="H12" s="1813" t="s">
        <v>587</v>
      </c>
      <c r="I12" s="1814">
        <v>2</v>
      </c>
      <c r="J12" s="1814">
        <v>2</v>
      </c>
      <c r="K12" s="1815"/>
    </row>
    <row r="13" spans="2:11" ht="48">
      <c r="B13" s="1811">
        <f>B12+0.1</f>
        <v>1.3000000000000003</v>
      </c>
      <c r="C13" s="1812" t="s">
        <v>585</v>
      </c>
      <c r="D13" s="1812" t="s">
        <v>584</v>
      </c>
      <c r="E13" s="1813" t="s">
        <v>583</v>
      </c>
      <c r="F13" s="1813" t="s">
        <v>582</v>
      </c>
      <c r="G13" s="1813" t="s">
        <v>581</v>
      </c>
      <c r="H13" s="1813" t="s">
        <v>580</v>
      </c>
      <c r="I13" s="1814">
        <v>2</v>
      </c>
      <c r="J13" s="1814">
        <v>2</v>
      </c>
      <c r="K13" s="1815"/>
    </row>
    <row r="14" spans="2:11" ht="48">
      <c r="B14" s="1811">
        <f>B13+0.1</f>
        <v>1.4000000000000004</v>
      </c>
      <c r="C14" s="1812" t="s">
        <v>579</v>
      </c>
      <c r="D14" s="1812" t="s">
        <v>578</v>
      </c>
      <c r="E14" s="1813" t="s">
        <v>577</v>
      </c>
      <c r="F14" s="1813" t="s">
        <v>576</v>
      </c>
      <c r="G14" s="1813" t="s">
        <v>575</v>
      </c>
      <c r="H14" s="1813" t="s">
        <v>574</v>
      </c>
      <c r="I14" s="1814">
        <v>1</v>
      </c>
      <c r="J14" s="1814">
        <v>2</v>
      </c>
      <c r="K14" s="1815"/>
    </row>
    <row r="15" spans="2:11" s="1816" customFormat="1" ht="24" customHeight="1">
      <c r="H15" s="1816" t="s">
        <v>302</v>
      </c>
      <c r="I15" s="1817">
        <f>IF(SUM(I11:I14)=0,"",ROUNDDOWN(AVERAGE(I11:I14),1))</f>
        <v>1.7</v>
      </c>
      <c r="J15" s="1817">
        <f>IF(SUM(J11:J14)=0,"",ROUNDDOWN(AVERAGE(J11:J14),1))</f>
        <v>2</v>
      </c>
      <c r="K15" s="1818"/>
    </row>
    <row r="16" spans="2:11">
      <c r="C16" s="1802"/>
      <c r="D16" s="1802"/>
      <c r="E16" s="1819"/>
      <c r="F16" s="1819"/>
      <c r="G16" s="1819"/>
      <c r="H16" s="1819"/>
    </row>
    <row r="17" spans="2:11" ht="30" customHeight="1">
      <c r="B17" s="1809">
        <v>2</v>
      </c>
      <c r="C17" s="2540" t="s">
        <v>567</v>
      </c>
      <c r="D17" s="2541"/>
      <c r="E17" s="2541"/>
      <c r="F17" s="2541"/>
      <c r="G17" s="2541"/>
      <c r="H17" s="2542"/>
    </row>
    <row r="18" spans="2:11" ht="36">
      <c r="B18" s="1811">
        <f>B17+0.1</f>
        <v>2.1</v>
      </c>
      <c r="C18" s="1812" t="s">
        <v>573</v>
      </c>
      <c r="D18" s="1812" t="s">
        <v>572</v>
      </c>
      <c r="E18" s="1820" t="s">
        <v>571</v>
      </c>
      <c r="F18" s="1820" t="s">
        <v>570</v>
      </c>
      <c r="G18" s="1820" t="s">
        <v>569</v>
      </c>
      <c r="H18" s="1820" t="s">
        <v>568</v>
      </c>
      <c r="I18" s="1814">
        <v>2</v>
      </c>
      <c r="J18" s="1814">
        <v>2</v>
      </c>
      <c r="K18" s="1815"/>
    </row>
    <row r="19" spans="2:11" ht="96">
      <c r="B19" s="1811">
        <f>B18+0.1</f>
        <v>2.2000000000000002</v>
      </c>
      <c r="C19" s="1812" t="s">
        <v>566</v>
      </c>
      <c r="D19" s="1812" t="s">
        <v>565</v>
      </c>
      <c r="E19" s="1820" t="s">
        <v>564</v>
      </c>
      <c r="F19" s="1820" t="s">
        <v>601</v>
      </c>
      <c r="G19" s="1820" t="s">
        <v>563</v>
      </c>
      <c r="H19" s="1820" t="s">
        <v>562</v>
      </c>
      <c r="I19" s="1814">
        <v>2</v>
      </c>
      <c r="J19" s="1814">
        <v>2</v>
      </c>
      <c r="K19" s="1815"/>
    </row>
    <row r="20" spans="2:11" ht="48">
      <c r="B20" s="1811">
        <f>B19+0.1</f>
        <v>2.3000000000000003</v>
      </c>
      <c r="C20" s="1812" t="s">
        <v>561</v>
      </c>
      <c r="D20" s="1812" t="s">
        <v>560</v>
      </c>
      <c r="E20" s="1813" t="s">
        <v>559</v>
      </c>
      <c r="F20" s="1813" t="s">
        <v>558</v>
      </c>
      <c r="G20" s="1813" t="s">
        <v>557</v>
      </c>
      <c r="H20" s="1813" t="s">
        <v>556</v>
      </c>
      <c r="I20" s="1814">
        <v>3</v>
      </c>
      <c r="J20" s="1814">
        <v>2</v>
      </c>
      <c r="K20" s="1815"/>
    </row>
    <row r="21" spans="2:11" s="1816" customFormat="1" ht="24" customHeight="1">
      <c r="H21" s="1816" t="s">
        <v>302</v>
      </c>
      <c r="I21" s="1817">
        <f>IF(SUM(I18:I20)=0,"",ROUNDDOWN(AVERAGE(I18:I20),1))</f>
        <v>2.2999999999999998</v>
      </c>
      <c r="J21" s="1817">
        <f>IF(SUM(J18:J20)=0,"",ROUNDDOWN(AVERAGE(J18:J20),1))</f>
        <v>2</v>
      </c>
      <c r="K21" s="1818"/>
    </row>
    <row r="22" spans="2:11">
      <c r="C22" s="1802"/>
      <c r="D22" s="1802"/>
      <c r="E22" s="1819"/>
      <c r="F22" s="1819"/>
      <c r="G22" s="1819"/>
      <c r="H22" s="1819"/>
    </row>
    <row r="23" spans="2:11" ht="30" customHeight="1">
      <c r="B23" s="1809">
        <v>3</v>
      </c>
      <c r="C23" s="2540" t="s">
        <v>549</v>
      </c>
      <c r="D23" s="2541"/>
      <c r="E23" s="2541"/>
      <c r="F23" s="2541"/>
      <c r="G23" s="2541"/>
      <c r="H23" s="2542"/>
    </row>
    <row r="24" spans="2:11" ht="72">
      <c r="B24" s="1811">
        <f>B23+0.1</f>
        <v>3.1</v>
      </c>
      <c r="C24" s="1821" t="s">
        <v>555</v>
      </c>
      <c r="D24" s="1821" t="s">
        <v>554</v>
      </c>
      <c r="E24" s="1820" t="s">
        <v>553</v>
      </c>
      <c r="F24" s="1820" t="s">
        <v>552</v>
      </c>
      <c r="G24" s="1820" t="s">
        <v>551</v>
      </c>
      <c r="H24" s="1820" t="s">
        <v>550</v>
      </c>
      <c r="I24" s="1814">
        <v>3</v>
      </c>
      <c r="J24" s="1814">
        <v>2</v>
      </c>
      <c r="K24" s="1815"/>
    </row>
    <row r="25" spans="2:11" ht="60">
      <c r="B25" s="1811">
        <f>B24+0.1</f>
        <v>3.2</v>
      </c>
      <c r="C25" s="1812" t="s">
        <v>548</v>
      </c>
      <c r="D25" s="1812" t="s">
        <v>547</v>
      </c>
      <c r="E25" s="1820" t="s">
        <v>546</v>
      </c>
      <c r="F25" s="1820" t="s">
        <v>545</v>
      </c>
      <c r="G25" s="1820" t="s">
        <v>544</v>
      </c>
      <c r="H25" s="1820" t="s">
        <v>543</v>
      </c>
      <c r="I25" s="1814">
        <v>2</v>
      </c>
      <c r="J25" s="1814">
        <v>2</v>
      </c>
      <c r="K25" s="1815"/>
    </row>
    <row r="26" spans="2:11" ht="48">
      <c r="B26" s="1811">
        <f>B25+0.1</f>
        <v>3.3000000000000003</v>
      </c>
      <c r="C26" s="1812" t="s">
        <v>542</v>
      </c>
      <c r="D26" s="1812" t="s">
        <v>541</v>
      </c>
      <c r="E26" s="1820" t="s">
        <v>540</v>
      </c>
      <c r="F26" s="1820" t="s">
        <v>539</v>
      </c>
      <c r="G26" s="1820" t="s">
        <v>538</v>
      </c>
      <c r="H26" s="1820" t="s">
        <v>537</v>
      </c>
      <c r="I26" s="1814">
        <v>2</v>
      </c>
      <c r="J26" s="1814">
        <v>2</v>
      </c>
      <c r="K26" s="1815"/>
    </row>
    <row r="27" spans="2:11" s="1816" customFormat="1" ht="24" customHeight="1">
      <c r="H27" s="1816" t="s">
        <v>302</v>
      </c>
      <c r="I27" s="1817">
        <f>IF(SUM(I24:I26)=0,"",ROUNDDOWN(AVERAGE(I24:I26),1))</f>
        <v>2.2999999999999998</v>
      </c>
      <c r="J27" s="1817">
        <f>IF(SUM(J24:J26)=0,"",ROUNDDOWN(AVERAGE(J24:J26),1))</f>
        <v>2</v>
      </c>
      <c r="K27" s="1818"/>
    </row>
    <row r="28" spans="2:11">
      <c r="C28" s="1802"/>
      <c r="D28" s="1802"/>
      <c r="E28" s="1819"/>
      <c r="F28" s="1819"/>
      <c r="G28" s="1819"/>
      <c r="H28" s="1819"/>
    </row>
    <row r="29" spans="2:11" ht="17" customHeight="1"/>
    <row r="30" spans="2:11" ht="17" customHeight="1">
      <c r="F30" s="1804" t="s">
        <v>304</v>
      </c>
    </row>
    <row r="31" spans="2:11" ht="17" customHeight="1">
      <c r="G31" s="1822" t="s">
        <v>305</v>
      </c>
      <c r="H31" s="1800">
        <v>1</v>
      </c>
      <c r="I31" s="1823">
        <f>IF(I15="","",I15)</f>
        <v>1.7</v>
      </c>
      <c r="J31" s="1823">
        <f>IF(J15="","",J15)</f>
        <v>2</v>
      </c>
    </row>
    <row r="32" spans="2:11" ht="17" customHeight="1">
      <c r="G32" s="1822" t="s">
        <v>305</v>
      </c>
      <c r="H32" s="1800">
        <f>1+H31</f>
        <v>2</v>
      </c>
      <c r="I32" s="1824">
        <f>IF(I21="","",I21)</f>
        <v>2.2999999999999998</v>
      </c>
      <c r="J32" s="1824">
        <f>IF(J21="","",J21)</f>
        <v>2</v>
      </c>
    </row>
    <row r="33" spans="2:12" ht="17" customHeight="1">
      <c r="G33" s="1822" t="s">
        <v>305</v>
      </c>
      <c r="H33" s="1800">
        <f>1+H32</f>
        <v>3</v>
      </c>
      <c r="I33" s="1824">
        <f>IF(I27="","",I27)</f>
        <v>2.2999999999999998</v>
      </c>
      <c r="J33" s="1824">
        <f>IF(J27="","",J27)</f>
        <v>2</v>
      </c>
    </row>
    <row r="34" spans="2:12" s="1802" customFormat="1" ht="17" customHeight="1">
      <c r="B34" s="1800"/>
      <c r="C34" s="1801"/>
      <c r="D34" s="1801"/>
      <c r="E34" s="1801"/>
      <c r="F34" s="1801"/>
      <c r="G34" s="1801"/>
      <c r="H34" s="1816" t="s">
        <v>306</v>
      </c>
      <c r="I34" s="1824">
        <f>SUM(I11:I14)+SUM(I18:I20)+SUM(I24:I26)</f>
        <v>21</v>
      </c>
      <c r="J34" s="1824">
        <f>SUM(J11:J14)+SUM(J18:J20)+SUM(J24:J26)</f>
        <v>20</v>
      </c>
      <c r="L34" s="1801"/>
    </row>
    <row r="35" spans="2:12" s="1802" customFormat="1" ht="17" customHeight="1">
      <c r="B35" s="1800"/>
      <c r="C35" s="1801"/>
      <c r="D35" s="1801"/>
      <c r="E35" s="1801"/>
      <c r="F35" s="1801"/>
      <c r="G35" s="1801"/>
      <c r="H35" s="1816"/>
      <c r="I35" s="1825"/>
      <c r="J35" s="1825"/>
      <c r="L35" s="1801"/>
    </row>
    <row r="36" spans="2:12" s="1802" customFormat="1" ht="17" customHeight="1">
      <c r="B36" s="1800"/>
      <c r="C36" s="1826" t="s">
        <v>600</v>
      </c>
      <c r="D36" s="1826"/>
      <c r="E36" s="1801"/>
      <c r="F36" s="1801"/>
      <c r="G36" s="1801"/>
      <c r="H36" s="1801"/>
      <c r="I36" s="1800"/>
      <c r="J36" s="1800"/>
      <c r="L36" s="1801"/>
    </row>
    <row r="37" spans="2:12" s="1802" customFormat="1" ht="17" customHeight="1">
      <c r="B37" s="1800"/>
      <c r="C37" s="1801"/>
      <c r="D37" s="1801"/>
      <c r="E37" s="1801"/>
      <c r="F37" s="1801"/>
      <c r="G37" s="1801"/>
      <c r="H37" s="1801"/>
      <c r="I37" s="1800"/>
      <c r="J37" s="1800"/>
      <c r="L37" s="1801"/>
    </row>
    <row r="38" spans="2:12" s="1802" customFormat="1" ht="17" customHeight="1">
      <c r="B38" s="1800"/>
      <c r="C38" s="1801"/>
      <c r="D38" s="1801"/>
      <c r="E38" s="1801"/>
      <c r="F38" s="1801"/>
      <c r="G38" s="1801"/>
      <c r="H38" s="1801"/>
      <c r="I38" s="1800"/>
      <c r="J38" s="1800"/>
      <c r="L38" s="1801"/>
    </row>
    <row r="39" spans="2:12" s="1802" customFormat="1" ht="17" customHeight="1">
      <c r="B39" s="1800"/>
      <c r="C39" s="1801"/>
      <c r="D39" s="1801"/>
      <c r="E39" s="1801"/>
      <c r="F39" s="1801"/>
      <c r="G39" s="1801"/>
      <c r="H39" s="1801"/>
      <c r="I39" s="1800"/>
      <c r="J39" s="1800"/>
      <c r="L39" s="1801"/>
    </row>
    <row r="40" spans="2:12" s="1802" customFormat="1" ht="17" customHeight="1">
      <c r="B40" s="1800"/>
      <c r="C40" s="1801"/>
      <c r="D40" s="1801"/>
      <c r="E40" s="1801"/>
      <c r="F40" s="1801"/>
      <c r="G40" s="1801"/>
      <c r="H40" s="1801"/>
      <c r="I40" s="1800"/>
      <c r="J40" s="1800"/>
      <c r="L40" s="1801"/>
    </row>
    <row r="41" spans="2:12" s="1802" customFormat="1" ht="17" customHeight="1">
      <c r="B41" s="1800"/>
      <c r="C41" s="1801"/>
      <c r="D41" s="1801"/>
      <c r="E41" s="1801"/>
      <c r="F41" s="1801"/>
      <c r="G41" s="1801"/>
      <c r="H41" s="1801"/>
      <c r="I41" s="1800"/>
      <c r="J41" s="1800"/>
      <c r="L41" s="1801"/>
    </row>
    <row r="42" spans="2:12" s="1802" customFormat="1" ht="17" customHeight="1">
      <c r="B42" s="1800"/>
      <c r="C42" s="1801"/>
      <c r="D42" s="1801"/>
      <c r="E42" s="1801"/>
      <c r="F42" s="1801"/>
      <c r="G42" s="1801"/>
      <c r="H42" s="1801"/>
      <c r="I42" s="1800"/>
      <c r="J42" s="1800"/>
      <c r="L42" s="1801"/>
    </row>
    <row r="43" spans="2:12" s="1802" customFormat="1" ht="17" customHeight="1">
      <c r="B43" s="1800"/>
      <c r="C43" s="1801"/>
      <c r="D43" s="1801"/>
      <c r="E43" s="1801"/>
      <c r="F43" s="1801"/>
      <c r="G43" s="1801"/>
      <c r="H43" s="1801"/>
      <c r="I43" s="1800"/>
      <c r="J43" s="1800"/>
      <c r="L43" s="1801"/>
    </row>
    <row r="44" spans="2:12" s="1802" customFormat="1" ht="17" customHeight="1">
      <c r="B44" s="1800"/>
      <c r="C44" s="1801"/>
      <c r="D44" s="1801"/>
      <c r="E44" s="1801"/>
      <c r="F44" s="1801"/>
      <c r="G44" s="1801"/>
      <c r="H44" s="1801"/>
      <c r="I44" s="1800"/>
      <c r="J44" s="1800"/>
      <c r="L44" s="1801"/>
    </row>
    <row r="45" spans="2:12" s="1802" customFormat="1" ht="17" customHeight="1">
      <c r="B45" s="1800"/>
      <c r="C45" s="1801"/>
      <c r="D45" s="1801"/>
      <c r="E45" s="1801"/>
      <c r="F45" s="1801"/>
      <c r="G45" s="1801"/>
      <c r="H45" s="1801"/>
      <c r="I45" s="1800"/>
      <c r="J45" s="1800"/>
      <c r="L45" s="1801"/>
    </row>
    <row r="46" spans="2:12" ht="17" customHeight="1"/>
    <row r="47" spans="2:12" ht="17" customHeight="1"/>
    <row r="48" spans="2:12" ht="17" customHeight="1"/>
    <row r="49" spans="3:11" ht="17" customHeight="1"/>
    <row r="50" spans="3:11" ht="17" customHeight="1"/>
    <row r="51" spans="3:11" ht="17" customHeight="1"/>
    <row r="52" spans="3:11" s="1800" customFormat="1" ht="17" customHeight="1">
      <c r="C52" s="1801"/>
      <c r="D52" s="1801"/>
      <c r="E52" s="1801"/>
      <c r="F52" s="1801"/>
      <c r="G52" s="1801"/>
      <c r="H52" s="1801"/>
      <c r="K52" s="1802"/>
    </row>
    <row r="53" spans="3:11" s="1800" customFormat="1" ht="17" customHeight="1">
      <c r="C53" s="1801"/>
      <c r="D53" s="1801"/>
      <c r="E53" s="1801"/>
      <c r="F53" s="1801"/>
      <c r="G53" s="1801"/>
      <c r="H53" s="1801"/>
      <c r="K53" s="1802"/>
    </row>
    <row r="54" spans="3:11" s="1800" customFormat="1" ht="17" customHeight="1">
      <c r="C54" s="1801"/>
      <c r="D54" s="1801"/>
      <c r="E54" s="1801"/>
      <c r="F54" s="1801"/>
      <c r="G54" s="1801"/>
      <c r="H54" s="1801"/>
      <c r="K54" s="1802"/>
    </row>
    <row r="55" spans="3:11" s="1800" customFormat="1" ht="17" customHeight="1">
      <c r="C55" s="1801"/>
      <c r="D55" s="1801"/>
      <c r="E55" s="1801"/>
      <c r="F55" s="1801"/>
      <c r="G55" s="1801"/>
      <c r="H55" s="1801"/>
      <c r="K55" s="1802"/>
    </row>
    <row r="56" spans="3:11" s="1800" customFormat="1" ht="17" customHeight="1">
      <c r="C56" s="1801"/>
      <c r="D56" s="1801"/>
      <c r="E56" s="1801"/>
      <c r="F56" s="1801"/>
      <c r="G56" s="1801"/>
      <c r="H56" s="1801"/>
      <c r="K56" s="1802"/>
    </row>
    <row r="57" spans="3:11" s="1800" customFormat="1" ht="17" customHeight="1">
      <c r="C57" s="1801"/>
      <c r="D57" s="1801"/>
      <c r="E57" s="1801"/>
      <c r="F57" s="1801"/>
      <c r="G57" s="1801"/>
      <c r="H57" s="1801"/>
      <c r="K57" s="1802"/>
    </row>
    <row r="58" spans="3:11" s="1800" customFormat="1" ht="17" customHeight="1">
      <c r="C58" s="1801"/>
      <c r="D58" s="1801"/>
      <c r="E58" s="1801"/>
      <c r="F58" s="1801"/>
      <c r="G58" s="1801"/>
      <c r="H58" s="1801"/>
      <c r="K58" s="1802"/>
    </row>
    <row r="59" spans="3:11" s="1800" customFormat="1" ht="17" customHeight="1">
      <c r="C59" s="1801"/>
      <c r="D59" s="1801"/>
      <c r="E59" s="1801"/>
      <c r="F59" s="1801"/>
      <c r="G59" s="1801"/>
      <c r="H59" s="1801"/>
      <c r="K59" s="1802"/>
    </row>
    <row r="60" spans="3:11" s="1800" customFormat="1" ht="17" customHeight="1">
      <c r="C60" s="1801"/>
      <c r="D60" s="1801"/>
      <c r="E60" s="1801"/>
      <c r="F60" s="1801"/>
      <c r="G60" s="1801"/>
      <c r="H60" s="1801"/>
      <c r="K60" s="1802"/>
    </row>
    <row r="61" spans="3:11" s="1800" customFormat="1" ht="17" customHeight="1">
      <c r="C61" s="1801"/>
      <c r="D61" s="1801"/>
      <c r="E61" s="1801"/>
      <c r="F61" s="1801"/>
      <c r="G61" s="1801"/>
      <c r="H61" s="1801"/>
      <c r="K61" s="1802"/>
    </row>
    <row r="62" spans="3:11" s="1800" customFormat="1" ht="17" customHeight="1">
      <c r="C62" s="1801"/>
      <c r="D62" s="1801"/>
      <c r="E62" s="1801"/>
      <c r="F62" s="1801"/>
      <c r="G62" s="1801"/>
      <c r="H62" s="1801"/>
      <c r="K62" s="1802"/>
    </row>
    <row r="63" spans="3:11" s="1800" customFormat="1" ht="17" customHeight="1">
      <c r="C63" s="1801"/>
      <c r="D63" s="1801"/>
      <c r="E63" s="1801"/>
      <c r="F63" s="1801"/>
      <c r="G63" s="1801"/>
      <c r="H63" s="1801"/>
      <c r="K63" s="1802"/>
    </row>
    <row r="64" spans="3:11" s="1800" customFormat="1" ht="17" customHeight="1">
      <c r="C64" s="1801"/>
      <c r="D64" s="1801"/>
      <c r="E64" s="1801"/>
      <c r="F64" s="1801"/>
      <c r="G64" s="1801"/>
      <c r="H64" s="1801"/>
      <c r="K64" s="1802"/>
    </row>
    <row r="65" spans="3:11" s="1800" customFormat="1" ht="17" customHeight="1">
      <c r="C65" s="1801"/>
      <c r="D65" s="1801"/>
      <c r="E65" s="1801"/>
      <c r="F65" s="1801"/>
      <c r="G65" s="1801"/>
      <c r="H65" s="1801"/>
      <c r="K65" s="1802"/>
    </row>
    <row r="66" spans="3:11" s="1800" customFormat="1" ht="17" customHeight="1">
      <c r="C66" s="1801"/>
      <c r="D66" s="1801"/>
      <c r="E66" s="1801"/>
      <c r="F66" s="1801"/>
      <c r="G66" s="1801"/>
      <c r="H66" s="1801"/>
      <c r="K66" s="1802"/>
    </row>
    <row r="67" spans="3:11" s="1800" customFormat="1" ht="17" customHeight="1">
      <c r="C67" s="1801"/>
      <c r="D67" s="1801"/>
      <c r="E67" s="1801"/>
      <c r="F67" s="1801"/>
      <c r="G67" s="1801"/>
      <c r="H67" s="1801"/>
      <c r="K67" s="1802"/>
    </row>
    <row r="68" spans="3:11" s="1800" customFormat="1" ht="17" customHeight="1">
      <c r="C68" s="1801"/>
      <c r="D68" s="1801"/>
      <c r="E68" s="1801"/>
      <c r="F68" s="1801"/>
      <c r="G68" s="1801"/>
      <c r="H68" s="1801"/>
      <c r="K68" s="1802"/>
    </row>
    <row r="69" spans="3:11" s="1800" customFormat="1" ht="17" customHeight="1">
      <c r="C69" s="1801"/>
      <c r="D69" s="1801"/>
      <c r="E69" s="1801"/>
      <c r="F69" s="1801"/>
      <c r="G69" s="1801"/>
      <c r="H69" s="1801"/>
      <c r="K69" s="1802"/>
    </row>
    <row r="70" spans="3:11" s="1800" customFormat="1" ht="17" customHeight="1">
      <c r="C70" s="1801"/>
      <c r="D70" s="1801"/>
      <c r="E70" s="1801"/>
      <c r="F70" s="1801"/>
      <c r="G70" s="1801"/>
      <c r="H70" s="1801"/>
      <c r="K70" s="1802"/>
    </row>
  </sheetData>
  <sheetProtection algorithmName="SHA-512" hashValue="TcJMrcqC2yrGEhF4eEgIkhX0k5FZjWrlEwM7+eq0pbXqk61Pb8z33ELzEtaAFP1QJP2CXZJ+OofaZS6R3tnojg==" saltValue="47e4rUmyIOXaYnQgWKMDVw==" spinCount="100000" sheet="1" objects="1" scenarios="1" selectLockedCells="1"/>
  <mergeCells count="8">
    <mergeCell ref="I8:K8"/>
    <mergeCell ref="C10:H10"/>
    <mergeCell ref="C17:H17"/>
    <mergeCell ref="C23:H23"/>
    <mergeCell ref="F3:H3"/>
    <mergeCell ref="B8:B9"/>
    <mergeCell ref="C8:C9"/>
    <mergeCell ref="E8:H8"/>
  </mergeCells>
  <conditionalFormatting sqref="I35:J35">
    <cfRule type="cellIs" dxfId="12" priority="1" operator="equal">
      <formula>"Yes"</formula>
    </cfRule>
    <cfRule type="cellIs" dxfId="11" priority="2" operator="equal">
      <formula>"No"</formula>
    </cfRule>
  </conditionalFormatting>
  <dataValidations count="1">
    <dataValidation type="whole" allowBlank="1" showInputMessage="1" showErrorMessage="1" sqref="I11:J14 I18:J20 I24:J26" xr:uid="{00000000-0002-0000-59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B9CE0-6A1D-44BA-8F28-DC2A83FD7104}">
  <sheetPr codeName="Support_Sheet62">
    <tabColor theme="2" tint="-9.9948118533890809E-2"/>
  </sheetPr>
  <dimension ref="B2:L70"/>
  <sheetViews>
    <sheetView showGridLines="0" showZeros="0" workbookViewId="0">
      <pane xSplit="8" ySplit="9" topLeftCell="I10" activePane="bottomRight" state="frozenSplit"/>
      <selection activeCell="C6" sqref="C6"/>
      <selection pane="topRight" activeCell="C6" sqref="C6"/>
      <selection pane="bottomLeft" activeCell="C6" sqref="C6"/>
      <selection pane="bottomRight" activeCell="C6" sqref="C6"/>
    </sheetView>
  </sheetViews>
  <sheetFormatPr baseColWidth="10" defaultColWidth="10" defaultRowHeight="14"/>
  <cols>
    <col min="1" max="1" width="2.6640625" style="472" customWidth="1"/>
    <col min="2" max="2" width="5.5" style="471" customWidth="1"/>
    <col min="3" max="3" width="13" style="472" customWidth="1"/>
    <col min="4" max="4" width="46.33203125" style="472" customWidth="1"/>
    <col min="5" max="8" width="26.5" style="472" customWidth="1"/>
    <col min="9" max="10" width="9.6640625" style="471" customWidth="1"/>
    <col min="11" max="11" width="55.1640625" style="473" customWidth="1"/>
    <col min="12" max="12" width="9.6640625" style="472" customWidth="1"/>
    <col min="13" max="16384" width="10" style="472"/>
  </cols>
  <sheetData>
    <row r="2" spans="2:11" s="467" customFormat="1" ht="20" customHeight="1">
      <c r="B2" s="466"/>
      <c r="C2" s="1757" t="s">
        <v>4087</v>
      </c>
      <c r="D2" s="1757"/>
      <c r="E2" s="321"/>
      <c r="F2" s="1757" t="s">
        <v>689</v>
      </c>
      <c r="G2" s="1758"/>
      <c r="H2" s="321"/>
      <c r="I2" s="321"/>
      <c r="J2" s="321"/>
      <c r="K2" s="1759"/>
    </row>
    <row r="3" spans="2:11" s="467" customFormat="1" ht="20" customHeight="1">
      <c r="B3" s="466"/>
      <c r="C3" s="468" t="s">
        <v>4113</v>
      </c>
      <c r="D3" s="468"/>
      <c r="E3" s="321"/>
      <c r="F3" s="2183" t="s">
        <v>4116</v>
      </c>
      <c r="G3" s="2183"/>
      <c r="H3" s="2183"/>
      <c r="I3" s="469" t="str">
        <f>IF(LEN(F3)&lt;3,"Please complete cover sheet","")</f>
        <v/>
      </c>
      <c r="J3" s="470"/>
    </row>
    <row r="4" spans="2:11" s="467" customFormat="1" ht="20" customHeight="1">
      <c r="B4" s="466"/>
      <c r="C4" s="468"/>
      <c r="D4" s="468"/>
      <c r="E4" s="321"/>
      <c r="F4" s="1717"/>
      <c r="G4" s="1717"/>
      <c r="H4" s="1717"/>
      <c r="I4" s="469"/>
      <c r="J4" s="470"/>
    </row>
    <row r="5" spans="2:11" s="467" customFormat="1" ht="20" customHeight="1">
      <c r="B5" s="466"/>
      <c r="C5" s="468"/>
      <c r="D5" s="468"/>
      <c r="E5" s="321"/>
      <c r="F5" s="1717"/>
      <c r="G5" s="1717"/>
      <c r="H5" s="1717"/>
      <c r="I5" s="469"/>
      <c r="J5" s="470"/>
    </row>
    <row r="6" spans="2:11" s="467" customFormat="1" ht="20" customHeight="1">
      <c r="B6" s="466"/>
      <c r="C6" s="468"/>
      <c r="D6" s="468"/>
      <c r="E6" s="321"/>
      <c r="F6" s="1717"/>
      <c r="G6" s="1717"/>
      <c r="H6" s="1717"/>
      <c r="I6" s="469"/>
      <c r="J6" s="470"/>
    </row>
    <row r="7" spans="2:11" ht="15" customHeight="1"/>
    <row r="8" spans="2:11" s="334" customFormat="1" ht="22.25" customHeight="1">
      <c r="B8" s="2184" t="s">
        <v>294</v>
      </c>
      <c r="C8" s="2184" t="s">
        <v>295</v>
      </c>
      <c r="D8" s="1718"/>
      <c r="E8" s="2186" t="s">
        <v>296</v>
      </c>
      <c r="F8" s="2186"/>
      <c r="G8" s="2186"/>
      <c r="H8" s="2186"/>
      <c r="I8" s="2177" t="s">
        <v>307</v>
      </c>
      <c r="J8" s="2178"/>
      <c r="K8" s="2179"/>
    </row>
    <row r="9" spans="2:11" s="334" customFormat="1" ht="30" customHeight="1">
      <c r="B9" s="2185"/>
      <c r="C9" s="2185"/>
      <c r="D9" s="1719"/>
      <c r="E9" s="474" t="s">
        <v>297</v>
      </c>
      <c r="F9" s="474" t="s">
        <v>298</v>
      </c>
      <c r="G9" s="474" t="s">
        <v>299</v>
      </c>
      <c r="H9" s="474" t="s">
        <v>300</v>
      </c>
      <c r="I9" s="475" t="s">
        <v>12</v>
      </c>
      <c r="J9" s="476" t="s">
        <v>288</v>
      </c>
      <c r="K9" s="476" t="s">
        <v>301</v>
      </c>
    </row>
    <row r="10" spans="2:11" ht="30" customHeight="1">
      <c r="B10" s="477">
        <v>1</v>
      </c>
      <c r="C10" s="2180" t="s">
        <v>586</v>
      </c>
      <c r="D10" s="2181"/>
      <c r="E10" s="2181"/>
      <c r="F10" s="2181"/>
      <c r="G10" s="2181"/>
      <c r="H10" s="2182"/>
      <c r="K10" s="478"/>
    </row>
    <row r="11" spans="2:11" ht="65">
      <c r="B11" s="479">
        <f>B10+0.1</f>
        <v>1.1000000000000001</v>
      </c>
      <c r="C11" s="558" t="s">
        <v>598</v>
      </c>
      <c r="D11" s="558" t="s">
        <v>597</v>
      </c>
      <c r="E11" s="1760" t="s">
        <v>596</v>
      </c>
      <c r="F11" s="1760" t="s">
        <v>595</v>
      </c>
      <c r="G11" s="1760" t="s">
        <v>594</v>
      </c>
      <c r="H11" s="1760" t="s">
        <v>593</v>
      </c>
      <c r="I11" s="1761">
        <v>4</v>
      </c>
      <c r="J11" s="1761">
        <v>4</v>
      </c>
      <c r="K11" s="1762"/>
    </row>
    <row r="12" spans="2:11" ht="52">
      <c r="B12" s="479">
        <f>B11+0.1</f>
        <v>1.2000000000000002</v>
      </c>
      <c r="C12" s="558" t="s">
        <v>592</v>
      </c>
      <c r="D12" s="558" t="s">
        <v>591</v>
      </c>
      <c r="E12" s="1760" t="s">
        <v>590</v>
      </c>
      <c r="F12" s="1760" t="s">
        <v>589</v>
      </c>
      <c r="G12" s="1760" t="s">
        <v>588</v>
      </c>
      <c r="H12" s="1760" t="s">
        <v>587</v>
      </c>
      <c r="I12" s="1761">
        <v>4</v>
      </c>
      <c r="J12" s="1761">
        <v>4</v>
      </c>
      <c r="K12" s="1762"/>
    </row>
    <row r="13" spans="2:11" ht="60">
      <c r="B13" s="479">
        <f>B12+0.1</f>
        <v>1.3000000000000003</v>
      </c>
      <c r="C13" s="558" t="s">
        <v>585</v>
      </c>
      <c r="D13" s="558" t="s">
        <v>584</v>
      </c>
      <c r="E13" s="1760" t="s">
        <v>583</v>
      </c>
      <c r="F13" s="1760" t="s">
        <v>582</v>
      </c>
      <c r="G13" s="1760" t="s">
        <v>581</v>
      </c>
      <c r="H13" s="1760" t="s">
        <v>580</v>
      </c>
      <c r="I13" s="1761">
        <v>3</v>
      </c>
      <c r="J13" s="1761">
        <v>4</v>
      </c>
      <c r="K13" s="1762"/>
    </row>
    <row r="14" spans="2:11" ht="60">
      <c r="B14" s="479">
        <f>B13+0.1</f>
        <v>1.4000000000000004</v>
      </c>
      <c r="C14" s="558" t="s">
        <v>579</v>
      </c>
      <c r="D14" s="558" t="s">
        <v>578</v>
      </c>
      <c r="E14" s="1760" t="s">
        <v>577</v>
      </c>
      <c r="F14" s="1760" t="s">
        <v>576</v>
      </c>
      <c r="G14" s="1760" t="s">
        <v>575</v>
      </c>
      <c r="H14" s="1760" t="s">
        <v>574</v>
      </c>
      <c r="I14" s="1761">
        <v>4</v>
      </c>
      <c r="J14" s="1761">
        <v>4</v>
      </c>
      <c r="K14" s="1762"/>
    </row>
    <row r="15" spans="2:11" s="387" customFormat="1" ht="24" customHeight="1">
      <c r="H15" s="387" t="s">
        <v>302</v>
      </c>
      <c r="I15" s="480">
        <f>IF(SUM(I11:I14)=0,"",ROUNDDOWN(AVERAGE(I11:I14),1))</f>
        <v>3.7</v>
      </c>
      <c r="J15" s="480">
        <f>IF(SUM(J11:J14)=0,"",ROUNDDOWN(AVERAGE(J11:J14),1))</f>
        <v>4</v>
      </c>
      <c r="K15" s="481"/>
    </row>
    <row r="16" spans="2:11">
      <c r="C16" s="473"/>
      <c r="D16" s="473"/>
      <c r="E16" s="482"/>
      <c r="F16" s="482"/>
      <c r="G16" s="482"/>
      <c r="H16" s="482"/>
    </row>
    <row r="17" spans="2:11" ht="30" customHeight="1">
      <c r="B17" s="477">
        <v>2</v>
      </c>
      <c r="C17" s="2180" t="s">
        <v>567</v>
      </c>
      <c r="D17" s="2181"/>
      <c r="E17" s="2181"/>
      <c r="F17" s="2181"/>
      <c r="G17" s="2181"/>
      <c r="H17" s="2182"/>
    </row>
    <row r="18" spans="2:11" ht="45">
      <c r="B18" s="479">
        <f>B17+0.1</f>
        <v>2.1</v>
      </c>
      <c r="C18" s="558" t="s">
        <v>573</v>
      </c>
      <c r="D18" s="558" t="s">
        <v>572</v>
      </c>
      <c r="E18" s="1763" t="s">
        <v>571</v>
      </c>
      <c r="F18" s="1763" t="s">
        <v>570</v>
      </c>
      <c r="G18" s="1763" t="s">
        <v>569</v>
      </c>
      <c r="H18" s="1763" t="s">
        <v>568</v>
      </c>
      <c r="I18" s="1761">
        <v>4</v>
      </c>
      <c r="J18" s="1761">
        <v>4</v>
      </c>
      <c r="K18" s="1762"/>
    </row>
    <row r="19" spans="2:11" ht="120">
      <c r="B19" s="479">
        <f>B18+0.1</f>
        <v>2.2000000000000002</v>
      </c>
      <c r="C19" s="558" t="s">
        <v>566</v>
      </c>
      <c r="D19" s="558" t="s">
        <v>565</v>
      </c>
      <c r="E19" s="1763" t="s">
        <v>564</v>
      </c>
      <c r="F19" s="1763" t="s">
        <v>601</v>
      </c>
      <c r="G19" s="1763" t="s">
        <v>563</v>
      </c>
      <c r="H19" s="1763" t="s">
        <v>562</v>
      </c>
      <c r="I19" s="1761">
        <v>4</v>
      </c>
      <c r="J19" s="1761">
        <v>4</v>
      </c>
      <c r="K19" s="1762"/>
    </row>
    <row r="20" spans="2:11" ht="52">
      <c r="B20" s="479">
        <f>B19+0.1</f>
        <v>2.3000000000000003</v>
      </c>
      <c r="C20" s="558" t="s">
        <v>561</v>
      </c>
      <c r="D20" s="558" t="s">
        <v>560</v>
      </c>
      <c r="E20" s="1760" t="s">
        <v>559</v>
      </c>
      <c r="F20" s="1760" t="s">
        <v>558</v>
      </c>
      <c r="G20" s="1760" t="s">
        <v>557</v>
      </c>
      <c r="H20" s="1760" t="s">
        <v>556</v>
      </c>
      <c r="I20" s="1761">
        <v>4</v>
      </c>
      <c r="J20" s="1761">
        <v>4</v>
      </c>
      <c r="K20" s="1762"/>
    </row>
    <row r="21" spans="2:11" s="387" customFormat="1" ht="24" customHeight="1">
      <c r="H21" s="387" t="s">
        <v>302</v>
      </c>
      <c r="I21" s="480">
        <f>IF(SUM(I18:I20)=0,"",ROUNDDOWN(AVERAGE(I18:I20),1))</f>
        <v>4</v>
      </c>
      <c r="J21" s="480">
        <f>IF(SUM(J18:J20)=0,"",ROUNDDOWN(AVERAGE(J18:J20),1))</f>
        <v>4</v>
      </c>
      <c r="K21" s="481"/>
    </row>
    <row r="22" spans="2:11">
      <c r="C22" s="473"/>
      <c r="D22" s="473"/>
      <c r="E22" s="482"/>
      <c r="F22" s="482"/>
      <c r="G22" s="482"/>
      <c r="H22" s="482"/>
    </row>
    <row r="23" spans="2:11" ht="30" customHeight="1">
      <c r="B23" s="477">
        <v>3</v>
      </c>
      <c r="C23" s="2180" t="s">
        <v>549</v>
      </c>
      <c r="D23" s="2181"/>
      <c r="E23" s="2181"/>
      <c r="F23" s="2181"/>
      <c r="G23" s="2181"/>
      <c r="H23" s="2182"/>
    </row>
    <row r="24" spans="2:11" ht="90">
      <c r="B24" s="479">
        <f>B23+0.1</f>
        <v>3.1</v>
      </c>
      <c r="C24" s="560" t="s">
        <v>555</v>
      </c>
      <c r="D24" s="560" t="s">
        <v>554</v>
      </c>
      <c r="E24" s="1763" t="s">
        <v>553</v>
      </c>
      <c r="F24" s="1763" t="s">
        <v>552</v>
      </c>
      <c r="G24" s="1763" t="s">
        <v>551</v>
      </c>
      <c r="H24" s="1763" t="s">
        <v>550</v>
      </c>
      <c r="I24" s="1761">
        <v>2</v>
      </c>
      <c r="J24" s="1761">
        <v>3</v>
      </c>
      <c r="K24" s="1762"/>
    </row>
    <row r="25" spans="2:11" ht="75">
      <c r="B25" s="479">
        <f>B24+0.1</f>
        <v>3.2</v>
      </c>
      <c r="C25" s="558" t="s">
        <v>548</v>
      </c>
      <c r="D25" s="558" t="s">
        <v>547</v>
      </c>
      <c r="E25" s="1763" t="s">
        <v>546</v>
      </c>
      <c r="F25" s="1763" t="s">
        <v>545</v>
      </c>
      <c r="G25" s="1763" t="s">
        <v>544</v>
      </c>
      <c r="H25" s="1763" t="s">
        <v>543</v>
      </c>
      <c r="I25" s="1761">
        <v>4</v>
      </c>
      <c r="J25" s="1761">
        <v>3</v>
      </c>
      <c r="K25" s="1762"/>
    </row>
    <row r="26" spans="2:11" ht="60">
      <c r="B26" s="479">
        <f>B25+0.1</f>
        <v>3.3000000000000003</v>
      </c>
      <c r="C26" s="558" t="s">
        <v>542</v>
      </c>
      <c r="D26" s="558" t="s">
        <v>541</v>
      </c>
      <c r="E26" s="1763" t="s">
        <v>540</v>
      </c>
      <c r="F26" s="1763" t="s">
        <v>539</v>
      </c>
      <c r="G26" s="1763" t="s">
        <v>538</v>
      </c>
      <c r="H26" s="1763" t="s">
        <v>537</v>
      </c>
      <c r="I26" s="1761">
        <v>3</v>
      </c>
      <c r="J26" s="1761">
        <v>3</v>
      </c>
      <c r="K26" s="1762"/>
    </row>
    <row r="27" spans="2:11" s="387" customFormat="1" ht="24" customHeight="1">
      <c r="H27" s="387" t="s">
        <v>302</v>
      </c>
      <c r="I27" s="480">
        <f>IF(SUM(I24:I26)=0,"",ROUNDDOWN(AVERAGE(I24:I26),1))</f>
        <v>3</v>
      </c>
      <c r="J27" s="480">
        <f>IF(SUM(J24:J26)=0,"",ROUNDDOWN(AVERAGE(J24:J26),1))</f>
        <v>3</v>
      </c>
      <c r="K27" s="481"/>
    </row>
    <row r="28" spans="2:11">
      <c r="C28" s="473"/>
      <c r="D28" s="473"/>
      <c r="E28" s="482"/>
      <c r="F28" s="482"/>
      <c r="G28" s="482"/>
      <c r="H28" s="482"/>
    </row>
    <row r="29" spans="2:11" ht="17" customHeight="1"/>
    <row r="30" spans="2:11" ht="17" customHeight="1">
      <c r="F30" s="334" t="s">
        <v>304</v>
      </c>
    </row>
    <row r="31" spans="2:11" ht="17" customHeight="1">
      <c r="G31" s="483" t="s">
        <v>305</v>
      </c>
      <c r="H31" s="471">
        <v>1</v>
      </c>
      <c r="I31" s="484">
        <f>IF(I15="","",I15)</f>
        <v>3.7</v>
      </c>
      <c r="J31" s="484">
        <f>IF(J15="","",J15)</f>
        <v>4</v>
      </c>
    </row>
    <row r="32" spans="2:11" ht="17" customHeight="1">
      <c r="G32" s="483" t="s">
        <v>305</v>
      </c>
      <c r="H32" s="471">
        <f>1+H31</f>
        <v>2</v>
      </c>
      <c r="I32" s="485">
        <f>IF(I21="","",I21)</f>
        <v>4</v>
      </c>
      <c r="J32" s="485">
        <f>IF(J21="","",J21)</f>
        <v>4</v>
      </c>
    </row>
    <row r="33" spans="2:12" ht="17" customHeight="1">
      <c r="G33" s="483" t="s">
        <v>305</v>
      </c>
      <c r="H33" s="471">
        <f>1+H32</f>
        <v>3</v>
      </c>
      <c r="I33" s="485">
        <f>IF(I27="","",I27)</f>
        <v>3</v>
      </c>
      <c r="J33" s="485">
        <f>IF(J27="","",J27)</f>
        <v>3</v>
      </c>
    </row>
    <row r="34" spans="2:12" s="473" customFormat="1" ht="17" customHeight="1">
      <c r="B34" s="471"/>
      <c r="C34" s="472"/>
      <c r="D34" s="472"/>
      <c r="E34" s="472"/>
      <c r="F34" s="472"/>
      <c r="G34" s="472"/>
      <c r="H34" s="387" t="s">
        <v>306</v>
      </c>
      <c r="I34" s="485">
        <f>SUM(I11:I14)+SUM(I18:I20)+SUM(I24:I26)</f>
        <v>36</v>
      </c>
      <c r="J34" s="485">
        <f>SUM(J11:J14)+SUM(J18:J20)+SUM(J24:J26)</f>
        <v>37</v>
      </c>
      <c r="L34" s="472"/>
    </row>
    <row r="35" spans="2:12" s="473" customFormat="1" ht="17" customHeight="1">
      <c r="B35" s="471"/>
      <c r="C35" s="472"/>
      <c r="D35" s="472"/>
      <c r="E35" s="472"/>
      <c r="F35" s="472"/>
      <c r="G35" s="472"/>
      <c r="H35" s="387"/>
      <c r="I35" s="486"/>
      <c r="J35" s="486"/>
      <c r="L35" s="472"/>
    </row>
    <row r="36" spans="2:12" s="473" customFormat="1" ht="17" customHeight="1">
      <c r="B36" s="471"/>
      <c r="C36" s="487" t="s">
        <v>600</v>
      </c>
      <c r="D36" s="487"/>
      <c r="E36" s="472"/>
      <c r="F36" s="472"/>
      <c r="G36" s="472"/>
      <c r="H36" s="472"/>
      <c r="I36" s="471"/>
      <c r="J36" s="471"/>
      <c r="L36" s="472"/>
    </row>
    <row r="37" spans="2:12" s="473" customFormat="1" ht="17" customHeight="1">
      <c r="B37" s="471"/>
      <c r="C37" s="472"/>
      <c r="D37" s="472"/>
      <c r="E37" s="472"/>
      <c r="F37" s="472"/>
      <c r="G37" s="472"/>
      <c r="H37" s="472"/>
      <c r="I37" s="471"/>
      <c r="J37" s="471"/>
      <c r="L37" s="472"/>
    </row>
    <row r="38" spans="2:12" s="473" customFormat="1" ht="17" customHeight="1">
      <c r="B38" s="471"/>
      <c r="C38" s="472"/>
      <c r="D38" s="472"/>
      <c r="E38" s="472"/>
      <c r="F38" s="472"/>
      <c r="G38" s="472"/>
      <c r="H38" s="472"/>
      <c r="I38" s="471"/>
      <c r="J38" s="471"/>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spans="3:11" ht="17" customHeight="1"/>
    <row r="50" spans="3:11" ht="17" customHeight="1"/>
    <row r="51" spans="3:11" ht="17" customHeight="1"/>
    <row r="52" spans="3:11" s="471" customFormat="1" ht="17" customHeight="1">
      <c r="C52" s="472"/>
      <c r="D52" s="472"/>
      <c r="E52" s="472"/>
      <c r="F52" s="472"/>
      <c r="G52" s="472"/>
      <c r="H52" s="472"/>
      <c r="K52" s="473"/>
    </row>
    <row r="53" spans="3:11" s="471" customFormat="1" ht="17" customHeight="1">
      <c r="C53" s="472"/>
      <c r="D53" s="472"/>
      <c r="E53" s="472"/>
      <c r="F53" s="472"/>
      <c r="G53" s="472"/>
      <c r="H53" s="472"/>
      <c r="K53" s="473"/>
    </row>
    <row r="54" spans="3:11" s="471" customFormat="1" ht="17" customHeight="1">
      <c r="C54" s="472"/>
      <c r="D54" s="472"/>
      <c r="E54" s="472"/>
      <c r="F54" s="472"/>
      <c r="G54" s="472"/>
      <c r="H54" s="472"/>
      <c r="K54" s="473"/>
    </row>
    <row r="55" spans="3:11" s="471" customFormat="1" ht="17" customHeight="1">
      <c r="C55" s="472"/>
      <c r="D55" s="472"/>
      <c r="E55" s="472"/>
      <c r="F55" s="472"/>
      <c r="G55" s="472"/>
      <c r="H55" s="472"/>
      <c r="K55" s="473"/>
    </row>
    <row r="56" spans="3:11" s="471" customFormat="1" ht="17" customHeight="1">
      <c r="C56" s="472"/>
      <c r="D56" s="472"/>
      <c r="E56" s="472"/>
      <c r="F56" s="472"/>
      <c r="G56" s="472"/>
      <c r="H56" s="472"/>
      <c r="K56" s="473"/>
    </row>
    <row r="57" spans="3:11" s="471" customFormat="1" ht="17" customHeight="1">
      <c r="C57" s="472"/>
      <c r="D57" s="472"/>
      <c r="E57" s="472"/>
      <c r="F57" s="472"/>
      <c r="G57" s="472"/>
      <c r="H57" s="472"/>
      <c r="K57" s="473"/>
    </row>
    <row r="58" spans="3:11" s="471" customFormat="1" ht="17" customHeight="1">
      <c r="C58" s="472"/>
      <c r="D58" s="472"/>
      <c r="E58" s="472"/>
      <c r="F58" s="472"/>
      <c r="G58" s="472"/>
      <c r="H58" s="472"/>
      <c r="K58" s="473"/>
    </row>
    <row r="59" spans="3:11" s="471" customFormat="1" ht="17" customHeight="1">
      <c r="C59" s="472"/>
      <c r="D59" s="472"/>
      <c r="E59" s="472"/>
      <c r="F59" s="472"/>
      <c r="G59" s="472"/>
      <c r="H59" s="472"/>
      <c r="K59" s="473"/>
    </row>
    <row r="60" spans="3:11" s="471" customFormat="1" ht="17" customHeight="1">
      <c r="C60" s="472"/>
      <c r="D60" s="472"/>
      <c r="E60" s="472"/>
      <c r="F60" s="472"/>
      <c r="G60" s="472"/>
      <c r="H60" s="472"/>
      <c r="K60" s="473"/>
    </row>
    <row r="61" spans="3:11" s="471" customFormat="1" ht="17" customHeight="1">
      <c r="C61" s="472"/>
      <c r="D61" s="472"/>
      <c r="E61" s="472"/>
      <c r="F61" s="472"/>
      <c r="G61" s="472"/>
      <c r="H61" s="472"/>
      <c r="K61" s="473"/>
    </row>
    <row r="62" spans="3:11" s="471" customFormat="1" ht="17" customHeight="1">
      <c r="C62" s="472"/>
      <c r="D62" s="472"/>
      <c r="E62" s="472"/>
      <c r="F62" s="472"/>
      <c r="G62" s="472"/>
      <c r="H62" s="472"/>
      <c r="K62" s="473"/>
    </row>
    <row r="63" spans="3:11" s="471" customFormat="1" ht="17" customHeight="1">
      <c r="C63" s="472"/>
      <c r="D63" s="472"/>
      <c r="E63" s="472"/>
      <c r="F63" s="472"/>
      <c r="G63" s="472"/>
      <c r="H63" s="472"/>
      <c r="K63" s="473"/>
    </row>
    <row r="64" spans="3:11" s="471" customFormat="1" ht="17" customHeight="1">
      <c r="C64" s="472"/>
      <c r="D64" s="472"/>
      <c r="E64" s="472"/>
      <c r="F64" s="472"/>
      <c r="G64" s="472"/>
      <c r="H64" s="472"/>
      <c r="K64" s="473"/>
    </row>
    <row r="65" spans="3:11" s="471" customFormat="1" ht="17" customHeight="1">
      <c r="C65" s="472"/>
      <c r="D65" s="472"/>
      <c r="E65" s="472"/>
      <c r="F65" s="472"/>
      <c r="G65" s="472"/>
      <c r="H65" s="472"/>
      <c r="K65" s="473"/>
    </row>
    <row r="66" spans="3:11" s="471" customFormat="1" ht="17" customHeight="1">
      <c r="C66" s="472"/>
      <c r="D66" s="472"/>
      <c r="E66" s="472"/>
      <c r="F66" s="472"/>
      <c r="G66" s="472"/>
      <c r="H66" s="472"/>
      <c r="K66" s="473"/>
    </row>
    <row r="67" spans="3:11" s="471" customFormat="1" ht="17" customHeight="1">
      <c r="C67" s="472"/>
      <c r="D67" s="472"/>
      <c r="E67" s="472"/>
      <c r="F67" s="472"/>
      <c r="G67" s="472"/>
      <c r="H67" s="472"/>
      <c r="K67" s="473"/>
    </row>
    <row r="68" spans="3:11" s="471" customFormat="1" ht="17" customHeight="1">
      <c r="C68" s="472"/>
      <c r="D68" s="472"/>
      <c r="E68" s="472"/>
      <c r="F68" s="472"/>
      <c r="G68" s="472"/>
      <c r="H68" s="472"/>
      <c r="K68" s="473"/>
    </row>
    <row r="69" spans="3:11" s="471" customFormat="1" ht="17" customHeight="1">
      <c r="C69" s="472"/>
      <c r="D69" s="472"/>
      <c r="E69" s="472"/>
      <c r="F69" s="472"/>
      <c r="G69" s="472"/>
      <c r="H69" s="472"/>
      <c r="K69" s="473"/>
    </row>
    <row r="70" spans="3:11" s="471" customFormat="1" ht="17" customHeight="1">
      <c r="C70" s="472"/>
      <c r="D70" s="472"/>
      <c r="E70" s="472"/>
      <c r="F70" s="472"/>
      <c r="G70" s="472"/>
      <c r="H70" s="472"/>
      <c r="K70" s="473"/>
    </row>
  </sheetData>
  <sheetProtection algorithmName="SHA-512" hashValue="Urs2Z0vnAvwuQoM+bYLfXfEI5Vn+8gERAH6QtHyC+OtcaIq8eytqcNIYawjLURHRtM5qTIgjrb2v119X+fQwYw==" saltValue="OxNCjAMwh0sZibGIS67IoQ==" spinCount="100000" sheet="1" objects="1" scenarios="1" selectLockedCells="1"/>
  <mergeCells count="8">
    <mergeCell ref="I8:K8"/>
    <mergeCell ref="C10:H10"/>
    <mergeCell ref="C17:H17"/>
    <mergeCell ref="C23:H23"/>
    <mergeCell ref="F3:H3"/>
    <mergeCell ref="B8:B9"/>
    <mergeCell ref="C8:C9"/>
    <mergeCell ref="E8:H8"/>
  </mergeCells>
  <conditionalFormatting sqref="I35:J35">
    <cfRule type="cellIs" dxfId="10" priority="1" operator="equal">
      <formula>"Yes"</formula>
    </cfRule>
    <cfRule type="cellIs" dxfId="9" priority="2" operator="equal">
      <formula>"No"</formula>
    </cfRule>
  </conditionalFormatting>
  <dataValidations count="1">
    <dataValidation type="whole" allowBlank="1" showInputMessage="1" showErrorMessage="1" sqref="I11:J14 I18:J20 I24:J26" xr:uid="{00000000-0002-0000-5A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6683E-9EF3-4EB5-978D-80B9CE059AF7}">
  <sheetPr codeName="Support_Sheet63">
    <tabColor theme="2" tint="-9.9948118533890809E-2"/>
  </sheetPr>
  <dimension ref="B2:L70"/>
  <sheetViews>
    <sheetView showGridLines="0" showZeros="0" zoomScale="90" zoomScaleNormal="90" workbookViewId="0">
      <pane xSplit="8" ySplit="9" topLeftCell="I10" activePane="bottomRight" state="frozenSplit"/>
      <selection activeCell="C6" sqref="C6"/>
      <selection pane="topRight" activeCell="C6" sqref="C6"/>
      <selection pane="bottomLeft" activeCell="C6" sqref="C6"/>
      <selection pane="bottomRight" activeCell="C4" sqref="C4"/>
    </sheetView>
  </sheetViews>
  <sheetFormatPr baseColWidth="10" defaultColWidth="10" defaultRowHeight="14"/>
  <cols>
    <col min="1" max="1" width="2.6640625" style="472" customWidth="1"/>
    <col min="2" max="2" width="5.5" style="471" customWidth="1"/>
    <col min="3" max="3" width="13" style="472" customWidth="1"/>
    <col min="4" max="4" width="46.33203125" style="472" customWidth="1"/>
    <col min="5" max="8" width="26.5" style="472" customWidth="1"/>
    <col min="9" max="10" width="9.6640625" style="471" customWidth="1"/>
    <col min="11" max="11" width="55.1640625" style="473" customWidth="1"/>
    <col min="12" max="12" width="9.6640625" style="472" customWidth="1"/>
    <col min="13" max="16384" width="10" style="472"/>
  </cols>
  <sheetData>
    <row r="2" spans="2:11" s="467" customFormat="1" ht="20" customHeight="1">
      <c r="B2" s="466"/>
      <c r="C2" s="1757" t="s">
        <v>4087</v>
      </c>
      <c r="D2" s="1757"/>
      <c r="E2" s="321"/>
      <c r="F2" s="1757" t="s">
        <v>689</v>
      </c>
      <c r="G2" s="1758"/>
      <c r="H2" s="321"/>
      <c r="I2" s="321"/>
      <c r="J2" s="321"/>
      <c r="K2" s="1759"/>
    </row>
    <row r="3" spans="2:11" s="467" customFormat="1" ht="20" customHeight="1">
      <c r="B3" s="466"/>
      <c r="C3" s="468" t="s">
        <v>4132</v>
      </c>
      <c r="D3" s="468"/>
      <c r="E3" s="321"/>
      <c r="F3" s="2183" t="s">
        <v>4116</v>
      </c>
      <c r="G3" s="2183"/>
      <c r="H3" s="2183"/>
      <c r="I3" s="469" t="str">
        <f>IF(LEN(F3)&lt;3,"Please complete cover sheet","")</f>
        <v/>
      </c>
      <c r="J3" s="470"/>
    </row>
    <row r="4" spans="2:11" s="467" customFormat="1" ht="20" customHeight="1">
      <c r="B4" s="466"/>
      <c r="C4" s="468"/>
      <c r="D4" s="468"/>
      <c r="E4" s="321"/>
      <c r="F4" s="1717"/>
      <c r="G4" s="1717"/>
      <c r="H4" s="1717"/>
      <c r="I4" s="469"/>
      <c r="J4" s="470"/>
    </row>
    <row r="5" spans="2:11" s="467" customFormat="1" ht="20" customHeight="1">
      <c r="B5" s="466"/>
      <c r="C5" s="468"/>
      <c r="D5" s="468"/>
      <c r="E5" s="321"/>
      <c r="F5" s="1717"/>
      <c r="G5" s="1717"/>
      <c r="H5" s="1717"/>
      <c r="I5" s="469"/>
      <c r="J5" s="470"/>
    </row>
    <row r="6" spans="2:11" s="467" customFormat="1" ht="20" customHeight="1">
      <c r="B6" s="466"/>
      <c r="C6" s="468"/>
      <c r="D6" s="468"/>
      <c r="E6" s="321"/>
      <c r="F6" s="1717"/>
      <c r="G6" s="1717"/>
      <c r="H6" s="1717"/>
      <c r="I6" s="469"/>
      <c r="J6" s="470"/>
    </row>
    <row r="7" spans="2:11" ht="15" customHeight="1"/>
    <row r="8" spans="2:11" s="334" customFormat="1" ht="22.25" customHeight="1">
      <c r="B8" s="2184" t="s">
        <v>294</v>
      </c>
      <c r="C8" s="2184" t="s">
        <v>295</v>
      </c>
      <c r="D8" s="1718"/>
      <c r="E8" s="2186" t="s">
        <v>296</v>
      </c>
      <c r="F8" s="2186"/>
      <c r="G8" s="2186"/>
      <c r="H8" s="2186"/>
      <c r="I8" s="2177" t="s">
        <v>307</v>
      </c>
      <c r="J8" s="2178"/>
      <c r="K8" s="2179"/>
    </row>
    <row r="9" spans="2:11" s="334" customFormat="1" ht="30" customHeight="1">
      <c r="B9" s="2185"/>
      <c r="C9" s="2185"/>
      <c r="D9" s="1719"/>
      <c r="E9" s="474" t="s">
        <v>297</v>
      </c>
      <c r="F9" s="474" t="s">
        <v>298</v>
      </c>
      <c r="G9" s="474" t="s">
        <v>299</v>
      </c>
      <c r="H9" s="474" t="s">
        <v>300</v>
      </c>
      <c r="I9" s="475" t="s">
        <v>12</v>
      </c>
      <c r="J9" s="476" t="s">
        <v>288</v>
      </c>
      <c r="K9" s="476" t="s">
        <v>301</v>
      </c>
    </row>
    <row r="10" spans="2:11" ht="30" customHeight="1">
      <c r="B10" s="477">
        <v>1</v>
      </c>
      <c r="C10" s="2180" t="s">
        <v>586</v>
      </c>
      <c r="D10" s="2181"/>
      <c r="E10" s="2181"/>
      <c r="F10" s="2181"/>
      <c r="G10" s="2181"/>
      <c r="H10" s="2182"/>
      <c r="K10" s="478"/>
    </row>
    <row r="11" spans="2:11" ht="65">
      <c r="B11" s="479">
        <f>B10+0.1</f>
        <v>1.1000000000000001</v>
      </c>
      <c r="C11" s="558" t="s">
        <v>598</v>
      </c>
      <c r="D11" s="558" t="s">
        <v>597</v>
      </c>
      <c r="E11" s="1760" t="s">
        <v>596</v>
      </c>
      <c r="F11" s="1760" t="s">
        <v>595</v>
      </c>
      <c r="G11" s="1760" t="s">
        <v>594</v>
      </c>
      <c r="H11" s="1760" t="s">
        <v>593</v>
      </c>
      <c r="I11" s="1761">
        <v>4</v>
      </c>
      <c r="J11" s="1761">
        <v>4</v>
      </c>
      <c r="K11" s="1762"/>
    </row>
    <row r="12" spans="2:11" ht="52">
      <c r="B12" s="479">
        <f>B11+0.1</f>
        <v>1.2000000000000002</v>
      </c>
      <c r="C12" s="558" t="s">
        <v>592</v>
      </c>
      <c r="D12" s="558" t="s">
        <v>591</v>
      </c>
      <c r="E12" s="1760" t="s">
        <v>590</v>
      </c>
      <c r="F12" s="1760" t="s">
        <v>589</v>
      </c>
      <c r="G12" s="1760" t="s">
        <v>588</v>
      </c>
      <c r="H12" s="1760" t="s">
        <v>587</v>
      </c>
      <c r="I12" s="1761">
        <v>4</v>
      </c>
      <c r="J12" s="1761">
        <v>4</v>
      </c>
      <c r="K12" s="1762"/>
    </row>
    <row r="13" spans="2:11" ht="60">
      <c r="B13" s="479">
        <f>B12+0.1</f>
        <v>1.3000000000000003</v>
      </c>
      <c r="C13" s="558" t="s">
        <v>585</v>
      </c>
      <c r="D13" s="558" t="s">
        <v>584</v>
      </c>
      <c r="E13" s="1760" t="s">
        <v>583</v>
      </c>
      <c r="F13" s="1760" t="s">
        <v>582</v>
      </c>
      <c r="G13" s="1760" t="s">
        <v>581</v>
      </c>
      <c r="H13" s="1760" t="s">
        <v>580</v>
      </c>
      <c r="I13" s="1761">
        <v>3</v>
      </c>
      <c r="J13" s="1761">
        <v>3</v>
      </c>
      <c r="K13" s="1762"/>
    </row>
    <row r="14" spans="2:11" ht="60">
      <c r="B14" s="479">
        <f>B13+0.1</f>
        <v>1.4000000000000004</v>
      </c>
      <c r="C14" s="558" t="s">
        <v>579</v>
      </c>
      <c r="D14" s="558" t="s">
        <v>578</v>
      </c>
      <c r="E14" s="1760" t="s">
        <v>577</v>
      </c>
      <c r="F14" s="1760" t="s">
        <v>576</v>
      </c>
      <c r="G14" s="1760" t="s">
        <v>575</v>
      </c>
      <c r="H14" s="1760" t="s">
        <v>574</v>
      </c>
      <c r="I14" s="1761">
        <v>3</v>
      </c>
      <c r="J14" s="1761">
        <v>3</v>
      </c>
      <c r="K14" s="1762"/>
    </row>
    <row r="15" spans="2:11" s="387" customFormat="1" ht="24" customHeight="1">
      <c r="H15" s="387" t="s">
        <v>302</v>
      </c>
      <c r="I15" s="480">
        <f>IF(SUM(I11:I14)=0,"",ROUNDDOWN(AVERAGE(I11:I14),1))</f>
        <v>3.5</v>
      </c>
      <c r="J15" s="480">
        <f>IF(SUM(J11:J14)=0,"",ROUNDDOWN(AVERAGE(J11:J14),1))</f>
        <v>3.5</v>
      </c>
      <c r="K15" s="481"/>
    </row>
    <row r="16" spans="2:11">
      <c r="C16" s="473"/>
      <c r="D16" s="473"/>
      <c r="E16" s="482"/>
      <c r="F16" s="482"/>
      <c r="G16" s="482"/>
      <c r="H16" s="482"/>
    </row>
    <row r="17" spans="2:11" ht="30" customHeight="1">
      <c r="B17" s="477">
        <v>2</v>
      </c>
      <c r="C17" s="2180" t="s">
        <v>567</v>
      </c>
      <c r="D17" s="2181"/>
      <c r="E17" s="2181"/>
      <c r="F17" s="2181"/>
      <c r="G17" s="2181"/>
      <c r="H17" s="2182"/>
    </row>
    <row r="18" spans="2:11" ht="45">
      <c r="B18" s="479">
        <f>B17+0.1</f>
        <v>2.1</v>
      </c>
      <c r="C18" s="558" t="s">
        <v>573</v>
      </c>
      <c r="D18" s="558" t="s">
        <v>572</v>
      </c>
      <c r="E18" s="1763" t="s">
        <v>571</v>
      </c>
      <c r="F18" s="1763" t="s">
        <v>570</v>
      </c>
      <c r="G18" s="1763" t="s">
        <v>569</v>
      </c>
      <c r="H18" s="1763" t="s">
        <v>568</v>
      </c>
      <c r="I18" s="1761">
        <v>4</v>
      </c>
      <c r="J18" s="1761">
        <v>4</v>
      </c>
      <c r="K18" s="1762"/>
    </row>
    <row r="19" spans="2:11" ht="120">
      <c r="B19" s="479">
        <f>B18+0.1</f>
        <v>2.2000000000000002</v>
      </c>
      <c r="C19" s="558" t="s">
        <v>566</v>
      </c>
      <c r="D19" s="558" t="s">
        <v>565</v>
      </c>
      <c r="E19" s="1763" t="s">
        <v>564</v>
      </c>
      <c r="F19" s="1763" t="s">
        <v>601</v>
      </c>
      <c r="G19" s="1763" t="s">
        <v>563</v>
      </c>
      <c r="H19" s="1763" t="s">
        <v>562</v>
      </c>
      <c r="I19" s="1761">
        <v>4</v>
      </c>
      <c r="J19" s="1761">
        <v>3</v>
      </c>
      <c r="K19" s="1762"/>
    </row>
    <row r="20" spans="2:11" ht="52">
      <c r="B20" s="479">
        <f>B19+0.1</f>
        <v>2.3000000000000003</v>
      </c>
      <c r="C20" s="558" t="s">
        <v>561</v>
      </c>
      <c r="D20" s="558" t="s">
        <v>560</v>
      </c>
      <c r="E20" s="1760" t="s">
        <v>559</v>
      </c>
      <c r="F20" s="1760" t="s">
        <v>558</v>
      </c>
      <c r="G20" s="1760" t="s">
        <v>557</v>
      </c>
      <c r="H20" s="1760" t="s">
        <v>556</v>
      </c>
      <c r="I20" s="1761">
        <v>3</v>
      </c>
      <c r="J20" s="1761">
        <v>3</v>
      </c>
      <c r="K20" s="1762"/>
    </row>
    <row r="21" spans="2:11" s="387" customFormat="1" ht="24" customHeight="1">
      <c r="H21" s="387" t="s">
        <v>302</v>
      </c>
      <c r="I21" s="480">
        <f>IF(SUM(I18:I20)=0,"",ROUNDDOWN(AVERAGE(I18:I20),1))</f>
        <v>3.6</v>
      </c>
      <c r="J21" s="480">
        <f>IF(SUM(J18:J20)=0,"",ROUNDDOWN(AVERAGE(J18:J20),1))</f>
        <v>3.3</v>
      </c>
      <c r="K21" s="481"/>
    </row>
    <row r="22" spans="2:11">
      <c r="C22" s="473"/>
      <c r="D22" s="473"/>
      <c r="E22" s="482"/>
      <c r="F22" s="482"/>
      <c r="G22" s="482"/>
      <c r="H22" s="482"/>
    </row>
    <row r="23" spans="2:11" ht="30" customHeight="1">
      <c r="B23" s="477">
        <v>3</v>
      </c>
      <c r="C23" s="2180" t="s">
        <v>549</v>
      </c>
      <c r="D23" s="2181"/>
      <c r="E23" s="2181"/>
      <c r="F23" s="2181"/>
      <c r="G23" s="2181"/>
      <c r="H23" s="2182"/>
    </row>
    <row r="24" spans="2:11" ht="90">
      <c r="B24" s="479">
        <f>B23+0.1</f>
        <v>3.1</v>
      </c>
      <c r="C24" s="560" t="s">
        <v>555</v>
      </c>
      <c r="D24" s="560" t="s">
        <v>554</v>
      </c>
      <c r="E24" s="1763" t="s">
        <v>553</v>
      </c>
      <c r="F24" s="1763" t="s">
        <v>552</v>
      </c>
      <c r="G24" s="1763" t="s">
        <v>551</v>
      </c>
      <c r="H24" s="1763" t="s">
        <v>550</v>
      </c>
      <c r="I24" s="1761">
        <v>2</v>
      </c>
      <c r="J24" s="1761">
        <v>3</v>
      </c>
      <c r="K24" s="1762"/>
    </row>
    <row r="25" spans="2:11" ht="75">
      <c r="B25" s="479">
        <f>B24+0.1</f>
        <v>3.2</v>
      </c>
      <c r="C25" s="558" t="s">
        <v>548</v>
      </c>
      <c r="D25" s="558" t="s">
        <v>547</v>
      </c>
      <c r="E25" s="1763" t="s">
        <v>546</v>
      </c>
      <c r="F25" s="1763" t="s">
        <v>545</v>
      </c>
      <c r="G25" s="1763" t="s">
        <v>544</v>
      </c>
      <c r="H25" s="1763" t="s">
        <v>543</v>
      </c>
      <c r="I25" s="1761">
        <v>4</v>
      </c>
      <c r="J25" s="1761">
        <v>3</v>
      </c>
      <c r="K25" s="1762"/>
    </row>
    <row r="26" spans="2:11" ht="60">
      <c r="B26" s="479">
        <f>B25+0.1</f>
        <v>3.3000000000000003</v>
      </c>
      <c r="C26" s="558" t="s">
        <v>542</v>
      </c>
      <c r="D26" s="558" t="s">
        <v>541</v>
      </c>
      <c r="E26" s="1763" t="s">
        <v>540</v>
      </c>
      <c r="F26" s="1763" t="s">
        <v>539</v>
      </c>
      <c r="G26" s="1763" t="s">
        <v>538</v>
      </c>
      <c r="H26" s="1763" t="s">
        <v>537</v>
      </c>
      <c r="I26" s="1761">
        <v>3</v>
      </c>
      <c r="J26" s="1761">
        <v>3</v>
      </c>
      <c r="K26" s="1762"/>
    </row>
    <row r="27" spans="2:11" s="387" customFormat="1" ht="24" customHeight="1">
      <c r="H27" s="387" t="s">
        <v>302</v>
      </c>
      <c r="I27" s="480">
        <f>IF(SUM(I24:I26)=0,"",ROUNDDOWN(AVERAGE(I24:I26),1))</f>
        <v>3</v>
      </c>
      <c r="J27" s="480">
        <f>IF(SUM(J24:J26)=0,"",ROUNDDOWN(AVERAGE(J24:J26),1))</f>
        <v>3</v>
      </c>
      <c r="K27" s="481"/>
    </row>
    <row r="28" spans="2:11">
      <c r="C28" s="473"/>
      <c r="D28" s="473"/>
      <c r="E28" s="482"/>
      <c r="F28" s="482"/>
      <c r="G28" s="482"/>
      <c r="H28" s="482"/>
    </row>
    <row r="29" spans="2:11" ht="17" customHeight="1"/>
    <row r="30" spans="2:11" ht="17" customHeight="1">
      <c r="F30" s="334" t="s">
        <v>304</v>
      </c>
    </row>
    <row r="31" spans="2:11" ht="17" customHeight="1">
      <c r="G31" s="483" t="s">
        <v>305</v>
      </c>
      <c r="H31" s="471">
        <v>1</v>
      </c>
      <c r="I31" s="484">
        <f>IF(I15="","",I15)</f>
        <v>3.5</v>
      </c>
      <c r="J31" s="484">
        <f>IF(J15="","",J15)</f>
        <v>3.5</v>
      </c>
    </row>
    <row r="32" spans="2:11" ht="17" customHeight="1">
      <c r="G32" s="483" t="s">
        <v>305</v>
      </c>
      <c r="H32" s="471">
        <f>1+H31</f>
        <v>2</v>
      </c>
      <c r="I32" s="485">
        <f>IF(I21="","",I21)</f>
        <v>3.6</v>
      </c>
      <c r="J32" s="485">
        <f>IF(J21="","",J21)</f>
        <v>3.3</v>
      </c>
    </row>
    <row r="33" spans="2:12" ht="17" customHeight="1">
      <c r="G33" s="483" t="s">
        <v>305</v>
      </c>
      <c r="H33" s="471">
        <f>1+H32</f>
        <v>3</v>
      </c>
      <c r="I33" s="485">
        <f>IF(I27="","",I27)</f>
        <v>3</v>
      </c>
      <c r="J33" s="485">
        <f>IF(J27="","",J27)</f>
        <v>3</v>
      </c>
    </row>
    <row r="34" spans="2:12" s="473" customFormat="1" ht="17" customHeight="1">
      <c r="B34" s="471"/>
      <c r="C34" s="472"/>
      <c r="D34" s="472"/>
      <c r="E34" s="472"/>
      <c r="F34" s="472"/>
      <c r="G34" s="472"/>
      <c r="H34" s="387" t="s">
        <v>306</v>
      </c>
      <c r="I34" s="485">
        <f>SUM(I11:I14)+SUM(I18:I20)+SUM(I24:I26)</f>
        <v>34</v>
      </c>
      <c r="J34" s="485">
        <f>SUM(J11:J14)+SUM(J18:J20)+SUM(J24:J26)</f>
        <v>33</v>
      </c>
      <c r="L34" s="472"/>
    </row>
    <row r="35" spans="2:12" s="473" customFormat="1" ht="17" customHeight="1">
      <c r="B35" s="471"/>
      <c r="C35" s="472"/>
      <c r="D35" s="472"/>
      <c r="E35" s="472"/>
      <c r="F35" s="472"/>
      <c r="G35" s="472"/>
      <c r="H35" s="387"/>
      <c r="I35" s="486"/>
      <c r="J35" s="486"/>
      <c r="L35" s="472"/>
    </row>
    <row r="36" spans="2:12" s="473" customFormat="1" ht="17" customHeight="1">
      <c r="B36" s="471"/>
      <c r="C36" s="487" t="s">
        <v>600</v>
      </c>
      <c r="D36" s="487"/>
      <c r="E36" s="472"/>
      <c r="F36" s="472"/>
      <c r="G36" s="472"/>
      <c r="H36" s="472"/>
      <c r="I36" s="471"/>
      <c r="J36" s="471"/>
      <c r="L36" s="472"/>
    </row>
    <row r="37" spans="2:12" s="473" customFormat="1" ht="17" customHeight="1">
      <c r="B37" s="471"/>
      <c r="C37" s="472"/>
      <c r="D37" s="472"/>
      <c r="E37" s="472"/>
      <c r="F37" s="472"/>
      <c r="G37" s="472"/>
      <c r="H37" s="472"/>
      <c r="I37" s="471"/>
      <c r="J37" s="471"/>
      <c r="L37" s="472"/>
    </row>
    <row r="38" spans="2:12" s="473" customFormat="1" ht="17" customHeight="1">
      <c r="B38" s="471"/>
      <c r="C38" s="472"/>
      <c r="D38" s="472"/>
      <c r="E38" s="472"/>
      <c r="F38" s="472"/>
      <c r="G38" s="472"/>
      <c r="H38" s="472"/>
      <c r="I38" s="471"/>
      <c r="J38" s="471"/>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spans="3:11" ht="17" customHeight="1"/>
    <row r="50" spans="3:11" ht="17" customHeight="1"/>
    <row r="51" spans="3:11" ht="17" customHeight="1"/>
    <row r="52" spans="3:11" s="471" customFormat="1" ht="17" customHeight="1">
      <c r="C52" s="472"/>
      <c r="D52" s="472"/>
      <c r="E52" s="472"/>
      <c r="F52" s="472"/>
      <c r="G52" s="472"/>
      <c r="H52" s="472"/>
      <c r="K52" s="473"/>
    </row>
    <row r="53" spans="3:11" s="471" customFormat="1" ht="17" customHeight="1">
      <c r="C53" s="472"/>
      <c r="D53" s="472"/>
      <c r="E53" s="472"/>
      <c r="F53" s="472"/>
      <c r="G53" s="472"/>
      <c r="H53" s="472"/>
      <c r="K53" s="473"/>
    </row>
    <row r="54" spans="3:11" s="471" customFormat="1" ht="17" customHeight="1">
      <c r="C54" s="472"/>
      <c r="D54" s="472"/>
      <c r="E54" s="472"/>
      <c r="F54" s="472"/>
      <c r="G54" s="472"/>
      <c r="H54" s="472"/>
      <c r="K54" s="473"/>
    </row>
    <row r="55" spans="3:11" s="471" customFormat="1" ht="17" customHeight="1">
      <c r="C55" s="472"/>
      <c r="D55" s="472"/>
      <c r="E55" s="472"/>
      <c r="F55" s="472"/>
      <c r="G55" s="472"/>
      <c r="H55" s="472"/>
      <c r="K55" s="473"/>
    </row>
    <row r="56" spans="3:11" s="471" customFormat="1" ht="17" customHeight="1">
      <c r="C56" s="472"/>
      <c r="D56" s="472"/>
      <c r="E56" s="472"/>
      <c r="F56" s="472"/>
      <c r="G56" s="472"/>
      <c r="H56" s="472"/>
      <c r="K56" s="473"/>
    </row>
    <row r="57" spans="3:11" s="471" customFormat="1" ht="17" customHeight="1">
      <c r="C57" s="472"/>
      <c r="D57" s="472"/>
      <c r="E57" s="472"/>
      <c r="F57" s="472"/>
      <c r="G57" s="472"/>
      <c r="H57" s="472"/>
      <c r="K57" s="473"/>
    </row>
    <row r="58" spans="3:11" s="471" customFormat="1" ht="17" customHeight="1">
      <c r="C58" s="472"/>
      <c r="D58" s="472"/>
      <c r="E58" s="472"/>
      <c r="F58" s="472"/>
      <c r="G58" s="472"/>
      <c r="H58" s="472"/>
      <c r="K58" s="473"/>
    </row>
    <row r="59" spans="3:11" s="471" customFormat="1" ht="17" customHeight="1">
      <c r="C59" s="472"/>
      <c r="D59" s="472"/>
      <c r="E59" s="472"/>
      <c r="F59" s="472"/>
      <c r="G59" s="472"/>
      <c r="H59" s="472"/>
      <c r="K59" s="473"/>
    </row>
    <row r="60" spans="3:11" s="471" customFormat="1" ht="17" customHeight="1">
      <c r="C60" s="472"/>
      <c r="D60" s="472"/>
      <c r="E60" s="472"/>
      <c r="F60" s="472"/>
      <c r="G60" s="472"/>
      <c r="H60" s="472"/>
      <c r="K60" s="473"/>
    </row>
    <row r="61" spans="3:11" s="471" customFormat="1" ht="17" customHeight="1">
      <c r="C61" s="472"/>
      <c r="D61" s="472"/>
      <c r="E61" s="472"/>
      <c r="F61" s="472"/>
      <c r="G61" s="472"/>
      <c r="H61" s="472"/>
      <c r="K61" s="473"/>
    </row>
    <row r="62" spans="3:11" s="471" customFormat="1" ht="17" customHeight="1">
      <c r="C62" s="472"/>
      <c r="D62" s="472"/>
      <c r="E62" s="472"/>
      <c r="F62" s="472"/>
      <c r="G62" s="472"/>
      <c r="H62" s="472"/>
      <c r="K62" s="473"/>
    </row>
    <row r="63" spans="3:11" s="471" customFormat="1" ht="17" customHeight="1">
      <c r="C63" s="472"/>
      <c r="D63" s="472"/>
      <c r="E63" s="472"/>
      <c r="F63" s="472"/>
      <c r="G63" s="472"/>
      <c r="H63" s="472"/>
      <c r="K63" s="473"/>
    </row>
    <row r="64" spans="3:11" s="471" customFormat="1" ht="17" customHeight="1">
      <c r="C64" s="472"/>
      <c r="D64" s="472"/>
      <c r="E64" s="472"/>
      <c r="F64" s="472"/>
      <c r="G64" s="472"/>
      <c r="H64" s="472"/>
      <c r="K64" s="473"/>
    </row>
    <row r="65" spans="3:11" s="471" customFormat="1" ht="17" customHeight="1">
      <c r="C65" s="472"/>
      <c r="D65" s="472"/>
      <c r="E65" s="472"/>
      <c r="F65" s="472"/>
      <c r="G65" s="472"/>
      <c r="H65" s="472"/>
      <c r="K65" s="473"/>
    </row>
    <row r="66" spans="3:11" s="471" customFormat="1" ht="17" customHeight="1">
      <c r="C66" s="472"/>
      <c r="D66" s="472"/>
      <c r="E66" s="472"/>
      <c r="F66" s="472"/>
      <c r="G66" s="472"/>
      <c r="H66" s="472"/>
      <c r="K66" s="473"/>
    </row>
    <row r="67" spans="3:11" s="471" customFormat="1" ht="17" customHeight="1">
      <c r="C67" s="472"/>
      <c r="D67" s="472"/>
      <c r="E67" s="472"/>
      <c r="F67" s="472"/>
      <c r="G67" s="472"/>
      <c r="H67" s="472"/>
      <c r="K67" s="473"/>
    </row>
    <row r="68" spans="3:11" s="471" customFormat="1" ht="17" customHeight="1">
      <c r="C68" s="472"/>
      <c r="D68" s="472"/>
      <c r="E68" s="472"/>
      <c r="F68" s="472"/>
      <c r="G68" s="472"/>
      <c r="H68" s="472"/>
      <c r="K68" s="473"/>
    </row>
    <row r="69" spans="3:11" s="471" customFormat="1" ht="17" customHeight="1">
      <c r="C69" s="472"/>
      <c r="D69" s="472"/>
      <c r="E69" s="472"/>
      <c r="F69" s="472"/>
      <c r="G69" s="472"/>
      <c r="H69" s="472"/>
      <c r="K69" s="473"/>
    </row>
    <row r="70" spans="3:11" s="471" customFormat="1" ht="17" customHeight="1">
      <c r="C70" s="472"/>
      <c r="D70" s="472"/>
      <c r="E70" s="472"/>
      <c r="F70" s="472"/>
      <c r="G70" s="472"/>
      <c r="H70" s="472"/>
      <c r="K70" s="473"/>
    </row>
  </sheetData>
  <sheetProtection algorithmName="SHA-512" hashValue="/EDJx23Xgp9i+ngyCTkDywuZ+tJ9OBvagOxS3JStqe2ShUqdc8P5tdlrucS9yLjFdpVPyCG4mObilvtBuRnfRg==" saltValue="u1Z8vAkS7Qdud7MuAaxdHA==" spinCount="100000" sheet="1" objects="1" scenarios="1" selectLockedCells="1"/>
  <mergeCells count="8">
    <mergeCell ref="I8:K8"/>
    <mergeCell ref="C10:H10"/>
    <mergeCell ref="C17:H17"/>
    <mergeCell ref="C23:H23"/>
    <mergeCell ref="F3:H3"/>
    <mergeCell ref="B8:B9"/>
    <mergeCell ref="C8:C9"/>
    <mergeCell ref="E8:H8"/>
  </mergeCells>
  <conditionalFormatting sqref="I35:J35">
    <cfRule type="cellIs" dxfId="8" priority="1" operator="equal">
      <formula>"Yes"</formula>
    </cfRule>
    <cfRule type="cellIs" dxfId="7" priority="2" operator="equal">
      <formula>"No"</formula>
    </cfRule>
  </conditionalFormatting>
  <dataValidations count="1">
    <dataValidation type="whole" allowBlank="1" showInputMessage="1" showErrorMessage="1" sqref="I11:J14 I18:J20 I24:J26" xr:uid="{00000000-0002-0000-5B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89236-BF6B-4D19-9121-86230B3A24D9}">
  <sheetPr codeName="Support_Sheet64">
    <tabColor theme="2" tint="-9.9948118533890809E-2"/>
  </sheetPr>
  <dimension ref="B2:L70"/>
  <sheetViews>
    <sheetView showGridLines="0" showZeros="0" zoomScale="90" zoomScaleNormal="90" workbookViewId="0">
      <pane xSplit="8" ySplit="9" topLeftCell="I10" activePane="bottomRight" state="frozenSplit"/>
      <selection activeCell="C6" sqref="C6"/>
      <selection pane="topRight" activeCell="C6" sqref="C6"/>
      <selection pane="bottomLeft" activeCell="C6" sqref="C6"/>
      <selection pane="bottomRight" activeCell="C4" sqref="C4"/>
    </sheetView>
  </sheetViews>
  <sheetFormatPr baseColWidth="10" defaultColWidth="10" defaultRowHeight="14"/>
  <cols>
    <col min="1" max="1" width="2.6640625" style="472" customWidth="1"/>
    <col min="2" max="2" width="5.5" style="471" customWidth="1"/>
    <col min="3" max="3" width="13" style="472" customWidth="1"/>
    <col min="4" max="4" width="46.33203125" style="472" customWidth="1"/>
    <col min="5" max="8" width="26.5" style="472" customWidth="1"/>
    <col min="9" max="10" width="9.6640625" style="471" customWidth="1"/>
    <col min="11" max="11" width="55.1640625" style="473" customWidth="1"/>
    <col min="12" max="12" width="9.6640625" style="472" customWidth="1"/>
    <col min="13" max="16384" width="10" style="472"/>
  </cols>
  <sheetData>
    <row r="2" spans="2:11" s="467" customFormat="1" ht="20" customHeight="1">
      <c r="B2" s="466"/>
      <c r="C2" s="1757" t="s">
        <v>4087</v>
      </c>
      <c r="D2" s="1757"/>
      <c r="E2" s="321"/>
      <c r="F2" s="1757" t="s">
        <v>689</v>
      </c>
      <c r="G2" s="1758"/>
      <c r="H2" s="321"/>
      <c r="I2" s="321"/>
      <c r="J2" s="321"/>
      <c r="K2" s="1759"/>
    </row>
    <row r="3" spans="2:11" s="467" customFormat="1" ht="20" customHeight="1">
      <c r="B3" s="466"/>
      <c r="C3" s="468" t="s">
        <v>4131</v>
      </c>
      <c r="D3" s="468"/>
      <c r="E3" s="321"/>
      <c r="F3" s="2183" t="s">
        <v>4116</v>
      </c>
      <c r="G3" s="2183"/>
      <c r="H3" s="2183"/>
      <c r="I3" s="469" t="str">
        <f>IF(LEN(F3)&lt;3,"Please complete cover sheet","")</f>
        <v/>
      </c>
      <c r="J3" s="470"/>
    </row>
    <row r="4" spans="2:11" s="467" customFormat="1" ht="20" customHeight="1">
      <c r="B4" s="466"/>
      <c r="C4" s="468"/>
      <c r="D4" s="468"/>
      <c r="E4" s="321"/>
      <c r="F4" s="1717"/>
      <c r="G4" s="1717"/>
      <c r="H4" s="1717"/>
      <c r="I4" s="469"/>
      <c r="J4" s="470"/>
    </row>
    <row r="5" spans="2:11" s="467" customFormat="1" ht="20" customHeight="1">
      <c r="B5" s="466"/>
      <c r="C5" s="468"/>
      <c r="D5" s="468"/>
      <c r="E5" s="321"/>
      <c r="F5" s="1717"/>
      <c r="G5" s="1717"/>
      <c r="H5" s="1717"/>
      <c r="I5" s="469"/>
      <c r="J5" s="470"/>
    </row>
    <row r="6" spans="2:11" s="467" customFormat="1" ht="20" customHeight="1">
      <c r="B6" s="466"/>
      <c r="C6" s="468"/>
      <c r="D6" s="468"/>
      <c r="E6" s="321"/>
      <c r="F6" s="1717"/>
      <c r="G6" s="1717"/>
      <c r="H6" s="1717"/>
      <c r="I6" s="469"/>
      <c r="J6" s="470"/>
    </row>
    <row r="7" spans="2:11" ht="15" customHeight="1"/>
    <row r="8" spans="2:11" s="334" customFormat="1" ht="22.25" customHeight="1">
      <c r="B8" s="2184" t="s">
        <v>294</v>
      </c>
      <c r="C8" s="2184" t="s">
        <v>295</v>
      </c>
      <c r="D8" s="1718"/>
      <c r="E8" s="2186" t="s">
        <v>296</v>
      </c>
      <c r="F8" s="2186"/>
      <c r="G8" s="2186"/>
      <c r="H8" s="2186"/>
      <c r="I8" s="2177" t="s">
        <v>307</v>
      </c>
      <c r="J8" s="2178"/>
      <c r="K8" s="2179"/>
    </row>
    <row r="9" spans="2:11" s="334" customFormat="1" ht="30" customHeight="1">
      <c r="B9" s="2185"/>
      <c r="C9" s="2185"/>
      <c r="D9" s="1719"/>
      <c r="E9" s="474" t="s">
        <v>297</v>
      </c>
      <c r="F9" s="474" t="s">
        <v>298</v>
      </c>
      <c r="G9" s="474" t="s">
        <v>299</v>
      </c>
      <c r="H9" s="474" t="s">
        <v>300</v>
      </c>
      <c r="I9" s="475" t="s">
        <v>12</v>
      </c>
      <c r="J9" s="476" t="s">
        <v>288</v>
      </c>
      <c r="K9" s="476" t="s">
        <v>301</v>
      </c>
    </row>
    <row r="10" spans="2:11" ht="30" customHeight="1">
      <c r="B10" s="477">
        <v>1</v>
      </c>
      <c r="C10" s="2180" t="s">
        <v>586</v>
      </c>
      <c r="D10" s="2181"/>
      <c r="E10" s="2181"/>
      <c r="F10" s="2181"/>
      <c r="G10" s="2181"/>
      <c r="H10" s="2182"/>
      <c r="K10" s="478"/>
    </row>
    <row r="11" spans="2:11" ht="65">
      <c r="B11" s="479">
        <f>B10+0.1</f>
        <v>1.1000000000000001</v>
      </c>
      <c r="C11" s="558" t="s">
        <v>598</v>
      </c>
      <c r="D11" s="558" t="s">
        <v>597</v>
      </c>
      <c r="E11" s="1760" t="s">
        <v>596</v>
      </c>
      <c r="F11" s="1760" t="s">
        <v>595</v>
      </c>
      <c r="G11" s="1760" t="s">
        <v>594</v>
      </c>
      <c r="H11" s="1760" t="s">
        <v>593</v>
      </c>
      <c r="I11" s="1761">
        <v>3</v>
      </c>
      <c r="J11" s="1761">
        <v>3</v>
      </c>
      <c r="K11" s="1762"/>
    </row>
    <row r="12" spans="2:11" ht="52">
      <c r="B12" s="479">
        <f>B11+0.1</f>
        <v>1.2000000000000002</v>
      </c>
      <c r="C12" s="558" t="s">
        <v>592</v>
      </c>
      <c r="D12" s="558" t="s">
        <v>591</v>
      </c>
      <c r="E12" s="1760" t="s">
        <v>590</v>
      </c>
      <c r="F12" s="1760" t="s">
        <v>589</v>
      </c>
      <c r="G12" s="1760" t="s">
        <v>588</v>
      </c>
      <c r="H12" s="1760" t="s">
        <v>587</v>
      </c>
      <c r="I12" s="1761">
        <v>3</v>
      </c>
      <c r="J12" s="1761">
        <v>3</v>
      </c>
      <c r="K12" s="1762"/>
    </row>
    <row r="13" spans="2:11" ht="60">
      <c r="B13" s="479">
        <f>B12+0.1</f>
        <v>1.3000000000000003</v>
      </c>
      <c r="C13" s="558" t="s">
        <v>585</v>
      </c>
      <c r="D13" s="558" t="s">
        <v>584</v>
      </c>
      <c r="E13" s="1760" t="s">
        <v>583</v>
      </c>
      <c r="F13" s="1760" t="s">
        <v>582</v>
      </c>
      <c r="G13" s="1760" t="s">
        <v>581</v>
      </c>
      <c r="H13" s="1760" t="s">
        <v>580</v>
      </c>
      <c r="I13" s="1761">
        <v>3</v>
      </c>
      <c r="J13" s="1761">
        <v>3</v>
      </c>
      <c r="K13" s="1762"/>
    </row>
    <row r="14" spans="2:11" ht="60">
      <c r="B14" s="479">
        <f>B13+0.1</f>
        <v>1.4000000000000004</v>
      </c>
      <c r="C14" s="558" t="s">
        <v>579</v>
      </c>
      <c r="D14" s="558" t="s">
        <v>578</v>
      </c>
      <c r="E14" s="1760" t="s">
        <v>577</v>
      </c>
      <c r="F14" s="1760" t="s">
        <v>576</v>
      </c>
      <c r="G14" s="1760" t="s">
        <v>575</v>
      </c>
      <c r="H14" s="1760" t="s">
        <v>574</v>
      </c>
      <c r="I14" s="1761">
        <v>3</v>
      </c>
      <c r="J14" s="1761">
        <v>3</v>
      </c>
      <c r="K14" s="1762"/>
    </row>
    <row r="15" spans="2:11" s="387" customFormat="1" ht="24" customHeight="1">
      <c r="H15" s="387" t="s">
        <v>302</v>
      </c>
      <c r="I15" s="480">
        <f>IF(SUM(I11:I14)=0,"",ROUNDDOWN(AVERAGE(I11:I14),1))</f>
        <v>3</v>
      </c>
      <c r="J15" s="480">
        <f>IF(SUM(J11:J14)=0,"",ROUNDDOWN(AVERAGE(J11:J14),1))</f>
        <v>3</v>
      </c>
      <c r="K15" s="481"/>
    </row>
    <row r="16" spans="2:11">
      <c r="C16" s="473"/>
      <c r="D16" s="473"/>
      <c r="E16" s="482"/>
      <c r="F16" s="482"/>
      <c r="G16" s="482"/>
      <c r="H16" s="482"/>
    </row>
    <row r="17" spans="2:11" ht="30" customHeight="1">
      <c r="B17" s="477">
        <v>2</v>
      </c>
      <c r="C17" s="2180" t="s">
        <v>567</v>
      </c>
      <c r="D17" s="2181"/>
      <c r="E17" s="2181"/>
      <c r="F17" s="2181"/>
      <c r="G17" s="2181"/>
      <c r="H17" s="2182"/>
    </row>
    <row r="18" spans="2:11" ht="45">
      <c r="B18" s="479">
        <f>B17+0.1</f>
        <v>2.1</v>
      </c>
      <c r="C18" s="558" t="s">
        <v>573</v>
      </c>
      <c r="D18" s="558" t="s">
        <v>572</v>
      </c>
      <c r="E18" s="1763" t="s">
        <v>571</v>
      </c>
      <c r="F18" s="1763" t="s">
        <v>570</v>
      </c>
      <c r="G18" s="1763" t="s">
        <v>569</v>
      </c>
      <c r="H18" s="1763" t="s">
        <v>568</v>
      </c>
      <c r="I18" s="1761">
        <v>3</v>
      </c>
      <c r="J18" s="1761">
        <v>3</v>
      </c>
      <c r="K18" s="1762"/>
    </row>
    <row r="19" spans="2:11" ht="120">
      <c r="B19" s="479">
        <f>B18+0.1</f>
        <v>2.2000000000000002</v>
      </c>
      <c r="C19" s="558" t="s">
        <v>566</v>
      </c>
      <c r="D19" s="558" t="s">
        <v>565</v>
      </c>
      <c r="E19" s="1763" t="s">
        <v>564</v>
      </c>
      <c r="F19" s="1763" t="s">
        <v>601</v>
      </c>
      <c r="G19" s="1763" t="s">
        <v>563</v>
      </c>
      <c r="H19" s="1763" t="s">
        <v>562</v>
      </c>
      <c r="I19" s="1761">
        <v>3</v>
      </c>
      <c r="J19" s="1761">
        <v>3</v>
      </c>
      <c r="K19" s="1762"/>
    </row>
    <row r="20" spans="2:11" ht="52">
      <c r="B20" s="479">
        <f>B19+0.1</f>
        <v>2.3000000000000003</v>
      </c>
      <c r="C20" s="558" t="s">
        <v>561</v>
      </c>
      <c r="D20" s="558" t="s">
        <v>560</v>
      </c>
      <c r="E20" s="1760" t="s">
        <v>559</v>
      </c>
      <c r="F20" s="1760" t="s">
        <v>558</v>
      </c>
      <c r="G20" s="1760" t="s">
        <v>557</v>
      </c>
      <c r="H20" s="1760" t="s">
        <v>556</v>
      </c>
      <c r="I20" s="1761">
        <v>3</v>
      </c>
      <c r="J20" s="1761">
        <v>3</v>
      </c>
      <c r="K20" s="1762"/>
    </row>
    <row r="21" spans="2:11" s="387" customFormat="1" ht="24" customHeight="1">
      <c r="H21" s="387" t="s">
        <v>302</v>
      </c>
      <c r="I21" s="480">
        <f>IF(SUM(I18:I20)=0,"",ROUNDDOWN(AVERAGE(I18:I20),1))</f>
        <v>3</v>
      </c>
      <c r="J21" s="480">
        <f>IF(SUM(J18:J20)=0,"",ROUNDDOWN(AVERAGE(J18:J20),1))</f>
        <v>3</v>
      </c>
      <c r="K21" s="481"/>
    </row>
    <row r="22" spans="2:11">
      <c r="C22" s="473"/>
      <c r="D22" s="473"/>
      <c r="E22" s="482"/>
      <c r="F22" s="482"/>
      <c r="G22" s="482"/>
      <c r="H22" s="482"/>
    </row>
    <row r="23" spans="2:11" ht="30" customHeight="1">
      <c r="B23" s="477">
        <v>3</v>
      </c>
      <c r="C23" s="2180" t="s">
        <v>549</v>
      </c>
      <c r="D23" s="2181"/>
      <c r="E23" s="2181"/>
      <c r="F23" s="2181"/>
      <c r="G23" s="2181"/>
      <c r="H23" s="2182"/>
    </row>
    <row r="24" spans="2:11" ht="90">
      <c r="B24" s="479">
        <f>B23+0.1</f>
        <v>3.1</v>
      </c>
      <c r="C24" s="560" t="s">
        <v>555</v>
      </c>
      <c r="D24" s="560" t="s">
        <v>554</v>
      </c>
      <c r="E24" s="1763" t="s">
        <v>553</v>
      </c>
      <c r="F24" s="1763" t="s">
        <v>552</v>
      </c>
      <c r="G24" s="1763" t="s">
        <v>551</v>
      </c>
      <c r="H24" s="1763" t="s">
        <v>550</v>
      </c>
      <c r="I24" s="1761">
        <v>3</v>
      </c>
      <c r="J24" s="1761">
        <v>3</v>
      </c>
      <c r="K24" s="1762"/>
    </row>
    <row r="25" spans="2:11" ht="75">
      <c r="B25" s="479">
        <f>B24+0.1</f>
        <v>3.2</v>
      </c>
      <c r="C25" s="558" t="s">
        <v>548</v>
      </c>
      <c r="D25" s="558" t="s">
        <v>547</v>
      </c>
      <c r="E25" s="1763" t="s">
        <v>546</v>
      </c>
      <c r="F25" s="1763" t="s">
        <v>545</v>
      </c>
      <c r="G25" s="1763" t="s">
        <v>544</v>
      </c>
      <c r="H25" s="1763" t="s">
        <v>543</v>
      </c>
      <c r="I25" s="1761">
        <v>3</v>
      </c>
      <c r="J25" s="1761">
        <v>3</v>
      </c>
      <c r="K25" s="1762"/>
    </row>
    <row r="26" spans="2:11" ht="60">
      <c r="B26" s="479">
        <f>B25+0.1</f>
        <v>3.3000000000000003</v>
      </c>
      <c r="C26" s="558" t="s">
        <v>542</v>
      </c>
      <c r="D26" s="558" t="s">
        <v>541</v>
      </c>
      <c r="E26" s="1763" t="s">
        <v>540</v>
      </c>
      <c r="F26" s="1763" t="s">
        <v>539</v>
      </c>
      <c r="G26" s="1763" t="s">
        <v>538</v>
      </c>
      <c r="H26" s="1763" t="s">
        <v>537</v>
      </c>
      <c r="I26" s="1761">
        <v>3</v>
      </c>
      <c r="J26" s="1761">
        <v>3</v>
      </c>
      <c r="K26" s="1762"/>
    </row>
    <row r="27" spans="2:11" s="387" customFormat="1" ht="24" customHeight="1">
      <c r="H27" s="387" t="s">
        <v>302</v>
      </c>
      <c r="I27" s="480">
        <f>IF(SUM(I24:I26)=0,"",ROUNDDOWN(AVERAGE(I24:I26),1))</f>
        <v>3</v>
      </c>
      <c r="J27" s="480">
        <f>IF(SUM(J24:J26)=0,"",ROUNDDOWN(AVERAGE(J24:J26),1))</f>
        <v>3</v>
      </c>
      <c r="K27" s="481"/>
    </row>
    <row r="28" spans="2:11">
      <c r="C28" s="473"/>
      <c r="D28" s="473"/>
      <c r="E28" s="482"/>
      <c r="F28" s="482"/>
      <c r="G28" s="482"/>
      <c r="H28" s="482"/>
    </row>
    <row r="29" spans="2:11" ht="17" customHeight="1"/>
    <row r="30" spans="2:11" ht="17" customHeight="1">
      <c r="F30" s="334" t="s">
        <v>304</v>
      </c>
    </row>
    <row r="31" spans="2:11" ht="17" customHeight="1">
      <c r="G31" s="483" t="s">
        <v>305</v>
      </c>
      <c r="H31" s="471">
        <v>1</v>
      </c>
      <c r="I31" s="484">
        <f>IF(I15="","",I15)</f>
        <v>3</v>
      </c>
      <c r="J31" s="484">
        <f>IF(J15="","",J15)</f>
        <v>3</v>
      </c>
    </row>
    <row r="32" spans="2:11" ht="17" customHeight="1">
      <c r="G32" s="483" t="s">
        <v>305</v>
      </c>
      <c r="H32" s="471">
        <f>1+H31</f>
        <v>2</v>
      </c>
      <c r="I32" s="485">
        <f>IF(I21="","",I21)</f>
        <v>3</v>
      </c>
      <c r="J32" s="485">
        <f>IF(J21="","",J21)</f>
        <v>3</v>
      </c>
    </row>
    <row r="33" spans="2:12" ht="17" customHeight="1">
      <c r="G33" s="483" t="s">
        <v>305</v>
      </c>
      <c r="H33" s="471">
        <f>1+H32</f>
        <v>3</v>
      </c>
      <c r="I33" s="485">
        <f>IF(I27="","",I27)</f>
        <v>3</v>
      </c>
      <c r="J33" s="485">
        <f>IF(J27="","",J27)</f>
        <v>3</v>
      </c>
    </row>
    <row r="34" spans="2:12" s="473" customFormat="1" ht="17" customHeight="1">
      <c r="B34" s="471"/>
      <c r="C34" s="472"/>
      <c r="D34" s="472"/>
      <c r="E34" s="472"/>
      <c r="F34" s="472"/>
      <c r="G34" s="472"/>
      <c r="H34" s="387" t="s">
        <v>306</v>
      </c>
      <c r="I34" s="485">
        <f>SUM(I11:I14)+SUM(I18:I20)+SUM(I24:I26)</f>
        <v>30</v>
      </c>
      <c r="J34" s="485">
        <f>SUM(J11:J14)+SUM(J18:J20)+SUM(J24:J26)</f>
        <v>30</v>
      </c>
      <c r="L34" s="472"/>
    </row>
    <row r="35" spans="2:12" s="473" customFormat="1" ht="17" customHeight="1">
      <c r="B35" s="471"/>
      <c r="C35" s="472"/>
      <c r="D35" s="472"/>
      <c r="E35" s="472"/>
      <c r="F35" s="472"/>
      <c r="G35" s="472"/>
      <c r="H35" s="387"/>
      <c r="I35" s="486"/>
      <c r="J35" s="486"/>
      <c r="L35" s="472"/>
    </row>
    <row r="36" spans="2:12" s="473" customFormat="1" ht="17" customHeight="1">
      <c r="B36" s="471"/>
      <c r="C36" s="487" t="s">
        <v>600</v>
      </c>
      <c r="D36" s="487"/>
      <c r="E36" s="472"/>
      <c r="F36" s="472"/>
      <c r="G36" s="472"/>
      <c r="H36" s="472"/>
      <c r="I36" s="471"/>
      <c r="J36" s="471"/>
      <c r="L36" s="472"/>
    </row>
    <row r="37" spans="2:12" s="473" customFormat="1" ht="17" customHeight="1">
      <c r="B37" s="471"/>
      <c r="C37" s="472"/>
      <c r="D37" s="472"/>
      <c r="E37" s="472"/>
      <c r="F37" s="472"/>
      <c r="G37" s="472"/>
      <c r="H37" s="472"/>
      <c r="I37" s="471"/>
      <c r="J37" s="471"/>
      <c r="L37" s="472"/>
    </row>
    <row r="38" spans="2:12" s="473" customFormat="1" ht="17" customHeight="1">
      <c r="B38" s="471"/>
      <c r="C38" s="472"/>
      <c r="D38" s="472"/>
      <c r="E38" s="472"/>
      <c r="F38" s="472"/>
      <c r="G38" s="472"/>
      <c r="H38" s="472"/>
      <c r="I38" s="471"/>
      <c r="J38" s="471"/>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spans="3:11" ht="17" customHeight="1"/>
    <row r="50" spans="3:11" ht="17" customHeight="1"/>
    <row r="51" spans="3:11" ht="17" customHeight="1"/>
    <row r="52" spans="3:11" s="471" customFormat="1" ht="17" customHeight="1">
      <c r="C52" s="472"/>
      <c r="D52" s="472"/>
      <c r="E52" s="472"/>
      <c r="F52" s="472"/>
      <c r="G52" s="472"/>
      <c r="H52" s="472"/>
      <c r="K52" s="473"/>
    </row>
    <row r="53" spans="3:11" s="471" customFormat="1" ht="17" customHeight="1">
      <c r="C53" s="472"/>
      <c r="D53" s="472"/>
      <c r="E53" s="472"/>
      <c r="F53" s="472"/>
      <c r="G53" s="472"/>
      <c r="H53" s="472"/>
      <c r="K53" s="473"/>
    </row>
    <row r="54" spans="3:11" s="471" customFormat="1" ht="17" customHeight="1">
      <c r="C54" s="472"/>
      <c r="D54" s="472"/>
      <c r="E54" s="472"/>
      <c r="F54" s="472"/>
      <c r="G54" s="472"/>
      <c r="H54" s="472"/>
      <c r="K54" s="473"/>
    </row>
    <row r="55" spans="3:11" s="471" customFormat="1" ht="17" customHeight="1">
      <c r="C55" s="472"/>
      <c r="D55" s="472"/>
      <c r="E55" s="472"/>
      <c r="F55" s="472"/>
      <c r="G55" s="472"/>
      <c r="H55" s="472"/>
      <c r="K55" s="473"/>
    </row>
    <row r="56" spans="3:11" s="471" customFormat="1" ht="17" customHeight="1">
      <c r="C56" s="472"/>
      <c r="D56" s="472"/>
      <c r="E56" s="472"/>
      <c r="F56" s="472"/>
      <c r="G56" s="472"/>
      <c r="H56" s="472"/>
      <c r="K56" s="473"/>
    </row>
    <row r="57" spans="3:11" s="471" customFormat="1" ht="17" customHeight="1">
      <c r="C57" s="472"/>
      <c r="D57" s="472"/>
      <c r="E57" s="472"/>
      <c r="F57" s="472"/>
      <c r="G57" s="472"/>
      <c r="H57" s="472"/>
      <c r="K57" s="473"/>
    </row>
    <row r="58" spans="3:11" s="471" customFormat="1" ht="17" customHeight="1">
      <c r="C58" s="472"/>
      <c r="D58" s="472"/>
      <c r="E58" s="472"/>
      <c r="F58" s="472"/>
      <c r="G58" s="472"/>
      <c r="H58" s="472"/>
      <c r="K58" s="473"/>
    </row>
    <row r="59" spans="3:11" s="471" customFormat="1" ht="17" customHeight="1">
      <c r="C59" s="472"/>
      <c r="D59" s="472"/>
      <c r="E59" s="472"/>
      <c r="F59" s="472"/>
      <c r="G59" s="472"/>
      <c r="H59" s="472"/>
      <c r="K59" s="473"/>
    </row>
    <row r="60" spans="3:11" s="471" customFormat="1" ht="17" customHeight="1">
      <c r="C60" s="472"/>
      <c r="D60" s="472"/>
      <c r="E60" s="472"/>
      <c r="F60" s="472"/>
      <c r="G60" s="472"/>
      <c r="H60" s="472"/>
      <c r="K60" s="473"/>
    </row>
    <row r="61" spans="3:11" s="471" customFormat="1" ht="17" customHeight="1">
      <c r="C61" s="472"/>
      <c r="D61" s="472"/>
      <c r="E61" s="472"/>
      <c r="F61" s="472"/>
      <c r="G61" s="472"/>
      <c r="H61" s="472"/>
      <c r="K61" s="473"/>
    </row>
    <row r="62" spans="3:11" s="471" customFormat="1" ht="17" customHeight="1">
      <c r="C62" s="472"/>
      <c r="D62" s="472"/>
      <c r="E62" s="472"/>
      <c r="F62" s="472"/>
      <c r="G62" s="472"/>
      <c r="H62" s="472"/>
      <c r="K62" s="473"/>
    </row>
    <row r="63" spans="3:11" s="471" customFormat="1" ht="17" customHeight="1">
      <c r="C63" s="472"/>
      <c r="D63" s="472"/>
      <c r="E63" s="472"/>
      <c r="F63" s="472"/>
      <c r="G63" s="472"/>
      <c r="H63" s="472"/>
      <c r="K63" s="473"/>
    </row>
    <row r="64" spans="3:11" s="471" customFormat="1" ht="17" customHeight="1">
      <c r="C64" s="472"/>
      <c r="D64" s="472"/>
      <c r="E64" s="472"/>
      <c r="F64" s="472"/>
      <c r="G64" s="472"/>
      <c r="H64" s="472"/>
      <c r="K64" s="473"/>
    </row>
    <row r="65" spans="3:11" s="471" customFormat="1" ht="17" customHeight="1">
      <c r="C65" s="472"/>
      <c r="D65" s="472"/>
      <c r="E65" s="472"/>
      <c r="F65" s="472"/>
      <c r="G65" s="472"/>
      <c r="H65" s="472"/>
      <c r="K65" s="473"/>
    </row>
    <row r="66" spans="3:11" s="471" customFormat="1" ht="17" customHeight="1">
      <c r="C66" s="472"/>
      <c r="D66" s="472"/>
      <c r="E66" s="472"/>
      <c r="F66" s="472"/>
      <c r="G66" s="472"/>
      <c r="H66" s="472"/>
      <c r="K66" s="473"/>
    </row>
    <row r="67" spans="3:11" s="471" customFormat="1" ht="17" customHeight="1">
      <c r="C67" s="472"/>
      <c r="D67" s="472"/>
      <c r="E67" s="472"/>
      <c r="F67" s="472"/>
      <c r="G67" s="472"/>
      <c r="H67" s="472"/>
      <c r="K67" s="473"/>
    </row>
    <row r="68" spans="3:11" s="471" customFormat="1" ht="17" customHeight="1">
      <c r="C68" s="472"/>
      <c r="D68" s="472"/>
      <c r="E68" s="472"/>
      <c r="F68" s="472"/>
      <c r="G68" s="472"/>
      <c r="H68" s="472"/>
      <c r="K68" s="473"/>
    </row>
    <row r="69" spans="3:11" s="471" customFormat="1" ht="17" customHeight="1">
      <c r="C69" s="472"/>
      <c r="D69" s="472"/>
      <c r="E69" s="472"/>
      <c r="F69" s="472"/>
      <c r="G69" s="472"/>
      <c r="H69" s="472"/>
      <c r="K69" s="473"/>
    </row>
    <row r="70" spans="3:11" s="471" customFormat="1" ht="17" customHeight="1">
      <c r="C70" s="472"/>
      <c r="D70" s="472"/>
      <c r="E70" s="472"/>
      <c r="F70" s="472"/>
      <c r="G70" s="472"/>
      <c r="H70" s="472"/>
      <c r="K70" s="473"/>
    </row>
  </sheetData>
  <sheetProtection algorithmName="SHA-512" hashValue="UgRqvzVHIfYSj55E/kg9dN/4ursiz4AcER++6nk8RtEOe6GwZ2GFpNBVJsp8u+rkRc81XietIhwYWfri1LBj3Q==" saltValue="yEcDJzOplLenBsdraT51/w==" spinCount="100000" sheet="1" objects="1" scenarios="1" selectLockedCells="1"/>
  <mergeCells count="8">
    <mergeCell ref="I8:K8"/>
    <mergeCell ref="C10:H10"/>
    <mergeCell ref="C17:H17"/>
    <mergeCell ref="C23:H23"/>
    <mergeCell ref="F3:H3"/>
    <mergeCell ref="B8:B9"/>
    <mergeCell ref="C8:C9"/>
    <mergeCell ref="E8:H8"/>
  </mergeCells>
  <conditionalFormatting sqref="I35:J35">
    <cfRule type="cellIs" dxfId="6" priority="1" operator="equal">
      <formula>"Yes"</formula>
    </cfRule>
    <cfRule type="cellIs" dxfId="5" priority="2" operator="equal">
      <formula>"No"</formula>
    </cfRule>
  </conditionalFormatting>
  <dataValidations count="1">
    <dataValidation type="whole" allowBlank="1" showInputMessage="1" showErrorMessage="1" sqref="I11:J14 I18:J20 I24:J26" xr:uid="{00000000-0002-0000-5C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B08BC-414C-47CC-A907-2D8C002B4816}">
  <sheetPr codeName="Support_Sheet65">
    <tabColor theme="2" tint="-9.9948118533890809E-2"/>
  </sheetPr>
  <dimension ref="B2:L70"/>
  <sheetViews>
    <sheetView showGridLines="0" showZeros="0" zoomScale="90" zoomScaleNormal="90" workbookViewId="0">
      <pane xSplit="8" ySplit="9" topLeftCell="I10" activePane="bottomRight" state="frozenSplit"/>
      <selection activeCell="C6" sqref="C6"/>
      <selection pane="topRight" activeCell="C6" sqref="C6"/>
      <selection pane="bottomLeft" activeCell="C6" sqref="C6"/>
      <selection pane="bottomRight" activeCell="F5" sqref="F5"/>
    </sheetView>
  </sheetViews>
  <sheetFormatPr baseColWidth="10" defaultColWidth="10" defaultRowHeight="14"/>
  <cols>
    <col min="1" max="1" width="2.6640625" style="472" customWidth="1"/>
    <col min="2" max="2" width="5.5" style="471" customWidth="1"/>
    <col min="3" max="3" width="13" style="472" customWidth="1"/>
    <col min="4" max="4" width="46.33203125" style="472" customWidth="1"/>
    <col min="5" max="8" width="26.5" style="472" customWidth="1"/>
    <col min="9" max="10" width="9.6640625" style="471" customWidth="1"/>
    <col min="11" max="11" width="55.1640625" style="473" customWidth="1"/>
    <col min="12" max="12" width="9.6640625" style="472" customWidth="1"/>
    <col min="13" max="16384" width="10" style="472"/>
  </cols>
  <sheetData>
    <row r="2" spans="2:11" s="467" customFormat="1" ht="20" customHeight="1">
      <c r="B2" s="466"/>
      <c r="C2" s="1757" t="s">
        <v>4087</v>
      </c>
      <c r="D2" s="1757"/>
      <c r="E2" s="321"/>
      <c r="F2" s="1757" t="s">
        <v>4130</v>
      </c>
      <c r="G2" s="1758"/>
      <c r="H2" s="321"/>
      <c r="I2" s="321"/>
      <c r="J2" s="321"/>
      <c r="K2" s="1759"/>
    </row>
    <row r="3" spans="2:11" s="467" customFormat="1" ht="20" customHeight="1">
      <c r="B3" s="466"/>
      <c r="C3" s="468" t="s">
        <v>4114</v>
      </c>
      <c r="D3" s="468"/>
      <c r="E3" s="321"/>
      <c r="F3" s="2183" t="s">
        <v>731</v>
      </c>
      <c r="G3" s="2183"/>
      <c r="H3" s="2183"/>
      <c r="I3" s="469" t="str">
        <f>IF(LEN(F3)&lt;3,"Please complete cover sheet","")</f>
        <v/>
      </c>
      <c r="J3" s="470"/>
    </row>
    <row r="4" spans="2:11" s="467" customFormat="1" ht="20" customHeight="1">
      <c r="B4" s="466"/>
      <c r="C4" s="468"/>
      <c r="D4" s="468"/>
      <c r="E4" s="321"/>
      <c r="F4" s="1717"/>
      <c r="G4" s="1717"/>
      <c r="H4" s="1717"/>
      <c r="I4" s="469"/>
      <c r="J4" s="470"/>
    </row>
    <row r="5" spans="2:11" s="467" customFormat="1" ht="20" customHeight="1">
      <c r="B5" s="466"/>
      <c r="C5" s="468"/>
      <c r="D5" s="468"/>
      <c r="E5" s="321"/>
      <c r="F5" s="1717"/>
      <c r="G5" s="1717"/>
      <c r="H5" s="1717"/>
      <c r="I5" s="469"/>
      <c r="J5" s="470"/>
    </row>
    <row r="6" spans="2:11" s="467" customFormat="1" ht="20" customHeight="1">
      <c r="B6" s="466"/>
      <c r="C6" s="468"/>
      <c r="D6" s="468"/>
      <c r="E6" s="321"/>
      <c r="F6" s="1717"/>
      <c r="G6" s="1717"/>
      <c r="H6" s="1717"/>
      <c r="I6" s="469"/>
      <c r="J6" s="470"/>
    </row>
    <row r="7" spans="2:11" ht="15" customHeight="1"/>
    <row r="8" spans="2:11" s="334" customFormat="1" ht="22.25" customHeight="1">
      <c r="B8" s="2184" t="s">
        <v>294</v>
      </c>
      <c r="C8" s="2184" t="s">
        <v>295</v>
      </c>
      <c r="D8" s="1718"/>
      <c r="E8" s="2186" t="s">
        <v>296</v>
      </c>
      <c r="F8" s="2186"/>
      <c r="G8" s="2186"/>
      <c r="H8" s="2186"/>
      <c r="I8" s="2177" t="s">
        <v>307</v>
      </c>
      <c r="J8" s="2178"/>
      <c r="K8" s="2179"/>
    </row>
    <row r="9" spans="2:11" s="334" customFormat="1" ht="30" customHeight="1">
      <c r="B9" s="2185"/>
      <c r="C9" s="2185"/>
      <c r="D9" s="1719"/>
      <c r="E9" s="474" t="s">
        <v>297</v>
      </c>
      <c r="F9" s="474" t="s">
        <v>298</v>
      </c>
      <c r="G9" s="474" t="s">
        <v>299</v>
      </c>
      <c r="H9" s="474" t="s">
        <v>300</v>
      </c>
      <c r="I9" s="475" t="s">
        <v>12</v>
      </c>
      <c r="J9" s="476" t="s">
        <v>288</v>
      </c>
      <c r="K9" s="476" t="s">
        <v>301</v>
      </c>
    </row>
    <row r="10" spans="2:11" ht="30" customHeight="1">
      <c r="B10" s="477">
        <v>1</v>
      </c>
      <c r="C10" s="2180" t="s">
        <v>586</v>
      </c>
      <c r="D10" s="2181"/>
      <c r="E10" s="2181"/>
      <c r="F10" s="2181"/>
      <c r="G10" s="2181"/>
      <c r="H10" s="2182"/>
      <c r="K10" s="478"/>
    </row>
    <row r="11" spans="2:11" ht="65">
      <c r="B11" s="479">
        <f>B10+0.1</f>
        <v>1.1000000000000001</v>
      </c>
      <c r="C11" s="558" t="s">
        <v>598</v>
      </c>
      <c r="D11" s="558" t="s">
        <v>597</v>
      </c>
      <c r="E11" s="1760" t="s">
        <v>596</v>
      </c>
      <c r="F11" s="1760" t="s">
        <v>595</v>
      </c>
      <c r="G11" s="1760" t="s">
        <v>594</v>
      </c>
      <c r="H11" s="1760" t="s">
        <v>593</v>
      </c>
      <c r="I11" s="1761"/>
      <c r="J11" s="1761"/>
      <c r="K11" s="1762"/>
    </row>
    <row r="12" spans="2:11" ht="52">
      <c r="B12" s="479">
        <f>B11+0.1</f>
        <v>1.2000000000000002</v>
      </c>
      <c r="C12" s="558" t="s">
        <v>592</v>
      </c>
      <c r="D12" s="558" t="s">
        <v>591</v>
      </c>
      <c r="E12" s="1760" t="s">
        <v>590</v>
      </c>
      <c r="F12" s="1760" t="s">
        <v>589</v>
      </c>
      <c r="G12" s="1760" t="s">
        <v>588</v>
      </c>
      <c r="H12" s="1760" t="s">
        <v>587</v>
      </c>
      <c r="I12" s="1761"/>
      <c r="J12" s="1761"/>
      <c r="K12" s="1762"/>
    </row>
    <row r="13" spans="2:11" ht="60">
      <c r="B13" s="479">
        <f>B12+0.1</f>
        <v>1.3000000000000003</v>
      </c>
      <c r="C13" s="558" t="s">
        <v>585</v>
      </c>
      <c r="D13" s="558" t="s">
        <v>584</v>
      </c>
      <c r="E13" s="1760" t="s">
        <v>583</v>
      </c>
      <c r="F13" s="1760" t="s">
        <v>582</v>
      </c>
      <c r="G13" s="1760" t="s">
        <v>581</v>
      </c>
      <c r="H13" s="1760" t="s">
        <v>580</v>
      </c>
      <c r="I13" s="1761"/>
      <c r="J13" s="1761"/>
      <c r="K13" s="1762"/>
    </row>
    <row r="14" spans="2:11" ht="60">
      <c r="B14" s="479">
        <f>B13+0.1</f>
        <v>1.4000000000000004</v>
      </c>
      <c r="C14" s="558" t="s">
        <v>579</v>
      </c>
      <c r="D14" s="558" t="s">
        <v>578</v>
      </c>
      <c r="E14" s="1760" t="s">
        <v>577</v>
      </c>
      <c r="F14" s="1760" t="s">
        <v>576</v>
      </c>
      <c r="G14" s="1760" t="s">
        <v>575</v>
      </c>
      <c r="H14" s="1760" t="s">
        <v>574</v>
      </c>
      <c r="I14" s="1761"/>
      <c r="J14" s="1761"/>
      <c r="K14" s="1762"/>
    </row>
    <row r="15" spans="2:11" s="387" customFormat="1" ht="24" customHeight="1">
      <c r="H15" s="387" t="s">
        <v>302</v>
      </c>
      <c r="I15" s="480" t="str">
        <f>IF(SUM(I11:I14)=0,"",ROUNDDOWN(AVERAGE(I11:I14),1))</f>
        <v/>
      </c>
      <c r="J15" s="480" t="str">
        <f>IF(SUM(J11:J14)=0,"",ROUNDDOWN(AVERAGE(J11:J14),1))</f>
        <v/>
      </c>
      <c r="K15" s="481"/>
    </row>
    <row r="16" spans="2:11">
      <c r="C16" s="473"/>
      <c r="D16" s="473"/>
      <c r="E16" s="482"/>
      <c r="F16" s="482"/>
      <c r="G16" s="482"/>
      <c r="H16" s="482"/>
    </row>
    <row r="17" spans="2:11" ht="30" customHeight="1">
      <c r="B17" s="477">
        <v>2</v>
      </c>
      <c r="C17" s="2180" t="s">
        <v>567</v>
      </c>
      <c r="D17" s="2181"/>
      <c r="E17" s="2181"/>
      <c r="F17" s="2181"/>
      <c r="G17" s="2181"/>
      <c r="H17" s="2182"/>
    </row>
    <row r="18" spans="2:11" ht="45">
      <c r="B18" s="479">
        <f>B17+0.1</f>
        <v>2.1</v>
      </c>
      <c r="C18" s="558" t="s">
        <v>573</v>
      </c>
      <c r="D18" s="558" t="s">
        <v>572</v>
      </c>
      <c r="E18" s="1763" t="s">
        <v>571</v>
      </c>
      <c r="F18" s="1763" t="s">
        <v>570</v>
      </c>
      <c r="G18" s="1763" t="s">
        <v>569</v>
      </c>
      <c r="H18" s="1763" t="s">
        <v>568</v>
      </c>
      <c r="I18" s="1761"/>
      <c r="J18" s="1761"/>
      <c r="K18" s="1762"/>
    </row>
    <row r="19" spans="2:11" ht="120">
      <c r="B19" s="479">
        <f>B18+0.1</f>
        <v>2.2000000000000002</v>
      </c>
      <c r="C19" s="558" t="s">
        <v>566</v>
      </c>
      <c r="D19" s="558" t="s">
        <v>565</v>
      </c>
      <c r="E19" s="1763" t="s">
        <v>564</v>
      </c>
      <c r="F19" s="1763" t="s">
        <v>601</v>
      </c>
      <c r="G19" s="1763" t="s">
        <v>563</v>
      </c>
      <c r="H19" s="1763" t="s">
        <v>562</v>
      </c>
      <c r="I19" s="1761"/>
      <c r="J19" s="1761"/>
      <c r="K19" s="1762"/>
    </row>
    <row r="20" spans="2:11" ht="52">
      <c r="B20" s="479">
        <f>B19+0.1</f>
        <v>2.3000000000000003</v>
      </c>
      <c r="C20" s="558" t="s">
        <v>561</v>
      </c>
      <c r="D20" s="558" t="s">
        <v>560</v>
      </c>
      <c r="E20" s="1760" t="s">
        <v>559</v>
      </c>
      <c r="F20" s="1760" t="s">
        <v>558</v>
      </c>
      <c r="G20" s="1760" t="s">
        <v>557</v>
      </c>
      <c r="H20" s="1760" t="s">
        <v>556</v>
      </c>
      <c r="I20" s="1761"/>
      <c r="J20" s="1761"/>
      <c r="K20" s="1762"/>
    </row>
    <row r="21" spans="2:11" s="387" customFormat="1" ht="24" customHeight="1">
      <c r="H21" s="387" t="s">
        <v>302</v>
      </c>
      <c r="I21" s="480" t="str">
        <f>IF(SUM(I18:I20)=0,"",ROUNDDOWN(AVERAGE(I18:I20),1))</f>
        <v/>
      </c>
      <c r="J21" s="480" t="str">
        <f>IF(SUM(J18:J20)=0,"",ROUNDDOWN(AVERAGE(J18:J20),1))</f>
        <v/>
      </c>
      <c r="K21" s="481"/>
    </row>
    <row r="22" spans="2:11">
      <c r="C22" s="473"/>
      <c r="D22" s="473"/>
      <c r="E22" s="482"/>
      <c r="F22" s="482"/>
      <c r="G22" s="482"/>
      <c r="H22" s="482"/>
    </row>
    <row r="23" spans="2:11" ht="30" customHeight="1">
      <c r="B23" s="477">
        <v>3</v>
      </c>
      <c r="C23" s="2180" t="s">
        <v>549</v>
      </c>
      <c r="D23" s="2181"/>
      <c r="E23" s="2181"/>
      <c r="F23" s="2181"/>
      <c r="G23" s="2181"/>
      <c r="H23" s="2182"/>
    </row>
    <row r="24" spans="2:11" ht="90">
      <c r="B24" s="479">
        <f>B23+0.1</f>
        <v>3.1</v>
      </c>
      <c r="C24" s="560" t="s">
        <v>555</v>
      </c>
      <c r="D24" s="560" t="s">
        <v>554</v>
      </c>
      <c r="E24" s="1763" t="s">
        <v>553</v>
      </c>
      <c r="F24" s="1763" t="s">
        <v>552</v>
      </c>
      <c r="G24" s="1763" t="s">
        <v>551</v>
      </c>
      <c r="H24" s="1763" t="s">
        <v>550</v>
      </c>
      <c r="I24" s="1761"/>
      <c r="J24" s="1761"/>
      <c r="K24" s="1762"/>
    </row>
    <row r="25" spans="2:11" ht="75">
      <c r="B25" s="479">
        <f>B24+0.1</f>
        <v>3.2</v>
      </c>
      <c r="C25" s="558" t="s">
        <v>548</v>
      </c>
      <c r="D25" s="558" t="s">
        <v>547</v>
      </c>
      <c r="E25" s="1763" t="s">
        <v>546</v>
      </c>
      <c r="F25" s="1763" t="s">
        <v>545</v>
      </c>
      <c r="G25" s="1763" t="s">
        <v>544</v>
      </c>
      <c r="H25" s="1763" t="s">
        <v>543</v>
      </c>
      <c r="I25" s="1761"/>
      <c r="J25" s="1761"/>
      <c r="K25" s="1762"/>
    </row>
    <row r="26" spans="2:11" ht="60">
      <c r="B26" s="479">
        <f>B25+0.1</f>
        <v>3.3000000000000003</v>
      </c>
      <c r="C26" s="558" t="s">
        <v>542</v>
      </c>
      <c r="D26" s="558" t="s">
        <v>541</v>
      </c>
      <c r="E26" s="1763" t="s">
        <v>540</v>
      </c>
      <c r="F26" s="1763" t="s">
        <v>539</v>
      </c>
      <c r="G26" s="1763" t="s">
        <v>538</v>
      </c>
      <c r="H26" s="1763" t="s">
        <v>537</v>
      </c>
      <c r="I26" s="1761"/>
      <c r="J26" s="1761"/>
      <c r="K26" s="1762"/>
    </row>
    <row r="27" spans="2:11" s="387" customFormat="1" ht="24" customHeight="1">
      <c r="H27" s="387" t="s">
        <v>302</v>
      </c>
      <c r="I27" s="480" t="str">
        <f>IF(SUM(I24:I26)=0,"",ROUNDDOWN(AVERAGE(I24:I26),1))</f>
        <v/>
      </c>
      <c r="J27" s="480" t="str">
        <f>IF(SUM(J24:J26)=0,"",ROUNDDOWN(AVERAGE(J24:J26),1))</f>
        <v/>
      </c>
      <c r="K27" s="481"/>
    </row>
    <row r="28" spans="2:11">
      <c r="C28" s="473"/>
      <c r="D28" s="473"/>
      <c r="E28" s="482"/>
      <c r="F28" s="482"/>
      <c r="G28" s="482"/>
      <c r="H28" s="482"/>
    </row>
    <row r="29" spans="2:11" ht="17" customHeight="1"/>
    <row r="30" spans="2:11" ht="17" customHeight="1">
      <c r="F30" s="334" t="s">
        <v>304</v>
      </c>
    </row>
    <row r="31" spans="2:11" ht="17" customHeight="1">
      <c r="G31" s="483" t="s">
        <v>305</v>
      </c>
      <c r="H31" s="471">
        <v>1</v>
      </c>
      <c r="I31" s="484" t="str">
        <f>IF(I15="","",I15)</f>
        <v/>
      </c>
      <c r="J31" s="484" t="str">
        <f>IF(J15="","",J15)</f>
        <v/>
      </c>
      <c r="K31" s="473" t="s">
        <v>688</v>
      </c>
    </row>
    <row r="32" spans="2:11" ht="17" customHeight="1">
      <c r="G32" s="483" t="s">
        <v>305</v>
      </c>
      <c r="H32" s="471">
        <f>1+H31</f>
        <v>2</v>
      </c>
      <c r="I32" s="485" t="str">
        <f>IF(I21="","",I21)</f>
        <v/>
      </c>
      <c r="J32" s="485" t="str">
        <f>IF(J21="","",J21)</f>
        <v/>
      </c>
    </row>
    <row r="33" spans="2:12" ht="17" customHeight="1">
      <c r="G33" s="483" t="s">
        <v>305</v>
      </c>
      <c r="H33" s="471">
        <f>1+H32</f>
        <v>3</v>
      </c>
      <c r="I33" s="485" t="str">
        <f>IF(I27="","",I27)</f>
        <v/>
      </c>
      <c r="J33" s="485" t="str">
        <f>IF(J27="","",J27)</f>
        <v/>
      </c>
    </row>
    <row r="34" spans="2:12" s="473" customFormat="1" ht="17" customHeight="1">
      <c r="B34" s="471"/>
      <c r="C34" s="472"/>
      <c r="D34" s="472"/>
      <c r="E34" s="472"/>
      <c r="F34" s="472"/>
      <c r="G34" s="472"/>
      <c r="H34" s="387" t="s">
        <v>306</v>
      </c>
      <c r="I34" s="485">
        <f>SUM(I11:I14)+SUM(I18:I20)+SUM(I24:I26)</f>
        <v>0</v>
      </c>
      <c r="J34" s="485">
        <f>SUM(J11:J14)+SUM(J18:J20)+SUM(J24:J26)</f>
        <v>0</v>
      </c>
      <c r="L34" s="472"/>
    </row>
    <row r="35" spans="2:12" s="473" customFormat="1" ht="17" customHeight="1">
      <c r="B35" s="471"/>
      <c r="C35" s="472"/>
      <c r="D35" s="472"/>
      <c r="E35" s="472"/>
      <c r="F35" s="472"/>
      <c r="G35" s="472"/>
      <c r="H35" s="387"/>
      <c r="I35" s="486"/>
      <c r="J35" s="486"/>
      <c r="L35" s="472"/>
    </row>
    <row r="36" spans="2:12" s="473" customFormat="1" ht="17" customHeight="1">
      <c r="B36" s="471"/>
      <c r="C36" s="487" t="s">
        <v>600</v>
      </c>
      <c r="D36" s="487"/>
      <c r="E36" s="472"/>
      <c r="F36" s="472"/>
      <c r="G36" s="472"/>
      <c r="H36" s="472"/>
      <c r="I36" s="471"/>
      <c r="J36" s="471"/>
      <c r="L36" s="472"/>
    </row>
    <row r="37" spans="2:12" s="473" customFormat="1" ht="17" customHeight="1">
      <c r="B37" s="471"/>
      <c r="C37" s="472"/>
      <c r="D37" s="472"/>
      <c r="E37" s="472"/>
      <c r="F37" s="472"/>
      <c r="G37" s="472"/>
      <c r="H37" s="472"/>
      <c r="I37" s="471"/>
      <c r="J37" s="471"/>
      <c r="L37" s="472"/>
    </row>
    <row r="38" spans="2:12" s="473" customFormat="1" ht="17" customHeight="1">
      <c r="B38" s="471"/>
      <c r="C38" s="472"/>
      <c r="D38" s="472"/>
      <c r="E38" s="472"/>
      <c r="F38" s="472"/>
      <c r="G38" s="472"/>
      <c r="H38" s="472"/>
      <c r="I38" s="471"/>
      <c r="J38" s="471"/>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spans="3:11" ht="17" customHeight="1"/>
    <row r="50" spans="3:11" ht="17" customHeight="1"/>
    <row r="51" spans="3:11" ht="17" customHeight="1"/>
    <row r="52" spans="3:11" s="471" customFormat="1" ht="17" customHeight="1">
      <c r="C52" s="472"/>
      <c r="D52" s="472"/>
      <c r="E52" s="472"/>
      <c r="F52" s="472"/>
      <c r="G52" s="472"/>
      <c r="H52" s="472"/>
      <c r="K52" s="473"/>
    </row>
    <row r="53" spans="3:11" s="471" customFormat="1" ht="17" customHeight="1">
      <c r="C53" s="472"/>
      <c r="D53" s="472"/>
      <c r="E53" s="472"/>
      <c r="F53" s="472"/>
      <c r="G53" s="472"/>
      <c r="H53" s="472"/>
      <c r="K53" s="473"/>
    </row>
    <row r="54" spans="3:11" s="471" customFormat="1" ht="17" customHeight="1">
      <c r="C54" s="472"/>
      <c r="D54" s="472"/>
      <c r="E54" s="472"/>
      <c r="F54" s="472"/>
      <c r="G54" s="472"/>
      <c r="H54" s="472"/>
      <c r="K54" s="473"/>
    </row>
    <row r="55" spans="3:11" s="471" customFormat="1" ht="17" customHeight="1">
      <c r="C55" s="472"/>
      <c r="D55" s="472"/>
      <c r="E55" s="472"/>
      <c r="F55" s="472"/>
      <c r="G55" s="472"/>
      <c r="H55" s="472"/>
      <c r="K55" s="473"/>
    </row>
    <row r="56" spans="3:11" s="471" customFormat="1" ht="17" customHeight="1">
      <c r="C56" s="472"/>
      <c r="D56" s="472"/>
      <c r="E56" s="472"/>
      <c r="F56" s="472"/>
      <c r="G56" s="472"/>
      <c r="H56" s="472"/>
      <c r="K56" s="473"/>
    </row>
    <row r="57" spans="3:11" s="471" customFormat="1" ht="17" customHeight="1">
      <c r="C57" s="472"/>
      <c r="D57" s="472"/>
      <c r="E57" s="472"/>
      <c r="F57" s="472"/>
      <c r="G57" s="472"/>
      <c r="H57" s="472"/>
      <c r="K57" s="473"/>
    </row>
    <row r="58" spans="3:11" s="471" customFormat="1" ht="17" customHeight="1">
      <c r="C58" s="472"/>
      <c r="D58" s="472"/>
      <c r="E58" s="472"/>
      <c r="F58" s="472"/>
      <c r="G58" s="472"/>
      <c r="H58" s="472"/>
      <c r="K58" s="473"/>
    </row>
    <row r="59" spans="3:11" s="471" customFormat="1" ht="17" customHeight="1">
      <c r="C59" s="472"/>
      <c r="D59" s="472"/>
      <c r="E59" s="472"/>
      <c r="F59" s="472"/>
      <c r="G59" s="472"/>
      <c r="H59" s="472"/>
      <c r="K59" s="473"/>
    </row>
    <row r="60" spans="3:11" s="471" customFormat="1" ht="17" customHeight="1">
      <c r="C60" s="472"/>
      <c r="D60" s="472"/>
      <c r="E60" s="472"/>
      <c r="F60" s="472"/>
      <c r="G60" s="472"/>
      <c r="H60" s="472"/>
      <c r="K60" s="473"/>
    </row>
    <row r="61" spans="3:11" s="471" customFormat="1" ht="17" customHeight="1">
      <c r="C61" s="472"/>
      <c r="D61" s="472"/>
      <c r="E61" s="472"/>
      <c r="F61" s="472"/>
      <c r="G61" s="472"/>
      <c r="H61" s="472"/>
      <c r="K61" s="473"/>
    </row>
    <row r="62" spans="3:11" s="471" customFormat="1" ht="17" customHeight="1">
      <c r="C62" s="472"/>
      <c r="D62" s="472"/>
      <c r="E62" s="472"/>
      <c r="F62" s="472"/>
      <c r="G62" s="472"/>
      <c r="H62" s="472"/>
      <c r="K62" s="473"/>
    </row>
    <row r="63" spans="3:11" s="471" customFormat="1" ht="17" customHeight="1">
      <c r="C63" s="472"/>
      <c r="D63" s="472"/>
      <c r="E63" s="472"/>
      <c r="F63" s="472"/>
      <c r="G63" s="472"/>
      <c r="H63" s="472"/>
      <c r="K63" s="473"/>
    </row>
    <row r="64" spans="3:11" s="471" customFormat="1" ht="17" customHeight="1">
      <c r="C64" s="472"/>
      <c r="D64" s="472"/>
      <c r="E64" s="472"/>
      <c r="F64" s="472"/>
      <c r="G64" s="472"/>
      <c r="H64" s="472"/>
      <c r="K64" s="473"/>
    </row>
    <row r="65" spans="3:11" s="471" customFormat="1" ht="17" customHeight="1">
      <c r="C65" s="472"/>
      <c r="D65" s="472"/>
      <c r="E65" s="472"/>
      <c r="F65" s="472"/>
      <c r="G65" s="472"/>
      <c r="H65" s="472"/>
      <c r="K65" s="473"/>
    </row>
    <row r="66" spans="3:11" s="471" customFormat="1" ht="17" customHeight="1">
      <c r="C66" s="472"/>
      <c r="D66" s="472"/>
      <c r="E66" s="472"/>
      <c r="F66" s="472"/>
      <c r="G66" s="472"/>
      <c r="H66" s="472"/>
      <c r="K66" s="473"/>
    </row>
    <row r="67" spans="3:11" s="471" customFormat="1" ht="17" customHeight="1">
      <c r="C67" s="472"/>
      <c r="D67" s="472"/>
      <c r="E67" s="472"/>
      <c r="F67" s="472"/>
      <c r="G67" s="472"/>
      <c r="H67" s="472"/>
      <c r="K67" s="473"/>
    </row>
    <row r="68" spans="3:11" s="471" customFormat="1" ht="17" customHeight="1">
      <c r="C68" s="472"/>
      <c r="D68" s="472"/>
      <c r="E68" s="472"/>
      <c r="F68" s="472"/>
      <c r="G68" s="472"/>
      <c r="H68" s="472"/>
      <c r="K68" s="473"/>
    </row>
    <row r="69" spans="3:11" s="471" customFormat="1" ht="17" customHeight="1">
      <c r="C69" s="472"/>
      <c r="D69" s="472"/>
      <c r="E69" s="472"/>
      <c r="F69" s="472"/>
      <c r="G69" s="472"/>
      <c r="H69" s="472"/>
      <c r="K69" s="473"/>
    </row>
    <row r="70" spans="3:11" s="471" customFormat="1" ht="17" customHeight="1">
      <c r="C70" s="472"/>
      <c r="D70" s="472"/>
      <c r="E70" s="472"/>
      <c r="F70" s="472"/>
      <c r="G70" s="472"/>
      <c r="H70" s="472"/>
      <c r="K70" s="473"/>
    </row>
  </sheetData>
  <sheetProtection algorithmName="SHA-512" hashValue="9Gds30iipQ8elstWT0f0JuT9zDizpgvMW7RW6ev2TuMyXYOq3szgTEvM2PMdB70t/sS2j7MzUmwDtXTXyro/Gg==" saltValue="sKAZUJQc1wyuHyj2rXdE2A==" spinCount="100000" sheet="1" objects="1" scenarios="1" selectLockedCells="1" selectUnlockedCells="1"/>
  <mergeCells count="8">
    <mergeCell ref="I8:K8"/>
    <mergeCell ref="C10:H10"/>
    <mergeCell ref="C17:H17"/>
    <mergeCell ref="C23:H23"/>
    <mergeCell ref="F3:H3"/>
    <mergeCell ref="B8:B9"/>
    <mergeCell ref="C8:C9"/>
    <mergeCell ref="E8:H8"/>
  </mergeCells>
  <conditionalFormatting sqref="I35:J35">
    <cfRule type="cellIs" dxfId="4" priority="1" operator="equal">
      <formula>"Yes"</formula>
    </cfRule>
    <cfRule type="cellIs" dxfId="3" priority="2" operator="equal">
      <formula>"No"</formula>
    </cfRule>
  </conditionalFormatting>
  <dataValidations count="1">
    <dataValidation type="whole" allowBlank="1" showInputMessage="1" showErrorMessage="1" sqref="I11:J14 I18:J20 I24:J26" xr:uid="{00000000-0002-0000-5D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23CF7-9170-45E7-AE22-0456A2CC7560}">
  <sheetPr codeName="Support_Sheet66">
    <tabColor theme="2" tint="-9.9948118533890809E-2"/>
  </sheetPr>
  <dimension ref="B2:L70"/>
  <sheetViews>
    <sheetView showGridLines="0" showZeros="0" zoomScale="90" zoomScaleNormal="90" workbookViewId="0">
      <pane xSplit="8" ySplit="9" topLeftCell="I10" activePane="bottomRight" state="frozenSplit"/>
      <selection activeCell="C6" sqref="C6"/>
      <selection pane="topRight" activeCell="C6" sqref="C6"/>
      <selection pane="bottomLeft" activeCell="C6" sqref="C6"/>
      <selection pane="bottomRight" activeCell="C6" sqref="C6"/>
    </sheetView>
  </sheetViews>
  <sheetFormatPr baseColWidth="10" defaultColWidth="10" defaultRowHeight="14"/>
  <cols>
    <col min="1" max="1" width="2.6640625" style="472" customWidth="1"/>
    <col min="2" max="2" width="5.5" style="471" customWidth="1"/>
    <col min="3" max="3" width="13" style="472" customWidth="1"/>
    <col min="4" max="4" width="46.33203125" style="472" customWidth="1"/>
    <col min="5" max="8" width="26.5" style="472" customWidth="1"/>
    <col min="9" max="10" width="9.6640625" style="471" customWidth="1"/>
    <col min="11" max="11" width="55.1640625" style="473" customWidth="1"/>
    <col min="12" max="12" width="9.6640625" style="472" customWidth="1"/>
    <col min="13" max="16384" width="10" style="472"/>
  </cols>
  <sheetData>
    <row r="2" spans="2:11" s="467" customFormat="1" ht="20" customHeight="1">
      <c r="B2" s="466"/>
      <c r="C2" s="1757" t="s">
        <v>4086</v>
      </c>
      <c r="D2" s="1757"/>
      <c r="E2" s="321"/>
      <c r="F2" s="1757" t="s">
        <v>689</v>
      </c>
      <c r="G2" s="1758"/>
      <c r="H2" s="321"/>
      <c r="I2" s="321"/>
      <c r="J2" s="321"/>
      <c r="K2" s="1759"/>
    </row>
    <row r="3" spans="2:11" s="467" customFormat="1" ht="20" customHeight="1">
      <c r="B3" s="466"/>
      <c r="C3" s="468" t="s">
        <v>4114</v>
      </c>
      <c r="D3" s="468"/>
      <c r="E3" s="321"/>
      <c r="F3" s="2183" t="s">
        <v>731</v>
      </c>
      <c r="G3" s="2183"/>
      <c r="H3" s="2183"/>
      <c r="I3" s="469" t="str">
        <f>IF(LEN(F3)&lt;3,"Please complete cover sheet","")</f>
        <v/>
      </c>
      <c r="J3" s="470"/>
    </row>
    <row r="4" spans="2:11" s="467" customFormat="1" ht="20" customHeight="1">
      <c r="B4" s="466"/>
      <c r="C4" s="468"/>
      <c r="D4" s="468"/>
      <c r="E4" s="321"/>
      <c r="F4" s="1717"/>
      <c r="G4" s="1717"/>
      <c r="H4" s="1717"/>
      <c r="I4" s="469"/>
      <c r="J4" s="470"/>
    </row>
    <row r="5" spans="2:11" s="467" customFormat="1" ht="20" customHeight="1">
      <c r="B5" s="466"/>
      <c r="C5" s="468"/>
      <c r="D5" s="468"/>
      <c r="E5" s="321"/>
      <c r="F5" s="1717"/>
      <c r="G5" s="1717"/>
      <c r="H5" s="1717"/>
      <c r="I5" s="469"/>
      <c r="J5" s="470"/>
    </row>
    <row r="6" spans="2:11" s="467" customFormat="1" ht="20" customHeight="1">
      <c r="B6" s="466"/>
      <c r="C6" s="468"/>
      <c r="D6" s="468"/>
      <c r="E6" s="321"/>
      <c r="F6" s="1717"/>
      <c r="G6" s="1717"/>
      <c r="H6" s="1717"/>
      <c r="I6" s="469"/>
      <c r="J6" s="470"/>
    </row>
    <row r="7" spans="2:11" ht="15" customHeight="1"/>
    <row r="8" spans="2:11" s="334" customFormat="1" ht="22.25" customHeight="1">
      <c r="B8" s="2184" t="s">
        <v>294</v>
      </c>
      <c r="C8" s="2184" t="s">
        <v>295</v>
      </c>
      <c r="D8" s="1718"/>
      <c r="E8" s="2186" t="s">
        <v>296</v>
      </c>
      <c r="F8" s="2186"/>
      <c r="G8" s="2186"/>
      <c r="H8" s="2186"/>
      <c r="I8" s="2177" t="s">
        <v>307</v>
      </c>
      <c r="J8" s="2178"/>
      <c r="K8" s="2179"/>
    </row>
    <row r="9" spans="2:11" s="334" customFormat="1" ht="30" customHeight="1">
      <c r="B9" s="2185"/>
      <c r="C9" s="2185"/>
      <c r="D9" s="1719"/>
      <c r="E9" s="474" t="s">
        <v>297</v>
      </c>
      <c r="F9" s="474" t="s">
        <v>298</v>
      </c>
      <c r="G9" s="474" t="s">
        <v>299</v>
      </c>
      <c r="H9" s="474" t="s">
        <v>300</v>
      </c>
      <c r="I9" s="475" t="s">
        <v>12</v>
      </c>
      <c r="J9" s="476" t="s">
        <v>288</v>
      </c>
      <c r="K9" s="476" t="s">
        <v>301</v>
      </c>
    </row>
    <row r="10" spans="2:11" ht="30" customHeight="1">
      <c r="B10" s="477">
        <v>1</v>
      </c>
      <c r="C10" s="2180" t="s">
        <v>586</v>
      </c>
      <c r="D10" s="2181"/>
      <c r="E10" s="2181"/>
      <c r="F10" s="2181"/>
      <c r="G10" s="2181"/>
      <c r="H10" s="2182"/>
      <c r="K10" s="478"/>
    </row>
    <row r="11" spans="2:11" ht="65">
      <c r="B11" s="479">
        <f>B10+0.1</f>
        <v>1.1000000000000001</v>
      </c>
      <c r="C11" s="558" t="s">
        <v>598</v>
      </c>
      <c r="D11" s="558" t="s">
        <v>597</v>
      </c>
      <c r="E11" s="1760" t="s">
        <v>596</v>
      </c>
      <c r="F11" s="1760" t="s">
        <v>595</v>
      </c>
      <c r="G11" s="1760" t="s">
        <v>594</v>
      </c>
      <c r="H11" s="1760" t="s">
        <v>593</v>
      </c>
      <c r="I11" s="1761"/>
      <c r="J11" s="1761"/>
      <c r="K11" s="1762"/>
    </row>
    <row r="12" spans="2:11" ht="52">
      <c r="B12" s="479">
        <f>B11+0.1</f>
        <v>1.2000000000000002</v>
      </c>
      <c r="C12" s="558" t="s">
        <v>592</v>
      </c>
      <c r="D12" s="558" t="s">
        <v>591</v>
      </c>
      <c r="E12" s="1760" t="s">
        <v>590</v>
      </c>
      <c r="F12" s="1760" t="s">
        <v>589</v>
      </c>
      <c r="G12" s="1760" t="s">
        <v>588</v>
      </c>
      <c r="H12" s="1760" t="s">
        <v>587</v>
      </c>
      <c r="I12" s="1761"/>
      <c r="J12" s="1761"/>
      <c r="K12" s="1762"/>
    </row>
    <row r="13" spans="2:11" ht="60">
      <c r="B13" s="479">
        <f>B12+0.1</f>
        <v>1.3000000000000003</v>
      </c>
      <c r="C13" s="558" t="s">
        <v>585</v>
      </c>
      <c r="D13" s="558" t="s">
        <v>584</v>
      </c>
      <c r="E13" s="1760" t="s">
        <v>583</v>
      </c>
      <c r="F13" s="1760" t="s">
        <v>582</v>
      </c>
      <c r="G13" s="1760" t="s">
        <v>581</v>
      </c>
      <c r="H13" s="1760" t="s">
        <v>580</v>
      </c>
      <c r="I13" s="1761"/>
      <c r="J13" s="1761"/>
      <c r="K13" s="1762"/>
    </row>
    <row r="14" spans="2:11" ht="60">
      <c r="B14" s="479">
        <f>B13+0.1</f>
        <v>1.4000000000000004</v>
      </c>
      <c r="C14" s="558" t="s">
        <v>579</v>
      </c>
      <c r="D14" s="558" t="s">
        <v>578</v>
      </c>
      <c r="E14" s="1760" t="s">
        <v>577</v>
      </c>
      <c r="F14" s="1760" t="s">
        <v>576</v>
      </c>
      <c r="G14" s="1760" t="s">
        <v>575</v>
      </c>
      <c r="H14" s="1760" t="s">
        <v>574</v>
      </c>
      <c r="I14" s="1761"/>
      <c r="J14" s="1761"/>
      <c r="K14" s="1762"/>
    </row>
    <row r="15" spans="2:11" s="387" customFormat="1" ht="24" customHeight="1">
      <c r="H15" s="387" t="s">
        <v>302</v>
      </c>
      <c r="I15" s="480" t="str">
        <f>IF(SUM(I11:I14)=0,"",ROUNDDOWN(AVERAGE(I11:I14),1))</f>
        <v/>
      </c>
      <c r="J15" s="480" t="str">
        <f>IF(SUM(J11:J14)=0,"",ROUNDDOWN(AVERAGE(J11:J14),1))</f>
        <v/>
      </c>
      <c r="K15" s="481"/>
    </row>
    <row r="16" spans="2:11">
      <c r="C16" s="473"/>
      <c r="D16" s="473"/>
      <c r="E16" s="482"/>
      <c r="F16" s="482"/>
      <c r="G16" s="482"/>
      <c r="H16" s="482"/>
    </row>
    <row r="17" spans="2:11" ht="30" customHeight="1">
      <c r="B17" s="477">
        <v>2</v>
      </c>
      <c r="C17" s="2180" t="s">
        <v>567</v>
      </c>
      <c r="D17" s="2181"/>
      <c r="E17" s="2181"/>
      <c r="F17" s="2181"/>
      <c r="G17" s="2181"/>
      <c r="H17" s="2182"/>
    </row>
    <row r="18" spans="2:11" ht="45">
      <c r="B18" s="479">
        <f>B17+0.1</f>
        <v>2.1</v>
      </c>
      <c r="C18" s="558" t="s">
        <v>573</v>
      </c>
      <c r="D18" s="558" t="s">
        <v>572</v>
      </c>
      <c r="E18" s="1763" t="s">
        <v>571</v>
      </c>
      <c r="F18" s="1763" t="s">
        <v>570</v>
      </c>
      <c r="G18" s="1763" t="s">
        <v>569</v>
      </c>
      <c r="H18" s="1763" t="s">
        <v>568</v>
      </c>
      <c r="I18" s="1761"/>
      <c r="J18" s="1761"/>
      <c r="K18" s="1762"/>
    </row>
    <row r="19" spans="2:11" ht="120">
      <c r="B19" s="479">
        <f>B18+0.1</f>
        <v>2.2000000000000002</v>
      </c>
      <c r="C19" s="558" t="s">
        <v>566</v>
      </c>
      <c r="D19" s="558" t="s">
        <v>565</v>
      </c>
      <c r="E19" s="1763" t="s">
        <v>564</v>
      </c>
      <c r="F19" s="1763" t="s">
        <v>601</v>
      </c>
      <c r="G19" s="1763" t="s">
        <v>563</v>
      </c>
      <c r="H19" s="1763" t="s">
        <v>562</v>
      </c>
      <c r="I19" s="1761"/>
      <c r="J19" s="1761"/>
      <c r="K19" s="1762"/>
    </row>
    <row r="20" spans="2:11" ht="52">
      <c r="B20" s="479">
        <f>B19+0.1</f>
        <v>2.3000000000000003</v>
      </c>
      <c r="C20" s="558" t="s">
        <v>561</v>
      </c>
      <c r="D20" s="558" t="s">
        <v>560</v>
      </c>
      <c r="E20" s="1760" t="s">
        <v>559</v>
      </c>
      <c r="F20" s="1760" t="s">
        <v>558</v>
      </c>
      <c r="G20" s="1760" t="s">
        <v>557</v>
      </c>
      <c r="H20" s="1760" t="s">
        <v>556</v>
      </c>
      <c r="I20" s="1761"/>
      <c r="J20" s="1761"/>
      <c r="K20" s="1762"/>
    </row>
    <row r="21" spans="2:11" s="387" customFormat="1" ht="24" customHeight="1">
      <c r="H21" s="387" t="s">
        <v>302</v>
      </c>
      <c r="I21" s="480" t="str">
        <f>IF(SUM(I18:I20)=0,"",ROUNDDOWN(AVERAGE(I18:I20),1))</f>
        <v/>
      </c>
      <c r="J21" s="480" t="str">
        <f>IF(SUM(J18:J20)=0,"",ROUNDDOWN(AVERAGE(J18:J20),1))</f>
        <v/>
      </c>
      <c r="K21" s="481"/>
    </row>
    <row r="22" spans="2:11">
      <c r="C22" s="473"/>
      <c r="D22" s="473"/>
      <c r="E22" s="482"/>
      <c r="F22" s="482"/>
      <c r="G22" s="482"/>
      <c r="H22" s="482"/>
    </row>
    <row r="23" spans="2:11" ht="30" customHeight="1">
      <c r="B23" s="477">
        <v>3</v>
      </c>
      <c r="C23" s="2180" t="s">
        <v>549</v>
      </c>
      <c r="D23" s="2181"/>
      <c r="E23" s="2181"/>
      <c r="F23" s="2181"/>
      <c r="G23" s="2181"/>
      <c r="H23" s="2182"/>
    </row>
    <row r="24" spans="2:11" ht="90">
      <c r="B24" s="479">
        <f>B23+0.1</f>
        <v>3.1</v>
      </c>
      <c r="C24" s="560" t="s">
        <v>555</v>
      </c>
      <c r="D24" s="560" t="s">
        <v>554</v>
      </c>
      <c r="E24" s="1763" t="s">
        <v>553</v>
      </c>
      <c r="F24" s="1763" t="s">
        <v>552</v>
      </c>
      <c r="G24" s="1763" t="s">
        <v>551</v>
      </c>
      <c r="H24" s="1763" t="s">
        <v>550</v>
      </c>
      <c r="I24" s="1761"/>
      <c r="J24" s="1761"/>
      <c r="K24" s="1762"/>
    </row>
    <row r="25" spans="2:11" ht="75">
      <c r="B25" s="479">
        <f>B24+0.1</f>
        <v>3.2</v>
      </c>
      <c r="C25" s="558" t="s">
        <v>548</v>
      </c>
      <c r="D25" s="558" t="s">
        <v>547</v>
      </c>
      <c r="E25" s="1763" t="s">
        <v>546</v>
      </c>
      <c r="F25" s="1763" t="s">
        <v>545</v>
      </c>
      <c r="G25" s="1763" t="s">
        <v>544</v>
      </c>
      <c r="H25" s="1763" t="s">
        <v>543</v>
      </c>
      <c r="I25" s="1761"/>
      <c r="J25" s="1761"/>
      <c r="K25" s="1762"/>
    </row>
    <row r="26" spans="2:11" ht="60">
      <c r="B26" s="479">
        <f>B25+0.1</f>
        <v>3.3000000000000003</v>
      </c>
      <c r="C26" s="558" t="s">
        <v>542</v>
      </c>
      <c r="D26" s="558" t="s">
        <v>541</v>
      </c>
      <c r="E26" s="1763" t="s">
        <v>540</v>
      </c>
      <c r="F26" s="1763" t="s">
        <v>539</v>
      </c>
      <c r="G26" s="1763" t="s">
        <v>538</v>
      </c>
      <c r="H26" s="1763" t="s">
        <v>537</v>
      </c>
      <c r="I26" s="1761"/>
      <c r="J26" s="1761"/>
      <c r="K26" s="1762"/>
    </row>
    <row r="27" spans="2:11" s="387" customFormat="1" ht="24" customHeight="1">
      <c r="H27" s="387" t="s">
        <v>302</v>
      </c>
      <c r="I27" s="480" t="str">
        <f>IF(SUM(I24:I26)=0,"",ROUNDDOWN(AVERAGE(I24:I26),1))</f>
        <v/>
      </c>
      <c r="J27" s="480" t="str">
        <f>IF(SUM(J24:J26)=0,"",ROUNDDOWN(AVERAGE(J24:J26),1))</f>
        <v/>
      </c>
      <c r="K27" s="481"/>
    </row>
    <row r="28" spans="2:11">
      <c r="C28" s="473"/>
      <c r="D28" s="473"/>
      <c r="E28" s="482"/>
      <c r="F28" s="482"/>
      <c r="G28" s="482"/>
      <c r="H28" s="482"/>
    </row>
    <row r="29" spans="2:11" ht="17" customHeight="1"/>
    <row r="30" spans="2:11" ht="17" customHeight="1">
      <c r="F30" s="334" t="s">
        <v>304</v>
      </c>
    </row>
    <row r="31" spans="2:11" ht="17" customHeight="1">
      <c r="G31" s="483" t="s">
        <v>305</v>
      </c>
      <c r="H31" s="471">
        <v>1</v>
      </c>
      <c r="I31" s="484" t="str">
        <f>IF(I15="","",I15)</f>
        <v/>
      </c>
      <c r="J31" s="484" t="str">
        <f>IF(J15="","",J15)</f>
        <v/>
      </c>
    </row>
    <row r="32" spans="2:11" ht="17" customHeight="1">
      <c r="G32" s="483" t="s">
        <v>305</v>
      </c>
      <c r="H32" s="471">
        <f>1+H31</f>
        <v>2</v>
      </c>
      <c r="I32" s="485" t="str">
        <f>IF(I21="","",I21)</f>
        <v/>
      </c>
      <c r="J32" s="485" t="str">
        <f>IF(J21="","",J21)</f>
        <v/>
      </c>
    </row>
    <row r="33" spans="2:12" ht="17" customHeight="1">
      <c r="G33" s="483" t="s">
        <v>305</v>
      </c>
      <c r="H33" s="471">
        <f>1+H32</f>
        <v>3</v>
      </c>
      <c r="I33" s="485" t="str">
        <f>IF(I27="","",I27)</f>
        <v/>
      </c>
      <c r="J33" s="485" t="str">
        <f>IF(J27="","",J27)</f>
        <v/>
      </c>
    </row>
    <row r="34" spans="2:12" s="473" customFormat="1" ht="17" customHeight="1">
      <c r="B34" s="471"/>
      <c r="C34" s="472"/>
      <c r="D34" s="472"/>
      <c r="E34" s="472"/>
      <c r="F34" s="472"/>
      <c r="G34" s="472"/>
      <c r="H34" s="387" t="s">
        <v>306</v>
      </c>
      <c r="I34" s="485">
        <f>SUM(I11:I14)+SUM(I18:I20)+SUM(I24:I26)</f>
        <v>0</v>
      </c>
      <c r="J34" s="485">
        <f>SUM(J11:J14)+SUM(J18:J20)+SUM(J24:J26)</f>
        <v>0</v>
      </c>
      <c r="L34" s="472"/>
    </row>
    <row r="35" spans="2:12" s="473" customFormat="1" ht="17" customHeight="1">
      <c r="B35" s="471"/>
      <c r="C35" s="472"/>
      <c r="D35" s="472"/>
      <c r="E35" s="472"/>
      <c r="F35" s="472"/>
      <c r="G35" s="472"/>
      <c r="H35" s="387"/>
      <c r="I35" s="486"/>
      <c r="J35" s="486"/>
      <c r="L35" s="472"/>
    </row>
    <row r="36" spans="2:12" s="473" customFormat="1" ht="17" customHeight="1">
      <c r="B36" s="471"/>
      <c r="C36" s="487" t="s">
        <v>600</v>
      </c>
      <c r="D36" s="487"/>
      <c r="E36" s="472"/>
      <c r="F36" s="472"/>
      <c r="G36" s="472"/>
      <c r="H36" s="472"/>
      <c r="I36" s="471"/>
      <c r="J36" s="471"/>
      <c r="L36" s="472"/>
    </row>
    <row r="37" spans="2:12" s="473" customFormat="1" ht="17" customHeight="1">
      <c r="B37" s="471"/>
      <c r="C37" s="472"/>
      <c r="D37" s="472"/>
      <c r="E37" s="472"/>
      <c r="F37" s="472"/>
      <c r="G37" s="472"/>
      <c r="H37" s="472"/>
      <c r="I37" s="471"/>
      <c r="J37" s="471"/>
      <c r="L37" s="472"/>
    </row>
    <row r="38" spans="2:12" s="473" customFormat="1" ht="17" customHeight="1">
      <c r="B38" s="471"/>
      <c r="C38" s="472"/>
      <c r="D38" s="472"/>
      <c r="E38" s="472"/>
      <c r="F38" s="472"/>
      <c r="G38" s="472"/>
      <c r="H38" s="472"/>
      <c r="I38" s="471"/>
      <c r="J38" s="471"/>
      <c r="L38" s="472"/>
    </row>
    <row r="39" spans="2:12" s="473" customFormat="1" ht="17" customHeight="1">
      <c r="B39" s="471"/>
      <c r="C39" s="472"/>
      <c r="D39" s="472"/>
      <c r="E39" s="472"/>
      <c r="F39" s="472"/>
      <c r="G39" s="472"/>
      <c r="H39" s="472"/>
      <c r="I39" s="471"/>
      <c r="J39" s="471"/>
      <c r="L39" s="472"/>
    </row>
    <row r="40" spans="2:12" s="473" customFormat="1" ht="17" customHeight="1">
      <c r="B40" s="471"/>
      <c r="C40" s="472"/>
      <c r="D40" s="472"/>
      <c r="E40" s="472"/>
      <c r="F40" s="472"/>
      <c r="G40" s="472"/>
      <c r="H40" s="472"/>
      <c r="I40" s="471"/>
      <c r="J40" s="471"/>
      <c r="L40" s="472"/>
    </row>
    <row r="41" spans="2:12" s="473" customFormat="1" ht="17" customHeight="1">
      <c r="B41" s="471"/>
      <c r="C41" s="472"/>
      <c r="D41" s="472"/>
      <c r="E41" s="472"/>
      <c r="F41" s="472"/>
      <c r="G41" s="472"/>
      <c r="H41" s="472"/>
      <c r="I41" s="471"/>
      <c r="J41" s="471"/>
      <c r="L41" s="472"/>
    </row>
    <row r="42" spans="2:12" s="473" customFormat="1" ht="17" customHeight="1">
      <c r="B42" s="471"/>
      <c r="C42" s="472"/>
      <c r="D42" s="472"/>
      <c r="E42" s="472"/>
      <c r="F42" s="472"/>
      <c r="G42" s="472"/>
      <c r="H42" s="472"/>
      <c r="I42" s="471"/>
      <c r="J42" s="471"/>
      <c r="L42" s="472"/>
    </row>
    <row r="43" spans="2:12" s="473" customFormat="1" ht="17" customHeight="1">
      <c r="B43" s="471"/>
      <c r="C43" s="472"/>
      <c r="D43" s="472"/>
      <c r="E43" s="472"/>
      <c r="F43" s="472"/>
      <c r="G43" s="472"/>
      <c r="H43" s="472"/>
      <c r="I43" s="471"/>
      <c r="J43" s="471"/>
      <c r="L43" s="472"/>
    </row>
    <row r="44" spans="2:12" s="473" customFormat="1" ht="17" customHeight="1">
      <c r="B44" s="471"/>
      <c r="C44" s="472"/>
      <c r="D44" s="472"/>
      <c r="E44" s="472"/>
      <c r="F44" s="472"/>
      <c r="G44" s="472"/>
      <c r="H44" s="472"/>
      <c r="I44" s="471"/>
      <c r="J44" s="471"/>
      <c r="L44" s="472"/>
    </row>
    <row r="45" spans="2:12" s="473" customFormat="1" ht="17" customHeight="1">
      <c r="B45" s="471"/>
      <c r="C45" s="472"/>
      <c r="D45" s="472"/>
      <c r="E45" s="472"/>
      <c r="F45" s="472"/>
      <c r="G45" s="472"/>
      <c r="H45" s="472"/>
      <c r="I45" s="471"/>
      <c r="J45" s="471"/>
      <c r="L45" s="472"/>
    </row>
    <row r="46" spans="2:12" ht="17" customHeight="1"/>
    <row r="47" spans="2:12" ht="17" customHeight="1"/>
    <row r="48" spans="2:12" ht="17" customHeight="1"/>
    <row r="49" spans="3:11" ht="17" customHeight="1"/>
    <row r="50" spans="3:11" ht="17" customHeight="1"/>
    <row r="51" spans="3:11" ht="17" customHeight="1"/>
    <row r="52" spans="3:11" s="471" customFormat="1" ht="17" customHeight="1">
      <c r="C52" s="472"/>
      <c r="D52" s="472"/>
      <c r="E52" s="472"/>
      <c r="F52" s="472"/>
      <c r="G52" s="472"/>
      <c r="H52" s="472"/>
      <c r="K52" s="473"/>
    </row>
    <row r="53" spans="3:11" s="471" customFormat="1" ht="17" customHeight="1">
      <c r="C53" s="472"/>
      <c r="D53" s="472"/>
      <c r="E53" s="472"/>
      <c r="F53" s="472"/>
      <c r="G53" s="472"/>
      <c r="H53" s="472"/>
      <c r="K53" s="473"/>
    </row>
    <row r="54" spans="3:11" s="471" customFormat="1" ht="17" customHeight="1">
      <c r="C54" s="472"/>
      <c r="D54" s="472"/>
      <c r="E54" s="472"/>
      <c r="F54" s="472"/>
      <c r="G54" s="472"/>
      <c r="H54" s="472"/>
      <c r="K54" s="473"/>
    </row>
    <row r="55" spans="3:11" s="471" customFormat="1" ht="17" customHeight="1">
      <c r="C55" s="472"/>
      <c r="D55" s="472"/>
      <c r="E55" s="472"/>
      <c r="F55" s="472"/>
      <c r="G55" s="472"/>
      <c r="H55" s="472"/>
      <c r="K55" s="473"/>
    </row>
    <row r="56" spans="3:11" s="471" customFormat="1" ht="17" customHeight="1">
      <c r="C56" s="472"/>
      <c r="D56" s="472"/>
      <c r="E56" s="472"/>
      <c r="F56" s="472"/>
      <c r="G56" s="472"/>
      <c r="H56" s="472"/>
      <c r="K56" s="473"/>
    </row>
    <row r="57" spans="3:11" s="471" customFormat="1" ht="17" customHeight="1">
      <c r="C57" s="472"/>
      <c r="D57" s="472"/>
      <c r="E57" s="472"/>
      <c r="F57" s="472"/>
      <c r="G57" s="472"/>
      <c r="H57" s="472"/>
      <c r="K57" s="473"/>
    </row>
    <row r="58" spans="3:11" s="471" customFormat="1" ht="17" customHeight="1">
      <c r="C58" s="472"/>
      <c r="D58" s="472"/>
      <c r="E58" s="472"/>
      <c r="F58" s="472"/>
      <c r="G58" s="472"/>
      <c r="H58" s="472"/>
      <c r="K58" s="473"/>
    </row>
    <row r="59" spans="3:11" s="471" customFormat="1" ht="17" customHeight="1">
      <c r="C59" s="472"/>
      <c r="D59" s="472"/>
      <c r="E59" s="472"/>
      <c r="F59" s="472"/>
      <c r="G59" s="472"/>
      <c r="H59" s="472"/>
      <c r="K59" s="473"/>
    </row>
    <row r="60" spans="3:11" s="471" customFormat="1" ht="17" customHeight="1">
      <c r="C60" s="472"/>
      <c r="D60" s="472"/>
      <c r="E60" s="472"/>
      <c r="F60" s="472"/>
      <c r="G60" s="472"/>
      <c r="H60" s="472"/>
      <c r="K60" s="473"/>
    </row>
    <row r="61" spans="3:11" s="471" customFormat="1" ht="17" customHeight="1">
      <c r="C61" s="472"/>
      <c r="D61" s="472"/>
      <c r="E61" s="472"/>
      <c r="F61" s="472"/>
      <c r="G61" s="472"/>
      <c r="H61" s="472"/>
      <c r="K61" s="473"/>
    </row>
    <row r="62" spans="3:11" s="471" customFormat="1" ht="17" customHeight="1">
      <c r="C62" s="472"/>
      <c r="D62" s="472"/>
      <c r="E62" s="472"/>
      <c r="F62" s="472"/>
      <c r="G62" s="472"/>
      <c r="H62" s="472"/>
      <c r="K62" s="473"/>
    </row>
    <row r="63" spans="3:11" s="471" customFormat="1" ht="17" customHeight="1">
      <c r="C63" s="472"/>
      <c r="D63" s="472"/>
      <c r="E63" s="472"/>
      <c r="F63" s="472"/>
      <c r="G63" s="472"/>
      <c r="H63" s="472"/>
      <c r="K63" s="473"/>
    </row>
    <row r="64" spans="3:11" s="471" customFormat="1" ht="17" customHeight="1">
      <c r="C64" s="472"/>
      <c r="D64" s="472"/>
      <c r="E64" s="472"/>
      <c r="F64" s="472"/>
      <c r="G64" s="472"/>
      <c r="H64" s="472"/>
      <c r="K64" s="473"/>
    </row>
    <row r="65" spans="3:11" s="471" customFormat="1" ht="17" customHeight="1">
      <c r="C65" s="472"/>
      <c r="D65" s="472"/>
      <c r="E65" s="472"/>
      <c r="F65" s="472"/>
      <c r="G65" s="472"/>
      <c r="H65" s="472"/>
      <c r="K65" s="473"/>
    </row>
    <row r="66" spans="3:11" s="471" customFormat="1" ht="17" customHeight="1">
      <c r="C66" s="472"/>
      <c r="D66" s="472"/>
      <c r="E66" s="472"/>
      <c r="F66" s="472"/>
      <c r="G66" s="472"/>
      <c r="H66" s="472"/>
      <c r="K66" s="473"/>
    </row>
    <row r="67" spans="3:11" s="471" customFormat="1" ht="17" customHeight="1">
      <c r="C67" s="472"/>
      <c r="D67" s="472"/>
      <c r="E67" s="472"/>
      <c r="F67" s="472"/>
      <c r="G67" s="472"/>
      <c r="H67" s="472"/>
      <c r="K67" s="473"/>
    </row>
    <row r="68" spans="3:11" s="471" customFormat="1" ht="17" customHeight="1">
      <c r="C68" s="472"/>
      <c r="D68" s="472"/>
      <c r="E68" s="472"/>
      <c r="F68" s="472"/>
      <c r="G68" s="472"/>
      <c r="H68" s="472"/>
      <c r="K68" s="473"/>
    </row>
    <row r="69" spans="3:11" s="471" customFormat="1" ht="17" customHeight="1">
      <c r="C69" s="472"/>
      <c r="D69" s="472"/>
      <c r="E69" s="472"/>
      <c r="F69" s="472"/>
      <c r="G69" s="472"/>
      <c r="H69" s="472"/>
      <c r="K69" s="473"/>
    </row>
    <row r="70" spans="3:11" s="471" customFormat="1" ht="17" customHeight="1">
      <c r="C70" s="472"/>
      <c r="D70" s="472"/>
      <c r="E70" s="472"/>
      <c r="F70" s="472"/>
      <c r="G70" s="472"/>
      <c r="H70" s="472"/>
      <c r="K70" s="473"/>
    </row>
  </sheetData>
  <sheetProtection algorithmName="SHA-512" hashValue="w6NMpHl4q6ZRrwSTGyoTNOGgJSxnjh7U9lFwQjIUXu3ea7B51Ep0yaIFAsYJhKB1Pa4dkqwQ2j8XJ26N6q3+vQ==" saltValue="gB85dUe4+rEeO+cUAbSMHg==" spinCount="100000" sheet="1" objects="1" scenarios="1" selectLockedCells="1" selectUnlockedCells="1"/>
  <mergeCells count="8">
    <mergeCell ref="I8:K8"/>
    <mergeCell ref="C10:H10"/>
    <mergeCell ref="C17:H17"/>
    <mergeCell ref="C23:H23"/>
    <mergeCell ref="F3:H3"/>
    <mergeCell ref="B8:B9"/>
    <mergeCell ref="C8:C9"/>
    <mergeCell ref="E8:H8"/>
  </mergeCells>
  <conditionalFormatting sqref="I35:J35">
    <cfRule type="cellIs" dxfId="2" priority="1" operator="equal">
      <formula>"Yes"</formula>
    </cfRule>
    <cfRule type="cellIs" dxfId="1" priority="2" operator="equal">
      <formula>"No"</formula>
    </cfRule>
  </conditionalFormatting>
  <dataValidations count="1">
    <dataValidation type="whole" allowBlank="1" showInputMessage="1" showErrorMessage="1" sqref="I11:J14 I18:J20 I24:J26" xr:uid="{00000000-0002-0000-5E00-000000000000}">
      <formula1>1</formula1>
      <formula2>4</formula2>
    </dataValidation>
  </dataValidations>
  <pageMargins left="0.7" right="0.7" top="0.78740157499999996" bottom="0.78740157499999996" header="0.3" footer="0.3"/>
  <pageSetup paperSize="9" scale="46" fitToHeight="3" orientation="portrait" r:id="rId1"/>
  <headerFooter>
    <oddFooter>&amp;LDok.-Nr./Rev./Datum
F01         /  03   / 04.12.2020
&amp;F&amp;C&amp;U&amp;A&amp;RSeite &amp;P / &amp;N</oddFooter>
  </headerFooter>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B5E17-FCAF-43AB-A504-04631300314F}">
  <sheetPr codeName="Interfaces">
    <tabColor theme="1"/>
  </sheetPr>
  <dimension ref="A1:BM42"/>
  <sheetViews>
    <sheetView workbookViewId="0">
      <selection activeCell="F7" sqref="F7"/>
    </sheetView>
  </sheetViews>
  <sheetFormatPr baseColWidth="10" defaultColWidth="9.1640625" defaultRowHeight="15"/>
  <cols>
    <col min="1" max="1" width="9.1640625" style="89"/>
    <col min="2" max="2" width="36" style="89" bestFit="1" customWidth="1"/>
    <col min="3" max="3" width="14.6640625" style="89" bestFit="1" customWidth="1"/>
    <col min="4" max="4" width="12" style="89" bestFit="1" customWidth="1"/>
    <col min="5" max="5" width="30.33203125" style="89" customWidth="1"/>
    <col min="6" max="6" width="13.6640625" style="89" bestFit="1" customWidth="1"/>
    <col min="7" max="7" width="7.1640625" style="89" bestFit="1" customWidth="1"/>
    <col min="8" max="8" width="20.5" style="89" bestFit="1" customWidth="1"/>
    <col min="9" max="12" width="9.1640625" style="89"/>
    <col min="13" max="13" width="10.5" style="89" bestFit="1" customWidth="1"/>
    <col min="14" max="14" width="9.1640625" style="89"/>
    <col min="15" max="15" width="22.5" style="89" customWidth="1"/>
    <col min="16" max="18" width="9.1640625" style="89"/>
    <col min="19" max="19" width="1.33203125" style="89" customWidth="1"/>
    <col min="20" max="23" width="9.1640625" style="89"/>
    <col min="24" max="24" width="1.33203125" style="89" customWidth="1"/>
    <col min="25" max="28" width="9.1640625" style="89"/>
    <col min="29" max="29" width="13.1640625" style="89" customWidth="1"/>
    <col min="30" max="30" width="1.33203125" style="89" customWidth="1"/>
    <col min="31" max="35" width="9.1640625" style="89"/>
    <col min="36" max="36" width="13.1640625" style="89" customWidth="1"/>
    <col min="37" max="37" width="1.33203125" style="89" customWidth="1"/>
    <col min="38" max="42" width="9.1640625" style="89"/>
    <col min="43" max="43" width="13.1640625" style="89" customWidth="1"/>
    <col min="44" max="44" width="1.33203125" style="89" customWidth="1"/>
    <col min="45" max="49" width="9.1640625" style="89"/>
    <col min="50" max="50" width="13.1640625" style="89" customWidth="1"/>
    <col min="51" max="51" width="1.33203125" style="89" customWidth="1"/>
    <col min="52" max="57" width="9.1640625" style="89"/>
    <col min="58" max="58" width="13.1640625" style="89" customWidth="1"/>
    <col min="59" max="59" width="1.33203125" style="89" customWidth="1"/>
    <col min="60" max="64" width="9.1640625" style="89"/>
    <col min="65" max="65" width="13.1640625" style="89" customWidth="1"/>
    <col min="66" max="16384" width="9.1640625" style="89"/>
  </cols>
  <sheetData>
    <row r="1" spans="1:65">
      <c r="A1" s="89" t="s">
        <v>3709</v>
      </c>
    </row>
    <row r="2" spans="1:65">
      <c r="B2" s="2550" t="s">
        <v>3486</v>
      </c>
      <c r="C2" s="2550"/>
      <c r="D2" s="2550"/>
      <c r="E2" s="2550"/>
      <c r="F2" s="2550"/>
      <c r="G2" s="2550"/>
      <c r="H2" s="2550"/>
      <c r="I2" s="2550"/>
      <c r="J2" s="2550"/>
      <c r="K2" s="2550"/>
      <c r="L2" s="2550"/>
      <c r="M2" s="2550"/>
      <c r="T2" s="1695" t="s">
        <v>3952</v>
      </c>
      <c r="U2" s="1695"/>
      <c r="V2" s="1695"/>
      <c r="W2" s="1695"/>
    </row>
    <row r="3" spans="1:65" ht="30">
      <c r="B3" s="89" t="s">
        <v>3710</v>
      </c>
      <c r="E3" s="89" t="s">
        <v>3711</v>
      </c>
      <c r="F3" s="1703" t="s">
        <v>3981</v>
      </c>
      <c r="K3" s="1703" t="s">
        <v>3930</v>
      </c>
      <c r="L3" s="1672"/>
      <c r="M3" s="1672"/>
      <c r="N3" s="1672"/>
      <c r="O3" s="1672"/>
      <c r="P3" s="1672"/>
      <c r="Q3" s="1672"/>
      <c r="R3" s="1667"/>
      <c r="S3" s="1670"/>
      <c r="T3" s="1696"/>
      <c r="U3" s="1697"/>
      <c r="V3" s="1697"/>
      <c r="W3" s="1697"/>
      <c r="X3" s="1667"/>
      <c r="Y3" s="2557" t="s">
        <v>3460</v>
      </c>
      <c r="Z3" s="2558"/>
      <c r="AA3" s="2558"/>
      <c r="AB3" s="2558"/>
      <c r="AC3" s="2559"/>
      <c r="AD3" s="1667"/>
      <c r="AE3" s="2557" t="s">
        <v>3909</v>
      </c>
      <c r="AF3" s="2558"/>
      <c r="AG3" s="2558"/>
      <c r="AH3" s="2558"/>
      <c r="AI3" s="2558"/>
      <c r="AJ3" s="2559"/>
      <c r="AK3" s="1667"/>
      <c r="AL3" s="2557" t="s">
        <v>3910</v>
      </c>
      <c r="AM3" s="2558"/>
      <c r="AN3" s="2558"/>
      <c r="AO3" s="2558"/>
      <c r="AP3" s="2558"/>
      <c r="AQ3" s="2559"/>
      <c r="AR3" s="1667"/>
      <c r="AS3" s="2557" t="s">
        <v>3911</v>
      </c>
      <c r="AT3" s="2558"/>
      <c r="AU3" s="2558"/>
      <c r="AV3" s="2558"/>
      <c r="AW3" s="2558"/>
      <c r="AX3" s="2559"/>
      <c r="AY3" s="1667"/>
      <c r="AZ3" s="2557" t="s">
        <v>3912</v>
      </c>
      <c r="BA3" s="2558"/>
      <c r="BB3" s="2558"/>
      <c r="BC3" s="2558"/>
      <c r="BD3" s="2558"/>
      <c r="BE3" s="2558"/>
      <c r="BF3" s="2559"/>
      <c r="BG3" s="1667"/>
      <c r="BH3" s="2557" t="s">
        <v>3913</v>
      </c>
      <c r="BI3" s="2558"/>
      <c r="BJ3" s="2558"/>
      <c r="BK3" s="2558"/>
      <c r="BL3" s="2558"/>
      <c r="BM3" s="2559"/>
    </row>
    <row r="4" spans="1:65">
      <c r="B4" s="1409" t="s">
        <v>966</v>
      </c>
      <c r="C4" s="1524" t="str">
        <f>FORM_LANGUAGE</f>
        <v>Deutsch</v>
      </c>
      <c r="E4" s="1409"/>
      <c r="F4" s="1709"/>
      <c r="K4" s="2551" t="s">
        <v>3914</v>
      </c>
      <c r="L4" s="2552"/>
      <c r="M4" s="2552"/>
      <c r="N4" s="2552"/>
      <c r="O4" s="2552"/>
      <c r="P4" s="2552"/>
      <c r="Q4" s="2552"/>
      <c r="R4" s="2553"/>
      <c r="S4" s="1668"/>
      <c r="T4" s="1668"/>
      <c r="U4" s="1668"/>
      <c r="V4" s="1668"/>
      <c r="W4" s="1668"/>
      <c r="X4" s="1667"/>
      <c r="Y4" s="2554"/>
      <c r="Z4" s="2555"/>
      <c r="AA4" s="2555"/>
      <c r="AB4" s="2555"/>
      <c r="AC4" s="2556"/>
      <c r="AD4" s="1667"/>
      <c r="AE4" s="2554"/>
      <c r="AF4" s="2555"/>
      <c r="AG4" s="2555"/>
      <c r="AH4" s="2555"/>
      <c r="AI4" s="2555"/>
      <c r="AJ4" s="2556"/>
      <c r="AK4" s="1667"/>
      <c r="AL4" s="2554"/>
      <c r="AM4" s="2555"/>
      <c r="AN4" s="2555"/>
      <c r="AO4" s="2555"/>
      <c r="AP4" s="2555"/>
      <c r="AQ4" s="2556"/>
      <c r="AR4" s="1667"/>
      <c r="AS4" s="2554"/>
      <c r="AT4" s="2555"/>
      <c r="AU4" s="2555"/>
      <c r="AV4" s="2555"/>
      <c r="AW4" s="2555"/>
      <c r="AX4" s="2556"/>
      <c r="AY4" s="1667"/>
      <c r="AZ4" s="2554"/>
      <c r="BA4" s="2555"/>
      <c r="BB4" s="2555"/>
      <c r="BC4" s="2555"/>
      <c r="BD4" s="2555"/>
      <c r="BE4" s="2555"/>
      <c r="BF4" s="2556"/>
      <c r="BG4" s="1667"/>
      <c r="BH4" s="2554"/>
      <c r="BI4" s="2555"/>
      <c r="BJ4" s="2555"/>
      <c r="BK4" s="2555"/>
      <c r="BL4" s="2555"/>
      <c r="BM4" s="2556"/>
    </row>
    <row r="5" spans="1:65" ht="57" thickBot="1">
      <c r="B5" s="1409" t="s">
        <v>946</v>
      </c>
      <c r="C5" s="1524" t="str">
        <f>TRIM(COV!E6)</f>
        <v/>
      </c>
      <c r="E5" s="1409"/>
      <c r="F5" s="1709"/>
      <c r="K5" s="1674" t="s">
        <v>3915</v>
      </c>
      <c r="L5" s="1674" t="s">
        <v>2314</v>
      </c>
      <c r="M5" s="1674" t="s">
        <v>3916</v>
      </c>
      <c r="N5" s="1674" t="s">
        <v>3917</v>
      </c>
      <c r="O5" s="1674" t="s">
        <v>3918</v>
      </c>
      <c r="P5" s="1674" t="s">
        <v>3919</v>
      </c>
      <c r="Q5" s="1674" t="s">
        <v>3920</v>
      </c>
      <c r="R5" s="1674" t="s">
        <v>3921</v>
      </c>
      <c r="S5" s="1673"/>
      <c r="T5" s="1675" t="s">
        <v>3922</v>
      </c>
      <c r="U5" s="1675" t="s">
        <v>3923</v>
      </c>
      <c r="V5" s="1675" t="s">
        <v>3924</v>
      </c>
      <c r="W5" s="1675" t="s">
        <v>3925</v>
      </c>
      <c r="X5" s="1669"/>
      <c r="Y5" s="1676" t="s">
        <v>3926</v>
      </c>
      <c r="Z5" s="1676" t="s">
        <v>1925</v>
      </c>
      <c r="AA5" s="1676" t="s">
        <v>3927</v>
      </c>
      <c r="AB5" s="1676" t="s">
        <v>3928</v>
      </c>
      <c r="AC5" s="1675" t="s">
        <v>1173</v>
      </c>
      <c r="AD5" s="1671"/>
      <c r="AE5" s="1676" t="s">
        <v>3926</v>
      </c>
      <c r="AF5" s="1676" t="s">
        <v>742</v>
      </c>
      <c r="AG5" s="1676" t="s">
        <v>1925</v>
      </c>
      <c r="AH5" s="1676" t="s">
        <v>3927</v>
      </c>
      <c r="AI5" s="1676" t="s">
        <v>3928</v>
      </c>
      <c r="AJ5" s="1675" t="s">
        <v>1173</v>
      </c>
      <c r="AK5" s="1668"/>
      <c r="AL5" s="1676" t="s">
        <v>3926</v>
      </c>
      <c r="AM5" s="1676" t="s">
        <v>742</v>
      </c>
      <c r="AN5" s="1676" t="s">
        <v>1925</v>
      </c>
      <c r="AO5" s="1676" t="s">
        <v>3927</v>
      </c>
      <c r="AP5" s="1676" t="s">
        <v>3928</v>
      </c>
      <c r="AQ5" s="1675" t="s">
        <v>1173</v>
      </c>
      <c r="AR5" s="1668"/>
      <c r="AS5" s="1676" t="s">
        <v>3926</v>
      </c>
      <c r="AT5" s="1676" t="s">
        <v>2021</v>
      </c>
      <c r="AU5" s="1676" t="s">
        <v>1925</v>
      </c>
      <c r="AV5" s="1676" t="s">
        <v>3927</v>
      </c>
      <c r="AW5" s="1676" t="s">
        <v>3928</v>
      </c>
      <c r="AX5" s="1675" t="s">
        <v>1173</v>
      </c>
      <c r="AY5" s="1668"/>
      <c r="AZ5" s="1676" t="s">
        <v>3926</v>
      </c>
      <c r="BA5" s="1676" t="s">
        <v>2021</v>
      </c>
      <c r="BB5" s="1676" t="s">
        <v>1925</v>
      </c>
      <c r="BC5" s="1676" t="s">
        <v>288</v>
      </c>
      <c r="BD5" s="1676" t="s">
        <v>656</v>
      </c>
      <c r="BE5" s="1676" t="s">
        <v>3928</v>
      </c>
      <c r="BF5" s="1675" t="s">
        <v>1173</v>
      </c>
      <c r="BG5" s="1668"/>
      <c r="BH5" s="1676" t="s">
        <v>3926</v>
      </c>
      <c r="BI5" s="1676" t="s">
        <v>2021</v>
      </c>
      <c r="BJ5" s="1676" t="s">
        <v>1925</v>
      </c>
      <c r="BK5" s="1676" t="s">
        <v>3927</v>
      </c>
      <c r="BL5" s="1676" t="s">
        <v>3928</v>
      </c>
      <c r="BM5" s="1675" t="s">
        <v>1173</v>
      </c>
    </row>
    <row r="6" spans="1:65" ht="16" thickTop="1">
      <c r="B6" s="1409" t="s">
        <v>929</v>
      </c>
      <c r="C6" s="1524" t="str">
        <f>TRIM(COV!E7)</f>
        <v/>
      </c>
      <c r="E6" s="1409"/>
      <c r="F6" s="1709"/>
      <c r="J6" s="1698" t="s">
        <v>3953</v>
      </c>
      <c r="K6" s="1678" t="str">
        <f>C5</f>
        <v/>
      </c>
      <c r="L6" s="1679" t="str">
        <f>C6</f>
        <v/>
      </c>
      <c r="M6" s="1677">
        <f>C7</f>
        <v>0</v>
      </c>
      <c r="N6" s="1677" t="str">
        <f>C4</f>
        <v>Deutsch</v>
      </c>
      <c r="O6" s="1680" t="str">
        <f>C8</f>
        <v>Erstzertifizierung</v>
      </c>
      <c r="P6" s="1681"/>
      <c r="Q6" s="1680" t="str">
        <f>C15</f>
        <v>A</v>
      </c>
      <c r="R6" s="1682" t="str">
        <f>C16</f>
        <v>Projekt</v>
      </c>
      <c r="S6" s="1683" t="s">
        <v>3929</v>
      </c>
      <c r="T6" s="1684">
        <f>'EXP Eval'!AI35</f>
        <v>0</v>
      </c>
      <c r="U6" s="1685">
        <f>'EXP Eval'!AI29</f>
        <v>0</v>
      </c>
      <c r="V6" s="1685">
        <f>'EXP Eval'!AJ29</f>
        <v>0</v>
      </c>
      <c r="W6" s="1685">
        <f>'EXP Eval'!AK29</f>
        <v>0</v>
      </c>
      <c r="X6" s="1686" t="s">
        <v>3929</v>
      </c>
      <c r="Y6" s="1687" t="str">
        <f t="array" ref="Y6">IFERROR(IF(MAX(IF((COV!$K$75:$K$98="ADM")*(COUNTIF(COV!$M$9:$M$24,COV!$M$75:$M$98)&gt;0),COV!$L$75:$L$98))&gt;0,MAX(IF((COV!$K$75:$K$98="ADM")*(COUNTIF(COV!$M$9:$M$24,COV!$M$75:$M$98)&gt;0),COV!$L$75:$L$98)),""),"")</f>
        <v/>
      </c>
      <c r="Z6" s="1688" t="str">
        <f t="array" ref="Z6">IFERROR(INDEX(COV!$N$9:$N$24,MATCH(INDEX(COV!$M$75:$M$98,MATCH(MAX(IF((COV!$K$75:$K$98="ADM")*(COUNTIF(COV!$M$9:$M$24,COV!$M$75:$M$98)&gt;0),COV!$L$75:$L$98)),IF((COV!$K$75:$K$98="ADM")*(COUNTIF(COV!$M$9:$M$24,COV!$M$75:$M$98)&gt;0),COV!$L$75:$L$98),0)),COV!$M$9:$M$24,0)),"")</f>
        <v/>
      </c>
      <c r="AA6" s="1688" t="str">
        <f t="array" ref="AA6">IFERROR(INDEX(COV!$J$9:$J$24,MATCH(INDEX(COV!$M$75:$M$98,MATCH(MAX(IF((COV!$K$75:$K$98="ADM")*(COUNTIF(COV!$M$9:$M$24,COV!$M$75:$M$98)&gt;0),COV!$L$75:$L$98)),IF((COV!$K$75:$K$98="ADM")*(COUNTIF(COV!$M$9:$M$24,COV!$M$75:$M$98)&gt;0),COV!$L$75:$L$98),0)),COV!$M$9:$M$24,0)),"")</f>
        <v/>
      </c>
      <c r="AB6" s="1689"/>
      <c r="AC6" s="1690" t="str">
        <f t="array" ref="AC6">IFERROR(INDEX(COV!$L$9:$L$24,MATCH(INDEX(COV!$M$75:$M$98,MATCH(MAX(IF((COV!$K$75:$K$98="ADM")*(COUNTIF(COV!$M$9:$M$24,COV!$M$75:$M$98)&gt;0),COV!$L$75:$L$98)),IF((COV!$K$75:$K$98="ADM")*(COUNTIF(COV!$M$9:$M$24,COV!$M$75:$M$98)&gt;0),COV!$L$75:$L$98),0)),COV!$M$9:$M$24,0)),"")</f>
        <v/>
      </c>
      <c r="AD6" s="1686" t="s">
        <v>3929</v>
      </c>
      <c r="AE6" s="1687" t="str">
        <f t="array" ref="AE6">IFERROR(IF(MAX(IF((COV!$K$75:$K$98="REP")*(COUNTIF(COV!$M$9:$M$24,COV!$M$75:$M$98)&gt;0),COV!$L$75:$L$98))&gt;0,MAX(IF((COV!$K$75:$K$98="REP")*(COUNTIF(COV!$M$9:$M$24,COV!$M$75:$M$98)&gt;0),COV!$L$75:$L$98)),""),"")</f>
        <v/>
      </c>
      <c r="AF6" s="1691">
        <f>Scoring!I12</f>
        <v>0</v>
      </c>
      <c r="AG6" s="1688" t="str">
        <f t="array" ref="AG6">IFERROR(INDEX(COV!$N$9:$N$24,MATCH(INDEX(COV!$M$75:$M$98,MATCH(MAX(IF((COV!$K$75:$K$98="REP")*(COUNTIF(COV!$M$9:$M$24,COV!$M$75:$M$98)&gt;0),COV!$L$75:$L$98)),IF((COV!$K$75:$K$98="REP")*(COUNTIF(COV!$M$9:$M$24,COV!$M$75:$M$98)&gt;0),COV!$L$75:$L$98),0)),COV!$M$9:$M$24,0)),"")</f>
        <v/>
      </c>
      <c r="AH6" s="1688" t="str">
        <f t="array" ref="AH6">IFERROR(INDEX(COV!$J$9:$J$24,MATCH(INDEX(COV!$M$75:$M$98,MATCH(MAX(IF((COV!$K$75:$K$98="REP")*(COUNTIF(COV!$M$9:$M$24,COV!$M$75:$M$98)&gt;0),COV!$L$75:$L$98)),IF((COV!$K$75:$K$98="REP")*(COUNTIF(COV!$M$9:$M$24,COV!$M$75:$M$98)&gt;0),COV!$L$75:$L$98),0)),COV!$M$9:$M$24,0)),"")</f>
        <v/>
      </c>
      <c r="AI6" s="1689"/>
      <c r="AJ6" s="1690" t="str">
        <f t="array" ref="AJ6">IFERROR(INDEX(COV!$L$9:$L$24,MATCH(INDEX(COV!$M$75:$M$98,MATCH(MAX(IF((COV!$K$75:$K$98="REP")*(COUNTIF(COV!$M$9:$M$24,COV!$M$75:$M$98)&gt;0),COV!$L$75:$L$98)),IF((COV!$K$75:$K$98="REP")*(COUNTIF(COV!$M$9:$M$24,COV!$M$75:$M$98)&gt;0),COV!$L$75:$L$98),0)),COV!$M$9:$M$24,0)),"")</f>
        <v/>
      </c>
      <c r="AK6" s="1683" t="s">
        <v>3929</v>
      </c>
      <c r="AL6" s="1687" t="str">
        <f t="array" ref="AL6">IFERROR(IF(MAX(IF((COV!$K$75:$K$98="REPC")*(COUNTIF(COV!$M$9:$M$24,COV!$M$75:$M$98)&gt;0),COV!$L$75:$L$98))&gt;0,MAX(IF((COV!$K$75:$K$98="REPC")*(COUNTIF(COV!$M$9:$M$24,COV!$M$75:$M$98)&gt;0),COV!$L$75:$L$98)),""),"")</f>
        <v/>
      </c>
      <c r="AM6" s="1691">
        <f>Scoring!I12</f>
        <v>0</v>
      </c>
      <c r="AN6" s="1688" t="str">
        <f t="array" ref="AN6">IFERROR(INDEX(COV!$N$9:$N$24,MATCH(INDEX(COV!$M$75:$M$98,MATCH(MAX(IF((COV!$K$75:$K$98="REPC")*(COUNTIF(COV!$M$9:$M$24,COV!$M$75:$M$98)&gt;0),COV!$L$75:$L$98)),IF((COV!$K$75:$K$98="REPC")*(COUNTIF(COV!$M$9:$M$24,COV!$M$75:$M$98)&gt;0),COV!$L$75:$L$98),0)),COV!$M$9:$M$24,0)),"")</f>
        <v/>
      </c>
      <c r="AO6" s="1688" t="str">
        <f t="array" ref="AO6">IFERROR(INDEX(COV!$J$9:$J$24,MATCH(INDEX(COV!$M$75:$M$98,MATCH(MAX(IF((COV!$K$75:$K$98="REPC")*(COUNTIF(COV!$M$9:$M$24,COV!$M$75:$M$98)&gt;0),COV!$L$75:$L$98)),IF((COV!$K$75:$K$98="REPC")*(COUNTIF(COV!$M$9:$M$24,COV!$M$75:$M$98)&gt;0),COV!$L$75:$L$98),0)),COV!$M$9:$M$24,0)),"")</f>
        <v/>
      </c>
      <c r="AP6" s="1689"/>
      <c r="AQ6" s="1690" t="str">
        <f t="array" ref="AQ6">IFERROR(INDEX(COV!$L$9:$L$24,MATCH(INDEX(COV!$M$75:$M$98,MATCH(MAX(IF((COV!$K$75:$K$98="REPC")*(COUNTIF(COV!$M$9:$M$24,COV!$M$75:$M$98)&gt;0),COV!$L$75:$L$98)),IF((COV!$K$75:$K$98="REPC")*(COUNTIF(COV!$M$9:$M$24,COV!$M$75:$M$98)&gt;0),COV!$L$75:$L$98),0)),COV!$M$9:$M$24,0)),"")</f>
        <v/>
      </c>
      <c r="AR6" s="1683" t="s">
        <v>3929</v>
      </c>
      <c r="AS6" s="1687" t="str">
        <f t="array" ref="AS6">IFERROR(IF(MAX(IF((COV!$K$75:$K$98="WTP")*(COUNTIF(COV!$M$9:$M$24,COV!$M$75:$M$98)&gt;0),COV!$L$75:$L$98))&gt;0,MAX(IF((COV!$K$75:$K$98="WTP")*(COUNTIF(COV!$M$9:$M$24,COV!$M$75:$M$98)&gt;0),COV!$L$75:$L$98)),""),"")</f>
        <v/>
      </c>
      <c r="AT6" s="1691">
        <f>Scoring!G12</f>
        <v>0</v>
      </c>
      <c r="AU6" s="1688" t="str">
        <f t="array" ref="AU6">IFERROR(INDEX(COV!$N$9:$N$24,MATCH(INDEX(COV!$M$75:$M$98,MATCH(MAX(IF((COV!$K$75:$K$98="WTP")*(COUNTIF(COV!$M$9:$M$24,COV!$M$75:$M$98)&gt;0),COV!$L$75:$L$98)),IF((COV!$K$75:$K$98="WTP")*(COUNTIF(COV!$M$9:$M$24,COV!$M$75:$M$98)&gt;0),COV!$L$75:$L$98),0)),COV!$M$9:$M$24,0)),"")</f>
        <v/>
      </c>
      <c r="AV6" s="1688" t="str">
        <f t="array" ref="AV6">IFERROR(INDEX(COV!$J$9:$J$24,MATCH(INDEX(COV!$M$75:$M$98,MATCH(MAX(IF((COV!$K$75:$K$98="WTP")*(COUNTIF(COV!$M$9:$M$24,COV!$M$75:$M$98)&gt;0),COV!$L$75:$L$98)),IF((COV!$K$75:$K$98="WTP")*(COUNTIF(COV!$M$9:$M$24,COV!$M$75:$M$98)&gt;0),COV!$L$75:$L$98),0)),COV!$M$9:$M$24,0)),"")</f>
        <v/>
      </c>
      <c r="AW6" s="1689"/>
      <c r="AX6" s="1690" t="str">
        <f t="array" ref="AX6">IFERROR(INDEX(COV!$L$9:$L$24,MATCH(INDEX(COV!$M$75:$M$98,MATCH(MAX(IF((COV!$K$75:$K$98="WTP")*(COUNTIF(COV!$M$9:$M$24,COV!$M$75:$M$98)&gt;0),COV!$L$75:$L$98)),IF((COV!$K$75:$K$98="WTP")*(COUNTIF(COV!$M$9:$M$24,COV!$M$75:$M$98)&gt;0),COV!$L$75:$L$98),0)),COV!$M$9:$M$24,0)),"")</f>
        <v/>
      </c>
      <c r="AY6" s="1683" t="s">
        <v>3929</v>
      </c>
      <c r="AZ6" s="1687" t="str">
        <f t="array" ref="AZ6">IFERROR(IF(MAX(IF((COV!$K$75:$K$98="CSW")*(COUNTIF(COV!$M$9:$M$24,COV!$M$75:$M$98)&gt;0),COV!$L$75:$L$98))&gt;0,MAX(IF((COV!$K$75:$K$98="CSW")*(COUNTIF(COV!$M$9:$M$24,COV!$M$75:$M$98)&gt;0),COV!$L$75:$L$98)),""),"")</f>
        <v/>
      </c>
      <c r="BA6" s="1691">
        <f>Scoring!K12</f>
        <v>0</v>
      </c>
      <c r="BB6" s="1692" t="str">
        <f t="array" ref="BB6">IFERROR(INDEX(COV!$N$9:$N$24,MATCH(INDEX(COV!$M$75:$M$98,MATCH(MAX(IF((COV!$K$75:$K$98="CSW")*(COUNTIF(COV!$M$9:$M$24,COV!$M$75:$M$98)&gt;0),COV!$L$75:$L$98)),IF((COV!$K$75:$K$98="CSW")*(COUNTIF(COV!$M$9:$M$24,COV!$M$75:$M$98)&gt;0),COV!$L$75:$L$98),0)),COV!$M$9:$M$24,0)),"")</f>
        <v/>
      </c>
      <c r="BC6" s="1692" t="str">
        <f t="array" ref="BC6">IFERROR(INDEX(COV!$J$9:$J$24,MATCH(INDEX(COV!$M$75:$M$98,MATCH(MAX(IF((COV!$K$75:$K$98="CSW")*(COUNTIF(COV!$M$9:$M$24,COV!$M$75:$M$98)&gt;0),COV!$L$75:$L$98)),IF((COV!$K$75:$K$98="CSW")*(COUNTIF(COV!$M$9:$M$24,COV!$M$75:$M$98)&gt;0),COV!$L$75:$L$98),0)),COV!$M$9:$M$24,0)),"")</f>
        <v/>
      </c>
      <c r="BD6" s="1692" t="str">
        <f t="array" ref="BD6">IFERROR(INDEX(COV!$K$9:$K$24,MATCH(INDEX(COV!$M$75:$M$98,MATCH(MAX(IF((COV!$K$75:$K$98="CSW")*(COUNTIF(COV!$M$9:$M$24,COV!$M$75:$M$98)&gt;0),COV!$L$75:$L$98)),IF((COV!$K$75:$K$98="CSW")*(COUNTIF(COV!$M$9:$M$24,COV!$M$75:$M$98)&gt;0),COV!$L$75:$L$98),0)),COV!$M$9:$M$24,0)),"")</f>
        <v/>
      </c>
      <c r="BE6" s="1689"/>
      <c r="BF6" s="1690" t="str">
        <f t="array" ref="BF6">IFERROR(INDEX(COV!$L$9:$L$24,MATCH(INDEX(COV!$M$75:$M$98,MATCH(MAX(IF((COV!$K$75:$K$98="CSW")*(COUNTIF(COV!$M$9:$M$24,COV!$M$75:$M$98)&gt;0),COV!$L$75:$L$98)),IF((COV!$K$75:$K$98="CSW")*(COUNTIF(COV!$M$9:$M$24,COV!$M$75:$M$98)&gt;0),COV!$L$75:$L$98),0)),COV!$M$9:$M$24,0)),"")</f>
        <v/>
      </c>
      <c r="BG6" s="1683" t="s">
        <v>3929</v>
      </c>
      <c r="BH6" s="1687" t="str">
        <f t="array" ref="BH6">IFERROR(IF(MAX(IF((COV!$K$75:$K$98="INT")*(COUNTIF(COV!$M$9:$M$24,COV!$M$75:$M$98)&gt;0),COV!$L$75:$L$98))&gt;0,MAX(IF((COV!$K$75:$K$98="CSW")*(COUNTIF(COV!$M$9:$M$24,COV!$M$75:$M$98)&gt;0),COV!$L$75:$L$98)),""),"")</f>
        <v/>
      </c>
      <c r="BI6" s="1691" t="str">
        <f>Scoring!M12</f>
        <v>0 / 0</v>
      </c>
      <c r="BJ6" s="1692" t="str">
        <f t="array" ref="BJ6">IFERROR(INDEX(COV!$N$9:$N$24,MATCH(INDEX(COV!$M$75:$M$98,MATCH(MAX(IF((COV!$K$75:$K$98="INT")*(COUNTIF(COV!$M$9:$M$24,COV!$M$75:$M$98)&gt;0),COV!$L$75:$L$98)),IF((COV!$K$75:$K$98="INT")*(COUNTIF(COV!$M$9:$M$24,COV!$M$75:$M$98)&gt;0),COV!$L$75:$L$98),0)),COV!$M$9:$M$24,0)),"")</f>
        <v/>
      </c>
      <c r="BK6" s="1692" t="str">
        <f t="array" ref="BK6">IFERROR(INDEX(COV!$J$9:$J$24,MATCH(INDEX(COV!$M$75:$M$98,MATCH(MAX(IF((COV!$K$75:$K$98="INT")*(COUNTIF(COV!$M$9:$M$24,COV!$M$75:$M$98)&gt;0),COV!$L$75:$L$98)),IF((COV!$K$75:$K$98="INT")*(COUNTIF(COV!$M$9:$M$24,COV!$M$75:$M$98)&gt;0),COV!$L$75:$L$98),0)),COV!$M$9:$M$24,0)),"")</f>
        <v/>
      </c>
      <c r="BL6" s="1689"/>
      <c r="BM6" s="1690" t="str">
        <f t="array" ref="BM6">IFERROR(INDEX(COV!$L$9:$L$24,MATCH(INDEX(COV!$M$75:$M$98,MATCH(MAX(IF((COV!$K$75:$K$98="INT")*(COUNTIF(COV!$M$9:$M$24,COV!$M$75:$M$98)&gt;0),COV!$L$75:$L$98)),IF((COV!$K$75:$K$98="INT")*(COUNTIF(COV!$M$9:$M$24,COV!$M$75:$M$98)&gt;0),COV!$L$75:$L$98),0)),COV!$M$9:$M$24,0)),"")</f>
        <v/>
      </c>
    </row>
    <row r="7" spans="1:65">
      <c r="B7" s="1409" t="s">
        <v>947</v>
      </c>
      <c r="C7" s="1525">
        <f>COV!E8</f>
        <v>0</v>
      </c>
      <c r="E7" s="1409"/>
      <c r="F7" s="1710"/>
      <c r="J7" s="1698" t="s">
        <v>3967</v>
      </c>
      <c r="K7" s="1699"/>
      <c r="L7" s="1699"/>
      <c r="M7" s="1699"/>
      <c r="N7" s="1699"/>
      <c r="O7" s="1699"/>
      <c r="P7" s="1699"/>
      <c r="Q7" s="1699"/>
      <c r="R7" s="1699"/>
      <c r="S7" s="1699"/>
      <c r="T7" s="1699"/>
      <c r="U7" s="1699"/>
      <c r="V7" s="1699"/>
      <c r="W7" s="1699"/>
      <c r="X7" s="1699"/>
      <c r="Y7" s="1699"/>
      <c r="Z7" s="1699"/>
      <c r="AA7" s="1699"/>
      <c r="AB7" s="1699"/>
      <c r="AC7" s="1699"/>
      <c r="AD7" s="1699"/>
      <c r="AE7" s="1699"/>
      <c r="AG7" s="1699"/>
      <c r="AH7" s="1699"/>
      <c r="AI7" s="1699"/>
      <c r="AJ7" s="1699"/>
      <c r="AK7" s="1699"/>
      <c r="AL7" s="1699"/>
      <c r="AM7" s="1699"/>
      <c r="AN7" s="1699"/>
      <c r="AO7" s="1699"/>
      <c r="AP7" s="1699"/>
      <c r="AQ7" s="1699"/>
      <c r="AR7" s="1699"/>
      <c r="AS7" s="1699"/>
      <c r="AT7" s="1700">
        <f>SUM('Level D Scoring'!E179:E181)</f>
        <v>0</v>
      </c>
    </row>
    <row r="8" spans="1:65">
      <c r="B8" s="1409" t="s">
        <v>948</v>
      </c>
      <c r="C8" s="1524" t="str">
        <f>COV!E9</f>
        <v>Erstzertifizierung</v>
      </c>
      <c r="E8" s="1409"/>
      <c r="F8" s="1709"/>
      <c r="J8" s="1698" t="s">
        <v>3968</v>
      </c>
      <c r="K8" s="1701"/>
      <c r="L8" s="1701"/>
      <c r="M8" s="1701"/>
      <c r="N8" s="1701"/>
      <c r="O8" s="1701"/>
      <c r="P8" s="1701"/>
      <c r="Q8" s="1701"/>
      <c r="R8" s="1701"/>
      <c r="S8" s="1701"/>
      <c r="T8" s="1701"/>
      <c r="U8" s="1701"/>
      <c r="V8" s="1701"/>
      <c r="W8" s="1701"/>
      <c r="X8" s="1701"/>
      <c r="Y8" s="1701"/>
      <c r="Z8" s="1701"/>
      <c r="AA8" s="1701"/>
      <c r="AB8" s="1701"/>
      <c r="AC8" s="1701"/>
      <c r="AD8" s="1701"/>
      <c r="AE8" s="1701"/>
      <c r="AF8" s="1700">
        <f>SUM('Level D Scoring'!G179:G181)</f>
        <v>0</v>
      </c>
      <c r="AG8" s="1701"/>
      <c r="AH8" s="1701"/>
      <c r="AI8" s="1701"/>
      <c r="AJ8" s="1701"/>
      <c r="AK8" s="1701"/>
      <c r="AL8" s="1701"/>
      <c r="AM8" s="1701"/>
      <c r="AN8" s="1701"/>
      <c r="AO8" s="1701"/>
      <c r="AP8" s="1701"/>
      <c r="AQ8" s="1701"/>
      <c r="AR8" s="1701"/>
      <c r="AS8" s="1687" t="str">
        <f t="array" ref="AS8">IFERROR(IF(MAX(IF((COV!$K$75:$K$98="WTP2")*(COUNTIF(COV!$M$9:$M$24,COV!$M$75:$M$98)&gt;0),COV!$L$75:$L$98))&gt;0,MAX(IF((COV!$K$75:$K$98="WTP2")*(COUNTIF(COV!$M$9:$M$24,COV!$M$75:$M$98)&gt;0),COV!$L$75:$L$98)),""),"")</f>
        <v/>
      </c>
      <c r="AT8" s="1702">
        <f>SUM('Level D Scoring'!G179:G181)</f>
        <v>0</v>
      </c>
      <c r="AU8" s="1688" t="str">
        <f t="array" ref="AU8">IFERROR(INDEX(COV!$N$9:$N$24,MATCH(INDEX(COV!$M$75:$M$98,MATCH(MAX(IF((COV!$K$75:$K$98="WTP2")*(COUNTIF(COV!$M$9:$M$24,COV!$M$75:$M$98)&gt;0),COV!$L$75:$L$98)),IF((COV!$K$75:$K$98="WTP2")*(COUNTIF(COV!$M$9:$M$24,COV!$M$75:$M$98)&gt;0),COV!$L$75:$L$98),0)),COV!$M$9:$M$24,0)),"")</f>
        <v/>
      </c>
      <c r="AV8" s="1688" t="str">
        <f t="array" ref="AV8">IFERROR(INDEX(COV!$J$9:$J$24,MATCH(INDEX(COV!$M$75:$M$98,MATCH(MAX(IF((COV!$K$75:$K$98="WTP2")*(COUNTIF(COV!$M$9:$M$24,COV!$M$75:$M$98)&gt;0),COV!$L$75:$L$98)),IF((COV!$K$75:$K$98="WTP2")*(COUNTIF(COV!$M$9:$M$24,COV!$M$75:$M$98)&gt;0),COV!$L$75:$L$98),0)),COV!$M$9:$M$24,0)),"")</f>
        <v/>
      </c>
      <c r="AW8" s="1689"/>
      <c r="AX8" s="1690" t="str">
        <f t="array" ref="AX8">IFERROR(INDEX(COV!$L$9:$L$24,MATCH(INDEX(COV!$M$75:$M$98,MATCH(MAX(IF((COV!$K$75:$K$98="WTP2")*(COUNTIF(COV!$M$9:$M$24,COV!$M$75:$M$98)&gt;0),COV!$L$75:$L$98)),IF((COV!$K$75:$K$98="WTP2")*(COUNTIF(COV!$M$9:$M$24,COV!$M$75:$M$98)&gt;0),COV!$L$75:$L$98),0)),COV!$M$9:$M$24,0)),"")</f>
        <v/>
      </c>
    </row>
    <row r="9" spans="1:65">
      <c r="B9" s="1409" t="s">
        <v>949</v>
      </c>
      <c r="C9" s="1525">
        <f>COV!E10</f>
        <v>0</v>
      </c>
      <c r="E9" s="1409"/>
      <c r="F9" s="1710"/>
      <c r="J9" s="1698" t="s">
        <v>4115</v>
      </c>
      <c r="AS9" s="1687" t="str">
        <f t="array" ref="AS9">IFERROR(IF(MAX(IF((COV!$K$75:$K$98="WTP2")*(COUNTIF(COV!$M$9:$M$24,COV!$M$75:$M$98)&gt;0),COV!$L$75:$L$98))&gt;0,MAX(IF((COV!$K$75:$K$98="WTP2")*(COUNTIF(COV!$M$9:$M$24,COV!$M$75:$M$98)&gt;0),COV!$L$75:$L$98)),""),"")</f>
        <v/>
      </c>
      <c r="AT9" s="1702">
        <f>SUM('Level D Scoring'!G179:G181)</f>
        <v>0</v>
      </c>
      <c r="AU9" s="1688" t="str">
        <f t="array" ref="AU9">IFERROR(INDEX(COV!$N$9:$N$24,MATCH(INDEX(COV!$M$75:$M$98,MATCH(MAX(IF((COV!$K$75:$K$98="WTP2")*(COUNTIF(COV!$M$9:$M$24,COV!$M$75:$M$98)&gt;0),COV!$L$75:$L$98)),IF((COV!$K$75:$K$98="WTP2")*(COUNTIF(COV!$M$9:$M$24,COV!$M$75:$M$98)&gt;0),COV!$L$75:$L$98),0)),COV!$M$9:$M$24,0)),"")</f>
        <v/>
      </c>
      <c r="AV9" s="1688" t="str">
        <f t="array" ref="AV9">IFERROR(INDEX(COV!$J$9:$J$24,MATCH(INDEX(COV!$M$75:$M$98,MATCH(MAX(IF((COV!$K$75:$K$98="WTP2")*(COUNTIF(COV!$M$9:$M$24,COV!$M$75:$M$98)&gt;0),COV!$L$75:$L$98)),IF((COV!$K$75:$K$98="WTP2")*(COUNTIF(COV!$M$9:$M$24,COV!$M$75:$M$98)&gt;0),COV!$L$75:$L$98),0)),COV!$M$9:$M$24,0)),"")</f>
        <v/>
      </c>
      <c r="AW9" s="1689"/>
      <c r="AX9" s="1690" t="str">
        <f t="array" ref="AX9">IFERROR(INDEX(COV!$L$9:$L$24,MATCH(INDEX(COV!$M$75:$M$98,MATCH(MAX(IF((COV!$K$75:$K$98="WTP2")*(COUNTIF(COV!$M$9:$M$24,COV!$M$75:$M$98)&gt;0),COV!$L$75:$L$98)),IF((COV!$K$75:$K$98="WTP2")*(COUNTIF(COV!$M$9:$M$24,COV!$M$75:$M$98)&gt;0),COV!$L$75:$L$98),0)),COV!$M$9:$M$24,0)),"")</f>
        <v/>
      </c>
      <c r="BH9" s="1687" t="str">
        <f t="array" ref="BH9">IFERROR(IF(MAX(IF((COV!$K$75:$K$98="INT")*(COUNTIF(COV!$M$9:$M$24,COV!$M$75:$M$98)&gt;0),COV!$L$75:$L$98))&gt;0,MAX(IF((COV!$K$75:$K$98="CSW")*(COUNTIF(COV!$M$9:$M$24,COV!$M$75:$M$98)&gt;0),COV!$L$75:$L$98)),""),"")</f>
        <v/>
      </c>
      <c r="BI9" s="1691"/>
      <c r="BJ9" s="1692" t="str">
        <f t="array" ref="BJ9">IFERROR(INDEX(COV!$N$9:$N$24,MATCH(INDEX(COV!$M$75:$M$98,MATCH(MAX(IF((COV!$K$75:$K$98="INT")*(COUNTIF(COV!$M$9:$M$24,COV!$M$75:$M$98)&gt;0),COV!$L$75:$L$98)),IF((COV!$K$75:$K$98="INT")*(COUNTIF(COV!$M$9:$M$24,COV!$M$75:$M$98)&gt;0),COV!$L$75:$L$98),0)),COV!$M$9:$M$24,0)),"")</f>
        <v/>
      </c>
      <c r="BK9" s="1692" t="str">
        <f t="array" ref="BK9">IFERROR(INDEX(COV!$J$9:$J$24,MATCH(INDEX(COV!$M$75:$M$98,MATCH(MAX(IF((COV!$K$75:$K$98="INT")*(COUNTIF(COV!$M$9:$M$24,COV!$M$75:$M$98)&gt;0),COV!$L$75:$L$98)),IF((COV!$K$75:$K$98="INT")*(COUNTIF(COV!$M$9:$M$24,COV!$M$75:$M$98)&gt;0),COV!$L$75:$L$98),0)),COV!$M$9:$M$24,0)),"")</f>
        <v/>
      </c>
      <c r="BL9" s="1689"/>
      <c r="BM9" s="1690" t="str">
        <f t="array" ref="BM9">IFERROR(INDEX(COV!$L$9:$L$24,MATCH(INDEX(COV!$M$75:$M$98,MATCH(MAX(IF((COV!$K$75:$K$98="INT")*(COUNTIF(COV!$M$9:$M$24,COV!$M$75:$M$98)&gt;0),COV!$L$75:$L$98)),IF((COV!$K$75:$K$98="INT")*(COUNTIF(COV!$M$9:$M$24,COV!$M$75:$M$98)&gt;0),COV!$L$75:$L$98),0)),COV!$M$9:$M$24,0)),"")</f>
        <v/>
      </c>
    </row>
    <row r="10" spans="1:65">
      <c r="B10" s="1409" t="s">
        <v>950</v>
      </c>
      <c r="C10" s="1525">
        <f>COV!E11</f>
        <v>0</v>
      </c>
      <c r="E10" s="1409"/>
      <c r="F10" s="1710"/>
    </row>
    <row r="11" spans="1:65">
      <c r="B11" s="1409" t="s">
        <v>951</v>
      </c>
      <c r="C11" s="1525" t="str">
        <f>COV!E12</f>
        <v/>
      </c>
      <c r="E11" s="1409"/>
      <c r="F11" s="1710"/>
    </row>
    <row r="12" spans="1:65">
      <c r="B12" s="1409" t="s">
        <v>952</v>
      </c>
      <c r="C12" s="1525" t="str">
        <f>COV!E13</f>
        <v/>
      </c>
      <c r="E12" s="1409"/>
      <c r="F12" s="1710"/>
    </row>
    <row r="13" spans="1:65">
      <c r="B13" s="1409" t="s">
        <v>606</v>
      </c>
      <c r="C13" s="1524"/>
      <c r="E13" s="1409" t="s">
        <v>3712</v>
      </c>
      <c r="F13" s="1709"/>
    </row>
    <row r="14" spans="1:65">
      <c r="B14" s="1409"/>
      <c r="C14" s="1524"/>
      <c r="E14" s="1409"/>
      <c r="F14" s="1709"/>
    </row>
    <row r="15" spans="1:65">
      <c r="B15" s="1409" t="s">
        <v>715</v>
      </c>
      <c r="C15" s="1524" t="str">
        <f>COV!E16</f>
        <v>A</v>
      </c>
      <c r="E15" s="1409"/>
      <c r="F15" s="1709"/>
    </row>
    <row r="16" spans="1:65">
      <c r="B16" s="1409" t="s">
        <v>967</v>
      </c>
      <c r="C16" s="1524" t="str">
        <f>COV!E17</f>
        <v>Projekt</v>
      </c>
      <c r="E16" s="1409"/>
      <c r="F16" s="1709"/>
    </row>
    <row r="17" spans="2:8">
      <c r="B17" s="1409" t="s">
        <v>2307</v>
      </c>
      <c r="C17" s="1524" t="str">
        <f>COV!E18</f>
        <v>Standard</v>
      </c>
      <c r="E17" s="1409"/>
      <c r="F17" s="1709"/>
    </row>
    <row r="21" spans="2:8">
      <c r="B21" s="1409"/>
      <c r="C21" s="1409" t="str">
        <f>COV!J8</f>
        <v>Lead Assessor:</v>
      </c>
      <c r="D21" s="1409" t="str">
        <f>COV!K8</f>
        <v>Co Assessor:</v>
      </c>
      <c r="E21" s="1409" t="str">
        <f>COV!L8</f>
        <v>Datum:</v>
      </c>
      <c r="F21" s="1409" t="str">
        <f>COV!M8</f>
        <v>Prozessschritt:</v>
      </c>
      <c r="G21" s="1409" t="str">
        <f>COV!N8</f>
        <v>Ergebnis:</v>
      </c>
      <c r="H21" s="1409" t="str">
        <f>COV!O8</f>
        <v>Zert. Nummer:</v>
      </c>
    </row>
    <row r="22" spans="2:8">
      <c r="B22" s="1409">
        <v>1</v>
      </c>
      <c r="C22" s="1409" t="str">
        <f>IF(COV!J9="","",COV!J9)</f>
        <v/>
      </c>
      <c r="D22" s="1409" t="str">
        <f>IF(COV!K9="","",COV!K9)</f>
        <v/>
      </c>
      <c r="E22" s="1410" t="str">
        <f>IF(COV!L9="","",COV!L9)</f>
        <v/>
      </c>
      <c r="F22" s="1409" t="str">
        <f>IF(COV!M9="","",COV!M9)</f>
        <v/>
      </c>
      <c r="G22" s="1409" t="str">
        <f>IF(COV!N9="","",COV!N9)</f>
        <v/>
      </c>
      <c r="H22" s="1409" t="str">
        <f>IF(COV!O9="","",COV!O9)</f>
        <v/>
      </c>
    </row>
    <row r="23" spans="2:8">
      <c r="B23" s="1409">
        <v>2</v>
      </c>
      <c r="C23" s="1409" t="str">
        <f>IF(COV!J10="","",COV!J10)</f>
        <v/>
      </c>
      <c r="D23" s="1409" t="str">
        <f>IF(COV!K10="","",COV!K10)</f>
        <v/>
      </c>
      <c r="E23" s="1410" t="str">
        <f>IF(COV!L10="","",COV!L10)</f>
        <v/>
      </c>
      <c r="F23" s="1409" t="str">
        <f>IF(COV!M10="","",COV!M10)</f>
        <v/>
      </c>
      <c r="G23" s="1409" t="str">
        <f>IF(COV!N10="","",COV!N10)</f>
        <v/>
      </c>
      <c r="H23" s="1409" t="str">
        <f>IF(COV!O10="","",COV!O10)</f>
        <v/>
      </c>
    </row>
    <row r="24" spans="2:8">
      <c r="B24" s="1409">
        <v>3</v>
      </c>
      <c r="C24" s="1409" t="str">
        <f>IF(COV!J11="","",COV!J11)</f>
        <v/>
      </c>
      <c r="D24" s="1409" t="str">
        <f>IF(COV!K11="","",COV!K11)</f>
        <v/>
      </c>
      <c r="E24" s="1410" t="str">
        <f>IF(COV!L11="","",COV!L11)</f>
        <v/>
      </c>
      <c r="F24" s="1409" t="str">
        <f>IF(COV!M11="","",COV!M11)</f>
        <v/>
      </c>
      <c r="G24" s="1409" t="str">
        <f>IF(COV!N11="","",COV!N11)</f>
        <v/>
      </c>
      <c r="H24" s="1409" t="str">
        <f>IF(COV!O11="","",COV!O11)</f>
        <v/>
      </c>
    </row>
    <row r="25" spans="2:8">
      <c r="B25" s="1409">
        <v>4</v>
      </c>
      <c r="C25" s="1409" t="str">
        <f>IF(COV!J12="","",COV!J12)</f>
        <v/>
      </c>
      <c r="D25" s="1409" t="str">
        <f>IF(COV!K12="","",COV!K12)</f>
        <v/>
      </c>
      <c r="E25" s="1410" t="str">
        <f>IF(COV!L12="","",COV!L12)</f>
        <v/>
      </c>
      <c r="F25" s="1409" t="str">
        <f>IF(COV!M12="","",COV!M12)</f>
        <v/>
      </c>
      <c r="G25" s="1409" t="str">
        <f>IF(COV!N12="","",COV!N12)</f>
        <v/>
      </c>
      <c r="H25" s="1409" t="str">
        <f>IF(COV!O12="","",COV!O12)</f>
        <v/>
      </c>
    </row>
    <row r="26" spans="2:8">
      <c r="B26" s="1409">
        <v>5</v>
      </c>
      <c r="C26" s="1409" t="str">
        <f>IF(COV!J13="","",COV!J13)</f>
        <v/>
      </c>
      <c r="D26" s="1409" t="str">
        <f>IF(COV!K13="","",COV!K13)</f>
        <v/>
      </c>
      <c r="E26" s="1410" t="str">
        <f>IF(COV!L13="","",COV!L13)</f>
        <v/>
      </c>
      <c r="F26" s="1409" t="str">
        <f>IF(COV!M13="","",COV!M13)</f>
        <v/>
      </c>
      <c r="G26" s="1409" t="str">
        <f>IF(COV!N13="","",COV!N13)</f>
        <v/>
      </c>
      <c r="H26" s="1409" t="str">
        <f>IF(COV!O13="","",COV!O13)</f>
        <v/>
      </c>
    </row>
    <row r="27" spans="2:8">
      <c r="B27" s="1409">
        <v>6</v>
      </c>
      <c r="C27" s="1409" t="str">
        <f>IF(COV!J14="","",COV!J14)</f>
        <v/>
      </c>
      <c r="D27" s="1409" t="str">
        <f>IF(COV!K14="","",COV!K14)</f>
        <v/>
      </c>
      <c r="E27" s="1410" t="str">
        <f>IF(COV!L14="","",COV!L14)</f>
        <v/>
      </c>
      <c r="F27" s="1409" t="str">
        <f>IF(COV!M14="","",COV!M14)</f>
        <v/>
      </c>
      <c r="G27" s="1409" t="str">
        <f>IF(COV!N14="","",COV!N14)</f>
        <v/>
      </c>
      <c r="H27" s="1409" t="str">
        <f>IF(COV!O14="","",COV!O14)</f>
        <v/>
      </c>
    </row>
    <row r="28" spans="2:8">
      <c r="B28" s="1409">
        <v>7</v>
      </c>
      <c r="C28" s="1409" t="str">
        <f>IF(COV!J15="","",COV!J15)</f>
        <v/>
      </c>
      <c r="D28" s="1409" t="str">
        <f>IF(COV!K15="","",COV!K15)</f>
        <v/>
      </c>
      <c r="E28" s="1410" t="str">
        <f>IF(COV!L15="","",COV!L15)</f>
        <v/>
      </c>
      <c r="F28" s="1409" t="str">
        <f>IF(COV!M15="","",COV!M15)</f>
        <v/>
      </c>
      <c r="G28" s="1409" t="str">
        <f>IF(COV!N15="","",COV!N15)</f>
        <v/>
      </c>
      <c r="H28" s="1409" t="str">
        <f>IF(COV!O15="","",COV!O15)</f>
        <v/>
      </c>
    </row>
    <row r="29" spans="2:8">
      <c r="B29" s="1409">
        <v>8</v>
      </c>
      <c r="C29" s="1409" t="str">
        <f>IF(COV!J16="","",COV!J16)</f>
        <v/>
      </c>
      <c r="D29" s="1409" t="str">
        <f>IF(COV!K16="","",COV!K16)</f>
        <v/>
      </c>
      <c r="E29" s="1410" t="str">
        <f>IF(COV!L16="","",COV!L16)</f>
        <v/>
      </c>
      <c r="F29" s="1409" t="str">
        <f>IF(COV!M16="","",COV!M16)</f>
        <v/>
      </c>
      <c r="G29" s="1409" t="str">
        <f>IF(COV!N16="","",COV!N16)</f>
        <v/>
      </c>
      <c r="H29" s="1409" t="str">
        <f>IF(COV!O16="","",COV!O16)</f>
        <v/>
      </c>
    </row>
    <row r="30" spans="2:8">
      <c r="B30" s="1409">
        <v>9</v>
      </c>
      <c r="C30" s="1409" t="str">
        <f>IF(COV!J17="","",COV!J17)</f>
        <v/>
      </c>
      <c r="D30" s="1409" t="str">
        <f>IF(COV!K17="","",COV!K17)</f>
        <v/>
      </c>
      <c r="E30" s="1410" t="str">
        <f>IF(COV!L17="","",COV!L17)</f>
        <v/>
      </c>
      <c r="F30" s="1409" t="str">
        <f>IF(COV!M17="","",COV!M17)</f>
        <v/>
      </c>
      <c r="G30" s="1409" t="str">
        <f>IF(COV!N17="","",COV!N17)</f>
        <v/>
      </c>
      <c r="H30" s="1409" t="str">
        <f>IF(COV!O17="","",COV!O17)</f>
        <v/>
      </c>
    </row>
    <row r="31" spans="2:8">
      <c r="B31" s="1409">
        <v>10</v>
      </c>
      <c r="C31" s="1409" t="str">
        <f>IF(COV!J18="","",COV!J18)</f>
        <v/>
      </c>
      <c r="D31" s="1409" t="str">
        <f>IF(COV!K18="","",COV!K18)</f>
        <v/>
      </c>
      <c r="E31" s="1410" t="str">
        <f>IF(COV!L18="","",COV!L18)</f>
        <v/>
      </c>
      <c r="F31" s="1409" t="str">
        <f>IF(COV!M18="","",COV!M18)</f>
        <v/>
      </c>
      <c r="G31" s="1409" t="str">
        <f>IF(COV!N18="","",COV!N18)</f>
        <v/>
      </c>
      <c r="H31" s="1409" t="str">
        <f>IF(COV!O18="","",COV!O18)</f>
        <v/>
      </c>
    </row>
    <row r="32" spans="2:8">
      <c r="B32" s="1409">
        <v>11</v>
      </c>
      <c r="C32" s="1409" t="str">
        <f>IF(COV!J19="","",COV!J19)</f>
        <v/>
      </c>
      <c r="D32" s="1409" t="str">
        <f>IF(COV!K19="","",COV!K19)</f>
        <v/>
      </c>
      <c r="E32" s="1410" t="str">
        <f>IF(COV!L19="","",COV!L19)</f>
        <v/>
      </c>
      <c r="F32" s="1409" t="str">
        <f>IF(COV!M19="","",COV!M19)</f>
        <v/>
      </c>
      <c r="G32" s="1409" t="str">
        <f>IF(COV!N19="","",COV!N19)</f>
        <v/>
      </c>
      <c r="H32" s="1409" t="str">
        <f>IF(COV!O19="","",COV!O19)</f>
        <v/>
      </c>
    </row>
    <row r="33" spans="2:8">
      <c r="B33" s="1409">
        <v>12</v>
      </c>
      <c r="C33" s="1409" t="str">
        <f>IF(COV!J20="","",COV!J20)</f>
        <v/>
      </c>
      <c r="D33" s="1409" t="str">
        <f>IF(COV!K20="","",COV!K20)</f>
        <v/>
      </c>
      <c r="E33" s="1410" t="str">
        <f>IF(COV!L20="","",COV!L20)</f>
        <v/>
      </c>
      <c r="F33" s="1409" t="str">
        <f>IF(COV!M20="","",COV!M20)</f>
        <v/>
      </c>
      <c r="G33" s="1409" t="str">
        <f>IF(COV!N20="","",COV!N20)</f>
        <v/>
      </c>
      <c r="H33" s="1409" t="str">
        <f>IF(COV!O20="","",COV!O20)</f>
        <v/>
      </c>
    </row>
    <row r="34" spans="2:8">
      <c r="B34" s="1409">
        <v>13</v>
      </c>
      <c r="C34" s="1409" t="str">
        <f>IF(COV!J21="","",COV!J21)</f>
        <v/>
      </c>
      <c r="D34" s="1409" t="str">
        <f>IF(COV!K21="","",COV!K21)</f>
        <v/>
      </c>
      <c r="E34" s="1410" t="str">
        <f>IF(COV!L21="","",COV!L21)</f>
        <v/>
      </c>
      <c r="F34" s="1409" t="str">
        <f>IF(COV!M21="","",COV!M21)</f>
        <v/>
      </c>
      <c r="G34" s="1409" t="str">
        <f>IF(COV!N21="","",COV!N21)</f>
        <v/>
      </c>
      <c r="H34" s="1409" t="str">
        <f>IF(COV!O21="","",COV!O21)</f>
        <v/>
      </c>
    </row>
    <row r="35" spans="2:8">
      <c r="B35" s="1409">
        <v>14</v>
      </c>
      <c r="C35" s="1409" t="str">
        <f>IF(COV!J22="","",COV!J22)</f>
        <v/>
      </c>
      <c r="D35" s="1409" t="str">
        <f>IF(COV!K22="","",COV!K22)</f>
        <v/>
      </c>
      <c r="E35" s="1410" t="str">
        <f>IF(COV!L22="","",COV!L22)</f>
        <v/>
      </c>
      <c r="F35" s="1409" t="str">
        <f>IF(COV!M22="","",COV!M22)</f>
        <v/>
      </c>
      <c r="G35" s="1409" t="str">
        <f>IF(COV!N22="","",COV!N22)</f>
        <v/>
      </c>
      <c r="H35" s="1409" t="str">
        <f>IF(COV!O22="","",COV!O22)</f>
        <v/>
      </c>
    </row>
    <row r="36" spans="2:8">
      <c r="B36" s="1409">
        <v>15</v>
      </c>
      <c r="C36" s="1409" t="str">
        <f>IF(COV!J23="","",COV!J23)</f>
        <v/>
      </c>
      <c r="D36" s="1409" t="str">
        <f>IF(COV!K23="","",COV!K23)</f>
        <v/>
      </c>
      <c r="E36" s="1410" t="str">
        <f>IF(COV!L23="","",COV!L23)</f>
        <v/>
      </c>
      <c r="F36" s="1409" t="str">
        <f>IF(COV!M23="","",COV!M23)</f>
        <v/>
      </c>
      <c r="G36" s="1409" t="str">
        <f>IF(COV!N23="","",COV!N23)</f>
        <v/>
      </c>
      <c r="H36" s="1409" t="str">
        <f>IF(COV!O23="","",COV!O23)</f>
        <v/>
      </c>
    </row>
    <row r="37" spans="2:8">
      <c r="B37" s="1409">
        <v>16</v>
      </c>
      <c r="C37" s="1409" t="str">
        <f>IF(COV!J24="","",COV!J24)</f>
        <v/>
      </c>
      <c r="D37" s="1409" t="str">
        <f>IF(COV!K24="","",COV!K24)</f>
        <v/>
      </c>
      <c r="E37" s="1410" t="str">
        <f>IF(COV!L24="","",COV!L24)</f>
        <v/>
      </c>
      <c r="F37" s="1409" t="str">
        <f>IF(COV!M24="","",COV!M24)</f>
        <v/>
      </c>
      <c r="G37" s="1409" t="str">
        <f>IF(COV!N24="","",COV!N24)</f>
        <v/>
      </c>
      <c r="H37" s="1409" t="str">
        <f>IF(COV!O24="","",COV!O24)</f>
        <v/>
      </c>
    </row>
    <row r="40" spans="2:8">
      <c r="B40" s="1409" t="s">
        <v>3474</v>
      </c>
      <c r="C40" s="1409"/>
      <c r="D40" s="1409"/>
      <c r="E40" s="1409"/>
      <c r="F40" s="1409"/>
      <c r="G40" s="1409"/>
    </row>
    <row r="41" spans="2:8">
      <c r="B41" s="1409" t="s">
        <v>3440</v>
      </c>
      <c r="C41" s="1409" t="s">
        <v>3442</v>
      </c>
      <c r="D41" s="1409" t="s">
        <v>3444</v>
      </c>
      <c r="E41" s="1409" t="s">
        <v>289</v>
      </c>
      <c r="F41" s="1409" t="s">
        <v>3480</v>
      </c>
      <c r="G41" s="1409" t="s">
        <v>290</v>
      </c>
    </row>
    <row r="42" spans="2:8">
      <c r="B42" s="1410" t="str">
        <f>COV!J106</f>
        <v/>
      </c>
      <c r="C42" s="1410" t="str">
        <f>COV!K106</f>
        <v/>
      </c>
      <c r="D42" s="1410" t="str">
        <f>COV!L106</f>
        <v>Zert. Nummer:</v>
      </c>
      <c r="E42" s="1410" t="str">
        <f>COV!M106</f>
        <v>Lead Assessor:</v>
      </c>
      <c r="F42" s="1410" t="str">
        <f>COV!N106</f>
        <v>Ergebnis:</v>
      </c>
      <c r="G42" s="1410" t="str">
        <f>COV!O106</f>
        <v>Co Assessor:</v>
      </c>
    </row>
  </sheetData>
  <sheetProtection algorithmName="SHA-512" hashValue="vlD2+jJH/8Rydhzy1nclJjcIUpneSj+iukBGPFliFRVTLtuTRamSiU6Ju3TySkdAfkfwbjfpfCPCVUjn5WXmSA==" saltValue="XxlTeoCxhm9DR1OBnv8XSQ==" spinCount="100000" sheet="1" objects="1" scenarios="1" selectLockedCells="1"/>
  <mergeCells count="14">
    <mergeCell ref="B2:M2"/>
    <mergeCell ref="K4:R4"/>
    <mergeCell ref="BH4:BM4"/>
    <mergeCell ref="Y4:AC4"/>
    <mergeCell ref="AE4:AJ4"/>
    <mergeCell ref="AS4:AX4"/>
    <mergeCell ref="AZ4:BF4"/>
    <mergeCell ref="AL4:AQ4"/>
    <mergeCell ref="BH3:BM3"/>
    <mergeCell ref="Y3:AC3"/>
    <mergeCell ref="AE3:AJ3"/>
    <mergeCell ref="AL3:AQ3"/>
    <mergeCell ref="AS3:AX3"/>
    <mergeCell ref="AZ3:BF3"/>
  </mergeCells>
  <pageMargins left="0.7" right="0.7" top="0.75" bottom="0.75" header="0.3" footer="0.3"/>
  <legacy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B5C43-8917-4102-A959-F8F6B0C54D99}">
  <sheetPr codeName="Support_Sheet93"/>
  <dimension ref="A1:G122"/>
  <sheetViews>
    <sheetView workbookViewId="0">
      <selection activeCell="E105" sqref="E105"/>
    </sheetView>
  </sheetViews>
  <sheetFormatPr baseColWidth="10" defaultColWidth="9.1640625" defaultRowHeight="15"/>
  <cols>
    <col min="1" max="1" width="9.1640625" style="89"/>
    <col min="2" max="2" width="7.1640625" style="89" customWidth="1"/>
    <col min="3" max="3" width="30.5" style="89" bestFit="1" customWidth="1"/>
    <col min="4" max="4" width="9.1640625" style="89"/>
    <col min="5" max="6" width="30.5" style="89" bestFit="1" customWidth="1"/>
    <col min="7" max="7" width="35" style="89" customWidth="1"/>
    <col min="8" max="16384" width="9.1640625" style="89"/>
  </cols>
  <sheetData>
    <row r="1" spans="1:7">
      <c r="A1" s="89" t="s">
        <v>3709</v>
      </c>
    </row>
    <row r="4" spans="1:7">
      <c r="C4" s="1834" t="s">
        <v>4140</v>
      </c>
      <c r="D4" s="89" t="b" cm="1">
        <f t="array" ref="D4">IFERROR(MacrosOK(),FALSE)</f>
        <v>0</v>
      </c>
    </row>
    <row r="6" spans="1:7">
      <c r="B6" s="2550" t="s">
        <v>3626</v>
      </c>
      <c r="C6" s="2550"/>
      <c r="E6" s="1497" t="s">
        <v>3688</v>
      </c>
      <c r="F6" s="1498" t="s">
        <v>3690</v>
      </c>
      <c r="G6" s="1498" t="s">
        <v>3691</v>
      </c>
    </row>
    <row r="7" spans="1:7">
      <c r="B7" s="89">
        <v>1</v>
      </c>
      <c r="E7" s="1499" t="s">
        <v>3627</v>
      </c>
      <c r="F7" s="1500" t="str" cm="1">
        <f t="array" aca="1" ref="F7" ca="1">IF(ISERROR(INDIRECT("'"&amp;E7&amp;"'!A1")),"X","")</f>
        <v/>
      </c>
      <c r="G7" s="1500" t="str">
        <f ca="1">IF(ISREF(INDIRECT("'"&amp;E7&amp;"'"&amp;"!A1")),"","X")</f>
        <v/>
      </c>
    </row>
    <row r="8" spans="1:7">
      <c r="B8" s="89">
        <v>2</v>
      </c>
      <c r="E8" s="1499" t="s">
        <v>2864</v>
      </c>
      <c r="F8" s="1500" t="str" cm="1">
        <f t="array" aca="1" ref="F8" ca="1">IF(ISERROR(INDIRECT("'"&amp;E8&amp;"'!A1")),"X","")</f>
        <v/>
      </c>
      <c r="G8" s="1500" t="str">
        <f t="shared" ref="G8:G71" ca="1" si="0">IF(ISREF(INDIRECT("'"&amp;E8&amp;"'"&amp;"!A1")),"","X")</f>
        <v/>
      </c>
    </row>
    <row r="9" spans="1:7">
      <c r="B9" s="89">
        <v>3</v>
      </c>
      <c r="E9" s="1499" t="s">
        <v>1159</v>
      </c>
      <c r="F9" s="1500" t="str" cm="1">
        <f t="array" aca="1" ref="F9" ca="1">IF(ISERROR(INDIRECT("'"&amp;E9&amp;"'!A1")),"X","")</f>
        <v/>
      </c>
      <c r="G9" s="1500" t="str">
        <f t="shared" ca="1" si="0"/>
        <v/>
      </c>
    </row>
    <row r="10" spans="1:7">
      <c r="B10" s="89">
        <v>4</v>
      </c>
      <c r="E10" s="1499" t="s">
        <v>3352</v>
      </c>
      <c r="F10" s="1500" t="str" cm="1">
        <f t="array" aca="1" ref="F10" ca="1">IF(ISERROR(INDIRECT("'"&amp;E10&amp;"'!A1")),"X","")</f>
        <v/>
      </c>
      <c r="G10" s="1500" t="str">
        <f t="shared" ca="1" si="0"/>
        <v/>
      </c>
    </row>
    <row r="11" spans="1:7">
      <c r="B11" s="89">
        <v>5</v>
      </c>
      <c r="E11" s="1499" t="s">
        <v>3548</v>
      </c>
      <c r="F11" s="1500" t="str" cm="1">
        <f t="array" aca="1" ref="F11" ca="1">IF(ISERROR(INDIRECT("'"&amp;E11&amp;"'!A1")),"X","")</f>
        <v/>
      </c>
      <c r="G11" s="1500" t="str">
        <f t="shared" ca="1" si="0"/>
        <v/>
      </c>
    </row>
    <row r="12" spans="1:7">
      <c r="B12" s="89">
        <v>6</v>
      </c>
      <c r="E12" s="1499" t="s">
        <v>3549</v>
      </c>
      <c r="F12" s="1500" t="str" cm="1">
        <f t="array" aca="1" ref="F12" ca="1">IF(ISERROR(INDIRECT("'"&amp;E12&amp;"'!A1")),"X","")</f>
        <v/>
      </c>
      <c r="G12" s="1500" t="str">
        <f t="shared" ca="1" si="0"/>
        <v/>
      </c>
    </row>
    <row r="13" spans="1:7">
      <c r="B13" s="89">
        <v>7</v>
      </c>
      <c r="E13" s="1499" t="s">
        <v>3550</v>
      </c>
      <c r="F13" s="1500" t="str" cm="1">
        <f t="array" aca="1" ref="F13" ca="1">IF(ISERROR(INDIRECT("'"&amp;E13&amp;"'!A1")),"X","")</f>
        <v/>
      </c>
      <c r="G13" s="1500" t="str">
        <f t="shared" ca="1" si="0"/>
        <v/>
      </c>
    </row>
    <row r="14" spans="1:7">
      <c r="B14" s="89">
        <v>8</v>
      </c>
      <c r="E14" s="1499" t="s">
        <v>3551</v>
      </c>
      <c r="F14" s="1500" t="str" cm="1">
        <f t="array" aca="1" ref="F14" ca="1">IF(ISERROR(INDIRECT("'"&amp;E14&amp;"'!A1")),"X","")</f>
        <v/>
      </c>
      <c r="G14" s="1500" t="str">
        <f t="shared" ca="1" si="0"/>
        <v/>
      </c>
    </row>
    <row r="15" spans="1:7">
      <c r="B15" s="89">
        <v>9</v>
      </c>
      <c r="E15" s="1499" t="s">
        <v>3552</v>
      </c>
      <c r="F15" s="1500" t="str" cm="1">
        <f t="array" aca="1" ref="F15" ca="1">IF(ISERROR(INDIRECT("'"&amp;E15&amp;"'!A1")),"X","")</f>
        <v/>
      </c>
      <c r="G15" s="1500" t="str">
        <f t="shared" ca="1" si="0"/>
        <v/>
      </c>
    </row>
    <row r="16" spans="1:7">
      <c r="B16" s="89">
        <v>10</v>
      </c>
      <c r="E16" s="1499" t="s">
        <v>2079</v>
      </c>
      <c r="F16" s="1500" t="str" cm="1">
        <f t="array" aca="1" ref="F16" ca="1">IF(ISERROR(INDIRECT("'"&amp;E16&amp;"'!A1")),"X","")</f>
        <v/>
      </c>
      <c r="G16" s="1500" t="str">
        <f t="shared" ca="1" si="0"/>
        <v/>
      </c>
    </row>
    <row r="17" spans="2:7">
      <c r="B17" s="89">
        <v>11</v>
      </c>
      <c r="E17" s="1499" t="s">
        <v>3628</v>
      </c>
      <c r="F17" s="1500" t="str" cm="1">
        <f t="array" aca="1" ref="F17" ca="1">IF(ISERROR(INDIRECT("'"&amp;E17&amp;"'!A1")),"X","")</f>
        <v/>
      </c>
      <c r="G17" s="1500" t="str">
        <f t="shared" ca="1" si="0"/>
        <v/>
      </c>
    </row>
    <row r="18" spans="2:7">
      <c r="B18" s="89">
        <v>12</v>
      </c>
      <c r="E18" s="1499" t="s">
        <v>3629</v>
      </c>
      <c r="F18" s="1500" t="str" cm="1">
        <f t="array" aca="1" ref="F18" ca="1">IF(ISERROR(INDIRECT("'"&amp;E18&amp;"'!A1")),"X","")</f>
        <v/>
      </c>
      <c r="G18" s="1500" t="str">
        <f t="shared" ca="1" si="0"/>
        <v/>
      </c>
    </row>
    <row r="19" spans="2:7">
      <c r="B19" s="89">
        <v>13</v>
      </c>
      <c r="E19" s="1499" t="s">
        <v>2030</v>
      </c>
      <c r="F19" s="1500" t="str" cm="1">
        <f t="array" aca="1" ref="F19" ca="1">IF(ISERROR(INDIRECT("'"&amp;E19&amp;"'!A1")),"X","")</f>
        <v/>
      </c>
      <c r="G19" s="1500" t="str">
        <f t="shared" ca="1" si="0"/>
        <v/>
      </c>
    </row>
    <row r="20" spans="2:7">
      <c r="B20" s="89">
        <v>14</v>
      </c>
      <c r="E20" s="1499" t="s">
        <v>3630</v>
      </c>
      <c r="F20" s="1500" t="str" cm="1">
        <f t="array" aca="1" ref="F20" ca="1">IF(ISERROR(INDIRECT("'"&amp;E20&amp;"'!A1")),"X","")</f>
        <v/>
      </c>
      <c r="G20" s="1500" t="str">
        <f t="shared" ca="1" si="0"/>
        <v/>
      </c>
    </row>
    <row r="21" spans="2:7">
      <c r="B21" s="89">
        <v>15</v>
      </c>
      <c r="E21" s="1499" t="s">
        <v>3631</v>
      </c>
      <c r="F21" s="1500" t="str" cm="1">
        <f t="array" aca="1" ref="F21" ca="1">IF(ISERROR(INDIRECT("'"&amp;E21&amp;"'!A1")),"X","")</f>
        <v/>
      </c>
      <c r="G21" s="1500" t="str">
        <f t="shared" ca="1" si="0"/>
        <v/>
      </c>
    </row>
    <row r="22" spans="2:7">
      <c r="B22" s="89">
        <v>16</v>
      </c>
      <c r="E22" s="1499" t="s">
        <v>2033</v>
      </c>
      <c r="F22" s="1500" t="str" cm="1">
        <f t="array" aca="1" ref="F22" ca="1">IF(ISERROR(INDIRECT("'"&amp;E22&amp;"'!A1")),"X","")</f>
        <v/>
      </c>
      <c r="G22" s="1500" t="str">
        <f t="shared" ca="1" si="0"/>
        <v/>
      </c>
    </row>
    <row r="23" spans="2:7">
      <c r="B23" s="89">
        <v>17</v>
      </c>
      <c r="E23" s="1499" t="s">
        <v>3632</v>
      </c>
      <c r="F23" s="1500" t="str" cm="1">
        <f t="array" aca="1" ref="F23" ca="1">IF(ISERROR(INDIRECT("'"&amp;E23&amp;"'!A1")),"X","")</f>
        <v/>
      </c>
      <c r="G23" s="1500" t="str">
        <f t="shared" ca="1" si="0"/>
        <v/>
      </c>
    </row>
    <row r="24" spans="2:7">
      <c r="B24" s="89">
        <v>18</v>
      </c>
      <c r="E24" s="1499" t="s">
        <v>3633</v>
      </c>
      <c r="F24" s="1500" t="str" cm="1">
        <f t="array" aca="1" ref="F24" ca="1">IF(ISERROR(INDIRECT("'"&amp;E24&amp;"'!A1")),"X","")</f>
        <v/>
      </c>
      <c r="G24" s="1500" t="str">
        <f t="shared" ca="1" si="0"/>
        <v/>
      </c>
    </row>
    <row r="25" spans="2:7">
      <c r="B25" s="89">
        <v>19</v>
      </c>
      <c r="E25" s="1499" t="s">
        <v>2031</v>
      </c>
      <c r="F25" s="1500" t="str" cm="1">
        <f t="array" aca="1" ref="F25" ca="1">IF(ISERROR(INDIRECT("'"&amp;E25&amp;"'!A1")),"X","")</f>
        <v/>
      </c>
      <c r="G25" s="1500" t="str">
        <f t="shared" ca="1" si="0"/>
        <v/>
      </c>
    </row>
    <row r="26" spans="2:7">
      <c r="B26" s="89">
        <v>20</v>
      </c>
      <c r="E26" s="1499" t="s">
        <v>3634</v>
      </c>
      <c r="F26" s="1500" t="str" cm="1">
        <f t="array" aca="1" ref="F26" ca="1">IF(ISERROR(INDIRECT("'"&amp;E26&amp;"'!A1")),"X","")</f>
        <v/>
      </c>
      <c r="G26" s="1500" t="str">
        <f t="shared" ca="1" si="0"/>
        <v/>
      </c>
    </row>
    <row r="27" spans="2:7">
      <c r="B27" s="89">
        <v>21</v>
      </c>
      <c r="E27" s="1499" t="s">
        <v>3635</v>
      </c>
      <c r="F27" s="1500" t="str" cm="1">
        <f t="array" aca="1" ref="F27" ca="1">IF(ISERROR(INDIRECT("'"&amp;E27&amp;"'!A1")),"X","")</f>
        <v/>
      </c>
      <c r="G27" s="1500" t="str">
        <f t="shared" ca="1" si="0"/>
        <v/>
      </c>
    </row>
    <row r="28" spans="2:7">
      <c r="B28" s="89">
        <v>22</v>
      </c>
      <c r="E28" s="1499" t="s">
        <v>2090</v>
      </c>
      <c r="F28" s="1500" t="str" cm="1">
        <f t="array" aca="1" ref="F28" ca="1">IF(ISERROR(INDIRECT("'"&amp;E28&amp;"'!A1")),"X","")</f>
        <v/>
      </c>
      <c r="G28" s="1500" t="str">
        <f t="shared" ca="1" si="0"/>
        <v/>
      </c>
    </row>
    <row r="29" spans="2:7">
      <c r="B29" s="89">
        <v>23</v>
      </c>
      <c r="E29" s="1499" t="s">
        <v>3636</v>
      </c>
      <c r="F29" s="1500" t="str" cm="1">
        <f t="array" aca="1" ref="F29" ca="1">IF(ISERROR(INDIRECT("'"&amp;E29&amp;"'!A1")),"X","")</f>
        <v/>
      </c>
      <c r="G29" s="1500" t="str">
        <f t="shared" ca="1" si="0"/>
        <v/>
      </c>
    </row>
    <row r="30" spans="2:7">
      <c r="B30" s="89">
        <v>24</v>
      </c>
      <c r="E30" s="1499" t="s">
        <v>3637</v>
      </c>
      <c r="F30" s="1500" t="str" cm="1">
        <f t="array" aca="1" ref="F30" ca="1">IF(ISERROR(INDIRECT("'"&amp;E30&amp;"'!A1")),"X","")</f>
        <v/>
      </c>
      <c r="G30" s="1500" t="str">
        <f t="shared" ca="1" si="0"/>
        <v/>
      </c>
    </row>
    <row r="31" spans="2:7">
      <c r="B31" s="89">
        <v>25</v>
      </c>
      <c r="E31" s="1499" t="s">
        <v>2094</v>
      </c>
      <c r="F31" s="1500" t="str" cm="1">
        <f t="array" aca="1" ref="F31" ca="1">IF(ISERROR(INDIRECT("'"&amp;E31&amp;"'!A1")),"X","")</f>
        <v/>
      </c>
      <c r="G31" s="1500" t="str">
        <f t="shared" ca="1" si="0"/>
        <v/>
      </c>
    </row>
    <row r="32" spans="2:7">
      <c r="B32" s="89">
        <v>26</v>
      </c>
      <c r="E32" s="1499" t="s">
        <v>3638</v>
      </c>
      <c r="F32" s="1500" t="str" cm="1">
        <f t="array" aca="1" ref="F32" ca="1">IF(ISERROR(INDIRECT("'"&amp;E32&amp;"'!A1")),"X","")</f>
        <v/>
      </c>
      <c r="G32" s="1500" t="str">
        <f t="shared" ca="1" si="0"/>
        <v/>
      </c>
    </row>
    <row r="33" spans="2:7">
      <c r="B33" s="89">
        <v>27</v>
      </c>
      <c r="E33" s="1499" t="s">
        <v>3639</v>
      </c>
      <c r="F33" s="1500" t="str" cm="1">
        <f t="array" aca="1" ref="F33" ca="1">IF(ISERROR(INDIRECT("'"&amp;E33&amp;"'!A1")),"X","")</f>
        <v/>
      </c>
      <c r="G33" s="1500" t="str">
        <f t="shared" ca="1" si="0"/>
        <v/>
      </c>
    </row>
    <row r="34" spans="2:7">
      <c r="B34" s="89">
        <v>28</v>
      </c>
      <c r="E34" s="1499" t="s">
        <v>3640</v>
      </c>
      <c r="F34" s="1500" t="str" cm="1">
        <f t="array" aca="1" ref="F34" ca="1">IF(ISERROR(INDIRECT("'"&amp;E34&amp;"'!A1")),"X","")</f>
        <v/>
      </c>
      <c r="G34" s="1500" t="str">
        <f t="shared" ca="1" si="0"/>
        <v/>
      </c>
    </row>
    <row r="35" spans="2:7">
      <c r="B35" s="89">
        <v>29</v>
      </c>
      <c r="E35" s="1499" t="s">
        <v>3641</v>
      </c>
      <c r="F35" s="1500" t="str" cm="1">
        <f t="array" aca="1" ref="F35" ca="1">IF(ISERROR(INDIRECT("'"&amp;E35&amp;"'!A1")),"X","")</f>
        <v/>
      </c>
      <c r="G35" s="1500" t="str">
        <f t="shared" ca="1" si="0"/>
        <v/>
      </c>
    </row>
    <row r="36" spans="2:7">
      <c r="B36" s="89">
        <v>30</v>
      </c>
      <c r="E36" s="1499" t="s">
        <v>3642</v>
      </c>
      <c r="F36" s="1500" t="str" cm="1">
        <f t="array" aca="1" ref="F36" ca="1">IF(ISERROR(INDIRECT("'"&amp;E36&amp;"'!A1")),"X","")</f>
        <v/>
      </c>
      <c r="G36" s="1500" t="str">
        <f t="shared" ca="1" si="0"/>
        <v/>
      </c>
    </row>
    <row r="37" spans="2:7">
      <c r="B37" s="89">
        <v>31</v>
      </c>
      <c r="E37" s="1499" t="s">
        <v>3643</v>
      </c>
      <c r="F37" s="1500" t="str" cm="1">
        <f t="array" aca="1" ref="F37" ca="1">IF(ISERROR(INDIRECT("'"&amp;E37&amp;"'!A1")),"X","")</f>
        <v/>
      </c>
      <c r="G37" s="1500" t="str">
        <f t="shared" ca="1" si="0"/>
        <v/>
      </c>
    </row>
    <row r="38" spans="2:7">
      <c r="B38" s="89">
        <v>32</v>
      </c>
      <c r="E38" s="1499" t="s">
        <v>3644</v>
      </c>
      <c r="F38" s="1500" t="str" cm="1">
        <f t="array" aca="1" ref="F38" ca="1">IF(ISERROR(INDIRECT("'"&amp;E38&amp;"'!A1")),"X","")</f>
        <v/>
      </c>
      <c r="G38" s="1500" t="str">
        <f t="shared" ca="1" si="0"/>
        <v/>
      </c>
    </row>
    <row r="39" spans="2:7">
      <c r="B39" s="89">
        <v>33</v>
      </c>
      <c r="E39" s="1499" t="s">
        <v>3645</v>
      </c>
      <c r="F39" s="1500" t="str" cm="1">
        <f t="array" aca="1" ref="F39" ca="1">IF(ISERROR(INDIRECT("'"&amp;E39&amp;"'!A1")),"X","")</f>
        <v/>
      </c>
      <c r="G39" s="1500" t="str">
        <f t="shared" ca="1" si="0"/>
        <v/>
      </c>
    </row>
    <row r="40" spans="2:7">
      <c r="B40" s="89">
        <v>34</v>
      </c>
      <c r="E40" s="1499" t="s">
        <v>3646</v>
      </c>
      <c r="F40" s="1500" t="str" cm="1">
        <f t="array" aca="1" ref="F40" ca="1">IF(ISERROR(INDIRECT("'"&amp;E40&amp;"'!A1")),"X","")</f>
        <v/>
      </c>
      <c r="G40" s="1500" t="str">
        <f t="shared" ca="1" si="0"/>
        <v/>
      </c>
    </row>
    <row r="41" spans="2:7">
      <c r="B41" s="89">
        <v>35</v>
      </c>
      <c r="E41" s="1499" t="s">
        <v>3647</v>
      </c>
      <c r="F41" s="1500" t="str" cm="1">
        <f t="array" aca="1" ref="F41" ca="1">IF(ISERROR(INDIRECT("'"&amp;E41&amp;"'!A1")),"X","")</f>
        <v/>
      </c>
      <c r="G41" s="1500" t="str">
        <f t="shared" ca="1" si="0"/>
        <v/>
      </c>
    </row>
    <row r="42" spans="2:7">
      <c r="B42" s="89">
        <v>36</v>
      </c>
      <c r="E42" s="1499" t="s">
        <v>3648</v>
      </c>
      <c r="F42" s="1500" t="str" cm="1">
        <f t="array" aca="1" ref="F42" ca="1">IF(ISERROR(INDIRECT("'"&amp;E42&amp;"'!A1")),"X","")</f>
        <v/>
      </c>
      <c r="G42" s="1500" t="str">
        <f t="shared" ca="1" si="0"/>
        <v/>
      </c>
    </row>
    <row r="43" spans="2:7">
      <c r="B43" s="89">
        <v>37</v>
      </c>
      <c r="E43" s="1499" t="s">
        <v>3649</v>
      </c>
      <c r="F43" s="1500" t="str" cm="1">
        <f t="array" aca="1" ref="F43" ca="1">IF(ISERROR(INDIRECT("'"&amp;E43&amp;"'!A1")),"X","")</f>
        <v/>
      </c>
      <c r="G43" s="1500" t="str">
        <f t="shared" ca="1" si="0"/>
        <v/>
      </c>
    </row>
    <row r="44" spans="2:7">
      <c r="B44" s="89">
        <v>38</v>
      </c>
      <c r="E44" s="1499" t="s">
        <v>3650</v>
      </c>
      <c r="F44" s="1500" t="str" cm="1">
        <f t="array" aca="1" ref="F44" ca="1">IF(ISERROR(INDIRECT("'"&amp;E44&amp;"'!A1")),"X","")</f>
        <v/>
      </c>
      <c r="G44" s="1500" t="str">
        <f t="shared" ca="1" si="0"/>
        <v/>
      </c>
    </row>
    <row r="45" spans="2:7">
      <c r="B45" s="89">
        <v>39</v>
      </c>
      <c r="E45" s="1499" t="s">
        <v>3651</v>
      </c>
      <c r="F45" s="1500" t="str" cm="1">
        <f t="array" aca="1" ref="F45" ca="1">IF(ISERROR(INDIRECT("'"&amp;E45&amp;"'!A1")),"X","")</f>
        <v/>
      </c>
      <c r="G45" s="1500" t="str">
        <f t="shared" ca="1" si="0"/>
        <v/>
      </c>
    </row>
    <row r="46" spans="2:7">
      <c r="B46" s="89">
        <v>40</v>
      </c>
      <c r="E46" s="1499" t="s">
        <v>3652</v>
      </c>
      <c r="F46" s="1500" t="str" cm="1">
        <f t="array" aca="1" ref="F46" ca="1">IF(ISERROR(INDIRECT("'"&amp;E46&amp;"'!A1")),"X","")</f>
        <v/>
      </c>
      <c r="G46" s="1500" t="str">
        <f t="shared" ca="1" si="0"/>
        <v/>
      </c>
    </row>
    <row r="47" spans="2:7">
      <c r="B47" s="89">
        <v>41</v>
      </c>
      <c r="E47" s="1499" t="s">
        <v>3653</v>
      </c>
      <c r="F47" s="1500" t="str" cm="1">
        <f t="array" aca="1" ref="F47" ca="1">IF(ISERROR(INDIRECT("'"&amp;E47&amp;"'!A1")),"X","")</f>
        <v/>
      </c>
      <c r="G47" s="1500" t="str">
        <f t="shared" ca="1" si="0"/>
        <v/>
      </c>
    </row>
    <row r="48" spans="2:7">
      <c r="B48" s="89">
        <v>42</v>
      </c>
      <c r="E48" s="1499" t="s">
        <v>3654</v>
      </c>
      <c r="F48" s="1500" t="str" cm="1">
        <f t="array" aca="1" ref="F48" ca="1">IF(ISERROR(INDIRECT("'"&amp;E48&amp;"'!A1")),"X","")</f>
        <v/>
      </c>
      <c r="G48" s="1500" t="str">
        <f t="shared" ca="1" si="0"/>
        <v/>
      </c>
    </row>
    <row r="49" spans="2:7">
      <c r="B49" s="89">
        <v>43</v>
      </c>
      <c r="E49" s="1499" t="s">
        <v>3655</v>
      </c>
      <c r="F49" s="1500" t="str" cm="1">
        <f t="array" aca="1" ref="F49" ca="1">IF(ISERROR(INDIRECT("'"&amp;E49&amp;"'!A1")),"X","")</f>
        <v/>
      </c>
      <c r="G49" s="1500" t="str">
        <f t="shared" ca="1" si="0"/>
        <v/>
      </c>
    </row>
    <row r="50" spans="2:7">
      <c r="B50" s="89">
        <v>44</v>
      </c>
      <c r="E50" s="1499" t="s">
        <v>3656</v>
      </c>
      <c r="F50" s="1500" t="str" cm="1">
        <f t="array" aca="1" ref="F50" ca="1">IF(ISERROR(INDIRECT("'"&amp;E50&amp;"'!A1")),"X","")</f>
        <v/>
      </c>
      <c r="G50" s="1500" t="str">
        <f t="shared" ca="1" si="0"/>
        <v/>
      </c>
    </row>
    <row r="51" spans="2:7">
      <c r="B51" s="89">
        <v>45</v>
      </c>
      <c r="E51" s="1499" t="s">
        <v>3657</v>
      </c>
      <c r="F51" s="1500" t="str" cm="1">
        <f t="array" aca="1" ref="F51" ca="1">IF(ISERROR(INDIRECT("'"&amp;E51&amp;"'!A1")),"X","")</f>
        <v/>
      </c>
      <c r="G51" s="1500" t="str">
        <f t="shared" ca="1" si="0"/>
        <v/>
      </c>
    </row>
    <row r="52" spans="2:7">
      <c r="B52" s="89">
        <v>46</v>
      </c>
      <c r="E52" s="1499" t="s">
        <v>3658</v>
      </c>
      <c r="F52" s="1500" t="str" cm="1">
        <f t="array" aca="1" ref="F52" ca="1">IF(ISERROR(INDIRECT("'"&amp;E52&amp;"'!A1")),"X","")</f>
        <v/>
      </c>
      <c r="G52" s="1500" t="str">
        <f t="shared" ca="1" si="0"/>
        <v/>
      </c>
    </row>
    <row r="53" spans="2:7">
      <c r="B53" s="89">
        <v>47</v>
      </c>
      <c r="E53" s="1499" t="s">
        <v>3659</v>
      </c>
      <c r="F53" s="1500" t="str" cm="1">
        <f t="array" aca="1" ref="F53" ca="1">IF(ISERROR(INDIRECT("'"&amp;E53&amp;"'!A1")),"X","")</f>
        <v/>
      </c>
      <c r="G53" s="1500" t="str">
        <f t="shared" ca="1" si="0"/>
        <v/>
      </c>
    </row>
    <row r="54" spans="2:7">
      <c r="B54" s="89">
        <v>48</v>
      </c>
      <c r="E54" s="1499" t="s">
        <v>3660</v>
      </c>
      <c r="F54" s="1500" t="str" cm="1">
        <f t="array" aca="1" ref="F54" ca="1">IF(ISERROR(INDIRECT("'"&amp;E54&amp;"'!A1")),"X","")</f>
        <v/>
      </c>
      <c r="G54" s="1500" t="str">
        <f t="shared" ca="1" si="0"/>
        <v/>
      </c>
    </row>
    <row r="55" spans="2:7">
      <c r="B55" s="89">
        <v>49</v>
      </c>
      <c r="E55" s="1499" t="s">
        <v>3661</v>
      </c>
      <c r="F55" s="1500" t="str" cm="1">
        <f t="array" aca="1" ref="F55" ca="1">IF(ISERROR(INDIRECT("'"&amp;E55&amp;"'!A1")),"X","")</f>
        <v/>
      </c>
      <c r="G55" s="1500" t="str">
        <f t="shared" ca="1" si="0"/>
        <v/>
      </c>
    </row>
    <row r="56" spans="2:7">
      <c r="B56" s="89">
        <v>50</v>
      </c>
      <c r="E56" s="1499" t="s">
        <v>3662</v>
      </c>
      <c r="F56" s="1500" t="str" cm="1">
        <f t="array" aca="1" ref="F56" ca="1">IF(ISERROR(INDIRECT("'"&amp;E56&amp;"'!A1")),"X","")</f>
        <v/>
      </c>
      <c r="G56" s="1500" t="str">
        <f t="shared" ca="1" si="0"/>
        <v/>
      </c>
    </row>
    <row r="57" spans="2:7">
      <c r="B57" s="89">
        <v>51</v>
      </c>
      <c r="E57" s="1499" t="s">
        <v>3663</v>
      </c>
      <c r="F57" s="1500" t="str" cm="1">
        <f t="array" aca="1" ref="F57" ca="1">IF(ISERROR(INDIRECT("'"&amp;E57&amp;"'!A1")),"X","")</f>
        <v/>
      </c>
      <c r="G57" s="1500" t="str">
        <f t="shared" ca="1" si="0"/>
        <v/>
      </c>
    </row>
    <row r="58" spans="2:7">
      <c r="B58" s="89">
        <v>52</v>
      </c>
      <c r="E58" s="1499" t="s">
        <v>3664</v>
      </c>
      <c r="F58" s="1500" t="str" cm="1">
        <f t="array" aca="1" ref="F58" ca="1">IF(ISERROR(INDIRECT("'"&amp;E58&amp;"'!A1")),"X","")</f>
        <v/>
      </c>
      <c r="G58" s="1500" t="str">
        <f t="shared" ca="1" si="0"/>
        <v/>
      </c>
    </row>
    <row r="59" spans="2:7">
      <c r="B59" s="89">
        <v>53</v>
      </c>
      <c r="E59" s="1499" t="s">
        <v>3665</v>
      </c>
      <c r="F59" s="1500" t="str" cm="1">
        <f t="array" aca="1" ref="F59" ca="1">IF(ISERROR(INDIRECT("'"&amp;E59&amp;"'!A1")),"X","")</f>
        <v/>
      </c>
      <c r="G59" s="1500" t="str">
        <f t="shared" ca="1" si="0"/>
        <v/>
      </c>
    </row>
    <row r="60" spans="2:7">
      <c r="B60" s="89">
        <v>54</v>
      </c>
      <c r="E60" s="1499" t="s">
        <v>3666</v>
      </c>
      <c r="F60" s="1500" t="str" cm="1">
        <f t="array" aca="1" ref="F60" ca="1">IF(ISERROR(INDIRECT("'"&amp;E60&amp;"'!A1")),"X","")</f>
        <v/>
      </c>
      <c r="G60" s="1500" t="str">
        <f t="shared" ca="1" si="0"/>
        <v/>
      </c>
    </row>
    <row r="61" spans="2:7">
      <c r="B61" s="89">
        <v>55</v>
      </c>
      <c r="E61" s="1499" t="s">
        <v>3667</v>
      </c>
      <c r="F61" s="1500" t="str" cm="1">
        <f t="array" aca="1" ref="F61" ca="1">IF(ISERROR(INDIRECT("'"&amp;E61&amp;"'!A1")),"X","")</f>
        <v/>
      </c>
      <c r="G61" s="1500" t="str">
        <f t="shared" ca="1" si="0"/>
        <v/>
      </c>
    </row>
    <row r="62" spans="2:7">
      <c r="B62" s="89">
        <v>56</v>
      </c>
      <c r="E62" s="1499" t="s">
        <v>3668</v>
      </c>
      <c r="F62" s="1500" t="str" cm="1">
        <f t="array" aca="1" ref="F62" ca="1">IF(ISERROR(INDIRECT("'"&amp;E62&amp;"'!A1")),"X","")</f>
        <v/>
      </c>
      <c r="G62" s="1500" t="str">
        <f t="shared" ca="1" si="0"/>
        <v/>
      </c>
    </row>
    <row r="63" spans="2:7">
      <c r="B63" s="89">
        <v>57</v>
      </c>
      <c r="E63" s="1499" t="s">
        <v>3669</v>
      </c>
      <c r="F63" s="1500" t="str" cm="1">
        <f t="array" aca="1" ref="F63" ca="1">IF(ISERROR(INDIRECT("'"&amp;E63&amp;"'!A1")),"X","")</f>
        <v/>
      </c>
      <c r="G63" s="1500" t="str">
        <f t="shared" ca="1" si="0"/>
        <v/>
      </c>
    </row>
    <row r="64" spans="2:7">
      <c r="B64" s="89">
        <v>58</v>
      </c>
      <c r="E64" s="1499" t="s">
        <v>3586</v>
      </c>
      <c r="F64" s="1500" t="str" cm="1">
        <f t="array" aca="1" ref="F64" ca="1">IF(ISERROR(INDIRECT("'"&amp;E64&amp;"'!A1")),"X","")</f>
        <v/>
      </c>
      <c r="G64" s="1500" t="str">
        <f t="shared" ca="1" si="0"/>
        <v/>
      </c>
    </row>
    <row r="65" spans="2:7">
      <c r="B65" s="89">
        <v>59</v>
      </c>
      <c r="E65" s="1499" t="s">
        <v>3587</v>
      </c>
      <c r="F65" s="1500" t="str" cm="1">
        <f t="array" aca="1" ref="F65" ca="1">IF(ISERROR(INDIRECT("'"&amp;E65&amp;"'!A1")),"X","")</f>
        <v/>
      </c>
      <c r="G65" s="1500" t="str">
        <f t="shared" ca="1" si="0"/>
        <v/>
      </c>
    </row>
    <row r="66" spans="2:7">
      <c r="B66" s="89">
        <v>60</v>
      </c>
      <c r="E66" s="1499" t="s">
        <v>4118</v>
      </c>
      <c r="F66" s="1500" t="str" cm="1">
        <f t="array" aca="1" ref="F66" ca="1">IF(ISERROR(INDIRECT("'"&amp;E66&amp;"'!A1")),"X","")</f>
        <v/>
      </c>
      <c r="G66" s="1500" t="str">
        <f t="shared" ca="1" si="0"/>
        <v/>
      </c>
    </row>
    <row r="67" spans="2:7">
      <c r="B67" s="89">
        <v>61</v>
      </c>
      <c r="E67" s="1499" t="s">
        <v>4119</v>
      </c>
      <c r="F67" s="1500" t="str" cm="1">
        <f t="array" aca="1" ref="F67" ca="1">IF(ISERROR(INDIRECT("'"&amp;E67&amp;"'!A1")),"X","")</f>
        <v/>
      </c>
      <c r="G67" s="1500" t="str">
        <f t="shared" ca="1" si="0"/>
        <v/>
      </c>
    </row>
    <row r="68" spans="2:7">
      <c r="B68" s="89">
        <v>62</v>
      </c>
      <c r="E68" s="1499" t="s">
        <v>4120</v>
      </c>
      <c r="F68" s="1500" t="str" cm="1">
        <f t="array" aca="1" ref="F68" ca="1">IF(ISERROR(INDIRECT("'"&amp;E68&amp;"'!A1")),"X","")</f>
        <v/>
      </c>
      <c r="G68" s="1500" t="str">
        <f t="shared" ca="1" si="0"/>
        <v/>
      </c>
    </row>
    <row r="69" spans="2:7">
      <c r="B69" s="89">
        <v>63</v>
      </c>
      <c r="E69" s="1499" t="s">
        <v>4121</v>
      </c>
      <c r="F69" s="1500" t="str" cm="1">
        <f t="array" aca="1" ref="F69" ca="1">IF(ISERROR(INDIRECT("'"&amp;E69&amp;"'!A1")),"X","")</f>
        <v/>
      </c>
      <c r="G69" s="1500" t="str">
        <f t="shared" ca="1" si="0"/>
        <v/>
      </c>
    </row>
    <row r="70" spans="2:7">
      <c r="B70" s="89">
        <v>64</v>
      </c>
      <c r="E70" s="1499" t="s">
        <v>4122</v>
      </c>
      <c r="F70" s="1500" t="str" cm="1">
        <f t="array" aca="1" ref="F70" ca="1">IF(ISERROR(INDIRECT("'"&amp;E70&amp;"'!A1")),"X","")</f>
        <v/>
      </c>
      <c r="G70" s="1500" t="str">
        <f t="shared" ca="1" si="0"/>
        <v/>
      </c>
    </row>
    <row r="71" spans="2:7">
      <c r="B71" s="89">
        <v>65</v>
      </c>
      <c r="E71" s="1499" t="s">
        <v>3670</v>
      </c>
      <c r="F71" s="1500" t="str" cm="1">
        <f t="array" aca="1" ref="F71" ca="1">IF(ISERROR(INDIRECT("'"&amp;E71&amp;"'!A1")),"X","")</f>
        <v/>
      </c>
      <c r="G71" s="1500" t="str">
        <f t="shared" ca="1" si="0"/>
        <v/>
      </c>
    </row>
    <row r="72" spans="2:7">
      <c r="B72" s="89">
        <v>66</v>
      </c>
      <c r="E72" s="1499" t="s">
        <v>3671</v>
      </c>
      <c r="F72" s="1500" t="str" cm="1">
        <f t="array" aca="1" ref="F72" ca="1">IF(ISERROR(INDIRECT("'"&amp;E72&amp;"'!A1")),"X","")</f>
        <v/>
      </c>
      <c r="G72" s="1500" t="str">
        <f t="shared" ref="G72:G95" ca="1" si="1">IF(ISREF(INDIRECT("'"&amp;E72&amp;"'"&amp;"!A1")),"","X")</f>
        <v/>
      </c>
    </row>
    <row r="73" spans="2:7">
      <c r="B73" s="89">
        <v>67</v>
      </c>
      <c r="E73" s="1499" t="s">
        <v>3672</v>
      </c>
      <c r="F73" s="1500" t="str" cm="1">
        <f t="array" aca="1" ref="F73" ca="1">IF(ISERROR(INDIRECT("'"&amp;E73&amp;"'!A1")),"X","")</f>
        <v/>
      </c>
      <c r="G73" s="1500" t="str">
        <f t="shared" ca="1" si="1"/>
        <v/>
      </c>
    </row>
    <row r="74" spans="2:7">
      <c r="B74" s="89">
        <v>68</v>
      </c>
      <c r="E74" s="1499" t="s">
        <v>3673</v>
      </c>
      <c r="F74" s="1500" t="str" cm="1">
        <f t="array" aca="1" ref="F74" ca="1">IF(ISERROR(INDIRECT("'"&amp;E74&amp;"'!A1")),"X","")</f>
        <v/>
      </c>
      <c r="G74" s="1500" t="str">
        <f t="shared" ca="1" si="1"/>
        <v/>
      </c>
    </row>
    <row r="75" spans="2:7">
      <c r="B75" s="89">
        <v>69</v>
      </c>
      <c r="E75" s="1499" t="s">
        <v>3674</v>
      </c>
      <c r="F75" s="1500" t="str" cm="1">
        <f t="array" aca="1" ref="F75" ca="1">IF(ISERROR(INDIRECT("'"&amp;E75&amp;"'!A1")),"X","")</f>
        <v/>
      </c>
      <c r="G75" s="1500" t="str">
        <f t="shared" ca="1" si="1"/>
        <v/>
      </c>
    </row>
    <row r="76" spans="2:7">
      <c r="B76" s="89">
        <v>70</v>
      </c>
      <c r="E76" s="1499" t="s">
        <v>3675</v>
      </c>
      <c r="F76" s="1500" t="str" cm="1">
        <f t="array" aca="1" ref="F76" ca="1">IF(ISERROR(INDIRECT("'"&amp;E76&amp;"'!A1")),"X","")</f>
        <v/>
      </c>
      <c r="G76" s="1500" t="str">
        <f t="shared" ca="1" si="1"/>
        <v/>
      </c>
    </row>
    <row r="77" spans="2:7">
      <c r="B77" s="89">
        <v>71</v>
      </c>
      <c r="E77" s="1499" t="s">
        <v>3706</v>
      </c>
      <c r="F77" s="1500" t="str" cm="1">
        <f t="array" aca="1" ref="F77" ca="1">IF(ISERROR(INDIRECT("'"&amp;E77&amp;"'!A1")),"X","")</f>
        <v/>
      </c>
      <c r="G77" s="1500" t="str">
        <f t="shared" ca="1" si="1"/>
        <v/>
      </c>
    </row>
    <row r="78" spans="2:7">
      <c r="B78" s="89">
        <v>72</v>
      </c>
      <c r="E78" s="1499" t="s">
        <v>3703</v>
      </c>
      <c r="F78" s="1500" t="str" cm="1">
        <f t="array" aca="1" ref="F78" ca="1">IF(ISERROR(INDIRECT("'"&amp;E78&amp;"'!A1")),"X","")</f>
        <v/>
      </c>
      <c r="G78" s="1500" t="str">
        <f t="shared" ca="1" si="1"/>
        <v/>
      </c>
    </row>
    <row r="79" spans="2:7">
      <c r="B79" s="89">
        <v>73</v>
      </c>
      <c r="E79" s="1499" t="s">
        <v>3704</v>
      </c>
      <c r="F79" s="1500" t="str" cm="1">
        <f t="array" aca="1" ref="F79" ca="1">IF(ISERROR(INDIRECT("'"&amp;E79&amp;"'!A1")),"X","")</f>
        <v/>
      </c>
      <c r="G79" s="1500" t="str">
        <f t="shared" ca="1" si="1"/>
        <v/>
      </c>
    </row>
    <row r="80" spans="2:7">
      <c r="B80" s="89">
        <v>74</v>
      </c>
      <c r="E80" s="1499" t="s">
        <v>3705</v>
      </c>
      <c r="F80" s="1500" t="str" cm="1">
        <f t="array" aca="1" ref="F80" ca="1">IF(ISERROR(INDIRECT("'"&amp;E80&amp;"'!A1")),"X","")</f>
        <v/>
      </c>
      <c r="G80" s="1500" t="str">
        <f t="shared" ca="1" si="1"/>
        <v/>
      </c>
    </row>
    <row r="81" spans="2:7">
      <c r="B81" s="89">
        <v>75</v>
      </c>
      <c r="E81" s="1499" t="s">
        <v>3707</v>
      </c>
      <c r="F81" s="1500" t="str" cm="1">
        <f t="array" aca="1" ref="F81" ca="1">IF(ISERROR(INDIRECT("'"&amp;E81&amp;"'!A1")),"X","")</f>
        <v/>
      </c>
      <c r="G81" s="1500" t="str">
        <f t="shared" ca="1" si="1"/>
        <v/>
      </c>
    </row>
    <row r="82" spans="2:7">
      <c r="B82" s="89">
        <v>76</v>
      </c>
      <c r="E82" s="1499" t="s">
        <v>3708</v>
      </c>
      <c r="F82" s="1500" t="str" cm="1">
        <f t="array" aca="1" ref="F82" ca="1">IF(ISERROR(INDIRECT("'"&amp;E82&amp;"'!A1")),"X","")</f>
        <v/>
      </c>
      <c r="G82" s="1500" t="str">
        <f t="shared" ca="1" si="1"/>
        <v/>
      </c>
    </row>
    <row r="83" spans="2:7">
      <c r="B83" s="89">
        <v>77</v>
      </c>
      <c r="E83" s="1499" t="s">
        <v>3676</v>
      </c>
      <c r="F83" s="1500" t="str" cm="1">
        <f t="array" aca="1" ref="F83" ca="1">IF(ISERROR(INDIRECT("'"&amp;E83&amp;"'!A1")),"X","")</f>
        <v/>
      </c>
      <c r="G83" s="1500" t="str">
        <f t="shared" ca="1" si="1"/>
        <v/>
      </c>
    </row>
    <row r="84" spans="2:7">
      <c r="B84" s="89">
        <v>78</v>
      </c>
      <c r="E84" s="1499" t="s">
        <v>3677</v>
      </c>
      <c r="F84" s="1500" t="str" cm="1">
        <f t="array" aca="1" ref="F84" ca="1">IF(ISERROR(INDIRECT("'"&amp;E84&amp;"'!A1")),"X","")</f>
        <v/>
      </c>
      <c r="G84" s="1500" t="str">
        <f t="shared" ca="1" si="1"/>
        <v/>
      </c>
    </row>
    <row r="85" spans="2:7">
      <c r="B85" s="89">
        <v>79</v>
      </c>
      <c r="E85" s="1499" t="s">
        <v>3678</v>
      </c>
      <c r="F85" s="1500" t="str" cm="1">
        <f t="array" aca="1" ref="F85" ca="1">IF(ISERROR(INDIRECT("'"&amp;E85&amp;"'!A1")),"X","")</f>
        <v/>
      </c>
      <c r="G85" s="1500" t="str">
        <f t="shared" ca="1" si="1"/>
        <v/>
      </c>
    </row>
    <row r="86" spans="2:7">
      <c r="B86" s="89">
        <v>80</v>
      </c>
      <c r="E86" s="1499" t="s">
        <v>1267</v>
      </c>
      <c r="F86" s="1500" t="str" cm="1">
        <f t="array" aca="1" ref="F86" ca="1">IF(ISERROR(INDIRECT("'"&amp;E86&amp;"'!A1")),"X","")</f>
        <v/>
      </c>
      <c r="G86" s="1500" t="str">
        <f t="shared" ca="1" si="1"/>
        <v/>
      </c>
    </row>
    <row r="87" spans="2:7">
      <c r="B87" s="89">
        <v>81</v>
      </c>
      <c r="E87" s="1499" t="s">
        <v>3679</v>
      </c>
      <c r="F87" s="1500" t="str" cm="1">
        <f t="array" aca="1" ref="F87" ca="1">IF(ISERROR(INDIRECT("'"&amp;E87&amp;"'!A1")),"X","")</f>
        <v/>
      </c>
      <c r="G87" s="1500" t="str">
        <f t="shared" ca="1" si="1"/>
        <v/>
      </c>
    </row>
    <row r="88" spans="2:7">
      <c r="B88" s="89">
        <v>82</v>
      </c>
      <c r="E88" s="1499" t="s">
        <v>3680</v>
      </c>
      <c r="F88" s="1500" t="str" cm="1">
        <f t="array" aca="1" ref="F88" ca="1">IF(ISERROR(INDIRECT("'"&amp;E88&amp;"'!A1")),"X","")</f>
        <v/>
      </c>
      <c r="G88" s="1500" t="str">
        <f t="shared" ca="1" si="1"/>
        <v/>
      </c>
    </row>
    <row r="89" spans="2:7">
      <c r="B89" s="89">
        <v>83</v>
      </c>
      <c r="E89" s="1499" t="s">
        <v>3681</v>
      </c>
      <c r="F89" s="1500" t="str" cm="1">
        <f t="array" aca="1" ref="F89" ca="1">IF(ISERROR(INDIRECT("'"&amp;E89&amp;"'!A1")),"X","")</f>
        <v/>
      </c>
      <c r="G89" s="1500" t="str">
        <f t="shared" ca="1" si="1"/>
        <v/>
      </c>
    </row>
    <row r="90" spans="2:7">
      <c r="B90" s="89">
        <v>84</v>
      </c>
      <c r="E90" s="1499" t="s">
        <v>3682</v>
      </c>
      <c r="F90" s="1500" t="str" cm="1">
        <f t="array" aca="1" ref="F90" ca="1">IF(ISERROR(INDIRECT("'"&amp;E90&amp;"'!A1")),"X","")</f>
        <v/>
      </c>
      <c r="G90" s="1500" t="str">
        <f t="shared" ca="1" si="1"/>
        <v/>
      </c>
    </row>
    <row r="91" spans="2:7">
      <c r="B91" s="89">
        <v>85</v>
      </c>
      <c r="E91" s="1499" t="s">
        <v>3683</v>
      </c>
      <c r="F91" s="1500" t="str" cm="1">
        <f t="array" aca="1" ref="F91" ca="1">IF(ISERROR(INDIRECT("'"&amp;E91&amp;"'!A1")),"X","")</f>
        <v/>
      </c>
      <c r="G91" s="1500" t="str">
        <f t="shared" ca="1" si="1"/>
        <v/>
      </c>
    </row>
    <row r="92" spans="2:7">
      <c r="B92" s="89">
        <v>86</v>
      </c>
      <c r="E92" s="1499" t="s">
        <v>3684</v>
      </c>
      <c r="F92" s="1500" t="str" cm="1">
        <f t="array" aca="1" ref="F92" ca="1">IF(ISERROR(INDIRECT("'"&amp;E92&amp;"'!A1")),"X","")</f>
        <v/>
      </c>
      <c r="G92" s="1500" t="str">
        <f t="shared" ca="1" si="1"/>
        <v/>
      </c>
    </row>
    <row r="93" spans="2:7">
      <c r="B93" s="89">
        <v>87</v>
      </c>
      <c r="E93" s="1499" t="s">
        <v>1268</v>
      </c>
      <c r="F93" s="1500" t="str" cm="1">
        <f t="array" aca="1" ref="F93" ca="1">IF(ISERROR(INDIRECT("'"&amp;E93&amp;"'!A1")),"X","")</f>
        <v/>
      </c>
      <c r="G93" s="1500" t="str">
        <f t="shared" ca="1" si="1"/>
        <v/>
      </c>
    </row>
    <row r="94" spans="2:7">
      <c r="B94" s="89">
        <v>88</v>
      </c>
      <c r="E94" s="1499" t="s">
        <v>2427</v>
      </c>
      <c r="F94" s="1500" t="str" cm="1">
        <f t="array" aca="1" ref="F94" ca="1">IF(ISERROR(INDIRECT("'"&amp;E94&amp;"'!A1")),"X","")</f>
        <v/>
      </c>
      <c r="G94" s="1500" t="str">
        <f t="shared" ca="1" si="1"/>
        <v/>
      </c>
    </row>
    <row r="95" spans="2:7">
      <c r="B95" s="89">
        <v>89</v>
      </c>
      <c r="E95" s="1499" t="s">
        <v>3685</v>
      </c>
      <c r="F95" s="1500" t="str" cm="1">
        <f t="array" aca="1" ref="F95" ca="1">IF(ISERROR(INDIRECT("'"&amp;E95&amp;"'!A1")),"X","")</f>
        <v/>
      </c>
      <c r="G95" s="1500" t="str">
        <f t="shared" ca="1" si="1"/>
        <v/>
      </c>
    </row>
    <row r="96" spans="2:7">
      <c r="B96" s="89">
        <v>90</v>
      </c>
      <c r="E96" s="1499" t="s">
        <v>3689</v>
      </c>
      <c r="F96" s="1500" t="str" cm="1">
        <f t="array" aca="1" ref="F96" ca="1">IF(ISERROR(INDIRECT("'"&amp;E96&amp;"'!A1")),"X","")</f>
        <v/>
      </c>
      <c r="G96" s="1500" t="str">
        <f t="shared" ref="G96:G104" ca="1" si="2">IF(ISREF(INDIRECT("'"&amp;E96&amp;"'"&amp;"!A1")),"","X")</f>
        <v/>
      </c>
    </row>
    <row r="97" spans="2:7">
      <c r="B97" s="89">
        <v>91</v>
      </c>
      <c r="E97" s="1499" t="s">
        <v>3686</v>
      </c>
      <c r="F97" s="1500" t="str" cm="1">
        <f t="array" aca="1" ref="F97" ca="1">IF(ISERROR(INDIRECT("'"&amp;E97&amp;"'!A1")),"X","")</f>
        <v/>
      </c>
      <c r="G97" s="1500" t="str">
        <f t="shared" ca="1" si="2"/>
        <v/>
      </c>
    </row>
    <row r="98" spans="2:7">
      <c r="B98" s="89">
        <v>92</v>
      </c>
      <c r="E98" s="1499" t="s">
        <v>3687</v>
      </c>
      <c r="F98" s="1500" t="str" cm="1">
        <f t="array" aca="1" ref="F98" ca="1">IF(ISERROR(INDIRECT("'"&amp;E98&amp;"'!A1")),"X","")</f>
        <v/>
      </c>
      <c r="G98" s="1500" t="str">
        <f t="shared" ca="1" si="2"/>
        <v/>
      </c>
    </row>
    <row r="99" spans="2:7">
      <c r="B99" s="89">
        <v>93</v>
      </c>
      <c r="E99" s="1499" t="s">
        <v>4123</v>
      </c>
      <c r="F99" s="1500" t="str" cm="1">
        <f t="array" aca="1" ref="F99" ca="1">IF(ISERROR(INDIRECT("'"&amp;E99&amp;"'!A1")),"X","")</f>
        <v/>
      </c>
      <c r="G99" s="1500" t="str">
        <f t="shared" ca="1" si="2"/>
        <v/>
      </c>
    </row>
    <row r="100" spans="2:7">
      <c r="B100" s="89">
        <v>94</v>
      </c>
      <c r="E100" s="1499" t="s">
        <v>4124</v>
      </c>
      <c r="F100" s="1500" t="str" cm="1">
        <f t="array" aca="1" ref="F100" ca="1">IF(ISERROR(INDIRECT("'"&amp;E100&amp;"'!A1")),"X","")</f>
        <v/>
      </c>
      <c r="G100" s="1500" t="str">
        <f t="shared" ca="1" si="2"/>
        <v/>
      </c>
    </row>
    <row r="101" spans="2:7">
      <c r="B101" s="89">
        <v>95</v>
      </c>
      <c r="E101" s="1499" t="s">
        <v>4125</v>
      </c>
      <c r="F101" s="1500" t="str" cm="1">
        <f t="array" aca="1" ref="F101" ca="1">IF(ISERROR(INDIRECT("'"&amp;E101&amp;"'!A1")),"X","")</f>
        <v/>
      </c>
      <c r="G101" s="1500" t="str">
        <f t="shared" ca="1" si="2"/>
        <v/>
      </c>
    </row>
    <row r="102" spans="2:7">
      <c r="B102" s="89">
        <v>96</v>
      </c>
      <c r="E102" s="1499" t="s">
        <v>4126</v>
      </c>
      <c r="F102" s="1500" t="str" cm="1">
        <f t="array" aca="1" ref="F102" ca="1">IF(ISERROR(INDIRECT("'"&amp;E102&amp;"'!A1")),"X","")</f>
        <v/>
      </c>
      <c r="G102" s="1500" t="str">
        <f t="shared" ca="1" si="2"/>
        <v/>
      </c>
    </row>
    <row r="103" spans="2:7">
      <c r="B103" s="89">
        <v>97</v>
      </c>
      <c r="E103" s="1499" t="s">
        <v>4127</v>
      </c>
      <c r="F103" s="1500" t="str" cm="1">
        <f t="array" aca="1" ref="F103" ca="1">IF(ISERROR(INDIRECT("'"&amp;E103&amp;"'!A1")),"X","")</f>
        <v/>
      </c>
      <c r="G103" s="1500" t="str">
        <f t="shared" ca="1" si="2"/>
        <v/>
      </c>
    </row>
    <row r="104" spans="2:7">
      <c r="B104" s="89">
        <v>98</v>
      </c>
      <c r="E104" s="1499" t="s">
        <v>4171</v>
      </c>
      <c r="F104" s="1500" t="str" cm="1">
        <f t="array" aca="1" ref="F104" ca="1">IF(ISERROR(INDIRECT("'"&amp;E104&amp;"'!A1")),"X","")</f>
        <v/>
      </c>
      <c r="G104" s="1500" t="str">
        <f t="shared" ca="1" si="2"/>
        <v/>
      </c>
    </row>
    <row r="105" spans="2:7">
      <c r="B105" s="89">
        <v>99</v>
      </c>
      <c r="F105" s="1500"/>
      <c r="G105" s="1500"/>
    </row>
    <row r="106" spans="2:7">
      <c r="B106" s="89">
        <v>100</v>
      </c>
      <c r="F106" s="1500"/>
      <c r="G106" s="1500"/>
    </row>
    <row r="107" spans="2:7">
      <c r="B107" s="89">
        <v>101</v>
      </c>
      <c r="F107" s="1500"/>
      <c r="G107" s="1500"/>
    </row>
    <row r="108" spans="2:7">
      <c r="B108" s="89">
        <v>102</v>
      </c>
      <c r="F108" s="1500"/>
      <c r="G108" s="1500"/>
    </row>
    <row r="109" spans="2:7">
      <c r="B109" s="89">
        <v>103</v>
      </c>
      <c r="F109" s="1500"/>
      <c r="G109" s="1500"/>
    </row>
    <row r="110" spans="2:7">
      <c r="B110" s="89">
        <v>104</v>
      </c>
      <c r="F110" s="1500"/>
      <c r="G110" s="1500"/>
    </row>
    <row r="111" spans="2:7">
      <c r="B111" s="89">
        <v>105</v>
      </c>
      <c r="F111" s="1500"/>
      <c r="G111" s="1500"/>
    </row>
    <row r="112" spans="2:7">
      <c r="B112" s="89">
        <v>106</v>
      </c>
      <c r="F112" s="1500"/>
      <c r="G112" s="1500"/>
    </row>
    <row r="113" spans="2:7">
      <c r="B113" s="89">
        <v>107</v>
      </c>
      <c r="F113" s="1500"/>
      <c r="G113" s="1500"/>
    </row>
    <row r="114" spans="2:7">
      <c r="B114" s="89">
        <v>108</v>
      </c>
      <c r="F114" s="1500"/>
      <c r="G114" s="1500"/>
    </row>
    <row r="115" spans="2:7">
      <c r="B115" s="89">
        <v>109</v>
      </c>
      <c r="F115" s="1500"/>
      <c r="G115" s="1500"/>
    </row>
    <row r="116" spans="2:7">
      <c r="B116" s="89">
        <v>110</v>
      </c>
      <c r="F116" s="1500"/>
      <c r="G116" s="1500"/>
    </row>
    <row r="117" spans="2:7">
      <c r="B117" s="89">
        <v>111</v>
      </c>
      <c r="F117" s="1500"/>
      <c r="G117" s="1500"/>
    </row>
    <row r="118" spans="2:7">
      <c r="B118" s="89">
        <v>112</v>
      </c>
      <c r="F118" s="1500"/>
      <c r="G118" s="1500"/>
    </row>
    <row r="119" spans="2:7">
      <c r="B119" s="89">
        <v>113</v>
      </c>
      <c r="F119" s="1500"/>
      <c r="G119" s="1500"/>
    </row>
    <row r="120" spans="2:7">
      <c r="B120" s="89">
        <v>114</v>
      </c>
      <c r="F120" s="1501"/>
      <c r="G120" s="1501"/>
    </row>
    <row r="121" spans="2:7" ht="16" thickBot="1">
      <c r="B121" s="1502" t="s">
        <v>3692</v>
      </c>
      <c r="C121" s="1503"/>
      <c r="D121" s="1503"/>
      <c r="E121" s="1503"/>
      <c r="F121" s="1504">
        <f ca="1">COUNTIF(F7:F120,"X")</f>
        <v>0</v>
      </c>
      <c r="G121" s="1504">
        <f ca="1">COUNTIF(G7:G120,"X")</f>
        <v>0</v>
      </c>
    </row>
    <row r="122" spans="2:7" ht="16" thickTop="1"/>
  </sheetData>
  <sheetProtection algorithmName="SHA-512" hashValue="cPzQoX9t6V3+uhTJUqTP/NUUFPqt3AU0iYtQxVFChCLmb9/og3vuNl2oAtd7PMxgwidIHfjXKwn4KacW+jMBKA==" saltValue="MrrXq7nJ5mB6b+o1Pze5xA==" spinCount="100000" sheet="1" objects="1" scenarios="1" selectLockedCells="1"/>
  <mergeCells count="1">
    <mergeCell ref="B6:C6"/>
  </mergeCells>
  <conditionalFormatting sqref="F7:G121">
    <cfRule type="notContainsBlanks" dxfId="0" priority="2">
      <formula>LEN(TRIM(F7))&gt;0</formula>
    </cfRule>
  </conditionalFormatting>
  <pageMargins left="0.7" right="0.7" top="0.75" bottom="0.75" header="0.3" footer="0.3"/>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upport_Sheet27"/>
  <dimension ref="A1:E28"/>
  <sheetViews>
    <sheetView topLeftCell="A11" zoomScaleSheetLayoutView="40" workbookViewId="0">
      <selection activeCell="B109" sqref="B109"/>
    </sheetView>
  </sheetViews>
  <sheetFormatPr baseColWidth="10" defaultColWidth="11.5" defaultRowHeight="14"/>
  <cols>
    <col min="1" max="1" width="36.5" style="2" customWidth="1"/>
    <col min="2" max="2" width="30.5" style="2" customWidth="1"/>
    <col min="3" max="3" width="36" style="2" customWidth="1"/>
    <col min="4" max="256" width="11.5" style="2"/>
    <col min="257" max="257" width="36.5" style="2" customWidth="1"/>
    <col min="258" max="258" width="30.5" style="2" customWidth="1"/>
    <col min="259" max="259" width="36" style="2" customWidth="1"/>
    <col min="260" max="512" width="11.5" style="2"/>
    <col min="513" max="513" width="36.5" style="2" customWidth="1"/>
    <col min="514" max="514" width="30.5" style="2" customWidth="1"/>
    <col min="515" max="515" width="36" style="2" customWidth="1"/>
    <col min="516" max="768" width="11.5" style="2"/>
    <col min="769" max="769" width="36.5" style="2" customWidth="1"/>
    <col min="770" max="770" width="30.5" style="2" customWidth="1"/>
    <col min="771" max="771" width="36" style="2" customWidth="1"/>
    <col min="772" max="1024" width="11.5" style="2"/>
    <col min="1025" max="1025" width="36.5" style="2" customWidth="1"/>
    <col min="1026" max="1026" width="30.5" style="2" customWidth="1"/>
    <col min="1027" max="1027" width="36" style="2" customWidth="1"/>
    <col min="1028" max="1280" width="11.5" style="2"/>
    <col min="1281" max="1281" width="36.5" style="2" customWidth="1"/>
    <col min="1282" max="1282" width="30.5" style="2" customWidth="1"/>
    <col min="1283" max="1283" width="36" style="2" customWidth="1"/>
    <col min="1284" max="1536" width="11.5" style="2"/>
    <col min="1537" max="1537" width="36.5" style="2" customWidth="1"/>
    <col min="1538" max="1538" width="30.5" style="2" customWidth="1"/>
    <col min="1539" max="1539" width="36" style="2" customWidth="1"/>
    <col min="1540" max="1792" width="11.5" style="2"/>
    <col min="1793" max="1793" width="36.5" style="2" customWidth="1"/>
    <col min="1794" max="1794" width="30.5" style="2" customWidth="1"/>
    <col min="1795" max="1795" width="36" style="2" customWidth="1"/>
    <col min="1796" max="2048" width="11.5" style="2"/>
    <col min="2049" max="2049" width="36.5" style="2" customWidth="1"/>
    <col min="2050" max="2050" width="30.5" style="2" customWidth="1"/>
    <col min="2051" max="2051" width="36" style="2" customWidth="1"/>
    <col min="2052" max="2304" width="11.5" style="2"/>
    <col min="2305" max="2305" width="36.5" style="2" customWidth="1"/>
    <col min="2306" max="2306" width="30.5" style="2" customWidth="1"/>
    <col min="2307" max="2307" width="36" style="2" customWidth="1"/>
    <col min="2308" max="2560" width="11.5" style="2"/>
    <col min="2561" max="2561" width="36.5" style="2" customWidth="1"/>
    <col min="2562" max="2562" width="30.5" style="2" customWidth="1"/>
    <col min="2563" max="2563" width="36" style="2" customWidth="1"/>
    <col min="2564" max="2816" width="11.5" style="2"/>
    <col min="2817" max="2817" width="36.5" style="2" customWidth="1"/>
    <col min="2818" max="2818" width="30.5" style="2" customWidth="1"/>
    <col min="2819" max="2819" width="36" style="2" customWidth="1"/>
    <col min="2820" max="3072" width="11.5" style="2"/>
    <col min="3073" max="3073" width="36.5" style="2" customWidth="1"/>
    <col min="3074" max="3074" width="30.5" style="2" customWidth="1"/>
    <col min="3075" max="3075" width="36" style="2" customWidth="1"/>
    <col min="3076" max="3328" width="11.5" style="2"/>
    <col min="3329" max="3329" width="36.5" style="2" customWidth="1"/>
    <col min="3330" max="3330" width="30.5" style="2" customWidth="1"/>
    <col min="3331" max="3331" width="36" style="2" customWidth="1"/>
    <col min="3332" max="3584" width="11.5" style="2"/>
    <col min="3585" max="3585" width="36.5" style="2" customWidth="1"/>
    <col min="3586" max="3586" width="30.5" style="2" customWidth="1"/>
    <col min="3587" max="3587" width="36" style="2" customWidth="1"/>
    <col min="3588" max="3840" width="11.5" style="2"/>
    <col min="3841" max="3841" width="36.5" style="2" customWidth="1"/>
    <col min="3842" max="3842" width="30.5" style="2" customWidth="1"/>
    <col min="3843" max="3843" width="36" style="2" customWidth="1"/>
    <col min="3844" max="4096" width="11.5" style="2"/>
    <col min="4097" max="4097" width="36.5" style="2" customWidth="1"/>
    <col min="4098" max="4098" width="30.5" style="2" customWidth="1"/>
    <col min="4099" max="4099" width="36" style="2" customWidth="1"/>
    <col min="4100" max="4352" width="11.5" style="2"/>
    <col min="4353" max="4353" width="36.5" style="2" customWidth="1"/>
    <col min="4354" max="4354" width="30.5" style="2" customWidth="1"/>
    <col min="4355" max="4355" width="36" style="2" customWidth="1"/>
    <col min="4356" max="4608" width="11.5" style="2"/>
    <col min="4609" max="4609" width="36.5" style="2" customWidth="1"/>
    <col min="4610" max="4610" width="30.5" style="2" customWidth="1"/>
    <col min="4611" max="4611" width="36" style="2" customWidth="1"/>
    <col min="4612" max="4864" width="11.5" style="2"/>
    <col min="4865" max="4865" width="36.5" style="2" customWidth="1"/>
    <col min="4866" max="4866" width="30.5" style="2" customWidth="1"/>
    <col min="4867" max="4867" width="36" style="2" customWidth="1"/>
    <col min="4868" max="5120" width="11.5" style="2"/>
    <col min="5121" max="5121" width="36.5" style="2" customWidth="1"/>
    <col min="5122" max="5122" width="30.5" style="2" customWidth="1"/>
    <col min="5123" max="5123" width="36" style="2" customWidth="1"/>
    <col min="5124" max="5376" width="11.5" style="2"/>
    <col min="5377" max="5377" width="36.5" style="2" customWidth="1"/>
    <col min="5378" max="5378" width="30.5" style="2" customWidth="1"/>
    <col min="5379" max="5379" width="36" style="2" customWidth="1"/>
    <col min="5380" max="5632" width="11.5" style="2"/>
    <col min="5633" max="5633" width="36.5" style="2" customWidth="1"/>
    <col min="5634" max="5634" width="30.5" style="2" customWidth="1"/>
    <col min="5635" max="5635" width="36" style="2" customWidth="1"/>
    <col min="5636" max="5888" width="11.5" style="2"/>
    <col min="5889" max="5889" width="36.5" style="2" customWidth="1"/>
    <col min="5890" max="5890" width="30.5" style="2" customWidth="1"/>
    <col min="5891" max="5891" width="36" style="2" customWidth="1"/>
    <col min="5892" max="6144" width="11.5" style="2"/>
    <col min="6145" max="6145" width="36.5" style="2" customWidth="1"/>
    <col min="6146" max="6146" width="30.5" style="2" customWidth="1"/>
    <col min="6147" max="6147" width="36" style="2" customWidth="1"/>
    <col min="6148" max="6400" width="11.5" style="2"/>
    <col min="6401" max="6401" width="36.5" style="2" customWidth="1"/>
    <col min="6402" max="6402" width="30.5" style="2" customWidth="1"/>
    <col min="6403" max="6403" width="36" style="2" customWidth="1"/>
    <col min="6404" max="6656" width="11.5" style="2"/>
    <col min="6657" max="6657" width="36.5" style="2" customWidth="1"/>
    <col min="6658" max="6658" width="30.5" style="2" customWidth="1"/>
    <col min="6659" max="6659" width="36" style="2" customWidth="1"/>
    <col min="6660" max="6912" width="11.5" style="2"/>
    <col min="6913" max="6913" width="36.5" style="2" customWidth="1"/>
    <col min="6914" max="6914" width="30.5" style="2" customWidth="1"/>
    <col min="6915" max="6915" width="36" style="2" customWidth="1"/>
    <col min="6916" max="7168" width="11.5" style="2"/>
    <col min="7169" max="7169" width="36.5" style="2" customWidth="1"/>
    <col min="7170" max="7170" width="30.5" style="2" customWidth="1"/>
    <col min="7171" max="7171" width="36" style="2" customWidth="1"/>
    <col min="7172" max="7424" width="11.5" style="2"/>
    <col min="7425" max="7425" width="36.5" style="2" customWidth="1"/>
    <col min="7426" max="7426" width="30.5" style="2" customWidth="1"/>
    <col min="7427" max="7427" width="36" style="2" customWidth="1"/>
    <col min="7428" max="7680" width="11.5" style="2"/>
    <col min="7681" max="7681" width="36.5" style="2" customWidth="1"/>
    <col min="7682" max="7682" width="30.5" style="2" customWidth="1"/>
    <col min="7683" max="7683" width="36" style="2" customWidth="1"/>
    <col min="7684" max="7936" width="11.5" style="2"/>
    <col min="7937" max="7937" width="36.5" style="2" customWidth="1"/>
    <col min="7938" max="7938" width="30.5" style="2" customWidth="1"/>
    <col min="7939" max="7939" width="36" style="2" customWidth="1"/>
    <col min="7940" max="8192" width="11.5" style="2"/>
    <col min="8193" max="8193" width="36.5" style="2" customWidth="1"/>
    <col min="8194" max="8194" width="30.5" style="2" customWidth="1"/>
    <col min="8195" max="8195" width="36" style="2" customWidth="1"/>
    <col min="8196" max="8448" width="11.5" style="2"/>
    <col min="8449" max="8449" width="36.5" style="2" customWidth="1"/>
    <col min="8450" max="8450" width="30.5" style="2" customWidth="1"/>
    <col min="8451" max="8451" width="36" style="2" customWidth="1"/>
    <col min="8452" max="8704" width="11.5" style="2"/>
    <col min="8705" max="8705" width="36.5" style="2" customWidth="1"/>
    <col min="8706" max="8706" width="30.5" style="2" customWidth="1"/>
    <col min="8707" max="8707" width="36" style="2" customWidth="1"/>
    <col min="8708" max="8960" width="11.5" style="2"/>
    <col min="8961" max="8961" width="36.5" style="2" customWidth="1"/>
    <col min="8962" max="8962" width="30.5" style="2" customWidth="1"/>
    <col min="8963" max="8963" width="36" style="2" customWidth="1"/>
    <col min="8964" max="9216" width="11.5" style="2"/>
    <col min="9217" max="9217" width="36.5" style="2" customWidth="1"/>
    <col min="9218" max="9218" width="30.5" style="2" customWidth="1"/>
    <col min="9219" max="9219" width="36" style="2" customWidth="1"/>
    <col min="9220" max="9472" width="11.5" style="2"/>
    <col min="9473" max="9473" width="36.5" style="2" customWidth="1"/>
    <col min="9474" max="9474" width="30.5" style="2" customWidth="1"/>
    <col min="9475" max="9475" width="36" style="2" customWidth="1"/>
    <col min="9476" max="9728" width="11.5" style="2"/>
    <col min="9729" max="9729" width="36.5" style="2" customWidth="1"/>
    <col min="9730" max="9730" width="30.5" style="2" customWidth="1"/>
    <col min="9731" max="9731" width="36" style="2" customWidth="1"/>
    <col min="9732" max="9984" width="11.5" style="2"/>
    <col min="9985" max="9985" width="36.5" style="2" customWidth="1"/>
    <col min="9986" max="9986" width="30.5" style="2" customWidth="1"/>
    <col min="9987" max="9987" width="36" style="2" customWidth="1"/>
    <col min="9988" max="10240" width="11.5" style="2"/>
    <col min="10241" max="10241" width="36.5" style="2" customWidth="1"/>
    <col min="10242" max="10242" width="30.5" style="2" customWidth="1"/>
    <col min="10243" max="10243" width="36" style="2" customWidth="1"/>
    <col min="10244" max="10496" width="11.5" style="2"/>
    <col min="10497" max="10497" width="36.5" style="2" customWidth="1"/>
    <col min="10498" max="10498" width="30.5" style="2" customWidth="1"/>
    <col min="10499" max="10499" width="36" style="2" customWidth="1"/>
    <col min="10500" max="10752" width="11.5" style="2"/>
    <col min="10753" max="10753" width="36.5" style="2" customWidth="1"/>
    <col min="10754" max="10754" width="30.5" style="2" customWidth="1"/>
    <col min="10755" max="10755" width="36" style="2" customWidth="1"/>
    <col min="10756" max="11008" width="11.5" style="2"/>
    <col min="11009" max="11009" width="36.5" style="2" customWidth="1"/>
    <col min="11010" max="11010" width="30.5" style="2" customWidth="1"/>
    <col min="11011" max="11011" width="36" style="2" customWidth="1"/>
    <col min="11012" max="11264" width="11.5" style="2"/>
    <col min="11265" max="11265" width="36.5" style="2" customWidth="1"/>
    <col min="11266" max="11266" width="30.5" style="2" customWidth="1"/>
    <col min="11267" max="11267" width="36" style="2" customWidth="1"/>
    <col min="11268" max="11520" width="11.5" style="2"/>
    <col min="11521" max="11521" width="36.5" style="2" customWidth="1"/>
    <col min="11522" max="11522" width="30.5" style="2" customWidth="1"/>
    <col min="11523" max="11523" width="36" style="2" customWidth="1"/>
    <col min="11524" max="11776" width="11.5" style="2"/>
    <col min="11777" max="11777" width="36.5" style="2" customWidth="1"/>
    <col min="11778" max="11778" width="30.5" style="2" customWidth="1"/>
    <col min="11779" max="11779" width="36" style="2" customWidth="1"/>
    <col min="11780" max="12032" width="11.5" style="2"/>
    <col min="12033" max="12033" width="36.5" style="2" customWidth="1"/>
    <col min="12034" max="12034" width="30.5" style="2" customWidth="1"/>
    <col min="12035" max="12035" width="36" style="2" customWidth="1"/>
    <col min="12036" max="12288" width="11.5" style="2"/>
    <col min="12289" max="12289" width="36.5" style="2" customWidth="1"/>
    <col min="12290" max="12290" width="30.5" style="2" customWidth="1"/>
    <col min="12291" max="12291" width="36" style="2" customWidth="1"/>
    <col min="12292" max="12544" width="11.5" style="2"/>
    <col min="12545" max="12545" width="36.5" style="2" customWidth="1"/>
    <col min="12546" max="12546" width="30.5" style="2" customWidth="1"/>
    <col min="12547" max="12547" width="36" style="2" customWidth="1"/>
    <col min="12548" max="12800" width="11.5" style="2"/>
    <col min="12801" max="12801" width="36.5" style="2" customWidth="1"/>
    <col min="12802" max="12802" width="30.5" style="2" customWidth="1"/>
    <col min="12803" max="12803" width="36" style="2" customWidth="1"/>
    <col min="12804" max="13056" width="11.5" style="2"/>
    <col min="13057" max="13057" width="36.5" style="2" customWidth="1"/>
    <col min="13058" max="13058" width="30.5" style="2" customWidth="1"/>
    <col min="13059" max="13059" width="36" style="2" customWidth="1"/>
    <col min="13060" max="13312" width="11.5" style="2"/>
    <col min="13313" max="13313" width="36.5" style="2" customWidth="1"/>
    <col min="13314" max="13314" width="30.5" style="2" customWidth="1"/>
    <col min="13315" max="13315" width="36" style="2" customWidth="1"/>
    <col min="13316" max="13568" width="11.5" style="2"/>
    <col min="13569" max="13569" width="36.5" style="2" customWidth="1"/>
    <col min="13570" max="13570" width="30.5" style="2" customWidth="1"/>
    <col min="13571" max="13571" width="36" style="2" customWidth="1"/>
    <col min="13572" max="13824" width="11.5" style="2"/>
    <col min="13825" max="13825" width="36.5" style="2" customWidth="1"/>
    <col min="13826" max="13826" width="30.5" style="2" customWidth="1"/>
    <col min="13827" max="13827" width="36" style="2" customWidth="1"/>
    <col min="13828" max="14080" width="11.5" style="2"/>
    <col min="14081" max="14081" width="36.5" style="2" customWidth="1"/>
    <col min="14082" max="14082" width="30.5" style="2" customWidth="1"/>
    <col min="14083" max="14083" width="36" style="2" customWidth="1"/>
    <col min="14084" max="14336" width="11.5" style="2"/>
    <col min="14337" max="14337" width="36.5" style="2" customWidth="1"/>
    <col min="14338" max="14338" width="30.5" style="2" customWidth="1"/>
    <col min="14339" max="14339" width="36" style="2" customWidth="1"/>
    <col min="14340" max="14592" width="11.5" style="2"/>
    <col min="14593" max="14593" width="36.5" style="2" customWidth="1"/>
    <col min="14594" max="14594" width="30.5" style="2" customWidth="1"/>
    <col min="14595" max="14595" width="36" style="2" customWidth="1"/>
    <col min="14596" max="14848" width="11.5" style="2"/>
    <col min="14849" max="14849" width="36.5" style="2" customWidth="1"/>
    <col min="14850" max="14850" width="30.5" style="2" customWidth="1"/>
    <col min="14851" max="14851" width="36" style="2" customWidth="1"/>
    <col min="14852" max="15104" width="11.5" style="2"/>
    <col min="15105" max="15105" width="36.5" style="2" customWidth="1"/>
    <col min="15106" max="15106" width="30.5" style="2" customWidth="1"/>
    <col min="15107" max="15107" width="36" style="2" customWidth="1"/>
    <col min="15108" max="15360" width="11.5" style="2"/>
    <col min="15361" max="15361" width="36.5" style="2" customWidth="1"/>
    <col min="15362" max="15362" width="30.5" style="2" customWidth="1"/>
    <col min="15363" max="15363" width="36" style="2" customWidth="1"/>
    <col min="15364" max="15616" width="11.5" style="2"/>
    <col min="15617" max="15617" width="36.5" style="2" customWidth="1"/>
    <col min="15618" max="15618" width="30.5" style="2" customWidth="1"/>
    <col min="15619" max="15619" width="36" style="2" customWidth="1"/>
    <col min="15620" max="15872" width="11.5" style="2"/>
    <col min="15873" max="15873" width="36.5" style="2" customWidth="1"/>
    <col min="15874" max="15874" width="30.5" style="2" customWidth="1"/>
    <col min="15875" max="15875" width="36" style="2" customWidth="1"/>
    <col min="15876" max="16128" width="11.5" style="2"/>
    <col min="16129" max="16129" width="36.5" style="2" customWidth="1"/>
    <col min="16130" max="16130" width="30.5" style="2" customWidth="1"/>
    <col min="16131" max="16131" width="36" style="2" customWidth="1"/>
    <col min="16132" max="16384" width="11.5" style="2"/>
  </cols>
  <sheetData>
    <row r="1" spans="1:3" ht="11.25" customHeight="1">
      <c r="A1" s="1"/>
    </row>
    <row r="2" spans="1:3">
      <c r="A2" s="3"/>
    </row>
    <row r="3" spans="1:3" ht="19">
      <c r="A3" s="12">
        <f>COV!E6</f>
        <v>0</v>
      </c>
      <c r="B3" s="12">
        <f>COV!E7</f>
        <v>0</v>
      </c>
      <c r="C3" s="13">
        <f>COV!E10</f>
        <v>0</v>
      </c>
    </row>
    <row r="4" spans="1:3" ht="42" customHeight="1">
      <c r="A4" s="4" t="s">
        <v>84</v>
      </c>
      <c r="B4" s="4" t="s">
        <v>85</v>
      </c>
      <c r="C4" s="4" t="s">
        <v>86</v>
      </c>
    </row>
    <row r="5" spans="1:3" ht="17" thickBot="1">
      <c r="A5" s="5"/>
      <c r="B5" s="5"/>
    </row>
    <row r="6" spans="1:3">
      <c r="A6" s="4" t="s">
        <v>87</v>
      </c>
      <c r="B6" s="4" t="s">
        <v>88</v>
      </c>
    </row>
    <row r="7" spans="1:3" ht="23">
      <c r="A7" s="6" t="s">
        <v>89</v>
      </c>
    </row>
    <row r="9" spans="1:3">
      <c r="A9" s="7"/>
    </row>
    <row r="10" spans="1:3">
      <c r="A10" s="7" t="s">
        <v>99</v>
      </c>
    </row>
    <row r="11" spans="1:3">
      <c r="A11" s="7" t="s">
        <v>100</v>
      </c>
    </row>
    <row r="12" spans="1:3">
      <c r="A12" s="7" t="s">
        <v>101</v>
      </c>
    </row>
    <row r="13" spans="1:3">
      <c r="A13" s="7" t="s">
        <v>102</v>
      </c>
    </row>
    <row r="14" spans="1:3">
      <c r="A14" s="7"/>
    </row>
    <row r="15" spans="1:3">
      <c r="A15" s="7" t="s">
        <v>103</v>
      </c>
    </row>
    <row r="16" spans="1:3">
      <c r="A16" s="7"/>
    </row>
    <row r="17" spans="1:5">
      <c r="A17" s="8" t="s">
        <v>90</v>
      </c>
      <c r="B17" s="9"/>
      <c r="C17" s="9"/>
    </row>
    <row r="18" spans="1:5">
      <c r="A18" s="8" t="s">
        <v>91</v>
      </c>
      <c r="B18" s="9"/>
      <c r="C18" s="9"/>
    </row>
    <row r="19" spans="1:5" ht="29" customHeight="1">
      <c r="A19" s="2561" t="s">
        <v>104</v>
      </c>
      <c r="B19" s="2562"/>
      <c r="C19" s="2562"/>
      <c r="D19" s="2562"/>
      <c r="E19" s="2562"/>
    </row>
    <row r="20" spans="1:5">
      <c r="A20" s="2560" t="s">
        <v>98</v>
      </c>
      <c r="B20" s="2560"/>
      <c r="C20" s="2560"/>
    </row>
    <row r="21" spans="1:5">
      <c r="A21" s="10"/>
      <c r="B21" s="10"/>
      <c r="C21" s="10"/>
    </row>
    <row r="22" spans="1:5">
      <c r="A22" s="2560" t="s">
        <v>97</v>
      </c>
      <c r="B22" s="2560"/>
      <c r="C22" s="2560"/>
    </row>
    <row r="23" spans="1:5">
      <c r="A23" s="7"/>
    </row>
    <row r="24" spans="1:5">
      <c r="A24" s="11" t="s">
        <v>92</v>
      </c>
    </row>
    <row r="25" spans="1:5">
      <c r="A25" s="11" t="s">
        <v>93</v>
      </c>
    </row>
    <row r="26" spans="1:5">
      <c r="A26" s="11" t="s">
        <v>94</v>
      </c>
    </row>
    <row r="27" spans="1:5">
      <c r="A27" s="11" t="s">
        <v>95</v>
      </c>
    </row>
    <row r="28" spans="1:5">
      <c r="A28" s="7" t="s">
        <v>96</v>
      </c>
    </row>
  </sheetData>
  <sheetProtection algorithmName="SHA-512" hashValue="NAwZ6WMJvmbc+YO/hwstgjKgzCxHLeGsG6OHramKy3YdYM7xf77UXmjAEMYjkvWWKJPJPeYCLV/z4qmcO2TDVA==" saltValue="+ov8PYk2bVZhyynz6GnTgA==" spinCount="100000" sheet="1" objects="1" scenarios="1" selectLockedCells="1" selectUnlockedCells="1"/>
  <mergeCells count="3">
    <mergeCell ref="A20:C20"/>
    <mergeCell ref="A22:C22"/>
    <mergeCell ref="A19:E19"/>
  </mergeCells>
  <pageMargins left="0.7" right="0.7" top="0.78740157499999996" bottom="0.78740157499999996" header="0.3" footer="0.3"/>
  <pageSetup paperSize="9" scale="46" orientation="portrait" r:id="rId1"/>
  <headerFooter>
    <oddFooter>&amp;LDok.-Nr./Rev./Datum
F01         /  03   / 04.12.2020
&amp;F&amp;C&amp;U&amp;A&amp;RSeite &amp;P / &amp;N</oddFooter>
  </headerFooter>
  <drawing r:id="rId2"/>
  <legacyDrawing r:id="rId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upport_Sheet28"/>
  <dimension ref="B1:E46"/>
  <sheetViews>
    <sheetView topLeftCell="A72" workbookViewId="0">
      <selection activeCell="B109" sqref="B109"/>
    </sheetView>
  </sheetViews>
  <sheetFormatPr baseColWidth="10" defaultColWidth="10.83203125" defaultRowHeight="14"/>
  <cols>
    <col min="1" max="1" width="10.83203125" style="64"/>
    <col min="2" max="2" width="5.5" style="64" customWidth="1"/>
    <col min="3" max="4" width="10.83203125" style="64"/>
    <col min="5" max="5" width="50.5" style="64" customWidth="1"/>
    <col min="6" max="9" width="10.83203125" style="64"/>
    <col min="10" max="10" width="8.5" style="64" customWidth="1"/>
    <col min="11" max="16384" width="10.83203125" style="64"/>
  </cols>
  <sheetData>
    <row r="1" spans="2:5">
      <c r="C1" s="2570"/>
      <c r="D1" s="2570"/>
      <c r="E1" s="2570"/>
    </row>
    <row r="2" spans="2:5" ht="15.75" customHeight="1">
      <c r="B2" s="2571" t="s">
        <v>184</v>
      </c>
      <c r="C2" s="2571"/>
      <c r="D2" s="2571"/>
      <c r="E2" s="2571"/>
    </row>
    <row r="3" spans="2:5">
      <c r="B3" s="65"/>
      <c r="C3" s="2572"/>
      <c r="D3" s="2572"/>
      <c r="E3" s="2572"/>
    </row>
    <row r="4" spans="2:5" ht="25.5" customHeight="1">
      <c r="B4" s="2573" t="s">
        <v>185</v>
      </c>
      <c r="C4" s="2573"/>
      <c r="D4" s="2573"/>
      <c r="E4" s="2573"/>
    </row>
    <row r="5" spans="2:5" ht="33.75" customHeight="1">
      <c r="B5" s="2573" t="s">
        <v>186</v>
      </c>
      <c r="C5" s="2573"/>
      <c r="D5" s="2573"/>
      <c r="E5" s="2573"/>
    </row>
    <row r="6" spans="2:5" ht="33.75" customHeight="1">
      <c r="B6" s="2573" t="s">
        <v>187</v>
      </c>
      <c r="C6" s="2573"/>
      <c r="D6" s="2573"/>
      <c r="E6" s="2573"/>
    </row>
    <row r="7" spans="2:5">
      <c r="B7" s="65"/>
      <c r="C7" s="2572"/>
      <c r="D7" s="2572"/>
      <c r="E7" s="2572"/>
    </row>
    <row r="8" spans="2:5" ht="15" customHeight="1">
      <c r="B8" s="2574" t="s">
        <v>188</v>
      </c>
      <c r="C8" s="2574"/>
      <c r="D8" s="2574"/>
      <c r="E8" s="2574"/>
    </row>
    <row r="9" spans="2:5" ht="52.25" customHeight="1">
      <c r="B9" s="2575" t="s">
        <v>189</v>
      </c>
      <c r="C9" s="2575"/>
      <c r="D9" s="2575"/>
      <c r="E9" s="2575"/>
    </row>
    <row r="10" spans="2:5" ht="45.75" customHeight="1">
      <c r="B10" s="2573" t="s">
        <v>190</v>
      </c>
      <c r="C10" s="2573"/>
      <c r="D10" s="2573"/>
      <c r="E10" s="2573"/>
    </row>
    <row r="11" spans="2:5" ht="19.25" customHeight="1">
      <c r="B11" s="2576" t="s">
        <v>191</v>
      </c>
      <c r="C11" s="2576"/>
      <c r="D11" s="2576"/>
      <c r="E11" s="2576"/>
    </row>
    <row r="12" spans="2:5" s="66" customFormat="1">
      <c r="B12" s="66" t="s">
        <v>192</v>
      </c>
      <c r="C12" s="66" t="s">
        <v>193</v>
      </c>
      <c r="D12" s="66" t="s">
        <v>194</v>
      </c>
      <c r="E12" s="67"/>
    </row>
    <row r="13" spans="2:5" ht="15" customHeight="1">
      <c r="B13" s="68">
        <v>1</v>
      </c>
      <c r="C13" s="69" t="s">
        <v>195</v>
      </c>
      <c r="D13" s="2567" t="s">
        <v>196</v>
      </c>
      <c r="E13" s="2568"/>
    </row>
    <row r="14" spans="2:5" ht="15" customHeight="1">
      <c r="B14" s="68">
        <v>2</v>
      </c>
      <c r="C14" s="69" t="s">
        <v>197</v>
      </c>
      <c r="D14" s="2567" t="s">
        <v>198</v>
      </c>
      <c r="E14" s="2568"/>
    </row>
    <row r="15" spans="2:5" ht="26.75" customHeight="1">
      <c r="B15" s="68">
        <v>3</v>
      </c>
      <c r="C15" s="69" t="s">
        <v>199</v>
      </c>
      <c r="D15" s="2569" t="s">
        <v>200</v>
      </c>
      <c r="E15" s="2569"/>
    </row>
    <row r="16" spans="2:5" ht="24.75" customHeight="1">
      <c r="B16" s="68">
        <v>4</v>
      </c>
      <c r="C16" s="69" t="s">
        <v>201</v>
      </c>
      <c r="D16" s="2567" t="s">
        <v>202</v>
      </c>
      <c r="E16" s="2568"/>
    </row>
    <row r="17" spans="2:5" ht="15" customHeight="1">
      <c r="B17" s="68">
        <v>5</v>
      </c>
      <c r="C17" s="69" t="s">
        <v>203</v>
      </c>
      <c r="D17" s="2567" t="s">
        <v>204</v>
      </c>
      <c r="E17" s="2568"/>
    </row>
    <row r="18" spans="2:5" ht="49.5" customHeight="1">
      <c r="B18" s="68">
        <v>6</v>
      </c>
      <c r="C18" s="69" t="s">
        <v>205</v>
      </c>
      <c r="D18" s="2567" t="s">
        <v>206</v>
      </c>
      <c r="E18" s="2568"/>
    </row>
    <row r="19" spans="2:5" ht="60.75" customHeight="1">
      <c r="B19" s="68">
        <v>7</v>
      </c>
      <c r="C19" s="69" t="s">
        <v>207</v>
      </c>
      <c r="D19" s="2567" t="s">
        <v>208</v>
      </c>
      <c r="E19" s="2568"/>
    </row>
    <row r="20" spans="2:5" ht="57.75" customHeight="1">
      <c r="B20" s="68">
        <v>8</v>
      </c>
      <c r="C20" s="69" t="s">
        <v>209</v>
      </c>
      <c r="D20" s="2567" t="s">
        <v>210</v>
      </c>
      <c r="E20" s="2568"/>
    </row>
    <row r="21" spans="2:5" ht="49.25" customHeight="1">
      <c r="B21" s="68">
        <v>9</v>
      </c>
      <c r="C21" s="69" t="s">
        <v>211</v>
      </c>
      <c r="D21" s="2567" t="s">
        <v>212</v>
      </c>
      <c r="E21" s="2568"/>
    </row>
    <row r="22" spans="2:5" ht="27" customHeight="1">
      <c r="B22" s="68">
        <v>10</v>
      </c>
      <c r="C22" s="69" t="s">
        <v>213</v>
      </c>
      <c r="D22" s="2569" t="s">
        <v>214</v>
      </c>
      <c r="E22" s="2569"/>
    </row>
    <row r="23" spans="2:5" ht="57.75" customHeight="1">
      <c r="B23" s="68">
        <v>11</v>
      </c>
      <c r="C23" s="69" t="s">
        <v>215</v>
      </c>
      <c r="D23" s="2569" t="s">
        <v>216</v>
      </c>
      <c r="E23" s="2569"/>
    </row>
    <row r="26" spans="2:5" ht="15" customHeight="1">
      <c r="C26" s="2566" t="s">
        <v>217</v>
      </c>
      <c r="D26" s="2566"/>
      <c r="E26" s="2566"/>
    </row>
    <row r="27" spans="2:5" ht="50.25" customHeight="1">
      <c r="C27" s="2563" t="s">
        <v>218</v>
      </c>
      <c r="D27" s="2563"/>
      <c r="E27" s="2563"/>
    </row>
    <row r="28" spans="2:5" ht="23.25" customHeight="1">
      <c r="C28" s="2563" t="s">
        <v>219</v>
      </c>
      <c r="D28" s="2563"/>
      <c r="E28" s="2563"/>
    </row>
    <row r="29" spans="2:5" ht="24" customHeight="1">
      <c r="C29" s="2565" t="s">
        <v>220</v>
      </c>
      <c r="D29" s="2565"/>
      <c r="E29" s="2565"/>
    </row>
    <row r="30" spans="2:5" ht="22.5" customHeight="1">
      <c r="C30" s="2563" t="s">
        <v>221</v>
      </c>
      <c r="D30" s="2563"/>
      <c r="E30" s="2563"/>
    </row>
    <row r="32" spans="2:5" ht="15" customHeight="1">
      <c r="C32" s="2566" t="s">
        <v>222</v>
      </c>
      <c r="D32" s="2566"/>
      <c r="E32" s="2566"/>
    </row>
    <row r="33" spans="3:5" ht="38.25" customHeight="1">
      <c r="C33" s="2563" t="s">
        <v>223</v>
      </c>
      <c r="D33" s="2563"/>
      <c r="E33" s="2563"/>
    </row>
    <row r="34" spans="3:5" ht="28.5" customHeight="1">
      <c r="C34" s="2563" t="s">
        <v>224</v>
      </c>
      <c r="D34" s="2563"/>
      <c r="E34" s="2563"/>
    </row>
    <row r="35" spans="3:5" ht="41.25" customHeight="1">
      <c r="C35" s="2563" t="s">
        <v>225</v>
      </c>
      <c r="D35" s="2563"/>
      <c r="E35" s="2563"/>
    </row>
    <row r="37" spans="3:5">
      <c r="C37" s="70" t="s">
        <v>105</v>
      </c>
    </row>
    <row r="40" spans="3:5">
      <c r="C40" s="64" t="s">
        <v>226</v>
      </c>
    </row>
    <row r="41" spans="3:5" s="72" customFormat="1" ht="32" customHeight="1">
      <c r="C41" s="71" t="s">
        <v>227</v>
      </c>
      <c r="D41" s="2564" t="s">
        <v>228</v>
      </c>
      <c r="E41" s="2564"/>
    </row>
    <row r="42" spans="3:5">
      <c r="C42" s="73" t="s">
        <v>14</v>
      </c>
    </row>
    <row r="43" spans="3:5">
      <c r="C43" s="73" t="s">
        <v>119</v>
      </c>
    </row>
    <row r="44" spans="3:5">
      <c r="C44" s="73" t="s">
        <v>7</v>
      </c>
    </row>
    <row r="45" spans="3:5">
      <c r="C45" s="73" t="s">
        <v>229</v>
      </c>
    </row>
    <row r="46" spans="3:5">
      <c r="C46" s="73" t="s">
        <v>230</v>
      </c>
    </row>
  </sheetData>
  <sheetProtection algorithmName="SHA-512" hashValue="Wt+5AdBNYiw5xC6/Dk9i9uV+NVxZlaoLCkfjzsVB8f06vdx++r+479cvZHY0ow5M7/ILn+Rz0/kQ8d0FZyjsjQ==" saltValue="TCL07GnKBizeUkR7/QXSUQ==" spinCount="100000" sheet="1" objects="1" scenarios="1" selectLockedCells="1" selectUnlockedCells="1"/>
  <mergeCells count="32">
    <mergeCell ref="D13:E13"/>
    <mergeCell ref="C1:E1"/>
    <mergeCell ref="B2:E2"/>
    <mergeCell ref="C3:E3"/>
    <mergeCell ref="B4:E4"/>
    <mergeCell ref="B5:E5"/>
    <mergeCell ref="B6:E6"/>
    <mergeCell ref="C7:E7"/>
    <mergeCell ref="B8:E8"/>
    <mergeCell ref="B9:E9"/>
    <mergeCell ref="B10:E10"/>
    <mergeCell ref="B11:E11"/>
    <mergeCell ref="C27:E27"/>
    <mergeCell ref="D14:E14"/>
    <mergeCell ref="D15:E15"/>
    <mergeCell ref="D16:E16"/>
    <mergeCell ref="D17:E17"/>
    <mergeCell ref="D18:E18"/>
    <mergeCell ref="D19:E19"/>
    <mergeCell ref="D20:E20"/>
    <mergeCell ref="D21:E21"/>
    <mergeCell ref="D22:E22"/>
    <mergeCell ref="D23:E23"/>
    <mergeCell ref="C26:E26"/>
    <mergeCell ref="C35:E35"/>
    <mergeCell ref="D41:E41"/>
    <mergeCell ref="C28:E28"/>
    <mergeCell ref="C29:E29"/>
    <mergeCell ref="C30:E30"/>
    <mergeCell ref="C32:E32"/>
    <mergeCell ref="C33:E33"/>
    <mergeCell ref="C34:E34"/>
  </mergeCells>
  <pageMargins left="0.7" right="0.7" top="0.78740157499999996" bottom="0.78740157499999996" header="0.3" footer="0.3"/>
  <pageSetup paperSize="9" scale="46" orientation="portrait" r:id="rId1"/>
  <headerFooter>
    <oddFooter>&amp;LDok.-Nr./Rev./Datum
F01         /  03   / 04.12.2020
&amp;F&amp;C&amp;U&amp;A&amp;RSeite &amp;P /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8035990F0D5E14F9658A95D883627F6" ma:contentTypeVersion="14" ma:contentTypeDescription="Create a new document." ma:contentTypeScope="" ma:versionID="3cf47432b3d540b0b28995a33a5d64ad">
  <xsd:schema xmlns:xsd="http://www.w3.org/2001/XMLSchema" xmlns:xs="http://www.w3.org/2001/XMLSchema" xmlns:p="http://schemas.microsoft.com/office/2006/metadata/properties" xmlns:ns2="404d1bc1-244c-4fad-a017-34cc368e2468" xmlns:ns3="6b03aa9d-4536-4b94-88d5-2ce893be7a70" targetNamespace="http://schemas.microsoft.com/office/2006/metadata/properties" ma:root="true" ma:fieldsID="c04ddc49441b1aaa5cec607d5aebd2cc" ns2:_="" ns3:_="">
    <xsd:import namespace="404d1bc1-244c-4fad-a017-34cc368e2468"/>
    <xsd:import namespace="6b03aa9d-4536-4b94-88d5-2ce893be7a7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4d1bc1-244c-4fad-a017-34cc368e246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b4b6d42c-51e6-487b-9754-685802a2e215"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b03aa9d-4536-4b94-88d5-2ce893be7a70"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4cc1d481-f238-4510-8c26-772ca3eeffd0}" ma:internalName="TaxCatchAll" ma:showField="CatchAllData" ma:web="6b03aa9d-4536-4b94-88d5-2ce893be7a7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04d1bc1-244c-4fad-a017-34cc368e2468">
      <Terms xmlns="http://schemas.microsoft.com/office/infopath/2007/PartnerControls"/>
    </lcf76f155ced4ddcb4097134ff3c332f>
    <TaxCatchAll xmlns="6b03aa9d-4536-4b94-88d5-2ce893be7a70"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FA72E61-827E-4870-A78B-78A486E0DAA2}"/>
</file>

<file path=customXml/itemProps2.xml><?xml version="1.0" encoding="utf-8"?>
<ds:datastoreItem xmlns:ds="http://schemas.openxmlformats.org/officeDocument/2006/customXml" ds:itemID="{945E28C8-F23F-4C21-BCD7-66505C5D5C6C}">
  <ds:schemaRefs>
    <ds:schemaRef ds:uri="http://schemas.openxmlformats.org/package/2006/metadata/core-properties"/>
    <ds:schemaRef ds:uri="http://schemas.microsoft.com/office/infopath/2007/PartnerControls"/>
    <ds:schemaRef ds:uri="http://www.w3.org/XML/1998/namespace"/>
    <ds:schemaRef ds:uri="http://schemas.microsoft.com/office/2006/documentManagement/types"/>
    <ds:schemaRef ds:uri="http://purl.org/dc/dcmitype/"/>
    <ds:schemaRef ds:uri="http://schemas.microsoft.com/sharepoint/v4"/>
    <ds:schemaRef ds:uri="http://schemas.microsoft.com/office/2006/metadata/properties"/>
    <ds:schemaRef ds:uri="http://purl.org/dc/terms/"/>
    <ds:schemaRef ds:uri="http://purl.org/dc/elements/1.1/"/>
    <ds:schemaRef ds:uri="9c6a4de0-b11e-43e7-a5c0-3cb89b556552"/>
    <ds:schemaRef ds:uri="8b326cb3-231e-4939-a87e-3200c47de9e0"/>
    <ds:schemaRef ds:uri="9f7d24de-e1cf-4a85-9378-83b3734d663e"/>
    <ds:schemaRef ds:uri="4b531967-ce17-4cfd-a543-b73c4c3f50b8"/>
  </ds:schemaRefs>
</ds:datastoreItem>
</file>

<file path=customXml/itemProps3.xml><?xml version="1.0" encoding="utf-8"?>
<ds:datastoreItem xmlns:ds="http://schemas.openxmlformats.org/officeDocument/2006/customXml" ds:itemID="{B7573105-5832-4749-A730-78F089EDB7A3}">
  <ds:schemaRefs>
    <ds:schemaRef ds:uri="http://schemas.microsoft.com/sharepoint/v3/contenttype/forms"/>
  </ds:schemaRefs>
</ds:datastoreItem>
</file>

<file path=docMetadata/LabelInfo.xml><?xml version="1.0" encoding="utf-8"?>
<clbl:labelList xmlns:clbl="http://schemas.microsoft.com/office/2020/mipLabelMetadata">
  <clbl:label id="{02b85b05-d019-4a7e-ae7d-804783b7a8f4}" enabled="1" method="Standard" siteId="{a6bbab92-053e-490b-bd7e-5cd03763b746}" contentBits="0" removed="0"/>
</clbl:labelList>
</file>

<file path=docProps/app.xml><?xml version="1.0" encoding="utf-8"?>
<Properties xmlns="http://schemas.openxmlformats.org/officeDocument/2006/extended-properties" xmlns:vt="http://schemas.openxmlformats.org/officeDocument/2006/docPropsVTypes">
  <Template/>
  <Application>Microsoft Macintosh Excel</Application>
  <DocSecurity>0</DocSecurity>
  <ScaleCrop>false</ScaleCrop>
  <HeadingPairs>
    <vt:vector size="4" baseType="variant">
      <vt:variant>
        <vt:lpstr>Worksheets</vt:lpstr>
      </vt:variant>
      <vt:variant>
        <vt:i4>74</vt:i4>
      </vt:variant>
      <vt:variant>
        <vt:lpstr>Named Ranges</vt:lpstr>
      </vt:variant>
      <vt:variant>
        <vt:i4>479</vt:i4>
      </vt:variant>
    </vt:vector>
  </HeadingPairs>
  <TitlesOfParts>
    <vt:vector size="553" baseType="lpstr">
      <vt:lpstr>Changes</vt:lpstr>
      <vt:lpstr>Instructions-Anleitung</vt:lpstr>
      <vt:lpstr>COV</vt:lpstr>
      <vt:lpstr>ADR</vt:lpstr>
      <vt:lpstr>REF</vt:lpstr>
      <vt:lpstr>SAS</vt:lpstr>
      <vt:lpstr>RCL</vt:lpstr>
      <vt:lpstr>RCT</vt:lpstr>
      <vt:lpstr>EXP</vt:lpstr>
      <vt:lpstr>1</vt:lpstr>
      <vt:lpstr>PL1</vt:lpstr>
      <vt:lpstr>P1-MCR</vt:lpstr>
      <vt:lpstr>2</vt:lpstr>
      <vt:lpstr>PL2</vt:lpstr>
      <vt:lpstr>P2-MCR</vt:lpstr>
      <vt:lpstr>3</vt:lpstr>
      <vt:lpstr>PL3</vt:lpstr>
      <vt:lpstr>P3-MCR</vt:lpstr>
      <vt:lpstr>4</vt:lpstr>
      <vt:lpstr>PL4</vt:lpstr>
      <vt:lpstr>P4-MCR</vt:lpstr>
      <vt:lpstr>5</vt:lpstr>
      <vt:lpstr>PL5</vt:lpstr>
      <vt:lpstr>P5-MCR</vt:lpstr>
      <vt:lpstr>6</vt:lpstr>
      <vt:lpstr>PL6</vt:lpstr>
      <vt:lpstr>P6-MCR</vt:lpstr>
      <vt:lpstr>7</vt:lpstr>
      <vt:lpstr>PL7</vt:lpstr>
      <vt:lpstr>P7-MCR</vt:lpstr>
      <vt:lpstr>8</vt:lpstr>
      <vt:lpstr>PL8</vt:lpstr>
      <vt:lpstr>P8-MCR</vt:lpstr>
      <vt:lpstr>9</vt:lpstr>
      <vt:lpstr>PL9</vt:lpstr>
      <vt:lpstr>P9-MCR</vt:lpstr>
      <vt:lpstr>10</vt:lpstr>
      <vt:lpstr>PL10</vt:lpstr>
      <vt:lpstr>P10-MCR</vt:lpstr>
      <vt:lpstr>11</vt:lpstr>
      <vt:lpstr>PL11</vt:lpstr>
      <vt:lpstr>P11-MCR</vt:lpstr>
      <vt:lpstr>12</vt:lpstr>
      <vt:lpstr>PL12</vt:lpstr>
      <vt:lpstr>P12-MCR</vt:lpstr>
      <vt:lpstr>13</vt:lpstr>
      <vt:lpstr>PL13</vt:lpstr>
      <vt:lpstr>P13-MCR</vt:lpstr>
      <vt:lpstr>14</vt:lpstr>
      <vt:lpstr>PL14</vt:lpstr>
      <vt:lpstr>P14-MCR</vt:lpstr>
      <vt:lpstr>15</vt:lpstr>
      <vt:lpstr>PL15</vt:lpstr>
      <vt:lpstr>P15-MCR</vt:lpstr>
      <vt:lpstr>16</vt:lpstr>
      <vt:lpstr>PL16</vt:lpstr>
      <vt:lpstr>P16-MCR</vt:lpstr>
      <vt:lpstr>17</vt:lpstr>
      <vt:lpstr>PL17</vt:lpstr>
      <vt:lpstr>P17-MCR</vt:lpstr>
      <vt:lpstr>EXP Eval</vt:lpstr>
      <vt:lpstr>RCL Eval</vt:lpstr>
      <vt:lpstr>RCT Eval</vt:lpstr>
      <vt:lpstr>P-Dev Eval</vt:lpstr>
      <vt:lpstr>F04 Eval</vt:lpstr>
      <vt:lpstr>F04 Int</vt:lpstr>
      <vt:lpstr>(8) Exam Evaluation</vt:lpstr>
      <vt:lpstr>Scoring</vt:lpstr>
      <vt:lpstr>Rep Feedback</vt:lpstr>
      <vt:lpstr>Level D Scoring</vt:lpstr>
      <vt:lpstr>Level BAS-D Scoring</vt:lpstr>
      <vt:lpstr>BAS Scoring</vt:lpstr>
      <vt:lpstr>D+ INT</vt:lpstr>
      <vt:lpstr>Overview</vt:lpstr>
      <vt:lpstr>ADM_ASS</vt:lpstr>
      <vt:lpstr>ADM_ATMPT</vt:lpstr>
      <vt:lpstr>ADM_DATE</vt:lpstr>
      <vt:lpstr>ADM_RES</vt:lpstr>
      <vt:lpstr>ADM_VRDCT</vt:lpstr>
      <vt:lpstr>ALT_BILLING</vt:lpstr>
      <vt:lpstr>Applicant_Control</vt:lpstr>
      <vt:lpstr>APPLICATION_DOM</vt:lpstr>
      <vt:lpstr>APPLICATION_LVL</vt:lpstr>
      <vt:lpstr>'PFM-Report-Scoring'!ASSESSOR</vt:lpstr>
      <vt:lpstr>'PGM-Report-Scoring'!ASSESSOR</vt:lpstr>
      <vt:lpstr>ASSESSOR</vt:lpstr>
      <vt:lpstr>Assessor_Control</vt:lpstr>
      <vt:lpstr>BAS_D_MODE</vt:lpstr>
      <vt:lpstr>BAS_MODE</vt:lpstr>
      <vt:lpstr>by_string</vt:lpstr>
      <vt:lpstr>'PFM-Report-Scoring'!CANDIDATE</vt:lpstr>
      <vt:lpstr>'PGM-Report-Scoring'!CANDIDATE</vt:lpstr>
      <vt:lpstr>CANDIDATE</vt:lpstr>
      <vt:lpstr>CAT_A_NAME</vt:lpstr>
      <vt:lpstr>CAT_Asub_NAME</vt:lpstr>
      <vt:lpstr>CAT_B_NAME</vt:lpstr>
      <vt:lpstr>CAT_C_NAME</vt:lpstr>
      <vt:lpstr>CAT_D_NAME</vt:lpstr>
      <vt:lpstr>CAT_E_NAME</vt:lpstr>
      <vt:lpstr>CAT_PF</vt:lpstr>
      <vt:lpstr>CAT_PG</vt:lpstr>
      <vt:lpstr>CAT_PJ</vt:lpstr>
      <vt:lpstr>CAT_PO</vt:lpstr>
      <vt:lpstr>CAT_SPJ</vt:lpstr>
      <vt:lpstr>CAUTION_APPL_INCOMPLETE</vt:lpstr>
      <vt:lpstr>CAUTION_FILENAME_INVALID</vt:lpstr>
      <vt:lpstr>Cert_Body</vt:lpstr>
      <vt:lpstr>CERT_DATE_ENTRY</vt:lpstr>
      <vt:lpstr>CERT_DATE_LABEL</vt:lpstr>
      <vt:lpstr>Cert_Round</vt:lpstr>
      <vt:lpstr>CERT_VALIDITY_DATE</vt:lpstr>
      <vt:lpstr>'PFM-Report-Scoring'!CERTLEVEL</vt:lpstr>
      <vt:lpstr>'PGM-Report-Scoring'!CERTLEVEL</vt:lpstr>
      <vt:lpstr>CERTLEVEL</vt:lpstr>
      <vt:lpstr>'PFM-Report-Scoring'!CERTROUND</vt:lpstr>
      <vt:lpstr>'PGM-Report-Scoring'!CERTROUND</vt:lpstr>
      <vt:lpstr>CERTROUND</vt:lpstr>
      <vt:lpstr>Co_Assessor</vt:lpstr>
      <vt:lpstr>COMPROMISED</vt:lpstr>
      <vt:lpstr>CSW_ASS_CA</vt:lpstr>
      <vt:lpstr>CSW_ASS_LA</vt:lpstr>
      <vt:lpstr>CSW_ATMPT</vt:lpstr>
      <vt:lpstr>CSW_CE</vt:lpstr>
      <vt:lpstr>CSW_DATE</vt:lpstr>
      <vt:lpstr>CSW_FLAG</vt:lpstr>
      <vt:lpstr>CSW_RES</vt:lpstr>
      <vt:lpstr>D_PLUS_UPGRADE_FLAG</vt:lpstr>
      <vt:lpstr>DOMAIN</vt:lpstr>
      <vt:lpstr>Checks!END_BEFORE_START</vt:lpstr>
      <vt:lpstr>RCL!END_BEFORE_START</vt:lpstr>
      <vt:lpstr>RCT!END_BEFORE_START</vt:lpstr>
      <vt:lpstr>ENG</vt:lpstr>
      <vt:lpstr>EVAL_PERIOD_SELECT</vt:lpstr>
      <vt:lpstr>EVAL_RECORD_H1_CO</vt:lpstr>
      <vt:lpstr>EVAL_RECORD_H1_DATE</vt:lpstr>
      <vt:lpstr>EVAL_RECORD_H1_DESIG</vt:lpstr>
      <vt:lpstr>EVAL_RECORD_H1_LEAD</vt:lpstr>
      <vt:lpstr>EVAL_RECORD_H1_RES</vt:lpstr>
      <vt:lpstr>EVAL_RECORD_H1_STEP</vt:lpstr>
      <vt:lpstr>EVAL_RECORD_R1</vt:lpstr>
      <vt:lpstr>EVAL_RECORD_R10</vt:lpstr>
      <vt:lpstr>EVAL_RECORD_R11</vt:lpstr>
      <vt:lpstr>EVAL_RECORD_R12</vt:lpstr>
      <vt:lpstr>EVAL_RECORD_R13</vt:lpstr>
      <vt:lpstr>EVAL_RECORD_R14</vt:lpstr>
      <vt:lpstr>EVAL_RECORD_R15</vt:lpstr>
      <vt:lpstr>EVAL_RECORD_R16</vt:lpstr>
      <vt:lpstr>EVAL_RECORD_R2</vt:lpstr>
      <vt:lpstr>EVAL_RECORD_R3</vt:lpstr>
      <vt:lpstr>EVAL_RECORD_R4</vt:lpstr>
      <vt:lpstr>EVAL_RECORD_R5</vt:lpstr>
      <vt:lpstr>EVAL_RECORD_R6</vt:lpstr>
      <vt:lpstr>EVAL_RECORD_R7</vt:lpstr>
      <vt:lpstr>EVAL_RECORD_R8</vt:lpstr>
      <vt:lpstr>EVAL_RECORD_R9</vt:lpstr>
      <vt:lpstr>EVAL_STYLE</vt:lpstr>
      <vt:lpstr>RCL!Event_Type</vt:lpstr>
      <vt:lpstr>RCT!Event_Type</vt:lpstr>
      <vt:lpstr>'RCL Eval'!Exam_Total_KCIs</vt:lpstr>
      <vt:lpstr>'RCT Eval'!Exam_Total_KCIs</vt:lpstr>
      <vt:lpstr>Exam_Total_KCIs</vt:lpstr>
      <vt:lpstr>'P-Dev Eval'!Exam_Variant_Name</vt:lpstr>
      <vt:lpstr>'RCL Eval'!Exam_Variant_Name</vt:lpstr>
      <vt:lpstr>'RCT Eval'!Exam_Variant_Name</vt:lpstr>
      <vt:lpstr>Exam_Variant_Name</vt:lpstr>
      <vt:lpstr>Exm_Q_4_3_1</vt:lpstr>
      <vt:lpstr>Exm_Q_4_3_1_1</vt:lpstr>
      <vt:lpstr>Exm_Q_4_3_1_2</vt:lpstr>
      <vt:lpstr>Exm_Q_4_3_1_3</vt:lpstr>
      <vt:lpstr>Exm_Q_4_3_1_4</vt:lpstr>
      <vt:lpstr>Exm_Q_4_3_1_5</vt:lpstr>
      <vt:lpstr>Exm_Q_4_3_2</vt:lpstr>
      <vt:lpstr>Exm_Q_4_3_2_1</vt:lpstr>
      <vt:lpstr>Exm_Q_4_3_2_2</vt:lpstr>
      <vt:lpstr>Exm_Q_4_3_2_3</vt:lpstr>
      <vt:lpstr>Exm_Q_4_3_2_4</vt:lpstr>
      <vt:lpstr>Exm_Q_4_3_2_5</vt:lpstr>
      <vt:lpstr>Exm_Q_4_3_2_6</vt:lpstr>
      <vt:lpstr>Exm_Q_4_3_2_7</vt:lpstr>
      <vt:lpstr>Exm_Q_4_3_3</vt:lpstr>
      <vt:lpstr>Exm_Q_4_3_3_1</vt:lpstr>
      <vt:lpstr>Exm_Q_4_3_3_2</vt:lpstr>
      <vt:lpstr>Exm_Q_4_3_3_3</vt:lpstr>
      <vt:lpstr>Exm_Q_4_3_3_4</vt:lpstr>
      <vt:lpstr>Exm_Q_4_3_3_5</vt:lpstr>
      <vt:lpstr>Exm_Q_4_3_3_6</vt:lpstr>
      <vt:lpstr>Exm_Q_4_3_4</vt:lpstr>
      <vt:lpstr>Exm_Q_4_3_4_1</vt:lpstr>
      <vt:lpstr>Exm_Q_4_3_4_2</vt:lpstr>
      <vt:lpstr>Exm_Q_4_3_4_3</vt:lpstr>
      <vt:lpstr>Exm_Q_4_3_5</vt:lpstr>
      <vt:lpstr>Exm_Q_4_3_5_1</vt:lpstr>
      <vt:lpstr>Exm_Q_4_3_5_2</vt:lpstr>
      <vt:lpstr>Exm_Q_4_3_5_3</vt:lpstr>
      <vt:lpstr>Exm_Q_4_4_1</vt:lpstr>
      <vt:lpstr>Exm_Q_4_4_1_1</vt:lpstr>
      <vt:lpstr>Exm_Q_4_4_1_2</vt:lpstr>
      <vt:lpstr>Exm_Q_4_4_1_3</vt:lpstr>
      <vt:lpstr>Exm_Q_4_4_1_4</vt:lpstr>
      <vt:lpstr>Exm_Q_4_4_1_5</vt:lpstr>
      <vt:lpstr>Exm_Q_4_4_10</vt:lpstr>
      <vt:lpstr>Exm_Q_4_4_10_1</vt:lpstr>
      <vt:lpstr>Exm_Q_4_4_10_2</vt:lpstr>
      <vt:lpstr>Exm_Q_4_4_10_3</vt:lpstr>
      <vt:lpstr>Exm_Q_4_4_10_4</vt:lpstr>
      <vt:lpstr>Exm_Q_4_4_10_5</vt:lpstr>
      <vt:lpstr>Exm_Q_4_4_2</vt:lpstr>
      <vt:lpstr>Exm_Q_4_4_2_1</vt:lpstr>
      <vt:lpstr>Exm_Q_4_4_2_2</vt:lpstr>
      <vt:lpstr>Exm_Q_4_4_2_3</vt:lpstr>
      <vt:lpstr>Exm_Q_4_4_2_4</vt:lpstr>
      <vt:lpstr>Exm_Q_4_4_2_5</vt:lpstr>
      <vt:lpstr>Exm_Q_4_4_3</vt:lpstr>
      <vt:lpstr>Exm_Q_4_4_3_1</vt:lpstr>
      <vt:lpstr>Exm_Q_4_4_3_2</vt:lpstr>
      <vt:lpstr>Exm_Q_4_4_3_3</vt:lpstr>
      <vt:lpstr>Exm_Q_4_4_3_4</vt:lpstr>
      <vt:lpstr>Exm_Q_4_4_3_5</vt:lpstr>
      <vt:lpstr>Exm_Q_4_4_4</vt:lpstr>
      <vt:lpstr>Exm_Q_4_4_4_1</vt:lpstr>
      <vt:lpstr>Exm_Q_4_4_4_2</vt:lpstr>
      <vt:lpstr>Exm_Q_4_4_4_3</vt:lpstr>
      <vt:lpstr>Exm_Q_4_4_4_4</vt:lpstr>
      <vt:lpstr>Exm_Q_4_4_4_5</vt:lpstr>
      <vt:lpstr>Exm_Q_4_4_5</vt:lpstr>
      <vt:lpstr>Exm_Q_4_4_5_1</vt:lpstr>
      <vt:lpstr>Exm_Q_4_4_5_2</vt:lpstr>
      <vt:lpstr>Exm_Q_4_4_5_3</vt:lpstr>
      <vt:lpstr>Exm_Q_4_4_5_4</vt:lpstr>
      <vt:lpstr>Exm_Q_4_4_5_5</vt:lpstr>
      <vt:lpstr>Exm_Q_4_4_6</vt:lpstr>
      <vt:lpstr>Exm_Q_4_4_6_1</vt:lpstr>
      <vt:lpstr>Exm_Q_4_4_6_2</vt:lpstr>
      <vt:lpstr>Exm_Q_4_4_6_3</vt:lpstr>
      <vt:lpstr>Exm_Q_4_4_6_4</vt:lpstr>
      <vt:lpstr>Exm_Q_4_4_6_5</vt:lpstr>
      <vt:lpstr>Exm_Q_4_4_7</vt:lpstr>
      <vt:lpstr>Exm_Q_4_4_7_1</vt:lpstr>
      <vt:lpstr>Exm_Q_4_4_7_2</vt:lpstr>
      <vt:lpstr>Exm_Q_4_4_7_3</vt:lpstr>
      <vt:lpstr>Exm_Q_4_4_7_4</vt:lpstr>
      <vt:lpstr>Exm_Q_4_4_8</vt:lpstr>
      <vt:lpstr>Exm_Q_4_4_8_1</vt:lpstr>
      <vt:lpstr>Exm_Q_4_4_8_2</vt:lpstr>
      <vt:lpstr>Exm_Q_4_4_8_3</vt:lpstr>
      <vt:lpstr>Exm_Q_4_4_8_4</vt:lpstr>
      <vt:lpstr>Exm_Q_4_4_8_5</vt:lpstr>
      <vt:lpstr>Exm_Q_4_4_9</vt:lpstr>
      <vt:lpstr>Exm_Q_4_4_9_1</vt:lpstr>
      <vt:lpstr>Exm_Q_4_4_9_2</vt:lpstr>
      <vt:lpstr>Exm_Q_4_4_9_3</vt:lpstr>
      <vt:lpstr>Exm_Q_4_4_9_4</vt:lpstr>
      <vt:lpstr>Exm_Q_4_4_9_5</vt:lpstr>
      <vt:lpstr>Exm_Q_4_5_1</vt:lpstr>
      <vt:lpstr>Exm_Q_4_5_1_1</vt:lpstr>
      <vt:lpstr>Exm_Q_4_5_1_2</vt:lpstr>
      <vt:lpstr>Exm_Q_4_5_1_3</vt:lpstr>
      <vt:lpstr>Exm_Q_4_5_1_4</vt:lpstr>
      <vt:lpstr>Exm_Q_4_5_1_5</vt:lpstr>
      <vt:lpstr>Exm_Q_4_5_10</vt:lpstr>
      <vt:lpstr>Exm_Q_4_5_10_1</vt:lpstr>
      <vt:lpstr>Exm_Q_4_5_10_2</vt:lpstr>
      <vt:lpstr>Exm_Q_4_5_10_3</vt:lpstr>
      <vt:lpstr>Exm_Q_4_5_10_4</vt:lpstr>
      <vt:lpstr>Exm_Q_4_5_10_5</vt:lpstr>
      <vt:lpstr>Exm_Q_4_5_10_6</vt:lpstr>
      <vt:lpstr>Exm_Q_4_5_11</vt:lpstr>
      <vt:lpstr>Exm_Q_4_5_11_1</vt:lpstr>
      <vt:lpstr>Exm_Q_4_5_11_2</vt:lpstr>
      <vt:lpstr>Exm_Q_4_5_11_3</vt:lpstr>
      <vt:lpstr>Exm_Q_4_5_11_4</vt:lpstr>
      <vt:lpstr>Exm_Q_4_5_11_5</vt:lpstr>
      <vt:lpstr>Exm_Q_4_5_12</vt:lpstr>
      <vt:lpstr>Exm_Q_4_5_12_1</vt:lpstr>
      <vt:lpstr>Exm_Q_4_5_12_2</vt:lpstr>
      <vt:lpstr>Exm_Q_4_5_12_3</vt:lpstr>
      <vt:lpstr>Exm_Q_4_5_12_4</vt:lpstr>
      <vt:lpstr>Exm_Q_4_5_12_5</vt:lpstr>
      <vt:lpstr>Exm_Q_4_5_13</vt:lpstr>
      <vt:lpstr>Exm_Q_4_5_13_1</vt:lpstr>
      <vt:lpstr>Exm_Q_4_5_13_2</vt:lpstr>
      <vt:lpstr>Exm_Q_4_5_13_3</vt:lpstr>
      <vt:lpstr>Exm_Q_4_5_13_4</vt:lpstr>
      <vt:lpstr>Exm_Q_4_5_2</vt:lpstr>
      <vt:lpstr>Exm_Q_4_5_2_1</vt:lpstr>
      <vt:lpstr>Exm_Q_4_5_2_2</vt:lpstr>
      <vt:lpstr>Exm_Q_4_5_2_3</vt:lpstr>
      <vt:lpstr>Exm_Q_4_5_3</vt:lpstr>
      <vt:lpstr>Exm_Q_4_5_3_1</vt:lpstr>
      <vt:lpstr>Exm_Q_4_5_3_2</vt:lpstr>
      <vt:lpstr>Exm_Q_4_5_3_3</vt:lpstr>
      <vt:lpstr>Exm_Q_4_5_3_4</vt:lpstr>
      <vt:lpstr>Exm_Q_4_5_4</vt:lpstr>
      <vt:lpstr>Exm_Q_4_5_4_1</vt:lpstr>
      <vt:lpstr>Exm_Q_4_5_4_2</vt:lpstr>
      <vt:lpstr>Exm_Q_4_5_4_3</vt:lpstr>
      <vt:lpstr>Exm_Q_4_5_4_4</vt:lpstr>
      <vt:lpstr>Exm_Q_4_5_4_5</vt:lpstr>
      <vt:lpstr>Exm_Q_4_5_5</vt:lpstr>
      <vt:lpstr>Exm_Q_4_5_5_1</vt:lpstr>
      <vt:lpstr>Exm_Q_4_5_5_2</vt:lpstr>
      <vt:lpstr>Exm_Q_4_5_5_3</vt:lpstr>
      <vt:lpstr>Exm_Q_4_5_5_4</vt:lpstr>
      <vt:lpstr>Exm_Q_4_5_6</vt:lpstr>
      <vt:lpstr>Exm_Q_4_5_6_1</vt:lpstr>
      <vt:lpstr>Exm_Q_4_5_6_2</vt:lpstr>
      <vt:lpstr>Exm_Q_4_5_6_3</vt:lpstr>
      <vt:lpstr>Exm_Q_4_5_6_4</vt:lpstr>
      <vt:lpstr>Exm_Q_4_5_6_5</vt:lpstr>
      <vt:lpstr>Exm_Q_4_5_7</vt:lpstr>
      <vt:lpstr>Exm_Q_4_5_7_1</vt:lpstr>
      <vt:lpstr>Exm_Q_4_5_7_2</vt:lpstr>
      <vt:lpstr>Exm_Q_4_5_7_3</vt:lpstr>
      <vt:lpstr>Exm_Q_4_5_7_4</vt:lpstr>
      <vt:lpstr>Exm_Q_4_5_7_5</vt:lpstr>
      <vt:lpstr>Exm_Q_4_5_8</vt:lpstr>
      <vt:lpstr>Exm_Q_4_5_8_1</vt:lpstr>
      <vt:lpstr>Exm_Q_4_5_8_2</vt:lpstr>
      <vt:lpstr>Exm_Q_4_5_8_3</vt:lpstr>
      <vt:lpstr>Exm_Q_4_5_8_4</vt:lpstr>
      <vt:lpstr>Exm_Q_4_5_8_5</vt:lpstr>
      <vt:lpstr>Exm_Q_4_5_9</vt:lpstr>
      <vt:lpstr>Exm_Q_4_5_9_1</vt:lpstr>
      <vt:lpstr>Exm_Q_4_5_9_2</vt:lpstr>
      <vt:lpstr>Exm_Q_4_5_9_3</vt:lpstr>
      <vt:lpstr>Exm_Q_4_5_9_4</vt:lpstr>
      <vt:lpstr>EXP_A</vt:lpstr>
      <vt:lpstr>EXP_B</vt:lpstr>
      <vt:lpstr>EXP_C</vt:lpstr>
      <vt:lpstr>F01_APPL_DATE</vt:lpstr>
      <vt:lpstr>F01_APPL_TYPE</vt:lpstr>
      <vt:lpstr>F01_DOB</vt:lpstr>
      <vt:lpstr>F01_FIRSTNAME</vt:lpstr>
      <vt:lpstr>F01_SURNAME</vt:lpstr>
      <vt:lpstr>Feedback_CompetenceLevel_String</vt:lpstr>
      <vt:lpstr>Feedback_Remark_String</vt:lpstr>
      <vt:lpstr>Feedback_Score_String</vt:lpstr>
      <vt:lpstr>FILE_DIALOG_TITLE</vt:lpstr>
      <vt:lpstr>FORM_LANGUAGE</vt:lpstr>
      <vt:lpstr>GC_Flag</vt:lpstr>
      <vt:lpstr>GER</vt:lpstr>
      <vt:lpstr>GOIPJM_Flag</vt:lpstr>
      <vt:lpstr>HOMOLOG_FLAG</vt:lpstr>
      <vt:lpstr>IF_CAT_A_NAME</vt:lpstr>
      <vt:lpstr>IF_CAT_B_NAME</vt:lpstr>
      <vt:lpstr>IF_CAT_C_NAME</vt:lpstr>
      <vt:lpstr>IF_CAT_D_NAME</vt:lpstr>
      <vt:lpstr>IF_CAT_E_NAME</vt:lpstr>
      <vt:lpstr>IFX_PC_P1</vt:lpstr>
      <vt:lpstr>IFX_PC_P10</vt:lpstr>
      <vt:lpstr>IFX_PC_P11</vt:lpstr>
      <vt:lpstr>IFX_PC_P12</vt:lpstr>
      <vt:lpstr>IFX_PC_P13</vt:lpstr>
      <vt:lpstr>IFX_PC_P14</vt:lpstr>
      <vt:lpstr>IFX_PC_P15</vt:lpstr>
      <vt:lpstr>IFX_PC_P16</vt:lpstr>
      <vt:lpstr>IFX_PC_P17</vt:lpstr>
      <vt:lpstr>IFX_PC_P2</vt:lpstr>
      <vt:lpstr>IFX_PC_P3</vt:lpstr>
      <vt:lpstr>IFX_PC_P4</vt:lpstr>
      <vt:lpstr>IFX_PC_P5</vt:lpstr>
      <vt:lpstr>IFX_PC_P6</vt:lpstr>
      <vt:lpstr>IFX_PC_P7</vt:lpstr>
      <vt:lpstr>IFX_PC_P8</vt:lpstr>
      <vt:lpstr>IFX_PC_P9</vt:lpstr>
      <vt:lpstr>IMPORT_IF_DESIG</vt:lpstr>
      <vt:lpstr>Checks!INCOMPLETE_ENTRY</vt:lpstr>
      <vt:lpstr>RCL!INCOMPLETE_ENTRY</vt:lpstr>
      <vt:lpstr>RCT!INCOMPLETE_ENTRY</vt:lpstr>
      <vt:lpstr>Checks!INCOMPLETE_REVIEW</vt:lpstr>
      <vt:lpstr>RCL!INCOMPLETE_REVIEW</vt:lpstr>
      <vt:lpstr>RCT!INCOMPLETE_REVIEW</vt:lpstr>
      <vt:lpstr>INITIAL_PATH</vt:lpstr>
      <vt:lpstr>INT_ASS</vt:lpstr>
      <vt:lpstr>INT_ATMPT</vt:lpstr>
      <vt:lpstr>INT_CE</vt:lpstr>
      <vt:lpstr>INT_DATE</vt:lpstr>
      <vt:lpstr>INT_RES</vt:lpstr>
      <vt:lpstr>Know_the_principles_of_project_management_and_the_way_they_are_implemented</vt:lpstr>
      <vt:lpstr>LA_MODE</vt:lpstr>
      <vt:lpstr>LANG_SELECT</vt:lpstr>
      <vt:lpstr>LD_MODE</vt:lpstr>
      <vt:lpstr>Lead_Assessor</vt:lpstr>
      <vt:lpstr>MACRO_STATUS</vt:lpstr>
      <vt:lpstr>Checks!MAX_HPY_CONF</vt:lpstr>
      <vt:lpstr>RCL!MAX_HPY_CONF</vt:lpstr>
      <vt:lpstr>RCT!MAX_HPY_CONF</vt:lpstr>
      <vt:lpstr>Checks!MAX_HPY_JRN</vt:lpstr>
      <vt:lpstr>RCL!MAX_HPY_JRN</vt:lpstr>
      <vt:lpstr>RCT!MAX_HPY_JRN</vt:lpstr>
      <vt:lpstr>Checks!MAX_HPY_LIT</vt:lpstr>
      <vt:lpstr>RCL!MAX_HPY_LIT</vt:lpstr>
      <vt:lpstr>RCT!MAX_HPY_LIT</vt:lpstr>
      <vt:lpstr>Checks!MAX_HPY_MENTEE</vt:lpstr>
      <vt:lpstr>RCL!MAX_HPY_MENTEE</vt:lpstr>
      <vt:lpstr>RCT!MAX_HPY_MENTEE</vt:lpstr>
      <vt:lpstr>Checks!MAX_HPY_MENTOR</vt:lpstr>
      <vt:lpstr>RCL!MAX_HPY_MENTOR</vt:lpstr>
      <vt:lpstr>RCT!MAX_HPY_MENTOR</vt:lpstr>
      <vt:lpstr>Checks!MAX_HPY_PRES</vt:lpstr>
      <vt:lpstr>RCL!MAX_HPY_PRES</vt:lpstr>
      <vt:lpstr>RCT!MAX_HPY_PRES</vt:lpstr>
      <vt:lpstr>Checks!MAX_HPY_PUB</vt:lpstr>
      <vt:lpstr>RCL!MAX_HPY_PUB</vt:lpstr>
      <vt:lpstr>RCT!MAX_HPY_PUB</vt:lpstr>
      <vt:lpstr>Checks!MAX_HPY_TRN</vt:lpstr>
      <vt:lpstr>RCL!MAX_HPY_TRN</vt:lpstr>
      <vt:lpstr>RCT!MAX_HPY_TRN</vt:lpstr>
      <vt:lpstr>MAX_PD_PER_YEAR</vt:lpstr>
      <vt:lpstr>NEXT_RECERT_DATE</vt:lpstr>
      <vt:lpstr>NEXT_UP</vt:lpstr>
      <vt:lpstr>NO_CAT_NAME</vt:lpstr>
      <vt:lpstr>NOTICE_FILE_SAVED_AS</vt:lpstr>
      <vt:lpstr>Checks!NOTICE_HPY_REACHED</vt:lpstr>
      <vt:lpstr>RCL!NOTICE_HPY_REACHED</vt:lpstr>
      <vt:lpstr>RCT!NOTICE_HPY_REACHED</vt:lpstr>
      <vt:lpstr>NOTICE_NOUN_RCP</vt:lpstr>
      <vt:lpstr>PLreq1</vt:lpstr>
      <vt:lpstr>PLreq10</vt:lpstr>
      <vt:lpstr>PLreq11</vt:lpstr>
      <vt:lpstr>PLreq12</vt:lpstr>
      <vt:lpstr>PLreq13</vt:lpstr>
      <vt:lpstr>PLreq14</vt:lpstr>
      <vt:lpstr>PLreq15</vt:lpstr>
      <vt:lpstr>PLreq16</vt:lpstr>
      <vt:lpstr>PLreq17</vt:lpstr>
      <vt:lpstr>PLreq2</vt:lpstr>
      <vt:lpstr>PLreq3</vt:lpstr>
      <vt:lpstr>PLreq4</vt:lpstr>
      <vt:lpstr>PLreq5</vt:lpstr>
      <vt:lpstr>PLreq6</vt:lpstr>
      <vt:lpstr>PLreq7</vt:lpstr>
      <vt:lpstr>PLreq8</vt:lpstr>
      <vt:lpstr>PLreq9</vt:lpstr>
      <vt:lpstr>PM_EXP_START_DATE</vt:lpstr>
      <vt:lpstr>PMO_MODE</vt:lpstr>
      <vt:lpstr>PMZ_EVAL</vt:lpstr>
      <vt:lpstr>'(7c) Project Schedule'!Print_Area</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'3'!Print_Area</vt:lpstr>
      <vt:lpstr>'4'!Print_Area</vt:lpstr>
      <vt:lpstr>'5'!Print_Area</vt:lpstr>
      <vt:lpstr>'6'!Print_Area</vt:lpstr>
      <vt:lpstr>'7'!Print_Area</vt:lpstr>
      <vt:lpstr>'8'!Print_Area</vt:lpstr>
      <vt:lpstr>'9'!Print_Area</vt:lpstr>
      <vt:lpstr>'Evaluation Sheet Instructions'!Print_Area</vt:lpstr>
      <vt:lpstr>EXP!Print_Area</vt:lpstr>
      <vt:lpstr>'EXP Eval'!Print_Area</vt:lpstr>
      <vt:lpstr>'F04 Eval'!Print_Area</vt:lpstr>
      <vt:lpstr>Overview!Print_Area</vt:lpstr>
      <vt:lpstr>'P-Dev Eval'!Print_Area</vt:lpstr>
      <vt:lpstr>'PFM-Report-Scoring'!Print_Area</vt:lpstr>
      <vt:lpstr>'PGM-Report-Scoring'!Print_Area</vt:lpstr>
      <vt:lpstr>'PJM-Report-Scoring'!Print_Area</vt:lpstr>
      <vt:lpstr>'PL1'!Print_Area</vt:lpstr>
      <vt:lpstr>'PL10'!Print_Area</vt:lpstr>
      <vt:lpstr>'PL11'!Print_Area</vt:lpstr>
      <vt:lpstr>'PL12'!Print_Area</vt:lpstr>
      <vt:lpstr>'PL13'!Print_Area</vt:lpstr>
      <vt:lpstr>'PL14'!Print_Area</vt:lpstr>
      <vt:lpstr>'PL15'!Print_Area</vt:lpstr>
      <vt:lpstr>'PL16'!Print_Area</vt:lpstr>
      <vt:lpstr>'PL17'!Print_Area</vt:lpstr>
      <vt:lpstr>'PL2'!Print_Area</vt:lpstr>
      <vt:lpstr>'PL3'!Print_Area</vt:lpstr>
      <vt:lpstr>'PL4'!Print_Area</vt:lpstr>
      <vt:lpstr>'PL5'!Print_Area</vt:lpstr>
      <vt:lpstr>'PL6'!Print_Area</vt:lpstr>
      <vt:lpstr>'PL7'!Print_Area</vt:lpstr>
      <vt:lpstr>'PL8'!Print_Area</vt:lpstr>
      <vt:lpstr>'PL9'!Print_Area</vt:lpstr>
      <vt:lpstr>RCL!Print_Area</vt:lpstr>
      <vt:lpstr>RCT!Print_Area</vt:lpstr>
      <vt:lpstr>'Rep Feedback'!Print_Area</vt:lpstr>
      <vt:lpstr>ProjectName1</vt:lpstr>
      <vt:lpstr>ProjectName10</vt:lpstr>
      <vt:lpstr>ProjectName11</vt:lpstr>
      <vt:lpstr>ProjectName12</vt:lpstr>
      <vt:lpstr>ProjectName13</vt:lpstr>
      <vt:lpstr>ProjectName14</vt:lpstr>
      <vt:lpstr>ProjectName15</vt:lpstr>
      <vt:lpstr>ProjectName16</vt:lpstr>
      <vt:lpstr>ProjectName17</vt:lpstr>
      <vt:lpstr>ProjectName2</vt:lpstr>
      <vt:lpstr>ProjectName3</vt:lpstr>
      <vt:lpstr>ProjectName4</vt:lpstr>
      <vt:lpstr>ProjectName5</vt:lpstr>
      <vt:lpstr>ProjectName6</vt:lpstr>
      <vt:lpstr>ProjectName7</vt:lpstr>
      <vt:lpstr>ProjectName8</vt:lpstr>
      <vt:lpstr>ProjectName9</vt:lpstr>
      <vt:lpstr>RC_YEAR_1_END</vt:lpstr>
      <vt:lpstr>RC_YEAR_1_START</vt:lpstr>
      <vt:lpstr>RC_YEAR_2_END</vt:lpstr>
      <vt:lpstr>RC_YEAR_2_START</vt:lpstr>
      <vt:lpstr>RC_YEAR_3_END</vt:lpstr>
      <vt:lpstr>RC_YEAR_3_START</vt:lpstr>
      <vt:lpstr>RC_YEAR_4_END</vt:lpstr>
      <vt:lpstr>RC_YEAR_4_START</vt:lpstr>
      <vt:lpstr>RC_YEAR_5_END</vt:lpstr>
      <vt:lpstr>RC_YEAR_5_START</vt:lpstr>
      <vt:lpstr>RE_CERT</vt:lpstr>
      <vt:lpstr>RE_CERT_GRACE_ACTIVE_MARKER</vt:lpstr>
      <vt:lpstr>REP_ASS</vt:lpstr>
      <vt:lpstr>REP_ATMPT</vt:lpstr>
      <vt:lpstr>REP_CE</vt:lpstr>
      <vt:lpstr>REP_D_CE</vt:lpstr>
      <vt:lpstr>REP_DATE</vt:lpstr>
      <vt:lpstr>REP_RES</vt:lpstr>
      <vt:lpstr>REPC_ASS</vt:lpstr>
      <vt:lpstr>REPC_ATMPT</vt:lpstr>
      <vt:lpstr>REPC_CE</vt:lpstr>
      <vt:lpstr>REPC_DATE</vt:lpstr>
      <vt:lpstr>REPC_RES</vt:lpstr>
      <vt:lpstr>Report_Feedback_Title_1_String</vt:lpstr>
      <vt:lpstr>Report_Feedback_Title_2_String</vt:lpstr>
      <vt:lpstr>SAVE_AS_DIALOG_NAME</vt:lpstr>
      <vt:lpstr>SAVE_AS_DIALOG_PROMPT</vt:lpstr>
      <vt:lpstr>Scoring_Cand_Name</vt:lpstr>
      <vt:lpstr>SE_CAT_A_NAME</vt:lpstr>
      <vt:lpstr>SE_CAT_B_NAME</vt:lpstr>
      <vt:lpstr>SE_CAT_C_NAME</vt:lpstr>
      <vt:lpstr>SE_CAT_SMALL_NAME</vt:lpstr>
      <vt:lpstr>SEGPMC_Flag</vt:lpstr>
      <vt:lpstr>SHEET_ERROR_STATE</vt:lpstr>
      <vt:lpstr>SUGGESTED_CBA_PATH</vt:lpstr>
      <vt:lpstr>UPGRADE_FLAG</vt:lpstr>
      <vt:lpstr>VALID_FILENAME</vt:lpstr>
      <vt:lpstr>VERSION_STRING</vt:lpstr>
      <vt:lpstr>WTP_ASS</vt:lpstr>
      <vt:lpstr>WTP_ATMPT</vt:lpstr>
      <vt:lpstr>WTP_CE</vt:lpstr>
      <vt:lpstr>WTP_D1_CE</vt:lpstr>
      <vt:lpstr>WTP_D2_ASS</vt:lpstr>
      <vt:lpstr>WTP_D2_ATMPT</vt:lpstr>
      <vt:lpstr>WTP_D2_CE</vt:lpstr>
      <vt:lpstr>WTP_D2_DATE</vt:lpstr>
      <vt:lpstr>WTP_D2_RES</vt:lpstr>
      <vt:lpstr>WTP_DATE</vt:lpstr>
      <vt:lpstr>WTP_RES</vt:lpstr>
    </vt:vector>
  </TitlesOfParts>
  <Manager/>
  <Company>Griebel Aerospace Consulting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PM-ZERT Candidate Record</dc:title>
  <dc:subject>GPM / PMZERT IPMA Certification</dc:subject>
  <dc:creator>Hannes S. Griebel, Ph.D., FRAeS, MAPM</dc:creator>
  <cp:keywords/>
  <dc:description/>
  <cp:lastModifiedBy>Thomas Fehr</cp:lastModifiedBy>
  <cp:lastPrinted>2025-05-18T21:12:53Z</cp:lastPrinted>
  <dcterms:created xsi:type="dcterms:W3CDTF">2016-11-30T14:51:25Z</dcterms:created>
  <dcterms:modified xsi:type="dcterms:W3CDTF">2026-03-16T22:17:52Z</dcterms:modified>
  <cp:category>PM-ZERT</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0x010100D8035990F0D5E14F9658A95D883627F6</vt:lpwstr>
  </property>
  <property fmtid="{D5CDD505-2E9C-101B-9397-08002B2CF9AE}" pid="3" name="MediaServiceImageTags">
    <vt:lpwstr/>
  </property>
  <property fmtid="{D5CDD505-2E9C-101B-9397-08002B2CF9AE}" pid="4" name="Order">
    <vt:r8>1676600</vt:r8>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ComplianceAssetId">
    <vt:lpwstr/>
  </property>
  <property fmtid="{D5CDD505-2E9C-101B-9397-08002B2CF9AE}" pid="10" name="TemplateUrl">
    <vt:lpwstr/>
  </property>
  <property fmtid="{D5CDD505-2E9C-101B-9397-08002B2CF9AE}" pid="11" name="_ExtendedDescription">
    <vt:lpwstr/>
  </property>
  <property fmtid="{D5CDD505-2E9C-101B-9397-08002B2CF9AE}" pid="12" name="TriggerFlowInfo">
    <vt:lpwstr/>
  </property>
</Properties>
</file>